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embeddings/oleObject2.bin" ContentType="application/vnd.openxmlformats-officedocument.oleObject"/>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4.xml" ContentType="application/vnd.openxmlformats-officedocument.spreadsheetml.comment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9.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5.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drawings/drawing10.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6.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11.xml" ContentType="application/vnd.openxmlformats-officedocument.drawing+xml"/>
  <Override PartName="/xl/embeddings/oleObject3.bin" ContentType="application/vnd.openxmlformats-officedocument.oleObject"/>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7.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drawings/drawing12.xml" ContentType="application/vnd.openxmlformats-officedocument.drawing+xml"/>
  <Override PartName="/xl/embeddings/oleObject4.bin" ContentType="application/vnd.openxmlformats-officedocument.oleObject"/>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8.xml" ContentType="application/vnd.openxmlformats-officedocument.spreadsheetml.comments+xml"/>
  <Override PartName="/xl/charts/chart15.xml" ContentType="application/vnd.openxmlformats-officedocument.drawingml.chart+xml"/>
  <Override PartName="/xl/drawings/drawing13.xml" ContentType="application/vnd.openxmlformats-officedocument.drawing+xml"/>
  <Override PartName="/xl/embeddings/oleObject5.bin" ContentType="application/vnd.openxmlformats-officedocument.oleObject"/>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9.xml" ContentType="application/vnd.openxmlformats-officedocument.spreadsheetml.comments+xml"/>
  <Override PartName="/xl/charts/chart16.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embeddings/oleObject6.bin" ContentType="application/vnd.openxmlformats-officedocument.oleObject"/>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omments10.xml" ContentType="application/vnd.openxmlformats-officedocument.spreadsheetml.comments+xml"/>
  <Override PartName="/xl/charts/chart17.xml" ContentType="application/vnd.openxmlformats-officedocument.drawingml.chart+xml"/>
  <Override PartName="/xl/drawings/drawing1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calinjageman\Dropbox\Bob\Replication Projects\APS 2018 - Teaching New Stats\esci\"/>
    </mc:Choice>
  </mc:AlternateContent>
  <bookViews>
    <workbookView xWindow="0" yWindow="0" windowWidth="19200" windowHeight="12735" activeTab="3"/>
  </bookViews>
  <sheets>
    <sheet name="Intro" sheetId="5" r:id="rId1"/>
    <sheet name="CIs and replication" sheetId="26" r:id="rId2"/>
    <sheet name="p intervals" sheetId="27" r:id="rId3"/>
    <sheet name="Dance p" sheetId="28" r:id="rId4"/>
    <sheet name="Random" sheetId="30" r:id="rId5"/>
    <sheet name="Compare A B" sheetId="13" r:id="rId6"/>
    <sheet name="Data two" sheetId="18" r:id="rId7"/>
    <sheet name="Simulate two" sheetId="19" r:id="rId8"/>
    <sheet name="Data paired" sheetId="29" r:id="rId9"/>
    <sheet name="Simulate paired" sheetId="21" r:id="rId10"/>
  </sheets>
  <functionGroups builtInGroupCount="18"/>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big1" localSheetId="1">'[1]MA  Standardised units'!$AG$6:$AH$6</definedName>
    <definedName name="_big1" localSheetId="3">'[1]MA  Standardised units'!$AG$6:$AH$6</definedName>
    <definedName name="_big1" localSheetId="8">'[1]MA  Standardised units'!$AG$6:$AH$6</definedName>
    <definedName name="_big1" localSheetId="6">'[1]MA  Standardised units'!$AG$6:$AH$6</definedName>
    <definedName name="_big1" localSheetId="4">'[2]MA  Standardised units'!$AG$6:$AH$6</definedName>
    <definedName name="_big1" localSheetId="9">'[1]MA  Standardised units'!$AG$6:$AH$6</definedName>
    <definedName name="_big1" localSheetId="7">'[1]MA  Standardised units'!$AG$6:$AH$6</definedName>
    <definedName name="_big1">'[1]MA  Standardised units'!$AG$6:$AH$6</definedName>
    <definedName name="_big10" localSheetId="1">'[1]MA  Standardised units'!$AG$15:$AH$15</definedName>
    <definedName name="_big10" localSheetId="3">'[1]MA  Standardised units'!$AG$15:$AH$15</definedName>
    <definedName name="_big10" localSheetId="8">'[1]MA  Standardised units'!$AG$15:$AH$15</definedName>
    <definedName name="_big10" localSheetId="6">'[1]MA  Standardised units'!$AG$15:$AH$15</definedName>
    <definedName name="_big10" localSheetId="4">'[2]MA  Standardised units'!$AG$15:$AH$15</definedName>
    <definedName name="_big10" localSheetId="9">'[1]MA  Standardised units'!$AG$15:$AH$15</definedName>
    <definedName name="_big10" localSheetId="7">'[1]MA  Standardised units'!$AG$15:$AH$15</definedName>
    <definedName name="_big10">'[1]MA  Standardised units'!$AG$15:$AH$15</definedName>
    <definedName name="_big11" localSheetId="1">'[1]MA  Standardised units'!$AG$18:$AH$18</definedName>
    <definedName name="_big11" localSheetId="3">'[1]MA  Standardised units'!$AG$18:$AH$18</definedName>
    <definedName name="_big11" localSheetId="8">'[1]MA  Standardised units'!$AG$18:$AH$18</definedName>
    <definedName name="_big11" localSheetId="6">'[1]MA  Standardised units'!$AG$18:$AH$18</definedName>
    <definedName name="_big11" localSheetId="4">'[2]MA  Standardised units'!$AG$18:$AH$18</definedName>
    <definedName name="_big11" localSheetId="9">'[1]MA  Standardised units'!$AG$18:$AH$18</definedName>
    <definedName name="_big11" localSheetId="7">'[1]MA  Standardised units'!$AG$18:$AH$18</definedName>
    <definedName name="_big11">'[1]MA  Standardised units'!$AG$18:$AH$18</definedName>
    <definedName name="_big12" localSheetId="1">'[1]MA  Standardised units'!$AG$21:$AH$21</definedName>
    <definedName name="_big12" localSheetId="3">'[1]MA  Standardised units'!$AG$21:$AH$21</definedName>
    <definedName name="_big12" localSheetId="8">'[1]MA  Standardised units'!$AG$21:$AH$21</definedName>
    <definedName name="_big12" localSheetId="6">'[1]MA  Standardised units'!$AG$21:$AH$21</definedName>
    <definedName name="_big12" localSheetId="4">'[2]MA  Standardised units'!$AG$21:$AH$21</definedName>
    <definedName name="_big12" localSheetId="9">'[1]MA  Standardised units'!$AG$21:$AH$21</definedName>
    <definedName name="_big12" localSheetId="7">'[1]MA  Standardised units'!$AG$21:$AH$21</definedName>
    <definedName name="_big12">'[1]MA  Standardised units'!$AG$21:$AH$21</definedName>
    <definedName name="_big13" localSheetId="1">'[1]MA  Standardised units'!$AG$24:$AH$24</definedName>
    <definedName name="_big13" localSheetId="3">'[1]MA  Standardised units'!$AG$24:$AH$24</definedName>
    <definedName name="_big13" localSheetId="8">'[1]MA  Standardised units'!$AG$24:$AH$24</definedName>
    <definedName name="_big13" localSheetId="6">'[1]MA  Standardised units'!$AG$24:$AH$24</definedName>
    <definedName name="_big13" localSheetId="4">'[2]MA  Standardised units'!$AG$24:$AH$24</definedName>
    <definedName name="_big13" localSheetId="9">'[1]MA  Standardised units'!$AG$24:$AH$24</definedName>
    <definedName name="_big13" localSheetId="7">'[1]MA  Standardised units'!$AG$24:$AH$24</definedName>
    <definedName name="_big13">'[1]MA  Standardised units'!$AG$24:$AH$24</definedName>
    <definedName name="_big2" localSheetId="1">'[1]MA  Standardised units'!$AG$7:$AH$7</definedName>
    <definedName name="_big2" localSheetId="3">'[1]MA  Standardised units'!$AG$7:$AH$7</definedName>
    <definedName name="_big2" localSheetId="8">'[1]MA  Standardised units'!$AG$7:$AH$7</definedName>
    <definedName name="_big2" localSheetId="6">'[1]MA  Standardised units'!$AG$7:$AH$7</definedName>
    <definedName name="_big2" localSheetId="4">'[2]MA  Standardised units'!$AG$7:$AH$7</definedName>
    <definedName name="_big2" localSheetId="9">'[1]MA  Standardised units'!$AG$7:$AH$7</definedName>
    <definedName name="_big2" localSheetId="7">'[1]MA  Standardised units'!$AG$7:$AH$7</definedName>
    <definedName name="_big2">'[1]MA  Standardised units'!$AG$7:$AH$7</definedName>
    <definedName name="_big3" localSheetId="1">'[1]MA  Standardised units'!$AG$8:$AH$8</definedName>
    <definedName name="_big3" localSheetId="3">'[1]MA  Standardised units'!$AG$8:$AH$8</definedName>
    <definedName name="_big3" localSheetId="8">'[1]MA  Standardised units'!$AG$8:$AH$8</definedName>
    <definedName name="_big3" localSheetId="6">'[1]MA  Standardised units'!$AG$8:$AH$8</definedName>
    <definedName name="_big3" localSheetId="4">'[2]MA  Standardised units'!$AG$8:$AH$8</definedName>
    <definedName name="_big3" localSheetId="9">'[1]MA  Standardised units'!$AG$8:$AH$8</definedName>
    <definedName name="_big3" localSheetId="7">'[1]MA  Standardised units'!$AG$8:$AH$8</definedName>
    <definedName name="_big3">'[1]MA  Standardised units'!$AG$8:$AH$8</definedName>
    <definedName name="_big4" localSheetId="1">'[1]MA  Standardised units'!$AG$9:$AH$9</definedName>
    <definedName name="_big4" localSheetId="3">'[1]MA  Standardised units'!$AG$9:$AH$9</definedName>
    <definedName name="_big4" localSheetId="8">'[1]MA  Standardised units'!$AG$9:$AH$9</definedName>
    <definedName name="_big4" localSheetId="6">'[1]MA  Standardised units'!$AG$9:$AH$9</definedName>
    <definedName name="_big4" localSheetId="4">'[2]MA  Standardised units'!$AG$9:$AH$9</definedName>
    <definedName name="_big4" localSheetId="9">'[1]MA  Standardised units'!$AG$9:$AH$9</definedName>
    <definedName name="_big4" localSheetId="7">'[1]MA  Standardised units'!$AG$9:$AH$9</definedName>
    <definedName name="_big4">'[1]MA  Standardised units'!$AG$9:$AH$9</definedName>
    <definedName name="_big5" localSheetId="1">'[1]MA  Standardised units'!$AG$10:$AH$10</definedName>
    <definedName name="_big5" localSheetId="3">'[1]MA  Standardised units'!$AG$10:$AH$10</definedName>
    <definedName name="_big5" localSheetId="8">'[1]MA  Standardised units'!$AG$10:$AH$10</definedName>
    <definedName name="_big5" localSheetId="6">'[1]MA  Standardised units'!$AG$10:$AH$10</definedName>
    <definedName name="_big5" localSheetId="4">'[2]MA  Standardised units'!$AG$10:$AH$10</definedName>
    <definedName name="_big5" localSheetId="9">'[1]MA  Standardised units'!$AG$10:$AH$10</definedName>
    <definedName name="_big5" localSheetId="7">'[1]MA  Standardised units'!$AG$10:$AH$10</definedName>
    <definedName name="_big5">'[1]MA  Standardised units'!$AG$10:$AH$10</definedName>
    <definedName name="_big6" localSheetId="1">'[1]MA  Standardised units'!$AG$11:$AH$11</definedName>
    <definedName name="_big6" localSheetId="3">'[1]MA  Standardised units'!$AG$11:$AH$11</definedName>
    <definedName name="_big6" localSheetId="8">'[1]MA  Standardised units'!$AG$11:$AH$11</definedName>
    <definedName name="_big6" localSheetId="6">'[1]MA  Standardised units'!$AG$11:$AH$11</definedName>
    <definedName name="_big6" localSheetId="4">'[2]MA  Standardised units'!$AG$11:$AH$11</definedName>
    <definedName name="_big6" localSheetId="9">'[1]MA  Standardised units'!$AG$11:$AH$11</definedName>
    <definedName name="_big6" localSheetId="7">'[1]MA  Standardised units'!$AG$11:$AH$11</definedName>
    <definedName name="_big6">'[1]MA  Standardised units'!$AG$11:$AH$11</definedName>
    <definedName name="_big7" localSheetId="1">'[1]MA  Standardised units'!$AG$12:$AH$12</definedName>
    <definedName name="_big7" localSheetId="3">'[1]MA  Standardised units'!$AG$12:$AH$12</definedName>
    <definedName name="_big7" localSheetId="8">'[1]MA  Standardised units'!$AG$12:$AH$12</definedName>
    <definedName name="_big7" localSheetId="6">'[1]MA  Standardised units'!$AG$12:$AH$12</definedName>
    <definedName name="_big7" localSheetId="4">'[2]MA  Standardised units'!$AG$12:$AH$12</definedName>
    <definedName name="_big7" localSheetId="9">'[1]MA  Standardised units'!$AG$12:$AH$12</definedName>
    <definedName name="_big7" localSheetId="7">'[1]MA  Standardised units'!$AG$12:$AH$12</definedName>
    <definedName name="_big7">'[1]MA  Standardised units'!$AG$12:$AH$12</definedName>
    <definedName name="_big8" localSheetId="1">'[1]MA  Standardised units'!$AG$13:$AH$13</definedName>
    <definedName name="_big8" localSheetId="3">'[1]MA  Standardised units'!$AG$13:$AH$13</definedName>
    <definedName name="_big8" localSheetId="8">'[1]MA  Standardised units'!$AG$13:$AH$13</definedName>
    <definedName name="_big8" localSheetId="6">'[1]MA  Standardised units'!$AG$13:$AH$13</definedName>
    <definedName name="_big8" localSheetId="4">'[2]MA  Standardised units'!$AG$13:$AH$13</definedName>
    <definedName name="_big8" localSheetId="9">'[1]MA  Standardised units'!$AG$13:$AH$13</definedName>
    <definedName name="_big8" localSheetId="7">'[1]MA  Standardised units'!$AG$13:$AH$13</definedName>
    <definedName name="_big8">'[1]MA  Standardised units'!$AG$13:$AH$13</definedName>
    <definedName name="_big9" localSheetId="1">'[1]MA  Standardised units'!$AG$14:$AH$14</definedName>
    <definedName name="_big9" localSheetId="3">'[1]MA  Standardised units'!$AG$14:$AH$14</definedName>
    <definedName name="_big9" localSheetId="8">'[1]MA  Standardised units'!$AG$14:$AH$14</definedName>
    <definedName name="_big9" localSheetId="6">'[1]MA  Standardised units'!$AG$14:$AH$14</definedName>
    <definedName name="_big9" localSheetId="4">'[2]MA  Standardised units'!$AG$14:$AH$14</definedName>
    <definedName name="_big9" localSheetId="9">'[1]MA  Standardised units'!$AG$14:$AH$14</definedName>
    <definedName name="_big9" localSheetId="7">'[1]MA  Standardised units'!$AG$14:$AH$14</definedName>
    <definedName name="_big9">'[1]MA  Standardised units'!$AG$14:$AH$14</definedName>
    <definedName name="_cid1" localSheetId="1">'[1]MA  Standardised units'!$J$6</definedName>
    <definedName name="_cid1" localSheetId="3">'[1]MA  Standardised units'!$J$6</definedName>
    <definedName name="_cid1" localSheetId="8">'[1]MA  Standardised units'!$J$6</definedName>
    <definedName name="_cid1" localSheetId="6">'[1]MA  Standardised units'!$J$6</definedName>
    <definedName name="_cid1" localSheetId="4">'[2]MA  Standardised units'!$J$6</definedName>
    <definedName name="_cid1" localSheetId="9">'[1]MA  Standardised units'!$J$6</definedName>
    <definedName name="_cid1" localSheetId="7">'[1]MA  Standardised units'!$J$6</definedName>
    <definedName name="_cid1">'[1]MA  Standardised units'!$J$6</definedName>
    <definedName name="_cid10" localSheetId="1">'[1]MA  Standardised units'!$J$15</definedName>
    <definedName name="_cid10" localSheetId="3">'[1]MA  Standardised units'!$J$15</definedName>
    <definedName name="_cid10" localSheetId="8">'[1]MA  Standardised units'!$J$15</definedName>
    <definedName name="_cid10" localSheetId="6">'[1]MA  Standardised units'!$J$15</definedName>
    <definedName name="_cid10" localSheetId="4">'[2]MA  Standardised units'!$J$15</definedName>
    <definedName name="_cid10" localSheetId="9">'[1]MA  Standardised units'!$J$15</definedName>
    <definedName name="_cid10" localSheetId="7">'[1]MA  Standardised units'!$J$15</definedName>
    <definedName name="_cid10">'[1]MA  Standardised units'!$J$15</definedName>
    <definedName name="_cid11" localSheetId="1">'[1]MA  Standardised units'!$J$18</definedName>
    <definedName name="_cid11" localSheetId="3">'[1]MA  Standardised units'!$J$18</definedName>
    <definedName name="_cid11" localSheetId="8">'[1]MA  Standardised units'!$J$18</definedName>
    <definedName name="_cid11" localSheetId="6">'[1]MA  Standardised units'!$J$18</definedName>
    <definedName name="_cid11" localSheetId="4">'[2]MA  Standardised units'!$J$18</definedName>
    <definedName name="_cid11" localSheetId="9">'[1]MA  Standardised units'!$J$18</definedName>
    <definedName name="_cid11" localSheetId="7">'[1]MA  Standardised units'!$J$18</definedName>
    <definedName name="_cid11">'[1]MA  Standardised units'!$J$18</definedName>
    <definedName name="_cid12" localSheetId="1">'[1]MA  Standardised units'!$J$21</definedName>
    <definedName name="_cid12" localSheetId="3">'[1]MA  Standardised units'!$J$21</definedName>
    <definedName name="_cid12" localSheetId="8">'[1]MA  Standardised units'!$J$21</definedName>
    <definedName name="_cid12" localSheetId="6">'[1]MA  Standardised units'!$J$21</definedName>
    <definedName name="_cid12" localSheetId="4">'[2]MA  Standardised units'!$J$21</definedName>
    <definedName name="_cid12" localSheetId="9">'[1]MA  Standardised units'!$J$21</definedName>
    <definedName name="_cid12" localSheetId="7">'[1]MA  Standardised units'!$J$21</definedName>
    <definedName name="_cid12">'[1]MA  Standardised units'!$J$21</definedName>
    <definedName name="_cid13" localSheetId="1">'[1]MA  Standardised units'!$J$24</definedName>
    <definedName name="_cid13" localSheetId="3">'[1]MA  Standardised units'!$J$24</definedName>
    <definedName name="_cid13" localSheetId="8">'[1]MA  Standardised units'!$J$24</definedName>
    <definedName name="_cid13" localSheetId="6">'[1]MA  Standardised units'!$J$24</definedName>
    <definedName name="_cid13" localSheetId="4">'[2]MA  Standardised units'!$J$24</definedName>
    <definedName name="_cid13" localSheetId="9">'[1]MA  Standardised units'!$J$24</definedName>
    <definedName name="_cid13" localSheetId="7">'[1]MA  Standardised units'!$J$24</definedName>
    <definedName name="_cid13">'[1]MA  Standardised units'!$J$24</definedName>
    <definedName name="_cid2" localSheetId="1">'[1]MA  Standardised units'!$J$7</definedName>
    <definedName name="_cid2" localSheetId="3">'[1]MA  Standardised units'!$J$7</definedName>
    <definedName name="_cid2" localSheetId="8">'[1]MA  Standardised units'!$J$7</definedName>
    <definedName name="_cid2" localSheetId="6">'[1]MA  Standardised units'!$J$7</definedName>
    <definedName name="_cid2" localSheetId="4">'[2]MA  Standardised units'!$J$7</definedName>
    <definedName name="_cid2" localSheetId="9">'[1]MA  Standardised units'!$J$7</definedName>
    <definedName name="_cid2" localSheetId="7">'[1]MA  Standardised units'!$J$7</definedName>
    <definedName name="_cid2">'[1]MA  Standardised units'!$J$7</definedName>
    <definedName name="_cid3" localSheetId="1">'[1]MA  Standardised units'!$J$8</definedName>
    <definedName name="_cid3" localSheetId="3">'[1]MA  Standardised units'!$J$8</definedName>
    <definedName name="_cid3" localSheetId="8">'[1]MA  Standardised units'!$J$8</definedName>
    <definedName name="_cid3" localSheetId="6">'[1]MA  Standardised units'!$J$8</definedName>
    <definedName name="_cid3" localSheetId="4">'[2]MA  Standardised units'!$J$8</definedName>
    <definedName name="_cid3" localSheetId="9">'[1]MA  Standardised units'!$J$8</definedName>
    <definedName name="_cid3" localSheetId="7">'[1]MA  Standardised units'!$J$8</definedName>
    <definedName name="_cid3">'[1]MA  Standardised units'!$J$8</definedName>
    <definedName name="_cid4" localSheetId="1">'[1]MA  Standardised units'!$J$9</definedName>
    <definedName name="_cid4" localSheetId="3">'[1]MA  Standardised units'!$J$9</definedName>
    <definedName name="_cid4" localSheetId="8">'[1]MA  Standardised units'!$J$9</definedName>
    <definedName name="_cid4" localSheetId="6">'[1]MA  Standardised units'!$J$9</definedName>
    <definedName name="_cid4" localSheetId="4">'[2]MA  Standardised units'!$J$9</definedName>
    <definedName name="_cid4" localSheetId="9">'[1]MA  Standardised units'!$J$9</definedName>
    <definedName name="_cid4" localSheetId="7">'[1]MA  Standardised units'!$J$9</definedName>
    <definedName name="_cid4">'[1]MA  Standardised units'!$J$9</definedName>
    <definedName name="_cid5" localSheetId="1">'[1]MA  Standardised units'!$J$10</definedName>
    <definedName name="_cid5" localSheetId="3">'[1]MA  Standardised units'!$J$10</definedName>
    <definedName name="_cid5" localSheetId="8">'[1]MA  Standardised units'!$J$10</definedName>
    <definedName name="_cid5" localSheetId="6">'[1]MA  Standardised units'!$J$10</definedName>
    <definedName name="_cid5" localSheetId="4">'[2]MA  Standardised units'!$J$10</definedName>
    <definedName name="_cid5" localSheetId="9">'[1]MA  Standardised units'!$J$10</definedName>
    <definedName name="_cid5" localSheetId="7">'[1]MA  Standardised units'!$J$10</definedName>
    <definedName name="_cid5">'[1]MA  Standardised units'!$J$10</definedName>
    <definedName name="_cid6" localSheetId="1">'[1]MA  Standardised units'!$J$11</definedName>
    <definedName name="_cid6" localSheetId="3">'[1]MA  Standardised units'!$J$11</definedName>
    <definedName name="_cid6" localSheetId="8">'[1]MA  Standardised units'!$J$11</definedName>
    <definedName name="_cid6" localSheetId="6">'[1]MA  Standardised units'!$J$11</definedName>
    <definedName name="_cid6" localSheetId="4">'[2]MA  Standardised units'!$J$11</definedName>
    <definedName name="_cid6" localSheetId="9">'[1]MA  Standardised units'!$J$11</definedName>
    <definedName name="_cid6" localSheetId="7">'[1]MA  Standardised units'!$J$11</definedName>
    <definedName name="_cid6">'[1]MA  Standardised units'!$J$11</definedName>
    <definedName name="_cid7" localSheetId="1">'[1]MA  Standardised units'!$J$12</definedName>
    <definedName name="_cid7" localSheetId="3">'[1]MA  Standardised units'!$J$12</definedName>
    <definedName name="_cid7" localSheetId="8">'[1]MA  Standardised units'!$J$12</definedName>
    <definedName name="_cid7" localSheetId="6">'[1]MA  Standardised units'!$J$12</definedName>
    <definedName name="_cid7" localSheetId="4">'[2]MA  Standardised units'!$J$12</definedName>
    <definedName name="_cid7" localSheetId="9">'[1]MA  Standardised units'!$J$12</definedName>
    <definedName name="_cid7" localSheetId="7">'[1]MA  Standardised units'!$J$12</definedName>
    <definedName name="_cid7">'[1]MA  Standardised units'!$J$12</definedName>
    <definedName name="_cid8" localSheetId="1">'[1]MA  Standardised units'!$J$13</definedName>
    <definedName name="_cid8" localSheetId="3">'[1]MA  Standardised units'!$J$13</definedName>
    <definedName name="_cid8" localSheetId="8">'[1]MA  Standardised units'!$J$13</definedName>
    <definedName name="_cid8" localSheetId="6">'[1]MA  Standardised units'!$J$13</definedName>
    <definedName name="_cid8" localSheetId="4">'[2]MA  Standardised units'!$J$13</definedName>
    <definedName name="_cid8" localSheetId="9">'[1]MA  Standardised units'!$J$13</definedName>
    <definedName name="_cid8" localSheetId="7">'[1]MA  Standardised units'!$J$13</definedName>
    <definedName name="_cid8">'[1]MA  Standardised units'!$J$13</definedName>
    <definedName name="_cid9" localSheetId="1">'[1]MA  Standardised units'!$J$14</definedName>
    <definedName name="_cid9" localSheetId="3">'[1]MA  Standardised units'!$J$14</definedName>
    <definedName name="_cid9" localSheetId="8">'[1]MA  Standardised units'!$J$14</definedName>
    <definedName name="_cid9" localSheetId="6">'[1]MA  Standardised units'!$J$14</definedName>
    <definedName name="_cid9" localSheetId="4">'[2]MA  Standardised units'!$J$14</definedName>
    <definedName name="_cid9" localSheetId="9">'[1]MA  Standardised units'!$J$14</definedName>
    <definedName name="_cid9" localSheetId="7">'[1]MA  Standardised units'!$J$14</definedName>
    <definedName name="_cid9">'[1]MA  Standardised units'!$J$14</definedName>
    <definedName name="_frr1" localSheetId="4">'[3]Overlap two correlations (n1)'!$O$5</definedName>
    <definedName name="_frr1">'[4]Overlap two correlations (n1)'!$O$5</definedName>
    <definedName name="_frr10" localSheetId="4">'[3]Overlap two correlations (n1)'!$O$14</definedName>
    <definedName name="_frr10">'[4]Overlap two correlations (n1)'!$O$14</definedName>
    <definedName name="_frr11" localSheetId="4">'[3]Overlap two correlations (n1)'!$O$15</definedName>
    <definedName name="_frr11">'[4]Overlap two correlations (n1)'!$O$15</definedName>
    <definedName name="_frr12" localSheetId="4">'[3]Overlap two correlations (n1)'!$O$16</definedName>
    <definedName name="_frr12">'[4]Overlap two correlations (n1)'!$O$16</definedName>
    <definedName name="_frr13" localSheetId="4">'[3]Overlap two correlations (n1)'!$O$17</definedName>
    <definedName name="_frr13">'[4]Overlap two correlations (n1)'!$O$17</definedName>
    <definedName name="_frr14" localSheetId="4">'[3]Overlap two correlations (n1)'!$O$18</definedName>
    <definedName name="_frr14">'[4]Overlap two correlations (n1)'!$O$18</definedName>
    <definedName name="_frr15" localSheetId="4">'[3]Overlap two correlations (n1)'!$O$19</definedName>
    <definedName name="_frr15">'[4]Overlap two correlations (n1)'!$O$19</definedName>
    <definedName name="_frr16" localSheetId="4">'[3]Overlap two correlations (n1)'!$O$20</definedName>
    <definedName name="_frr16">'[4]Overlap two correlations (n1)'!$O$20</definedName>
    <definedName name="_frr17" localSheetId="4">'[3]Overlap two correlations (n1)'!$O$21</definedName>
    <definedName name="_frr17">'[4]Overlap two correlations (n1)'!$O$21</definedName>
    <definedName name="_frr18" localSheetId="4">'[3]Overlap two correlations (n1)'!$O$22</definedName>
    <definedName name="_frr18">'[4]Overlap two correlations (n1)'!$O$22</definedName>
    <definedName name="_frr19" localSheetId="4">'[3]Overlap two correlations (n1)'!$O$23</definedName>
    <definedName name="_frr19">'[4]Overlap two correlations (n1)'!$O$23</definedName>
    <definedName name="_frr2" localSheetId="4">'[3]Overlap two correlations (n1)'!$O$6</definedName>
    <definedName name="_frr2">'[4]Overlap two correlations (n1)'!$O$6</definedName>
    <definedName name="_frr20" localSheetId="4">'[3]Overlap two correlations (n1)'!$O$24</definedName>
    <definedName name="_frr20">'[4]Overlap two correlations (n1)'!$O$24</definedName>
    <definedName name="_frr21" localSheetId="4">'[3]Overlap two correlations (n1)'!$O$25</definedName>
    <definedName name="_frr21">'[4]Overlap two correlations (n1)'!$O$25</definedName>
    <definedName name="_frr22" localSheetId="4">'[3]Overlap two correlations (n1)'!$O$26</definedName>
    <definedName name="_frr22">'[4]Overlap two correlations (n1)'!$O$26</definedName>
    <definedName name="_frr23" localSheetId="4">'[3]Overlap two correlations (n1)'!$O$27</definedName>
    <definedName name="_frr23">'[4]Overlap two correlations (n1)'!$O$27</definedName>
    <definedName name="_frr24" localSheetId="4">'[3]Overlap two correlations (n1)'!$O$28</definedName>
    <definedName name="_frr24">'[4]Overlap two correlations (n1)'!$O$28</definedName>
    <definedName name="_frr25" localSheetId="4">'[3]Overlap two correlations (n1)'!$O$29</definedName>
    <definedName name="_frr25">'[4]Overlap two correlations (n1)'!$O$29</definedName>
    <definedName name="_frr26" localSheetId="4">'[3]Overlap two correlations (n1)'!$O$30</definedName>
    <definedName name="_frr26">'[4]Overlap two correlations (n1)'!$O$30</definedName>
    <definedName name="_frr27" localSheetId="4">'[3]Overlap two correlations (n1)'!$O$31</definedName>
    <definedName name="_frr27">'[4]Overlap two correlations (n1)'!$O$31</definedName>
    <definedName name="_frr28" localSheetId="4">'[3]Overlap two correlations (n1)'!$O$32</definedName>
    <definedName name="_frr28">'[4]Overlap two correlations (n1)'!$O$32</definedName>
    <definedName name="_frr29" localSheetId="4">'[3]Overlap two correlations (n1)'!$O$33</definedName>
    <definedName name="_frr29">'[4]Overlap two correlations (n1)'!$O$33</definedName>
    <definedName name="_frr3" localSheetId="4">'[3]Overlap two correlations (n1)'!$O$7</definedName>
    <definedName name="_frr3">'[4]Overlap two correlations (n1)'!$O$7</definedName>
    <definedName name="_frr30" localSheetId="4">'[3]Overlap two correlations (n1)'!$O$34</definedName>
    <definedName name="_frr30">'[4]Overlap two correlations (n1)'!$O$34</definedName>
    <definedName name="_frr31" localSheetId="4">'[3]Overlap two correlations (n1)'!$O$35</definedName>
    <definedName name="_frr31">'[4]Overlap two correlations (n1)'!$O$35</definedName>
    <definedName name="_frr32" localSheetId="4">'[3]Overlap two correlations (n1)'!$O$36</definedName>
    <definedName name="_frr32">'[4]Overlap two correlations (n1)'!$O$36</definedName>
    <definedName name="_frr33" localSheetId="4">'[3]Overlap two correlations (n1)'!$O$37</definedName>
    <definedName name="_frr33">'[4]Overlap two correlations (n1)'!$O$37</definedName>
    <definedName name="_frr34" localSheetId="4">'[3]Overlap two correlations (n1)'!$O$38</definedName>
    <definedName name="_frr34">'[4]Overlap two correlations (n1)'!$O$38</definedName>
    <definedName name="_frr35" localSheetId="4">'[3]Overlap two correlations (n1)'!$O$39</definedName>
    <definedName name="_frr35">'[4]Overlap two correlations (n1)'!$O$39</definedName>
    <definedName name="_frr36" localSheetId="4">'[3]Overlap two correlations (n1)'!$O$40</definedName>
    <definedName name="_frr36">'[4]Overlap two correlations (n1)'!$O$40</definedName>
    <definedName name="_frr37" localSheetId="4">'[3]Overlap two correlations (n1)'!$O$41</definedName>
    <definedName name="_frr37">'[4]Overlap two correlations (n1)'!$O$41</definedName>
    <definedName name="_frr38" localSheetId="4">'[3]Overlap two correlations (n1)'!$O$42</definedName>
    <definedName name="_frr38">'[4]Overlap two correlations (n1)'!$O$42</definedName>
    <definedName name="_frr39" localSheetId="4">'[3]Overlap two correlations (n1)'!$O$43</definedName>
    <definedName name="_frr39">'[4]Overlap two correlations (n1)'!$O$43</definedName>
    <definedName name="_frr4" localSheetId="4">'[3]Overlap two correlations (n1)'!$O$8</definedName>
    <definedName name="_frr4">'[4]Overlap two correlations (n1)'!$O$8</definedName>
    <definedName name="_frr40" localSheetId="4">'[3]Overlap two correlations (n1)'!$O$44</definedName>
    <definedName name="_frr40">'[4]Overlap two correlations (n1)'!$O$44</definedName>
    <definedName name="_frr41" localSheetId="4">'[3]Overlap two correlations (n1)'!$O$45</definedName>
    <definedName name="_frr41">'[4]Overlap two correlations (n1)'!$O$45</definedName>
    <definedName name="_frr42" localSheetId="4">'[3]Overlap two correlations (n1)'!$O$46</definedName>
    <definedName name="_frr42">'[4]Overlap two correlations (n1)'!$O$46</definedName>
    <definedName name="_frr43" localSheetId="4">'[3]Overlap two correlations (n1)'!$O$47</definedName>
    <definedName name="_frr43">'[4]Overlap two correlations (n1)'!$O$47</definedName>
    <definedName name="_frr44" localSheetId="4">'[3]Overlap two correlations (n1)'!$O$48</definedName>
    <definedName name="_frr44">'[4]Overlap two correlations (n1)'!$O$48</definedName>
    <definedName name="_frr45" localSheetId="4">'[3]Overlap two correlations (n1)'!$O$49</definedName>
    <definedName name="_frr45">'[4]Overlap two correlations (n1)'!$O$49</definedName>
    <definedName name="_frr46" localSheetId="4">'[3]Overlap two correlations (n1)'!$O$50</definedName>
    <definedName name="_frr46">'[4]Overlap two correlations (n1)'!$O$50</definedName>
    <definedName name="_frr47" localSheetId="4">'[3]Overlap two correlations (n1)'!$O$51</definedName>
    <definedName name="_frr47">'[4]Overlap two correlations (n1)'!$O$51</definedName>
    <definedName name="_frr48" localSheetId="4">'[3]Overlap two correlations (n1)'!$O$52</definedName>
    <definedName name="_frr48">'[4]Overlap two correlations (n1)'!$O$52</definedName>
    <definedName name="_frr49" localSheetId="4">'[3]Overlap two correlations (n1)'!$O$53</definedName>
    <definedName name="_frr49">'[4]Overlap two correlations (n1)'!$O$53</definedName>
    <definedName name="_frr5" localSheetId="4">'[3]Overlap two correlations (n1)'!$O$9</definedName>
    <definedName name="_frr5">'[4]Overlap two correlations (n1)'!$O$9</definedName>
    <definedName name="_frr50" localSheetId="4">'[3]Overlap two correlations (n1)'!$O$54</definedName>
    <definedName name="_frr50">'[4]Overlap two correlations (n1)'!$O$54</definedName>
    <definedName name="_frr51" localSheetId="4">'[3]Overlap two correlations (n1)'!$O$55</definedName>
    <definedName name="_frr51">'[4]Overlap two correlations (n1)'!$O$55</definedName>
    <definedName name="_frr52" localSheetId="4">'[3]Overlap two correlations (n1)'!$O$56</definedName>
    <definedName name="_frr52">'[4]Overlap two correlations (n1)'!$O$56</definedName>
    <definedName name="_frr53" localSheetId="4">'[3]Overlap two correlations (n1)'!$O$57</definedName>
    <definedName name="_frr53">'[4]Overlap two correlations (n1)'!$O$57</definedName>
    <definedName name="_frr54" localSheetId="4">'[3]Overlap two correlations (n1)'!$O$58</definedName>
    <definedName name="_frr54">'[4]Overlap two correlations (n1)'!$O$58</definedName>
    <definedName name="_frr55" localSheetId="4">'[3]Overlap two correlations (n1)'!$O$59</definedName>
    <definedName name="_frr55">'[4]Overlap two correlations (n1)'!$O$59</definedName>
    <definedName name="_frr56" localSheetId="4">'[3]Overlap two correlations (n1)'!$O$60</definedName>
    <definedName name="_frr56">'[4]Overlap two correlations (n1)'!$O$60</definedName>
    <definedName name="_frr57" localSheetId="4">'[3]Overlap two correlations (n1)'!$O$61</definedName>
    <definedName name="_frr57">'[4]Overlap two correlations (n1)'!$O$61</definedName>
    <definedName name="_frr58" localSheetId="4">'[3]Overlap two correlations (n1)'!$O$62</definedName>
    <definedName name="_frr58">'[4]Overlap two correlations (n1)'!$O$62</definedName>
    <definedName name="_frr59" localSheetId="4">'[3]Overlap two correlations (n1)'!$O$63</definedName>
    <definedName name="_frr59">'[4]Overlap two correlations (n1)'!$O$63</definedName>
    <definedName name="_frr6" localSheetId="4">'[3]Overlap two correlations (n1)'!$O$10</definedName>
    <definedName name="_frr6">'[4]Overlap two correlations (n1)'!$O$10</definedName>
    <definedName name="_frr60" localSheetId="4">'[3]Overlap two correlations (n1)'!$O$64</definedName>
    <definedName name="_frr60">'[4]Overlap two correlations (n1)'!$O$64</definedName>
    <definedName name="_frr7" localSheetId="4">'[3]Overlap two correlations (n1)'!$O$11</definedName>
    <definedName name="_frr7">'[4]Overlap two correlations (n1)'!$O$11</definedName>
    <definedName name="_frr8" localSheetId="4">'[3]Overlap two correlations (n1)'!$O$12</definedName>
    <definedName name="_frr8">'[4]Overlap two correlations (n1)'!$O$12</definedName>
    <definedName name="_frr9" localSheetId="4">'[3]Overlap two correlations (n1)'!$O$13</definedName>
    <definedName name="_frr9">'[4]Overlap two correlations (n1)'!$O$13</definedName>
    <definedName name="_tbz1" localSheetId="4">'[3]Overlap two proportions'!$AI$8</definedName>
    <definedName name="_tbz1">'[4]Overlap two proportions'!$AI$8</definedName>
    <definedName name="_tbz10" localSheetId="4">'[3]Overlap two proportions'!$AI$17</definedName>
    <definedName name="_tbz10">'[4]Overlap two proportions'!$AI$17</definedName>
    <definedName name="_tbz11" localSheetId="4">'[3]Overlap two proportions'!$AI$18</definedName>
    <definedName name="_tbz11">'[4]Overlap two proportions'!$AI$18</definedName>
    <definedName name="_tbz12" localSheetId="4">'[3]Overlap two proportions'!$AI$19</definedName>
    <definedName name="_tbz12">'[4]Overlap two proportions'!$AI$19</definedName>
    <definedName name="_tbz13" localSheetId="4">'[3]Overlap two proportions'!$AI$20</definedName>
    <definedName name="_tbz13">'[4]Overlap two proportions'!$AI$20</definedName>
    <definedName name="_tbz14" localSheetId="4">'[3]Overlap two proportions'!$AI$21</definedName>
    <definedName name="_tbz14">'[4]Overlap two proportions'!$AI$21</definedName>
    <definedName name="_tbz15" localSheetId="4">'[3]Overlap two proportions'!$AI$22</definedName>
    <definedName name="_tbz15">'[4]Overlap two proportions'!$AI$22</definedName>
    <definedName name="_tbz16" localSheetId="4">'[3]Overlap two proportions'!$AI$23</definedName>
    <definedName name="_tbz16">'[4]Overlap two proportions'!$AI$23</definedName>
    <definedName name="_tbz17" localSheetId="4">'[3]Overlap two proportions'!$AI$24</definedName>
    <definedName name="_tbz17">'[4]Overlap two proportions'!$AI$24</definedName>
    <definedName name="_tbz18" localSheetId="4">'[3]Overlap two proportions'!$AI$25</definedName>
    <definedName name="_tbz18">'[4]Overlap two proportions'!$AI$25</definedName>
    <definedName name="_tbz19" localSheetId="4">'[3]Overlap two proportions'!$AI$26</definedName>
    <definedName name="_tbz19">'[4]Overlap two proportions'!$AI$26</definedName>
    <definedName name="_tbz2" localSheetId="4">'[3]Overlap two proportions'!$AI$9</definedName>
    <definedName name="_tbz2">'[4]Overlap two proportions'!$AI$9</definedName>
    <definedName name="_tbz20" localSheetId="4">'[3]Overlap two proportions'!$AI$27</definedName>
    <definedName name="_tbz20">'[4]Overlap two proportions'!$AI$27</definedName>
    <definedName name="_tbz21" localSheetId="4">'[3]Overlap two proportions'!$AI$28</definedName>
    <definedName name="_tbz21">'[4]Overlap two proportions'!$AI$28</definedName>
    <definedName name="_tbz22" localSheetId="4">'[3]Overlap two proportions'!$AI$29</definedName>
    <definedName name="_tbz22">'[4]Overlap two proportions'!$AI$29</definedName>
    <definedName name="_tbz23" localSheetId="4">'[3]Overlap two proportions'!$AI$30</definedName>
    <definedName name="_tbz23">'[4]Overlap two proportions'!$AI$30</definedName>
    <definedName name="_tbz24" localSheetId="4">'[3]Overlap two proportions'!$AI$31</definedName>
    <definedName name="_tbz24">'[4]Overlap two proportions'!$AI$31</definedName>
    <definedName name="_tbz25" localSheetId="4">'[3]Overlap two proportions'!$AI$32</definedName>
    <definedName name="_tbz25">'[4]Overlap two proportions'!$AI$32</definedName>
    <definedName name="_tbz26" localSheetId="4">'[3]Overlap two proportions'!$AI$33</definedName>
    <definedName name="_tbz26">'[4]Overlap two proportions'!$AI$33</definedName>
    <definedName name="_tbz27" localSheetId="4">'[3]Overlap two proportions'!$AI$34</definedName>
    <definedName name="_tbz27">'[4]Overlap two proportions'!$AI$34</definedName>
    <definedName name="_tbz28" localSheetId="4">'[3]Overlap two proportions'!$AI$35</definedName>
    <definedName name="_tbz28">'[4]Overlap two proportions'!$AI$35</definedName>
    <definedName name="_tbz29" localSheetId="4">'[3]Overlap two proportions'!$AI$36</definedName>
    <definedName name="_tbz29">'[4]Overlap two proportions'!$AI$36</definedName>
    <definedName name="_tbz3" localSheetId="4">'[3]Overlap two proportions'!$AI$10</definedName>
    <definedName name="_tbz3">'[4]Overlap two proportions'!$AI$10</definedName>
    <definedName name="_tbz30" localSheetId="4">'[3]Overlap two proportions'!$AI$37</definedName>
    <definedName name="_tbz30">'[4]Overlap two proportions'!$AI$37</definedName>
    <definedName name="_tbz31" localSheetId="4">'[3]Overlap two proportions'!$AI$38</definedName>
    <definedName name="_tbz31">'[4]Overlap two proportions'!$AI$38</definedName>
    <definedName name="_tbz32" localSheetId="4">'[3]Overlap two proportions'!$AI$39</definedName>
    <definedName name="_tbz32">'[4]Overlap two proportions'!$AI$39</definedName>
    <definedName name="_tbz33" localSheetId="4">'[3]Overlap two proportions'!$AI$40</definedName>
    <definedName name="_tbz33">'[4]Overlap two proportions'!$AI$40</definedName>
    <definedName name="_tbz34" localSheetId="4">'[3]Overlap two proportions'!$AI$41</definedName>
    <definedName name="_tbz34">'[4]Overlap two proportions'!$AI$41</definedName>
    <definedName name="_tbz35" localSheetId="4">'[3]Overlap two proportions'!$AI$42</definedName>
    <definedName name="_tbz35">'[4]Overlap two proportions'!$AI$42</definedName>
    <definedName name="_tbz36" localSheetId="4">'[3]Overlap two proportions'!$AI$43</definedName>
    <definedName name="_tbz36">'[4]Overlap two proportions'!$AI$43</definedName>
    <definedName name="_tbz37" localSheetId="4">'[3]Overlap two proportions'!$AI$44</definedName>
    <definedName name="_tbz37">'[4]Overlap two proportions'!$AI$44</definedName>
    <definedName name="_tbz38" localSheetId="4">'[3]Overlap two proportions'!$AI$45</definedName>
    <definedName name="_tbz38">'[4]Overlap two proportions'!$AI$45</definedName>
    <definedName name="_tbz39" localSheetId="4">'[3]Overlap two proportions'!$AI$46</definedName>
    <definedName name="_tbz39">'[4]Overlap two proportions'!$AI$46</definedName>
    <definedName name="_tbz4" localSheetId="4">'[3]Overlap two proportions'!$AI$11</definedName>
    <definedName name="_tbz4">'[4]Overlap two proportions'!$AI$11</definedName>
    <definedName name="_tbz40" localSheetId="4">'[3]Overlap two proportions'!$AI$47</definedName>
    <definedName name="_tbz40">'[4]Overlap two proportions'!$AI$47</definedName>
    <definedName name="_tbz41" localSheetId="4">'[3]Overlap two proportions'!$AI$48</definedName>
    <definedName name="_tbz41">'[4]Overlap two proportions'!$AI$48</definedName>
    <definedName name="_tbz42" localSheetId="4">'[3]Overlap two proportions'!$AI$49</definedName>
    <definedName name="_tbz42">'[4]Overlap two proportions'!$AI$49</definedName>
    <definedName name="_tbz43" localSheetId="4">'[3]Overlap two proportions'!$AI$50</definedName>
    <definedName name="_tbz43">'[4]Overlap two proportions'!$AI$50</definedName>
    <definedName name="_tbz44" localSheetId="4">'[3]Overlap two proportions'!$AI$51</definedName>
    <definedName name="_tbz44">'[4]Overlap two proportions'!$AI$51</definedName>
    <definedName name="_tbz45" localSheetId="4">'[3]Overlap two proportions'!$AI$52</definedName>
    <definedName name="_tbz45">'[4]Overlap two proportions'!$AI$52</definedName>
    <definedName name="_tbz46" localSheetId="4">'[3]Overlap two proportions'!$AI$53</definedName>
    <definedName name="_tbz46">'[4]Overlap two proportions'!$AI$53</definedName>
    <definedName name="_tbz47" localSheetId="4">'[3]Overlap two proportions'!$AI$54</definedName>
    <definedName name="_tbz47">'[4]Overlap two proportions'!$AI$54</definedName>
    <definedName name="_tbz48" localSheetId="4">'[3]Overlap two proportions'!$AI$55</definedName>
    <definedName name="_tbz48">'[4]Overlap two proportions'!$AI$55</definedName>
    <definedName name="_tbz49" localSheetId="4">'[3]Overlap two proportions'!$AI$56</definedName>
    <definedName name="_tbz49">'[4]Overlap two proportions'!$AI$56</definedName>
    <definedName name="_tbz5" localSheetId="4">'[3]Overlap two proportions'!$AI$12</definedName>
    <definedName name="_tbz5">'[4]Overlap two proportions'!$AI$12</definedName>
    <definedName name="_tbz50" localSheetId="4">'[3]Overlap two proportions'!$AI$57</definedName>
    <definedName name="_tbz50">'[4]Overlap two proportions'!$AI$57</definedName>
    <definedName name="_tbz51" localSheetId="4">'[3]Overlap two proportions'!$AI$58</definedName>
    <definedName name="_tbz51">'[4]Overlap two proportions'!$AI$58</definedName>
    <definedName name="_tbz52" localSheetId="4">'[3]Overlap two proportions'!$AI$59</definedName>
    <definedName name="_tbz52">'[4]Overlap two proportions'!$AI$59</definedName>
    <definedName name="_tbz53" localSheetId="4">'[3]Overlap two proportions'!$AI$60</definedName>
    <definedName name="_tbz53">'[4]Overlap two proportions'!$AI$60</definedName>
    <definedName name="_tbz54" localSheetId="4">'[3]Overlap two proportions'!$AI$61</definedName>
    <definedName name="_tbz54">'[4]Overlap two proportions'!$AI$61</definedName>
    <definedName name="_tbz55" localSheetId="4">'[3]Overlap two proportions'!$AI$62</definedName>
    <definedName name="_tbz55">'[4]Overlap two proportions'!$AI$62</definedName>
    <definedName name="_tbz56" localSheetId="4">'[3]Overlap two proportions'!$AI$63</definedName>
    <definedName name="_tbz56">'[4]Overlap two proportions'!$AI$63</definedName>
    <definedName name="_tbz57" localSheetId="4">'[3]Overlap two proportions'!$AI$64</definedName>
    <definedName name="_tbz57">'[4]Overlap two proportions'!$AI$64</definedName>
    <definedName name="_tbz58" localSheetId="4">'[3]Overlap two proportions'!$AI$65</definedName>
    <definedName name="_tbz58">'[4]Overlap two proportions'!$AI$65</definedName>
    <definedName name="_tbz59" localSheetId="4">'[3]Overlap two proportions'!$AI$66</definedName>
    <definedName name="_tbz59">'[4]Overlap two proportions'!$AI$66</definedName>
    <definedName name="_tbz6" localSheetId="4">'[3]Overlap two proportions'!$AI$13</definedName>
    <definedName name="_tbz6">'[4]Overlap two proportions'!$AI$13</definedName>
    <definedName name="_tbz60" localSheetId="4">'[3]Overlap two proportions'!$AI$67</definedName>
    <definedName name="_tbz60">'[4]Overlap two proportions'!$AI$67</definedName>
    <definedName name="_tbz7" localSheetId="4">'[3]Overlap two proportions'!$AI$14</definedName>
    <definedName name="_tbz7">'[4]Overlap two proportions'!$AI$14</definedName>
    <definedName name="_tbz8" localSheetId="4">'[3]Overlap two proportions'!$AI$15</definedName>
    <definedName name="_tbz8">'[4]Overlap two proportions'!$AI$15</definedName>
    <definedName name="_tbz9" localSheetId="4">'[3]Overlap two proportions'!$AI$16</definedName>
    <definedName name="_tbz9">'[4]Overlap two proportions'!$AI$16</definedName>
    <definedName name="ancount">#REF!</definedName>
    <definedName name="barsind" localSheetId="1">#REF!</definedName>
    <definedName name="barsind" localSheetId="3">'Dance p'!#REF!</definedName>
    <definedName name="barsind" localSheetId="4">#REF!</definedName>
    <definedName name="barsind">#REF!</definedName>
    <definedName name="calc20switch" localSheetId="4">'[5]Fig 1'!$M$12</definedName>
    <definedName name="calc20switch">'[6]Fig 1'!$M$12</definedName>
    <definedName name="calcddp">'Data paired'!$C$11</definedName>
    <definedName name="calcddt">'Data two'!$C$11</definedName>
    <definedName name="calcdst">'Simulate two'!$D$16</definedName>
    <definedName name="calcswitch" localSheetId="1">#REF!</definedName>
    <definedName name="calcswitch" localSheetId="3">'Dance p'!$K$14</definedName>
    <definedName name="calcswitch" localSheetId="4">#REF!</definedName>
    <definedName name="calcswitch">#REF!</definedName>
    <definedName name="calcswitch2prop" localSheetId="4">'[3]Two proportions'!$O$4</definedName>
    <definedName name="calcswitch2prop">'[4]Two proportions'!$O$4</definedName>
    <definedName name="calcswitchone">#REF!</definedName>
    <definedName name="calcswitchpair" localSheetId="1">#REF!</definedName>
    <definedName name="calcswitchpair" localSheetId="8">'Data paired'!$V$11</definedName>
    <definedName name="calcswitchpair" localSheetId="4">#REF!</definedName>
    <definedName name="calcswitchpair" localSheetId="9">'Simulate paired'!$D$11</definedName>
    <definedName name="calcswitchpair">#REF!</definedName>
    <definedName name="calcswitchtwo" localSheetId="1">#REF!</definedName>
    <definedName name="calcswitchtwo" localSheetId="4">#REF!</definedName>
    <definedName name="calcswitchtwo" localSheetId="7">'Simulate two'!$B$14</definedName>
    <definedName name="calcswitchtwo">#REF!</definedName>
    <definedName name="calct1" localSheetId="1">'[1]MA  Standardised units'!$X$6</definedName>
    <definedName name="calct1" localSheetId="3">'[1]MA  Standardised units'!$X$6</definedName>
    <definedName name="calct1" localSheetId="8">'[1]MA  Standardised units'!$X$6</definedName>
    <definedName name="calct1" localSheetId="6">'[1]MA  Standardised units'!$X$6</definedName>
    <definedName name="calct1" localSheetId="4">'[2]MA  Standardised units'!$X$6</definedName>
    <definedName name="calct1" localSheetId="9">'[1]MA  Standardised units'!$X$6</definedName>
    <definedName name="calct1" localSheetId="7">'[1]MA  Standardised units'!$X$6</definedName>
    <definedName name="calct1">'[1]MA  Standardised units'!$X$6</definedName>
    <definedName name="calct10" localSheetId="1">'[1]MA  Standardised units'!$X$15</definedName>
    <definedName name="calct10" localSheetId="3">'[1]MA  Standardised units'!$X$15</definedName>
    <definedName name="calct10" localSheetId="8">'[1]MA  Standardised units'!$X$15</definedName>
    <definedName name="calct10" localSheetId="6">'[1]MA  Standardised units'!$X$15</definedName>
    <definedName name="calct10" localSheetId="4">'[2]MA  Standardised units'!$X$15</definedName>
    <definedName name="calct10" localSheetId="9">'[1]MA  Standardised units'!$X$15</definedName>
    <definedName name="calct10" localSheetId="7">'[1]MA  Standardised units'!$X$15</definedName>
    <definedName name="calct10">'[1]MA  Standardised units'!$X$15</definedName>
    <definedName name="calct11" localSheetId="1">'[1]MA  Standardised units'!$X$18</definedName>
    <definedName name="calct11" localSheetId="3">'[1]MA  Standardised units'!$X$18</definedName>
    <definedName name="calct11" localSheetId="8">'[1]MA  Standardised units'!$X$18</definedName>
    <definedName name="calct11" localSheetId="6">'[1]MA  Standardised units'!$X$18</definedName>
    <definedName name="calct11" localSheetId="4">'[2]MA  Standardised units'!$X$18</definedName>
    <definedName name="calct11" localSheetId="9">'[1]MA  Standardised units'!$X$18</definedName>
    <definedName name="calct11" localSheetId="7">'[1]MA  Standardised units'!$X$18</definedName>
    <definedName name="calct11">'[1]MA  Standardised units'!$X$18</definedName>
    <definedName name="calct12" localSheetId="1">'[1]MA  Standardised units'!$X$21</definedName>
    <definedName name="calct12" localSheetId="3">'[1]MA  Standardised units'!$X$21</definedName>
    <definedName name="calct12" localSheetId="8">'[1]MA  Standardised units'!$X$21</definedName>
    <definedName name="calct12" localSheetId="6">'[1]MA  Standardised units'!$X$21</definedName>
    <definedName name="calct12" localSheetId="4">'[2]MA  Standardised units'!$X$21</definedName>
    <definedName name="calct12" localSheetId="9">'[1]MA  Standardised units'!$X$21</definedName>
    <definedName name="calct12" localSheetId="7">'[1]MA  Standardised units'!$X$21</definedName>
    <definedName name="calct12">'[1]MA  Standardised units'!$X$21</definedName>
    <definedName name="calct13" localSheetId="1">'[1]MA  Standardised units'!$X$24</definedName>
    <definedName name="calct13" localSheetId="3">'[1]MA  Standardised units'!$X$24</definedName>
    <definedName name="calct13" localSheetId="8">'[1]MA  Standardised units'!$X$24</definedName>
    <definedName name="calct13" localSheetId="6">'[1]MA  Standardised units'!$X$24</definedName>
    <definedName name="calct13" localSheetId="4">'[2]MA  Standardised units'!$X$24</definedName>
    <definedName name="calct13" localSheetId="9">'[1]MA  Standardised units'!$X$24</definedName>
    <definedName name="calct13" localSheetId="7">'[1]MA  Standardised units'!$X$24</definedName>
    <definedName name="calct13">'[1]MA  Standardised units'!$X$24</definedName>
    <definedName name="calct2" localSheetId="1">'[1]MA  Standardised units'!$X$7</definedName>
    <definedName name="calct2" localSheetId="3">'[1]MA  Standardised units'!$X$7</definedName>
    <definedName name="calct2" localSheetId="8">'[1]MA  Standardised units'!$X$7</definedName>
    <definedName name="calct2" localSheetId="6">'[1]MA  Standardised units'!$X$7</definedName>
    <definedName name="calct2" localSheetId="4">'[2]MA  Standardised units'!$X$7</definedName>
    <definedName name="calct2" localSheetId="9">'[1]MA  Standardised units'!$X$7</definedName>
    <definedName name="calct2" localSheetId="7">'[1]MA  Standardised units'!$X$7</definedName>
    <definedName name="calct2">'[1]MA  Standardised units'!$X$7</definedName>
    <definedName name="calct3" localSheetId="1">'[1]MA  Standardised units'!$X$8</definedName>
    <definedName name="calct3" localSheetId="3">'[1]MA  Standardised units'!$X$8</definedName>
    <definedName name="calct3" localSheetId="8">'[1]MA  Standardised units'!$X$8</definedName>
    <definedName name="calct3" localSheetId="6">'[1]MA  Standardised units'!$X$8</definedName>
    <definedName name="calct3" localSheetId="4">'[2]MA  Standardised units'!$X$8</definedName>
    <definedName name="calct3" localSheetId="9">'[1]MA  Standardised units'!$X$8</definedName>
    <definedName name="calct3" localSheetId="7">'[1]MA  Standardised units'!$X$8</definedName>
    <definedName name="calct3">'[1]MA  Standardised units'!$X$8</definedName>
    <definedName name="calct4" localSheetId="1">'[1]MA  Standardised units'!$X$9</definedName>
    <definedName name="calct4" localSheetId="3">'[1]MA  Standardised units'!$X$9</definedName>
    <definedName name="calct4" localSheetId="8">'[1]MA  Standardised units'!$X$9</definedName>
    <definedName name="calct4" localSheetId="6">'[1]MA  Standardised units'!$X$9</definedName>
    <definedName name="calct4" localSheetId="4">'[2]MA  Standardised units'!$X$9</definedName>
    <definedName name="calct4" localSheetId="9">'[1]MA  Standardised units'!$X$9</definedName>
    <definedName name="calct4" localSheetId="7">'[1]MA  Standardised units'!$X$9</definedName>
    <definedName name="calct4">'[1]MA  Standardised units'!$X$9</definedName>
    <definedName name="calct5" localSheetId="1">'[1]MA  Standardised units'!$X$10</definedName>
    <definedName name="calct5" localSheetId="3">'[1]MA  Standardised units'!$X$10</definedName>
    <definedName name="calct5" localSheetId="8">'[1]MA  Standardised units'!$X$10</definedName>
    <definedName name="calct5" localSheetId="6">'[1]MA  Standardised units'!$X$10</definedName>
    <definedName name="calct5" localSheetId="4">'[2]MA  Standardised units'!$X$10</definedName>
    <definedName name="calct5" localSheetId="9">'[1]MA  Standardised units'!$X$10</definedName>
    <definedName name="calct5" localSheetId="7">'[1]MA  Standardised units'!$X$10</definedName>
    <definedName name="calct5">'[1]MA  Standardised units'!$X$10</definedName>
    <definedName name="calct6" localSheetId="1">'[1]MA  Standardised units'!$X$11</definedName>
    <definedName name="calct6" localSheetId="3">'[1]MA  Standardised units'!$X$11</definedName>
    <definedName name="calct6" localSheetId="8">'[1]MA  Standardised units'!$X$11</definedName>
    <definedName name="calct6" localSheetId="6">'[1]MA  Standardised units'!$X$11</definedName>
    <definedName name="calct6" localSheetId="4">'[2]MA  Standardised units'!$X$11</definedName>
    <definedName name="calct6" localSheetId="9">'[1]MA  Standardised units'!$X$11</definedName>
    <definedName name="calct6" localSheetId="7">'[1]MA  Standardised units'!$X$11</definedName>
    <definedName name="calct6">'[1]MA  Standardised units'!$X$11</definedName>
    <definedName name="calct7" localSheetId="1">'[1]MA  Standardised units'!$X$12</definedName>
    <definedName name="calct7" localSheetId="3">'[1]MA  Standardised units'!$X$12</definedName>
    <definedName name="calct7" localSheetId="8">'[1]MA  Standardised units'!$X$12</definedName>
    <definedName name="calct7" localSheetId="6">'[1]MA  Standardised units'!$X$12</definedName>
    <definedName name="calct7" localSheetId="4">'[2]MA  Standardised units'!$X$12</definedName>
    <definedName name="calct7" localSheetId="9">'[1]MA  Standardised units'!$X$12</definedName>
    <definedName name="calct7" localSheetId="7">'[1]MA  Standardised units'!$X$12</definedName>
    <definedName name="calct7">'[1]MA  Standardised units'!$X$12</definedName>
    <definedName name="calct8" localSheetId="1">'[1]MA  Standardised units'!$X$13</definedName>
    <definedName name="calct8" localSheetId="3">'[1]MA  Standardised units'!$X$13</definedName>
    <definedName name="calct8" localSheetId="8">'[1]MA  Standardised units'!$X$13</definedName>
    <definedName name="calct8" localSheetId="6">'[1]MA  Standardised units'!$X$13</definedName>
    <definedName name="calct8" localSheetId="4">'[2]MA  Standardised units'!$X$13</definedName>
    <definedName name="calct8" localSheetId="9">'[1]MA  Standardised units'!$X$13</definedName>
    <definedName name="calct8" localSheetId="7">'[1]MA  Standardised units'!$X$13</definedName>
    <definedName name="calct8">'[1]MA  Standardised units'!$X$13</definedName>
    <definedName name="calct9" localSheetId="1">'[1]MA  Standardised units'!$X$14</definedName>
    <definedName name="calct9" localSheetId="3">'[1]MA  Standardised units'!$X$14</definedName>
    <definedName name="calct9" localSheetId="8">'[1]MA  Standardised units'!$X$14</definedName>
    <definedName name="calct9" localSheetId="6">'[1]MA  Standardised units'!$X$14</definedName>
    <definedName name="calct9" localSheetId="4">'[2]MA  Standardised units'!$X$14</definedName>
    <definedName name="calct9" localSheetId="9">'[1]MA  Standardised units'!$X$14</definedName>
    <definedName name="calct9" localSheetId="7">'[1]MA  Standardised units'!$X$14</definedName>
    <definedName name="calct9">'[1]MA  Standardised units'!$X$14</definedName>
    <definedName name="caporigget" localSheetId="1">'CIs and replication'!$C$8:$D$507</definedName>
    <definedName name="caporigget" localSheetId="3">'[7]Capture probabilities'!$R$21:$S$520</definedName>
    <definedName name="caporigget" localSheetId="4">'[8]Capture probabilities'!$R$21:$S$520</definedName>
    <definedName name="caporigget">'[7]Capture probabilities'!$R$21:$S$520</definedName>
    <definedName name="caporigput" localSheetId="1">'CIs and replication'!$C$9:$D$508</definedName>
    <definedName name="caporigput" localSheetId="3">'[7]Capture probabilities'!$R$22:$S$521</definedName>
    <definedName name="caporigput" localSheetId="4">'[8]Capture probabilities'!$R$22:$S$521</definedName>
    <definedName name="caporigput">'[7]Capture probabilities'!$R$22:$S$521</definedName>
    <definedName name="cdata1000" localSheetId="4">'[9]Sample r'!$I$15:$K$1014</definedName>
    <definedName name="cdata1000">'[10]Sample r'!$I$15:$K$1014</definedName>
    <definedName name="cdatanew" localSheetId="4">'[9]Sample r'!$I$16:$K$16</definedName>
    <definedName name="cdatanew">'[10]Sample r'!$I$16:$K$16</definedName>
    <definedName name="CElabel" localSheetId="3">'Dance p'!$BR$3</definedName>
    <definedName name="CElabel">#REF!</definedName>
    <definedName name="CforC" localSheetId="4">#REF!</definedName>
    <definedName name="CforC">'[11]Vary C'!$C$20</definedName>
    <definedName name="Cforcalculator" localSheetId="3">#REF!</definedName>
    <definedName name="Cforcalculator" localSheetId="4">#REF!</definedName>
    <definedName name="Cforcalculator">#REF!</definedName>
    <definedName name="Cformula" localSheetId="3">#REF!</definedName>
    <definedName name="Cformula" localSheetId="4">#REF!</definedName>
    <definedName name="Cformula">#REF!</definedName>
    <definedName name="ChooseMod" localSheetId="4">'[3]Two proportions'!$R$14</definedName>
    <definedName name="ChooseMod">'[4]Two proportions'!$R$14</definedName>
    <definedName name="CI1L" localSheetId="3">#REF!</definedName>
    <definedName name="CI1L">'[6]p value function'!$M$4</definedName>
    <definedName name="CI1R" localSheetId="3">#REF!</definedName>
    <definedName name="CI1R">'[6]p value function'!$M$5</definedName>
    <definedName name="CI2s" localSheetId="3">#REF!</definedName>
    <definedName name="CI2s" localSheetId="4">Random!#REF!</definedName>
    <definedName name="CI2s">'[6]p value function'!$M$3</definedName>
    <definedName name="cid" localSheetId="1">'[1]MA  Standardised units'!$Z$4:$AA$4</definedName>
    <definedName name="cid" localSheetId="3">'[1]MA  Standardised units'!$Z$4:$AA$4</definedName>
    <definedName name="cid" localSheetId="8">'[1]MA  Standardised units'!$Z$4:$AA$4</definedName>
    <definedName name="cid" localSheetId="6">'[1]MA  Standardised units'!$Z$4:$AA$4</definedName>
    <definedName name="cid" localSheetId="4">'[2]MA  Standardised units'!$Z$4:$AA$4</definedName>
    <definedName name="cid" localSheetId="9">'[1]MA  Standardised units'!$Z$4:$AA$4</definedName>
    <definedName name="cid" localSheetId="7">'[1]MA  Standardised units'!$Z$4:$AA$4</definedName>
    <definedName name="cid">'[1]MA  Standardised units'!$Z$4:$AA$4</definedName>
    <definedName name="cidpl">'Data paired'!$B$17</definedName>
    <definedName name="cidptbzl">'Data paired'!$B$15</definedName>
    <definedName name="cidptbzu">'Data paired'!$C$15</definedName>
    <definedName name="cidpu">'Data paired'!$C$17</definedName>
    <definedName name="cidtl">'Data two'!$B$16</definedName>
    <definedName name="cidttbzl">'Data two'!$B$14</definedName>
    <definedName name="cidttbzu">'Data two'!$C$14</definedName>
    <definedName name="cidtu">'Data two'!$C$16</definedName>
    <definedName name="cijgrab" localSheetId="1">#REF!</definedName>
    <definedName name="cijgrab" localSheetId="3">#REF!</definedName>
    <definedName name="cijgrab" localSheetId="4">#REF!</definedName>
    <definedName name="cijgrab">#REF!</definedName>
    <definedName name="cijput" localSheetId="1">#REF!</definedName>
    <definedName name="cijput" localSheetId="3">#REF!</definedName>
    <definedName name="cijput" localSheetId="4">#REF!</definedName>
    <definedName name="cijput">#REF!</definedName>
    <definedName name="cilh1" localSheetId="1">'[1]MA  Standardised units'!$Z$6</definedName>
    <definedName name="cilh1" localSheetId="3">'[1]MA  Standardised units'!$Z$6</definedName>
    <definedName name="cilh1" localSheetId="8">'[1]MA  Standardised units'!$Z$6</definedName>
    <definedName name="cilh1" localSheetId="6">'[1]MA  Standardised units'!$Z$6</definedName>
    <definedName name="cilh1" localSheetId="4">'[2]MA  Standardised units'!$Z$6</definedName>
    <definedName name="cilh1" localSheetId="9">'[1]MA  Standardised units'!$Z$6</definedName>
    <definedName name="cilh1" localSheetId="7">'[1]MA  Standardised units'!$Z$6</definedName>
    <definedName name="cilh1">'[1]MA  Standardised units'!$Z$6</definedName>
    <definedName name="cilh10" localSheetId="1">'[1]MA  Standardised units'!$Z$15</definedName>
    <definedName name="cilh10" localSheetId="3">'[1]MA  Standardised units'!$Z$15</definedName>
    <definedName name="cilh10" localSheetId="8">'[1]MA  Standardised units'!$Z$15</definedName>
    <definedName name="cilh10" localSheetId="6">'[1]MA  Standardised units'!$Z$15</definedName>
    <definedName name="cilh10" localSheetId="4">'[2]MA  Standardised units'!$Z$15</definedName>
    <definedName name="cilh10" localSheetId="9">'[1]MA  Standardised units'!$Z$15</definedName>
    <definedName name="cilh10" localSheetId="7">'[1]MA  Standardised units'!$Z$15</definedName>
    <definedName name="cilh10">'[1]MA  Standardised units'!$Z$15</definedName>
    <definedName name="cilh11" localSheetId="1">'[1]MA  Standardised units'!$Z$18</definedName>
    <definedName name="cilh11" localSheetId="3">'[1]MA  Standardised units'!$Z$18</definedName>
    <definedName name="cilh11" localSheetId="8">'[1]MA  Standardised units'!$Z$18</definedName>
    <definedName name="cilh11" localSheetId="6">'[1]MA  Standardised units'!$Z$18</definedName>
    <definedName name="cilh11" localSheetId="4">'[2]MA  Standardised units'!$Z$18</definedName>
    <definedName name="cilh11" localSheetId="9">'[1]MA  Standardised units'!$Z$18</definedName>
    <definedName name="cilh11" localSheetId="7">'[1]MA  Standardised units'!$Z$18</definedName>
    <definedName name="cilh11">'[1]MA  Standardised units'!$Z$18</definedName>
    <definedName name="cilh12" localSheetId="1">'[1]MA  Standardised units'!$Z$21</definedName>
    <definedName name="cilh12" localSheetId="3">'[1]MA  Standardised units'!$Z$21</definedName>
    <definedName name="cilh12" localSheetId="8">'[1]MA  Standardised units'!$Z$21</definedName>
    <definedName name="cilh12" localSheetId="6">'[1]MA  Standardised units'!$Z$21</definedName>
    <definedName name="cilh12" localSheetId="4">'[2]MA  Standardised units'!$Z$21</definedName>
    <definedName name="cilh12" localSheetId="9">'[1]MA  Standardised units'!$Z$21</definedName>
    <definedName name="cilh12" localSheetId="7">'[1]MA  Standardised units'!$Z$21</definedName>
    <definedName name="cilh12">'[1]MA  Standardised units'!$Z$21</definedName>
    <definedName name="cilh13" localSheetId="1">'[1]MA  Standardised units'!$Z$24</definedName>
    <definedName name="cilh13" localSheetId="3">'[1]MA  Standardised units'!$Z$24</definedName>
    <definedName name="cilh13" localSheetId="8">'[1]MA  Standardised units'!$Z$24</definedName>
    <definedName name="cilh13" localSheetId="6">'[1]MA  Standardised units'!$Z$24</definedName>
    <definedName name="cilh13" localSheetId="4">'[2]MA  Standardised units'!$Z$24</definedName>
    <definedName name="cilh13" localSheetId="9">'[1]MA  Standardised units'!$Z$24</definedName>
    <definedName name="cilh13" localSheetId="7">'[1]MA  Standardised units'!$Z$24</definedName>
    <definedName name="cilh13">'[1]MA  Standardised units'!$Z$24</definedName>
    <definedName name="cilh2" localSheetId="1">'[1]MA  Standardised units'!$Z$7</definedName>
    <definedName name="cilh2" localSheetId="3">'[1]MA  Standardised units'!$Z$7</definedName>
    <definedName name="cilh2" localSheetId="8">'[1]MA  Standardised units'!$Z$7</definedName>
    <definedName name="cilh2" localSheetId="6">'[1]MA  Standardised units'!$Z$7</definedName>
    <definedName name="cilh2" localSheetId="4">'[2]MA  Standardised units'!$Z$7</definedName>
    <definedName name="cilh2" localSheetId="9">'[1]MA  Standardised units'!$Z$7</definedName>
    <definedName name="cilh2" localSheetId="7">'[1]MA  Standardised units'!$Z$7</definedName>
    <definedName name="cilh2">'[1]MA  Standardised units'!$Z$7</definedName>
    <definedName name="cilh3" localSheetId="1">'[1]MA  Standardised units'!$Z$8</definedName>
    <definedName name="cilh3" localSheetId="3">'[1]MA  Standardised units'!$Z$8</definedName>
    <definedName name="cilh3" localSheetId="8">'[1]MA  Standardised units'!$Z$8</definedName>
    <definedName name="cilh3" localSheetId="6">'[1]MA  Standardised units'!$Z$8</definedName>
    <definedName name="cilh3" localSheetId="4">'[2]MA  Standardised units'!$Z$8</definedName>
    <definedName name="cilh3" localSheetId="9">'[1]MA  Standardised units'!$Z$8</definedName>
    <definedName name="cilh3" localSheetId="7">'[1]MA  Standardised units'!$Z$8</definedName>
    <definedName name="cilh3">'[1]MA  Standardised units'!$Z$8</definedName>
    <definedName name="cilh4" localSheetId="1">'[1]MA  Standardised units'!$Z$9</definedName>
    <definedName name="cilh4" localSheetId="3">'[1]MA  Standardised units'!$Z$9</definedName>
    <definedName name="cilh4" localSheetId="8">'[1]MA  Standardised units'!$Z$9</definedName>
    <definedName name="cilh4" localSheetId="6">'[1]MA  Standardised units'!$Z$9</definedName>
    <definedName name="cilh4" localSheetId="4">'[2]MA  Standardised units'!$Z$9</definedName>
    <definedName name="cilh4" localSheetId="9">'[1]MA  Standardised units'!$Z$9</definedName>
    <definedName name="cilh4" localSheetId="7">'[1]MA  Standardised units'!$Z$9</definedName>
    <definedName name="cilh4">'[1]MA  Standardised units'!$Z$9</definedName>
    <definedName name="cilh5" localSheetId="1">'[1]MA  Standardised units'!$Z$10</definedName>
    <definedName name="cilh5" localSheetId="3">'[1]MA  Standardised units'!$Z$10</definedName>
    <definedName name="cilh5" localSheetId="8">'[1]MA  Standardised units'!$Z$10</definedName>
    <definedName name="cilh5" localSheetId="6">'[1]MA  Standardised units'!$Z$10</definedName>
    <definedName name="cilh5" localSheetId="4">'[2]MA  Standardised units'!$Z$10</definedName>
    <definedName name="cilh5" localSheetId="9">'[1]MA  Standardised units'!$Z$10</definedName>
    <definedName name="cilh5" localSheetId="7">'[1]MA  Standardised units'!$Z$10</definedName>
    <definedName name="cilh5">'[1]MA  Standardised units'!$Z$10</definedName>
    <definedName name="cilh6" localSheetId="1">'[1]MA  Standardised units'!$Z$11</definedName>
    <definedName name="cilh6" localSheetId="3">'[1]MA  Standardised units'!$Z$11</definedName>
    <definedName name="cilh6" localSheetId="8">'[1]MA  Standardised units'!$Z$11</definedName>
    <definedName name="cilh6" localSheetId="6">'[1]MA  Standardised units'!$Z$11</definedName>
    <definedName name="cilh6" localSheetId="4">'[2]MA  Standardised units'!$Z$11</definedName>
    <definedName name="cilh6" localSheetId="9">'[1]MA  Standardised units'!$Z$11</definedName>
    <definedName name="cilh6" localSheetId="7">'[1]MA  Standardised units'!$Z$11</definedName>
    <definedName name="cilh6">'[1]MA  Standardised units'!$Z$11</definedName>
    <definedName name="cilh7" localSheetId="1">'[1]MA  Standardised units'!$Z$12</definedName>
    <definedName name="cilh7" localSheetId="3">'[1]MA  Standardised units'!$Z$12</definedName>
    <definedName name="cilh7" localSheetId="8">'[1]MA  Standardised units'!$Z$12</definedName>
    <definedName name="cilh7" localSheetId="6">'[1]MA  Standardised units'!$Z$12</definedName>
    <definedName name="cilh7" localSheetId="4">'[2]MA  Standardised units'!$Z$12</definedName>
    <definedName name="cilh7" localSheetId="9">'[1]MA  Standardised units'!$Z$12</definedName>
    <definedName name="cilh7" localSheetId="7">'[1]MA  Standardised units'!$Z$12</definedName>
    <definedName name="cilh7">'[1]MA  Standardised units'!$Z$12</definedName>
    <definedName name="cilh8" localSheetId="1">'[1]MA  Standardised units'!$Z$13</definedName>
    <definedName name="cilh8" localSheetId="3">'[1]MA  Standardised units'!$Z$13</definedName>
    <definedName name="cilh8" localSheetId="8">'[1]MA  Standardised units'!$Z$13</definedName>
    <definedName name="cilh8" localSheetId="6">'[1]MA  Standardised units'!$Z$13</definedName>
    <definedName name="cilh8" localSheetId="4">'[2]MA  Standardised units'!$Z$13</definedName>
    <definedName name="cilh8" localSheetId="9">'[1]MA  Standardised units'!$Z$13</definedName>
    <definedName name="cilh8" localSheetId="7">'[1]MA  Standardised units'!$Z$13</definedName>
    <definedName name="cilh8">'[1]MA  Standardised units'!$Z$13</definedName>
    <definedName name="cilh9" localSheetId="1">'[1]MA  Standardised units'!$Z$14</definedName>
    <definedName name="cilh9" localSheetId="3">'[1]MA  Standardised units'!$Z$14</definedName>
    <definedName name="cilh9" localSheetId="8">'[1]MA  Standardised units'!$Z$14</definedName>
    <definedName name="cilh9" localSheetId="6">'[1]MA  Standardised units'!$Z$14</definedName>
    <definedName name="cilh9" localSheetId="4">'[2]MA  Standardised units'!$Z$14</definedName>
    <definedName name="cilh9" localSheetId="9">'[1]MA  Standardised units'!$Z$14</definedName>
    <definedName name="cilh9" localSheetId="7">'[1]MA  Standardised units'!$Z$14</definedName>
    <definedName name="cilh9">'[1]MA  Standardised units'!$Z$14</definedName>
    <definedName name="cispl">'Simulate paired'!$C$19</definedName>
    <definedName name="cisptbzl">'Simulate paired'!$C$17</definedName>
    <definedName name="cisptbzu">'Simulate paired'!$D$17</definedName>
    <definedName name="cispu">'Simulate paired'!$D$19</definedName>
    <definedName name="cistl">'Simulate two'!$C$21</definedName>
    <definedName name="cisttbzl">'Simulate two'!$C$19</definedName>
    <definedName name="cisttbzu">'Simulate two'!$D$19</definedName>
    <definedName name="cistu">'Simulate two'!$D$21</definedName>
    <definedName name="cldata1000" localSheetId="4">'[9]Sample r'!$I$16:$K$1015</definedName>
    <definedName name="cldata1000">'[10]Sample r'!$I$16:$K$1015</definedName>
    <definedName name="clear20" localSheetId="4">'[5]Fig 1'!$M$11</definedName>
    <definedName name="clear20">'[6]Fig 1'!$M$11</definedName>
    <definedName name="cleardisp" localSheetId="1">#REF!</definedName>
    <definedName name="cleardisp" localSheetId="3">'Dance p'!$BR$6</definedName>
    <definedName name="cleardisp" localSheetId="4">#REF!</definedName>
    <definedName name="cleardisp">#REF!</definedName>
    <definedName name="cleardisp1">#REF!</definedName>
    <definedName name="conf" localSheetId="1">'[1]MA  Standardised units'!$K$2</definedName>
    <definedName name="conf" localSheetId="3">'[1]MA  Standardised units'!$K$2</definedName>
    <definedName name="conf" localSheetId="8">'[1]MA  Standardised units'!$K$2</definedName>
    <definedName name="conf" localSheetId="6">'[1]MA  Standardised units'!$K$2</definedName>
    <definedName name="conf" localSheetId="4">'[2]MA  Standardised units'!$K$2</definedName>
    <definedName name="conf" localSheetId="9">'[1]MA  Standardised units'!$K$2</definedName>
    <definedName name="conf" localSheetId="7">'[1]MA  Standardised units'!$K$2</definedName>
    <definedName name="conf">'[1]MA  Standardised units'!$K$2</definedName>
    <definedName name="conf1" localSheetId="1">'[1]MA  Standardised units'!$AD$6</definedName>
    <definedName name="conf1" localSheetId="3">'[1]MA  Standardised units'!$AD$6</definedName>
    <definedName name="conf1" localSheetId="8">'[1]MA  Standardised units'!$AD$6</definedName>
    <definedName name="conf1" localSheetId="6">'[1]MA  Standardised units'!$AD$6</definedName>
    <definedName name="conf1" localSheetId="4">'[2]MA  Standardised units'!$AD$6</definedName>
    <definedName name="conf1" localSheetId="9">'[1]MA  Standardised units'!$AD$6</definedName>
    <definedName name="conf1" localSheetId="7">'[1]MA  Standardised units'!$AD$6</definedName>
    <definedName name="conf1">'[1]MA  Standardised units'!$AD$6</definedName>
    <definedName name="conf10" localSheetId="1">'[1]MA  Standardised units'!$AD$15</definedName>
    <definedName name="conf10" localSheetId="3">'[1]MA  Standardised units'!$AD$15</definedName>
    <definedName name="conf10" localSheetId="8">'[1]MA  Standardised units'!$AD$15</definedName>
    <definedName name="conf10" localSheetId="6">'[1]MA  Standardised units'!$AD$15</definedName>
    <definedName name="conf10" localSheetId="4">'[2]MA  Standardised units'!$AD$15</definedName>
    <definedName name="conf10" localSheetId="9">'[1]MA  Standardised units'!$AD$15</definedName>
    <definedName name="conf10" localSheetId="7">'[1]MA  Standardised units'!$AD$15</definedName>
    <definedName name="conf10">'[1]MA  Standardised units'!$AD$15</definedName>
    <definedName name="conf11" localSheetId="1">'[1]MA  Standardised units'!$AD$18</definedName>
    <definedName name="conf11" localSheetId="3">'[1]MA  Standardised units'!$AD$18</definedName>
    <definedName name="conf11" localSheetId="8">'[1]MA  Standardised units'!$AD$18</definedName>
    <definedName name="conf11" localSheetId="6">'[1]MA  Standardised units'!$AD$18</definedName>
    <definedName name="conf11" localSheetId="4">'[2]MA  Standardised units'!$AD$18</definedName>
    <definedName name="conf11" localSheetId="9">'[1]MA  Standardised units'!$AD$18</definedName>
    <definedName name="conf11" localSheetId="7">'[1]MA  Standardised units'!$AD$18</definedName>
    <definedName name="conf11">'[1]MA  Standardised units'!$AD$18</definedName>
    <definedName name="conf12" localSheetId="1">'[1]MA  Standardised units'!$AD$21</definedName>
    <definedName name="conf12" localSheetId="3">'[1]MA  Standardised units'!$AD$21</definedName>
    <definedName name="conf12" localSheetId="8">'[1]MA  Standardised units'!$AD$21</definedName>
    <definedName name="conf12" localSheetId="6">'[1]MA  Standardised units'!$AD$21</definedName>
    <definedName name="conf12" localSheetId="4">'[2]MA  Standardised units'!$AD$21</definedName>
    <definedName name="conf12" localSheetId="9">'[1]MA  Standardised units'!$AD$21</definedName>
    <definedName name="conf12" localSheetId="7">'[1]MA  Standardised units'!$AD$21</definedName>
    <definedName name="conf12">'[1]MA  Standardised units'!$AD$21</definedName>
    <definedName name="conf13" localSheetId="1">'[1]MA  Standardised units'!$AD$24</definedName>
    <definedName name="conf13" localSheetId="3">'[1]MA  Standardised units'!$AD$24</definedName>
    <definedName name="conf13" localSheetId="8">'[1]MA  Standardised units'!$AD$24</definedName>
    <definedName name="conf13" localSheetId="6">'[1]MA  Standardised units'!$AD$24</definedName>
    <definedName name="conf13" localSheetId="4">'[2]MA  Standardised units'!$AD$24</definedName>
    <definedName name="conf13" localSheetId="9">'[1]MA  Standardised units'!$AD$24</definedName>
    <definedName name="conf13" localSheetId="7">'[1]MA  Standardised units'!$AD$24</definedName>
    <definedName name="conf13">'[1]MA  Standardised units'!$AD$24</definedName>
    <definedName name="conf2" localSheetId="1">'[1]MA  Standardised units'!$AD$7</definedName>
    <definedName name="conf2" localSheetId="3">'[1]MA  Standardised units'!$AD$7</definedName>
    <definedName name="conf2" localSheetId="8">'[1]MA  Standardised units'!$AD$7</definedName>
    <definedName name="conf2" localSheetId="6">'[1]MA  Standardised units'!$AD$7</definedName>
    <definedName name="conf2" localSheetId="4">'[2]MA  Standardised units'!$AD$7</definedName>
    <definedName name="conf2" localSheetId="9">'[1]MA  Standardised units'!$AD$7</definedName>
    <definedName name="conf2" localSheetId="7">'[1]MA  Standardised units'!$AD$7</definedName>
    <definedName name="conf2">'[1]MA  Standardised units'!$AD$7</definedName>
    <definedName name="conf3" localSheetId="1">'[1]MA  Standardised units'!$AD$8</definedName>
    <definedName name="conf3" localSheetId="3">'[1]MA  Standardised units'!$AD$8</definedName>
    <definedName name="conf3" localSheetId="8">'[1]MA  Standardised units'!$AD$8</definedName>
    <definedName name="conf3" localSheetId="6">'[1]MA  Standardised units'!$AD$8</definedName>
    <definedName name="conf3" localSheetId="4">'[2]MA  Standardised units'!$AD$8</definedName>
    <definedName name="conf3" localSheetId="9">'[1]MA  Standardised units'!$AD$8</definedName>
    <definedName name="conf3" localSheetId="7">'[1]MA  Standardised units'!$AD$8</definedName>
    <definedName name="conf3">'[1]MA  Standardised units'!$AD$8</definedName>
    <definedName name="conf4" localSheetId="1">'[1]MA  Standardised units'!$AD$9</definedName>
    <definedName name="conf4" localSheetId="3">'[1]MA  Standardised units'!$AD$9</definedName>
    <definedName name="conf4" localSheetId="8">'[1]MA  Standardised units'!$AD$9</definedName>
    <definedName name="conf4" localSheetId="6">'[1]MA  Standardised units'!$AD$9</definedName>
    <definedName name="conf4" localSheetId="4">'[2]MA  Standardised units'!$AD$9</definedName>
    <definedName name="conf4" localSheetId="9">'[1]MA  Standardised units'!$AD$9</definedName>
    <definedName name="conf4" localSheetId="7">'[1]MA  Standardised units'!$AD$9</definedName>
    <definedName name="conf4">'[1]MA  Standardised units'!$AD$9</definedName>
    <definedName name="conf5" localSheetId="1">'[1]MA  Standardised units'!$AD$10</definedName>
    <definedName name="conf5" localSheetId="3">'[1]MA  Standardised units'!$AD$10</definedName>
    <definedName name="conf5" localSheetId="8">'[1]MA  Standardised units'!$AD$10</definedName>
    <definedName name="conf5" localSheetId="6">'[1]MA  Standardised units'!$AD$10</definedName>
    <definedName name="conf5" localSheetId="4">'[2]MA  Standardised units'!$AD$10</definedName>
    <definedName name="conf5" localSheetId="9">'[1]MA  Standardised units'!$AD$10</definedName>
    <definedName name="conf5" localSheetId="7">'[1]MA  Standardised units'!$AD$10</definedName>
    <definedName name="conf5">'[1]MA  Standardised units'!$AD$10</definedName>
    <definedName name="conf6" localSheetId="1">'[1]MA  Standardised units'!$AD$11</definedName>
    <definedName name="conf6" localSheetId="3">'[1]MA  Standardised units'!$AD$11</definedName>
    <definedName name="conf6" localSheetId="8">'[1]MA  Standardised units'!$AD$11</definedName>
    <definedName name="conf6" localSheetId="6">'[1]MA  Standardised units'!$AD$11</definedName>
    <definedName name="conf6" localSheetId="4">'[2]MA  Standardised units'!$AD$11</definedName>
    <definedName name="conf6" localSheetId="9">'[1]MA  Standardised units'!$AD$11</definedName>
    <definedName name="conf6" localSheetId="7">'[1]MA  Standardised units'!$AD$11</definedName>
    <definedName name="conf6">'[1]MA  Standardised units'!$AD$11</definedName>
    <definedName name="conf7" localSheetId="1">'[1]MA  Standardised units'!$AD$12</definedName>
    <definedName name="conf7" localSheetId="3">'[1]MA  Standardised units'!$AD$12</definedName>
    <definedName name="conf7" localSheetId="8">'[1]MA  Standardised units'!$AD$12</definedName>
    <definedName name="conf7" localSheetId="6">'[1]MA  Standardised units'!$AD$12</definedName>
    <definedName name="conf7" localSheetId="4">'[2]MA  Standardised units'!$AD$12</definedName>
    <definedName name="conf7" localSheetId="9">'[1]MA  Standardised units'!$AD$12</definedName>
    <definedName name="conf7" localSheetId="7">'[1]MA  Standardised units'!$AD$12</definedName>
    <definedName name="conf7">'[1]MA  Standardised units'!$AD$12</definedName>
    <definedName name="conf8" localSheetId="1">'[1]MA  Standardised units'!$AD$13</definedName>
    <definedName name="conf8" localSheetId="3">'[1]MA  Standardised units'!$AD$13</definedName>
    <definedName name="conf8" localSheetId="8">'[1]MA  Standardised units'!$AD$13</definedName>
    <definedName name="conf8" localSheetId="6">'[1]MA  Standardised units'!$AD$13</definedName>
    <definedName name="conf8" localSheetId="4">'[2]MA  Standardised units'!$AD$13</definedName>
    <definedName name="conf8" localSheetId="9">'[1]MA  Standardised units'!$AD$13</definedName>
    <definedName name="conf8" localSheetId="7">'[1]MA  Standardised units'!$AD$13</definedName>
    <definedName name="conf8">'[1]MA  Standardised units'!$AD$13</definedName>
    <definedName name="conf9" localSheetId="1">'[1]MA  Standardised units'!$AD$14</definedName>
    <definedName name="conf9" localSheetId="3">'[1]MA  Standardised units'!$AD$14</definedName>
    <definedName name="conf9" localSheetId="8">'[1]MA  Standardised units'!$AD$14</definedName>
    <definedName name="conf9" localSheetId="6">'[1]MA  Standardised units'!$AD$14</definedName>
    <definedName name="conf9" localSheetId="4">'[2]MA  Standardised units'!$AD$14</definedName>
    <definedName name="conf9" localSheetId="9">'[1]MA  Standardised units'!$AD$14</definedName>
    <definedName name="conf9" localSheetId="7">'[1]MA  Standardised units'!$AD$14</definedName>
    <definedName name="conf9">'[1]MA  Standardised units'!$AD$14</definedName>
    <definedName name="copyn" localSheetId="1">'[1]MA  Standardised units'!$AC$2</definedName>
    <definedName name="copyn" localSheetId="3">'[1]MA  Standardised units'!$AC$2</definedName>
    <definedName name="copyn" localSheetId="8">'[1]MA  Standardised units'!$AC$2</definedName>
    <definedName name="copyn" localSheetId="6">'[1]MA  Standardised units'!$AC$2</definedName>
    <definedName name="copyn" localSheetId="4">'[2]MA  Standardised units'!$AC$2</definedName>
    <definedName name="copyn" localSheetId="9">'[1]MA  Standardised units'!$AC$2</definedName>
    <definedName name="copyn" localSheetId="7">'[1]MA  Standardised units'!$AC$2</definedName>
    <definedName name="copyn">'[1]MA  Standardised units'!$AC$2</definedName>
    <definedName name="copyt" localSheetId="1">'[1]MA  Standardised units'!$AC$3</definedName>
    <definedName name="copyt" localSheetId="3">'[1]MA  Standardised units'!$AC$3</definedName>
    <definedName name="copyt" localSheetId="8">'[1]MA  Standardised units'!$AC$3</definedName>
    <definedName name="copyt" localSheetId="6">'[1]MA  Standardised units'!$AC$3</definedName>
    <definedName name="copyt" localSheetId="4">'[2]MA  Standardised units'!$AC$3</definedName>
    <definedName name="copyt" localSheetId="9">'[1]MA  Standardised units'!$AC$3</definedName>
    <definedName name="copyt" localSheetId="7">'[1]MA  Standardised units'!$AC$3</definedName>
    <definedName name="copyt">'[1]MA  Standardised units'!$AC$3</definedName>
    <definedName name="copyt1" localSheetId="1">'[1]MA  Standardised units'!$Y$6</definedName>
    <definedName name="copyt1" localSheetId="3">'[1]MA  Standardised units'!$Y$6</definedName>
    <definedName name="copyt1" localSheetId="8">'[1]MA  Standardised units'!$Y$6</definedName>
    <definedName name="copyt1" localSheetId="6">'[1]MA  Standardised units'!$Y$6</definedName>
    <definedName name="copyt1" localSheetId="4">'[2]MA  Standardised units'!$Y$6</definedName>
    <definedName name="copyt1" localSheetId="9">'[1]MA  Standardised units'!$Y$6</definedName>
    <definedName name="copyt1" localSheetId="7">'[1]MA  Standardised units'!$Y$6</definedName>
    <definedName name="copyt1">'[1]MA  Standardised units'!$Y$6</definedName>
    <definedName name="copyt10" localSheetId="1">'[1]MA  Standardised units'!$Y$15</definedName>
    <definedName name="copyt10" localSheetId="3">'[1]MA  Standardised units'!$Y$15</definedName>
    <definedName name="copyt10" localSheetId="8">'[1]MA  Standardised units'!$Y$15</definedName>
    <definedName name="copyt10" localSheetId="6">'[1]MA  Standardised units'!$Y$15</definedName>
    <definedName name="copyt10" localSheetId="4">'[2]MA  Standardised units'!$Y$15</definedName>
    <definedName name="copyt10" localSheetId="9">'[1]MA  Standardised units'!$Y$15</definedName>
    <definedName name="copyt10" localSheetId="7">'[1]MA  Standardised units'!$Y$15</definedName>
    <definedName name="copyt10">'[1]MA  Standardised units'!$Y$15</definedName>
    <definedName name="copyt11" localSheetId="1">'[1]MA  Standardised units'!$Y$18</definedName>
    <definedName name="copyt11" localSheetId="3">'[1]MA  Standardised units'!$Y$18</definedName>
    <definedName name="copyt11" localSheetId="8">'[1]MA  Standardised units'!$Y$18</definedName>
    <definedName name="copyt11" localSheetId="6">'[1]MA  Standardised units'!$Y$18</definedName>
    <definedName name="copyt11" localSheetId="4">'[2]MA  Standardised units'!$Y$18</definedName>
    <definedName name="copyt11" localSheetId="9">'[1]MA  Standardised units'!$Y$18</definedName>
    <definedName name="copyt11" localSheetId="7">'[1]MA  Standardised units'!$Y$18</definedName>
    <definedName name="copyt11">'[1]MA  Standardised units'!$Y$18</definedName>
    <definedName name="copyt12" localSheetId="1">'[1]MA  Standardised units'!$Y$21</definedName>
    <definedName name="copyt12" localSheetId="3">'[1]MA  Standardised units'!$Y$21</definedName>
    <definedName name="copyt12" localSheetId="8">'[1]MA  Standardised units'!$Y$21</definedName>
    <definedName name="copyt12" localSheetId="6">'[1]MA  Standardised units'!$Y$21</definedName>
    <definedName name="copyt12" localSheetId="4">'[2]MA  Standardised units'!$Y$21</definedName>
    <definedName name="copyt12" localSheetId="9">'[1]MA  Standardised units'!$Y$21</definedName>
    <definedName name="copyt12" localSheetId="7">'[1]MA  Standardised units'!$Y$21</definedName>
    <definedName name="copyt12">'[1]MA  Standardised units'!$Y$21</definedName>
    <definedName name="copyt13" localSheetId="1">'[1]MA  Standardised units'!$Y$24</definedName>
    <definedName name="copyt13" localSheetId="3">'[1]MA  Standardised units'!$Y$24</definedName>
    <definedName name="copyt13" localSheetId="8">'[1]MA  Standardised units'!$Y$24</definedName>
    <definedName name="copyt13" localSheetId="6">'[1]MA  Standardised units'!$Y$24</definedName>
    <definedName name="copyt13" localSheetId="4">'[2]MA  Standardised units'!$Y$24</definedName>
    <definedName name="copyt13" localSheetId="9">'[1]MA  Standardised units'!$Y$24</definedName>
    <definedName name="copyt13" localSheetId="7">'[1]MA  Standardised units'!$Y$24</definedName>
    <definedName name="copyt13">'[1]MA  Standardised units'!$Y$24</definedName>
    <definedName name="copyt2" localSheetId="1">'[1]MA  Standardised units'!$Y$7</definedName>
    <definedName name="copyt2" localSheetId="3">'[1]MA  Standardised units'!$Y$7</definedName>
    <definedName name="copyt2" localSheetId="8">'[1]MA  Standardised units'!$Y$7</definedName>
    <definedName name="copyt2" localSheetId="6">'[1]MA  Standardised units'!$Y$7</definedName>
    <definedName name="copyt2" localSheetId="4">'[2]MA  Standardised units'!$Y$7</definedName>
    <definedName name="copyt2" localSheetId="9">'[1]MA  Standardised units'!$Y$7</definedName>
    <definedName name="copyt2" localSheetId="7">'[1]MA  Standardised units'!$Y$7</definedName>
    <definedName name="copyt2">'[1]MA  Standardised units'!$Y$7</definedName>
    <definedName name="copyt3" localSheetId="1">'[1]MA  Standardised units'!$Y$8</definedName>
    <definedName name="copyt3" localSheetId="3">'[1]MA  Standardised units'!$Y$8</definedName>
    <definedName name="copyt3" localSheetId="8">'[1]MA  Standardised units'!$Y$8</definedName>
    <definedName name="copyt3" localSheetId="6">'[1]MA  Standardised units'!$Y$8</definedName>
    <definedName name="copyt3" localSheetId="4">'[2]MA  Standardised units'!$Y$8</definedName>
    <definedName name="copyt3" localSheetId="9">'[1]MA  Standardised units'!$Y$8</definedName>
    <definedName name="copyt3" localSheetId="7">'[1]MA  Standardised units'!$Y$8</definedName>
    <definedName name="copyt3">'[1]MA  Standardised units'!$Y$8</definedName>
    <definedName name="copyt4" localSheetId="1">'[1]MA  Standardised units'!$Y$9</definedName>
    <definedName name="copyt4" localSheetId="3">'[1]MA  Standardised units'!$Y$9</definedName>
    <definedName name="copyt4" localSheetId="8">'[1]MA  Standardised units'!$Y$9</definedName>
    <definedName name="copyt4" localSheetId="6">'[1]MA  Standardised units'!$Y$9</definedName>
    <definedName name="copyt4" localSheetId="4">'[2]MA  Standardised units'!$Y$9</definedName>
    <definedName name="copyt4" localSheetId="9">'[1]MA  Standardised units'!$Y$9</definedName>
    <definedName name="copyt4" localSheetId="7">'[1]MA  Standardised units'!$Y$9</definedName>
    <definedName name="copyt4">'[1]MA  Standardised units'!$Y$9</definedName>
    <definedName name="copyt5" localSheetId="1">'[1]MA  Standardised units'!$Y$10</definedName>
    <definedName name="copyt5" localSheetId="3">'[1]MA  Standardised units'!$Y$10</definedName>
    <definedName name="copyt5" localSheetId="8">'[1]MA  Standardised units'!$Y$10</definedName>
    <definedName name="copyt5" localSheetId="6">'[1]MA  Standardised units'!$Y$10</definedName>
    <definedName name="copyt5" localSheetId="4">'[2]MA  Standardised units'!$Y$10</definedName>
    <definedName name="copyt5" localSheetId="9">'[1]MA  Standardised units'!$Y$10</definedName>
    <definedName name="copyt5" localSheetId="7">'[1]MA  Standardised units'!$Y$10</definedName>
    <definedName name="copyt5">'[1]MA  Standardised units'!$Y$10</definedName>
    <definedName name="copyt6" localSheetId="1">'[1]MA  Standardised units'!$Y$11</definedName>
    <definedName name="copyt6" localSheetId="3">'[1]MA  Standardised units'!$Y$11</definedName>
    <definedName name="copyt6" localSheetId="8">'[1]MA  Standardised units'!$Y$11</definedName>
    <definedName name="copyt6" localSheetId="6">'[1]MA  Standardised units'!$Y$11</definedName>
    <definedName name="copyt6" localSheetId="4">'[2]MA  Standardised units'!$Y$11</definedName>
    <definedName name="copyt6" localSheetId="9">'[1]MA  Standardised units'!$Y$11</definedName>
    <definedName name="copyt6" localSheetId="7">'[1]MA  Standardised units'!$Y$11</definedName>
    <definedName name="copyt6">'[1]MA  Standardised units'!$Y$11</definedName>
    <definedName name="copyt7" localSheetId="1">'[1]MA  Standardised units'!$Y$12</definedName>
    <definedName name="copyt7" localSheetId="3">'[1]MA  Standardised units'!$Y$12</definedName>
    <definedName name="copyt7" localSheetId="8">'[1]MA  Standardised units'!$Y$12</definedName>
    <definedName name="copyt7" localSheetId="6">'[1]MA  Standardised units'!$Y$12</definedName>
    <definedName name="copyt7" localSheetId="4">'[2]MA  Standardised units'!$Y$12</definedName>
    <definedName name="copyt7" localSheetId="9">'[1]MA  Standardised units'!$Y$12</definedName>
    <definedName name="copyt7" localSheetId="7">'[1]MA  Standardised units'!$Y$12</definedName>
    <definedName name="copyt7">'[1]MA  Standardised units'!$Y$12</definedName>
    <definedName name="copyt8" localSheetId="1">'[1]MA  Standardised units'!$Y$13</definedName>
    <definedName name="copyt8" localSheetId="3">'[1]MA  Standardised units'!$Y$13</definedName>
    <definedName name="copyt8" localSheetId="8">'[1]MA  Standardised units'!$Y$13</definedName>
    <definedName name="copyt8" localSheetId="6">'[1]MA  Standardised units'!$Y$13</definedName>
    <definedName name="copyt8" localSheetId="4">'[2]MA  Standardised units'!$Y$13</definedName>
    <definedName name="copyt8" localSheetId="9">'[1]MA  Standardised units'!$Y$13</definedName>
    <definedName name="copyt8" localSheetId="7">'[1]MA  Standardised units'!$Y$13</definedName>
    <definedName name="copyt8">'[1]MA  Standardised units'!$Y$13</definedName>
    <definedName name="copyt9" localSheetId="1">'[1]MA  Standardised units'!$Y$14</definedName>
    <definedName name="copyt9" localSheetId="3">'[1]MA  Standardised units'!$Y$14</definedName>
    <definedName name="copyt9" localSheetId="8">'[1]MA  Standardised units'!$Y$14</definedName>
    <definedName name="copyt9" localSheetId="6">'[1]MA  Standardised units'!$Y$14</definedName>
    <definedName name="copyt9" localSheetId="4">'[2]MA  Standardised units'!$Y$14</definedName>
    <definedName name="copyt9" localSheetId="9">'[1]MA  Standardised units'!$Y$14</definedName>
    <definedName name="copyt9" localSheetId="7">'[1]MA  Standardised units'!$Y$14</definedName>
    <definedName name="copyt9">'[1]MA  Standardised units'!$Y$14</definedName>
    <definedName name="countcapt" localSheetId="1">#REF!</definedName>
    <definedName name="countcapt" localSheetId="3">#REF!</definedName>
    <definedName name="countcapt" localSheetId="4">#REF!</definedName>
    <definedName name="countcapt">#REF!</definedName>
    <definedName name="countcaptM" localSheetId="4">[12]Replication!$AS$6</definedName>
    <definedName name="countcaptM">[13]Replication!$AS$6</definedName>
    <definedName name="countsone">#REF!</definedName>
    <definedName name="ctgforseed">#REF!</definedName>
    <definedName name="ctgseed">#REF!</definedName>
    <definedName name="Ctobezero" localSheetId="4">#REF!</definedName>
    <definedName name="Ctobezero">'[11]Vary C'!$N$8</definedName>
    <definedName name="dancep" localSheetId="3">'Dance p'!$BR$4</definedName>
    <definedName name="dancep">#REF!</definedName>
    <definedName name="dancespeed" localSheetId="3">'Dance p'!$BT$7</definedName>
    <definedName name="dancespeed">#REF!</definedName>
    <definedName name="DataPairedGrab">'Data paired'!$C$5:$C$10</definedName>
    <definedName name="DataPairedPut">'Data paired'!$B$5:$B$10</definedName>
    <definedName name="dataportkbins" localSheetId="3">[14]Data!$F$2:$F$37,[14]Data!$T$37</definedName>
    <definedName name="dataportkbins" localSheetId="8">[14]Data!$F$2:$F$37,[14]Data!$T$37</definedName>
    <definedName name="dataportkbins" localSheetId="6">[14]Data!$F$2:$F$37,[14]Data!$T$37</definedName>
    <definedName name="dataportkbins" localSheetId="0">[15]Data!$F$2:$F$37,[15]Data!$T$37</definedName>
    <definedName name="dataportkbins" localSheetId="4">[16]Data!$F$2:$F$37,[16]Data!$T$37</definedName>
    <definedName name="dataportkbins" localSheetId="9">[14]Data!$F$2:$F$37,[14]Data!$T$37</definedName>
    <definedName name="dataportkbins" localSheetId="7">[14]Data!$F$2:$F$37,[14]Data!$T$37</definedName>
    <definedName name="dataportkbins">[14]Data!$F$2:$F$37,[14]Data!$T$37</definedName>
    <definedName name="DataTwoGrab">'Data two'!$C$4:$C$10</definedName>
    <definedName name="DataTwoPut">'Data two'!$B$4:$B$10</definedName>
    <definedName name="diffzero" localSheetId="4">'[3]Two proportions'!$AC$3</definedName>
    <definedName name="diffzero">'[4]Two proportions'!$AC$3</definedName>
    <definedName name="dispaxes" localSheetId="4">'[9]Calculate r'!$AX$4</definedName>
    <definedName name="dispaxes">'[10]Calculate r'!$AX$4</definedName>
    <definedName name="DispBin" localSheetId="4">'[3]Two proportions'!$AT$6</definedName>
    <definedName name="DispBin">'[4]Two proportions'!$AT$6</definedName>
    <definedName name="dispcidsp">'Simulate paired'!$D$14</definedName>
    <definedName name="DispComp" localSheetId="4">'[3]Two proportions'!$P$22</definedName>
    <definedName name="DispComp">'[4]Two proportions'!$P$22</definedName>
    <definedName name="dispddp">'Data paired'!$C$3</definedName>
    <definedName name="dispddt">'Data two'!$W$53</definedName>
    <definedName name="dispdiffaxis" localSheetId="3">'Dance p'!$BR$5</definedName>
    <definedName name="dispdiffaxis">#REF!</definedName>
    <definedName name="DispDiffProp" localSheetId="4">'[3]Two proportions'!$R$23</definedName>
    <definedName name="DispDiffProp">'[4]Two proportions'!$R$23</definedName>
    <definedName name="DispDiffsData" localSheetId="4">'[3]Two proportions'!$AO$6</definedName>
    <definedName name="DispDiffsData">'[4]Two proportions'!$AO$6</definedName>
    <definedName name="dispdsp">'Simulate paired'!$D$12</definedName>
    <definedName name="dispdst">'Simulate two'!$D$15</definedName>
    <definedName name="dispmeans" localSheetId="4">'[9]Calculate r'!$AX$3</definedName>
    <definedName name="dispmeans">'[10]Calculate r'!$AX$3</definedName>
    <definedName name="dispnow">Random!$O$57</definedName>
    <definedName name="dispOK" localSheetId="4">'[9]Sample r'!$N$19</definedName>
    <definedName name="dispOK">'[10]Sample r'!$N$19</definedName>
    <definedName name="disppowerspair">'Simulate paired'!$AU$61</definedName>
    <definedName name="disppowerst">'Simulate two'!$AY$31</definedName>
    <definedName name="Dispt" localSheetId="4">Random!$O$30</definedName>
    <definedName name="Dispt">'[6]Fig 5'!$O$2</definedName>
    <definedName name="dlend">#REF!</definedName>
    <definedName name="dpark">#REF!</definedName>
    <definedName name="dptsone">#REF!</definedName>
    <definedName name="dptspair" localSheetId="1">#REF!</definedName>
    <definedName name="dptspair" localSheetId="8">'Data paired'!$F$8:$G$1007</definedName>
    <definedName name="dptspair" localSheetId="4">#REF!</definedName>
    <definedName name="dptspair">#REF!</definedName>
    <definedName name="dptsprops" localSheetId="1">'[17]Two proportions'!$G$8,'[17]Two proportions'!$I$8,'[17]Two proportions'!$G$11,'[17]Two proportions'!$I$11</definedName>
    <definedName name="dptsprops" localSheetId="4">'[18]Two proportions'!$G$8,'[18]Two proportions'!$I$8,'[18]Two proportions'!$G$11,'[18]Two proportions'!$I$11</definedName>
    <definedName name="dptsprops">#REF!,#REF!,#REF!,#REF!</definedName>
    <definedName name="dptstwo" localSheetId="1">#REF!,#REF!</definedName>
    <definedName name="dptstwo" localSheetId="8">'[19]Data Two'!$B$7:$B$1006,'[19]Data Two'!$E$7:$E$1006</definedName>
    <definedName name="dptstwo" localSheetId="6">'Data two'!$F$7:$F$1006,'Data two'!$I$7:$I$1006</definedName>
    <definedName name="dptstwo" localSheetId="4">#REF!,#REF!</definedName>
    <definedName name="dptstwo" localSheetId="9">'[19]Data Two'!$B$7:$B$1006,'[19]Data Two'!$E$7:$E$1006</definedName>
    <definedName name="dptstwo" localSheetId="7">'[19]Data Two'!$B$7:$B$1006,'[19]Data Two'!$E$7:$E$1006</definedName>
    <definedName name="dptstwo">#REF!,#REF!</definedName>
    <definedName name="drend">#REF!</definedName>
    <definedName name="dval1" localSheetId="1">'[1]MA  Standardised units'!$F$6</definedName>
    <definedName name="dval1" localSheetId="3">'[1]MA  Standardised units'!$F$6</definedName>
    <definedName name="dval1" localSheetId="8">'[1]MA  Standardised units'!$F$6</definedName>
    <definedName name="dval1" localSheetId="6">'[1]MA  Standardised units'!$F$6</definedName>
    <definedName name="dval1" localSheetId="4">'[2]MA  Standardised units'!$F$6</definedName>
    <definedName name="dval1" localSheetId="9">'[1]MA  Standardised units'!$F$6</definedName>
    <definedName name="dval1" localSheetId="7">'[1]MA  Standardised units'!$F$6</definedName>
    <definedName name="dval1">'[1]MA  Standardised units'!$F$6</definedName>
    <definedName name="dval10" localSheetId="1">'[1]MA  Standardised units'!$F$15</definedName>
    <definedName name="dval10" localSheetId="3">'[1]MA  Standardised units'!$F$15</definedName>
    <definedName name="dval10" localSheetId="8">'[1]MA  Standardised units'!$F$15</definedName>
    <definedName name="dval10" localSheetId="6">'[1]MA  Standardised units'!$F$15</definedName>
    <definedName name="dval10" localSheetId="4">'[2]MA  Standardised units'!$F$15</definedName>
    <definedName name="dval10" localSheetId="9">'[1]MA  Standardised units'!$F$15</definedName>
    <definedName name="dval10" localSheetId="7">'[1]MA  Standardised units'!$F$15</definedName>
    <definedName name="dval10">'[1]MA  Standardised units'!$F$15</definedName>
    <definedName name="dval11" localSheetId="1">'[1]MA  Standardised units'!$F$18</definedName>
    <definedName name="dval11" localSheetId="3">'[1]MA  Standardised units'!$F$18</definedName>
    <definedName name="dval11" localSheetId="8">'[1]MA  Standardised units'!$F$18</definedName>
    <definedName name="dval11" localSheetId="6">'[1]MA  Standardised units'!$F$18</definedName>
    <definedName name="dval11" localSheetId="4">'[2]MA  Standardised units'!$F$18</definedName>
    <definedName name="dval11" localSheetId="9">'[1]MA  Standardised units'!$F$18</definedName>
    <definedName name="dval11" localSheetId="7">'[1]MA  Standardised units'!$F$18</definedName>
    <definedName name="dval11">'[1]MA  Standardised units'!$F$18</definedName>
    <definedName name="dval12" localSheetId="1">'[1]MA  Standardised units'!$F$21</definedName>
    <definedName name="dval12" localSheetId="3">'[1]MA  Standardised units'!$F$21</definedName>
    <definedName name="dval12" localSheetId="8">'[1]MA  Standardised units'!$F$21</definedName>
    <definedName name="dval12" localSheetId="6">'[1]MA  Standardised units'!$F$21</definedName>
    <definedName name="dval12" localSheetId="4">'[2]MA  Standardised units'!$F$21</definedName>
    <definedName name="dval12" localSheetId="9">'[1]MA  Standardised units'!$F$21</definedName>
    <definedName name="dval12" localSheetId="7">'[1]MA  Standardised units'!$F$21</definedName>
    <definedName name="dval12">'[1]MA  Standardised units'!$F$21</definedName>
    <definedName name="dval13" localSheetId="1">'[1]MA  Standardised units'!$F$24</definedName>
    <definedName name="dval13" localSheetId="3">'[1]MA  Standardised units'!$F$24</definedName>
    <definedName name="dval13" localSheetId="8">'[1]MA  Standardised units'!$F$24</definedName>
    <definedName name="dval13" localSheetId="6">'[1]MA  Standardised units'!$F$24</definedName>
    <definedName name="dval13" localSheetId="4">'[2]MA  Standardised units'!$F$24</definedName>
    <definedName name="dval13" localSheetId="9">'[1]MA  Standardised units'!$F$24</definedName>
    <definedName name="dval13" localSheetId="7">'[1]MA  Standardised units'!$F$24</definedName>
    <definedName name="dval13">'[1]MA  Standardised units'!$F$24</definedName>
    <definedName name="dval2" localSheetId="1">'[1]MA  Standardised units'!$F$7</definedName>
    <definedName name="dval2" localSheetId="3">'[1]MA  Standardised units'!$F$7</definedName>
    <definedName name="dval2" localSheetId="8">'[1]MA  Standardised units'!$F$7</definedName>
    <definedName name="dval2" localSheetId="6">'[1]MA  Standardised units'!$F$7</definedName>
    <definedName name="dval2" localSheetId="4">'[2]MA  Standardised units'!$F$7</definedName>
    <definedName name="dval2" localSheetId="9">'[1]MA  Standardised units'!$F$7</definedName>
    <definedName name="dval2" localSheetId="7">'[1]MA  Standardised units'!$F$7</definedName>
    <definedName name="dval2">'[1]MA  Standardised units'!$F$7</definedName>
    <definedName name="dval3" localSheetId="1">'[1]MA  Standardised units'!$F$8</definedName>
    <definedName name="dval3" localSheetId="3">'[1]MA  Standardised units'!$F$8</definedName>
    <definedName name="dval3" localSheetId="8">'[1]MA  Standardised units'!$F$8</definedName>
    <definedName name="dval3" localSheetId="6">'[1]MA  Standardised units'!$F$8</definedName>
    <definedName name="dval3" localSheetId="4">'[2]MA  Standardised units'!$F$8</definedName>
    <definedName name="dval3" localSheetId="9">'[1]MA  Standardised units'!$F$8</definedName>
    <definedName name="dval3" localSheetId="7">'[1]MA  Standardised units'!$F$8</definedName>
    <definedName name="dval3">'[1]MA  Standardised units'!$F$8</definedName>
    <definedName name="dval4" localSheetId="1">'[1]MA  Standardised units'!$F$9</definedName>
    <definedName name="dval4" localSheetId="3">'[1]MA  Standardised units'!$F$9</definedName>
    <definedName name="dval4" localSheetId="8">'[1]MA  Standardised units'!$F$9</definedName>
    <definedName name="dval4" localSheetId="6">'[1]MA  Standardised units'!$F$9</definedName>
    <definedName name="dval4" localSheetId="4">'[2]MA  Standardised units'!$F$9</definedName>
    <definedName name="dval4" localSheetId="9">'[1]MA  Standardised units'!$F$9</definedName>
    <definedName name="dval4" localSheetId="7">'[1]MA  Standardised units'!$F$9</definedName>
    <definedName name="dval4">'[1]MA  Standardised units'!$F$9</definedName>
    <definedName name="dval5" localSheetId="1">'[1]MA  Standardised units'!$F$10</definedName>
    <definedName name="dval5" localSheetId="3">'[1]MA  Standardised units'!$F$10</definedName>
    <definedName name="dval5" localSheetId="8">'[1]MA  Standardised units'!$F$10</definedName>
    <definedName name="dval5" localSheetId="6">'[1]MA  Standardised units'!$F$10</definedName>
    <definedName name="dval5" localSheetId="4">'[2]MA  Standardised units'!$F$10</definedName>
    <definedName name="dval5" localSheetId="9">'[1]MA  Standardised units'!$F$10</definedName>
    <definedName name="dval5" localSheetId="7">'[1]MA  Standardised units'!$F$10</definedName>
    <definedName name="dval5">'[1]MA  Standardised units'!$F$10</definedName>
    <definedName name="dval6" localSheetId="1">'[1]MA  Standardised units'!$F$11</definedName>
    <definedName name="dval6" localSheetId="3">'[1]MA  Standardised units'!$F$11</definedName>
    <definedName name="dval6" localSheetId="8">'[1]MA  Standardised units'!$F$11</definedName>
    <definedName name="dval6" localSheetId="6">'[1]MA  Standardised units'!$F$11</definedName>
    <definedName name="dval6" localSheetId="4">'[2]MA  Standardised units'!$F$11</definedName>
    <definedName name="dval6" localSheetId="9">'[1]MA  Standardised units'!$F$11</definedName>
    <definedName name="dval6" localSheetId="7">'[1]MA  Standardised units'!$F$11</definedName>
    <definedName name="dval6">'[1]MA  Standardised units'!$F$11</definedName>
    <definedName name="dval7" localSheetId="1">'[1]MA  Standardised units'!$F$12</definedName>
    <definedName name="dval7" localSheetId="3">'[1]MA  Standardised units'!$F$12</definedName>
    <definedName name="dval7" localSheetId="8">'[1]MA  Standardised units'!$F$12</definedName>
    <definedName name="dval7" localSheetId="6">'[1]MA  Standardised units'!$F$12</definedName>
    <definedName name="dval7" localSheetId="4">'[2]MA  Standardised units'!$F$12</definedName>
    <definedName name="dval7" localSheetId="9">'[1]MA  Standardised units'!$F$12</definedName>
    <definedName name="dval7" localSheetId="7">'[1]MA  Standardised units'!$F$12</definedName>
    <definedName name="dval7">'[1]MA  Standardised units'!$F$12</definedName>
    <definedName name="dval8" localSheetId="1">'[1]MA  Standardised units'!$F$13</definedName>
    <definedName name="dval8" localSheetId="3">'[1]MA  Standardised units'!$F$13</definedName>
    <definedName name="dval8" localSheetId="8">'[1]MA  Standardised units'!$F$13</definedName>
    <definedName name="dval8" localSheetId="6">'[1]MA  Standardised units'!$F$13</definedName>
    <definedName name="dval8" localSheetId="4">'[2]MA  Standardised units'!$F$13</definedName>
    <definedName name="dval8" localSheetId="9">'[1]MA  Standardised units'!$F$13</definedName>
    <definedName name="dval8" localSheetId="7">'[1]MA  Standardised units'!$F$13</definedName>
    <definedName name="dval8">'[1]MA  Standardised units'!$F$13</definedName>
    <definedName name="dval9" localSheetId="1">'[1]MA  Standardised units'!$F$14</definedName>
    <definedName name="dval9" localSheetId="3">'[1]MA  Standardised units'!$F$14</definedName>
    <definedName name="dval9" localSheetId="8">'[1]MA  Standardised units'!$F$14</definedName>
    <definedName name="dval9" localSheetId="6">'[1]MA  Standardised units'!$F$14</definedName>
    <definedName name="dval9" localSheetId="4">'[2]MA  Standardised units'!$F$14</definedName>
    <definedName name="dval9" localSheetId="9">'[1]MA  Standardised units'!$F$14</definedName>
    <definedName name="dval9" localSheetId="7">'[1]MA  Standardised units'!$F$14</definedName>
    <definedName name="dval9">'[1]MA  Standardised units'!$F$14</definedName>
    <definedName name="equivncpdp">'Data paired'!$B$21:$C$21</definedName>
    <definedName name="equivncpdt">'Data two'!$B$20:$C$20</definedName>
    <definedName name="equivncpsp">'Simulate paired'!$C$23:$D$23</definedName>
    <definedName name="equivncpst">'Simulate two'!$C$25:$D$25</definedName>
    <definedName name="Fig1Rand" localSheetId="4">'[5]Fig 1'!$M$8:$R$8</definedName>
    <definedName name="Fig1Rand">'[6]Fig 1'!$M$8:$R$8</definedName>
    <definedName name="Fig1SeedN" localSheetId="4">'[5]Fig 1'!$M$9</definedName>
    <definedName name="Fig1SeedN">'[6]Fig 1'!$M$9</definedName>
    <definedName name="Fig2Rand" localSheetId="4">'[20]Fig 2'!$J$13:$L$13</definedName>
    <definedName name="Fig2Rand">'[11]Fig 2'!$J$13:$L$13</definedName>
    <definedName name="Fig2SeedN" localSheetId="4">'[20]Fig 2'!$J$14:$L$14</definedName>
    <definedName name="Fig2SeedN">'[11]Fig 2'!$J$14:$L$14</definedName>
    <definedName name="figdisplength" localSheetId="3">'Dance p'!$AB$107</definedName>
    <definedName name="figdisplength">#REF!</definedName>
    <definedName name="figfivedisp">'Dance p'!$AD$106</definedName>
    <definedName name="figfourdisp">'Dance p'!$AD$105</definedName>
    <definedName name="figonedisp">'Dance p'!$AD$102</definedName>
    <definedName name="figthreedisp">'Dance p'!$AD$104</definedName>
    <definedName name="figtwodisp">'Dance p'!$AD$103</definedName>
    <definedName name="firstptdp">'Data paired'!$F$8</definedName>
    <definedName name="firstptdt">'Data two'!$F$7</definedName>
    <definedName name="fninezafour">'p intervals'!$AH$27</definedName>
    <definedName name="fninezaone">'p intervals'!$AF$20</definedName>
    <definedName name="fninezathree">'p intervals'!$AH$20</definedName>
    <definedName name="fninezatwo">'p intervals'!$AF$27</definedName>
    <definedName name="fninezbfour">'p intervals'!$AJ$27</definedName>
    <definedName name="fninezbthree">'p intervals'!$AJ$20</definedName>
    <definedName name="for2p1" localSheetId="4">'[3]Overlap two proportions'!$N$8</definedName>
    <definedName name="for2p1">'[4]Overlap two proportions'!$N$8</definedName>
    <definedName name="for2p10" localSheetId="4">'[3]Overlap two proportions'!$N$17</definedName>
    <definedName name="for2p10">'[4]Overlap two proportions'!$N$17</definedName>
    <definedName name="for2p11" localSheetId="4">'[3]Overlap two proportions'!$N$18</definedName>
    <definedName name="for2p11">'[4]Overlap two proportions'!$N$18</definedName>
    <definedName name="for2p12" localSheetId="4">'[3]Overlap two proportions'!$N$19</definedName>
    <definedName name="for2p12">'[4]Overlap two proportions'!$N$19</definedName>
    <definedName name="for2p13" localSheetId="4">'[3]Overlap two proportions'!$N$20</definedName>
    <definedName name="for2p13">'[4]Overlap two proportions'!$N$20</definedName>
    <definedName name="for2p14" localSheetId="4">'[3]Overlap two proportions'!$N$21</definedName>
    <definedName name="for2p14">'[4]Overlap two proportions'!$N$21</definedName>
    <definedName name="for2p15" localSheetId="4">'[3]Overlap two proportions'!$N$22</definedName>
    <definedName name="for2p15">'[4]Overlap two proportions'!$N$22</definedName>
    <definedName name="for2p16" localSheetId="4">'[3]Overlap two proportions'!$N$23</definedName>
    <definedName name="for2p16">'[4]Overlap two proportions'!$N$23</definedName>
    <definedName name="for2p17" localSheetId="4">'[3]Overlap two proportions'!$N$24</definedName>
    <definedName name="for2p17">'[4]Overlap two proportions'!$N$24</definedName>
    <definedName name="for2p18" localSheetId="4">'[3]Overlap two proportions'!$N$25</definedName>
    <definedName name="for2p18">'[4]Overlap two proportions'!$N$25</definedName>
    <definedName name="for2p19" localSheetId="4">'[3]Overlap two proportions'!$N$26</definedName>
    <definedName name="for2p19">'[4]Overlap two proportions'!$N$26</definedName>
    <definedName name="for2p2" localSheetId="4">'[3]Overlap two proportions'!$N$9</definedName>
    <definedName name="for2p2">'[4]Overlap two proportions'!$N$9</definedName>
    <definedName name="for2p20" localSheetId="4">'[3]Overlap two proportions'!$N$27</definedName>
    <definedName name="for2p20">'[4]Overlap two proportions'!$N$27</definedName>
    <definedName name="for2p21" localSheetId="4">'[3]Overlap two proportions'!$N$28</definedName>
    <definedName name="for2p21">'[4]Overlap two proportions'!$N$28</definedName>
    <definedName name="for2p22" localSheetId="4">'[3]Overlap two proportions'!$N$29</definedName>
    <definedName name="for2p22">'[4]Overlap two proportions'!$N$29</definedName>
    <definedName name="for2p23" localSheetId="4">'[3]Overlap two proportions'!$N$30</definedName>
    <definedName name="for2p23">'[4]Overlap two proportions'!$N$30</definedName>
    <definedName name="for2p24" localSheetId="4">'[3]Overlap two proportions'!$N$31</definedName>
    <definedName name="for2p24">'[4]Overlap two proportions'!$N$31</definedName>
    <definedName name="for2p25" localSheetId="4">'[3]Overlap two proportions'!$N$32</definedName>
    <definedName name="for2p25">'[4]Overlap two proportions'!$N$32</definedName>
    <definedName name="for2p26" localSheetId="4">'[3]Overlap two proportions'!$N$33</definedName>
    <definedName name="for2p26">'[4]Overlap two proportions'!$N$33</definedName>
    <definedName name="for2p27" localSheetId="4">'[3]Overlap two proportions'!$N$34</definedName>
    <definedName name="for2p27">'[4]Overlap two proportions'!$N$34</definedName>
    <definedName name="for2p28" localSheetId="4">'[3]Overlap two proportions'!$N$35</definedName>
    <definedName name="for2p28">'[4]Overlap two proportions'!$N$35</definedName>
    <definedName name="for2p29" localSheetId="4">'[3]Overlap two proportions'!$N$36</definedName>
    <definedName name="for2p29">'[4]Overlap two proportions'!$N$36</definedName>
    <definedName name="for2p3" localSheetId="4">'[3]Overlap two proportions'!$N$10</definedName>
    <definedName name="for2p3">'[4]Overlap two proportions'!$N$10</definedName>
    <definedName name="for2p30" localSheetId="4">'[3]Overlap two proportions'!$N$37</definedName>
    <definedName name="for2p30">'[4]Overlap two proportions'!$N$37</definedName>
    <definedName name="for2p31" localSheetId="4">'[3]Overlap two proportions'!$N$38</definedName>
    <definedName name="for2p31">'[4]Overlap two proportions'!$N$38</definedName>
    <definedName name="for2p32" localSheetId="4">'[3]Overlap two proportions'!$N$39</definedName>
    <definedName name="for2p32">'[4]Overlap two proportions'!$N$39</definedName>
    <definedName name="for2p33" localSheetId="4">'[3]Overlap two proportions'!$N$40</definedName>
    <definedName name="for2p33">'[4]Overlap two proportions'!$N$40</definedName>
    <definedName name="for2p34" localSheetId="4">'[3]Overlap two proportions'!$N$41</definedName>
    <definedName name="for2p34">'[4]Overlap two proportions'!$N$41</definedName>
    <definedName name="for2p35" localSheetId="4">'[3]Overlap two proportions'!$N$42</definedName>
    <definedName name="for2p35">'[4]Overlap two proportions'!$N$42</definedName>
    <definedName name="for2p36" localSheetId="4">'[3]Overlap two proportions'!$N$43</definedName>
    <definedName name="for2p36">'[4]Overlap two proportions'!$N$43</definedName>
    <definedName name="for2p37" localSheetId="4">'[3]Overlap two proportions'!$N$44</definedName>
    <definedName name="for2p37">'[4]Overlap two proportions'!$N$44</definedName>
    <definedName name="for2p38" localSheetId="4">'[3]Overlap two proportions'!$N$45</definedName>
    <definedName name="for2p38">'[4]Overlap two proportions'!$N$45</definedName>
    <definedName name="for2p39" localSheetId="4">'[3]Overlap two proportions'!$N$46</definedName>
    <definedName name="for2p39">'[4]Overlap two proportions'!$N$46</definedName>
    <definedName name="for2p4" localSheetId="4">'[3]Overlap two proportions'!$N$11</definedName>
    <definedName name="for2p4">'[4]Overlap two proportions'!$N$11</definedName>
    <definedName name="for2p40" localSheetId="4">'[3]Overlap two proportions'!$N$47</definedName>
    <definedName name="for2p40">'[4]Overlap two proportions'!$N$47</definedName>
    <definedName name="for2p41" localSheetId="4">'[3]Overlap two proportions'!$N$48</definedName>
    <definedName name="for2p41">'[4]Overlap two proportions'!$N$48</definedName>
    <definedName name="for2p42" localSheetId="4">'[3]Overlap two proportions'!$N$49</definedName>
    <definedName name="for2p42">'[4]Overlap two proportions'!$N$49</definedName>
    <definedName name="for2p43" localSheetId="4">'[3]Overlap two proportions'!$N$50</definedName>
    <definedName name="for2p43">'[4]Overlap two proportions'!$N$50</definedName>
    <definedName name="for2p44" localSheetId="4">'[3]Overlap two proportions'!$N$51</definedName>
    <definedName name="for2p44">'[4]Overlap two proportions'!$N$51</definedName>
    <definedName name="for2p45" localSheetId="4">'[3]Overlap two proportions'!$N$52</definedName>
    <definedName name="for2p45">'[4]Overlap two proportions'!$N$52</definedName>
    <definedName name="for2p46" localSheetId="4">'[3]Overlap two proportions'!$N$53</definedName>
    <definedName name="for2p46">'[4]Overlap two proportions'!$N$53</definedName>
    <definedName name="for2p47" localSheetId="4">'[3]Overlap two proportions'!$N$54</definedName>
    <definedName name="for2p47">'[4]Overlap two proportions'!$N$54</definedName>
    <definedName name="for2p48" localSheetId="4">'[3]Overlap two proportions'!$N$55</definedName>
    <definedName name="for2p48">'[4]Overlap two proportions'!$N$55</definedName>
    <definedName name="for2p49" localSheetId="4">'[3]Overlap two proportions'!$N$56</definedName>
    <definedName name="for2p49">'[4]Overlap two proportions'!$N$56</definedName>
    <definedName name="for2p5" localSheetId="4">'[3]Overlap two proportions'!$N$12</definedName>
    <definedName name="for2p5">'[4]Overlap two proportions'!$N$12</definedName>
    <definedName name="for2p50" localSheetId="4">'[3]Overlap two proportions'!$N$57</definedName>
    <definedName name="for2p50">'[4]Overlap two proportions'!$N$57</definedName>
    <definedName name="for2p51" localSheetId="4">'[3]Overlap two proportions'!$N$58</definedName>
    <definedName name="for2p51">'[4]Overlap two proportions'!$N$58</definedName>
    <definedName name="for2p52" localSheetId="4">'[3]Overlap two proportions'!$N$59</definedName>
    <definedName name="for2p52">'[4]Overlap two proportions'!$N$59</definedName>
    <definedName name="for2p53" localSheetId="4">'[3]Overlap two proportions'!$N$60</definedName>
    <definedName name="for2p53">'[4]Overlap two proportions'!$N$60</definedName>
    <definedName name="for2p54" localSheetId="4">'[3]Overlap two proportions'!$N$61</definedName>
    <definedName name="for2p54">'[4]Overlap two proportions'!$N$61</definedName>
    <definedName name="for2p55" localSheetId="4">'[3]Overlap two proportions'!$N$62</definedName>
    <definedName name="for2p55">'[4]Overlap two proportions'!$N$62</definedName>
    <definedName name="for2p56" localSheetId="4">'[3]Overlap two proportions'!$N$63</definedName>
    <definedName name="for2p56">'[4]Overlap two proportions'!$N$63</definedName>
    <definedName name="for2p57" localSheetId="4">'[3]Overlap two proportions'!$N$64</definedName>
    <definedName name="for2p57">'[4]Overlap two proportions'!$N$64</definedName>
    <definedName name="for2p58" localSheetId="4">'[3]Overlap two proportions'!$N$65</definedName>
    <definedName name="for2p58">'[4]Overlap two proportions'!$N$65</definedName>
    <definedName name="for2p59" localSheetId="4">'[3]Overlap two proportions'!$N$66</definedName>
    <definedName name="for2p59">'[4]Overlap two proportions'!$N$66</definedName>
    <definedName name="for2p6" localSheetId="4">'[3]Overlap two proportions'!$N$13</definedName>
    <definedName name="for2p6">'[4]Overlap two proportions'!$N$13</definedName>
    <definedName name="for2p60" localSheetId="4">'[3]Overlap two proportions'!$N$67</definedName>
    <definedName name="for2p60">'[4]Overlap two proportions'!$N$67</definedName>
    <definedName name="for2p7" localSheetId="4">'[3]Overlap two proportions'!$N$14</definedName>
    <definedName name="for2p7">'[4]Overlap two proportions'!$N$14</definedName>
    <definedName name="for2p8" localSheetId="4">'[3]Overlap two proportions'!$N$15</definedName>
    <definedName name="for2p8">'[4]Overlap two proportions'!$N$15</definedName>
    <definedName name="for2p9" localSheetId="4">'[3]Overlap two proportions'!$N$16</definedName>
    <definedName name="for2p9">'[4]Overlap two proportions'!$N$16</definedName>
    <definedName name="ForC" localSheetId="4">'[3]Two proportions'!$AL$5</definedName>
    <definedName name="ForC">'[4]Two proportions'!$AL$5</definedName>
    <definedName name="forC1" localSheetId="4">'[3]Overlap two proportions'!$AL$8</definedName>
    <definedName name="forC1">'[4]Overlap two proportions'!$AL$8</definedName>
    <definedName name="forC10" localSheetId="4">'[3]Overlap two proportions'!$AL$17</definedName>
    <definedName name="forC10">'[4]Overlap two proportions'!$AL$17</definedName>
    <definedName name="forC11" localSheetId="4">'[3]Overlap two proportions'!$AL$18</definedName>
    <definedName name="forC11">'[4]Overlap two proportions'!$AL$18</definedName>
    <definedName name="forC12" localSheetId="4">'[3]Overlap two proportions'!$AL$19</definedName>
    <definedName name="forC12">'[4]Overlap two proportions'!$AL$19</definedName>
    <definedName name="forC13" localSheetId="4">'[3]Overlap two proportions'!$AL$20</definedName>
    <definedName name="forC13">'[4]Overlap two proportions'!$AL$20</definedName>
    <definedName name="forC14" localSheetId="4">'[3]Overlap two proportions'!$AL$21</definedName>
    <definedName name="forC14">'[4]Overlap two proportions'!$AL$21</definedName>
    <definedName name="forC15" localSheetId="4">'[3]Overlap two proportions'!$AL$22</definedName>
    <definedName name="forC15">'[4]Overlap two proportions'!$AL$22</definedName>
    <definedName name="forC16" localSheetId="4">'[3]Overlap two proportions'!$AL$23</definedName>
    <definedName name="forC16">'[4]Overlap two proportions'!$AL$23</definedName>
    <definedName name="forC17" localSheetId="4">'[3]Overlap two proportions'!$AL$24</definedName>
    <definedName name="forC17">'[4]Overlap two proportions'!$AL$24</definedName>
    <definedName name="forC18" localSheetId="4">'[3]Overlap two proportions'!$AL$25</definedName>
    <definedName name="forC18">'[4]Overlap two proportions'!$AL$25</definedName>
    <definedName name="forC19" localSheetId="4">'[3]Overlap two proportions'!$AL$26</definedName>
    <definedName name="forC19">'[4]Overlap two proportions'!$AL$26</definedName>
    <definedName name="forC2" localSheetId="4">'[3]Overlap two proportions'!$AL$9</definedName>
    <definedName name="forC2">'[4]Overlap two proportions'!$AL$9</definedName>
    <definedName name="forC20" localSheetId="4">'[3]Overlap two proportions'!$AL$27</definedName>
    <definedName name="forC20">'[4]Overlap two proportions'!$AL$27</definedName>
    <definedName name="forC21" localSheetId="4">'[3]Overlap two proportions'!$AL$28</definedName>
    <definedName name="forC21">'[4]Overlap two proportions'!$AL$28</definedName>
    <definedName name="forC22" localSheetId="4">'[3]Overlap two proportions'!$AL$29</definedName>
    <definedName name="forC22">'[4]Overlap two proportions'!$AL$29</definedName>
    <definedName name="forC23" localSheetId="4">'[3]Overlap two proportions'!$AL$30</definedName>
    <definedName name="forC23">'[4]Overlap two proportions'!$AL$30</definedName>
    <definedName name="forC24" localSheetId="4">'[3]Overlap two proportions'!$AL$31</definedName>
    <definedName name="forC24">'[4]Overlap two proportions'!$AL$31</definedName>
    <definedName name="forC25" localSheetId="4">'[3]Overlap two proportions'!$AL$32</definedName>
    <definedName name="forC25">'[4]Overlap two proportions'!$AL$32</definedName>
    <definedName name="forC26" localSheetId="4">'[3]Overlap two proportions'!$AL$33</definedName>
    <definedName name="forC26">'[4]Overlap two proportions'!$AL$33</definedName>
    <definedName name="forC27" localSheetId="4">'[3]Overlap two proportions'!$AL$34</definedName>
    <definedName name="forC27">'[4]Overlap two proportions'!$AL$34</definedName>
    <definedName name="forC28" localSheetId="4">'[3]Overlap two proportions'!$AL$35</definedName>
    <definedName name="forC28">'[4]Overlap two proportions'!$AL$35</definedName>
    <definedName name="forC29" localSheetId="4">'[3]Overlap two proportions'!$AL$36</definedName>
    <definedName name="forC29">'[4]Overlap two proportions'!$AL$36</definedName>
    <definedName name="forC3" localSheetId="4">'[3]Overlap two proportions'!$AL$10</definedName>
    <definedName name="forC3">'[4]Overlap two proportions'!$AL$10</definedName>
    <definedName name="forC30" localSheetId="4">'[3]Overlap two proportions'!$AL$37</definedName>
    <definedName name="forC30">'[4]Overlap two proportions'!$AL$37</definedName>
    <definedName name="forC31" localSheetId="4">'[3]Overlap two proportions'!$AL$38</definedName>
    <definedName name="forC31">'[4]Overlap two proportions'!$AL$38</definedName>
    <definedName name="forC32" localSheetId="4">'[3]Overlap two proportions'!$AL$39</definedName>
    <definedName name="forC32">'[4]Overlap two proportions'!$AL$39</definedName>
    <definedName name="forC33" localSheetId="4">'[3]Overlap two proportions'!$AL$40</definedName>
    <definedName name="forC33">'[4]Overlap two proportions'!$AL$40</definedName>
    <definedName name="forC34" localSheetId="4">'[3]Overlap two proportions'!$AL$41</definedName>
    <definedName name="forC34">'[4]Overlap two proportions'!$AL$41</definedName>
    <definedName name="forC35" localSheetId="4">'[3]Overlap two proportions'!$AL$42</definedName>
    <definedName name="forC35">'[4]Overlap two proportions'!$AL$42</definedName>
    <definedName name="forC36" localSheetId="4">'[3]Overlap two proportions'!$AL$43</definedName>
    <definedName name="forC36">'[4]Overlap two proportions'!$AL$43</definedName>
    <definedName name="forC37" localSheetId="4">'[3]Overlap two proportions'!$AL$44</definedName>
    <definedName name="forC37">'[4]Overlap two proportions'!$AL$44</definedName>
    <definedName name="forC38" localSheetId="4">'[3]Overlap two proportions'!$AL$45</definedName>
    <definedName name="forC38">'[4]Overlap two proportions'!$AL$45</definedName>
    <definedName name="forC39" localSheetId="4">'[3]Overlap two proportions'!$AL$46</definedName>
    <definedName name="forC39">'[4]Overlap two proportions'!$AL$46</definedName>
    <definedName name="forC4" localSheetId="4">'[3]Overlap two proportions'!$AL$11</definedName>
    <definedName name="forC4">'[4]Overlap two proportions'!$AL$11</definedName>
    <definedName name="forC40" localSheetId="4">'[3]Overlap two proportions'!$AL$47</definedName>
    <definedName name="forC40">'[4]Overlap two proportions'!$AL$47</definedName>
    <definedName name="forC41" localSheetId="4">'[3]Overlap two proportions'!$AL$48</definedName>
    <definedName name="forC41">'[4]Overlap two proportions'!$AL$48</definedName>
    <definedName name="forC42" localSheetId="4">'[3]Overlap two proportions'!$AL$49</definedName>
    <definedName name="forC42">'[4]Overlap two proportions'!$AL$49</definedName>
    <definedName name="forC43" localSheetId="4">'[3]Overlap two proportions'!$AL$50</definedName>
    <definedName name="forC43">'[4]Overlap two proportions'!$AL$50</definedName>
    <definedName name="forC44" localSheetId="4">'[3]Overlap two proportions'!$AL$51</definedName>
    <definedName name="forC44">'[4]Overlap two proportions'!$AL$51</definedName>
    <definedName name="forC45" localSheetId="4">'[3]Overlap two proportions'!$AL$52</definedName>
    <definedName name="forC45">'[4]Overlap two proportions'!$AL$52</definedName>
    <definedName name="forC46" localSheetId="4">'[3]Overlap two proportions'!$AL$53</definedName>
    <definedName name="forC46">'[4]Overlap two proportions'!$AL$53</definedName>
    <definedName name="forC47" localSheetId="4">'[3]Overlap two proportions'!$AL$54</definedName>
    <definedName name="forC47">'[4]Overlap two proportions'!$AL$54</definedName>
    <definedName name="forC48" localSheetId="4">'[3]Overlap two proportions'!$AL$55</definedName>
    <definedName name="forC48">'[4]Overlap two proportions'!$AL$55</definedName>
    <definedName name="forC49" localSheetId="4">'[3]Overlap two proportions'!$AL$56</definedName>
    <definedName name="forC49">'[4]Overlap two proportions'!$AL$56</definedName>
    <definedName name="forC5" localSheetId="4">'[3]Overlap two proportions'!$AL$12</definedName>
    <definedName name="forC5">'[4]Overlap two proportions'!$AL$12</definedName>
    <definedName name="forC50" localSheetId="4">'[3]Overlap two proportions'!$AL$57</definedName>
    <definedName name="forC50">'[4]Overlap two proportions'!$AL$57</definedName>
    <definedName name="forC51" localSheetId="4">'[3]Overlap two proportions'!$AL$58</definedName>
    <definedName name="forC51">'[4]Overlap two proportions'!$AL$58</definedName>
    <definedName name="forC52" localSheetId="4">'[3]Overlap two proportions'!$AL$59</definedName>
    <definedName name="forC52">'[4]Overlap two proportions'!$AL$59</definedName>
    <definedName name="forC53" localSheetId="4">'[3]Overlap two proportions'!$AL$60</definedName>
    <definedName name="forC53">'[4]Overlap two proportions'!$AL$60</definedName>
    <definedName name="forC54" localSheetId="4">'[3]Overlap two proportions'!$AL$61</definedName>
    <definedName name="forC54">'[4]Overlap two proportions'!$AL$61</definedName>
    <definedName name="forC55" localSheetId="4">'[3]Overlap two proportions'!$AL$62</definedName>
    <definedName name="forC55">'[4]Overlap two proportions'!$AL$62</definedName>
    <definedName name="forC56" localSheetId="4">'[3]Overlap two proportions'!$AL$63</definedName>
    <definedName name="forC56">'[4]Overlap two proportions'!$AL$63</definedName>
    <definedName name="forC57" localSheetId="4">'[3]Overlap two proportions'!$AL$64</definedName>
    <definedName name="forC57">'[4]Overlap two proportions'!$AL$64</definedName>
    <definedName name="forC58" localSheetId="4">'[3]Overlap two proportions'!$AL$65</definedName>
    <definedName name="forC58">'[4]Overlap two proportions'!$AL$65</definedName>
    <definedName name="forC59" localSheetId="4">'[3]Overlap two proportions'!$AL$66</definedName>
    <definedName name="forC59">'[4]Overlap two proportions'!$AL$66</definedName>
    <definedName name="forC6" localSheetId="4">'[3]Overlap two proportions'!$AL$13</definedName>
    <definedName name="forC6">'[4]Overlap two proportions'!$AL$13</definedName>
    <definedName name="forC60" localSheetId="4">'[3]Overlap two proportions'!$AL$67</definedName>
    <definedName name="forC60">'[4]Overlap two proportions'!$AL$67</definedName>
    <definedName name="forC7" localSheetId="4">'[3]Overlap two proportions'!$AL$14</definedName>
    <definedName name="forC7">'[4]Overlap two proportions'!$AL$14</definedName>
    <definedName name="forC8" localSheetId="4">'[3]Overlap two proportions'!$AL$15</definedName>
    <definedName name="forC8">'[4]Overlap two proportions'!$AL$15</definedName>
    <definedName name="forC9" localSheetId="4">'[3]Overlap two proportions'!$AL$16</definedName>
    <definedName name="forC9">'[4]Overlap two proportions'!$AL$16</definedName>
    <definedName name="forCd1" localSheetId="4">'[3]Overlap two proportions'!$BN$8</definedName>
    <definedName name="forCd1">'[4]Overlap two proportions'!$BN$8</definedName>
    <definedName name="forCd10" localSheetId="4">'[3]Overlap two proportions'!$BN$17</definedName>
    <definedName name="forCd10">'[4]Overlap two proportions'!$BN$17</definedName>
    <definedName name="forCd11" localSheetId="4">'[3]Overlap two proportions'!$BN$18</definedName>
    <definedName name="forCd11">'[4]Overlap two proportions'!$BN$18</definedName>
    <definedName name="forCd12" localSheetId="4">'[3]Overlap two proportions'!$BN$19</definedName>
    <definedName name="forCd12">'[4]Overlap two proportions'!$BN$19</definedName>
    <definedName name="forCd13" localSheetId="4">'[3]Overlap two proportions'!$BN$20</definedName>
    <definedName name="forCd13">'[4]Overlap two proportions'!$BN$20</definedName>
    <definedName name="forCd14" localSheetId="4">'[3]Overlap two proportions'!$BN$21</definedName>
    <definedName name="forCd14">'[4]Overlap two proportions'!$BN$21</definedName>
    <definedName name="forCd15" localSheetId="4">'[3]Overlap two proportions'!$BN$22</definedName>
    <definedName name="forCd15">'[4]Overlap two proportions'!$BN$22</definedName>
    <definedName name="forCd16" localSheetId="4">'[3]Overlap two proportions'!$BN$23</definedName>
    <definedName name="forCd16">'[4]Overlap two proportions'!$BN$23</definedName>
    <definedName name="forCd17" localSheetId="4">'[3]Overlap two proportions'!$BN$24</definedName>
    <definedName name="forCd17">'[4]Overlap two proportions'!$BN$24</definedName>
    <definedName name="forCd18" localSheetId="4">'[3]Overlap two proportions'!$BN$25</definedName>
    <definedName name="forCd18">'[4]Overlap two proportions'!$BN$25</definedName>
    <definedName name="forCd19" localSheetId="4">'[3]Overlap two proportions'!$BN$26</definedName>
    <definedName name="forCd19">'[4]Overlap two proportions'!$BN$26</definedName>
    <definedName name="forCd2" localSheetId="4">'[3]Overlap two proportions'!$BN$9</definedName>
    <definedName name="forCd2">'[4]Overlap two proportions'!$BN$9</definedName>
    <definedName name="forCd20" localSheetId="4">'[3]Overlap two proportions'!$BN$27</definedName>
    <definedName name="forCd20">'[4]Overlap two proportions'!$BN$27</definedName>
    <definedName name="forCd21" localSheetId="4">'[3]Overlap two proportions'!$BN$28</definedName>
    <definedName name="forCd21">'[4]Overlap two proportions'!$BN$28</definedName>
    <definedName name="forCd22" localSheetId="4">'[3]Overlap two proportions'!$BN$29</definedName>
    <definedName name="forCd22">'[4]Overlap two proportions'!$BN$29</definedName>
    <definedName name="forCd23" localSheetId="4">'[3]Overlap two proportions'!$BN$30</definedName>
    <definedName name="forCd23">'[4]Overlap two proportions'!$BN$30</definedName>
    <definedName name="forCd24" localSheetId="4">'[3]Overlap two proportions'!$BN$31</definedName>
    <definedName name="forCd24">'[4]Overlap two proportions'!$BN$31</definedName>
    <definedName name="forCd25" localSheetId="4">'[3]Overlap two proportions'!$BN$32</definedName>
    <definedName name="forCd25">'[4]Overlap two proportions'!$BN$32</definedName>
    <definedName name="forCd26" localSheetId="4">'[3]Overlap two proportions'!$BN$33</definedName>
    <definedName name="forCd26">'[4]Overlap two proportions'!$BN$33</definedName>
    <definedName name="forCd27" localSheetId="4">'[3]Overlap two proportions'!$BN$34</definedName>
    <definedName name="forCd27">'[4]Overlap two proportions'!$BN$34</definedName>
    <definedName name="forCd28" localSheetId="4">'[3]Overlap two proportions'!$BN$35</definedName>
    <definedName name="forCd28">'[4]Overlap two proportions'!$BN$35</definedName>
    <definedName name="forCd29" localSheetId="4">'[3]Overlap two proportions'!$BN$36</definedName>
    <definedName name="forCd29">'[4]Overlap two proportions'!$BN$36</definedName>
    <definedName name="forCd3" localSheetId="4">'[3]Overlap two proportions'!$BN$10</definedName>
    <definedName name="forCd3">'[4]Overlap two proportions'!$BN$10</definedName>
    <definedName name="forCd30" localSheetId="4">'[3]Overlap two proportions'!$BN$37</definedName>
    <definedName name="forCd30">'[4]Overlap two proportions'!$BN$37</definedName>
    <definedName name="forCd31" localSheetId="4">'[3]Overlap two proportions'!$BN$38</definedName>
    <definedName name="forCd31">'[4]Overlap two proportions'!$BN$38</definedName>
    <definedName name="forCd32" localSheetId="4">'[3]Overlap two proportions'!$BN$39</definedName>
    <definedName name="forCd32">'[4]Overlap two proportions'!$BN$39</definedName>
    <definedName name="forCd33" localSheetId="4">'[3]Overlap two proportions'!$BN$40</definedName>
    <definedName name="forCd33">'[4]Overlap two proportions'!$BN$40</definedName>
    <definedName name="forCd34" localSheetId="4">'[3]Overlap two proportions'!$BN$41</definedName>
    <definedName name="forCd34">'[4]Overlap two proportions'!$BN$41</definedName>
    <definedName name="forCd35" localSheetId="4">'[3]Overlap two proportions'!$BN$42</definedName>
    <definedName name="forCd35">'[4]Overlap two proportions'!$BN$42</definedName>
    <definedName name="forCd36" localSheetId="4">'[3]Overlap two proportions'!$BN$43</definedName>
    <definedName name="forCd36">'[4]Overlap two proportions'!$BN$43</definedName>
    <definedName name="forCd37" localSheetId="4">'[3]Overlap two proportions'!$BN$44</definedName>
    <definedName name="forCd37">'[4]Overlap two proportions'!$BN$44</definedName>
    <definedName name="forCd38" localSheetId="4">'[3]Overlap two proportions'!$BN$45</definedName>
    <definedName name="forCd38">'[4]Overlap two proportions'!$BN$45</definedName>
    <definedName name="forCd39" localSheetId="4">'[3]Overlap two proportions'!$BN$46</definedName>
    <definedName name="forCd39">'[4]Overlap two proportions'!$BN$46</definedName>
    <definedName name="forCd4" localSheetId="4">'[3]Overlap two proportions'!$BN$11</definedName>
    <definedName name="forCd4">'[4]Overlap two proportions'!$BN$11</definedName>
    <definedName name="forCd40" localSheetId="4">'[3]Overlap two proportions'!$BN$47</definedName>
    <definedName name="forCd40">'[4]Overlap two proportions'!$BN$47</definedName>
    <definedName name="forCd41" localSheetId="4">'[3]Overlap two proportions'!$BN$48</definedName>
    <definedName name="forCd41">'[4]Overlap two proportions'!$BN$48</definedName>
    <definedName name="forCd42" localSheetId="4">'[3]Overlap two proportions'!$BN$49</definedName>
    <definedName name="forCd42">'[4]Overlap two proportions'!$BN$49</definedName>
    <definedName name="forCd43" localSheetId="4">'[3]Overlap two proportions'!$BN$50</definedName>
    <definedName name="forCd43">'[4]Overlap two proportions'!$BN$50</definedName>
    <definedName name="forCd44" localSheetId="4">'[3]Overlap two proportions'!$BN$51</definedName>
    <definedName name="forCd44">'[4]Overlap two proportions'!$BN$51</definedName>
    <definedName name="forCd45" localSheetId="4">'[3]Overlap two proportions'!$BN$52</definedName>
    <definedName name="forCd45">'[4]Overlap two proportions'!$BN$52</definedName>
    <definedName name="forCd46" localSheetId="4">'[3]Overlap two proportions'!$BN$53</definedName>
    <definedName name="forCd46">'[4]Overlap two proportions'!$BN$53</definedName>
    <definedName name="forCd47" localSheetId="4">'[3]Overlap two proportions'!$BN$54</definedName>
    <definedName name="forCd47">'[4]Overlap two proportions'!$BN$54</definedName>
    <definedName name="forCd48" localSheetId="4">'[3]Overlap two proportions'!$BN$55</definedName>
    <definedName name="forCd48">'[4]Overlap two proportions'!$BN$55</definedName>
    <definedName name="forCd49" localSheetId="4">'[3]Overlap two proportions'!$BN$56</definedName>
    <definedName name="forCd49">'[4]Overlap two proportions'!$BN$56</definedName>
    <definedName name="forCd5" localSheetId="4">'[3]Overlap two proportions'!$BN$12</definedName>
    <definedName name="forCd5">'[4]Overlap two proportions'!$BN$12</definedName>
    <definedName name="forCd50" localSheetId="4">'[3]Overlap two proportions'!$BN$57</definedName>
    <definedName name="forCd50">'[4]Overlap two proportions'!$BN$57</definedName>
    <definedName name="forCd51" localSheetId="4">'[3]Overlap two proportions'!$BN$58</definedName>
    <definedName name="forCd51">'[4]Overlap two proportions'!$BN$58</definedName>
    <definedName name="forCd52" localSheetId="4">'[3]Overlap two proportions'!$BN$59</definedName>
    <definedName name="forCd52">'[4]Overlap two proportions'!$BN$59</definedName>
    <definedName name="forCd53" localSheetId="4">'[3]Overlap two proportions'!$BN$60</definedName>
    <definedName name="forCd53">'[4]Overlap two proportions'!$BN$60</definedName>
    <definedName name="forCd54" localSheetId="4">'[3]Overlap two proportions'!$BN$61</definedName>
    <definedName name="forCd54">'[4]Overlap two proportions'!$BN$61</definedName>
    <definedName name="forCd55" localSheetId="4">'[3]Overlap two proportions'!$BN$62</definedName>
    <definedName name="forCd55">'[4]Overlap two proportions'!$BN$62</definedName>
    <definedName name="forCd56" localSheetId="4">'[3]Overlap two proportions'!$BN$63</definedName>
    <definedName name="forCd56">'[4]Overlap two proportions'!$BN$63</definedName>
    <definedName name="forCd57" localSheetId="4">'[3]Overlap two proportions'!$BN$64</definedName>
    <definedName name="forCd57">'[4]Overlap two proportions'!$BN$64</definedName>
    <definedName name="forCd58" localSheetId="4">'[3]Overlap two proportions'!$BN$65</definedName>
    <definedName name="forCd58">'[4]Overlap two proportions'!$BN$65</definedName>
    <definedName name="forCd59" localSheetId="4">'[3]Overlap two proportions'!$BN$66</definedName>
    <definedName name="forCd59">'[4]Overlap two proportions'!$BN$66</definedName>
    <definedName name="forCd6" localSheetId="4">'[3]Overlap two proportions'!$BN$13</definedName>
    <definedName name="forCd6">'[4]Overlap two proportions'!$BN$13</definedName>
    <definedName name="forCd60" localSheetId="4">'[3]Overlap two proportions'!$BN$67</definedName>
    <definedName name="forCd60">'[4]Overlap two proportions'!$BN$67</definedName>
    <definedName name="forCd7" localSheetId="4">'[3]Overlap two proportions'!$BN$14</definedName>
    <definedName name="forCd7">'[4]Overlap two proportions'!$BN$14</definedName>
    <definedName name="forCd8" localSheetId="4">'[3]Overlap two proportions'!$BN$15</definedName>
    <definedName name="forCd8">'[4]Overlap two proportions'!$BN$15</definedName>
    <definedName name="forCd9" localSheetId="4">'[3]Overlap two proportions'!$BN$16</definedName>
    <definedName name="forCd9">'[4]Overlap two proportions'!$BN$16</definedName>
    <definedName name="forLR">Random!$M$56</definedName>
    <definedName name="forLzero">#REF!</definedName>
    <definedName name="forLzerotwo">#REF!</definedName>
    <definedName name="formean">#REF!</definedName>
    <definedName name="formeantwo">#REF!</definedName>
    <definedName name="forMX" localSheetId="4">'[9]Calculate r'!$AD$3</definedName>
    <definedName name="forMX">'[10]Calculate r'!$AD$3</definedName>
    <definedName name="forMY" localSheetId="4">'[9]Calculate r'!$AG$3</definedName>
    <definedName name="forMY">'[10]Calculate r'!$AG$3</definedName>
    <definedName name="forn" localSheetId="4">'[9]Calculate r'!$AG$2</definedName>
    <definedName name="forn">'[10]Calculate r'!$AG$2</definedName>
    <definedName name="Forr2">#REF!</definedName>
    <definedName name="forRho" localSheetId="4">'[9]Calculate r'!$AG$1</definedName>
    <definedName name="forRho">'[10]Calculate r'!$AG$1</definedName>
    <definedName name="forRound" localSheetId="4">'[9]Calculate r'!$AD$5</definedName>
    <definedName name="forRound">'[10]Calculate r'!$AD$5</definedName>
    <definedName name="forSDX" localSheetId="4">'[9]Calculate r'!$AD$4</definedName>
    <definedName name="forSDX">'[10]Calculate r'!$AD$4</definedName>
    <definedName name="forSDY" localSheetId="4">'[9]Calculate r'!$AG$4</definedName>
    <definedName name="forSDY">'[10]Calculate r'!$AG$4</definedName>
    <definedName name="forseed" localSheetId="4">'[9]See r'!$K$4</definedName>
    <definedName name="forseed">'[10]See r'!$K$4</definedName>
    <definedName name="forzero" localSheetId="3">'Dance p'!$Z$80</definedName>
    <definedName name="forzero" localSheetId="4">'[9]See r'!$AB$5</definedName>
    <definedName name="forzero">'[10]See r'!$AB$5</definedName>
    <definedName name="forzoom" localSheetId="4">'[9]See r'!$Z$1</definedName>
    <definedName name="forzoom">'[10]See r'!$Z$1</definedName>
    <definedName name="four20" localSheetId="4">'[5]Fig 1'!$N$19:$N$22</definedName>
    <definedName name="four20">'[6]Fig 1'!$N$19:$N$22</definedName>
    <definedName name="four20old" localSheetId="4">'[5]Fig 1'!$O$19:$O$22</definedName>
    <definedName name="four20old">'[6]Fig 1'!$O$19:$O$22</definedName>
    <definedName name="freezeXtf">#REF!</definedName>
    <definedName name="freq11" localSheetId="4">'[3]Two proportions'!$G$8</definedName>
    <definedName name="freq11">'[4]Two proportions'!$G$8</definedName>
    <definedName name="freq12" localSheetId="4">'[3]Two proportions'!$I$8</definedName>
    <definedName name="freq12">'[4]Two proportions'!$I$8</definedName>
    <definedName name="freq21" localSheetId="4">'[3]Two proportions'!$G$11</definedName>
    <definedName name="freq21">'[4]Two proportions'!$G$11</definedName>
    <definedName name="freq22" localSheetId="4">'[3]Two proportions'!$I$11</definedName>
    <definedName name="freq22">'[4]Two proportions'!$I$11</definedName>
    <definedName name="Freqs1" localSheetId="4">'[3]Two proportions'!$G$8:$G$11</definedName>
    <definedName name="Freqs1">'[4]Two proportions'!$G$8:$G$11</definedName>
    <definedName name="Freqs2" localSheetId="4">'[3]Two proportions'!$I$8:$I$11</definedName>
    <definedName name="Freqs2">'[4]Two proportions'!$I$8:$I$11</definedName>
    <definedName name="FullRawData" localSheetId="4">'[3]Two proportions'!$AT$9:$AV$508</definedName>
    <definedName name="FullRawData">'[4]Two proportions'!$AT$9:$AV$508</definedName>
    <definedName name="genXY" localSheetId="4">'[9]Calculate r'!$AH$8:$AI$307</definedName>
    <definedName name="genXY">'[10]Calculate r'!$AH$8:$AI$307</definedName>
    <definedName name="getht" localSheetId="3">'Dance p'!$L$17</definedName>
    <definedName name="getht">#REF!</definedName>
    <definedName name="getrand" localSheetId="4">'[9]Calculate r'!$AD$2</definedName>
    <definedName name="getrand">'[10]Calculate r'!$AD$2</definedName>
    <definedName name="iscaptg" localSheetId="1">#REF!</definedName>
    <definedName name="iscaptg" localSheetId="3">'Dance p'!#REF!</definedName>
    <definedName name="iscaptg" localSheetId="4">#REF!</definedName>
    <definedName name="iscaptg">#REF!</definedName>
    <definedName name="Kclear" localSheetId="4">[21]APR!$Y$19:$AF$1016</definedName>
    <definedName name="Kclear">[22]APR!$Y$19:$AF$1016</definedName>
    <definedName name="Kcounter" localSheetId="4">[21]APR!$Z$6</definedName>
    <definedName name="Kcounter">[22]APR!$Z$6</definedName>
    <definedName name="KDswitch" localSheetId="4">[21]APR!$Z$9</definedName>
    <definedName name="KDswitch">[22]APR!$Z$9</definedName>
    <definedName name="Kfill" localSheetId="4">[21]APR!$Z$18:$AF$1016</definedName>
    <definedName name="Kfill">[22]APR!$Z$18:$AF$1016</definedName>
    <definedName name="Kformulas" localSheetId="4">[21]APR!$Z$18:$AF$18</definedName>
    <definedName name="Kformulas">[22]APR!$Z$18:$AF$18</definedName>
    <definedName name="Kmaxy" localSheetId="4">[21]APR!$AD$5</definedName>
    <definedName name="Kmaxy">[22]APR!$AD$5</definedName>
    <definedName name="Knum" localSheetId="4">[21]APR!$AD$7</definedName>
    <definedName name="Knum">[22]APR!$AD$7</definedName>
    <definedName name="Kpark" localSheetId="4">[21]APR!$N$2</definedName>
    <definedName name="Kpark">[22]APR!$N$2</definedName>
    <definedName name="Krand" localSheetId="4">[21]APR!$Z$8</definedName>
    <definedName name="Krand">[22]APR!$Z$8</definedName>
    <definedName name="Kseed" localSheetId="4">[21]APR!$N$3</definedName>
    <definedName name="Kseed">[22]APR!$N$3</definedName>
    <definedName name="Kseries" localSheetId="4">[21]APR!$Y$18</definedName>
    <definedName name="Kseries">[22]APR!$Y$18</definedName>
    <definedName name="Kspeed" localSheetId="4">[21]APR!$J$17</definedName>
    <definedName name="Kspeed">[22]APR!$J$17</definedName>
    <definedName name="Kswitch" localSheetId="4">[21]APR!$Z$5</definedName>
    <definedName name="Kswitch">[22]APR!$Z$5</definedName>
    <definedName name="Ktest" localSheetId="4">[21]APR!$Y$19</definedName>
    <definedName name="Ktest">[22]APR!$Y$19</definedName>
    <definedName name="Ktopswitch" localSheetId="4">[21]APR!$Z$7</definedName>
    <definedName name="Ktopswitch">[22]APR!$Z$7</definedName>
    <definedName name="Kxinc" localSheetId="4">[21]APR!$U$32</definedName>
    <definedName name="Kxinc">[22]APR!$U$32</definedName>
    <definedName name="Kxinc2" localSheetId="4">[21]APR!$AE$4</definedName>
    <definedName name="Kxinc2">[22]APR!$AE$4</definedName>
    <definedName name="Kxinc3" localSheetId="4">[21]APR!$AE$3</definedName>
    <definedName name="Kxinc3">[22]APR!$AE$3</definedName>
    <definedName name="Kxinc4" localSheetId="4">[21]APR!$AE$2</definedName>
    <definedName name="Kxinc4">[22]APR!$AE$2</definedName>
    <definedName name="Kyinc" localSheetId="4">[21]APR!$U$35</definedName>
    <definedName name="Kyinc">[22]APR!$U$35</definedName>
    <definedName name="Kyinc2" localSheetId="4">[21]APR!$AF$4</definedName>
    <definedName name="Kyinc2">[22]APR!$AF$4</definedName>
    <definedName name="Kyinc3" localSheetId="4">[21]APR!$AF$3</definedName>
    <definedName name="Kyinc3">[22]APR!$AF$3</definedName>
    <definedName name="Kyinc4" localSheetId="4">[21]APR!$AF$2</definedName>
    <definedName name="Kyinc4">[22]APR!$AF$2</definedName>
    <definedName name="labelsprops" localSheetId="1">'[17]Two proportions'!$B$9:$C$10,'[17]Two proportions'!$E$8,'[17]Two proportions'!$E$11,'[17]Two proportions'!$G$4:$I$4,'[17]Two proportions'!$G$6,'[17]Two proportions'!$I$6</definedName>
    <definedName name="labelsprops" localSheetId="3">'[17]Two proportions'!$B$9:$C$10,'[17]Two proportions'!$E$8,'[17]Two proportions'!$E$11,'[17]Two proportions'!$G$4:$I$4,'[17]Two proportions'!$G$6,'[17]Two proportions'!$I$6</definedName>
    <definedName name="labelsprops" localSheetId="4">'[18]Two proportions'!$B$9:$C$10,'[18]Two proportions'!$E$8,'[18]Two proportions'!$E$11,'[18]Two proportions'!$G$4:$I$4,'[18]Two proportions'!$G$6,'[18]Two proportions'!$I$6</definedName>
    <definedName name="labelsprops">'[17]Two proportions'!$B$9:$C$10,'[17]Two proportions'!$E$8,'[17]Two proportions'!$E$11,'[17]Two proportions'!$G$4:$I$4,'[17]Two proportions'!$G$6,'[17]Two proportions'!$I$6</definedName>
    <definedName name="lcapt" localSheetId="4">'[9]Sample r'!$N$20</definedName>
    <definedName name="lcapt">'[10]Sample r'!$N$20</definedName>
    <definedName name="Lpvf" localSheetId="3">#REF!</definedName>
    <definedName name="Lpvf" localSheetId="4">Random!#REF!</definedName>
    <definedName name="Lpvf">'[6]p value function'!$O$4</definedName>
    <definedName name="MatchOrig" localSheetId="4">'[3]Two proportions'!$R$15</definedName>
    <definedName name="MatchOrig">'[4]Two proportions'!$R$15</definedName>
    <definedName name="MAtunits">#REF!</definedName>
    <definedName name="MAunits">#REF!</definedName>
    <definedName name="maxnosamps">#REF!</definedName>
    <definedName name="MeanHeapSwitch">#REF!</definedName>
    <definedName name="mindist">Random!$F$13</definedName>
    <definedName name="MU" localSheetId="6">'Data two'!#REF!</definedName>
    <definedName name="MU">#REF!</definedName>
    <definedName name="mue" localSheetId="3">'Dance p'!$AB$5</definedName>
    <definedName name="mue">#REF!</definedName>
    <definedName name="MUone" localSheetId="3">#REF!</definedName>
    <definedName name="MUone" localSheetId="8">'Data paired'!#REF!</definedName>
    <definedName name="MUone" localSheetId="9">'Simulate paired'!#REF!</definedName>
    <definedName name="MUone">#REF!</definedName>
    <definedName name="MUREP">#REF!</definedName>
    <definedName name="MUtwo" localSheetId="3">#REF!</definedName>
    <definedName name="MUtwo" localSheetId="8">'Data paired'!#REF!</definedName>
    <definedName name="MUtwo" localSheetId="9">'Simulate paired'!#REF!</definedName>
    <definedName name="MUtwo">#REF!</definedName>
    <definedName name="N" localSheetId="8">'Data paired'!#REF!</definedName>
    <definedName name="N" localSheetId="9">'Simulate paired'!#REF!</definedName>
    <definedName name="N" localSheetId="7">'Simulate two'!$B$6</definedName>
    <definedName name="N">#REF!</definedName>
    <definedName name="nawtone">#REF!</definedName>
    <definedName name="ncaptg" localSheetId="1">#REF!</definedName>
    <definedName name="ncaptg" localSheetId="3">#REF!</definedName>
    <definedName name="ncaptg" localSheetId="4">#REF!</definedName>
    <definedName name="ncaptg">#REF!</definedName>
    <definedName name="ncaptgM" localSheetId="4">[12]Replication!$W$26</definedName>
    <definedName name="ncaptgM">[13]Replication!$W$26</definedName>
    <definedName name="ncplh" localSheetId="1">'[1]MA  Standardised units'!$Z$4</definedName>
    <definedName name="ncplh" localSheetId="3">'[1]MA  Standardised units'!$Z$4</definedName>
    <definedName name="ncplh" localSheetId="8">'[1]MA  Standardised units'!$Z$4</definedName>
    <definedName name="ncplh" localSheetId="6">'[1]MA  Standardised units'!$Z$4</definedName>
    <definedName name="ncplh" localSheetId="4">'[2]MA  Standardised units'!$Z$4</definedName>
    <definedName name="ncplh" localSheetId="9">'[1]MA  Standardised units'!$Z$4</definedName>
    <definedName name="ncplh" localSheetId="7">'[1]MA  Standardised units'!$Z$4</definedName>
    <definedName name="ncplh">'[1]MA  Standardised units'!$Z$4</definedName>
    <definedName name="ncprh" localSheetId="1">'[1]MA  Standardised units'!$AA$4</definedName>
    <definedName name="ncprh" localSheetId="3">'[1]MA  Standardised units'!$AA$4</definedName>
    <definedName name="ncprh" localSheetId="8">'[1]MA  Standardised units'!$AA$4</definedName>
    <definedName name="ncprh" localSheetId="6">'[1]MA  Standardised units'!$AA$4</definedName>
    <definedName name="ncprh" localSheetId="4">'[2]MA  Standardised units'!$AA$4</definedName>
    <definedName name="ncprh" localSheetId="9">'[1]MA  Standardised units'!$AA$4</definedName>
    <definedName name="ncprh" localSheetId="7">'[1]MA  Standardised units'!$AA$4</definedName>
    <definedName name="ncprh">'[1]MA  Standardised units'!$AA$4</definedName>
    <definedName name="ncpstartdp">'Data paired'!$B$17:$C$17</definedName>
    <definedName name="ncpstartdt">'Data two'!$B$16:$C$16</definedName>
    <definedName name="ncpstartsp">'Simulate paired'!$C$19:$D$19</definedName>
    <definedName name="ncpstartst">'Simulate two'!$C$21:$D$21</definedName>
    <definedName name="newsamps" localSheetId="1">#REF!</definedName>
    <definedName name="newsamps" localSheetId="3">'Dance p'!$A$4:$I$4</definedName>
    <definedName name="newsamps" localSheetId="4">#REF!</definedName>
    <definedName name="newsamps">#REF!</definedName>
    <definedName name="newsamps1">#REF!</definedName>
    <definedName name="nextcaptg" localSheetId="1">#REF!</definedName>
    <definedName name="nextcaptg" localSheetId="3">#REF!</definedName>
    <definedName name="nextcaptg" localSheetId="4">#REF!</definedName>
    <definedName name="nextcaptg">#REF!</definedName>
    <definedName name="nextcaptgM" localSheetId="4">[12]Replication!$W$27</definedName>
    <definedName name="nextcaptgM">[13]Replication!$W$27</definedName>
    <definedName name="nextsamples" localSheetId="1">#REF!</definedName>
    <definedName name="nextsamples" localSheetId="3">[23]CIjumping!$G$27</definedName>
    <definedName name="nextsamples" localSheetId="8">[23]CIjumping!$G$27</definedName>
    <definedName name="nextsamples" localSheetId="6">[23]CIjumping!$G$27</definedName>
    <definedName name="nextsamples" localSheetId="4">#REF!</definedName>
    <definedName name="nextsamples" localSheetId="9">[23]CIjumping!$G$27</definedName>
    <definedName name="nextsamples" localSheetId="7">[23]CIjumping!$G$27</definedName>
    <definedName name="nextsamples">[23]CIjumping!$G$27</definedName>
    <definedName name="nhisto" localSheetId="3">'Dance p'!$B$4:$F$4</definedName>
    <definedName name="nhisto">#REF!</definedName>
    <definedName name="nlcapt" localSheetId="4">'[9]Sample r'!$P$21</definedName>
    <definedName name="nlcapt">'[10]Sample r'!$P$21</definedName>
    <definedName name="nlu" localSheetId="4">'[9]Sample r'!$P$20:$P$22</definedName>
    <definedName name="nlu">'[10]Sample r'!$P$20:$P$22</definedName>
    <definedName name="NN">#REF!</definedName>
    <definedName name="nof">Random!$F$23</definedName>
    <definedName name="None" localSheetId="1">#REF!</definedName>
    <definedName name="None" localSheetId="6">'Data two'!$N$16</definedName>
    <definedName name="None" localSheetId="4">#REF!</definedName>
    <definedName name="None">#REF!</definedName>
    <definedName name="nopts">Random!$F$8</definedName>
    <definedName name="NP" localSheetId="1">#REF!</definedName>
    <definedName name="NP" localSheetId="3">#REF!</definedName>
    <definedName name="NP" localSheetId="8">#REF!</definedName>
    <definedName name="NP" localSheetId="6">#REF!</definedName>
    <definedName name="NP" localSheetId="4">#REF!</definedName>
    <definedName name="NP" localSheetId="9">#REF!</definedName>
    <definedName name="NP" localSheetId="7">#REF!</definedName>
    <definedName name="NP">'[24]Paired Data'!$K$8</definedName>
    <definedName name="nrep">#REF!</definedName>
    <definedName name="nsamp1" localSheetId="1">'[1]MA  Standardised units'!$G$6</definedName>
    <definedName name="nsamp1" localSheetId="3">'[1]MA  Standardised units'!$G$6</definedName>
    <definedName name="nsamp1" localSheetId="8">'[1]MA  Standardised units'!$G$6</definedName>
    <definedName name="nsamp1" localSheetId="6">'[1]MA  Standardised units'!$G$6</definedName>
    <definedName name="nsamp1" localSheetId="4">'[2]MA  Standardised units'!$G$6</definedName>
    <definedName name="nsamp1" localSheetId="9">'[1]MA  Standardised units'!$G$6</definedName>
    <definedName name="nsamp1" localSheetId="7">'[1]MA  Standardised units'!$G$6</definedName>
    <definedName name="nsamp1">'[1]MA  Standardised units'!$G$6</definedName>
    <definedName name="nsamp10" localSheetId="1">'[1]MA  Standardised units'!$G$15</definedName>
    <definedName name="nsamp10" localSheetId="3">'[1]MA  Standardised units'!$G$15</definedName>
    <definedName name="nsamp10" localSheetId="8">'[1]MA  Standardised units'!$G$15</definedName>
    <definedName name="nsamp10" localSheetId="6">'[1]MA  Standardised units'!$G$15</definedName>
    <definedName name="nsamp10" localSheetId="4">'[2]MA  Standardised units'!$G$15</definedName>
    <definedName name="nsamp10" localSheetId="9">'[1]MA  Standardised units'!$G$15</definedName>
    <definedName name="nsamp10" localSheetId="7">'[1]MA  Standardised units'!$G$15</definedName>
    <definedName name="nsamp10">'[1]MA  Standardised units'!$G$15</definedName>
    <definedName name="nsamp11" localSheetId="1">'[1]MA  Standardised units'!$G$18</definedName>
    <definedName name="nsamp11" localSheetId="3">'[1]MA  Standardised units'!$G$18</definedName>
    <definedName name="nsamp11" localSheetId="8">'[1]MA  Standardised units'!$G$18</definedName>
    <definedName name="nsamp11" localSheetId="6">'[1]MA  Standardised units'!$G$18</definedName>
    <definedName name="nsamp11" localSheetId="4">'[2]MA  Standardised units'!$G$18</definedName>
    <definedName name="nsamp11" localSheetId="9">'[1]MA  Standardised units'!$G$18</definedName>
    <definedName name="nsamp11" localSheetId="7">'[1]MA  Standardised units'!$G$18</definedName>
    <definedName name="nsamp11">'[1]MA  Standardised units'!$G$18</definedName>
    <definedName name="nsamp12" localSheetId="1">'[1]MA  Standardised units'!$G$21</definedName>
    <definedName name="nsamp12" localSheetId="3">'[1]MA  Standardised units'!$G$21</definedName>
    <definedName name="nsamp12" localSheetId="8">'[1]MA  Standardised units'!$G$21</definedName>
    <definedName name="nsamp12" localSheetId="6">'[1]MA  Standardised units'!$G$21</definedName>
    <definedName name="nsamp12" localSheetId="4">'[2]MA  Standardised units'!$G$21</definedName>
    <definedName name="nsamp12" localSheetId="9">'[1]MA  Standardised units'!$G$21</definedName>
    <definedName name="nsamp12" localSheetId="7">'[1]MA  Standardised units'!$G$21</definedName>
    <definedName name="nsamp12">'[1]MA  Standardised units'!$G$21</definedName>
    <definedName name="nsamp13" localSheetId="1">'[1]MA  Standardised units'!$G$24</definedName>
    <definedName name="nsamp13" localSheetId="3">'[1]MA  Standardised units'!$G$24</definedName>
    <definedName name="nsamp13" localSheetId="8">'[1]MA  Standardised units'!$G$24</definedName>
    <definedName name="nsamp13" localSheetId="6">'[1]MA  Standardised units'!$G$24</definedName>
    <definedName name="nsamp13" localSheetId="4">'[2]MA  Standardised units'!$G$24</definedName>
    <definedName name="nsamp13" localSheetId="9">'[1]MA  Standardised units'!$G$24</definedName>
    <definedName name="nsamp13" localSheetId="7">'[1]MA  Standardised units'!$G$24</definedName>
    <definedName name="nsamp13">'[1]MA  Standardised units'!$G$24</definedName>
    <definedName name="nsamp2" localSheetId="1">'[1]MA  Standardised units'!$G$7</definedName>
    <definedName name="nsamp2" localSheetId="3">'[1]MA  Standardised units'!$G$7</definedName>
    <definedName name="nsamp2" localSheetId="8">'[1]MA  Standardised units'!$G$7</definedName>
    <definedName name="nsamp2" localSheetId="6">'[1]MA  Standardised units'!$G$7</definedName>
    <definedName name="nsamp2" localSheetId="4">'[2]MA  Standardised units'!$G$7</definedName>
    <definedName name="nsamp2" localSheetId="9">'[1]MA  Standardised units'!$G$7</definedName>
    <definedName name="nsamp2" localSheetId="7">'[1]MA  Standardised units'!$G$7</definedName>
    <definedName name="nsamp2">'[1]MA  Standardised units'!$G$7</definedName>
    <definedName name="nsamp3" localSheetId="1">'[1]MA  Standardised units'!$G$8</definedName>
    <definedName name="nsamp3" localSheetId="3">'[1]MA  Standardised units'!$G$8</definedName>
    <definedName name="nsamp3" localSheetId="8">'[1]MA  Standardised units'!$G$8</definedName>
    <definedName name="nsamp3" localSheetId="6">'[1]MA  Standardised units'!$G$8</definedName>
    <definedName name="nsamp3" localSheetId="4">'[2]MA  Standardised units'!$G$8</definedName>
    <definedName name="nsamp3" localSheetId="9">'[1]MA  Standardised units'!$G$8</definedName>
    <definedName name="nsamp3" localSheetId="7">'[1]MA  Standardised units'!$G$8</definedName>
    <definedName name="nsamp3">'[1]MA  Standardised units'!$G$8</definedName>
    <definedName name="nsamp4" localSheetId="1">'[1]MA  Standardised units'!$G$9</definedName>
    <definedName name="nsamp4" localSheetId="3">'[1]MA  Standardised units'!$G$9</definedName>
    <definedName name="nsamp4" localSheetId="8">'[1]MA  Standardised units'!$G$9</definedName>
    <definedName name="nsamp4" localSheetId="6">'[1]MA  Standardised units'!$G$9</definedName>
    <definedName name="nsamp4" localSheetId="4">'[2]MA  Standardised units'!$G$9</definedName>
    <definedName name="nsamp4" localSheetId="9">'[1]MA  Standardised units'!$G$9</definedName>
    <definedName name="nsamp4" localSheetId="7">'[1]MA  Standardised units'!$G$9</definedName>
    <definedName name="nsamp4">'[1]MA  Standardised units'!$G$9</definedName>
    <definedName name="nsamp5" localSheetId="1">'[1]MA  Standardised units'!$G$10</definedName>
    <definedName name="nsamp5" localSheetId="3">'[1]MA  Standardised units'!$G$10</definedName>
    <definedName name="nsamp5" localSheetId="8">'[1]MA  Standardised units'!$G$10</definedName>
    <definedName name="nsamp5" localSheetId="6">'[1]MA  Standardised units'!$G$10</definedName>
    <definedName name="nsamp5" localSheetId="4">'[2]MA  Standardised units'!$G$10</definedName>
    <definedName name="nsamp5" localSheetId="9">'[1]MA  Standardised units'!$G$10</definedName>
    <definedName name="nsamp5" localSheetId="7">'[1]MA  Standardised units'!$G$10</definedName>
    <definedName name="nsamp5">'[1]MA  Standardised units'!$G$10</definedName>
    <definedName name="nsamp6" localSheetId="1">'[1]MA  Standardised units'!$G$11</definedName>
    <definedName name="nsamp6" localSheetId="3">'[1]MA  Standardised units'!$G$11</definedName>
    <definedName name="nsamp6" localSheetId="8">'[1]MA  Standardised units'!$G$11</definedName>
    <definedName name="nsamp6" localSheetId="6">'[1]MA  Standardised units'!$G$11</definedName>
    <definedName name="nsamp6" localSheetId="4">'[2]MA  Standardised units'!$G$11</definedName>
    <definedName name="nsamp6" localSheetId="9">'[1]MA  Standardised units'!$G$11</definedName>
    <definedName name="nsamp6" localSheetId="7">'[1]MA  Standardised units'!$G$11</definedName>
    <definedName name="nsamp6">'[1]MA  Standardised units'!$G$11</definedName>
    <definedName name="nsamp7" localSheetId="1">'[1]MA  Standardised units'!$G$12</definedName>
    <definedName name="nsamp7" localSheetId="3">'[1]MA  Standardised units'!$G$12</definedName>
    <definedName name="nsamp7" localSheetId="8">'[1]MA  Standardised units'!$G$12</definedName>
    <definedName name="nsamp7" localSheetId="6">'[1]MA  Standardised units'!$G$12</definedName>
    <definedName name="nsamp7" localSheetId="4">'[2]MA  Standardised units'!$G$12</definedName>
    <definedName name="nsamp7" localSheetId="9">'[1]MA  Standardised units'!$G$12</definedName>
    <definedName name="nsamp7" localSheetId="7">'[1]MA  Standardised units'!$G$12</definedName>
    <definedName name="nsamp7">'[1]MA  Standardised units'!$G$12</definedName>
    <definedName name="nsamp8" localSheetId="1">'[1]MA  Standardised units'!$G$13</definedName>
    <definedName name="nsamp8" localSheetId="3">'[1]MA  Standardised units'!$G$13</definedName>
    <definedName name="nsamp8" localSheetId="8">'[1]MA  Standardised units'!$G$13</definedName>
    <definedName name="nsamp8" localSheetId="6">'[1]MA  Standardised units'!$G$13</definedName>
    <definedName name="nsamp8" localSheetId="4">'[2]MA  Standardised units'!$G$13</definedName>
    <definedName name="nsamp8" localSheetId="9">'[1]MA  Standardised units'!$G$13</definedName>
    <definedName name="nsamp8" localSheetId="7">'[1]MA  Standardised units'!$G$13</definedName>
    <definedName name="nsamp8">'[1]MA  Standardised units'!$G$13</definedName>
    <definedName name="nsamp9" localSheetId="1">'[1]MA  Standardised units'!$G$14</definedName>
    <definedName name="nsamp9" localSheetId="3">'[1]MA  Standardised units'!$G$14</definedName>
    <definedName name="nsamp9" localSheetId="8">'[1]MA  Standardised units'!$G$14</definedName>
    <definedName name="nsamp9" localSheetId="6">'[1]MA  Standardised units'!$G$14</definedName>
    <definedName name="nsamp9" localSheetId="4">'[2]MA  Standardised units'!$G$14</definedName>
    <definedName name="nsamp9" localSheetId="9">'[1]MA  Standardised units'!$G$14</definedName>
    <definedName name="nsamp9" localSheetId="7">'[1]MA  Standardised units'!$G$14</definedName>
    <definedName name="nsamp9">'[1]MA  Standardised units'!$G$14</definedName>
    <definedName name="nsamples" localSheetId="1">#REF!</definedName>
    <definedName name="nsamples" localSheetId="3">'Dance p'!$I$4</definedName>
    <definedName name="nsamples" localSheetId="4">#REF!</definedName>
    <definedName name="nsamples">#REF!</definedName>
    <definedName name="nsamps">#REF!</definedName>
    <definedName name="nsamps1">#REF!</definedName>
    <definedName name="nsets" localSheetId="4">'[9]Sample r'!$P$20</definedName>
    <definedName name="nsets">'[10]Sample r'!$P$20</definedName>
    <definedName name="Ntwo" localSheetId="1">#REF!</definedName>
    <definedName name="Ntwo" localSheetId="6">'Data two'!$P$16</definedName>
    <definedName name="Ntwo" localSheetId="4">#REF!</definedName>
    <definedName name="Ntwo">#REF!</definedName>
    <definedName name="nucapt" localSheetId="4">'[9]Sample r'!$P$22</definedName>
    <definedName name="nucapt">'[10]Sample r'!$P$22</definedName>
    <definedName name="NumFreqSets" localSheetId="4">'[3]Two proportions'!$L$31</definedName>
    <definedName name="NumFreqSets">'[4]Two proportions'!$L$31</definedName>
    <definedName name="numinitsamps" localSheetId="1">'CIs and replication'!$N$21</definedName>
    <definedName name="numinitsamps">#REF!</definedName>
    <definedName name="oldsamps" localSheetId="1">#REF!</definedName>
    <definedName name="oldsamps" localSheetId="3">'Dance p'!$A$3:$I$27</definedName>
    <definedName name="oldsamps" localSheetId="4">#REF!</definedName>
    <definedName name="oldsamps">#REF!</definedName>
    <definedName name="oldsamps1">#REF!</definedName>
    <definedName name="onealso">#REF!</definedName>
    <definedName name="OneSpeed">#REF!</definedName>
    <definedName name="overflow" localSheetId="4">#REF!</definedName>
    <definedName name="overflow">'[11]Vary C'!$N$14</definedName>
    <definedName name="PairSpeed" localSheetId="1">#REF!</definedName>
    <definedName name="PairSpeed" localSheetId="4">#REF!</definedName>
    <definedName name="PairSpeed" localSheetId="9">'Simulate paired'!$AD$4</definedName>
    <definedName name="PairSpeed">#REF!</definedName>
    <definedName name="paraminto" localSheetId="1">#REF!</definedName>
    <definedName name="paraminto" localSheetId="3">'Dance p'!$J$2</definedName>
    <definedName name="paraminto" localSheetId="4">#REF!</definedName>
    <definedName name="paraminto">#REF!</definedName>
    <definedName name="paraminto1">#REF!</definedName>
    <definedName name="params" localSheetId="1">#REF!</definedName>
    <definedName name="params" localSheetId="3">'Dance p'!$K$2:$K$12</definedName>
    <definedName name="params" localSheetId="4">#REF!</definedName>
    <definedName name="params">#REF!</definedName>
    <definedName name="params1">#REF!</definedName>
    <definedName name="park" localSheetId="3">'Dance p'!$A$2</definedName>
    <definedName name="park" localSheetId="4">'[9]Calculate r'!$K$2</definedName>
    <definedName name="park">'[10]Calculate r'!$K$2</definedName>
    <definedName name="parkr" localSheetId="4">'[9]See r'!$C$14</definedName>
    <definedName name="parkr">'[10]See r'!$C$14</definedName>
    <definedName name="parkr2">#REF!</definedName>
    <definedName name="parksr" localSheetId="4">'[9]Sample r'!$N$2</definedName>
    <definedName name="parksr">'[10]Sample r'!$N$2</definedName>
    <definedName name="persist">Random!$F$58</definedName>
    <definedName name="pnineobt">'p intervals'!$G$13</definedName>
    <definedName name="pnvalafour">'p intervals'!$I$27</definedName>
    <definedName name="pnvalaone">'p intervals'!$F$20</definedName>
    <definedName name="pnvalathree">'p intervals'!$I$20</definedName>
    <definedName name="pnvalatwo">'p intervals'!$F$27</definedName>
    <definedName name="pnvalbfour">'p intervals'!$K$27</definedName>
    <definedName name="pnvalbthree">'p intervals'!$K$20</definedName>
    <definedName name="POPMEAN" localSheetId="1">#REF!</definedName>
    <definedName name="POPMEAN" localSheetId="3">#REF!</definedName>
    <definedName name="POPMEAN" localSheetId="8">#REF!</definedName>
    <definedName name="POPMEAN" localSheetId="6">#REF!</definedName>
    <definedName name="POPMEAN" localSheetId="4">#REF!</definedName>
    <definedName name="POPMEAN" localSheetId="9">#REF!</definedName>
    <definedName name="POPMEAN" localSheetId="7">#REF!</definedName>
    <definedName name="POPMEAN">'[24]Paired Data'!$K$3</definedName>
    <definedName name="POPMEANDIFF" localSheetId="1">#REF!</definedName>
    <definedName name="POPMEANDIFF" localSheetId="3">#REF!</definedName>
    <definedName name="POPMEANDIFF" localSheetId="8">#REF!</definedName>
    <definedName name="POPMEANDIFF" localSheetId="6">#REF!</definedName>
    <definedName name="POPMEANDIFF" localSheetId="4">#REF!</definedName>
    <definedName name="POPMEANDIFF" localSheetId="9">#REF!</definedName>
    <definedName name="POPMEANDIFF" localSheetId="7">#REF!</definedName>
    <definedName name="POPMEANDIFF">'[24]Paired Data'!$H$11</definedName>
    <definedName name="POPSIGMA" localSheetId="1">#REF!</definedName>
    <definedName name="POPSIGMA" localSheetId="3">#REF!</definedName>
    <definedName name="POPSIGMA" localSheetId="8">#REF!</definedName>
    <definedName name="POPSIGMA" localSheetId="6">#REF!</definedName>
    <definedName name="POPSIGMA" localSheetId="4">#REF!</definedName>
    <definedName name="POPSIGMA" localSheetId="9">#REF!</definedName>
    <definedName name="POPSIGMA" localSheetId="7">#REF!</definedName>
    <definedName name="POPSIGMA">'[24]Paired Data'!$K$5</definedName>
    <definedName name="preplabel" localSheetId="3">'Dance p'!$BV$8</definedName>
    <definedName name="preplabel" localSheetId="4">[12]Replication!$AS$8</definedName>
    <definedName name="preplabel">[13]Replication!$AS$8</definedName>
    <definedName name="Prop1" localSheetId="4">'[3]Two proportions'!$G$31</definedName>
    <definedName name="Prop1">'[4]Two proportions'!$G$31</definedName>
    <definedName name="Prop2" localSheetId="4">'[3]Two proportions'!$I$31</definedName>
    <definedName name="Prop2">'[4]Two proportions'!$I$31</definedName>
    <definedName name="putht" localSheetId="3">'Dance p'!$L$16</definedName>
    <definedName name="putht">#REF!</definedName>
    <definedName name="putrand" localSheetId="4">'[9]Calculate r'!$AE$2</definedName>
    <definedName name="putrand">'[10]Calculate r'!$AE$2</definedName>
    <definedName name="putXY" localSheetId="4">'[9]Calculate r'!$B$8</definedName>
    <definedName name="putXY">'[10]Calculate r'!$B$8</definedName>
    <definedName name="pvallabel" localSheetId="3">'Dance p'!$BP$6</definedName>
    <definedName name="pvallabel" localSheetId="4">[12]Replication!$AS$7</definedName>
    <definedName name="pvallabel">[13]Replication!$AS$7</definedName>
    <definedName name="RangeSliders" localSheetId="4">'[9]Calculate r'!$AX$5</definedName>
    <definedName name="RangeSliders">'[10]Calculate r'!$AX$5</definedName>
    <definedName name="Rep4copy" localSheetId="3">#REF!</definedName>
    <definedName name="Rep4copy" localSheetId="4">#REF!</definedName>
    <definedName name="Rep4paste" localSheetId="3">#REF!</definedName>
    <definedName name="Rep4paste" localSheetId="4">#REF!</definedName>
    <definedName name="Rep5copy" localSheetId="4">#REF!</definedName>
    <definedName name="Rep5paste" localSheetId="4">#REF!</definedName>
    <definedName name="Repchange" localSheetId="1">'CIs and replication'!$AP$18</definedName>
    <definedName name="Repchange" localSheetId="3">#REF!</definedName>
    <definedName name="Repchange" localSheetId="4">#REF!</definedName>
    <definedName name="Repchange">#REF!</definedName>
    <definedName name="Repfivecopy">'CIs and replication'!$D$1:$D$5</definedName>
    <definedName name="Repfivepaste">'CIs and replication'!$C$1:$C$5</definedName>
    <definedName name="repindex" localSheetId="1">'CIs and replication'!#REF!</definedName>
    <definedName name="repindex" localSheetId="3">#REF!</definedName>
    <definedName name="repindex" localSheetId="4">#REF!</definedName>
    <definedName name="repindex">#REF!</definedName>
    <definedName name="Replast" localSheetId="3">#REF!</definedName>
    <definedName name="Replast" localSheetId="4">#REF!</definedName>
    <definedName name="Replast">#REF!</definedName>
    <definedName name="Repnew" localSheetId="3">#REF!</definedName>
    <definedName name="Repnew" localSheetId="4">#REF!</definedName>
    <definedName name="Repnew">#REF!</definedName>
    <definedName name="repnow" localSheetId="1">'CIs and replication'!$B$2</definedName>
    <definedName name="repnow" localSheetId="3">#REF!</definedName>
    <definedName name="repnow" localSheetId="4">#REF!</definedName>
    <definedName name="repnow">#REF!</definedName>
    <definedName name="Repold" localSheetId="3">#REF!</definedName>
    <definedName name="Repold" localSheetId="4">#REF!</definedName>
    <definedName name="Repold">#REF!</definedName>
    <definedName name="repseed" localSheetId="1">'CIs and replication'!$A$2</definedName>
    <definedName name="repseed" localSheetId="3">#REF!</definedName>
    <definedName name="repseed" localSheetId="4">#REF!</definedName>
    <definedName name="repseed">#REF!</definedName>
    <definedName name="Repsing2switch" localSheetId="4">#REF!</definedName>
    <definedName name="repsingswitch" localSheetId="1">'CIs and replication'!$B$4</definedName>
    <definedName name="repsingswitch" localSheetId="3">#REF!</definedName>
    <definedName name="repsingswitch" localSheetId="4">#REF!</definedName>
    <definedName name="repsingswitch">#REF!</definedName>
    <definedName name="RepSingtwoSwitch">'CIs and replication'!$B$3</definedName>
    <definedName name="RepSpeed" localSheetId="1">'CIs and replication'!$Q$17</definedName>
    <definedName name="RepSpeed" localSheetId="3">#REF!</definedName>
    <definedName name="RepSpeed" localSheetId="4">#REF!</definedName>
    <definedName name="RepSpeed">#REF!</definedName>
    <definedName name="Repswitch">#REF!</definedName>
    <definedName name="RevCI">#REF!</definedName>
    <definedName name="revdatatwo">'Data two'!$Y$57</definedName>
    <definedName name="RevealMoren" localSheetId="4">'[3]Two proportions'!$AN$1</definedName>
    <definedName name="RevealMoren">'[4]Two proportions'!$AN$1</definedName>
    <definedName name="RevealSimn" localSheetId="4">'[3]Two proportions'!$AN$2</definedName>
    <definedName name="RevealSimn">'[4]Two proportions'!$AN$2</definedName>
    <definedName name="RevMA">#REF!</definedName>
    <definedName name="RevNHST">#REF!</definedName>
    <definedName name="Revpaired">'Compare A B'!$AL$4</definedName>
    <definedName name="rfyinc" localSheetId="4">'[9]Sample r'!$V$36</definedName>
    <definedName name="rfyinc">'[10]Sample r'!$V$36</definedName>
    <definedName name="rmaxy" localSheetId="4">'[9]Sample r'!$AD$8</definedName>
    <definedName name="rmaxy">'[10]Sample r'!$AD$8</definedName>
    <definedName name="rparams" localSheetId="4">'[9]Sample r'!$P$15:$P$19</definedName>
    <definedName name="rparams">'[10]Sample r'!$P$15:$P$19</definedName>
    <definedName name="rparamsinto" localSheetId="4">'[9]Sample r'!$O$15</definedName>
    <definedName name="rparamsinto">'[10]Sample r'!$O$15</definedName>
    <definedName name="Rpvf" localSheetId="3">#REF!</definedName>
    <definedName name="Rpvf" localSheetId="4">Random!#REF!</definedName>
    <definedName name="Rpvf">'[6]p value function'!$O$5</definedName>
    <definedName name="rseed" localSheetId="4">'[9]See r'!$K$5</definedName>
    <definedName name="rseed">'[10]See r'!$K$5</definedName>
    <definedName name="rswitch" localSheetId="4">'[9]Sample r'!$N$17</definedName>
    <definedName name="rswitch">'[10]Sample r'!$N$17</definedName>
    <definedName name="rtzshow">#REF!</definedName>
    <definedName name="ryinitial" localSheetId="4">'[9]Sample r'!$AB$1</definedName>
    <definedName name="ryinitial">'[10]Sample r'!$AB$1</definedName>
    <definedName name="samps" localSheetId="1">#REF!</definedName>
    <definedName name="samps" localSheetId="3">'Dance p'!$A$4:$I$28</definedName>
    <definedName name="samps" localSheetId="4">#REF!</definedName>
    <definedName name="samps">#REF!</definedName>
    <definedName name="samps1">#REF!</definedName>
    <definedName name="save11" localSheetId="4">'[3]Two proportions'!$AD$5</definedName>
    <definedName name="save11">'[4]Two proportions'!$AD$5</definedName>
    <definedName name="save12" localSheetId="4">'[3]Two proportions'!$AE$5</definedName>
    <definedName name="save12">'[4]Two proportions'!$AE$5</definedName>
    <definedName name="save21" localSheetId="4">'[3]Two proportions'!$AD$6</definedName>
    <definedName name="save21">'[4]Two proportions'!$AD$6</definedName>
    <definedName name="save22" localSheetId="4">'[3]Two proportions'!$AE$6</definedName>
    <definedName name="save22">'[4]Two proportions'!$AE$6</definedName>
    <definedName name="savetotal1" localSheetId="4">'[3]Two proportions'!$AD$7</definedName>
    <definedName name="savetotal1">'[4]Two proportions'!$AD$7</definedName>
    <definedName name="savetotal2" localSheetId="4">'[3]Two proportions'!$AE$7</definedName>
    <definedName name="savetotal2">'[4]Two proportions'!$AE$7</definedName>
    <definedName name="showcapt" localSheetId="1">#REF!</definedName>
    <definedName name="showcapt" localSheetId="3">#REF!</definedName>
    <definedName name="showcapt" localSheetId="4">#REF!</definedName>
    <definedName name="showcapt">#REF!</definedName>
    <definedName name="showmu" localSheetId="1">#REF!</definedName>
    <definedName name="showmu" localSheetId="3">'Dance p'!$BR$1</definedName>
    <definedName name="showmu" localSheetId="4">#REF!</definedName>
    <definedName name="showmu">#REF!</definedName>
    <definedName name="ShowOrigFreq" localSheetId="4">'[3]Two proportions'!$R$16</definedName>
    <definedName name="ShowOrigFreq">'[4]Two proportions'!$R$16</definedName>
    <definedName name="Showp" localSheetId="4">'[3]Two proportions'!$AL$6</definedName>
    <definedName name="Showp">'[4]Two proportions'!$AL$6</definedName>
    <definedName name="SIGMA" localSheetId="8">'Data paired'!#REF!</definedName>
    <definedName name="SIGMA" localSheetId="6">'Data two'!#REF!</definedName>
    <definedName name="SIGMA" localSheetId="9">'Simulate paired'!#REF!</definedName>
    <definedName name="SIGMA" localSheetId="7">'Simulate two'!#REF!</definedName>
    <definedName name="SIGMA">#REF!</definedName>
    <definedName name="SIGMADIFF" localSheetId="1">#REF!</definedName>
    <definedName name="SIGMADIFF" localSheetId="3">#REF!</definedName>
    <definedName name="SIGMADIFF" localSheetId="8">#REF!</definedName>
    <definedName name="SIGMADIFF" localSheetId="6">#REF!</definedName>
    <definedName name="SIGMADIFF" localSheetId="4">#REF!</definedName>
    <definedName name="SIGMADIFF" localSheetId="9">#REF!</definedName>
    <definedName name="SIGMADIFF" localSheetId="7">#REF!</definedName>
    <definedName name="SIGMADIFF">'[24]Paired Data'!$K$6</definedName>
    <definedName name="SIGMAREP">#REF!</definedName>
    <definedName name="SimOneGrab">#REF!</definedName>
    <definedName name="SimOnePut">#REF!</definedName>
    <definedName name="SimPairGrab" localSheetId="1">#REF!</definedName>
    <definedName name="SimPairGrab" localSheetId="8">'Data paired'!$W$3:$W$7</definedName>
    <definedName name="SimPairGrab" localSheetId="4">#REF!</definedName>
    <definedName name="SimPairGrab" localSheetId="9">'Simulate paired'!$D$2:$D$8</definedName>
    <definedName name="SimPairGrab">#REF!</definedName>
    <definedName name="SimPairPut" localSheetId="1">#REF!</definedName>
    <definedName name="SimPairPut" localSheetId="8">'Data paired'!$V$3:$V$7</definedName>
    <definedName name="SimPairPut" localSheetId="4">#REF!</definedName>
    <definedName name="SimPairPut" localSheetId="9">'Simulate paired'!$C$2:$C$8</definedName>
    <definedName name="SimPairPut">#REF!</definedName>
    <definedName name="SimTwoGrab" localSheetId="1">#REF!</definedName>
    <definedName name="SimTwoGrab" localSheetId="4">#REF!</definedName>
    <definedName name="SimTwoGrab" localSheetId="7">'Simulate two'!$B$2:$B$12</definedName>
    <definedName name="SimTwoGrab">#REF!</definedName>
    <definedName name="SimTwoPut" localSheetId="1">#REF!</definedName>
    <definedName name="SimTwoPut" localSheetId="4">#REF!</definedName>
    <definedName name="SimTwoPut" localSheetId="7">'Simulate two'!$A$2:$A$12</definedName>
    <definedName name="SimTwoPut">#REF!</definedName>
    <definedName name="slidersget" localSheetId="4">'[9]Calculate r'!$AB$11:$AB$14</definedName>
    <definedName name="slidersget">'[10]Calculate r'!$AB$11:$AB$14</definedName>
    <definedName name="slidersput" localSheetId="4">'[9]Calculate r'!$AB$2</definedName>
    <definedName name="slidersput">'[10]Calculate r'!$AB$2</definedName>
    <definedName name="soundflag" localSheetId="3">'Dance p'!$BT$10</definedName>
    <definedName name="soundflag">#REF!</definedName>
    <definedName name="StartC" localSheetId="4">'[3]Overlap two proportions'!$AL$8:$AL$67</definedName>
    <definedName name="StartC">'[4]Overlap two proportions'!$AL$8:$AL$67</definedName>
    <definedName name="StartCd" localSheetId="4">'[3]Overlap two proportions'!$BN$8:$BN$67</definedName>
    <definedName name="StartCd">'[4]Overlap two proportions'!$BN$8:$BN$67</definedName>
    <definedName name="Startp2" localSheetId="4">'[3]Overlap two proportions'!$V$8:$V$67</definedName>
    <definedName name="Startp2">'[4]Overlap two proportions'!$V$8:$V$67</definedName>
    <definedName name="Startr2" localSheetId="4">'[3]Overlap two correlations (n1)'!$P$5:$P$64</definedName>
    <definedName name="Startr2">'[4]Overlap two correlations (n1)'!$P$5:$P$64</definedName>
    <definedName name="StartRawData" localSheetId="4">'[3]Two proportions'!$AT$9:$AV$9</definedName>
    <definedName name="StartRawData">'[4]Two proportions'!$AT$9:$AV$9</definedName>
    <definedName name="Stz">#REF!</definedName>
    <definedName name="Stzz">#REF!</definedName>
    <definedName name="t">#REF!</definedName>
    <definedName name="tbzlh" localSheetId="1">'[1]MA  Standardised units'!$Z$3</definedName>
    <definedName name="tbzlh" localSheetId="3">'[1]MA  Standardised units'!$Z$3</definedName>
    <definedName name="tbzlh" localSheetId="8">'[1]MA  Standardised units'!$Z$3</definedName>
    <definedName name="tbzlh" localSheetId="6">'[1]MA  Standardised units'!$Z$3</definedName>
    <definedName name="tbzlh" localSheetId="4">'[2]MA  Standardised units'!$Z$3</definedName>
    <definedName name="tbzlh" localSheetId="9">'[1]MA  Standardised units'!$Z$3</definedName>
    <definedName name="tbzlh" localSheetId="7">'[1]MA  Standardised units'!$Z$3</definedName>
    <definedName name="tbzlh">'[1]MA  Standardised units'!$Z$3</definedName>
    <definedName name="tbzrh" localSheetId="1">'[1]MA  Standardised units'!$AA$3</definedName>
    <definedName name="tbzrh" localSheetId="3">'[1]MA  Standardised units'!$AA$3</definedName>
    <definedName name="tbzrh" localSheetId="8">'[1]MA  Standardised units'!$AA$3</definedName>
    <definedName name="tbzrh" localSheetId="6">'[1]MA  Standardised units'!$AA$3</definedName>
    <definedName name="tbzrh" localSheetId="4">'[2]MA  Standardised units'!$AA$3</definedName>
    <definedName name="tbzrh" localSheetId="9">'[1]MA  Standardised units'!$AA$3</definedName>
    <definedName name="tbzrh" localSheetId="7">'[1]MA  Standardised units'!$AA$3</definedName>
    <definedName name="tbzrh">'[1]MA  Standardised units'!$AA$3</definedName>
    <definedName name="tbzz1" localSheetId="4">'[3]Overlap two proportions'!$CD$8</definedName>
    <definedName name="tbzz1">'[4]Overlap two proportions'!$CD$8</definedName>
    <definedName name="tbzz10" localSheetId="4">'[3]Overlap two proportions'!$CD$17</definedName>
    <definedName name="tbzz10">'[4]Overlap two proportions'!$CD$17</definedName>
    <definedName name="tbzz11" localSheetId="4">'[3]Overlap two proportions'!$CD$18</definedName>
    <definedName name="tbzz11">'[4]Overlap two proportions'!$CD$18</definedName>
    <definedName name="tbzz12" localSheetId="4">'[3]Overlap two proportions'!$CD$19</definedName>
    <definedName name="tbzz12">'[4]Overlap two proportions'!$CD$19</definedName>
    <definedName name="tbzz13" localSheetId="4">'[3]Overlap two proportions'!$CD$20</definedName>
    <definedName name="tbzz13">'[4]Overlap two proportions'!$CD$20</definedName>
    <definedName name="tbzz14" localSheetId="4">'[3]Overlap two proportions'!$CD$21</definedName>
    <definedName name="tbzz14">'[4]Overlap two proportions'!$CD$21</definedName>
    <definedName name="tbzz15" localSheetId="4">'[3]Overlap two proportions'!$CD$22</definedName>
    <definedName name="tbzz15">'[4]Overlap two proportions'!$CD$22</definedName>
    <definedName name="tbzz16" localSheetId="4">'[3]Overlap two proportions'!$CD$23</definedName>
    <definedName name="tbzz16">'[4]Overlap two proportions'!$CD$23</definedName>
    <definedName name="tbzz17" localSheetId="4">'[3]Overlap two proportions'!$CD$24</definedName>
    <definedName name="tbzz17">'[4]Overlap two proportions'!$CD$24</definedName>
    <definedName name="tbzz18" localSheetId="4">'[3]Overlap two proportions'!$CD$25</definedName>
    <definedName name="tbzz18">'[4]Overlap two proportions'!$CD$25</definedName>
    <definedName name="tbzz19" localSheetId="4">'[3]Overlap two proportions'!$CD$26</definedName>
    <definedName name="tbzz19">'[4]Overlap two proportions'!$CD$26</definedName>
    <definedName name="tbzz2" localSheetId="4">'[3]Overlap two proportions'!$CD$9</definedName>
    <definedName name="tbzz2">'[4]Overlap two proportions'!$CD$9</definedName>
    <definedName name="tbzz20" localSheetId="4">'[3]Overlap two proportions'!$CD$27</definedName>
    <definedName name="tbzz20">'[4]Overlap two proportions'!$CD$27</definedName>
    <definedName name="tbzz21" localSheetId="4">'[3]Overlap two proportions'!$CD$28</definedName>
    <definedName name="tbzz21">'[4]Overlap two proportions'!$CD$28</definedName>
    <definedName name="tbzz22" localSheetId="4">'[3]Overlap two proportions'!$CD$29</definedName>
    <definedName name="tbzz22">'[4]Overlap two proportions'!$CD$29</definedName>
    <definedName name="tbzz23" localSheetId="4">'[3]Overlap two proportions'!$CD$30</definedName>
    <definedName name="tbzz23">'[4]Overlap two proportions'!$CD$30</definedName>
    <definedName name="tbzz24" localSheetId="4">'[3]Overlap two proportions'!$CD$31</definedName>
    <definedName name="tbzz24">'[4]Overlap two proportions'!$CD$31</definedName>
    <definedName name="tbzz25" localSheetId="4">'[3]Overlap two proportions'!$CD$32</definedName>
    <definedName name="tbzz25">'[4]Overlap two proportions'!$CD$32</definedName>
    <definedName name="tbzz26" localSheetId="4">'[3]Overlap two proportions'!$CD$33</definedName>
    <definedName name="tbzz26">'[4]Overlap two proportions'!$CD$33</definedName>
    <definedName name="tbzz27" localSheetId="4">'[3]Overlap two proportions'!$CD$34</definedName>
    <definedName name="tbzz27">'[4]Overlap two proportions'!$CD$34</definedName>
    <definedName name="tbzz28" localSheetId="4">'[3]Overlap two proportions'!$CD$35</definedName>
    <definedName name="tbzz28">'[4]Overlap two proportions'!$CD$35</definedName>
    <definedName name="tbzz29" localSheetId="4">'[3]Overlap two proportions'!$CD$36</definedName>
    <definedName name="tbzz29">'[4]Overlap two proportions'!$CD$36</definedName>
    <definedName name="tbzz3" localSheetId="4">'[3]Overlap two proportions'!$CD$10</definedName>
    <definedName name="tbzz3">'[4]Overlap two proportions'!$CD$10</definedName>
    <definedName name="tbzz30" localSheetId="4">'[3]Overlap two proportions'!$CD$37</definedName>
    <definedName name="tbzz30">'[4]Overlap two proportions'!$CD$37</definedName>
    <definedName name="tbzz31" localSheetId="4">'[3]Overlap two proportions'!$CD$38</definedName>
    <definedName name="tbzz31">'[4]Overlap two proportions'!$CD$38</definedName>
    <definedName name="tbzz32" localSheetId="4">'[3]Overlap two proportions'!$CD$39</definedName>
    <definedName name="tbzz32">'[4]Overlap two proportions'!$CD$39</definedName>
    <definedName name="tbzz33" localSheetId="4">'[3]Overlap two proportions'!$CD$40</definedName>
    <definedName name="tbzz33">'[4]Overlap two proportions'!$CD$40</definedName>
    <definedName name="tbzz34" localSheetId="4">'[3]Overlap two proportions'!$CD$41</definedName>
    <definedName name="tbzz34">'[4]Overlap two proportions'!$CD$41</definedName>
    <definedName name="tbzz35" localSheetId="4">'[3]Overlap two proportions'!$CD$42</definedName>
    <definedName name="tbzz35">'[4]Overlap two proportions'!$CD$42</definedName>
    <definedName name="tbzz36" localSheetId="4">'[3]Overlap two proportions'!$CD$43</definedName>
    <definedName name="tbzz36">'[4]Overlap two proportions'!$CD$43</definedName>
    <definedName name="tbzz37" localSheetId="4">'[3]Overlap two proportions'!$CD$44</definedName>
    <definedName name="tbzz37">'[4]Overlap two proportions'!$CD$44</definedName>
    <definedName name="tbzz38" localSheetId="4">'[3]Overlap two proportions'!$CD$45</definedName>
    <definedName name="tbzz38">'[4]Overlap two proportions'!$CD$45</definedName>
    <definedName name="tbzz39" localSheetId="4">'[3]Overlap two proportions'!$CD$46</definedName>
    <definedName name="tbzz39">'[4]Overlap two proportions'!$CD$46</definedName>
    <definedName name="tbzz4" localSheetId="4">'[3]Overlap two proportions'!$CD$11</definedName>
    <definedName name="tbzz4">'[4]Overlap two proportions'!$CD$11</definedName>
    <definedName name="tbzz40" localSheetId="4">'[3]Overlap two proportions'!$CD$47</definedName>
    <definedName name="tbzz40">'[4]Overlap two proportions'!$CD$47</definedName>
    <definedName name="tbzz41" localSheetId="4">'[3]Overlap two proportions'!$CD$48</definedName>
    <definedName name="tbzz41">'[4]Overlap two proportions'!$CD$48</definedName>
    <definedName name="tbzz42" localSheetId="4">'[3]Overlap two proportions'!$CD$49</definedName>
    <definedName name="tbzz42">'[4]Overlap two proportions'!$CD$49</definedName>
    <definedName name="tbzz43" localSheetId="4">'[3]Overlap two proportions'!$CD$50</definedName>
    <definedName name="tbzz43">'[4]Overlap two proportions'!$CD$50</definedName>
    <definedName name="tbzz44" localSheetId="4">'[3]Overlap two proportions'!$CD$51</definedName>
    <definedName name="tbzz44">'[4]Overlap two proportions'!$CD$51</definedName>
    <definedName name="tbzz45" localSheetId="4">'[3]Overlap two proportions'!$CD$52</definedName>
    <definedName name="tbzz45">'[4]Overlap two proportions'!$CD$52</definedName>
    <definedName name="tbzz46" localSheetId="4">'[3]Overlap two proportions'!$CD$53</definedName>
    <definedName name="tbzz46">'[4]Overlap two proportions'!$CD$53</definedName>
    <definedName name="tbzz47" localSheetId="4">'[3]Overlap two proportions'!$CD$54</definedName>
    <definedName name="tbzz47">'[4]Overlap two proportions'!$CD$54</definedName>
    <definedName name="tbzz48" localSheetId="4">'[3]Overlap two proportions'!$CD$55</definedName>
    <definedName name="tbzz48">'[4]Overlap two proportions'!$CD$55</definedName>
    <definedName name="tbzz49" localSheetId="4">'[3]Overlap two proportions'!$CD$56</definedName>
    <definedName name="tbzz49">'[4]Overlap two proportions'!$CD$56</definedName>
    <definedName name="tbzz5" localSheetId="4">'[3]Overlap two proportions'!$CD$12</definedName>
    <definedName name="tbzz5">'[4]Overlap two proportions'!$CD$12</definedName>
    <definedName name="tbzz50" localSheetId="4">'[3]Overlap two proportions'!$CD$57</definedName>
    <definedName name="tbzz50">'[4]Overlap two proportions'!$CD$57</definedName>
    <definedName name="tbzz51" localSheetId="4">'[3]Overlap two proportions'!$CD$58</definedName>
    <definedName name="tbzz51">'[4]Overlap two proportions'!$CD$58</definedName>
    <definedName name="tbzz52" localSheetId="4">'[3]Overlap two proportions'!$CD$59</definedName>
    <definedName name="tbzz52">'[4]Overlap two proportions'!$CD$59</definedName>
    <definedName name="tbzz53" localSheetId="4">'[3]Overlap two proportions'!$CD$60</definedName>
    <definedName name="tbzz53">'[4]Overlap two proportions'!$CD$60</definedName>
    <definedName name="tbzz54" localSheetId="4">'[3]Overlap two proportions'!$CD$61</definedName>
    <definedName name="tbzz54">'[4]Overlap two proportions'!$CD$61</definedName>
    <definedName name="tbzz55" localSheetId="4">'[3]Overlap two proportions'!$CD$62</definedName>
    <definedName name="tbzz55">'[4]Overlap two proportions'!$CD$62</definedName>
    <definedName name="tbzz56" localSheetId="4">'[3]Overlap two proportions'!$CD$63</definedName>
    <definedName name="tbzz56">'[4]Overlap two proportions'!$CD$63</definedName>
    <definedName name="tbzz57" localSheetId="4">'[3]Overlap two proportions'!$CD$64</definedName>
    <definedName name="tbzz57">'[4]Overlap two proportions'!$CD$64</definedName>
    <definedName name="tbzz58" localSheetId="4">'[3]Overlap two proportions'!$CD$65</definedName>
    <definedName name="tbzz58">'[4]Overlap two proportions'!$CD$65</definedName>
    <definedName name="tbzz59" localSheetId="4">'[3]Overlap two proportions'!$CD$66</definedName>
    <definedName name="tbzz59">'[4]Overlap two proportions'!$CD$66</definedName>
    <definedName name="tbzz6" localSheetId="4">'[3]Overlap two proportions'!$CD$13</definedName>
    <definedName name="tbzz6">'[4]Overlap two proportions'!$CD$13</definedName>
    <definedName name="tbzz60" localSheetId="4">'[3]Overlap two proportions'!$CD$67</definedName>
    <definedName name="tbzz60">'[4]Overlap two proportions'!$CD$67</definedName>
    <definedName name="tbzz7" localSheetId="4">'[3]Overlap two proportions'!$CD$14</definedName>
    <definedName name="tbzz7">'[4]Overlap two proportions'!$CD$14</definedName>
    <definedName name="tbzz8" localSheetId="4">'[3]Overlap two proportions'!$CD$15</definedName>
    <definedName name="tbzz8">'[4]Overlap two proportions'!$CD$15</definedName>
    <definedName name="tbzz9" localSheetId="4">'[3]Overlap two proportions'!$CD$16</definedName>
    <definedName name="tbzz9">'[4]Overlap two proportions'!$CD$16</definedName>
    <definedName name="tobez1" localSheetId="4">'[3]Overlap two proportions'!$BB$8</definedName>
    <definedName name="tobez1">'[4]Overlap two proportions'!$BB$8</definedName>
    <definedName name="tobez10" localSheetId="4">'[3]Overlap two proportions'!$BB$17</definedName>
    <definedName name="tobez10">'[4]Overlap two proportions'!$BB$17</definedName>
    <definedName name="tobez11" localSheetId="4">'[3]Overlap two proportions'!$BB$18</definedName>
    <definedName name="tobez11">'[4]Overlap two proportions'!$BB$18</definedName>
    <definedName name="tobez12" localSheetId="4">'[3]Overlap two proportions'!$BB$19</definedName>
    <definedName name="tobez12">'[4]Overlap two proportions'!$BB$19</definedName>
    <definedName name="tobez13" localSheetId="4">'[3]Overlap two proportions'!$BB$20</definedName>
    <definedName name="tobez13">'[4]Overlap two proportions'!$BB$20</definedName>
    <definedName name="tobez14" localSheetId="4">'[3]Overlap two proportions'!$BB$21</definedName>
    <definedName name="tobez14">'[4]Overlap two proportions'!$BB$21</definedName>
    <definedName name="tobez15" localSheetId="4">'[3]Overlap two proportions'!$BB$22</definedName>
    <definedName name="tobez15">'[4]Overlap two proportions'!$BB$22</definedName>
    <definedName name="tobez16" localSheetId="4">'[3]Overlap two proportions'!$BB$23</definedName>
    <definedName name="tobez16">'[4]Overlap two proportions'!$BB$23</definedName>
    <definedName name="tobez17" localSheetId="4">'[3]Overlap two proportions'!$BB$24</definedName>
    <definedName name="tobez17">'[4]Overlap two proportions'!$BB$24</definedName>
    <definedName name="tobez18" localSheetId="4">'[3]Overlap two proportions'!$BB$25</definedName>
    <definedName name="tobez18">'[4]Overlap two proportions'!$BB$25</definedName>
    <definedName name="tobez19" localSheetId="4">'[3]Overlap two proportions'!$BB$26</definedName>
    <definedName name="tobez19">'[4]Overlap two proportions'!$BB$26</definedName>
    <definedName name="tobez2" localSheetId="4">'[3]Overlap two proportions'!$BB$9</definedName>
    <definedName name="tobez2">'[4]Overlap two proportions'!$BB$9</definedName>
    <definedName name="tobez20" localSheetId="4">'[3]Overlap two proportions'!$BB$27</definedName>
    <definedName name="tobez20">'[4]Overlap two proportions'!$BB$27</definedName>
    <definedName name="tobez21" localSheetId="4">'[3]Overlap two proportions'!$BB$28</definedName>
    <definedName name="tobez21">'[4]Overlap two proportions'!$BB$28</definedName>
    <definedName name="tobez22" localSheetId="4">'[3]Overlap two proportions'!$BB$29</definedName>
    <definedName name="tobez22">'[4]Overlap two proportions'!$BB$29</definedName>
    <definedName name="tobez23" localSheetId="4">'[3]Overlap two proportions'!$BB$30</definedName>
    <definedName name="tobez23">'[4]Overlap two proportions'!$BB$30</definedName>
    <definedName name="tobez24" localSheetId="4">'[3]Overlap two proportions'!$BB$31</definedName>
    <definedName name="tobez24">'[4]Overlap two proportions'!$BB$31</definedName>
    <definedName name="tobez25" localSheetId="4">'[3]Overlap two proportions'!$BB$32</definedName>
    <definedName name="tobez25">'[4]Overlap two proportions'!$BB$32</definedName>
    <definedName name="tobez26" localSheetId="4">'[3]Overlap two proportions'!$BB$33</definedName>
    <definedName name="tobez26">'[4]Overlap two proportions'!$BB$33</definedName>
    <definedName name="tobez27" localSheetId="4">'[3]Overlap two proportions'!$BB$34</definedName>
    <definedName name="tobez27">'[4]Overlap two proportions'!$BB$34</definedName>
    <definedName name="tobez28" localSheetId="4">'[3]Overlap two proportions'!$BB$35</definedName>
    <definedName name="tobez28">'[4]Overlap two proportions'!$BB$35</definedName>
    <definedName name="tobez29" localSheetId="4">'[3]Overlap two proportions'!$BB$36</definedName>
    <definedName name="tobez29">'[4]Overlap two proportions'!$BB$36</definedName>
    <definedName name="tobez3" localSheetId="4">'[3]Overlap two proportions'!$BB$10</definedName>
    <definedName name="tobez3">'[4]Overlap two proportions'!$BB$10</definedName>
    <definedName name="tobez30" localSheetId="4">'[3]Overlap two proportions'!$BB$37</definedName>
    <definedName name="tobez30">'[4]Overlap two proportions'!$BB$37</definedName>
    <definedName name="tobez31" localSheetId="4">'[3]Overlap two proportions'!$BB$38</definedName>
    <definedName name="tobez31">'[4]Overlap two proportions'!$BB$38</definedName>
    <definedName name="tobez32" localSheetId="4">'[3]Overlap two proportions'!$BB$39</definedName>
    <definedName name="tobez32">'[4]Overlap two proportions'!$BB$39</definedName>
    <definedName name="tobez33" localSheetId="4">'[3]Overlap two proportions'!$BB$40</definedName>
    <definedName name="tobez33">'[4]Overlap two proportions'!$BB$40</definedName>
    <definedName name="tobez34" localSheetId="4">'[3]Overlap two proportions'!$BB$41</definedName>
    <definedName name="tobez34">'[4]Overlap two proportions'!$BB$41</definedName>
    <definedName name="tobez35" localSheetId="4">'[3]Overlap two proportions'!$BB$42</definedName>
    <definedName name="tobez35">'[4]Overlap two proportions'!$BB$42</definedName>
    <definedName name="tobez36" localSheetId="4">'[3]Overlap two proportions'!$BB$43</definedName>
    <definedName name="tobez36">'[4]Overlap two proportions'!$BB$43</definedName>
    <definedName name="tobez37" localSheetId="4">'[3]Overlap two proportions'!$BB$44</definedName>
    <definedName name="tobez37">'[4]Overlap two proportions'!$BB$44</definedName>
    <definedName name="tobez38" localSheetId="4">'[3]Overlap two proportions'!$BB$45</definedName>
    <definedName name="tobez38">'[4]Overlap two proportions'!$BB$45</definedName>
    <definedName name="tobez39" localSheetId="4">'[3]Overlap two proportions'!$BB$46</definedName>
    <definedName name="tobez39">'[4]Overlap two proportions'!$BB$46</definedName>
    <definedName name="tobez4" localSheetId="4">'[3]Overlap two proportions'!$BB$11</definedName>
    <definedName name="tobez4">'[4]Overlap two proportions'!$BB$11</definedName>
    <definedName name="tobez40" localSheetId="4">'[3]Overlap two proportions'!$BB$47</definedName>
    <definedName name="tobez40">'[4]Overlap two proportions'!$BB$47</definedName>
    <definedName name="tobez41" localSheetId="4">'[3]Overlap two proportions'!$BB$48</definedName>
    <definedName name="tobez41">'[4]Overlap two proportions'!$BB$48</definedName>
    <definedName name="tobez42" localSheetId="4">'[3]Overlap two proportions'!$BB$49</definedName>
    <definedName name="tobez42">'[4]Overlap two proportions'!$BB$49</definedName>
    <definedName name="tobez43" localSheetId="4">'[3]Overlap two proportions'!$BB$50</definedName>
    <definedName name="tobez43">'[4]Overlap two proportions'!$BB$50</definedName>
    <definedName name="tobez44" localSheetId="4">'[3]Overlap two proportions'!$BB$51</definedName>
    <definedName name="tobez44">'[4]Overlap two proportions'!$BB$51</definedName>
    <definedName name="tobez45" localSheetId="4">'[3]Overlap two proportions'!$BB$52</definedName>
    <definedName name="tobez45">'[4]Overlap two proportions'!$BB$52</definedName>
    <definedName name="tobez46" localSheetId="4">'[3]Overlap two proportions'!$BB$53</definedName>
    <definedName name="tobez46">'[4]Overlap two proportions'!$BB$53</definedName>
    <definedName name="tobez47" localSheetId="4">'[3]Overlap two proportions'!$BB$54</definedName>
    <definedName name="tobez47">'[4]Overlap two proportions'!$BB$54</definedName>
    <definedName name="tobez48" localSheetId="4">'[3]Overlap two proportions'!$BB$55</definedName>
    <definedName name="tobez48">'[4]Overlap two proportions'!$BB$55</definedName>
    <definedName name="tobez49" localSheetId="4">'[3]Overlap two proportions'!$BB$56</definedName>
    <definedName name="tobez49">'[4]Overlap two proportions'!$BB$56</definedName>
    <definedName name="tobez5" localSheetId="4">'[3]Overlap two proportions'!$BB$12</definedName>
    <definedName name="tobez5">'[4]Overlap two proportions'!$BB$12</definedName>
    <definedName name="tobez50" localSheetId="4">'[3]Overlap two proportions'!$BB$57</definedName>
    <definedName name="tobez50">'[4]Overlap two proportions'!$BB$57</definedName>
    <definedName name="tobez51" localSheetId="4">'[3]Overlap two proportions'!$BB$58</definedName>
    <definedName name="tobez51">'[4]Overlap two proportions'!$BB$58</definedName>
    <definedName name="tobez52" localSheetId="4">'[3]Overlap two proportions'!$BB$59</definedName>
    <definedName name="tobez52">'[4]Overlap two proportions'!$BB$59</definedName>
    <definedName name="tobez53" localSheetId="4">'[3]Overlap two proportions'!$BB$60</definedName>
    <definedName name="tobez53">'[4]Overlap two proportions'!$BB$60</definedName>
    <definedName name="tobez54" localSheetId="4">'[3]Overlap two proportions'!$BB$61</definedName>
    <definedName name="tobez54">'[4]Overlap two proportions'!$BB$61</definedName>
    <definedName name="tobez55" localSheetId="4">'[3]Overlap two proportions'!$BB$62</definedName>
    <definedName name="tobez55">'[4]Overlap two proportions'!$BB$62</definedName>
    <definedName name="tobez56" localSheetId="4">'[3]Overlap two proportions'!$BB$63</definedName>
    <definedName name="tobez56">'[4]Overlap two proportions'!$BB$63</definedName>
    <definedName name="tobez57" localSheetId="4">'[3]Overlap two proportions'!$BB$64</definedName>
    <definedName name="tobez57">'[4]Overlap two proportions'!$BB$64</definedName>
    <definedName name="tobez58" localSheetId="4">'[3]Overlap two proportions'!$BB$65</definedName>
    <definedName name="tobez58">'[4]Overlap two proportions'!$BB$65</definedName>
    <definedName name="tobez59" localSheetId="4">'[3]Overlap two proportions'!$BB$66</definedName>
    <definedName name="tobez59">'[4]Overlap two proportions'!$BB$66</definedName>
    <definedName name="tobez6" localSheetId="4">'[3]Overlap two proportions'!$BB$13</definedName>
    <definedName name="tobez6">'[4]Overlap two proportions'!$BB$13</definedName>
    <definedName name="tobez60" localSheetId="4">'[3]Overlap two proportions'!$BB$67</definedName>
    <definedName name="tobez60">'[4]Overlap two proportions'!$BB$67</definedName>
    <definedName name="tobez7" localSheetId="4">'[3]Overlap two proportions'!$BB$14</definedName>
    <definedName name="tobez7">'[4]Overlap two proportions'!$BB$14</definedName>
    <definedName name="tobez8" localSheetId="4">'[3]Overlap two proportions'!$BB$15</definedName>
    <definedName name="tobez8">'[4]Overlap two proportions'!$BB$15</definedName>
    <definedName name="tobez9" localSheetId="4">'[3]Overlap two proportions'!$BB$16</definedName>
    <definedName name="tobez9">'[4]Overlap two proportions'!$BB$16</definedName>
    <definedName name="topleft">Random!$H$59</definedName>
    <definedName name="Total1" localSheetId="4">'[3]Two proportions'!$G$13</definedName>
    <definedName name="Total1">'[4]Two proportions'!$G$13</definedName>
    <definedName name="Total2" localSheetId="4">'[3]Two proportions'!$I$13</definedName>
    <definedName name="Total2">'[4]Two proportions'!$I$13</definedName>
    <definedName name="ttbz1" localSheetId="4">'[3]Overlap two correlations (n1)'!$T$5</definedName>
    <definedName name="ttbz1">'[4]Overlap two correlations (n1)'!$T$5</definedName>
    <definedName name="ttbz10" localSheetId="4">'[3]Overlap two correlations (n1)'!$T$14</definedName>
    <definedName name="ttbz10">'[4]Overlap two correlations (n1)'!$T$14</definedName>
    <definedName name="ttbz11" localSheetId="4">'[3]Overlap two correlations (n1)'!$T$15</definedName>
    <definedName name="ttbz11">'[4]Overlap two correlations (n1)'!$T$15</definedName>
    <definedName name="ttbz12" localSheetId="4">'[3]Overlap two correlations (n1)'!$T$16</definedName>
    <definedName name="ttbz12">'[4]Overlap two correlations (n1)'!$T$16</definedName>
    <definedName name="ttbz13" localSheetId="4">'[3]Overlap two correlations (n1)'!$T$17</definedName>
    <definedName name="ttbz13">'[4]Overlap two correlations (n1)'!$T$17</definedName>
    <definedName name="ttbz14" localSheetId="4">'[3]Overlap two correlations (n1)'!$T$18</definedName>
    <definedName name="ttbz14">'[4]Overlap two correlations (n1)'!$T$18</definedName>
    <definedName name="ttbz15" localSheetId="4">'[3]Overlap two correlations (n1)'!$T$19</definedName>
    <definedName name="ttbz15">'[4]Overlap two correlations (n1)'!$T$19</definedName>
    <definedName name="ttbz16" localSheetId="4">'[3]Overlap two correlations (n1)'!$T$20</definedName>
    <definedName name="ttbz16">'[4]Overlap two correlations (n1)'!$T$20</definedName>
    <definedName name="ttbz17" localSheetId="4">'[3]Overlap two correlations (n1)'!$T$21</definedName>
    <definedName name="ttbz17">'[4]Overlap two correlations (n1)'!$T$21</definedName>
    <definedName name="ttbz18" localSheetId="4">'[3]Overlap two correlations (n1)'!$T$22</definedName>
    <definedName name="ttbz18">'[4]Overlap two correlations (n1)'!$T$22</definedName>
    <definedName name="ttbz19" localSheetId="4">'[3]Overlap two correlations (n1)'!$T$23</definedName>
    <definedName name="ttbz19">'[4]Overlap two correlations (n1)'!$T$23</definedName>
    <definedName name="ttbz2" localSheetId="4">'[3]Overlap two correlations (n1)'!$T$6</definedName>
    <definedName name="ttbz2">'[4]Overlap two correlations (n1)'!$T$6</definedName>
    <definedName name="ttbz20" localSheetId="4">'[3]Overlap two correlations (n1)'!$T$24</definedName>
    <definedName name="ttbz20">'[4]Overlap two correlations (n1)'!$T$24</definedName>
    <definedName name="ttbz21" localSheetId="4">'[3]Overlap two correlations (n1)'!$T$25</definedName>
    <definedName name="ttbz21">'[4]Overlap two correlations (n1)'!$T$25</definedName>
    <definedName name="ttbz22" localSheetId="4">'[3]Overlap two correlations (n1)'!$T$26</definedName>
    <definedName name="ttbz22">'[4]Overlap two correlations (n1)'!$T$26</definedName>
    <definedName name="ttbz23" localSheetId="4">'[3]Overlap two correlations (n1)'!$T$27</definedName>
    <definedName name="ttbz23">'[4]Overlap two correlations (n1)'!$T$27</definedName>
    <definedName name="ttbz24" localSheetId="4">'[3]Overlap two correlations (n1)'!$T$28</definedName>
    <definedName name="ttbz24">'[4]Overlap two correlations (n1)'!$T$28</definedName>
    <definedName name="ttbz25" localSheetId="4">'[3]Overlap two correlations (n1)'!$T$29</definedName>
    <definedName name="ttbz25">'[4]Overlap two correlations (n1)'!$T$29</definedName>
    <definedName name="ttbz26" localSheetId="4">'[3]Overlap two correlations (n1)'!$T$30</definedName>
    <definedName name="ttbz26">'[4]Overlap two correlations (n1)'!$T$30</definedName>
    <definedName name="ttbz27" localSheetId="4">'[3]Overlap two correlations (n1)'!$T$31</definedName>
    <definedName name="ttbz27">'[4]Overlap two correlations (n1)'!$T$31</definedName>
    <definedName name="ttbz28" localSheetId="4">'[3]Overlap two correlations (n1)'!$T$32</definedName>
    <definedName name="ttbz28">'[4]Overlap two correlations (n1)'!$T$32</definedName>
    <definedName name="ttbz29" localSheetId="4">'[3]Overlap two correlations (n1)'!$T$33</definedName>
    <definedName name="ttbz29">'[4]Overlap two correlations (n1)'!$T$33</definedName>
    <definedName name="ttbz3" localSheetId="4">'[3]Overlap two correlations (n1)'!$T$7</definedName>
    <definedName name="ttbz3">'[4]Overlap two correlations (n1)'!$T$7</definedName>
    <definedName name="ttbz30" localSheetId="4">'[3]Overlap two correlations (n1)'!$T$34</definedName>
    <definedName name="ttbz30">'[4]Overlap two correlations (n1)'!$T$34</definedName>
    <definedName name="ttbz31" localSheetId="4">'[3]Overlap two correlations (n1)'!$T$35</definedName>
    <definedName name="ttbz31">'[4]Overlap two correlations (n1)'!$T$35</definedName>
    <definedName name="ttbz32" localSheetId="4">'[3]Overlap two correlations (n1)'!$T$36</definedName>
    <definedName name="ttbz32">'[4]Overlap two correlations (n1)'!$T$36</definedName>
    <definedName name="ttbz33" localSheetId="4">'[3]Overlap two correlations (n1)'!$T$37</definedName>
    <definedName name="ttbz33">'[4]Overlap two correlations (n1)'!$T$37</definedName>
    <definedName name="ttbz34" localSheetId="4">'[3]Overlap two correlations (n1)'!$T$38</definedName>
    <definedName name="ttbz34">'[4]Overlap two correlations (n1)'!$T$38</definedName>
    <definedName name="ttbz35" localSheetId="4">'[3]Overlap two correlations (n1)'!$T$39</definedName>
    <definedName name="ttbz35">'[4]Overlap two correlations (n1)'!$T$39</definedName>
    <definedName name="ttbz36" localSheetId="4">'[3]Overlap two correlations (n1)'!$T$40</definedName>
    <definedName name="ttbz36">'[4]Overlap two correlations (n1)'!$T$40</definedName>
    <definedName name="ttbz37" localSheetId="4">'[3]Overlap two correlations (n1)'!$T$41</definedName>
    <definedName name="ttbz37">'[4]Overlap two correlations (n1)'!$T$41</definedName>
    <definedName name="ttbz38" localSheetId="4">'[3]Overlap two correlations (n1)'!$T$42</definedName>
    <definedName name="ttbz38">'[4]Overlap two correlations (n1)'!$T$42</definedName>
    <definedName name="ttbz39" localSheetId="4">'[3]Overlap two correlations (n1)'!$T$43</definedName>
    <definedName name="ttbz39">'[4]Overlap two correlations (n1)'!$T$43</definedName>
    <definedName name="ttbz4" localSheetId="4">'[3]Overlap two correlations (n1)'!$T$8</definedName>
    <definedName name="ttbz4">'[4]Overlap two correlations (n1)'!$T$8</definedName>
    <definedName name="ttbz40" localSheetId="4">'[3]Overlap two correlations (n1)'!$T$44</definedName>
    <definedName name="ttbz40">'[4]Overlap two correlations (n1)'!$T$44</definedName>
    <definedName name="ttbz41" localSheetId="4">'[3]Overlap two correlations (n1)'!$T$45</definedName>
    <definedName name="ttbz41">'[4]Overlap two correlations (n1)'!$T$45</definedName>
    <definedName name="ttbz42" localSheetId="4">'[3]Overlap two correlations (n1)'!$T$46</definedName>
    <definedName name="ttbz42">'[4]Overlap two correlations (n1)'!$T$46</definedName>
    <definedName name="ttbz43" localSheetId="4">'[3]Overlap two correlations (n1)'!$T$47</definedName>
    <definedName name="ttbz43">'[4]Overlap two correlations (n1)'!$T$47</definedName>
    <definedName name="ttbz44" localSheetId="4">'[3]Overlap two correlations (n1)'!$T$48</definedName>
    <definedName name="ttbz44">'[4]Overlap two correlations (n1)'!$T$48</definedName>
    <definedName name="ttbz45" localSheetId="4">'[3]Overlap two correlations (n1)'!$T$49</definedName>
    <definedName name="ttbz45">'[4]Overlap two correlations (n1)'!$T$49</definedName>
    <definedName name="ttbz46" localSheetId="4">'[3]Overlap two correlations (n1)'!$T$50</definedName>
    <definedName name="ttbz46">'[4]Overlap two correlations (n1)'!$T$50</definedName>
    <definedName name="ttbz47" localSheetId="4">'[3]Overlap two correlations (n1)'!$T$51</definedName>
    <definedName name="ttbz47">'[4]Overlap two correlations (n1)'!$T$51</definedName>
    <definedName name="ttbz48" localSheetId="4">'[3]Overlap two correlations (n1)'!$T$52</definedName>
    <definedName name="ttbz48">'[4]Overlap two correlations (n1)'!$T$52</definedName>
    <definedName name="ttbz49" localSheetId="4">'[3]Overlap two correlations (n1)'!$T$53</definedName>
    <definedName name="ttbz49">'[4]Overlap two correlations (n1)'!$T$53</definedName>
    <definedName name="ttbz5" localSheetId="4">'[3]Overlap two correlations (n1)'!$T$9</definedName>
    <definedName name="ttbz5">'[4]Overlap two correlations (n1)'!$T$9</definedName>
    <definedName name="ttbz50" localSheetId="4">'[3]Overlap two correlations (n1)'!$T$54</definedName>
    <definedName name="ttbz50">'[4]Overlap two correlations (n1)'!$T$54</definedName>
    <definedName name="ttbz51" localSheetId="4">'[3]Overlap two correlations (n1)'!$T$55</definedName>
    <definedName name="ttbz51">'[4]Overlap two correlations (n1)'!$T$55</definedName>
    <definedName name="ttbz52" localSheetId="4">'[3]Overlap two correlations (n1)'!$T$56</definedName>
    <definedName name="ttbz52">'[4]Overlap two correlations (n1)'!$T$56</definedName>
    <definedName name="ttbz53" localSheetId="4">'[3]Overlap two correlations (n1)'!$T$57</definedName>
    <definedName name="ttbz53">'[4]Overlap two correlations (n1)'!$T$57</definedName>
    <definedName name="ttbz54" localSheetId="4">'[3]Overlap two correlations (n1)'!$T$58</definedName>
    <definedName name="ttbz54">'[4]Overlap two correlations (n1)'!$T$58</definedName>
    <definedName name="ttbz55" localSheetId="4">'[3]Overlap two correlations (n1)'!$T$59</definedName>
    <definedName name="ttbz55">'[4]Overlap two correlations (n1)'!$T$59</definedName>
    <definedName name="ttbz56" localSheetId="4">'[3]Overlap two correlations (n1)'!$T$60</definedName>
    <definedName name="ttbz56">'[4]Overlap two correlations (n1)'!$T$60</definedName>
    <definedName name="ttbz57" localSheetId="4">'[3]Overlap two correlations (n1)'!$T$61</definedName>
    <definedName name="ttbz57">'[4]Overlap two correlations (n1)'!$T$61</definedName>
    <definedName name="ttbz58" localSheetId="4">'[3]Overlap two correlations (n1)'!$T$62</definedName>
    <definedName name="ttbz58">'[4]Overlap two correlations (n1)'!$T$62</definedName>
    <definedName name="ttbz59" localSheetId="4">'[3]Overlap two correlations (n1)'!$T$63</definedName>
    <definedName name="ttbz59">'[4]Overlap two correlations (n1)'!$T$63</definedName>
    <definedName name="ttbz6" localSheetId="4">'[3]Overlap two correlations (n1)'!$T$10</definedName>
    <definedName name="ttbz6">'[4]Overlap two correlations (n1)'!$T$10</definedName>
    <definedName name="ttbz60" localSheetId="4">'[3]Overlap two correlations (n1)'!$T$64</definedName>
    <definedName name="ttbz60">'[4]Overlap two correlations (n1)'!$T$64</definedName>
    <definedName name="ttbz7" localSheetId="4">'[3]Overlap two correlations (n1)'!$T$11</definedName>
    <definedName name="ttbz7">'[4]Overlap two correlations (n1)'!$T$11</definedName>
    <definedName name="ttbz8" localSheetId="4">'[3]Overlap two correlations (n1)'!$T$12</definedName>
    <definedName name="ttbz8">'[4]Overlap two correlations (n1)'!$T$12</definedName>
    <definedName name="ttbz9" localSheetId="4">'[3]Overlap two correlations (n1)'!$T$13</definedName>
    <definedName name="ttbz9">'[4]Overlap two correlations (n1)'!$T$13</definedName>
    <definedName name="tweak" localSheetId="4">'[9]See r'!$AB$4</definedName>
    <definedName name="tweak">'[10]See r'!$AB$4</definedName>
    <definedName name="TwoPropDispCI" localSheetId="4">'[3]Two proportions'!$P$21</definedName>
    <definedName name="TwoPropDispCI">'[4]Two proportions'!$P$21</definedName>
    <definedName name="TwoPropGT" localSheetId="4">'[3]Two proportions'!$R$21</definedName>
    <definedName name="TwoPropGT">'[4]Two proportions'!$R$21</definedName>
    <definedName name="TwoPropLT" localSheetId="4">'[3]Two proportions'!$R$22</definedName>
    <definedName name="TwoPropLT">'[4]Two proportions'!$R$22</definedName>
    <definedName name="TwoPropSpeed" localSheetId="4">'[3]Two proportions'!$L$29</definedName>
    <definedName name="TwoPropSpeed">'[4]Two proportions'!$L$29</definedName>
    <definedName name="TwoPropsSaveFreq" localSheetId="4">'[3]Two proportions'!$AD$5:$AE$6</definedName>
    <definedName name="TwoPropsSaveFreq">'[4]Two proportions'!$AD$5:$AE$6</definedName>
    <definedName name="TwoSpeed" localSheetId="1">#REF!</definedName>
    <definedName name="TwoSpeed" localSheetId="4">#REF!</definedName>
    <definedName name="TwoSpeed" localSheetId="7">'Simulate two'!$AY$3</definedName>
    <definedName name="TwoSpeed">#REF!</definedName>
    <definedName name="ucapt" localSheetId="4">'[9]Sample r'!$N$21</definedName>
    <definedName name="ucapt">'[10]Sample r'!$N$21</definedName>
    <definedName name="vareq">'Data two'!$C$21</definedName>
    <definedName name="Xmajoru" localSheetId="4">'[9]Calculate r'!$AB$28</definedName>
    <definedName name="Xmajoru">'[10]Calculate r'!$AB$28</definedName>
    <definedName name="Xmax" localSheetId="4">'[9]Calculate r'!$AB$27</definedName>
    <definedName name="Xmax">'[10]Calculate r'!$AB$27</definedName>
    <definedName name="Xmin" localSheetId="4">'[9]Calculate r'!$AB$26</definedName>
    <definedName name="Xmin">'[10]Calculate r'!$AB$26</definedName>
    <definedName name="Xunits" localSheetId="4">'[9]Calculate r'!$B$6</definedName>
    <definedName name="Xunits">'[10]Calculate r'!$B$6</definedName>
    <definedName name="xxx">#REF!</definedName>
    <definedName name="xydata" localSheetId="4">'[9]Calculate r'!$B$8:$C$307</definedName>
    <definedName name="xydata">'[10]Calculate r'!$B$8:$C$307</definedName>
    <definedName name="Ymajoru" localSheetId="4">'[9]Calculate r'!$AB$25</definedName>
    <definedName name="Ymajoru">'[10]Calculate r'!$AB$25</definedName>
    <definedName name="Ymax" localSheetId="4">'[9]Calculate r'!$AB$24</definedName>
    <definedName name="Ymax">'[10]Calculate r'!$AB$24</definedName>
    <definedName name="Ymin" localSheetId="4">'[9]Calculate r'!$AB$23</definedName>
    <definedName name="Ymin">'[10]Calculate r'!$AB$23</definedName>
    <definedName name="zbigl" localSheetId="1">'[1]MA  Standardised units'!$AE$2</definedName>
    <definedName name="zbigl" localSheetId="3">'[1]MA  Standardised units'!$AE$2</definedName>
    <definedName name="zbigl" localSheetId="8">'[1]MA  Standardised units'!$AE$2</definedName>
    <definedName name="zbigl" localSheetId="6">'[1]MA  Standardised units'!$AE$2</definedName>
    <definedName name="zbigl" localSheetId="4">'[2]MA  Standardised units'!$AE$2</definedName>
    <definedName name="zbigl" localSheetId="9">'[1]MA  Standardised units'!$AE$2</definedName>
    <definedName name="zbigl" localSheetId="7">'[1]MA  Standardised units'!$AE$2</definedName>
    <definedName name="zbigl">'[1]MA  Standardised units'!$AE$2</definedName>
    <definedName name="zbigu" localSheetId="1">'[1]MA  Standardised units'!$AE$3</definedName>
    <definedName name="zbigu" localSheetId="3">'[1]MA  Standardised units'!$AE$3</definedName>
    <definedName name="zbigu" localSheetId="8">'[1]MA  Standardised units'!$AE$3</definedName>
    <definedName name="zbigu" localSheetId="6">'[1]MA  Standardised units'!$AE$3</definedName>
    <definedName name="zbigu" localSheetId="4">'[2]MA  Standardised units'!$AE$3</definedName>
    <definedName name="zbigu" localSheetId="9">'[1]MA  Standardised units'!$AE$3</definedName>
    <definedName name="zbigu" localSheetId="7">'[1]MA  Standardised units'!$AE$3</definedName>
    <definedName name="zbigu">'[1]MA  Standardised units'!$AE$3</definedName>
  </definedNames>
  <calcPr calcId="162913"/>
</workbook>
</file>

<file path=xl/calcChain.xml><?xml version="1.0" encoding="utf-8"?>
<calcChain xmlns="http://schemas.openxmlformats.org/spreadsheetml/2006/main">
  <c r="AB20" i="21" l="1"/>
  <c r="AA20" i="21"/>
  <c r="AY12" i="19"/>
  <c r="AA13" i="21"/>
  <c r="B2" i="21" s="1"/>
  <c r="D2" i="21"/>
  <c r="AD63" i="21"/>
  <c r="AC20" i="21"/>
  <c r="AC18" i="21"/>
  <c r="AC17" i="21"/>
  <c r="AZ12" i="19"/>
  <c r="AZ11" i="19"/>
  <c r="AZ10" i="19"/>
  <c r="AA106" i="28"/>
  <c r="AA105" i="28"/>
  <c r="AA104" i="28"/>
  <c r="AA103" i="28"/>
  <c r="AA102" i="28"/>
  <c r="AG18" i="27"/>
  <c r="AI18" i="27" s="1"/>
  <c r="G13" i="27"/>
  <c r="AI27" i="27" s="1"/>
  <c r="AI20" i="27"/>
  <c r="AE18" i="27"/>
  <c r="F8" i="30"/>
  <c r="O1" i="30" s="1"/>
  <c r="F13" i="30"/>
  <c r="I1" i="30"/>
  <c r="M1" i="30"/>
  <c r="Q1" i="30"/>
  <c r="U1" i="30"/>
  <c r="W2" i="30"/>
  <c r="W4" i="30"/>
  <c r="W6" i="30"/>
  <c r="W8" i="30"/>
  <c r="W10" i="30"/>
  <c r="W12" i="30"/>
  <c r="W14" i="30"/>
  <c r="W16" i="30"/>
  <c r="W18" i="30"/>
  <c r="W20" i="30"/>
  <c r="W22" i="30"/>
  <c r="W24" i="30"/>
  <c r="W26" i="30"/>
  <c r="W28" i="30"/>
  <c r="W30" i="30"/>
  <c r="I57" i="30"/>
  <c r="M57" i="30"/>
  <c r="N60" i="30" s="1"/>
  <c r="O57" i="30"/>
  <c r="P57" i="30"/>
  <c r="Q57" i="30"/>
  <c r="R57" i="30"/>
  <c r="S57" i="30"/>
  <c r="I58" i="30"/>
  <c r="J58" i="30"/>
  <c r="Q58" i="30" s="1"/>
  <c r="P58" i="30"/>
  <c r="R58" i="30"/>
  <c r="S58" i="30"/>
  <c r="L60" i="30"/>
  <c r="L61" i="30"/>
  <c r="L62" i="30"/>
  <c r="L63" i="30"/>
  <c r="L64" i="30"/>
  <c r="L65" i="30"/>
  <c r="L66" i="30"/>
  <c r="L67" i="30"/>
  <c r="L68" i="30"/>
  <c r="L69" i="30"/>
  <c r="L70" i="30"/>
  <c r="L71" i="30"/>
  <c r="L72" i="30"/>
  <c r="L73" i="30"/>
  <c r="L74" i="30"/>
  <c r="L75" i="30"/>
  <c r="L76" i="30"/>
  <c r="L77" i="30"/>
  <c r="L78" i="30"/>
  <c r="L79" i="30"/>
  <c r="L80" i="30"/>
  <c r="L81" i="30"/>
  <c r="L82" i="30"/>
  <c r="L83" i="30"/>
  <c r="L84" i="30"/>
  <c r="L85" i="30"/>
  <c r="L86" i="30"/>
  <c r="L87" i="30"/>
  <c r="L88" i="30"/>
  <c r="L89" i="30"/>
  <c r="L90" i="30"/>
  <c r="L91" i="30"/>
  <c r="L92" i="30"/>
  <c r="L93" i="30"/>
  <c r="L94" i="30"/>
  <c r="L95" i="30"/>
  <c r="L96" i="30"/>
  <c r="L97" i="30"/>
  <c r="L98" i="30"/>
  <c r="L99" i="30"/>
  <c r="L100" i="30"/>
  <c r="L101" i="30"/>
  <c r="L102" i="30"/>
  <c r="L103" i="30"/>
  <c r="L104" i="30"/>
  <c r="L105" i="30"/>
  <c r="L106" i="30"/>
  <c r="L107" i="30"/>
  <c r="N107" i="30"/>
  <c r="L108" i="30"/>
  <c r="N108" i="30"/>
  <c r="L109" i="30"/>
  <c r="N109" i="30"/>
  <c r="L110" i="30"/>
  <c r="N110" i="30"/>
  <c r="L111" i="30"/>
  <c r="N111" i="30"/>
  <c r="L112" i="30"/>
  <c r="N112" i="30"/>
  <c r="L113" i="30"/>
  <c r="N113" i="30"/>
  <c r="L114" i="30"/>
  <c r="N114" i="30"/>
  <c r="L115" i="30"/>
  <c r="N115" i="30"/>
  <c r="L116" i="30"/>
  <c r="N116" i="30"/>
  <c r="L117" i="30"/>
  <c r="N117" i="30"/>
  <c r="L118" i="30"/>
  <c r="N118" i="30"/>
  <c r="L119" i="30"/>
  <c r="N119" i="30"/>
  <c r="L120" i="30"/>
  <c r="N120" i="30"/>
  <c r="L121" i="30"/>
  <c r="N121" i="30"/>
  <c r="L122" i="30"/>
  <c r="N122" i="30"/>
  <c r="L123" i="30"/>
  <c r="N123" i="30"/>
  <c r="L124" i="30"/>
  <c r="N124" i="30"/>
  <c r="L125" i="30"/>
  <c r="N125" i="30"/>
  <c r="L126" i="30"/>
  <c r="N126" i="30"/>
  <c r="L127" i="30"/>
  <c r="N127" i="30"/>
  <c r="L128" i="30"/>
  <c r="N128" i="30"/>
  <c r="L129" i="30"/>
  <c r="N129" i="30"/>
  <c r="L130" i="30"/>
  <c r="N130" i="30"/>
  <c r="L131" i="30"/>
  <c r="N131" i="30"/>
  <c r="L132" i="30"/>
  <c r="N132" i="30"/>
  <c r="L133" i="30"/>
  <c r="N133" i="30"/>
  <c r="L134" i="30"/>
  <c r="N134" i="30"/>
  <c r="L135" i="30"/>
  <c r="N135" i="30"/>
  <c r="L136" i="30"/>
  <c r="N136" i="30"/>
  <c r="L137" i="30"/>
  <c r="N137" i="30"/>
  <c r="L138" i="30"/>
  <c r="N138" i="30"/>
  <c r="L139" i="30"/>
  <c r="N139" i="30"/>
  <c r="O139" i="30"/>
  <c r="L140" i="30"/>
  <c r="N140" i="30"/>
  <c r="O140" i="30"/>
  <c r="L141" i="30"/>
  <c r="N141" i="30"/>
  <c r="O141" i="30"/>
  <c r="L142" i="30"/>
  <c r="M142" i="30"/>
  <c r="N142" i="30"/>
  <c r="O142" i="30"/>
  <c r="L143" i="30"/>
  <c r="M143" i="30"/>
  <c r="N143" i="30"/>
  <c r="O143" i="30"/>
  <c r="L144" i="30"/>
  <c r="M144" i="30"/>
  <c r="N144" i="30"/>
  <c r="O144" i="30"/>
  <c r="L145" i="30"/>
  <c r="M145" i="30"/>
  <c r="N145" i="30"/>
  <c r="O145" i="30"/>
  <c r="L146" i="30"/>
  <c r="M146" i="30"/>
  <c r="N146" i="30"/>
  <c r="O146" i="30"/>
  <c r="L147" i="30"/>
  <c r="M147" i="30"/>
  <c r="N147" i="30"/>
  <c r="O147" i="30"/>
  <c r="L148" i="30"/>
  <c r="M148" i="30"/>
  <c r="N148" i="30"/>
  <c r="O148" i="30"/>
  <c r="L149" i="30"/>
  <c r="M149" i="30"/>
  <c r="N149" i="30"/>
  <c r="O149" i="30"/>
  <c r="L150" i="30"/>
  <c r="M150" i="30"/>
  <c r="N150" i="30"/>
  <c r="O150" i="30"/>
  <c r="L151" i="30"/>
  <c r="M151" i="30"/>
  <c r="N151" i="30"/>
  <c r="O151" i="30"/>
  <c r="L152" i="30"/>
  <c r="M152" i="30"/>
  <c r="N152" i="30"/>
  <c r="O152" i="30"/>
  <c r="L153" i="30"/>
  <c r="M153" i="30"/>
  <c r="N153" i="30"/>
  <c r="O153" i="30"/>
  <c r="L154" i="30"/>
  <c r="M154" i="30"/>
  <c r="N154" i="30"/>
  <c r="O154" i="30"/>
  <c r="L155" i="30"/>
  <c r="M155" i="30"/>
  <c r="N155" i="30"/>
  <c r="O155" i="30"/>
  <c r="L156" i="30"/>
  <c r="M156" i="30"/>
  <c r="N156" i="30"/>
  <c r="O156" i="30"/>
  <c r="L157" i="30"/>
  <c r="M157" i="30"/>
  <c r="N157" i="30"/>
  <c r="O157" i="30"/>
  <c r="L158" i="30"/>
  <c r="M158" i="30"/>
  <c r="N158" i="30"/>
  <c r="O158" i="30"/>
  <c r="L159" i="30"/>
  <c r="M159" i="30"/>
  <c r="N159" i="30"/>
  <c r="O159" i="30"/>
  <c r="L160" i="30"/>
  <c r="M160" i="30"/>
  <c r="N160" i="30"/>
  <c r="O160" i="30"/>
  <c r="L161" i="30"/>
  <c r="M161" i="30"/>
  <c r="N161" i="30"/>
  <c r="O161" i="30"/>
  <c r="L162" i="30"/>
  <c r="M162" i="30"/>
  <c r="N162" i="30"/>
  <c r="O162" i="30"/>
  <c r="L163" i="30"/>
  <c r="M163" i="30"/>
  <c r="N163" i="30"/>
  <c r="O163" i="30"/>
  <c r="L164" i="30"/>
  <c r="M164" i="30"/>
  <c r="N164" i="30"/>
  <c r="O164" i="30"/>
  <c r="L165" i="30"/>
  <c r="M165" i="30"/>
  <c r="N165" i="30"/>
  <c r="O165" i="30"/>
  <c r="L166" i="30"/>
  <c r="M166" i="30"/>
  <c r="N166" i="30"/>
  <c r="O166" i="30"/>
  <c r="L167" i="30"/>
  <c r="M167" i="30"/>
  <c r="N167" i="30"/>
  <c r="O167" i="30"/>
  <c r="L168" i="30"/>
  <c r="M168" i="30"/>
  <c r="N168" i="30"/>
  <c r="O168" i="30"/>
  <c r="L169" i="30"/>
  <c r="M169" i="30"/>
  <c r="N169" i="30"/>
  <c r="O169" i="30"/>
  <c r="L170" i="30"/>
  <c r="M170" i="30"/>
  <c r="N170" i="30"/>
  <c r="O170" i="30"/>
  <c r="L171" i="30"/>
  <c r="M171" i="30"/>
  <c r="N171" i="30"/>
  <c r="O171" i="30"/>
  <c r="L172" i="30"/>
  <c r="M172" i="30"/>
  <c r="N172" i="30"/>
  <c r="O172" i="30"/>
  <c r="L173" i="30"/>
  <c r="M173" i="30"/>
  <c r="N173" i="30"/>
  <c r="O173" i="30"/>
  <c r="L174" i="30"/>
  <c r="M174" i="30"/>
  <c r="N174" i="30"/>
  <c r="O174" i="30"/>
  <c r="L175" i="30"/>
  <c r="M175" i="30"/>
  <c r="N175" i="30"/>
  <c r="O175" i="30"/>
  <c r="L176" i="30"/>
  <c r="M176" i="30"/>
  <c r="N176" i="30"/>
  <c r="O176" i="30"/>
  <c r="L177" i="30"/>
  <c r="M177" i="30"/>
  <c r="N177" i="30"/>
  <c r="O177" i="30"/>
  <c r="L178" i="30"/>
  <c r="M178" i="30"/>
  <c r="N178" i="30"/>
  <c r="O178" i="30"/>
  <c r="L179" i="30"/>
  <c r="M179" i="30"/>
  <c r="N179" i="30"/>
  <c r="O179" i="30"/>
  <c r="L180" i="30"/>
  <c r="M180" i="30"/>
  <c r="N180" i="30"/>
  <c r="O180" i="30"/>
  <c r="L181" i="30"/>
  <c r="M181" i="30"/>
  <c r="N181" i="30"/>
  <c r="O181" i="30"/>
  <c r="L182" i="30"/>
  <c r="M182" i="30"/>
  <c r="N182" i="30"/>
  <c r="O182" i="30"/>
  <c r="L183" i="30"/>
  <c r="M183" i="30"/>
  <c r="N183" i="30"/>
  <c r="O183" i="30"/>
  <c r="L184" i="30"/>
  <c r="M184" i="30"/>
  <c r="N184" i="30"/>
  <c r="O184" i="30"/>
  <c r="L185" i="30"/>
  <c r="M185" i="30"/>
  <c r="N185" i="30"/>
  <c r="O185" i="30"/>
  <c r="L186" i="30"/>
  <c r="M186" i="30"/>
  <c r="N186" i="30"/>
  <c r="O186" i="30"/>
  <c r="L187" i="30"/>
  <c r="M187" i="30"/>
  <c r="N187" i="30"/>
  <c r="O187" i="30"/>
  <c r="L188" i="30"/>
  <c r="M188" i="30"/>
  <c r="N188" i="30"/>
  <c r="O188" i="30"/>
  <c r="L189" i="30"/>
  <c r="M189" i="30"/>
  <c r="N189" i="30"/>
  <c r="O189" i="30"/>
  <c r="L190" i="30"/>
  <c r="M190" i="30"/>
  <c r="N190" i="30"/>
  <c r="O190" i="30"/>
  <c r="L191" i="30"/>
  <c r="M191" i="30"/>
  <c r="N191" i="30"/>
  <c r="O191" i="30"/>
  <c r="L192" i="30"/>
  <c r="M192" i="30"/>
  <c r="N192" i="30"/>
  <c r="O192" i="30"/>
  <c r="L193" i="30"/>
  <c r="M193" i="30"/>
  <c r="N193" i="30"/>
  <c r="O193" i="30"/>
  <c r="L194" i="30"/>
  <c r="M194" i="30"/>
  <c r="N194" i="30"/>
  <c r="O194" i="30"/>
  <c r="L195" i="30"/>
  <c r="M195" i="30"/>
  <c r="N195" i="30"/>
  <c r="O195" i="30"/>
  <c r="L196" i="30"/>
  <c r="M196" i="30"/>
  <c r="N196" i="30"/>
  <c r="O196" i="30"/>
  <c r="L197" i="30"/>
  <c r="M197" i="30"/>
  <c r="N197" i="30"/>
  <c r="O197" i="30"/>
  <c r="L198" i="30"/>
  <c r="M198" i="30"/>
  <c r="N198" i="30"/>
  <c r="O198" i="30"/>
  <c r="L199" i="30"/>
  <c r="M199" i="30"/>
  <c r="N199" i="30"/>
  <c r="O199" i="30"/>
  <c r="L200" i="30"/>
  <c r="M200" i="30"/>
  <c r="N200" i="30"/>
  <c r="O200" i="30"/>
  <c r="L201" i="30"/>
  <c r="M201" i="30"/>
  <c r="N201" i="30"/>
  <c r="O201" i="30"/>
  <c r="L202" i="30"/>
  <c r="M202" i="30"/>
  <c r="N202" i="30"/>
  <c r="O202" i="30"/>
  <c r="L203" i="30"/>
  <c r="M203" i="30"/>
  <c r="N203" i="30"/>
  <c r="O203" i="30"/>
  <c r="L204" i="30"/>
  <c r="M204" i="30"/>
  <c r="N204" i="30"/>
  <c r="O204" i="30"/>
  <c r="L205" i="30"/>
  <c r="M205" i="30"/>
  <c r="N205" i="30"/>
  <c r="O205" i="30"/>
  <c r="L206" i="30"/>
  <c r="M206" i="30"/>
  <c r="N206" i="30"/>
  <c r="O206" i="30"/>
  <c r="L207" i="30"/>
  <c r="M207" i="30"/>
  <c r="N207" i="30"/>
  <c r="O207" i="30"/>
  <c r="L208" i="30"/>
  <c r="M208" i="30"/>
  <c r="N208" i="30"/>
  <c r="O208" i="30"/>
  <c r="L209" i="30"/>
  <c r="M209" i="30"/>
  <c r="N209" i="30"/>
  <c r="O209" i="30"/>
  <c r="L210" i="30"/>
  <c r="M210" i="30"/>
  <c r="N210" i="30"/>
  <c r="O210" i="30"/>
  <c r="L211" i="30"/>
  <c r="M211" i="30"/>
  <c r="N211" i="30"/>
  <c r="O211" i="30"/>
  <c r="L212" i="30"/>
  <c r="M212" i="30"/>
  <c r="N212" i="30"/>
  <c r="O212" i="30"/>
  <c r="L213" i="30"/>
  <c r="M213" i="30"/>
  <c r="N213" i="30"/>
  <c r="O213" i="30"/>
  <c r="L214" i="30"/>
  <c r="M214" i="30"/>
  <c r="N214" i="30"/>
  <c r="O214" i="30"/>
  <c r="L215" i="30"/>
  <c r="M215" i="30"/>
  <c r="N215" i="30"/>
  <c r="O215" i="30"/>
  <c r="L216" i="30"/>
  <c r="M216" i="30"/>
  <c r="N216" i="30"/>
  <c r="O216" i="30"/>
  <c r="L217" i="30"/>
  <c r="M217" i="30"/>
  <c r="N217" i="30"/>
  <c r="O217" i="30"/>
  <c r="L218" i="30"/>
  <c r="M218" i="30"/>
  <c r="N218" i="30"/>
  <c r="O218" i="30"/>
  <c r="L219" i="30"/>
  <c r="M219" i="30"/>
  <c r="N219" i="30"/>
  <c r="O219" i="30"/>
  <c r="L220" i="30"/>
  <c r="M220" i="30"/>
  <c r="N220" i="30"/>
  <c r="O220" i="30"/>
  <c r="L221" i="30"/>
  <c r="M221" i="30"/>
  <c r="N221" i="30"/>
  <c r="O221" i="30"/>
  <c r="L222" i="30"/>
  <c r="M222" i="30"/>
  <c r="N222" i="30"/>
  <c r="O222" i="30"/>
  <c r="L223" i="30"/>
  <c r="M223" i="30"/>
  <c r="N223" i="30"/>
  <c r="O223" i="30"/>
  <c r="L224" i="30"/>
  <c r="M224" i="30"/>
  <c r="N224" i="30"/>
  <c r="O224" i="30"/>
  <c r="L225" i="30"/>
  <c r="M225" i="30"/>
  <c r="N225" i="30"/>
  <c r="O225" i="30"/>
  <c r="L226" i="30"/>
  <c r="M226" i="30"/>
  <c r="N226" i="30"/>
  <c r="O226" i="30"/>
  <c r="L227" i="30"/>
  <c r="M227" i="30"/>
  <c r="N227" i="30"/>
  <c r="O227" i="30"/>
  <c r="L228" i="30"/>
  <c r="M228" i="30"/>
  <c r="N228" i="30"/>
  <c r="O228" i="30"/>
  <c r="L229" i="30"/>
  <c r="M229" i="30"/>
  <c r="N229" i="30"/>
  <c r="O229" i="30"/>
  <c r="L230" i="30"/>
  <c r="M230" i="30"/>
  <c r="N230" i="30"/>
  <c r="O230" i="30"/>
  <c r="L231" i="30"/>
  <c r="M231" i="30"/>
  <c r="N231" i="30"/>
  <c r="O231" i="30"/>
  <c r="L232" i="30"/>
  <c r="M232" i="30"/>
  <c r="N232" i="30"/>
  <c r="O232" i="30"/>
  <c r="L233" i="30"/>
  <c r="M233" i="30"/>
  <c r="N233" i="30"/>
  <c r="O233" i="30"/>
  <c r="L234" i="30"/>
  <c r="M234" i="30"/>
  <c r="N234" i="30"/>
  <c r="O234" i="30"/>
  <c r="L235" i="30"/>
  <c r="M235" i="30"/>
  <c r="N235" i="30"/>
  <c r="O235" i="30"/>
  <c r="L236" i="30"/>
  <c r="M236" i="30"/>
  <c r="N236" i="30"/>
  <c r="O236" i="30"/>
  <c r="L237" i="30"/>
  <c r="M237" i="30"/>
  <c r="N237" i="30"/>
  <c r="O237" i="30"/>
  <c r="L238" i="30"/>
  <c r="M238" i="30"/>
  <c r="N238" i="30"/>
  <c r="O238" i="30"/>
  <c r="L239" i="30"/>
  <c r="M239" i="30"/>
  <c r="N239" i="30"/>
  <c r="O239" i="30"/>
  <c r="L240" i="30"/>
  <c r="M240" i="30"/>
  <c r="N240" i="30"/>
  <c r="O240" i="30"/>
  <c r="L241" i="30"/>
  <c r="M241" i="30"/>
  <c r="N241" i="30"/>
  <c r="O241" i="30"/>
  <c r="L242" i="30"/>
  <c r="M242" i="30"/>
  <c r="N242" i="30"/>
  <c r="O242" i="30"/>
  <c r="L243" i="30"/>
  <c r="M243" i="30"/>
  <c r="N243" i="30"/>
  <c r="O243" i="30"/>
  <c r="L244" i="30"/>
  <c r="M244" i="30"/>
  <c r="N244" i="30"/>
  <c r="O244" i="30"/>
  <c r="L245" i="30"/>
  <c r="M245" i="30"/>
  <c r="N245" i="30"/>
  <c r="O245" i="30"/>
  <c r="L246" i="30"/>
  <c r="M246" i="30"/>
  <c r="N246" i="30"/>
  <c r="O246" i="30"/>
  <c r="L247" i="30"/>
  <c r="M247" i="30"/>
  <c r="N247" i="30"/>
  <c r="O247" i="30"/>
  <c r="L248" i="30"/>
  <c r="M248" i="30"/>
  <c r="N248" i="30"/>
  <c r="O248" i="30"/>
  <c r="L249" i="30"/>
  <c r="M249" i="30"/>
  <c r="N249" i="30"/>
  <c r="O249" i="30"/>
  <c r="L250" i="30"/>
  <c r="M250" i="30"/>
  <c r="N250" i="30"/>
  <c r="O250" i="30"/>
  <c r="L251" i="30"/>
  <c r="M251" i="30"/>
  <c r="N251" i="30"/>
  <c r="O251" i="30"/>
  <c r="L252" i="30"/>
  <c r="M252" i="30"/>
  <c r="N252" i="30"/>
  <c r="O252" i="30"/>
  <c r="L253" i="30"/>
  <c r="M253" i="30"/>
  <c r="N253" i="30"/>
  <c r="O253" i="30"/>
  <c r="L254" i="30"/>
  <c r="M254" i="30"/>
  <c r="N254" i="30"/>
  <c r="O254" i="30"/>
  <c r="L255" i="30"/>
  <c r="M255" i="30"/>
  <c r="N255" i="30"/>
  <c r="O255" i="30"/>
  <c r="L256" i="30"/>
  <c r="M256" i="30"/>
  <c r="N256" i="30"/>
  <c r="O256" i="30"/>
  <c r="L257" i="30"/>
  <c r="M257" i="30"/>
  <c r="N257" i="30"/>
  <c r="O257" i="30"/>
  <c r="L258" i="30"/>
  <c r="M258" i="30"/>
  <c r="N258" i="30"/>
  <c r="O258" i="30"/>
  <c r="L259" i="30"/>
  <c r="M259" i="30"/>
  <c r="N259" i="30"/>
  <c r="O259" i="30"/>
  <c r="L260" i="30"/>
  <c r="M260" i="30"/>
  <c r="N260" i="30"/>
  <c r="O260" i="30"/>
  <c r="L261" i="30"/>
  <c r="M261" i="30"/>
  <c r="N261" i="30"/>
  <c r="O261" i="30"/>
  <c r="L262" i="30"/>
  <c r="M262" i="30"/>
  <c r="N262" i="30"/>
  <c r="O262" i="30"/>
  <c r="L263" i="30"/>
  <c r="M263" i="30"/>
  <c r="N263" i="30"/>
  <c r="O263" i="30"/>
  <c r="L264" i="30"/>
  <c r="M264" i="30"/>
  <c r="N264" i="30"/>
  <c r="O264" i="30"/>
  <c r="L265" i="30"/>
  <c r="M265" i="30"/>
  <c r="N265" i="30"/>
  <c r="O265" i="30"/>
  <c r="L266" i="30"/>
  <c r="M266" i="30"/>
  <c r="N266" i="30"/>
  <c r="O266" i="30"/>
  <c r="L267" i="30"/>
  <c r="M267" i="30"/>
  <c r="N267" i="30"/>
  <c r="O267" i="30"/>
  <c r="L268" i="30"/>
  <c r="M268" i="30"/>
  <c r="N268" i="30"/>
  <c r="O268" i="30"/>
  <c r="L269" i="30"/>
  <c r="M269" i="30"/>
  <c r="N269" i="30"/>
  <c r="O269" i="30"/>
  <c r="L270" i="30"/>
  <c r="M270" i="30"/>
  <c r="N270" i="30"/>
  <c r="O270" i="30"/>
  <c r="L271" i="30"/>
  <c r="M271" i="30"/>
  <c r="N271" i="30"/>
  <c r="O271" i="30"/>
  <c r="L272" i="30"/>
  <c r="M272" i="30"/>
  <c r="N272" i="30"/>
  <c r="O272" i="30"/>
  <c r="L273" i="30"/>
  <c r="M273" i="30"/>
  <c r="N273" i="30"/>
  <c r="O273" i="30"/>
  <c r="L274" i="30"/>
  <c r="M274" i="30"/>
  <c r="N274" i="30"/>
  <c r="O274" i="30"/>
  <c r="L275" i="30"/>
  <c r="M275" i="30"/>
  <c r="N275" i="30"/>
  <c r="O275" i="30"/>
  <c r="L276" i="30"/>
  <c r="M276" i="30"/>
  <c r="N276" i="30"/>
  <c r="O276" i="30"/>
  <c r="L277" i="30"/>
  <c r="M277" i="30"/>
  <c r="N277" i="30"/>
  <c r="O277" i="30"/>
  <c r="L278" i="30"/>
  <c r="M278" i="30"/>
  <c r="N278" i="30"/>
  <c r="O278" i="30"/>
  <c r="L279" i="30"/>
  <c r="M279" i="30"/>
  <c r="N279" i="30"/>
  <c r="O279" i="30"/>
  <c r="L280" i="30"/>
  <c r="M280" i="30"/>
  <c r="N280" i="30"/>
  <c r="O280" i="30"/>
  <c r="L281" i="30"/>
  <c r="M281" i="30"/>
  <c r="N281" i="30"/>
  <c r="O281" i="30"/>
  <c r="L282" i="30"/>
  <c r="M282" i="30"/>
  <c r="N282" i="30"/>
  <c r="O282" i="30"/>
  <c r="L283" i="30"/>
  <c r="M283" i="30"/>
  <c r="N283" i="30"/>
  <c r="O283" i="30"/>
  <c r="L284" i="30"/>
  <c r="M284" i="30"/>
  <c r="N284" i="30"/>
  <c r="O284" i="30"/>
  <c r="L285" i="30"/>
  <c r="M285" i="30"/>
  <c r="N285" i="30"/>
  <c r="O285" i="30"/>
  <c r="L286" i="30"/>
  <c r="M286" i="30"/>
  <c r="N286" i="30"/>
  <c r="O286" i="30"/>
  <c r="L287" i="30"/>
  <c r="M287" i="30"/>
  <c r="N287" i="30"/>
  <c r="O287" i="30"/>
  <c r="L288" i="30"/>
  <c r="M288" i="30"/>
  <c r="N288" i="30"/>
  <c r="O288" i="30"/>
  <c r="L289" i="30"/>
  <c r="M289" i="30"/>
  <c r="N289" i="30"/>
  <c r="O289" i="30"/>
  <c r="L290" i="30"/>
  <c r="M290" i="30"/>
  <c r="N290" i="30"/>
  <c r="O290" i="30"/>
  <c r="L291" i="30"/>
  <c r="M291" i="30"/>
  <c r="N291" i="30"/>
  <c r="O291" i="30"/>
  <c r="L292" i="30"/>
  <c r="M292" i="30"/>
  <c r="N292" i="30"/>
  <c r="O292" i="30"/>
  <c r="L293" i="30"/>
  <c r="M293" i="30"/>
  <c r="N293" i="30"/>
  <c r="O293" i="30"/>
  <c r="L294" i="30"/>
  <c r="M294" i="30"/>
  <c r="N294" i="30"/>
  <c r="O294" i="30"/>
  <c r="L295" i="30"/>
  <c r="M295" i="30"/>
  <c r="N295" i="30"/>
  <c r="O295" i="30"/>
  <c r="L296" i="30"/>
  <c r="M296" i="30"/>
  <c r="N296" i="30"/>
  <c r="O296" i="30"/>
  <c r="L297" i="30"/>
  <c r="M297" i="30"/>
  <c r="N297" i="30"/>
  <c r="O297" i="30"/>
  <c r="L298" i="30"/>
  <c r="M298" i="30"/>
  <c r="N298" i="30"/>
  <c r="O298" i="30"/>
  <c r="L299" i="30"/>
  <c r="M299" i="30"/>
  <c r="N299" i="30"/>
  <c r="O299" i="30"/>
  <c r="L300" i="30"/>
  <c r="M300" i="30"/>
  <c r="N300" i="30"/>
  <c r="O300" i="30"/>
  <c r="L301" i="30"/>
  <c r="M301" i="30"/>
  <c r="N301" i="30"/>
  <c r="O301" i="30"/>
  <c r="L302" i="30"/>
  <c r="M302" i="30"/>
  <c r="N302" i="30"/>
  <c r="O302" i="30"/>
  <c r="L303" i="30"/>
  <c r="M303" i="30"/>
  <c r="N303" i="30"/>
  <c r="O303" i="30"/>
  <c r="L304" i="30"/>
  <c r="M304" i="30"/>
  <c r="N304" i="30"/>
  <c r="O304" i="30"/>
  <c r="L305" i="30"/>
  <c r="M305" i="30"/>
  <c r="N305" i="30"/>
  <c r="O305" i="30"/>
  <c r="L306" i="30"/>
  <c r="M306" i="30"/>
  <c r="N306" i="30"/>
  <c r="O306" i="30"/>
  <c r="L307" i="30"/>
  <c r="M307" i="30"/>
  <c r="N307" i="30"/>
  <c r="O307" i="30"/>
  <c r="L308" i="30"/>
  <c r="M308" i="30"/>
  <c r="N308" i="30"/>
  <c r="O308" i="30"/>
  <c r="L309" i="30"/>
  <c r="M309" i="30"/>
  <c r="N309" i="30"/>
  <c r="O309" i="30"/>
  <c r="L310" i="30"/>
  <c r="M310" i="30"/>
  <c r="N310" i="30"/>
  <c r="O310" i="30"/>
  <c r="L311" i="30"/>
  <c r="M311" i="30"/>
  <c r="N311" i="30"/>
  <c r="O311" i="30"/>
  <c r="L312" i="30"/>
  <c r="M312" i="30"/>
  <c r="N312" i="30"/>
  <c r="O312" i="30"/>
  <c r="L313" i="30"/>
  <c r="M313" i="30"/>
  <c r="N313" i="30"/>
  <c r="O313" i="30"/>
  <c r="L314" i="30"/>
  <c r="M314" i="30"/>
  <c r="N314" i="30"/>
  <c r="O314" i="30"/>
  <c r="L315" i="30"/>
  <c r="M315" i="30"/>
  <c r="N315" i="30"/>
  <c r="O315" i="30"/>
  <c r="L316" i="30"/>
  <c r="M316" i="30"/>
  <c r="N316" i="30"/>
  <c r="O316" i="30"/>
  <c r="L317" i="30"/>
  <c r="M317" i="30"/>
  <c r="N317" i="30"/>
  <c r="O317" i="30"/>
  <c r="L318" i="30"/>
  <c r="M318" i="30"/>
  <c r="N318" i="30"/>
  <c r="O318" i="30"/>
  <c r="L319" i="30"/>
  <c r="M319" i="30"/>
  <c r="N319" i="30"/>
  <c r="O319" i="30"/>
  <c r="L320" i="30"/>
  <c r="M320" i="30"/>
  <c r="N320" i="30"/>
  <c r="O320" i="30"/>
  <c r="L321" i="30"/>
  <c r="M321" i="30"/>
  <c r="N321" i="30"/>
  <c r="O321" i="30"/>
  <c r="L322" i="30"/>
  <c r="M322" i="30"/>
  <c r="N322" i="30"/>
  <c r="O322" i="30"/>
  <c r="L323" i="30"/>
  <c r="M323" i="30"/>
  <c r="N323" i="30"/>
  <c r="O323" i="30"/>
  <c r="L324" i="30"/>
  <c r="M324" i="30"/>
  <c r="N324" i="30"/>
  <c r="O324" i="30"/>
  <c r="L325" i="30"/>
  <c r="M325" i="30"/>
  <c r="N325" i="30"/>
  <c r="O325" i="30"/>
  <c r="L326" i="30"/>
  <c r="M326" i="30"/>
  <c r="N326" i="30"/>
  <c r="O326" i="30"/>
  <c r="L327" i="30"/>
  <c r="M327" i="30"/>
  <c r="N327" i="30"/>
  <c r="O327" i="30"/>
  <c r="L328" i="30"/>
  <c r="M328" i="30"/>
  <c r="N328" i="30"/>
  <c r="O328" i="30"/>
  <c r="L329" i="30"/>
  <c r="M329" i="30"/>
  <c r="N329" i="30"/>
  <c r="O329" i="30"/>
  <c r="L330" i="30"/>
  <c r="M330" i="30"/>
  <c r="N330" i="30"/>
  <c r="O330" i="30"/>
  <c r="L331" i="30"/>
  <c r="M331" i="30"/>
  <c r="N331" i="30"/>
  <c r="O331" i="30"/>
  <c r="L332" i="30"/>
  <c r="M332" i="30"/>
  <c r="N332" i="30"/>
  <c r="O332" i="30"/>
  <c r="L333" i="30"/>
  <c r="M333" i="30"/>
  <c r="N333" i="30"/>
  <c r="O333" i="30"/>
  <c r="L334" i="30"/>
  <c r="M334" i="30"/>
  <c r="N334" i="30"/>
  <c r="O334" i="30"/>
  <c r="L335" i="30"/>
  <c r="M335" i="30"/>
  <c r="N335" i="30"/>
  <c r="O335" i="30"/>
  <c r="L336" i="30"/>
  <c r="M336" i="30"/>
  <c r="N336" i="30"/>
  <c r="O336" i="30"/>
  <c r="L337" i="30"/>
  <c r="M337" i="30"/>
  <c r="N337" i="30"/>
  <c r="O337" i="30"/>
  <c r="L338" i="30"/>
  <c r="M338" i="30"/>
  <c r="N338" i="30"/>
  <c r="O338" i="30"/>
  <c r="L339" i="30"/>
  <c r="M339" i="30"/>
  <c r="N339" i="30"/>
  <c r="O339" i="30"/>
  <c r="L340" i="30"/>
  <c r="M340" i="30"/>
  <c r="N340" i="30"/>
  <c r="O340" i="30"/>
  <c r="L341" i="30"/>
  <c r="M341" i="30"/>
  <c r="N341" i="30"/>
  <c r="O341" i="30"/>
  <c r="L342" i="30"/>
  <c r="M342" i="30"/>
  <c r="N342" i="30"/>
  <c r="O342" i="30"/>
  <c r="L343" i="30"/>
  <c r="M343" i="30"/>
  <c r="N343" i="30"/>
  <c r="O343" i="30"/>
  <c r="L344" i="30"/>
  <c r="M344" i="30"/>
  <c r="N344" i="30"/>
  <c r="O344" i="30"/>
  <c r="L345" i="30"/>
  <c r="M345" i="30"/>
  <c r="N345" i="30"/>
  <c r="O345" i="30"/>
  <c r="L346" i="30"/>
  <c r="M346" i="30"/>
  <c r="N346" i="30"/>
  <c r="O346" i="30"/>
  <c r="L347" i="30"/>
  <c r="M347" i="30"/>
  <c r="N347" i="30"/>
  <c r="O347" i="30"/>
  <c r="L348" i="30"/>
  <c r="M348" i="30"/>
  <c r="N348" i="30"/>
  <c r="O348" i="30"/>
  <c r="L349" i="30"/>
  <c r="M349" i="30"/>
  <c r="N349" i="30"/>
  <c r="O349" i="30"/>
  <c r="L350" i="30"/>
  <c r="M350" i="30"/>
  <c r="N350" i="30"/>
  <c r="O350" i="30"/>
  <c r="L351" i="30"/>
  <c r="M351" i="30"/>
  <c r="N351" i="30"/>
  <c r="O351" i="30"/>
  <c r="L352" i="30"/>
  <c r="M352" i="30"/>
  <c r="N352" i="30"/>
  <c r="O352" i="30"/>
  <c r="L353" i="30"/>
  <c r="M353" i="30"/>
  <c r="N353" i="30"/>
  <c r="O353" i="30"/>
  <c r="L354" i="30"/>
  <c r="M354" i="30"/>
  <c r="N354" i="30"/>
  <c r="O354" i="30"/>
  <c r="L355" i="30"/>
  <c r="M355" i="30"/>
  <c r="N355" i="30"/>
  <c r="O355" i="30"/>
  <c r="L356" i="30"/>
  <c r="M356" i="30"/>
  <c r="N356" i="30"/>
  <c r="O356" i="30"/>
  <c r="L357" i="30"/>
  <c r="M357" i="30"/>
  <c r="N357" i="30"/>
  <c r="O357" i="30"/>
  <c r="L358" i="30"/>
  <c r="M358" i="30"/>
  <c r="N358" i="30"/>
  <c r="O358" i="30"/>
  <c r="L359" i="30"/>
  <c r="M359" i="30"/>
  <c r="N359" i="30"/>
  <c r="O359" i="30"/>
  <c r="L360" i="30"/>
  <c r="M360" i="30"/>
  <c r="N360" i="30"/>
  <c r="O360" i="30"/>
  <c r="L361" i="30"/>
  <c r="M361" i="30"/>
  <c r="N361" i="30"/>
  <c r="O361" i="30"/>
  <c r="L362" i="30"/>
  <c r="M362" i="30"/>
  <c r="N362" i="30"/>
  <c r="O362" i="30"/>
  <c r="L363" i="30"/>
  <c r="M363" i="30"/>
  <c r="N363" i="30"/>
  <c r="O363" i="30"/>
  <c r="L364" i="30"/>
  <c r="M364" i="30"/>
  <c r="N364" i="30"/>
  <c r="O364" i="30"/>
  <c r="L365" i="30"/>
  <c r="M365" i="30"/>
  <c r="N365" i="30"/>
  <c r="O365" i="30"/>
  <c r="L366" i="30"/>
  <c r="M366" i="30"/>
  <c r="N366" i="30"/>
  <c r="O366" i="30"/>
  <c r="L367" i="30"/>
  <c r="M367" i="30"/>
  <c r="N367" i="30"/>
  <c r="O367" i="30"/>
  <c r="L368" i="30"/>
  <c r="M368" i="30"/>
  <c r="N368" i="30"/>
  <c r="O368" i="30"/>
  <c r="L369" i="30"/>
  <c r="M369" i="30"/>
  <c r="N369" i="30"/>
  <c r="O369" i="30"/>
  <c r="L370" i="30"/>
  <c r="M370" i="30"/>
  <c r="N370" i="30"/>
  <c r="O370" i="30"/>
  <c r="L371" i="30"/>
  <c r="M371" i="30"/>
  <c r="N371" i="30"/>
  <c r="O371" i="30"/>
  <c r="L372" i="30"/>
  <c r="M372" i="30"/>
  <c r="N372" i="30"/>
  <c r="O372" i="30"/>
  <c r="L373" i="30"/>
  <c r="M373" i="30"/>
  <c r="N373" i="30"/>
  <c r="O373" i="30"/>
  <c r="L374" i="30"/>
  <c r="M374" i="30"/>
  <c r="N374" i="30"/>
  <c r="O374" i="30"/>
  <c r="L375" i="30"/>
  <c r="M375" i="30"/>
  <c r="N375" i="30"/>
  <c r="O375" i="30"/>
  <c r="L376" i="30"/>
  <c r="M376" i="30"/>
  <c r="N376" i="30"/>
  <c r="O376" i="30"/>
  <c r="L377" i="30"/>
  <c r="M377" i="30"/>
  <c r="N377" i="30"/>
  <c r="O377" i="30"/>
  <c r="L378" i="30"/>
  <c r="M378" i="30"/>
  <c r="N378" i="30"/>
  <c r="O378" i="30"/>
  <c r="L379" i="30"/>
  <c r="M379" i="30"/>
  <c r="N379" i="30"/>
  <c r="O379" i="30"/>
  <c r="L380" i="30"/>
  <c r="M380" i="30"/>
  <c r="N380" i="30"/>
  <c r="O380" i="30"/>
  <c r="L381" i="30"/>
  <c r="M381" i="30"/>
  <c r="N381" i="30"/>
  <c r="O381" i="30"/>
  <c r="L382" i="30"/>
  <c r="M382" i="30"/>
  <c r="N382" i="30"/>
  <c r="O382" i="30"/>
  <c r="L383" i="30"/>
  <c r="M383" i="30"/>
  <c r="N383" i="30"/>
  <c r="O383" i="30"/>
  <c r="L384" i="30"/>
  <c r="M384" i="30"/>
  <c r="N384" i="30"/>
  <c r="O384" i="30"/>
  <c r="L385" i="30"/>
  <c r="M385" i="30"/>
  <c r="N385" i="30"/>
  <c r="O385" i="30"/>
  <c r="L386" i="30"/>
  <c r="M386" i="30"/>
  <c r="N386" i="30"/>
  <c r="O386" i="30"/>
  <c r="L387" i="30"/>
  <c r="M387" i="30"/>
  <c r="N387" i="30"/>
  <c r="O387" i="30"/>
  <c r="L388" i="30"/>
  <c r="M388" i="30"/>
  <c r="N388" i="30"/>
  <c r="O388" i="30"/>
  <c r="L389" i="30"/>
  <c r="M389" i="30"/>
  <c r="N389" i="30"/>
  <c r="O389" i="30"/>
  <c r="L390" i="30"/>
  <c r="M390" i="30"/>
  <c r="N390" i="30"/>
  <c r="O390" i="30"/>
  <c r="L391" i="30"/>
  <c r="M391" i="30"/>
  <c r="N391" i="30"/>
  <c r="O391" i="30"/>
  <c r="L392" i="30"/>
  <c r="M392" i="30"/>
  <c r="N392" i="30"/>
  <c r="O392" i="30"/>
  <c r="L393" i="30"/>
  <c r="M393" i="30"/>
  <c r="N393" i="30"/>
  <c r="O393" i="30"/>
  <c r="L394" i="30"/>
  <c r="M394" i="30"/>
  <c r="N394" i="30"/>
  <c r="O394" i="30"/>
  <c r="L395" i="30"/>
  <c r="M395" i="30"/>
  <c r="N395" i="30"/>
  <c r="O395" i="30"/>
  <c r="L396" i="30"/>
  <c r="M396" i="30"/>
  <c r="N396" i="30"/>
  <c r="O396" i="30"/>
  <c r="L397" i="30"/>
  <c r="M397" i="30"/>
  <c r="N397" i="30"/>
  <c r="O397" i="30"/>
  <c r="L398" i="30"/>
  <c r="M398" i="30"/>
  <c r="N398" i="30"/>
  <c r="O398" i="30"/>
  <c r="L399" i="30"/>
  <c r="M399" i="30"/>
  <c r="N399" i="30"/>
  <c r="O399" i="30"/>
  <c r="L400" i="30"/>
  <c r="M400" i="30"/>
  <c r="N400" i="30"/>
  <c r="O400" i="30"/>
  <c r="L401" i="30"/>
  <c r="M401" i="30"/>
  <c r="N401" i="30"/>
  <c r="O401" i="30"/>
  <c r="L402" i="30"/>
  <c r="M402" i="30"/>
  <c r="N402" i="30"/>
  <c r="O402" i="30"/>
  <c r="L403" i="30"/>
  <c r="M403" i="30"/>
  <c r="N403" i="30"/>
  <c r="O403" i="30"/>
  <c r="L404" i="30"/>
  <c r="M404" i="30"/>
  <c r="N404" i="30"/>
  <c r="O404" i="30"/>
  <c r="L405" i="30"/>
  <c r="M405" i="30"/>
  <c r="N405" i="30"/>
  <c r="O405" i="30"/>
  <c r="L406" i="30"/>
  <c r="M406" i="30"/>
  <c r="N406" i="30"/>
  <c r="O406" i="30"/>
  <c r="L407" i="30"/>
  <c r="M407" i="30"/>
  <c r="N407" i="30"/>
  <c r="O407" i="30"/>
  <c r="L408" i="30"/>
  <c r="M408" i="30"/>
  <c r="N408" i="30"/>
  <c r="O408" i="30"/>
  <c r="L409" i="30"/>
  <c r="M409" i="30"/>
  <c r="N409" i="30"/>
  <c r="O409" i="30"/>
  <c r="L410" i="30"/>
  <c r="M410" i="30"/>
  <c r="N410" i="30"/>
  <c r="O410" i="30"/>
  <c r="L411" i="30"/>
  <c r="M411" i="30"/>
  <c r="N411" i="30"/>
  <c r="O411" i="30"/>
  <c r="L412" i="30"/>
  <c r="M412" i="30"/>
  <c r="N412" i="30"/>
  <c r="O412" i="30"/>
  <c r="L413" i="30"/>
  <c r="M413" i="30"/>
  <c r="N413" i="30"/>
  <c r="O413" i="30"/>
  <c r="L414" i="30"/>
  <c r="M414" i="30"/>
  <c r="N414" i="30"/>
  <c r="O414" i="30"/>
  <c r="L415" i="30"/>
  <c r="M415" i="30"/>
  <c r="N415" i="30"/>
  <c r="O415" i="30"/>
  <c r="L416" i="30"/>
  <c r="M416" i="30"/>
  <c r="N416" i="30"/>
  <c r="O416" i="30"/>
  <c r="L417" i="30"/>
  <c r="M417" i="30"/>
  <c r="N417" i="30"/>
  <c r="O417" i="30"/>
  <c r="L418" i="30"/>
  <c r="M418" i="30"/>
  <c r="N418" i="30"/>
  <c r="O418" i="30"/>
  <c r="L419" i="30"/>
  <c r="M419" i="30"/>
  <c r="N419" i="30"/>
  <c r="O419" i="30"/>
  <c r="L420" i="30"/>
  <c r="M420" i="30"/>
  <c r="N420" i="30"/>
  <c r="O420" i="30"/>
  <c r="L421" i="30"/>
  <c r="M421" i="30"/>
  <c r="N421" i="30"/>
  <c r="O421" i="30"/>
  <c r="L422" i="30"/>
  <c r="M422" i="30"/>
  <c r="N422" i="30"/>
  <c r="O422" i="30"/>
  <c r="L423" i="30"/>
  <c r="M423" i="30"/>
  <c r="N423" i="30"/>
  <c r="O423" i="30"/>
  <c r="L424" i="30"/>
  <c r="M424" i="30"/>
  <c r="N424" i="30"/>
  <c r="O424" i="30"/>
  <c r="L425" i="30"/>
  <c r="M425" i="30"/>
  <c r="N425" i="30"/>
  <c r="O425" i="30"/>
  <c r="L426" i="30"/>
  <c r="M426" i="30"/>
  <c r="N426" i="30"/>
  <c r="O426" i="30"/>
  <c r="L427" i="30"/>
  <c r="M427" i="30"/>
  <c r="N427" i="30"/>
  <c r="O427" i="30"/>
  <c r="L428" i="30"/>
  <c r="M428" i="30"/>
  <c r="N428" i="30"/>
  <c r="O428" i="30"/>
  <c r="L429" i="30"/>
  <c r="M429" i="30"/>
  <c r="N429" i="30"/>
  <c r="O429" i="30"/>
  <c r="L430" i="30"/>
  <c r="M430" i="30"/>
  <c r="N430" i="30"/>
  <c r="O430" i="30"/>
  <c r="L431" i="30"/>
  <c r="M431" i="30"/>
  <c r="N431" i="30"/>
  <c r="O431" i="30"/>
  <c r="L432" i="30"/>
  <c r="M432" i="30"/>
  <c r="N432" i="30"/>
  <c r="O432" i="30"/>
  <c r="L433" i="30"/>
  <c r="M433" i="30"/>
  <c r="N433" i="30"/>
  <c r="O433" i="30"/>
  <c r="L434" i="30"/>
  <c r="M434" i="30"/>
  <c r="N434" i="30"/>
  <c r="O434" i="30"/>
  <c r="L435" i="30"/>
  <c r="M435" i="30"/>
  <c r="N435" i="30"/>
  <c r="O435" i="30"/>
  <c r="L436" i="30"/>
  <c r="M436" i="30"/>
  <c r="N436" i="30"/>
  <c r="O436" i="30"/>
  <c r="L437" i="30"/>
  <c r="M437" i="30"/>
  <c r="N437" i="30"/>
  <c r="O437" i="30"/>
  <c r="L438" i="30"/>
  <c r="M438" i="30"/>
  <c r="N438" i="30"/>
  <c r="O438" i="30"/>
  <c r="L439" i="30"/>
  <c r="M439" i="30"/>
  <c r="N439" i="30"/>
  <c r="O439" i="30"/>
  <c r="L440" i="30"/>
  <c r="M440" i="30"/>
  <c r="N440" i="30"/>
  <c r="O440" i="30"/>
  <c r="L441" i="30"/>
  <c r="M441" i="30"/>
  <c r="N441" i="30"/>
  <c r="O441" i="30"/>
  <c r="L442" i="30"/>
  <c r="M442" i="30"/>
  <c r="N442" i="30"/>
  <c r="O442" i="30"/>
  <c r="L443" i="30"/>
  <c r="M443" i="30"/>
  <c r="N443" i="30"/>
  <c r="O443" i="30"/>
  <c r="L444" i="30"/>
  <c r="M444" i="30"/>
  <c r="N444" i="30"/>
  <c r="O444" i="30"/>
  <c r="L445" i="30"/>
  <c r="M445" i="30"/>
  <c r="N445" i="30"/>
  <c r="O445" i="30"/>
  <c r="L446" i="30"/>
  <c r="M446" i="30"/>
  <c r="N446" i="30"/>
  <c r="O446" i="30"/>
  <c r="L447" i="30"/>
  <c r="M447" i="30"/>
  <c r="N447" i="30"/>
  <c r="O447" i="30"/>
  <c r="L448" i="30"/>
  <c r="M448" i="30"/>
  <c r="N448" i="30"/>
  <c r="O448" i="30"/>
  <c r="L449" i="30"/>
  <c r="M449" i="30"/>
  <c r="N449" i="30"/>
  <c r="O449" i="30"/>
  <c r="L450" i="30"/>
  <c r="M450" i="30"/>
  <c r="N450" i="30"/>
  <c r="O450" i="30"/>
  <c r="L451" i="30"/>
  <c r="M451" i="30"/>
  <c r="N451" i="30"/>
  <c r="O451" i="30"/>
  <c r="L452" i="30"/>
  <c r="M452" i="30"/>
  <c r="N452" i="30"/>
  <c r="O452" i="30"/>
  <c r="L453" i="30"/>
  <c r="M453" i="30"/>
  <c r="N453" i="30"/>
  <c r="O453" i="30"/>
  <c r="L454" i="30"/>
  <c r="M454" i="30"/>
  <c r="N454" i="30"/>
  <c r="O454" i="30"/>
  <c r="L455" i="30"/>
  <c r="M455" i="30"/>
  <c r="N455" i="30"/>
  <c r="O455" i="30"/>
  <c r="L456" i="30"/>
  <c r="M456" i="30"/>
  <c r="N456" i="30"/>
  <c r="O456" i="30"/>
  <c r="L457" i="30"/>
  <c r="M457" i="30"/>
  <c r="N457" i="30"/>
  <c r="O457" i="30"/>
  <c r="L458" i="30"/>
  <c r="M458" i="30"/>
  <c r="N458" i="30"/>
  <c r="O458" i="30"/>
  <c r="L459" i="30"/>
  <c r="M459" i="30"/>
  <c r="N459" i="30"/>
  <c r="O459" i="30"/>
  <c r="L460" i="30"/>
  <c r="M460" i="30"/>
  <c r="N460" i="30"/>
  <c r="O460" i="30"/>
  <c r="L461" i="30"/>
  <c r="M461" i="30"/>
  <c r="N461" i="30"/>
  <c r="O461" i="30"/>
  <c r="L462" i="30"/>
  <c r="M462" i="30"/>
  <c r="N462" i="30"/>
  <c r="O462" i="30"/>
  <c r="L463" i="30"/>
  <c r="M463" i="30"/>
  <c r="N463" i="30"/>
  <c r="O463" i="30"/>
  <c r="L464" i="30"/>
  <c r="M464" i="30"/>
  <c r="N464" i="30"/>
  <c r="O464" i="30"/>
  <c r="L465" i="30"/>
  <c r="M465" i="30"/>
  <c r="N465" i="30"/>
  <c r="O465" i="30"/>
  <c r="L466" i="30"/>
  <c r="M466" i="30"/>
  <c r="N466" i="30"/>
  <c r="O466" i="30"/>
  <c r="L467" i="30"/>
  <c r="M467" i="30"/>
  <c r="N467" i="30"/>
  <c r="O467" i="30"/>
  <c r="L468" i="30"/>
  <c r="M468" i="30"/>
  <c r="N468" i="30"/>
  <c r="O468" i="30"/>
  <c r="L469" i="30"/>
  <c r="M469" i="30"/>
  <c r="N469" i="30"/>
  <c r="O469" i="30"/>
  <c r="L470" i="30"/>
  <c r="M470" i="30"/>
  <c r="N470" i="30"/>
  <c r="O470" i="30"/>
  <c r="L471" i="30"/>
  <c r="M471" i="30"/>
  <c r="N471" i="30"/>
  <c r="O471" i="30"/>
  <c r="L472" i="30"/>
  <c r="M472" i="30"/>
  <c r="N472" i="30"/>
  <c r="O472" i="30"/>
  <c r="L473" i="30"/>
  <c r="M473" i="30"/>
  <c r="N473" i="30"/>
  <c r="O473" i="30"/>
  <c r="L474" i="30"/>
  <c r="M474" i="30"/>
  <c r="N474" i="30"/>
  <c r="O474" i="30"/>
  <c r="L475" i="30"/>
  <c r="M475" i="30"/>
  <c r="N475" i="30"/>
  <c r="O475" i="30"/>
  <c r="L476" i="30"/>
  <c r="M476" i="30"/>
  <c r="N476" i="30"/>
  <c r="O476" i="30"/>
  <c r="L477" i="30"/>
  <c r="M477" i="30"/>
  <c r="N477" i="30"/>
  <c r="O477" i="30"/>
  <c r="L478" i="30"/>
  <c r="M478" i="30"/>
  <c r="N478" i="30"/>
  <c r="O478" i="30"/>
  <c r="L479" i="30"/>
  <c r="M479" i="30"/>
  <c r="N479" i="30"/>
  <c r="O479" i="30"/>
  <c r="L480" i="30"/>
  <c r="M480" i="30"/>
  <c r="N480" i="30"/>
  <c r="O480" i="30"/>
  <c r="L481" i="30"/>
  <c r="M481" i="30"/>
  <c r="N481" i="30"/>
  <c r="O481" i="30"/>
  <c r="L482" i="30"/>
  <c r="M482" i="30"/>
  <c r="N482" i="30"/>
  <c r="O482" i="30"/>
  <c r="L483" i="30"/>
  <c r="M483" i="30"/>
  <c r="N483" i="30"/>
  <c r="O483" i="30"/>
  <c r="L484" i="30"/>
  <c r="M484" i="30"/>
  <c r="N484" i="30"/>
  <c r="O484" i="30"/>
  <c r="L485" i="30"/>
  <c r="M485" i="30"/>
  <c r="N485" i="30"/>
  <c r="O485" i="30"/>
  <c r="L486" i="30"/>
  <c r="M486" i="30"/>
  <c r="N486" i="30"/>
  <c r="O486" i="30"/>
  <c r="L487" i="30"/>
  <c r="M487" i="30"/>
  <c r="N487" i="30"/>
  <c r="O487" i="30"/>
  <c r="L488" i="30"/>
  <c r="M488" i="30"/>
  <c r="N488" i="30"/>
  <c r="O488" i="30"/>
  <c r="L489" i="30"/>
  <c r="M489" i="30"/>
  <c r="N489" i="30"/>
  <c r="O489" i="30"/>
  <c r="L490" i="30"/>
  <c r="M490" i="30"/>
  <c r="N490" i="30"/>
  <c r="O490" i="30"/>
  <c r="L491" i="30"/>
  <c r="M491" i="30"/>
  <c r="N491" i="30"/>
  <c r="O491" i="30"/>
  <c r="L492" i="30"/>
  <c r="M492" i="30"/>
  <c r="N492" i="30"/>
  <c r="O492" i="30"/>
  <c r="L493" i="30"/>
  <c r="M493" i="30"/>
  <c r="N493" i="30"/>
  <c r="O493" i="30"/>
  <c r="L494" i="30"/>
  <c r="M494" i="30"/>
  <c r="N494" i="30"/>
  <c r="O494" i="30"/>
  <c r="L495" i="30"/>
  <c r="M495" i="30"/>
  <c r="N495" i="30"/>
  <c r="O495" i="30"/>
  <c r="L496" i="30"/>
  <c r="M496" i="30"/>
  <c r="N496" i="30"/>
  <c r="O496" i="30"/>
  <c r="L497" i="30"/>
  <c r="M497" i="30"/>
  <c r="N497" i="30"/>
  <c r="O497" i="30"/>
  <c r="L498" i="30"/>
  <c r="M498" i="30"/>
  <c r="N498" i="30"/>
  <c r="O498" i="30"/>
  <c r="L499" i="30"/>
  <c r="M499" i="30"/>
  <c r="N499" i="30"/>
  <c r="O499" i="30"/>
  <c r="L500" i="30"/>
  <c r="M500" i="30"/>
  <c r="N500" i="30"/>
  <c r="O500" i="30"/>
  <c r="L501" i="30"/>
  <c r="M501" i="30"/>
  <c r="N501" i="30"/>
  <c r="O501" i="30"/>
  <c r="L502" i="30"/>
  <c r="M502" i="30"/>
  <c r="N502" i="30"/>
  <c r="O502" i="30"/>
  <c r="L503" i="30"/>
  <c r="M503" i="30"/>
  <c r="N503" i="30"/>
  <c r="O503" i="30"/>
  <c r="L504" i="30"/>
  <c r="M504" i="30"/>
  <c r="N504" i="30"/>
  <c r="O504" i="30"/>
  <c r="L505" i="30"/>
  <c r="M505" i="30"/>
  <c r="N505" i="30"/>
  <c r="O505" i="30"/>
  <c r="L506" i="30"/>
  <c r="M506" i="30"/>
  <c r="N506" i="30"/>
  <c r="O506" i="30"/>
  <c r="L507" i="30"/>
  <c r="M507" i="30"/>
  <c r="N507" i="30"/>
  <c r="O507" i="30"/>
  <c r="L508" i="30"/>
  <c r="M508" i="30"/>
  <c r="N508" i="30"/>
  <c r="O508" i="30"/>
  <c r="L509" i="30"/>
  <c r="M509" i="30"/>
  <c r="N509" i="30"/>
  <c r="O509" i="30"/>
  <c r="L510" i="30"/>
  <c r="M510" i="30"/>
  <c r="N510" i="30"/>
  <c r="O510" i="30"/>
  <c r="L511" i="30"/>
  <c r="M511" i="30"/>
  <c r="N511" i="30"/>
  <c r="O511" i="30"/>
  <c r="L512" i="30"/>
  <c r="M512" i="30"/>
  <c r="N512" i="30"/>
  <c r="O512" i="30"/>
  <c r="L513" i="30"/>
  <c r="M513" i="30"/>
  <c r="N513" i="30"/>
  <c r="O513" i="30"/>
  <c r="L514" i="30"/>
  <c r="M514" i="30"/>
  <c r="N514" i="30"/>
  <c r="O514" i="30"/>
  <c r="L515" i="30"/>
  <c r="M515" i="30"/>
  <c r="N515" i="30"/>
  <c r="O515" i="30"/>
  <c r="L516" i="30"/>
  <c r="M516" i="30"/>
  <c r="N516" i="30"/>
  <c r="O516" i="30"/>
  <c r="L517" i="30"/>
  <c r="M517" i="30"/>
  <c r="N517" i="30"/>
  <c r="O517" i="30"/>
  <c r="L518" i="30"/>
  <c r="M518" i="30"/>
  <c r="N518" i="30"/>
  <c r="O518" i="30"/>
  <c r="L519" i="30"/>
  <c r="M519" i="30"/>
  <c r="N519" i="30"/>
  <c r="O519" i="30"/>
  <c r="L520" i="30"/>
  <c r="M520" i="30"/>
  <c r="N520" i="30"/>
  <c r="O520" i="30"/>
  <c r="L521" i="30"/>
  <c r="M521" i="30"/>
  <c r="N521" i="30"/>
  <c r="O521" i="30"/>
  <c r="L522" i="30"/>
  <c r="M522" i="30"/>
  <c r="N522" i="30"/>
  <c r="O522" i="30"/>
  <c r="L523" i="30"/>
  <c r="M523" i="30"/>
  <c r="N523" i="30"/>
  <c r="O523" i="30"/>
  <c r="L524" i="30"/>
  <c r="M524" i="30"/>
  <c r="N524" i="30"/>
  <c r="O524" i="30"/>
  <c r="L525" i="30"/>
  <c r="M525" i="30"/>
  <c r="N525" i="30"/>
  <c r="O525" i="30"/>
  <c r="L526" i="30"/>
  <c r="M526" i="30"/>
  <c r="N526" i="30"/>
  <c r="O526" i="30"/>
  <c r="L527" i="30"/>
  <c r="M527" i="30"/>
  <c r="N527" i="30"/>
  <c r="O527" i="30"/>
  <c r="L528" i="30"/>
  <c r="M528" i="30"/>
  <c r="N528" i="30"/>
  <c r="O528" i="30"/>
  <c r="L529" i="30"/>
  <c r="M529" i="30"/>
  <c r="N529" i="30"/>
  <c r="O529" i="30"/>
  <c r="L530" i="30"/>
  <c r="M530" i="30"/>
  <c r="N530" i="30"/>
  <c r="O530" i="30"/>
  <c r="L531" i="30"/>
  <c r="M531" i="30"/>
  <c r="N531" i="30"/>
  <c r="O531" i="30"/>
  <c r="L532" i="30"/>
  <c r="M532" i="30"/>
  <c r="N532" i="30"/>
  <c r="O532" i="30"/>
  <c r="L533" i="30"/>
  <c r="M533" i="30"/>
  <c r="N533" i="30"/>
  <c r="O533" i="30"/>
  <c r="L534" i="30"/>
  <c r="M534" i="30"/>
  <c r="N534" i="30"/>
  <c r="O534" i="30"/>
  <c r="L535" i="30"/>
  <c r="M535" i="30"/>
  <c r="N535" i="30"/>
  <c r="O535" i="30"/>
  <c r="L536" i="30"/>
  <c r="M536" i="30"/>
  <c r="N536" i="30"/>
  <c r="O536" i="30"/>
  <c r="L537" i="30"/>
  <c r="M537" i="30"/>
  <c r="N537" i="30"/>
  <c r="O537" i="30"/>
  <c r="L538" i="30"/>
  <c r="M538" i="30"/>
  <c r="N538" i="30"/>
  <c r="O538" i="30"/>
  <c r="L539" i="30"/>
  <c r="M539" i="30"/>
  <c r="N539" i="30"/>
  <c r="O539" i="30"/>
  <c r="L540" i="30"/>
  <c r="M540" i="30"/>
  <c r="N540" i="30"/>
  <c r="O540" i="30"/>
  <c r="L541" i="30"/>
  <c r="M541" i="30"/>
  <c r="N541" i="30"/>
  <c r="O541" i="30"/>
  <c r="L542" i="30"/>
  <c r="M542" i="30"/>
  <c r="N542" i="30"/>
  <c r="O542" i="30"/>
  <c r="L543" i="30"/>
  <c r="M543" i="30"/>
  <c r="N543" i="30"/>
  <c r="O543" i="30"/>
  <c r="L544" i="30"/>
  <c r="M544" i="30"/>
  <c r="N544" i="30"/>
  <c r="O544" i="30"/>
  <c r="L545" i="30"/>
  <c r="M545" i="30"/>
  <c r="N545" i="30"/>
  <c r="O545" i="30"/>
  <c r="L546" i="30"/>
  <c r="M546" i="30"/>
  <c r="N546" i="30"/>
  <c r="O546" i="30"/>
  <c r="L547" i="30"/>
  <c r="M547" i="30"/>
  <c r="N547" i="30"/>
  <c r="O547" i="30"/>
  <c r="L548" i="30"/>
  <c r="M548" i="30"/>
  <c r="N548" i="30"/>
  <c r="O548" i="30"/>
  <c r="L549" i="30"/>
  <c r="M549" i="30"/>
  <c r="N549" i="30"/>
  <c r="O549" i="30"/>
  <c r="L550" i="30"/>
  <c r="M550" i="30"/>
  <c r="N550" i="30"/>
  <c r="O550" i="30"/>
  <c r="L551" i="30"/>
  <c r="M551" i="30"/>
  <c r="N551" i="30"/>
  <c r="O551" i="30"/>
  <c r="L552" i="30"/>
  <c r="M552" i="30"/>
  <c r="N552" i="30"/>
  <c r="O552" i="30"/>
  <c r="L553" i="30"/>
  <c r="M553" i="30"/>
  <c r="N553" i="30"/>
  <c r="O553" i="30"/>
  <c r="L554" i="30"/>
  <c r="M554" i="30"/>
  <c r="N554" i="30"/>
  <c r="O554" i="30"/>
  <c r="L555" i="30"/>
  <c r="M555" i="30"/>
  <c r="N555" i="30"/>
  <c r="O555" i="30"/>
  <c r="L556" i="30"/>
  <c r="M556" i="30"/>
  <c r="N556" i="30"/>
  <c r="O556" i="30"/>
  <c r="L557" i="30"/>
  <c r="M557" i="30"/>
  <c r="N557" i="30"/>
  <c r="O557" i="30"/>
  <c r="L558" i="30"/>
  <c r="M558" i="30"/>
  <c r="N558" i="30"/>
  <c r="O558" i="30"/>
  <c r="L559" i="30"/>
  <c r="M559" i="30"/>
  <c r="N559" i="30"/>
  <c r="O559" i="30"/>
  <c r="L560" i="30"/>
  <c r="M560" i="30"/>
  <c r="N560" i="30"/>
  <c r="O560" i="30"/>
  <c r="L561" i="30"/>
  <c r="M561" i="30"/>
  <c r="N561" i="30"/>
  <c r="O561" i="30"/>
  <c r="L562" i="30"/>
  <c r="M562" i="30"/>
  <c r="N562" i="30"/>
  <c r="O562" i="30"/>
  <c r="L563" i="30"/>
  <c r="M563" i="30"/>
  <c r="N563" i="30"/>
  <c r="O563" i="30"/>
  <c r="L564" i="30"/>
  <c r="M564" i="30"/>
  <c r="N564" i="30"/>
  <c r="O564" i="30"/>
  <c r="L565" i="30"/>
  <c r="M565" i="30"/>
  <c r="N565" i="30"/>
  <c r="O565" i="30"/>
  <c r="L566" i="30"/>
  <c r="M566" i="30"/>
  <c r="N566" i="30"/>
  <c r="O566" i="30"/>
  <c r="L567" i="30"/>
  <c r="M567" i="30"/>
  <c r="N567" i="30"/>
  <c r="O567" i="30"/>
  <c r="L568" i="30"/>
  <c r="M568" i="30"/>
  <c r="N568" i="30"/>
  <c r="O568" i="30"/>
  <c r="L569" i="30"/>
  <c r="M569" i="30"/>
  <c r="N569" i="30"/>
  <c r="O569" i="30"/>
  <c r="L570" i="30"/>
  <c r="M570" i="30"/>
  <c r="N570" i="30"/>
  <c r="O570" i="30"/>
  <c r="L571" i="30"/>
  <c r="M571" i="30"/>
  <c r="N571" i="30"/>
  <c r="O571" i="30"/>
  <c r="L572" i="30"/>
  <c r="M572" i="30"/>
  <c r="N572" i="30"/>
  <c r="O572" i="30"/>
  <c r="L573" i="30"/>
  <c r="M573" i="30"/>
  <c r="N573" i="30"/>
  <c r="O573" i="30"/>
  <c r="L574" i="30"/>
  <c r="M574" i="30"/>
  <c r="N574" i="30"/>
  <c r="O574" i="30"/>
  <c r="L575" i="30"/>
  <c r="M575" i="30"/>
  <c r="N575" i="30"/>
  <c r="O575" i="30"/>
  <c r="L576" i="30"/>
  <c r="M576" i="30"/>
  <c r="N576" i="30"/>
  <c r="O576" i="30"/>
  <c r="L577" i="30"/>
  <c r="M577" i="30"/>
  <c r="N577" i="30"/>
  <c r="O577" i="30"/>
  <c r="L578" i="30"/>
  <c r="M578" i="30"/>
  <c r="N578" i="30"/>
  <c r="O578" i="30"/>
  <c r="L579" i="30"/>
  <c r="M579" i="30"/>
  <c r="N579" i="30"/>
  <c r="O579" i="30"/>
  <c r="L580" i="30"/>
  <c r="M580" i="30"/>
  <c r="N580" i="30"/>
  <c r="O580" i="30"/>
  <c r="L581" i="30"/>
  <c r="M581" i="30"/>
  <c r="N581" i="30"/>
  <c r="O581" i="30"/>
  <c r="L582" i="30"/>
  <c r="M582" i="30"/>
  <c r="N582" i="30"/>
  <c r="O582" i="30"/>
  <c r="L583" i="30"/>
  <c r="M583" i="30"/>
  <c r="N583" i="30"/>
  <c r="O583" i="30"/>
  <c r="L584" i="30"/>
  <c r="M584" i="30"/>
  <c r="N584" i="30"/>
  <c r="O584" i="30"/>
  <c r="L585" i="30"/>
  <c r="M585" i="30"/>
  <c r="N585" i="30"/>
  <c r="O585" i="30"/>
  <c r="L586" i="30"/>
  <c r="M586" i="30"/>
  <c r="N586" i="30"/>
  <c r="O586" i="30"/>
  <c r="L587" i="30"/>
  <c r="M587" i="30"/>
  <c r="N587" i="30"/>
  <c r="O587" i="30"/>
  <c r="L588" i="30"/>
  <c r="M588" i="30"/>
  <c r="N588" i="30"/>
  <c r="O588" i="30"/>
  <c r="L589" i="30"/>
  <c r="M589" i="30"/>
  <c r="N589" i="30"/>
  <c r="O589" i="30"/>
  <c r="L590" i="30"/>
  <c r="M590" i="30"/>
  <c r="N590" i="30"/>
  <c r="O590" i="30"/>
  <c r="L591" i="30"/>
  <c r="M591" i="30"/>
  <c r="N591" i="30"/>
  <c r="O591" i="30"/>
  <c r="L592" i="30"/>
  <c r="M592" i="30"/>
  <c r="N592" i="30"/>
  <c r="O592" i="30"/>
  <c r="L593" i="30"/>
  <c r="M593" i="30"/>
  <c r="N593" i="30"/>
  <c r="O593" i="30"/>
  <c r="L594" i="30"/>
  <c r="M594" i="30"/>
  <c r="N594" i="30"/>
  <c r="O594" i="30"/>
  <c r="L595" i="30"/>
  <c r="M595" i="30"/>
  <c r="N595" i="30"/>
  <c r="O595" i="30"/>
  <c r="L596" i="30"/>
  <c r="M596" i="30"/>
  <c r="N596" i="30"/>
  <c r="O596" i="30"/>
  <c r="L597" i="30"/>
  <c r="M597" i="30"/>
  <c r="N597" i="30"/>
  <c r="O597" i="30"/>
  <c r="L598" i="30"/>
  <c r="M598" i="30"/>
  <c r="N598" i="30"/>
  <c r="O598" i="30"/>
  <c r="L599" i="30"/>
  <c r="M599" i="30"/>
  <c r="N599" i="30"/>
  <c r="O599" i="30"/>
  <c r="L600" i="30"/>
  <c r="M600" i="30"/>
  <c r="N600" i="30"/>
  <c r="O600" i="30"/>
  <c r="L601" i="30"/>
  <c r="M601" i="30"/>
  <c r="N601" i="30"/>
  <c r="O601" i="30"/>
  <c r="L602" i="30"/>
  <c r="M602" i="30"/>
  <c r="N602" i="30"/>
  <c r="O602" i="30"/>
  <c r="L603" i="30"/>
  <c r="M603" i="30"/>
  <c r="N603" i="30"/>
  <c r="O603" i="30"/>
  <c r="L604" i="30"/>
  <c r="M604" i="30"/>
  <c r="N604" i="30"/>
  <c r="O604" i="30"/>
  <c r="L605" i="30"/>
  <c r="M605" i="30"/>
  <c r="N605" i="30"/>
  <c r="O605" i="30"/>
  <c r="L606" i="30"/>
  <c r="M606" i="30"/>
  <c r="N606" i="30"/>
  <c r="O606" i="30"/>
  <c r="L607" i="30"/>
  <c r="M607" i="30"/>
  <c r="N607" i="30"/>
  <c r="O607" i="30"/>
  <c r="L608" i="30"/>
  <c r="M608" i="30"/>
  <c r="N608" i="30"/>
  <c r="O608" i="30"/>
  <c r="L609" i="30"/>
  <c r="M609" i="30"/>
  <c r="N609" i="30"/>
  <c r="O609" i="30"/>
  <c r="L610" i="30"/>
  <c r="M610" i="30"/>
  <c r="N610" i="30"/>
  <c r="O610" i="30"/>
  <c r="L611" i="30"/>
  <c r="M611" i="30"/>
  <c r="N611" i="30"/>
  <c r="O611" i="30"/>
  <c r="L612" i="30"/>
  <c r="M612" i="30"/>
  <c r="N612" i="30"/>
  <c r="O612" i="30"/>
  <c r="L613" i="30"/>
  <c r="M613" i="30"/>
  <c r="N613" i="30"/>
  <c r="O613" i="30"/>
  <c r="L614" i="30"/>
  <c r="M614" i="30"/>
  <c r="N614" i="30"/>
  <c r="O614" i="30"/>
  <c r="L615" i="30"/>
  <c r="M615" i="30"/>
  <c r="N615" i="30"/>
  <c r="O615" i="30"/>
  <c r="L616" i="30"/>
  <c r="M616" i="30"/>
  <c r="N616" i="30"/>
  <c r="O616" i="30"/>
  <c r="L617" i="30"/>
  <c r="M617" i="30"/>
  <c r="N617" i="30"/>
  <c r="O617" i="30"/>
  <c r="L618" i="30"/>
  <c r="M618" i="30"/>
  <c r="N618" i="30"/>
  <c r="O618" i="30"/>
  <c r="L619" i="30"/>
  <c r="M619" i="30"/>
  <c r="N619" i="30"/>
  <c r="O619" i="30"/>
  <c r="L620" i="30"/>
  <c r="M620" i="30"/>
  <c r="N620" i="30"/>
  <c r="O620" i="30"/>
  <c r="L621" i="30"/>
  <c r="M621" i="30"/>
  <c r="N621" i="30"/>
  <c r="O621" i="30"/>
  <c r="L622" i="30"/>
  <c r="M622" i="30"/>
  <c r="N622" i="30"/>
  <c r="O622" i="30"/>
  <c r="L623" i="30"/>
  <c r="M623" i="30"/>
  <c r="N623" i="30"/>
  <c r="O623" i="30"/>
  <c r="L624" i="30"/>
  <c r="M624" i="30"/>
  <c r="N624" i="30"/>
  <c r="O624" i="30"/>
  <c r="L625" i="30"/>
  <c r="M625" i="30"/>
  <c r="N625" i="30"/>
  <c r="O625" i="30"/>
  <c r="L626" i="30"/>
  <c r="M626" i="30"/>
  <c r="N626" i="30"/>
  <c r="O626" i="30"/>
  <c r="L627" i="30"/>
  <c r="M627" i="30"/>
  <c r="N627" i="30"/>
  <c r="O627" i="30"/>
  <c r="L628" i="30"/>
  <c r="M628" i="30"/>
  <c r="N628" i="30"/>
  <c r="O628" i="30"/>
  <c r="L629" i="30"/>
  <c r="M629" i="30"/>
  <c r="N629" i="30"/>
  <c r="O629" i="30"/>
  <c r="L630" i="30"/>
  <c r="M630" i="30"/>
  <c r="N630" i="30"/>
  <c r="O630" i="30"/>
  <c r="L631" i="30"/>
  <c r="M631" i="30"/>
  <c r="N631" i="30"/>
  <c r="O631" i="30"/>
  <c r="L632" i="30"/>
  <c r="M632" i="30"/>
  <c r="N632" i="30"/>
  <c r="O632" i="30"/>
  <c r="L633" i="30"/>
  <c r="M633" i="30"/>
  <c r="N633" i="30"/>
  <c r="O633" i="30"/>
  <c r="L634" i="30"/>
  <c r="M634" i="30"/>
  <c r="N634" i="30"/>
  <c r="O634" i="30"/>
  <c r="L635" i="30"/>
  <c r="M635" i="30"/>
  <c r="N635" i="30"/>
  <c r="O635" i="30"/>
  <c r="L636" i="30"/>
  <c r="M636" i="30"/>
  <c r="N636" i="30"/>
  <c r="O636" i="30"/>
  <c r="L637" i="30"/>
  <c r="M637" i="30"/>
  <c r="N637" i="30"/>
  <c r="O637" i="30"/>
  <c r="L638" i="30"/>
  <c r="M638" i="30"/>
  <c r="N638" i="30"/>
  <c r="O638" i="30"/>
  <c r="L639" i="30"/>
  <c r="M639" i="30"/>
  <c r="N639" i="30"/>
  <c r="O639" i="30"/>
  <c r="L640" i="30"/>
  <c r="M640" i="30"/>
  <c r="N640" i="30"/>
  <c r="O640" i="30"/>
  <c r="L641" i="30"/>
  <c r="M641" i="30"/>
  <c r="N641" i="30"/>
  <c r="O641" i="30"/>
  <c r="L642" i="30"/>
  <c r="M642" i="30"/>
  <c r="N642" i="30"/>
  <c r="O642" i="30"/>
  <c r="L643" i="30"/>
  <c r="M643" i="30"/>
  <c r="N643" i="30"/>
  <c r="O643" i="30"/>
  <c r="L644" i="30"/>
  <c r="M644" i="30"/>
  <c r="N644" i="30"/>
  <c r="O644" i="30"/>
  <c r="L645" i="30"/>
  <c r="M645" i="30"/>
  <c r="N645" i="30"/>
  <c r="O645" i="30"/>
  <c r="L646" i="30"/>
  <c r="M646" i="30"/>
  <c r="N646" i="30"/>
  <c r="O646" i="30"/>
  <c r="L647" i="30"/>
  <c r="M647" i="30"/>
  <c r="N647" i="30"/>
  <c r="O647" i="30"/>
  <c r="L648" i="30"/>
  <c r="M648" i="30"/>
  <c r="N648" i="30"/>
  <c r="O648" i="30"/>
  <c r="L649" i="30"/>
  <c r="M649" i="30"/>
  <c r="N649" i="30"/>
  <c r="O649" i="30"/>
  <c r="L650" i="30"/>
  <c r="M650" i="30"/>
  <c r="N650" i="30"/>
  <c r="O650" i="30"/>
  <c r="L651" i="30"/>
  <c r="M651" i="30"/>
  <c r="N651" i="30"/>
  <c r="O651" i="30"/>
  <c r="L652" i="30"/>
  <c r="M652" i="30"/>
  <c r="N652" i="30"/>
  <c r="O652" i="30"/>
  <c r="L653" i="30"/>
  <c r="M653" i="30"/>
  <c r="N653" i="30"/>
  <c r="O653" i="30"/>
  <c r="L654" i="30"/>
  <c r="M654" i="30"/>
  <c r="N654" i="30"/>
  <c r="O654" i="30"/>
  <c r="L655" i="30"/>
  <c r="M655" i="30"/>
  <c r="N655" i="30"/>
  <c r="O655" i="30"/>
  <c r="L656" i="30"/>
  <c r="M656" i="30"/>
  <c r="N656" i="30"/>
  <c r="O656" i="30"/>
  <c r="L657" i="30"/>
  <c r="M657" i="30"/>
  <c r="N657" i="30"/>
  <c r="O657" i="30"/>
  <c r="L658" i="30"/>
  <c r="M658" i="30"/>
  <c r="N658" i="30"/>
  <c r="O658" i="30"/>
  <c r="L659" i="30"/>
  <c r="M659" i="30"/>
  <c r="N659" i="30"/>
  <c r="O659" i="30"/>
  <c r="L660" i="30"/>
  <c r="M660" i="30"/>
  <c r="N660" i="30"/>
  <c r="O660" i="30"/>
  <c r="L661" i="30"/>
  <c r="M661" i="30"/>
  <c r="N661" i="30"/>
  <c r="O661" i="30"/>
  <c r="L662" i="30"/>
  <c r="M662" i="30"/>
  <c r="N662" i="30"/>
  <c r="O662" i="30"/>
  <c r="L663" i="30"/>
  <c r="M663" i="30"/>
  <c r="N663" i="30"/>
  <c r="O663" i="30"/>
  <c r="L664" i="30"/>
  <c r="M664" i="30"/>
  <c r="N664" i="30"/>
  <c r="O664" i="30"/>
  <c r="L665" i="30"/>
  <c r="M665" i="30"/>
  <c r="N665" i="30"/>
  <c r="O665" i="30"/>
  <c r="L666" i="30"/>
  <c r="M666" i="30"/>
  <c r="N666" i="30"/>
  <c r="O666" i="30"/>
  <c r="L667" i="30"/>
  <c r="M667" i="30"/>
  <c r="N667" i="30"/>
  <c r="O667" i="30"/>
  <c r="L668" i="30"/>
  <c r="M668" i="30"/>
  <c r="N668" i="30"/>
  <c r="O668" i="30"/>
  <c r="L669" i="30"/>
  <c r="M669" i="30"/>
  <c r="N669" i="30"/>
  <c r="O669" i="30"/>
  <c r="L670" i="30"/>
  <c r="M670" i="30"/>
  <c r="N670" i="30"/>
  <c r="O670" i="30"/>
  <c r="L671" i="30"/>
  <c r="M671" i="30"/>
  <c r="N671" i="30"/>
  <c r="O671" i="30"/>
  <c r="L672" i="30"/>
  <c r="M672" i="30"/>
  <c r="N672" i="30"/>
  <c r="O672" i="30"/>
  <c r="L673" i="30"/>
  <c r="M673" i="30"/>
  <c r="N673" i="30"/>
  <c r="O673" i="30"/>
  <c r="L674" i="30"/>
  <c r="M674" i="30"/>
  <c r="N674" i="30"/>
  <c r="O674" i="30"/>
  <c r="L675" i="30"/>
  <c r="M675" i="30"/>
  <c r="N675" i="30"/>
  <c r="O675" i="30"/>
  <c r="L676" i="30"/>
  <c r="M676" i="30"/>
  <c r="N676" i="30"/>
  <c r="O676" i="30"/>
  <c r="L677" i="30"/>
  <c r="M677" i="30"/>
  <c r="N677" i="30"/>
  <c r="O677" i="30"/>
  <c r="L678" i="30"/>
  <c r="M678" i="30"/>
  <c r="N678" i="30"/>
  <c r="O678" i="30"/>
  <c r="L679" i="30"/>
  <c r="M679" i="30"/>
  <c r="N679" i="30"/>
  <c r="O679" i="30"/>
  <c r="L680" i="30"/>
  <c r="M680" i="30"/>
  <c r="N680" i="30"/>
  <c r="O680" i="30"/>
  <c r="L681" i="30"/>
  <c r="M681" i="30"/>
  <c r="N681" i="30"/>
  <c r="O681" i="30"/>
  <c r="L682" i="30"/>
  <c r="M682" i="30"/>
  <c r="N682" i="30"/>
  <c r="O682" i="30"/>
  <c r="L683" i="30"/>
  <c r="M683" i="30"/>
  <c r="N683" i="30"/>
  <c r="O683" i="30"/>
  <c r="L684" i="30"/>
  <c r="M684" i="30"/>
  <c r="N684" i="30"/>
  <c r="O684" i="30"/>
  <c r="L685" i="30"/>
  <c r="M685" i="30"/>
  <c r="N685" i="30"/>
  <c r="O685" i="30"/>
  <c r="L686" i="30"/>
  <c r="M686" i="30"/>
  <c r="N686" i="30"/>
  <c r="O686" i="30"/>
  <c r="L687" i="30"/>
  <c r="M687" i="30"/>
  <c r="N687" i="30"/>
  <c r="O687" i="30"/>
  <c r="L688" i="30"/>
  <c r="M688" i="30"/>
  <c r="N688" i="30"/>
  <c r="O688" i="30"/>
  <c r="L689" i="30"/>
  <c r="M689" i="30"/>
  <c r="N689" i="30"/>
  <c r="O689" i="30"/>
  <c r="L690" i="30"/>
  <c r="M690" i="30"/>
  <c r="N690" i="30"/>
  <c r="O690" i="30"/>
  <c r="L691" i="30"/>
  <c r="M691" i="30"/>
  <c r="N691" i="30"/>
  <c r="O691" i="30"/>
  <c r="L692" i="30"/>
  <c r="M692" i="30"/>
  <c r="N692" i="30"/>
  <c r="O692" i="30"/>
  <c r="L693" i="30"/>
  <c r="M693" i="30"/>
  <c r="N693" i="30"/>
  <c r="O693" i="30"/>
  <c r="L694" i="30"/>
  <c r="M694" i="30"/>
  <c r="N694" i="30"/>
  <c r="O694" i="30"/>
  <c r="L695" i="30"/>
  <c r="M695" i="30"/>
  <c r="N695" i="30"/>
  <c r="O695" i="30"/>
  <c r="L696" i="30"/>
  <c r="M696" i="30"/>
  <c r="N696" i="30"/>
  <c r="O696" i="30"/>
  <c r="L697" i="30"/>
  <c r="M697" i="30"/>
  <c r="N697" i="30"/>
  <c r="O697" i="30"/>
  <c r="L698" i="30"/>
  <c r="M698" i="30"/>
  <c r="N698" i="30"/>
  <c r="O698" i="30"/>
  <c r="L699" i="30"/>
  <c r="M699" i="30"/>
  <c r="N699" i="30"/>
  <c r="O699" i="30"/>
  <c r="L700" i="30"/>
  <c r="M700" i="30"/>
  <c r="N700" i="30"/>
  <c r="O700" i="30"/>
  <c r="L701" i="30"/>
  <c r="M701" i="30"/>
  <c r="N701" i="30"/>
  <c r="O701" i="30"/>
  <c r="L702" i="30"/>
  <c r="M702" i="30"/>
  <c r="N702" i="30"/>
  <c r="O702" i="30"/>
  <c r="L703" i="30"/>
  <c r="M703" i="30"/>
  <c r="N703" i="30"/>
  <c r="O703" i="30"/>
  <c r="L704" i="30"/>
  <c r="M704" i="30"/>
  <c r="N704" i="30"/>
  <c r="O704" i="30"/>
  <c r="L705" i="30"/>
  <c r="M705" i="30"/>
  <c r="N705" i="30"/>
  <c r="O705" i="30"/>
  <c r="L706" i="30"/>
  <c r="M706" i="30"/>
  <c r="N706" i="30"/>
  <c r="O706" i="30"/>
  <c r="L707" i="30"/>
  <c r="M707" i="30"/>
  <c r="N707" i="30"/>
  <c r="O707" i="30"/>
  <c r="L708" i="30"/>
  <c r="M708" i="30"/>
  <c r="N708" i="30"/>
  <c r="O708" i="30"/>
  <c r="L709" i="30"/>
  <c r="M709" i="30"/>
  <c r="N709" i="30"/>
  <c r="O709" i="30"/>
  <c r="L710" i="30"/>
  <c r="M710" i="30"/>
  <c r="N710" i="30"/>
  <c r="O710" i="30"/>
  <c r="L711" i="30"/>
  <c r="M711" i="30"/>
  <c r="N711" i="30"/>
  <c r="O711" i="30"/>
  <c r="L712" i="30"/>
  <c r="M712" i="30"/>
  <c r="N712" i="30"/>
  <c r="O712" i="30"/>
  <c r="L713" i="30"/>
  <c r="M713" i="30"/>
  <c r="N713" i="30"/>
  <c r="O713" i="30"/>
  <c r="L714" i="30"/>
  <c r="M714" i="30"/>
  <c r="N714" i="30"/>
  <c r="O714" i="30"/>
  <c r="L715" i="30"/>
  <c r="M715" i="30"/>
  <c r="N715" i="30"/>
  <c r="O715" i="30"/>
  <c r="L716" i="30"/>
  <c r="M716" i="30"/>
  <c r="N716" i="30"/>
  <c r="O716" i="30"/>
  <c r="L717" i="30"/>
  <c r="M717" i="30"/>
  <c r="N717" i="30"/>
  <c r="O717" i="30"/>
  <c r="L718" i="30"/>
  <c r="M718" i="30"/>
  <c r="N718" i="30"/>
  <c r="O718" i="30"/>
  <c r="L719" i="30"/>
  <c r="M719" i="30"/>
  <c r="N719" i="30"/>
  <c r="O719" i="30"/>
  <c r="L720" i="30"/>
  <c r="M720" i="30"/>
  <c r="N720" i="30"/>
  <c r="O720" i="30"/>
  <c r="L721" i="30"/>
  <c r="M721" i="30"/>
  <c r="N721" i="30"/>
  <c r="O721" i="30"/>
  <c r="L722" i="30"/>
  <c r="M722" i="30"/>
  <c r="N722" i="30"/>
  <c r="O722" i="30"/>
  <c r="L723" i="30"/>
  <c r="M723" i="30"/>
  <c r="N723" i="30"/>
  <c r="O723" i="30"/>
  <c r="L724" i="30"/>
  <c r="M724" i="30"/>
  <c r="N724" i="30"/>
  <c r="O724" i="30"/>
  <c r="L725" i="30"/>
  <c r="M725" i="30"/>
  <c r="N725" i="30"/>
  <c r="O725" i="30"/>
  <c r="L726" i="30"/>
  <c r="M726" i="30"/>
  <c r="N726" i="30"/>
  <c r="O726" i="30"/>
  <c r="L727" i="30"/>
  <c r="M727" i="30"/>
  <c r="N727" i="30"/>
  <c r="O727" i="30"/>
  <c r="L728" i="30"/>
  <c r="M728" i="30"/>
  <c r="N728" i="30"/>
  <c r="O728" i="30"/>
  <c r="L729" i="30"/>
  <c r="M729" i="30"/>
  <c r="N729" i="30"/>
  <c r="O729" i="30"/>
  <c r="L730" i="30"/>
  <c r="M730" i="30"/>
  <c r="N730" i="30"/>
  <c r="O730" i="30"/>
  <c r="L731" i="30"/>
  <c r="M731" i="30"/>
  <c r="N731" i="30"/>
  <c r="O731" i="30"/>
  <c r="L732" i="30"/>
  <c r="M732" i="30"/>
  <c r="N732" i="30"/>
  <c r="O732" i="30"/>
  <c r="L733" i="30"/>
  <c r="M733" i="30"/>
  <c r="N733" i="30"/>
  <c r="O733" i="30"/>
  <c r="L734" i="30"/>
  <c r="M734" i="30"/>
  <c r="N734" i="30"/>
  <c r="O734" i="30"/>
  <c r="L735" i="30"/>
  <c r="M735" i="30"/>
  <c r="N735" i="30"/>
  <c r="O735" i="30"/>
  <c r="L736" i="30"/>
  <c r="M736" i="30"/>
  <c r="N736" i="30"/>
  <c r="O736" i="30"/>
  <c r="L737" i="30"/>
  <c r="M737" i="30"/>
  <c r="N737" i="30"/>
  <c r="O737" i="30"/>
  <c r="L738" i="30"/>
  <c r="M738" i="30"/>
  <c r="N738" i="30"/>
  <c r="O738" i="30"/>
  <c r="L739" i="30"/>
  <c r="M739" i="30"/>
  <c r="N739" i="30"/>
  <c r="O739" i="30"/>
  <c r="L740" i="30"/>
  <c r="M740" i="30"/>
  <c r="N740" i="30"/>
  <c r="O740" i="30"/>
  <c r="L741" i="30"/>
  <c r="M741" i="30"/>
  <c r="N741" i="30"/>
  <c r="O741" i="30"/>
  <c r="L742" i="30"/>
  <c r="M742" i="30"/>
  <c r="N742" i="30"/>
  <c r="O742" i="30"/>
  <c r="L743" i="30"/>
  <c r="M743" i="30"/>
  <c r="N743" i="30"/>
  <c r="O743" i="30"/>
  <c r="L744" i="30"/>
  <c r="M744" i="30"/>
  <c r="N744" i="30"/>
  <c r="O744" i="30"/>
  <c r="L745" i="30"/>
  <c r="M745" i="30"/>
  <c r="N745" i="30"/>
  <c r="O745" i="30"/>
  <c r="L746" i="30"/>
  <c r="M746" i="30"/>
  <c r="N746" i="30"/>
  <c r="O746" i="30"/>
  <c r="L747" i="30"/>
  <c r="M747" i="30"/>
  <c r="N747" i="30"/>
  <c r="O747" i="30"/>
  <c r="L748" i="30"/>
  <c r="M748" i="30"/>
  <c r="N748" i="30"/>
  <c r="O748" i="30"/>
  <c r="L749" i="30"/>
  <c r="M749" i="30"/>
  <c r="N749" i="30"/>
  <c r="O749" i="30"/>
  <c r="L750" i="30"/>
  <c r="M750" i="30"/>
  <c r="N750" i="30"/>
  <c r="O750" i="30"/>
  <c r="L751" i="30"/>
  <c r="M751" i="30"/>
  <c r="N751" i="30"/>
  <c r="O751" i="30"/>
  <c r="L752" i="30"/>
  <c r="M752" i="30"/>
  <c r="N752" i="30"/>
  <c r="O752" i="30"/>
  <c r="L753" i="30"/>
  <c r="M753" i="30"/>
  <c r="N753" i="30"/>
  <c r="O753" i="30"/>
  <c r="L754" i="30"/>
  <c r="M754" i="30"/>
  <c r="N754" i="30"/>
  <c r="O754" i="30"/>
  <c r="L755" i="30"/>
  <c r="M755" i="30"/>
  <c r="N755" i="30"/>
  <c r="O755" i="30"/>
  <c r="L756" i="30"/>
  <c r="M756" i="30"/>
  <c r="N756" i="30"/>
  <c r="O756" i="30"/>
  <c r="L757" i="30"/>
  <c r="M757" i="30"/>
  <c r="N757" i="30"/>
  <c r="O757" i="30"/>
  <c r="L758" i="30"/>
  <c r="M758" i="30"/>
  <c r="N758" i="30"/>
  <c r="O758" i="30"/>
  <c r="L759" i="30"/>
  <c r="M759" i="30"/>
  <c r="N759" i="30"/>
  <c r="O759" i="30"/>
  <c r="L760" i="30"/>
  <c r="M760" i="30"/>
  <c r="N760" i="30"/>
  <c r="O760" i="30"/>
  <c r="L761" i="30"/>
  <c r="M761" i="30"/>
  <c r="N761" i="30"/>
  <c r="O761" i="30"/>
  <c r="L762" i="30"/>
  <c r="M762" i="30"/>
  <c r="N762" i="30"/>
  <c r="O762" i="30"/>
  <c r="L763" i="30"/>
  <c r="M763" i="30"/>
  <c r="N763" i="30"/>
  <c r="O763" i="30"/>
  <c r="L764" i="30"/>
  <c r="M764" i="30"/>
  <c r="N764" i="30"/>
  <c r="O764" i="30"/>
  <c r="L765" i="30"/>
  <c r="M765" i="30"/>
  <c r="N765" i="30"/>
  <c r="O765" i="30"/>
  <c r="L766" i="30"/>
  <c r="M766" i="30"/>
  <c r="N766" i="30"/>
  <c r="O766" i="30"/>
  <c r="L767" i="30"/>
  <c r="M767" i="30"/>
  <c r="N767" i="30"/>
  <c r="O767" i="30"/>
  <c r="L768" i="30"/>
  <c r="M768" i="30"/>
  <c r="N768" i="30"/>
  <c r="O768" i="30"/>
  <c r="L769" i="30"/>
  <c r="M769" i="30"/>
  <c r="N769" i="30"/>
  <c r="O769" i="30"/>
  <c r="L770" i="30"/>
  <c r="M770" i="30"/>
  <c r="N770" i="30"/>
  <c r="O770" i="30"/>
  <c r="L771" i="30"/>
  <c r="M771" i="30"/>
  <c r="N771" i="30"/>
  <c r="O771" i="30"/>
  <c r="L772" i="30"/>
  <c r="M772" i="30"/>
  <c r="N772" i="30"/>
  <c r="O772" i="30"/>
  <c r="L773" i="30"/>
  <c r="M773" i="30"/>
  <c r="N773" i="30"/>
  <c r="O773" i="30"/>
  <c r="L774" i="30"/>
  <c r="M774" i="30"/>
  <c r="N774" i="30"/>
  <c r="O774" i="30"/>
  <c r="L775" i="30"/>
  <c r="M775" i="30"/>
  <c r="N775" i="30"/>
  <c r="O775" i="30"/>
  <c r="L776" i="30"/>
  <c r="M776" i="30"/>
  <c r="N776" i="30"/>
  <c r="O776" i="30"/>
  <c r="L777" i="30"/>
  <c r="M777" i="30"/>
  <c r="N777" i="30"/>
  <c r="O777" i="30"/>
  <c r="L778" i="30"/>
  <c r="M778" i="30"/>
  <c r="N778" i="30"/>
  <c r="O778" i="30"/>
  <c r="L779" i="30"/>
  <c r="M779" i="30"/>
  <c r="N779" i="30"/>
  <c r="O779" i="30"/>
  <c r="L780" i="30"/>
  <c r="M780" i="30"/>
  <c r="N780" i="30"/>
  <c r="O780" i="30"/>
  <c r="L781" i="30"/>
  <c r="M781" i="30"/>
  <c r="N781" i="30"/>
  <c r="O781" i="30"/>
  <c r="L782" i="30"/>
  <c r="M782" i="30"/>
  <c r="N782" i="30"/>
  <c r="O782" i="30"/>
  <c r="L783" i="30"/>
  <c r="M783" i="30"/>
  <c r="N783" i="30"/>
  <c r="O783" i="30"/>
  <c r="L784" i="30"/>
  <c r="M784" i="30"/>
  <c r="N784" i="30"/>
  <c r="O784" i="30"/>
  <c r="L785" i="30"/>
  <c r="M785" i="30"/>
  <c r="N785" i="30"/>
  <c r="O785" i="30"/>
  <c r="L786" i="30"/>
  <c r="M786" i="30"/>
  <c r="N786" i="30"/>
  <c r="O786" i="30"/>
  <c r="L787" i="30"/>
  <c r="M787" i="30"/>
  <c r="N787" i="30"/>
  <c r="O787" i="30"/>
  <c r="L788" i="30"/>
  <c r="M788" i="30"/>
  <c r="N788" i="30"/>
  <c r="O788" i="30"/>
  <c r="L789" i="30"/>
  <c r="M789" i="30"/>
  <c r="N789" i="30"/>
  <c r="O789" i="30"/>
  <c r="L790" i="30"/>
  <c r="M790" i="30"/>
  <c r="N790" i="30"/>
  <c r="O790" i="30"/>
  <c r="L791" i="30"/>
  <c r="M791" i="30"/>
  <c r="N791" i="30"/>
  <c r="O791" i="30"/>
  <c r="L792" i="30"/>
  <c r="M792" i="30"/>
  <c r="N792" i="30"/>
  <c r="O792" i="30"/>
  <c r="L793" i="30"/>
  <c r="M793" i="30"/>
  <c r="N793" i="30"/>
  <c r="O793" i="30"/>
  <c r="L794" i="30"/>
  <c r="M794" i="30"/>
  <c r="N794" i="30"/>
  <c r="O794" i="30"/>
  <c r="L795" i="30"/>
  <c r="M795" i="30"/>
  <c r="N795" i="30"/>
  <c r="O795" i="30"/>
  <c r="L796" i="30"/>
  <c r="M796" i="30"/>
  <c r="N796" i="30"/>
  <c r="O796" i="30"/>
  <c r="L797" i="30"/>
  <c r="M797" i="30"/>
  <c r="N797" i="30"/>
  <c r="O797" i="30"/>
  <c r="L798" i="30"/>
  <c r="M798" i="30"/>
  <c r="N798" i="30"/>
  <c r="O798" i="30"/>
  <c r="L799" i="30"/>
  <c r="M799" i="30"/>
  <c r="N799" i="30"/>
  <c r="O799" i="30"/>
  <c r="L800" i="30"/>
  <c r="M800" i="30"/>
  <c r="N800" i="30"/>
  <c r="O800" i="30"/>
  <c r="L801" i="30"/>
  <c r="M801" i="30"/>
  <c r="N801" i="30"/>
  <c r="O801" i="30"/>
  <c r="L802" i="30"/>
  <c r="M802" i="30"/>
  <c r="N802" i="30"/>
  <c r="O802" i="30"/>
  <c r="L803" i="30"/>
  <c r="M803" i="30"/>
  <c r="N803" i="30"/>
  <c r="O803" i="30"/>
  <c r="L804" i="30"/>
  <c r="M804" i="30"/>
  <c r="N804" i="30"/>
  <c r="O804" i="30"/>
  <c r="L805" i="30"/>
  <c r="M805" i="30"/>
  <c r="N805" i="30"/>
  <c r="O805" i="30"/>
  <c r="L806" i="30"/>
  <c r="M806" i="30"/>
  <c r="N806" i="30"/>
  <c r="O806" i="30"/>
  <c r="L807" i="30"/>
  <c r="M807" i="30"/>
  <c r="N807" i="30"/>
  <c r="O807" i="30"/>
  <c r="L808" i="30"/>
  <c r="M808" i="30"/>
  <c r="N808" i="30"/>
  <c r="O808" i="30"/>
  <c r="L809" i="30"/>
  <c r="M809" i="30"/>
  <c r="N809" i="30"/>
  <c r="O809" i="30"/>
  <c r="L810" i="30"/>
  <c r="M810" i="30"/>
  <c r="N810" i="30"/>
  <c r="O810" i="30"/>
  <c r="L811" i="30"/>
  <c r="M811" i="30"/>
  <c r="N811" i="30"/>
  <c r="O811" i="30"/>
  <c r="L812" i="30"/>
  <c r="M812" i="30"/>
  <c r="N812" i="30"/>
  <c r="O812" i="30"/>
  <c r="L813" i="30"/>
  <c r="M813" i="30"/>
  <c r="N813" i="30"/>
  <c r="O813" i="30"/>
  <c r="L814" i="30"/>
  <c r="M814" i="30"/>
  <c r="N814" i="30"/>
  <c r="O814" i="30"/>
  <c r="L815" i="30"/>
  <c r="M815" i="30"/>
  <c r="N815" i="30"/>
  <c r="O815" i="30"/>
  <c r="L816" i="30"/>
  <c r="M816" i="30"/>
  <c r="N816" i="30"/>
  <c r="O816" i="30"/>
  <c r="L817" i="30"/>
  <c r="M817" i="30"/>
  <c r="N817" i="30"/>
  <c r="O817" i="30"/>
  <c r="L818" i="30"/>
  <c r="M818" i="30"/>
  <c r="N818" i="30"/>
  <c r="O818" i="30"/>
  <c r="L819" i="30"/>
  <c r="M819" i="30"/>
  <c r="N819" i="30"/>
  <c r="O819" i="30"/>
  <c r="L820" i="30"/>
  <c r="M820" i="30"/>
  <c r="N820" i="30"/>
  <c r="O820" i="30"/>
  <c r="L821" i="30"/>
  <c r="M821" i="30"/>
  <c r="N821" i="30"/>
  <c r="O821" i="30"/>
  <c r="L822" i="30"/>
  <c r="M822" i="30"/>
  <c r="N822" i="30"/>
  <c r="O822" i="30"/>
  <c r="L823" i="30"/>
  <c r="M823" i="30"/>
  <c r="N823" i="30"/>
  <c r="O823" i="30"/>
  <c r="L824" i="30"/>
  <c r="M824" i="30"/>
  <c r="N824" i="30"/>
  <c r="O824" i="30"/>
  <c r="L825" i="30"/>
  <c r="M825" i="30"/>
  <c r="N825" i="30"/>
  <c r="O825" i="30"/>
  <c r="L826" i="30"/>
  <c r="M826" i="30"/>
  <c r="N826" i="30"/>
  <c r="O826" i="30"/>
  <c r="L827" i="30"/>
  <c r="M827" i="30"/>
  <c r="N827" i="30"/>
  <c r="O827" i="30"/>
  <c r="L828" i="30"/>
  <c r="M828" i="30"/>
  <c r="N828" i="30"/>
  <c r="O828" i="30"/>
  <c r="L829" i="30"/>
  <c r="M829" i="30"/>
  <c r="N829" i="30"/>
  <c r="O829" i="30"/>
  <c r="L830" i="30"/>
  <c r="M830" i="30"/>
  <c r="N830" i="30"/>
  <c r="O830" i="30"/>
  <c r="L831" i="30"/>
  <c r="M831" i="30"/>
  <c r="N831" i="30"/>
  <c r="O831" i="30"/>
  <c r="L832" i="30"/>
  <c r="M832" i="30"/>
  <c r="N832" i="30"/>
  <c r="O832" i="30"/>
  <c r="L833" i="30"/>
  <c r="M833" i="30"/>
  <c r="N833" i="30"/>
  <c r="O833" i="30"/>
  <c r="L834" i="30"/>
  <c r="M834" i="30"/>
  <c r="N834" i="30"/>
  <c r="O834" i="30"/>
  <c r="L835" i="30"/>
  <c r="M835" i="30"/>
  <c r="N835" i="30"/>
  <c r="O835" i="30"/>
  <c r="L836" i="30"/>
  <c r="M836" i="30"/>
  <c r="N836" i="30"/>
  <c r="O836" i="30"/>
  <c r="L837" i="30"/>
  <c r="M837" i="30"/>
  <c r="N837" i="30"/>
  <c r="O837" i="30"/>
  <c r="L838" i="30"/>
  <c r="M838" i="30"/>
  <c r="N838" i="30"/>
  <c r="O838" i="30"/>
  <c r="L839" i="30"/>
  <c r="M839" i="30"/>
  <c r="N839" i="30"/>
  <c r="O839" i="30"/>
  <c r="L840" i="30"/>
  <c r="M840" i="30"/>
  <c r="N840" i="30"/>
  <c r="O840" i="30"/>
  <c r="L841" i="30"/>
  <c r="M841" i="30"/>
  <c r="N841" i="30"/>
  <c r="O841" i="30"/>
  <c r="L842" i="30"/>
  <c r="M842" i="30"/>
  <c r="N842" i="30"/>
  <c r="O842" i="30"/>
  <c r="L843" i="30"/>
  <c r="M843" i="30"/>
  <c r="N843" i="30"/>
  <c r="O843" i="30"/>
  <c r="L844" i="30"/>
  <c r="M844" i="30"/>
  <c r="N844" i="30"/>
  <c r="O844" i="30"/>
  <c r="L845" i="30"/>
  <c r="M845" i="30"/>
  <c r="N845" i="30"/>
  <c r="O845" i="30"/>
  <c r="L846" i="30"/>
  <c r="M846" i="30"/>
  <c r="N846" i="30"/>
  <c r="O846" i="30"/>
  <c r="L847" i="30"/>
  <c r="M847" i="30"/>
  <c r="N847" i="30"/>
  <c r="O847" i="30"/>
  <c r="L848" i="30"/>
  <c r="M848" i="30"/>
  <c r="N848" i="30"/>
  <c r="O848" i="30"/>
  <c r="L849" i="30"/>
  <c r="M849" i="30"/>
  <c r="N849" i="30"/>
  <c r="O849" i="30"/>
  <c r="L850" i="30"/>
  <c r="M850" i="30"/>
  <c r="N850" i="30"/>
  <c r="O850" i="30"/>
  <c r="L851" i="30"/>
  <c r="M851" i="30"/>
  <c r="N851" i="30"/>
  <c r="O851" i="30"/>
  <c r="L852" i="30"/>
  <c r="M852" i="30"/>
  <c r="N852" i="30"/>
  <c r="O852" i="30"/>
  <c r="L853" i="30"/>
  <c r="M853" i="30"/>
  <c r="N853" i="30"/>
  <c r="O853" i="30"/>
  <c r="L854" i="30"/>
  <c r="M854" i="30"/>
  <c r="N854" i="30"/>
  <c r="O854" i="30"/>
  <c r="L855" i="30"/>
  <c r="M855" i="30"/>
  <c r="N855" i="30"/>
  <c r="O855" i="30"/>
  <c r="L856" i="30"/>
  <c r="M856" i="30"/>
  <c r="N856" i="30"/>
  <c r="O856" i="30"/>
  <c r="L857" i="30"/>
  <c r="M857" i="30"/>
  <c r="N857" i="30"/>
  <c r="O857" i="30"/>
  <c r="L858" i="30"/>
  <c r="M858" i="30"/>
  <c r="N858" i="30"/>
  <c r="O858" i="30"/>
  <c r="L859" i="30"/>
  <c r="M859" i="30"/>
  <c r="N859" i="30"/>
  <c r="O859" i="30"/>
  <c r="L860" i="30"/>
  <c r="M860" i="30"/>
  <c r="N860" i="30"/>
  <c r="O860" i="30"/>
  <c r="L861" i="30"/>
  <c r="M861" i="30"/>
  <c r="N861" i="30"/>
  <c r="O861" i="30"/>
  <c r="L862" i="30"/>
  <c r="M862" i="30"/>
  <c r="N862" i="30"/>
  <c r="O862" i="30"/>
  <c r="L863" i="30"/>
  <c r="M863" i="30"/>
  <c r="N863" i="30"/>
  <c r="O863" i="30"/>
  <c r="L864" i="30"/>
  <c r="M864" i="30"/>
  <c r="N864" i="30"/>
  <c r="O864" i="30"/>
  <c r="L865" i="30"/>
  <c r="M865" i="30"/>
  <c r="N865" i="30"/>
  <c r="O865" i="30"/>
  <c r="L866" i="30"/>
  <c r="M866" i="30"/>
  <c r="N866" i="30"/>
  <c r="O866" i="30"/>
  <c r="L867" i="30"/>
  <c r="M867" i="30"/>
  <c r="N867" i="30"/>
  <c r="O867" i="30"/>
  <c r="L868" i="30"/>
  <c r="M868" i="30"/>
  <c r="N868" i="30"/>
  <c r="O868" i="30"/>
  <c r="L869" i="30"/>
  <c r="M869" i="30"/>
  <c r="N869" i="30"/>
  <c r="O869" i="30"/>
  <c r="L870" i="30"/>
  <c r="M870" i="30"/>
  <c r="N870" i="30"/>
  <c r="O870" i="30"/>
  <c r="L871" i="30"/>
  <c r="M871" i="30"/>
  <c r="N871" i="30"/>
  <c r="O871" i="30"/>
  <c r="L872" i="30"/>
  <c r="M872" i="30"/>
  <c r="N872" i="30"/>
  <c r="O872" i="30"/>
  <c r="L873" i="30"/>
  <c r="M873" i="30"/>
  <c r="N873" i="30"/>
  <c r="O873" i="30"/>
  <c r="L874" i="30"/>
  <c r="M874" i="30"/>
  <c r="N874" i="30"/>
  <c r="O874" i="30"/>
  <c r="L875" i="30"/>
  <c r="M875" i="30"/>
  <c r="N875" i="30"/>
  <c r="O875" i="30"/>
  <c r="L876" i="30"/>
  <c r="M876" i="30"/>
  <c r="N876" i="30"/>
  <c r="O876" i="30"/>
  <c r="L877" i="30"/>
  <c r="M877" i="30"/>
  <c r="N877" i="30"/>
  <c r="O877" i="30"/>
  <c r="L878" i="30"/>
  <c r="M878" i="30"/>
  <c r="N878" i="30"/>
  <c r="O878" i="30"/>
  <c r="L879" i="30"/>
  <c r="M879" i="30"/>
  <c r="N879" i="30"/>
  <c r="O879" i="30"/>
  <c r="L880" i="30"/>
  <c r="M880" i="30"/>
  <c r="N880" i="30"/>
  <c r="O880" i="30"/>
  <c r="L881" i="30"/>
  <c r="M881" i="30"/>
  <c r="N881" i="30"/>
  <c r="O881" i="30"/>
  <c r="L882" i="30"/>
  <c r="M882" i="30"/>
  <c r="N882" i="30"/>
  <c r="O882" i="30"/>
  <c r="L883" i="30"/>
  <c r="M883" i="30"/>
  <c r="N883" i="30"/>
  <c r="O883" i="30"/>
  <c r="L884" i="30"/>
  <c r="M884" i="30"/>
  <c r="N884" i="30"/>
  <c r="O884" i="30"/>
  <c r="L885" i="30"/>
  <c r="M885" i="30"/>
  <c r="N885" i="30"/>
  <c r="O885" i="30"/>
  <c r="L886" i="30"/>
  <c r="M886" i="30"/>
  <c r="N886" i="30"/>
  <c r="O886" i="30"/>
  <c r="L887" i="30"/>
  <c r="M887" i="30"/>
  <c r="N887" i="30"/>
  <c r="O887" i="30"/>
  <c r="L888" i="30"/>
  <c r="M888" i="30"/>
  <c r="N888" i="30"/>
  <c r="O888" i="30"/>
  <c r="L889" i="30"/>
  <c r="M889" i="30"/>
  <c r="N889" i="30"/>
  <c r="O889" i="30"/>
  <c r="L890" i="30"/>
  <c r="M890" i="30"/>
  <c r="N890" i="30"/>
  <c r="O890" i="30"/>
  <c r="L891" i="30"/>
  <c r="M891" i="30"/>
  <c r="N891" i="30"/>
  <c r="O891" i="30"/>
  <c r="L892" i="30"/>
  <c r="M892" i="30"/>
  <c r="N892" i="30"/>
  <c r="O892" i="30"/>
  <c r="L893" i="30"/>
  <c r="M893" i="30"/>
  <c r="N893" i="30"/>
  <c r="O893" i="30"/>
  <c r="L894" i="30"/>
  <c r="M894" i="30"/>
  <c r="N894" i="30"/>
  <c r="O894" i="30"/>
  <c r="L895" i="30"/>
  <c r="M895" i="30"/>
  <c r="N895" i="30"/>
  <c r="O895" i="30"/>
  <c r="L896" i="30"/>
  <c r="M896" i="30"/>
  <c r="N896" i="30"/>
  <c r="O896" i="30"/>
  <c r="L897" i="30"/>
  <c r="M897" i="30"/>
  <c r="N897" i="30"/>
  <c r="O897" i="30"/>
  <c r="L898" i="30"/>
  <c r="M898" i="30"/>
  <c r="N898" i="30"/>
  <c r="O898" i="30"/>
  <c r="L899" i="30"/>
  <c r="M899" i="30"/>
  <c r="N899" i="30"/>
  <c r="O899" i="30"/>
  <c r="L900" i="30"/>
  <c r="M900" i="30"/>
  <c r="N900" i="30"/>
  <c r="O900" i="30"/>
  <c r="L901" i="30"/>
  <c r="M901" i="30"/>
  <c r="N901" i="30"/>
  <c r="O901" i="30"/>
  <c r="L902" i="30"/>
  <c r="M902" i="30"/>
  <c r="N902" i="30"/>
  <c r="O902" i="30"/>
  <c r="L903" i="30"/>
  <c r="M903" i="30"/>
  <c r="N903" i="30"/>
  <c r="O903" i="30"/>
  <c r="L904" i="30"/>
  <c r="M904" i="30"/>
  <c r="N904" i="30"/>
  <c r="O904" i="30"/>
  <c r="L905" i="30"/>
  <c r="M905" i="30"/>
  <c r="N905" i="30"/>
  <c r="O905" i="30"/>
  <c r="L906" i="30"/>
  <c r="M906" i="30"/>
  <c r="N906" i="30"/>
  <c r="O906" i="30"/>
  <c r="L907" i="30"/>
  <c r="M907" i="30"/>
  <c r="N907" i="30"/>
  <c r="O907" i="30"/>
  <c r="L908" i="30"/>
  <c r="M908" i="30"/>
  <c r="N908" i="30"/>
  <c r="O908" i="30"/>
  <c r="L909" i="30"/>
  <c r="M909" i="30"/>
  <c r="N909" i="30"/>
  <c r="O909" i="30"/>
  <c r="L910" i="30"/>
  <c r="M910" i="30"/>
  <c r="N910" i="30"/>
  <c r="O910" i="30"/>
  <c r="L911" i="30"/>
  <c r="M911" i="30"/>
  <c r="N911" i="30"/>
  <c r="O911" i="30"/>
  <c r="L912" i="30"/>
  <c r="M912" i="30"/>
  <c r="N912" i="30"/>
  <c r="O912" i="30"/>
  <c r="L913" i="30"/>
  <c r="M913" i="30"/>
  <c r="N913" i="30"/>
  <c r="O913" i="30"/>
  <c r="L914" i="30"/>
  <c r="M914" i="30"/>
  <c r="N914" i="30"/>
  <c r="O914" i="30"/>
  <c r="L915" i="30"/>
  <c r="M915" i="30"/>
  <c r="N915" i="30"/>
  <c r="O915" i="30"/>
  <c r="L916" i="30"/>
  <c r="M916" i="30"/>
  <c r="N916" i="30"/>
  <c r="O916" i="30"/>
  <c r="L917" i="30"/>
  <c r="M917" i="30"/>
  <c r="N917" i="30"/>
  <c r="O917" i="30"/>
  <c r="L918" i="30"/>
  <c r="M918" i="30"/>
  <c r="N918" i="30"/>
  <c r="O918" i="30"/>
  <c r="L919" i="30"/>
  <c r="M919" i="30"/>
  <c r="N919" i="30"/>
  <c r="O919" i="30"/>
  <c r="L920" i="30"/>
  <c r="M920" i="30"/>
  <c r="N920" i="30"/>
  <c r="O920" i="30"/>
  <c r="L921" i="30"/>
  <c r="M921" i="30"/>
  <c r="N921" i="30"/>
  <c r="O921" i="30"/>
  <c r="L922" i="30"/>
  <c r="M922" i="30"/>
  <c r="N922" i="30"/>
  <c r="O922" i="30"/>
  <c r="L923" i="30"/>
  <c r="M923" i="30"/>
  <c r="N923" i="30"/>
  <c r="O923" i="30"/>
  <c r="L924" i="30"/>
  <c r="M924" i="30"/>
  <c r="N924" i="30"/>
  <c r="O924" i="30"/>
  <c r="L925" i="30"/>
  <c r="M925" i="30"/>
  <c r="N925" i="30"/>
  <c r="O925" i="30"/>
  <c r="L926" i="30"/>
  <c r="M926" i="30"/>
  <c r="N926" i="30"/>
  <c r="O926" i="30"/>
  <c r="L927" i="30"/>
  <c r="M927" i="30"/>
  <c r="N927" i="30"/>
  <c r="O927" i="30"/>
  <c r="L928" i="30"/>
  <c r="M928" i="30"/>
  <c r="N928" i="30"/>
  <c r="O928" i="30"/>
  <c r="L929" i="30"/>
  <c r="M929" i="30"/>
  <c r="N929" i="30"/>
  <c r="O929" i="30"/>
  <c r="L930" i="30"/>
  <c r="M930" i="30"/>
  <c r="N930" i="30"/>
  <c r="O930" i="30"/>
  <c r="L931" i="30"/>
  <c r="M931" i="30"/>
  <c r="N931" i="30"/>
  <c r="O931" i="30"/>
  <c r="L932" i="30"/>
  <c r="M932" i="30"/>
  <c r="N932" i="30"/>
  <c r="O932" i="30"/>
  <c r="L933" i="30"/>
  <c r="M933" i="30"/>
  <c r="N933" i="30"/>
  <c r="O933" i="30"/>
  <c r="L934" i="30"/>
  <c r="M934" i="30"/>
  <c r="N934" i="30"/>
  <c r="O934" i="30"/>
  <c r="L935" i="30"/>
  <c r="M935" i="30"/>
  <c r="N935" i="30"/>
  <c r="O935" i="30"/>
  <c r="L936" i="30"/>
  <c r="M936" i="30"/>
  <c r="N936" i="30"/>
  <c r="O936" i="30"/>
  <c r="L937" i="30"/>
  <c r="M937" i="30"/>
  <c r="N937" i="30"/>
  <c r="O937" i="30"/>
  <c r="L938" i="30"/>
  <c r="M938" i="30"/>
  <c r="N938" i="30"/>
  <c r="O938" i="30"/>
  <c r="L939" i="30"/>
  <c r="M939" i="30"/>
  <c r="N939" i="30"/>
  <c r="O939" i="30"/>
  <c r="L940" i="30"/>
  <c r="M940" i="30"/>
  <c r="N940" i="30"/>
  <c r="O940" i="30"/>
  <c r="L941" i="30"/>
  <c r="M941" i="30"/>
  <c r="N941" i="30"/>
  <c r="O941" i="30"/>
  <c r="L942" i="30"/>
  <c r="M942" i="30"/>
  <c r="N942" i="30"/>
  <c r="O942" i="30"/>
  <c r="L943" i="30"/>
  <c r="M943" i="30"/>
  <c r="N943" i="30"/>
  <c r="O943" i="30"/>
  <c r="L944" i="30"/>
  <c r="M944" i="30"/>
  <c r="N944" i="30"/>
  <c r="O944" i="30"/>
  <c r="L945" i="30"/>
  <c r="M945" i="30"/>
  <c r="N945" i="30"/>
  <c r="O945" i="30"/>
  <c r="L946" i="30"/>
  <c r="M946" i="30"/>
  <c r="N946" i="30"/>
  <c r="O946" i="30"/>
  <c r="L947" i="30"/>
  <c r="M947" i="30"/>
  <c r="N947" i="30"/>
  <c r="O947" i="30"/>
  <c r="L948" i="30"/>
  <c r="M948" i="30"/>
  <c r="N948" i="30"/>
  <c r="O948" i="30"/>
  <c r="L949" i="30"/>
  <c r="M949" i="30"/>
  <c r="N949" i="30"/>
  <c r="O949" i="30"/>
  <c r="L950" i="30"/>
  <c r="M950" i="30"/>
  <c r="N950" i="30"/>
  <c r="O950" i="30"/>
  <c r="L951" i="30"/>
  <c r="M951" i="30"/>
  <c r="N951" i="30"/>
  <c r="O951" i="30"/>
  <c r="L952" i="30"/>
  <c r="M952" i="30"/>
  <c r="N952" i="30"/>
  <c r="O952" i="30"/>
  <c r="L953" i="30"/>
  <c r="M953" i="30"/>
  <c r="N953" i="30"/>
  <c r="O953" i="30"/>
  <c r="L954" i="30"/>
  <c r="M954" i="30"/>
  <c r="N954" i="30"/>
  <c r="O954" i="30"/>
  <c r="L955" i="30"/>
  <c r="M955" i="30"/>
  <c r="N955" i="30"/>
  <c r="O955" i="30"/>
  <c r="L956" i="30"/>
  <c r="M956" i="30"/>
  <c r="N956" i="30"/>
  <c r="O956" i="30"/>
  <c r="L957" i="30"/>
  <c r="M957" i="30"/>
  <c r="N957" i="30"/>
  <c r="O957" i="30"/>
  <c r="L958" i="30"/>
  <c r="M958" i="30"/>
  <c r="N958" i="30"/>
  <c r="O958" i="30"/>
  <c r="L959" i="30"/>
  <c r="M959" i="30"/>
  <c r="N959" i="30"/>
  <c r="O959" i="30"/>
  <c r="L960" i="30"/>
  <c r="M960" i="30"/>
  <c r="N960" i="30"/>
  <c r="O960" i="30"/>
  <c r="L961" i="30"/>
  <c r="M961" i="30"/>
  <c r="N961" i="30"/>
  <c r="O961" i="30"/>
  <c r="L962" i="30"/>
  <c r="M962" i="30"/>
  <c r="N962" i="30"/>
  <c r="O962" i="30"/>
  <c r="L963" i="30"/>
  <c r="M963" i="30"/>
  <c r="N963" i="30"/>
  <c r="O963" i="30"/>
  <c r="L964" i="30"/>
  <c r="M964" i="30"/>
  <c r="N964" i="30"/>
  <c r="O964" i="30"/>
  <c r="L965" i="30"/>
  <c r="M965" i="30"/>
  <c r="N965" i="30"/>
  <c r="O965" i="30"/>
  <c r="L966" i="30"/>
  <c r="M966" i="30"/>
  <c r="N966" i="30"/>
  <c r="O966" i="30"/>
  <c r="L967" i="30"/>
  <c r="M967" i="30"/>
  <c r="N967" i="30"/>
  <c r="O967" i="30"/>
  <c r="L968" i="30"/>
  <c r="M968" i="30"/>
  <c r="N968" i="30"/>
  <c r="O968" i="30"/>
  <c r="L969" i="30"/>
  <c r="M969" i="30"/>
  <c r="N969" i="30"/>
  <c r="O969" i="30"/>
  <c r="L970" i="30"/>
  <c r="M970" i="30"/>
  <c r="N970" i="30"/>
  <c r="O970" i="30"/>
  <c r="L971" i="30"/>
  <c r="M971" i="30"/>
  <c r="N971" i="30"/>
  <c r="O971" i="30"/>
  <c r="L972" i="30"/>
  <c r="M972" i="30"/>
  <c r="N972" i="30"/>
  <c r="O972" i="30"/>
  <c r="L973" i="30"/>
  <c r="M973" i="30"/>
  <c r="N973" i="30"/>
  <c r="O973" i="30"/>
  <c r="L974" i="30"/>
  <c r="M974" i="30"/>
  <c r="N974" i="30"/>
  <c r="O974" i="30"/>
  <c r="L975" i="30"/>
  <c r="M975" i="30"/>
  <c r="N975" i="30"/>
  <c r="O975" i="30"/>
  <c r="L976" i="30"/>
  <c r="M976" i="30"/>
  <c r="N976" i="30"/>
  <c r="O976" i="30"/>
  <c r="L977" i="30"/>
  <c r="M977" i="30"/>
  <c r="N977" i="30"/>
  <c r="O977" i="30"/>
  <c r="L978" i="30"/>
  <c r="M978" i="30"/>
  <c r="N978" i="30"/>
  <c r="O978" i="30"/>
  <c r="L979" i="30"/>
  <c r="M979" i="30"/>
  <c r="N979" i="30"/>
  <c r="O979" i="30"/>
  <c r="L980" i="30"/>
  <c r="M980" i="30"/>
  <c r="N980" i="30"/>
  <c r="O980" i="30"/>
  <c r="L981" i="30"/>
  <c r="M981" i="30"/>
  <c r="N981" i="30"/>
  <c r="O981" i="30"/>
  <c r="L982" i="30"/>
  <c r="M982" i="30"/>
  <c r="N982" i="30"/>
  <c r="O982" i="30"/>
  <c r="L983" i="30"/>
  <c r="M983" i="30"/>
  <c r="N983" i="30"/>
  <c r="O983" i="30"/>
  <c r="L984" i="30"/>
  <c r="M984" i="30"/>
  <c r="N984" i="30"/>
  <c r="O984" i="30"/>
  <c r="L985" i="30"/>
  <c r="M985" i="30"/>
  <c r="N985" i="30"/>
  <c r="O985" i="30"/>
  <c r="L986" i="30"/>
  <c r="M986" i="30"/>
  <c r="N986" i="30"/>
  <c r="O986" i="30"/>
  <c r="L987" i="30"/>
  <c r="M987" i="30"/>
  <c r="N987" i="30"/>
  <c r="O987" i="30"/>
  <c r="L988" i="30"/>
  <c r="M988" i="30"/>
  <c r="N988" i="30"/>
  <c r="O988" i="30"/>
  <c r="L989" i="30"/>
  <c r="M989" i="30"/>
  <c r="N989" i="30"/>
  <c r="O989" i="30"/>
  <c r="L990" i="30"/>
  <c r="M990" i="30"/>
  <c r="N990" i="30"/>
  <c r="O990" i="30"/>
  <c r="L991" i="30"/>
  <c r="M991" i="30"/>
  <c r="N991" i="30"/>
  <c r="O991" i="30"/>
  <c r="L992" i="30"/>
  <c r="M992" i="30"/>
  <c r="N992" i="30"/>
  <c r="O992" i="30"/>
  <c r="L993" i="30"/>
  <c r="M993" i="30"/>
  <c r="N993" i="30"/>
  <c r="O993" i="30"/>
  <c r="L994" i="30"/>
  <c r="M994" i="30"/>
  <c r="N994" i="30"/>
  <c r="O994" i="30"/>
  <c r="L995" i="30"/>
  <c r="M995" i="30"/>
  <c r="N995" i="30"/>
  <c r="O995" i="30"/>
  <c r="L996" i="30"/>
  <c r="M996" i="30"/>
  <c r="N996" i="30"/>
  <c r="O996" i="30"/>
  <c r="L997" i="30"/>
  <c r="M997" i="30"/>
  <c r="N997" i="30"/>
  <c r="O997" i="30"/>
  <c r="L998" i="30"/>
  <c r="M998" i="30"/>
  <c r="N998" i="30"/>
  <c r="O998" i="30"/>
  <c r="L999" i="30"/>
  <c r="M999" i="30"/>
  <c r="N999" i="30"/>
  <c r="O999" i="30"/>
  <c r="L1000" i="30"/>
  <c r="M1000" i="30"/>
  <c r="N1000" i="30"/>
  <c r="O1000" i="30"/>
  <c r="L1001" i="30"/>
  <c r="M1001" i="30"/>
  <c r="N1001" i="30"/>
  <c r="O1001" i="30"/>
  <c r="L1002" i="30"/>
  <c r="M1002" i="30"/>
  <c r="N1002" i="30"/>
  <c r="O1002" i="30"/>
  <c r="L1003" i="30"/>
  <c r="M1003" i="30"/>
  <c r="N1003" i="30"/>
  <c r="O1003" i="30"/>
  <c r="L1004" i="30"/>
  <c r="M1004" i="30"/>
  <c r="N1004" i="30"/>
  <c r="O1004" i="30"/>
  <c r="L1005" i="30"/>
  <c r="M1005" i="30"/>
  <c r="N1005" i="30"/>
  <c r="O1005" i="30"/>
  <c r="L1006" i="30"/>
  <c r="M1006" i="30"/>
  <c r="N1006" i="30"/>
  <c r="O1006" i="30"/>
  <c r="L1007" i="30"/>
  <c r="M1007" i="30"/>
  <c r="N1007" i="30"/>
  <c r="O1007" i="30"/>
  <c r="L1008" i="30"/>
  <c r="M1008" i="30"/>
  <c r="N1008" i="30"/>
  <c r="O1008" i="30"/>
  <c r="L1009" i="30"/>
  <c r="M1009" i="30"/>
  <c r="N1009" i="30"/>
  <c r="O1009" i="30"/>
  <c r="L1010" i="30"/>
  <c r="M1010" i="30"/>
  <c r="N1010" i="30"/>
  <c r="O1010" i="30"/>
  <c r="L1011" i="30"/>
  <c r="M1011" i="30"/>
  <c r="N1011" i="30"/>
  <c r="O1011" i="30"/>
  <c r="L1012" i="30"/>
  <c r="M1012" i="30"/>
  <c r="N1012" i="30"/>
  <c r="O1012" i="30"/>
  <c r="L1013" i="30"/>
  <c r="M1013" i="30"/>
  <c r="N1013" i="30"/>
  <c r="O1013" i="30"/>
  <c r="L1014" i="30"/>
  <c r="M1014" i="30"/>
  <c r="N1014" i="30"/>
  <c r="O1014" i="30"/>
  <c r="L1015" i="30"/>
  <c r="M1015" i="30"/>
  <c r="N1015" i="30"/>
  <c r="O1015" i="30"/>
  <c r="L1016" i="30"/>
  <c r="M1016" i="30"/>
  <c r="N1016" i="30"/>
  <c r="O1016" i="30"/>
  <c r="L1017" i="30"/>
  <c r="M1017" i="30"/>
  <c r="N1017" i="30"/>
  <c r="O1017" i="30"/>
  <c r="L1018" i="30"/>
  <c r="M1018" i="30"/>
  <c r="N1018" i="30"/>
  <c r="O1018" i="30"/>
  <c r="L1019" i="30"/>
  <c r="M1019" i="30"/>
  <c r="N1019" i="30"/>
  <c r="O1019" i="30"/>
  <c r="L1020" i="30"/>
  <c r="M1020" i="30"/>
  <c r="N1020" i="30"/>
  <c r="O1020" i="30"/>
  <c r="L1021" i="30"/>
  <c r="M1021" i="30"/>
  <c r="N1021" i="30"/>
  <c r="O1021" i="30"/>
  <c r="L1022" i="30"/>
  <c r="M1022" i="30"/>
  <c r="N1022" i="30"/>
  <c r="O1022" i="30"/>
  <c r="L1023" i="30"/>
  <c r="M1023" i="30"/>
  <c r="N1023" i="30"/>
  <c r="O1023" i="30"/>
  <c r="L1024" i="30"/>
  <c r="M1024" i="30"/>
  <c r="N1024" i="30"/>
  <c r="O1024" i="30"/>
  <c r="L1025" i="30"/>
  <c r="M1025" i="30"/>
  <c r="N1025" i="30"/>
  <c r="O1025" i="30"/>
  <c r="L1026" i="30"/>
  <c r="M1026" i="30"/>
  <c r="N1026" i="30"/>
  <c r="O1026" i="30"/>
  <c r="L1027" i="30"/>
  <c r="M1027" i="30"/>
  <c r="N1027" i="30"/>
  <c r="O1027" i="30"/>
  <c r="L1028" i="30"/>
  <c r="M1028" i="30"/>
  <c r="N1028" i="30"/>
  <c r="O1028" i="30"/>
  <c r="L1029" i="30"/>
  <c r="M1029" i="30"/>
  <c r="N1029" i="30"/>
  <c r="O1029" i="30"/>
  <c r="L1030" i="30"/>
  <c r="M1030" i="30"/>
  <c r="N1030" i="30"/>
  <c r="O1030" i="30"/>
  <c r="L1031" i="30"/>
  <c r="M1031" i="30"/>
  <c r="N1031" i="30"/>
  <c r="O1031" i="30"/>
  <c r="L1032" i="30"/>
  <c r="M1032" i="30"/>
  <c r="N1032" i="30"/>
  <c r="O1032" i="30"/>
  <c r="L1033" i="30"/>
  <c r="M1033" i="30"/>
  <c r="N1033" i="30"/>
  <c r="O1033" i="30"/>
  <c r="L1034" i="30"/>
  <c r="M1034" i="30"/>
  <c r="N1034" i="30"/>
  <c r="O1034" i="30"/>
  <c r="L1035" i="30"/>
  <c r="M1035" i="30"/>
  <c r="N1035" i="30"/>
  <c r="O1035" i="30"/>
  <c r="L1036" i="30"/>
  <c r="M1036" i="30"/>
  <c r="N1036" i="30"/>
  <c r="O1036" i="30"/>
  <c r="L1037" i="30"/>
  <c r="M1037" i="30"/>
  <c r="N1037" i="30"/>
  <c r="O1037" i="30"/>
  <c r="L1038" i="30"/>
  <c r="M1038" i="30"/>
  <c r="N1038" i="30"/>
  <c r="O1038" i="30"/>
  <c r="L1039" i="30"/>
  <c r="M1039" i="30"/>
  <c r="N1039" i="30"/>
  <c r="O1039" i="30"/>
  <c r="L1040" i="30"/>
  <c r="M1040" i="30"/>
  <c r="N1040" i="30"/>
  <c r="O1040" i="30"/>
  <c r="L1041" i="30"/>
  <c r="M1041" i="30"/>
  <c r="N1041" i="30"/>
  <c r="O1041" i="30"/>
  <c r="L1042" i="30"/>
  <c r="M1042" i="30"/>
  <c r="N1042" i="30"/>
  <c r="O1042" i="30"/>
  <c r="L1043" i="30"/>
  <c r="M1043" i="30"/>
  <c r="N1043" i="30"/>
  <c r="O1043" i="30"/>
  <c r="L1044" i="30"/>
  <c r="M1044" i="30"/>
  <c r="N1044" i="30"/>
  <c r="O1044" i="30"/>
  <c r="L1045" i="30"/>
  <c r="M1045" i="30"/>
  <c r="N1045" i="30"/>
  <c r="O1045" i="30"/>
  <c r="L1046" i="30"/>
  <c r="M1046" i="30"/>
  <c r="N1046" i="30"/>
  <c r="O1046" i="30"/>
  <c r="L1047" i="30"/>
  <c r="M1047" i="30"/>
  <c r="N1047" i="30"/>
  <c r="O1047" i="30"/>
  <c r="L1048" i="30"/>
  <c r="M1048" i="30"/>
  <c r="N1048" i="30"/>
  <c r="O1048" i="30"/>
  <c r="L1049" i="30"/>
  <c r="M1049" i="30"/>
  <c r="N1049" i="30"/>
  <c r="O1049" i="30"/>
  <c r="L1050" i="30"/>
  <c r="M1050" i="30"/>
  <c r="N1050" i="30"/>
  <c r="O1050" i="30"/>
  <c r="L1051" i="30"/>
  <c r="M1051" i="30"/>
  <c r="N1051" i="30"/>
  <c r="O1051" i="30"/>
  <c r="L1052" i="30"/>
  <c r="M1052" i="30"/>
  <c r="N1052" i="30"/>
  <c r="O1052" i="30"/>
  <c r="L1053" i="30"/>
  <c r="M1053" i="30"/>
  <c r="N1053" i="30"/>
  <c r="O1053" i="30"/>
  <c r="L1054" i="30"/>
  <c r="M1054" i="30"/>
  <c r="N1054" i="30"/>
  <c r="O1054" i="30"/>
  <c r="L1055" i="30"/>
  <c r="M1055" i="30"/>
  <c r="N1055" i="30"/>
  <c r="O1055" i="30"/>
  <c r="L1056" i="30"/>
  <c r="M1056" i="30"/>
  <c r="N1056" i="30"/>
  <c r="O1056" i="30"/>
  <c r="L1057" i="30"/>
  <c r="M1057" i="30"/>
  <c r="N1057" i="30"/>
  <c r="O1057" i="30"/>
  <c r="L1058" i="30"/>
  <c r="M1058" i="30"/>
  <c r="N1058" i="30"/>
  <c r="O1058" i="30"/>
  <c r="L1059" i="30"/>
  <c r="M1059" i="30"/>
  <c r="N1059" i="30"/>
  <c r="O1059" i="30"/>
  <c r="L39" i="21"/>
  <c r="B2" i="19"/>
  <c r="D3" i="19"/>
  <c r="B6" i="19"/>
  <c r="D2" i="19"/>
  <c r="S41" i="19" s="1"/>
  <c r="AD58" i="19"/>
  <c r="X58" i="19"/>
  <c r="AD59" i="19"/>
  <c r="X59" i="19" s="1"/>
  <c r="S17" i="19" s="1"/>
  <c r="S37" i="19"/>
  <c r="S45" i="19"/>
  <c r="S49" i="19"/>
  <c r="S57" i="19"/>
  <c r="S59" i="19"/>
  <c r="S67" i="19"/>
  <c r="S69" i="19"/>
  <c r="S77" i="19"/>
  <c r="S81" i="19"/>
  <c r="S89" i="19"/>
  <c r="S91" i="19"/>
  <c r="S99" i="19"/>
  <c r="S101" i="19"/>
  <c r="S109" i="19"/>
  <c r="S113" i="19"/>
  <c r="P60" i="19"/>
  <c r="P62" i="19"/>
  <c r="P70" i="19"/>
  <c r="P72" i="19"/>
  <c r="P80" i="19"/>
  <c r="P84" i="19"/>
  <c r="P92" i="19"/>
  <c r="P94" i="19"/>
  <c r="P98" i="19"/>
  <c r="P99" i="19"/>
  <c r="P103" i="19"/>
  <c r="P104" i="19"/>
  <c r="P107" i="19"/>
  <c r="P108" i="19"/>
  <c r="P111" i="19"/>
  <c r="P112" i="19"/>
  <c r="P115" i="19"/>
  <c r="AD6" i="19"/>
  <c r="AD14" i="19" s="1"/>
  <c r="AX32" i="19"/>
  <c r="L37" i="19"/>
  <c r="D8" i="21"/>
  <c r="B10" i="21" s="1"/>
  <c r="I16" i="29"/>
  <c r="I17" i="29"/>
  <c r="I18" i="29"/>
  <c r="I8" i="29"/>
  <c r="I9" i="29"/>
  <c r="I10" i="29"/>
  <c r="I11" i="29"/>
  <c r="I12" i="29"/>
  <c r="I13" i="29"/>
  <c r="I14" i="29"/>
  <c r="I15" i="29"/>
  <c r="C5" i="29"/>
  <c r="C6" i="29"/>
  <c r="C7" i="29"/>
  <c r="C8" i="29"/>
  <c r="B8" i="19"/>
  <c r="B16" i="19" s="1"/>
  <c r="P18" i="18"/>
  <c r="C9" i="29"/>
  <c r="AT62" i="21"/>
  <c r="I35" i="21"/>
  <c r="AT64" i="21" s="1"/>
  <c r="L27" i="21"/>
  <c r="M29" i="21"/>
  <c r="I27" i="21"/>
  <c r="AT63" i="21" s="1"/>
  <c r="I33" i="19"/>
  <c r="J29" i="19"/>
  <c r="L27" i="19"/>
  <c r="I27" i="19"/>
  <c r="M30" i="19"/>
  <c r="AX33" i="19" s="1"/>
  <c r="M35" i="19"/>
  <c r="AB35" i="21"/>
  <c r="AB34" i="21"/>
  <c r="J29" i="21"/>
  <c r="M32" i="21" s="1"/>
  <c r="AZ25" i="19"/>
  <c r="AZ24" i="19"/>
  <c r="C20" i="19"/>
  <c r="D18" i="19"/>
  <c r="C18" i="19" s="1"/>
  <c r="P16" i="18"/>
  <c r="P17" i="18" s="1"/>
  <c r="C5" i="18"/>
  <c r="C7" i="18"/>
  <c r="C8" i="18"/>
  <c r="AI6" i="21"/>
  <c r="U4" i="21"/>
  <c r="P34" i="29"/>
  <c r="P34" i="18"/>
  <c r="P29" i="18"/>
  <c r="S10" i="19"/>
  <c r="AB3" i="28"/>
  <c r="K4" i="28"/>
  <c r="AB5" i="28"/>
  <c r="BO42" i="28" s="1"/>
  <c r="BR42" i="28" s="1"/>
  <c r="BR43" i="28" s="1"/>
  <c r="BR44" i="28" s="1"/>
  <c r="AB7" i="28"/>
  <c r="K5" i="28"/>
  <c r="K7" i="28"/>
  <c r="BT50" i="28"/>
  <c r="BT51" i="28" s="1"/>
  <c r="BT52" i="28" s="1"/>
  <c r="BT53" i="28" s="1"/>
  <c r="BT54" i="28" s="1"/>
  <c r="BT55" i="28" s="1"/>
  <c r="BT56" i="28" s="1"/>
  <c r="BT57" i="28" s="1"/>
  <c r="BT58" i="28" s="1"/>
  <c r="BT59" i="28" s="1"/>
  <c r="BT60" i="28" s="1"/>
  <c r="BT61" i="28" s="1"/>
  <c r="BT62" i="28" s="1"/>
  <c r="BT63" i="28" s="1"/>
  <c r="BT64" i="28" s="1"/>
  <c r="BT65" i="28" s="1"/>
  <c r="BT66" i="28" s="1"/>
  <c r="BT67" i="28" s="1"/>
  <c r="BT68" i="28" s="1"/>
  <c r="BT69" i="28" s="1"/>
  <c r="BT70" i="28" s="1"/>
  <c r="BT71" i="28" s="1"/>
  <c r="BT72" i="28" s="1"/>
  <c r="BT73" i="28" s="1"/>
  <c r="BT74" i="28" s="1"/>
  <c r="BT75" i="28" s="1"/>
  <c r="BT76" i="28" s="1"/>
  <c r="BT77" i="28" s="1"/>
  <c r="BT78" i="28" s="1"/>
  <c r="BT79" i="28" s="1"/>
  <c r="BT80" i="28" s="1"/>
  <c r="BT81" i="28" s="1"/>
  <c r="BT82" i="28" s="1"/>
  <c r="BT83" i="28" s="1"/>
  <c r="BT84" i="28" s="1"/>
  <c r="BT85" i="28" s="1"/>
  <c r="BT86" i="28" s="1"/>
  <c r="BT87" i="28" s="1"/>
  <c r="BT88" i="28" s="1"/>
  <c r="BT89" i="28" s="1"/>
  <c r="BT90" i="28" s="1"/>
  <c r="BT91" i="28" s="1"/>
  <c r="BT92" i="28" s="1"/>
  <c r="BT93" i="28" s="1"/>
  <c r="BT94" i="28" s="1"/>
  <c r="BT95" i="28" s="1"/>
  <c r="BT96" i="28" s="1"/>
  <c r="BT97" i="28" s="1"/>
  <c r="BT98" i="28" s="1"/>
  <c r="BT99" i="28" s="1"/>
  <c r="BT100" i="28" s="1"/>
  <c r="BT101" i="28" s="1"/>
  <c r="BT102" i="28" s="1"/>
  <c r="BT103" i="28" s="1"/>
  <c r="BT104" i="28" s="1"/>
  <c r="BT105" i="28" s="1"/>
  <c r="BT106" i="28" s="1"/>
  <c r="BT107" i="28" s="1"/>
  <c r="BT108" i="28" s="1"/>
  <c r="BT109" i="28" s="1"/>
  <c r="BT110" i="28" s="1"/>
  <c r="BT111" i="28" s="1"/>
  <c r="BT112" i="28" s="1"/>
  <c r="BT113" i="28" s="1"/>
  <c r="BT114" i="28" s="1"/>
  <c r="BT115" i="28" s="1"/>
  <c r="BT116" i="28" s="1"/>
  <c r="BT117" i="28" s="1"/>
  <c r="BT118" i="28" s="1"/>
  <c r="BT119" i="28" s="1"/>
  <c r="BT120" i="28" s="1"/>
  <c r="BT121" i="28" s="1"/>
  <c r="BT122" i="28" s="1"/>
  <c r="BT123" i="28" s="1"/>
  <c r="BT124" i="28" s="1"/>
  <c r="BT125" i="28" s="1"/>
  <c r="BT126" i="28" s="1"/>
  <c r="BT127" i="28" s="1"/>
  <c r="BT128" i="28" s="1"/>
  <c r="BT129" i="28" s="1"/>
  <c r="BT130" i="28" s="1"/>
  <c r="BT131" i="28" s="1"/>
  <c r="BT132" i="28" s="1"/>
  <c r="BT133" i="28" s="1"/>
  <c r="BT134" i="28" s="1"/>
  <c r="BT135" i="28" s="1"/>
  <c r="BT136" i="28" s="1"/>
  <c r="BT137" i="28" s="1"/>
  <c r="BT138" i="28" s="1"/>
  <c r="BT139" i="28" s="1"/>
  <c r="BT140" i="28" s="1"/>
  <c r="BT141" i="28" s="1"/>
  <c r="BT142" i="28" s="1"/>
  <c r="BT143" i="28" s="1"/>
  <c r="BT144" i="28" s="1"/>
  <c r="BT145" i="28" s="1"/>
  <c r="BT146" i="28" s="1"/>
  <c r="BT147" i="28" s="1"/>
  <c r="BT148" i="28" s="1"/>
  <c r="BT149" i="28" s="1"/>
  <c r="BT150" i="28" s="1"/>
  <c r="BT151" i="28" s="1"/>
  <c r="BT152" i="28" s="1"/>
  <c r="BT153" i="28" s="1"/>
  <c r="BT154" i="28" s="1"/>
  <c r="BT155" i="28" s="1"/>
  <c r="BT156" i="28" s="1"/>
  <c r="BT157" i="28" s="1"/>
  <c r="BT158" i="28" s="1"/>
  <c r="BT159" i="28" s="1"/>
  <c r="BT160" i="28" s="1"/>
  <c r="BT161" i="28" s="1"/>
  <c r="BT162" i="28" s="1"/>
  <c r="BT163" i="28" s="1"/>
  <c r="BT164" i="28" s="1"/>
  <c r="BT165" i="28" s="1"/>
  <c r="BT166" i="28" s="1"/>
  <c r="BT167" i="28" s="1"/>
  <c r="BT168" i="28" s="1"/>
  <c r="BT169" i="28" s="1"/>
  <c r="BT170" i="28" s="1"/>
  <c r="BT171" i="28" s="1"/>
  <c r="BT172" i="28" s="1"/>
  <c r="BT173" i="28" s="1"/>
  <c r="BT174" i="28" s="1"/>
  <c r="BT175" i="28" s="1"/>
  <c r="BT176" i="28" s="1"/>
  <c r="BT177" i="28" s="1"/>
  <c r="BT178" i="28" s="1"/>
  <c r="BT179" i="28" s="1"/>
  <c r="BT180" i="28" s="1"/>
  <c r="BT181" i="28" s="1"/>
  <c r="BT182" i="28" s="1"/>
  <c r="BT183" i="28" s="1"/>
  <c r="BT184" i="28" s="1"/>
  <c r="BT185" i="28" s="1"/>
  <c r="BT186" i="28" s="1"/>
  <c r="BT187" i="28" s="1"/>
  <c r="BT188" i="28" s="1"/>
  <c r="BT189" i="28" s="1"/>
  <c r="BT190" i="28" s="1"/>
  <c r="BT191" i="28" s="1"/>
  <c r="BT192" i="28" s="1"/>
  <c r="BT193" i="28" s="1"/>
  <c r="BT194" i="28" s="1"/>
  <c r="BT195" i="28" s="1"/>
  <c r="BT196" i="28" s="1"/>
  <c r="BT197" i="28" s="1"/>
  <c r="BT198" i="28" s="1"/>
  <c r="BT199" i="28" s="1"/>
  <c r="BT200" i="28" s="1"/>
  <c r="BT201" i="28" s="1"/>
  <c r="BT202" i="28" s="1"/>
  <c r="BT203" i="28" s="1"/>
  <c r="BT204" i="28" s="1"/>
  <c r="BT205" i="28" s="1"/>
  <c r="BT206" i="28" s="1"/>
  <c r="BT207" i="28" s="1"/>
  <c r="BT208" i="28" s="1"/>
  <c r="BT209" i="28" s="1"/>
  <c r="BT210" i="28" s="1"/>
  <c r="BT211" i="28" s="1"/>
  <c r="BT212" i="28" s="1"/>
  <c r="BT213" i="28" s="1"/>
  <c r="BT214" i="28" s="1"/>
  <c r="BT215" i="28" s="1"/>
  <c r="BT216" i="28" s="1"/>
  <c r="BT217" i="28" s="1"/>
  <c r="BT218" i="28" s="1"/>
  <c r="BT219" i="28" s="1"/>
  <c r="BT220" i="28" s="1"/>
  <c r="BT221" i="28" s="1"/>
  <c r="BT222" i="28" s="1"/>
  <c r="BT223" i="28" s="1"/>
  <c r="BT224" i="28" s="1"/>
  <c r="BT225" i="28" s="1"/>
  <c r="BT226" i="28" s="1"/>
  <c r="BT227" i="28" s="1"/>
  <c r="BT228" i="28" s="1"/>
  <c r="BT229" i="28" s="1"/>
  <c r="BT230" i="28" s="1"/>
  <c r="BT231" i="28" s="1"/>
  <c r="BT232" i="28" s="1"/>
  <c r="BT233" i="28" s="1"/>
  <c r="BT234" i="28" s="1"/>
  <c r="BT235" i="28" s="1"/>
  <c r="BT236" i="28" s="1"/>
  <c r="BT237" i="28" s="1"/>
  <c r="BT238" i="28" s="1"/>
  <c r="BT239" i="28" s="1"/>
  <c r="BT240" i="28" s="1"/>
  <c r="BT241" i="28" s="1"/>
  <c r="BT242" i="28" s="1"/>
  <c r="BT243" i="28" s="1"/>
  <c r="BT244" i="28" s="1"/>
  <c r="BT245" i="28" s="1"/>
  <c r="BT246" i="28" s="1"/>
  <c r="BT247" i="28" s="1"/>
  <c r="BT248" i="28" s="1"/>
  <c r="BT249" i="28" s="1"/>
  <c r="BO50" i="28"/>
  <c r="BO51" i="28" s="1"/>
  <c r="BO52" i="28" s="1"/>
  <c r="BO53" i="28" s="1"/>
  <c r="BO54" i="28" s="1"/>
  <c r="BO55" i="28" s="1"/>
  <c r="BO56" i="28" s="1"/>
  <c r="BO57" i="28" s="1"/>
  <c r="BO58" i="28" s="1"/>
  <c r="BO59" i="28" s="1"/>
  <c r="BO60" i="28" s="1"/>
  <c r="BO61" i="28" s="1"/>
  <c r="BO62" i="28" s="1"/>
  <c r="BO63" i="28" s="1"/>
  <c r="BO64" i="28" s="1"/>
  <c r="BO65" i="28" s="1"/>
  <c r="BO66" i="28" s="1"/>
  <c r="BO67" i="28" s="1"/>
  <c r="BO68" i="28" s="1"/>
  <c r="BO69" i="28" s="1"/>
  <c r="BO70" i="28" s="1"/>
  <c r="BO71" i="28" s="1"/>
  <c r="BO72" i="28" s="1"/>
  <c r="BO73" i="28" s="1"/>
  <c r="BO74" i="28" s="1"/>
  <c r="BO75" i="28" s="1"/>
  <c r="BO76" i="28" s="1"/>
  <c r="BO77" i="28" s="1"/>
  <c r="BO78" i="28" s="1"/>
  <c r="BO79" i="28" s="1"/>
  <c r="BO80" i="28" s="1"/>
  <c r="BO81" i="28" s="1"/>
  <c r="BO82" i="28" s="1"/>
  <c r="BO83" i="28" s="1"/>
  <c r="BO84" i="28" s="1"/>
  <c r="BO85" i="28" s="1"/>
  <c r="BO86" i="28" s="1"/>
  <c r="BO87" i="28" s="1"/>
  <c r="BO88" i="28" s="1"/>
  <c r="BO89" i="28" s="1"/>
  <c r="BO90" i="28" s="1"/>
  <c r="BO91" i="28" s="1"/>
  <c r="BO92" i="28" s="1"/>
  <c r="BO93" i="28" s="1"/>
  <c r="BO94" i="28" s="1"/>
  <c r="BO95" i="28" s="1"/>
  <c r="BO96" i="28" s="1"/>
  <c r="BO97" i="28" s="1"/>
  <c r="BO98" i="28" s="1"/>
  <c r="BO99" i="28" s="1"/>
  <c r="BO100" i="28" s="1"/>
  <c r="BO101" i="28" s="1"/>
  <c r="BO102" i="28" s="1"/>
  <c r="BO103" i="28" s="1"/>
  <c r="BO104" i="28" s="1"/>
  <c r="BO105" i="28" s="1"/>
  <c r="BO106" i="28" s="1"/>
  <c r="BO107" i="28" s="1"/>
  <c r="BO108" i="28" s="1"/>
  <c r="BO109" i="28" s="1"/>
  <c r="BO110" i="28" s="1"/>
  <c r="BO111" i="28" s="1"/>
  <c r="BO112" i="28" s="1"/>
  <c r="BO113" i="28" s="1"/>
  <c r="BO114" i="28" s="1"/>
  <c r="BO115" i="28" s="1"/>
  <c r="BO116" i="28" s="1"/>
  <c r="BO117" i="28" s="1"/>
  <c r="BO118" i="28" s="1"/>
  <c r="BO119" i="28" s="1"/>
  <c r="BO120" i="28" s="1"/>
  <c r="BO121" i="28" s="1"/>
  <c r="BO122" i="28" s="1"/>
  <c r="BO123" i="28" s="1"/>
  <c r="BO124" i="28" s="1"/>
  <c r="BO125" i="28" s="1"/>
  <c r="BO126" i="28" s="1"/>
  <c r="BO127" i="28" s="1"/>
  <c r="BO128" i="28" s="1"/>
  <c r="BO129" i="28" s="1"/>
  <c r="BO130" i="28" s="1"/>
  <c r="BO131" i="28" s="1"/>
  <c r="BO132" i="28" s="1"/>
  <c r="BO133" i="28" s="1"/>
  <c r="BO134" i="28" s="1"/>
  <c r="BO135" i="28" s="1"/>
  <c r="BO136" i="28" s="1"/>
  <c r="BO137" i="28" s="1"/>
  <c r="BO138" i="28" s="1"/>
  <c r="BO139" i="28" s="1"/>
  <c r="BO140" i="28" s="1"/>
  <c r="BO141" i="28" s="1"/>
  <c r="BO142" i="28" s="1"/>
  <c r="BO143" i="28" s="1"/>
  <c r="BO144" i="28" s="1"/>
  <c r="BO145" i="28" s="1"/>
  <c r="BO146" i="28" s="1"/>
  <c r="BO147" i="28" s="1"/>
  <c r="BO148" i="28" s="1"/>
  <c r="BO149" i="28" s="1"/>
  <c r="BO150" i="28" s="1"/>
  <c r="BO151" i="28" s="1"/>
  <c r="BO152" i="28" s="1"/>
  <c r="BO153" i="28" s="1"/>
  <c r="BO154" i="28" s="1"/>
  <c r="BO155" i="28" s="1"/>
  <c r="BO156" i="28" s="1"/>
  <c r="BO157" i="28" s="1"/>
  <c r="BO158" i="28" s="1"/>
  <c r="BO159" i="28" s="1"/>
  <c r="BO160" i="28" s="1"/>
  <c r="BO161" i="28" s="1"/>
  <c r="BO162" i="28" s="1"/>
  <c r="BO163" i="28" s="1"/>
  <c r="BO164" i="28" s="1"/>
  <c r="BO165" i="28" s="1"/>
  <c r="BO166" i="28" s="1"/>
  <c r="BO167" i="28" s="1"/>
  <c r="BO168" i="28" s="1"/>
  <c r="BO169" i="28" s="1"/>
  <c r="BO170" i="28" s="1"/>
  <c r="BO171" i="28" s="1"/>
  <c r="BO172" i="28" s="1"/>
  <c r="BO173" i="28" s="1"/>
  <c r="BO174" i="28" s="1"/>
  <c r="BO175" i="28" s="1"/>
  <c r="BO176" i="28" s="1"/>
  <c r="BO177" i="28" s="1"/>
  <c r="BO178" i="28" s="1"/>
  <c r="BO179" i="28" s="1"/>
  <c r="BO180" i="28" s="1"/>
  <c r="BO181" i="28" s="1"/>
  <c r="BO182" i="28" s="1"/>
  <c r="BO183" i="28" s="1"/>
  <c r="BO184" i="28" s="1"/>
  <c r="BO185" i="28" s="1"/>
  <c r="BO186" i="28" s="1"/>
  <c r="BO187" i="28" s="1"/>
  <c r="BO188" i="28" s="1"/>
  <c r="BO189" i="28" s="1"/>
  <c r="BO190" i="28" s="1"/>
  <c r="BO191" i="28" s="1"/>
  <c r="BO192" i="28" s="1"/>
  <c r="BO193" i="28" s="1"/>
  <c r="BO194" i="28" s="1"/>
  <c r="BO195" i="28" s="1"/>
  <c r="BO196" i="28" s="1"/>
  <c r="BO197" i="28" s="1"/>
  <c r="BO198" i="28" s="1"/>
  <c r="BO199" i="28" s="1"/>
  <c r="BO200" i="28" s="1"/>
  <c r="BO201" i="28" s="1"/>
  <c r="BO202" i="28" s="1"/>
  <c r="BO203" i="28" s="1"/>
  <c r="BO204" i="28" s="1"/>
  <c r="BO205" i="28" s="1"/>
  <c r="BO206" i="28" s="1"/>
  <c r="BO207" i="28" s="1"/>
  <c r="BO208" i="28" s="1"/>
  <c r="BO209" i="28" s="1"/>
  <c r="BO210" i="28" s="1"/>
  <c r="BO211" i="28" s="1"/>
  <c r="BO212" i="28" s="1"/>
  <c r="BO213" i="28" s="1"/>
  <c r="BO214" i="28" s="1"/>
  <c r="BO215" i="28" s="1"/>
  <c r="BO216" i="28" s="1"/>
  <c r="BO217" i="28" s="1"/>
  <c r="BO218" i="28" s="1"/>
  <c r="BO219" i="28" s="1"/>
  <c r="BO220" i="28" s="1"/>
  <c r="BO221" i="28" s="1"/>
  <c r="BO222" i="28" s="1"/>
  <c r="BO223" i="28" s="1"/>
  <c r="BO224" i="28" s="1"/>
  <c r="BO225" i="28" s="1"/>
  <c r="BO226" i="28" s="1"/>
  <c r="BO227" i="28" s="1"/>
  <c r="BO228" i="28" s="1"/>
  <c r="BO229" i="28" s="1"/>
  <c r="BO230" i="28" s="1"/>
  <c r="BO231" i="28" s="1"/>
  <c r="BO232" i="28" s="1"/>
  <c r="BO233" i="28" s="1"/>
  <c r="BO234" i="28" s="1"/>
  <c r="BO235" i="28" s="1"/>
  <c r="BO236" i="28" s="1"/>
  <c r="BO237" i="28" s="1"/>
  <c r="BO238" i="28" s="1"/>
  <c r="BO239" i="28" s="1"/>
  <c r="BO240" i="28" s="1"/>
  <c r="BO241" i="28" s="1"/>
  <c r="BO242" i="28" s="1"/>
  <c r="BO243" i="28" s="1"/>
  <c r="BO244" i="28" s="1"/>
  <c r="BO245" i="28" s="1"/>
  <c r="BO246" i="28" s="1"/>
  <c r="BO247" i="28" s="1"/>
  <c r="BO248" i="28" s="1"/>
  <c r="BO249" i="28" s="1"/>
  <c r="C21" i="18"/>
  <c r="I19" i="29"/>
  <c r="K74" i="29" s="1"/>
  <c r="N16" i="18"/>
  <c r="N18" i="18" s="1"/>
  <c r="C4" i="18"/>
  <c r="C6" i="18"/>
  <c r="I20" i="29"/>
  <c r="I21" i="29"/>
  <c r="I22" i="29"/>
  <c r="I23" i="29"/>
  <c r="I24" i="29"/>
  <c r="I25" i="29"/>
  <c r="I26" i="29"/>
  <c r="I27" i="29"/>
  <c r="I28" i="29"/>
  <c r="I29" i="29"/>
  <c r="I30" i="29"/>
  <c r="K85" i="29" s="1"/>
  <c r="I31" i="29"/>
  <c r="I32" i="29"/>
  <c r="K87" i="29" s="1"/>
  <c r="I33" i="29"/>
  <c r="I34" i="29"/>
  <c r="K89" i="29" s="1"/>
  <c r="I35" i="29"/>
  <c r="I36" i="29"/>
  <c r="K91" i="29" s="1"/>
  <c r="I37" i="29"/>
  <c r="I38" i="29"/>
  <c r="K93" i="29" s="1"/>
  <c r="I39" i="29"/>
  <c r="I40" i="29"/>
  <c r="K95" i="29" s="1"/>
  <c r="I41" i="29"/>
  <c r="I42" i="29"/>
  <c r="K97" i="29" s="1"/>
  <c r="I43" i="29"/>
  <c r="I44" i="29"/>
  <c r="K99" i="29" s="1"/>
  <c r="I45" i="29"/>
  <c r="I46" i="29"/>
  <c r="K101" i="29" s="1"/>
  <c r="I47" i="29"/>
  <c r="I48" i="29"/>
  <c r="K103" i="29" s="1"/>
  <c r="I49" i="29"/>
  <c r="I50" i="29"/>
  <c r="K105" i="29" s="1"/>
  <c r="I51" i="29"/>
  <c r="I52" i="29"/>
  <c r="K107" i="29" s="1"/>
  <c r="I53" i="29"/>
  <c r="I54" i="29"/>
  <c r="K109" i="29" s="1"/>
  <c r="I55" i="29"/>
  <c r="I56" i="29"/>
  <c r="K111" i="29" s="1"/>
  <c r="I57" i="29"/>
  <c r="I58" i="29"/>
  <c r="K113" i="29" s="1"/>
  <c r="I59" i="29"/>
  <c r="I60" i="29"/>
  <c r="K115" i="29" s="1"/>
  <c r="I61" i="29"/>
  <c r="I62" i="29"/>
  <c r="K117" i="29" s="1"/>
  <c r="I63" i="29"/>
  <c r="I64" i="29"/>
  <c r="K119" i="29" s="1"/>
  <c r="I65" i="29"/>
  <c r="I66" i="29"/>
  <c r="K121" i="29" s="1"/>
  <c r="I67" i="29"/>
  <c r="I68" i="29"/>
  <c r="K123" i="29" s="1"/>
  <c r="I69" i="29"/>
  <c r="I70" i="29"/>
  <c r="K125" i="29" s="1"/>
  <c r="I71" i="29"/>
  <c r="I72" i="29"/>
  <c r="K127" i="29" s="1"/>
  <c r="I73" i="29"/>
  <c r="I74" i="29"/>
  <c r="K129" i="29" s="1"/>
  <c r="I75" i="29"/>
  <c r="I76" i="29"/>
  <c r="K131" i="29" s="1"/>
  <c r="I77" i="29"/>
  <c r="I78" i="29"/>
  <c r="K133" i="29" s="1"/>
  <c r="I79" i="29"/>
  <c r="I80" i="29"/>
  <c r="K135" i="29" s="1"/>
  <c r="I81" i="29"/>
  <c r="I82" i="29"/>
  <c r="K137" i="29" s="1"/>
  <c r="I83" i="29"/>
  <c r="I84" i="29"/>
  <c r="K139" i="29" s="1"/>
  <c r="I85" i="29"/>
  <c r="I86" i="29"/>
  <c r="K141" i="29" s="1"/>
  <c r="I87" i="29"/>
  <c r="I88" i="29"/>
  <c r="K143" i="29" s="1"/>
  <c r="I89" i="29"/>
  <c r="I90" i="29"/>
  <c r="K145" i="29" s="1"/>
  <c r="I91" i="29"/>
  <c r="I92" i="29"/>
  <c r="K147" i="29" s="1"/>
  <c r="I93" i="29"/>
  <c r="I94" i="29"/>
  <c r="K149" i="29" s="1"/>
  <c r="I95" i="29"/>
  <c r="I96" i="29"/>
  <c r="K151" i="29" s="1"/>
  <c r="I97" i="29"/>
  <c r="I98" i="29"/>
  <c r="K153" i="29" s="1"/>
  <c r="I99" i="29"/>
  <c r="I100" i="29"/>
  <c r="K155" i="29" s="1"/>
  <c r="I101" i="29"/>
  <c r="I102" i="29"/>
  <c r="K157" i="29" s="1"/>
  <c r="I103" i="29"/>
  <c r="I104" i="29"/>
  <c r="K159" i="29" s="1"/>
  <c r="I105" i="29"/>
  <c r="I106" i="29"/>
  <c r="K161" i="29" s="1"/>
  <c r="I107" i="29"/>
  <c r="I108" i="29"/>
  <c r="K163" i="29" s="1"/>
  <c r="I109" i="29"/>
  <c r="I110" i="29"/>
  <c r="K165" i="29" s="1"/>
  <c r="I111" i="29"/>
  <c r="I112" i="29"/>
  <c r="K167" i="29" s="1"/>
  <c r="I113" i="29"/>
  <c r="I114" i="29"/>
  <c r="K169" i="29" s="1"/>
  <c r="I115" i="29"/>
  <c r="I116" i="29"/>
  <c r="K171" i="29" s="1"/>
  <c r="I117" i="29"/>
  <c r="I118" i="29"/>
  <c r="K173" i="29" s="1"/>
  <c r="I119" i="29"/>
  <c r="I120" i="29"/>
  <c r="K175" i="29" s="1"/>
  <c r="I121" i="29"/>
  <c r="I122" i="29"/>
  <c r="K177" i="29" s="1"/>
  <c r="I123" i="29"/>
  <c r="I124" i="29"/>
  <c r="K179" i="29" s="1"/>
  <c r="I125" i="29"/>
  <c r="I126" i="29"/>
  <c r="K181" i="29" s="1"/>
  <c r="I127" i="29"/>
  <c r="I128" i="29"/>
  <c r="K183" i="29" s="1"/>
  <c r="I129" i="29"/>
  <c r="I130" i="29"/>
  <c r="K185" i="29" s="1"/>
  <c r="I131" i="29"/>
  <c r="I132" i="29"/>
  <c r="K187" i="29" s="1"/>
  <c r="I133" i="29"/>
  <c r="I134" i="29"/>
  <c r="K189" i="29" s="1"/>
  <c r="I135" i="29"/>
  <c r="I136" i="29"/>
  <c r="K191" i="29" s="1"/>
  <c r="I137" i="29"/>
  <c r="I138" i="29"/>
  <c r="K193" i="29" s="1"/>
  <c r="I139" i="29"/>
  <c r="I140" i="29"/>
  <c r="K195" i="29" s="1"/>
  <c r="I141" i="29"/>
  <c r="I142" i="29"/>
  <c r="K197" i="29" s="1"/>
  <c r="I143" i="29"/>
  <c r="I144" i="29"/>
  <c r="K199" i="29" s="1"/>
  <c r="I145" i="29"/>
  <c r="I146" i="29"/>
  <c r="K201" i="29" s="1"/>
  <c r="I147" i="29"/>
  <c r="I148" i="29"/>
  <c r="K203" i="29" s="1"/>
  <c r="I149" i="29"/>
  <c r="I150" i="29"/>
  <c r="K205" i="29" s="1"/>
  <c r="I151" i="29"/>
  <c r="I152" i="29"/>
  <c r="K207" i="29" s="1"/>
  <c r="I153" i="29"/>
  <c r="I154" i="29"/>
  <c r="K209" i="29" s="1"/>
  <c r="I155" i="29"/>
  <c r="I156" i="29"/>
  <c r="K211" i="29" s="1"/>
  <c r="I157" i="29"/>
  <c r="I158" i="29"/>
  <c r="K213" i="29" s="1"/>
  <c r="I159" i="29"/>
  <c r="I160" i="29"/>
  <c r="K215" i="29" s="1"/>
  <c r="I161" i="29"/>
  <c r="I162" i="29"/>
  <c r="K217" i="29" s="1"/>
  <c r="I163" i="29"/>
  <c r="I164" i="29"/>
  <c r="K219" i="29" s="1"/>
  <c r="I165" i="29"/>
  <c r="I166" i="29"/>
  <c r="K221" i="29" s="1"/>
  <c r="I167" i="29"/>
  <c r="I168" i="29"/>
  <c r="K223" i="29" s="1"/>
  <c r="I169" i="29"/>
  <c r="I170" i="29"/>
  <c r="K225" i="29" s="1"/>
  <c r="I171" i="29"/>
  <c r="I172" i="29"/>
  <c r="K227" i="29" s="1"/>
  <c r="I173" i="29"/>
  <c r="I174" i="29"/>
  <c r="K229" i="29" s="1"/>
  <c r="I175" i="29"/>
  <c r="I176" i="29"/>
  <c r="K231" i="29" s="1"/>
  <c r="I177" i="29"/>
  <c r="I178" i="29"/>
  <c r="K233" i="29" s="1"/>
  <c r="I179" i="29"/>
  <c r="I180" i="29"/>
  <c r="K235" i="29" s="1"/>
  <c r="I181" i="29"/>
  <c r="I182" i="29"/>
  <c r="K237" i="29" s="1"/>
  <c r="I183" i="29"/>
  <c r="I184" i="29"/>
  <c r="K239" i="29" s="1"/>
  <c r="I185" i="29"/>
  <c r="I186" i="29"/>
  <c r="K241" i="29" s="1"/>
  <c r="I187" i="29"/>
  <c r="I188" i="29"/>
  <c r="K243" i="29" s="1"/>
  <c r="I189" i="29"/>
  <c r="I190" i="29"/>
  <c r="K245" i="29" s="1"/>
  <c r="I191" i="29"/>
  <c r="I192" i="29"/>
  <c r="K247" i="29" s="1"/>
  <c r="I193" i="29"/>
  <c r="I194" i="29"/>
  <c r="K249" i="29" s="1"/>
  <c r="I195" i="29"/>
  <c r="I196" i="29"/>
  <c r="K251" i="29" s="1"/>
  <c r="I197" i="29"/>
  <c r="I198" i="29"/>
  <c r="K253" i="29" s="1"/>
  <c r="I199" i="29"/>
  <c r="I200" i="29"/>
  <c r="K255" i="29" s="1"/>
  <c r="I201" i="29"/>
  <c r="I202" i="29"/>
  <c r="K257" i="29" s="1"/>
  <c r="I203" i="29"/>
  <c r="I204" i="29"/>
  <c r="K259" i="29" s="1"/>
  <c r="I205" i="29"/>
  <c r="I206" i="29"/>
  <c r="K261" i="29" s="1"/>
  <c r="I207" i="29"/>
  <c r="I208" i="29"/>
  <c r="K263" i="29" s="1"/>
  <c r="I209" i="29"/>
  <c r="I210" i="29"/>
  <c r="K265" i="29" s="1"/>
  <c r="I211" i="29"/>
  <c r="I212" i="29"/>
  <c r="K267" i="29" s="1"/>
  <c r="I213" i="29"/>
  <c r="I214" i="29"/>
  <c r="K269" i="29" s="1"/>
  <c r="I215" i="29"/>
  <c r="I216" i="29"/>
  <c r="K271" i="29" s="1"/>
  <c r="I217" i="29"/>
  <c r="I218" i="29"/>
  <c r="K273" i="29" s="1"/>
  <c r="I219" i="29"/>
  <c r="I220" i="29"/>
  <c r="K275" i="29" s="1"/>
  <c r="I221" i="29"/>
  <c r="I222" i="29"/>
  <c r="K277" i="29" s="1"/>
  <c r="I223" i="29"/>
  <c r="I224" i="29"/>
  <c r="K279" i="29" s="1"/>
  <c r="I225" i="29"/>
  <c r="I226" i="29"/>
  <c r="K281" i="29" s="1"/>
  <c r="I227" i="29"/>
  <c r="I228" i="29"/>
  <c r="K283" i="29" s="1"/>
  <c r="I229" i="29"/>
  <c r="I230" i="29"/>
  <c r="K285" i="29" s="1"/>
  <c r="I231" i="29"/>
  <c r="I232" i="29"/>
  <c r="K287" i="29" s="1"/>
  <c r="I233" i="29"/>
  <c r="I234" i="29"/>
  <c r="K289" i="29" s="1"/>
  <c r="I235" i="29"/>
  <c r="I236" i="29"/>
  <c r="K291" i="29" s="1"/>
  <c r="I237" i="29"/>
  <c r="I238" i="29"/>
  <c r="K293" i="29" s="1"/>
  <c r="I239" i="29"/>
  <c r="I240" i="29"/>
  <c r="K295" i="29" s="1"/>
  <c r="I241" i="29"/>
  <c r="I242" i="29"/>
  <c r="K297" i="29" s="1"/>
  <c r="I243" i="29"/>
  <c r="I244" i="29"/>
  <c r="K299" i="29" s="1"/>
  <c r="I245" i="29"/>
  <c r="I246" i="29"/>
  <c r="K301" i="29" s="1"/>
  <c r="I247" i="29"/>
  <c r="I248" i="29"/>
  <c r="K303" i="29" s="1"/>
  <c r="I249" i="29"/>
  <c r="I250" i="29"/>
  <c r="K305" i="29" s="1"/>
  <c r="I251" i="29"/>
  <c r="I252" i="29"/>
  <c r="K307" i="29" s="1"/>
  <c r="I253" i="29"/>
  <c r="I254" i="29"/>
  <c r="K309" i="29" s="1"/>
  <c r="I255" i="29"/>
  <c r="I256" i="29"/>
  <c r="K311" i="29" s="1"/>
  <c r="I257" i="29"/>
  <c r="I258" i="29"/>
  <c r="K313" i="29" s="1"/>
  <c r="I259" i="29"/>
  <c r="I260" i="29"/>
  <c r="K315" i="29" s="1"/>
  <c r="I261" i="29"/>
  <c r="I262" i="29"/>
  <c r="K317" i="29" s="1"/>
  <c r="I263" i="29"/>
  <c r="I264" i="29"/>
  <c r="K319" i="29" s="1"/>
  <c r="I265" i="29"/>
  <c r="I266" i="29"/>
  <c r="K321" i="29" s="1"/>
  <c r="I267" i="29"/>
  <c r="I268" i="29"/>
  <c r="K323" i="29" s="1"/>
  <c r="I269" i="29"/>
  <c r="I270" i="29"/>
  <c r="K325" i="29" s="1"/>
  <c r="I271" i="29"/>
  <c r="I272" i="29"/>
  <c r="K327" i="29" s="1"/>
  <c r="I273" i="29"/>
  <c r="I274" i="29"/>
  <c r="K329" i="29" s="1"/>
  <c r="I275" i="29"/>
  <c r="I276" i="29"/>
  <c r="K331" i="29" s="1"/>
  <c r="I277" i="29"/>
  <c r="I278" i="29"/>
  <c r="K333" i="29" s="1"/>
  <c r="I279" i="29"/>
  <c r="I280" i="29"/>
  <c r="K335" i="29" s="1"/>
  <c r="I281" i="29"/>
  <c r="I282" i="29"/>
  <c r="K337" i="29" s="1"/>
  <c r="I283" i="29"/>
  <c r="I284" i="29"/>
  <c r="K339" i="29" s="1"/>
  <c r="I285" i="29"/>
  <c r="I286" i="29"/>
  <c r="K341" i="29" s="1"/>
  <c r="I287" i="29"/>
  <c r="I288" i="29"/>
  <c r="K343" i="29" s="1"/>
  <c r="I289" i="29"/>
  <c r="I290" i="29"/>
  <c r="K345" i="29" s="1"/>
  <c r="I291" i="29"/>
  <c r="I292" i="29"/>
  <c r="K347" i="29" s="1"/>
  <c r="I293" i="29"/>
  <c r="I294" i="29"/>
  <c r="K349" i="29" s="1"/>
  <c r="I295" i="29"/>
  <c r="I296" i="29"/>
  <c r="K351" i="29" s="1"/>
  <c r="I297" i="29"/>
  <c r="I298" i="29"/>
  <c r="K353" i="29" s="1"/>
  <c r="I299" i="29"/>
  <c r="I300" i="29"/>
  <c r="K355" i="29" s="1"/>
  <c r="I301" i="29"/>
  <c r="I302" i="29"/>
  <c r="K357" i="29" s="1"/>
  <c r="I303" i="29"/>
  <c r="I304" i="29"/>
  <c r="K359" i="29" s="1"/>
  <c r="I305" i="29"/>
  <c r="I306" i="29"/>
  <c r="K361" i="29" s="1"/>
  <c r="I307" i="29"/>
  <c r="I308" i="29"/>
  <c r="K363" i="29" s="1"/>
  <c r="I309" i="29"/>
  <c r="I310" i="29"/>
  <c r="K365" i="29" s="1"/>
  <c r="I311" i="29"/>
  <c r="I312" i="29"/>
  <c r="K367" i="29" s="1"/>
  <c r="I313" i="29"/>
  <c r="I314" i="29"/>
  <c r="K369" i="29" s="1"/>
  <c r="I315" i="29"/>
  <c r="I316" i="29"/>
  <c r="K371" i="29" s="1"/>
  <c r="I317" i="29"/>
  <c r="I318" i="29"/>
  <c r="K373" i="29" s="1"/>
  <c r="I319" i="29"/>
  <c r="I320" i="29"/>
  <c r="K375" i="29" s="1"/>
  <c r="I321" i="29"/>
  <c r="I322" i="29"/>
  <c r="K377" i="29" s="1"/>
  <c r="I323" i="29"/>
  <c r="I324" i="29"/>
  <c r="K379" i="29" s="1"/>
  <c r="I325" i="29"/>
  <c r="I326" i="29"/>
  <c r="K381" i="29" s="1"/>
  <c r="I327" i="29"/>
  <c r="I328" i="29"/>
  <c r="K383" i="29" s="1"/>
  <c r="I329" i="29"/>
  <c r="I330" i="29"/>
  <c r="K385" i="29" s="1"/>
  <c r="I331" i="29"/>
  <c r="I332" i="29"/>
  <c r="I333" i="29"/>
  <c r="I334" i="29"/>
  <c r="I335" i="29"/>
  <c r="I336" i="29"/>
  <c r="I337" i="29"/>
  <c r="I338" i="29"/>
  <c r="I339" i="29"/>
  <c r="I340" i="29"/>
  <c r="I341" i="29"/>
  <c r="I342" i="29"/>
  <c r="I343" i="29"/>
  <c r="I344" i="29"/>
  <c r="I345" i="29"/>
  <c r="I346" i="29"/>
  <c r="I347" i="29"/>
  <c r="I348" i="29"/>
  <c r="I349" i="29"/>
  <c r="I350" i="29"/>
  <c r="I351" i="29"/>
  <c r="I352" i="29"/>
  <c r="I353" i="29"/>
  <c r="I354" i="29"/>
  <c r="I355" i="29"/>
  <c r="I356" i="29"/>
  <c r="I357" i="29"/>
  <c r="I358" i="29"/>
  <c r="I359" i="29"/>
  <c r="I360" i="29"/>
  <c r="I361" i="29"/>
  <c r="I362" i="29"/>
  <c r="I363" i="29"/>
  <c r="I364" i="29"/>
  <c r="I365" i="29"/>
  <c r="I366" i="29"/>
  <c r="I367" i="29"/>
  <c r="I368" i="29"/>
  <c r="I369" i="29"/>
  <c r="I370" i="29"/>
  <c r="I371" i="29"/>
  <c r="I372" i="29"/>
  <c r="I373" i="29"/>
  <c r="I374" i="29"/>
  <c r="I375" i="29"/>
  <c r="I376" i="29"/>
  <c r="I377" i="29"/>
  <c r="I378" i="29"/>
  <c r="I379" i="29"/>
  <c r="I380" i="29"/>
  <c r="I381" i="29"/>
  <c r="I382" i="29"/>
  <c r="I383" i="29"/>
  <c r="I384" i="29"/>
  <c r="I385" i="29"/>
  <c r="I386" i="29"/>
  <c r="I387" i="29"/>
  <c r="I388" i="29"/>
  <c r="I389" i="29"/>
  <c r="I390" i="29"/>
  <c r="I391" i="29"/>
  <c r="I392" i="29"/>
  <c r="I393" i="29"/>
  <c r="I394" i="29"/>
  <c r="I395" i="29"/>
  <c r="I396" i="29"/>
  <c r="I397" i="29"/>
  <c r="I398" i="29"/>
  <c r="I399" i="29"/>
  <c r="I400" i="29"/>
  <c r="I401" i="29"/>
  <c r="I402" i="29"/>
  <c r="I403" i="29"/>
  <c r="I404" i="29"/>
  <c r="I405" i="29"/>
  <c r="I406" i="29"/>
  <c r="I407" i="29"/>
  <c r="I408" i="29"/>
  <c r="I409" i="29"/>
  <c r="I410" i="29"/>
  <c r="I411" i="29"/>
  <c r="I412" i="29"/>
  <c r="I413" i="29"/>
  <c r="I414" i="29"/>
  <c r="I415" i="29"/>
  <c r="I416" i="29"/>
  <c r="I417" i="29"/>
  <c r="I418" i="29"/>
  <c r="I419" i="29"/>
  <c r="I420" i="29"/>
  <c r="I421" i="29"/>
  <c r="I422" i="29"/>
  <c r="I423" i="29"/>
  <c r="I424" i="29"/>
  <c r="I425" i="29"/>
  <c r="I426" i="29"/>
  <c r="I427" i="29"/>
  <c r="I428" i="29"/>
  <c r="I429" i="29"/>
  <c r="I430" i="29"/>
  <c r="I431" i="29"/>
  <c r="I432" i="29"/>
  <c r="I433" i="29"/>
  <c r="I434" i="29"/>
  <c r="I435" i="29"/>
  <c r="I436" i="29"/>
  <c r="I437" i="29"/>
  <c r="I438" i="29"/>
  <c r="I439" i="29"/>
  <c r="I440" i="29"/>
  <c r="I441" i="29"/>
  <c r="I442" i="29"/>
  <c r="I443" i="29"/>
  <c r="I444" i="29"/>
  <c r="I445" i="29"/>
  <c r="I446" i="29"/>
  <c r="I447" i="29"/>
  <c r="I448" i="29"/>
  <c r="I449" i="29"/>
  <c r="I450" i="29"/>
  <c r="I451" i="29"/>
  <c r="I452" i="29"/>
  <c r="I453" i="29"/>
  <c r="I454" i="29"/>
  <c r="I455" i="29"/>
  <c r="I456" i="29"/>
  <c r="I457" i="29"/>
  <c r="I458" i="29"/>
  <c r="I459" i="29"/>
  <c r="I460" i="29"/>
  <c r="I461" i="29"/>
  <c r="I462" i="29"/>
  <c r="I463" i="29"/>
  <c r="I464" i="29"/>
  <c r="I465" i="29"/>
  <c r="I466" i="29"/>
  <c r="I467" i="29"/>
  <c r="I468" i="29"/>
  <c r="I469" i="29"/>
  <c r="I470" i="29"/>
  <c r="I471" i="29"/>
  <c r="I472" i="29"/>
  <c r="I473" i="29"/>
  <c r="I474" i="29"/>
  <c r="I475" i="29"/>
  <c r="I476" i="29"/>
  <c r="I477" i="29"/>
  <c r="I478" i="29"/>
  <c r="I479" i="29"/>
  <c r="I480" i="29"/>
  <c r="I481" i="29"/>
  <c r="I482" i="29"/>
  <c r="I483" i="29"/>
  <c r="I484" i="29"/>
  <c r="I485" i="29"/>
  <c r="I486" i="29"/>
  <c r="I487" i="29"/>
  <c r="I488" i="29"/>
  <c r="I489" i="29"/>
  <c r="I490" i="29"/>
  <c r="I491" i="29"/>
  <c r="I492" i="29"/>
  <c r="I493" i="29"/>
  <c r="I494" i="29"/>
  <c r="I495" i="29"/>
  <c r="I496" i="29"/>
  <c r="I497" i="29"/>
  <c r="I498" i="29"/>
  <c r="I499" i="29"/>
  <c r="I500" i="29"/>
  <c r="I501" i="29"/>
  <c r="I502" i="29"/>
  <c r="I503" i="29"/>
  <c r="I504" i="29"/>
  <c r="I505" i="29"/>
  <c r="I506" i="29"/>
  <c r="I507" i="29"/>
  <c r="I508" i="29"/>
  <c r="I509" i="29"/>
  <c r="I510" i="29"/>
  <c r="I511" i="29"/>
  <c r="I512" i="29"/>
  <c r="I513" i="29"/>
  <c r="I514" i="29"/>
  <c r="I515" i="29"/>
  <c r="I516" i="29"/>
  <c r="I517" i="29"/>
  <c r="I518" i="29"/>
  <c r="I519" i="29"/>
  <c r="I520" i="29"/>
  <c r="I521" i="29"/>
  <c r="I522" i="29"/>
  <c r="I523" i="29"/>
  <c r="I524" i="29"/>
  <c r="I525" i="29"/>
  <c r="I526" i="29"/>
  <c r="I527" i="29"/>
  <c r="I528" i="29"/>
  <c r="I529" i="29"/>
  <c r="I530" i="29"/>
  <c r="I531" i="29"/>
  <c r="I532" i="29"/>
  <c r="I533" i="29"/>
  <c r="I534" i="29"/>
  <c r="I535" i="29"/>
  <c r="I536" i="29"/>
  <c r="I537" i="29"/>
  <c r="I538" i="29"/>
  <c r="I539" i="29"/>
  <c r="I540" i="29"/>
  <c r="I541" i="29"/>
  <c r="I542" i="29"/>
  <c r="I543" i="29"/>
  <c r="I544" i="29"/>
  <c r="I545" i="29"/>
  <c r="I546" i="29"/>
  <c r="I547" i="29"/>
  <c r="I548" i="29"/>
  <c r="I549" i="29"/>
  <c r="I550" i="29"/>
  <c r="I551" i="29"/>
  <c r="I552" i="29"/>
  <c r="I553" i="29"/>
  <c r="I554" i="29"/>
  <c r="I555" i="29"/>
  <c r="I556" i="29"/>
  <c r="I557" i="29"/>
  <c r="I558" i="29"/>
  <c r="I559" i="29"/>
  <c r="I560" i="29"/>
  <c r="I561" i="29"/>
  <c r="I562" i="29"/>
  <c r="I563" i="29"/>
  <c r="I564" i="29"/>
  <c r="I565" i="29"/>
  <c r="I566" i="29"/>
  <c r="I567" i="29"/>
  <c r="I568" i="29"/>
  <c r="I569" i="29"/>
  <c r="I570" i="29"/>
  <c r="I571" i="29"/>
  <c r="I572" i="29"/>
  <c r="I573" i="29"/>
  <c r="I574" i="29"/>
  <c r="I575" i="29"/>
  <c r="I576" i="29"/>
  <c r="I577" i="29"/>
  <c r="I578" i="29"/>
  <c r="I579" i="29"/>
  <c r="I580" i="29"/>
  <c r="I581" i="29"/>
  <c r="I582" i="29"/>
  <c r="I583" i="29"/>
  <c r="I584" i="29"/>
  <c r="I585" i="29"/>
  <c r="I586" i="29"/>
  <c r="I587" i="29"/>
  <c r="I588" i="29"/>
  <c r="I589" i="29"/>
  <c r="I590" i="29"/>
  <c r="I591" i="29"/>
  <c r="I592" i="29"/>
  <c r="I593" i="29"/>
  <c r="I594" i="29"/>
  <c r="I595" i="29"/>
  <c r="I596" i="29"/>
  <c r="I597" i="29"/>
  <c r="I598" i="29"/>
  <c r="I599" i="29"/>
  <c r="I600" i="29"/>
  <c r="I601" i="29"/>
  <c r="I602" i="29"/>
  <c r="I603" i="29"/>
  <c r="I604" i="29"/>
  <c r="I605" i="29"/>
  <c r="I606" i="29"/>
  <c r="I607" i="29"/>
  <c r="I608" i="29"/>
  <c r="I609" i="29"/>
  <c r="I610" i="29"/>
  <c r="I611" i="29"/>
  <c r="I612" i="29"/>
  <c r="I613" i="29"/>
  <c r="I614" i="29"/>
  <c r="I615" i="29"/>
  <c r="I616" i="29"/>
  <c r="I617" i="29"/>
  <c r="I618" i="29"/>
  <c r="I619" i="29"/>
  <c r="I620" i="29"/>
  <c r="I621" i="29"/>
  <c r="I622" i="29"/>
  <c r="I623" i="29"/>
  <c r="I624" i="29"/>
  <c r="I625" i="29"/>
  <c r="I626" i="29"/>
  <c r="I627" i="29"/>
  <c r="I628" i="29"/>
  <c r="I629" i="29"/>
  <c r="I630" i="29"/>
  <c r="I631" i="29"/>
  <c r="I632" i="29"/>
  <c r="I633" i="29"/>
  <c r="I634" i="29"/>
  <c r="I635" i="29"/>
  <c r="I636" i="29"/>
  <c r="I637" i="29"/>
  <c r="I638" i="29"/>
  <c r="I639" i="29"/>
  <c r="I640" i="29"/>
  <c r="I641" i="29"/>
  <c r="I642" i="29"/>
  <c r="I643" i="29"/>
  <c r="I644" i="29"/>
  <c r="I645" i="29"/>
  <c r="I646" i="29"/>
  <c r="I647" i="29"/>
  <c r="I648" i="29"/>
  <c r="I649" i="29"/>
  <c r="I650" i="29"/>
  <c r="I651" i="29"/>
  <c r="I652" i="29"/>
  <c r="I653" i="29"/>
  <c r="I654" i="29"/>
  <c r="I655" i="29"/>
  <c r="I656" i="29"/>
  <c r="I657" i="29"/>
  <c r="I658" i="29"/>
  <c r="I659" i="29"/>
  <c r="I660" i="29"/>
  <c r="I661" i="29"/>
  <c r="I662" i="29"/>
  <c r="I663" i="29"/>
  <c r="I664" i="29"/>
  <c r="I665" i="29"/>
  <c r="I666" i="29"/>
  <c r="I667" i="29"/>
  <c r="I668" i="29"/>
  <c r="I669" i="29"/>
  <c r="I670" i="29"/>
  <c r="I671" i="29"/>
  <c r="I672" i="29"/>
  <c r="I673" i="29"/>
  <c r="I674" i="29"/>
  <c r="I675" i="29"/>
  <c r="I676" i="29"/>
  <c r="I677" i="29"/>
  <c r="I678" i="29"/>
  <c r="I679" i="29"/>
  <c r="I680" i="29"/>
  <c r="I681" i="29"/>
  <c r="I682" i="29"/>
  <c r="I683" i="29"/>
  <c r="I684" i="29"/>
  <c r="I685" i="29"/>
  <c r="I686" i="29"/>
  <c r="I687" i="29"/>
  <c r="I688" i="29"/>
  <c r="I689" i="29"/>
  <c r="I690" i="29"/>
  <c r="I691" i="29"/>
  <c r="I692" i="29"/>
  <c r="I693" i="29"/>
  <c r="I694" i="29"/>
  <c r="I695" i="29"/>
  <c r="I696" i="29"/>
  <c r="I697" i="29"/>
  <c r="I698" i="29"/>
  <c r="I699" i="29"/>
  <c r="I700" i="29"/>
  <c r="I701" i="29"/>
  <c r="I702" i="29"/>
  <c r="I703" i="29"/>
  <c r="I704" i="29"/>
  <c r="I705" i="29"/>
  <c r="I706" i="29"/>
  <c r="I707" i="29"/>
  <c r="I708" i="29"/>
  <c r="I709" i="29"/>
  <c r="I710" i="29"/>
  <c r="I711" i="29"/>
  <c r="I712" i="29"/>
  <c r="I713" i="29"/>
  <c r="I714" i="29"/>
  <c r="I715" i="29"/>
  <c r="I716" i="29"/>
  <c r="I717" i="29"/>
  <c r="I718" i="29"/>
  <c r="I719" i="29"/>
  <c r="I720" i="29"/>
  <c r="I721" i="29"/>
  <c r="I722" i="29"/>
  <c r="I723" i="29"/>
  <c r="I724" i="29"/>
  <c r="I725" i="29"/>
  <c r="I726" i="29"/>
  <c r="I727" i="29"/>
  <c r="I728" i="29"/>
  <c r="I729" i="29"/>
  <c r="I730" i="29"/>
  <c r="I731" i="29"/>
  <c r="I732" i="29"/>
  <c r="I733" i="29"/>
  <c r="I734" i="29"/>
  <c r="I735" i="29"/>
  <c r="I736" i="29"/>
  <c r="I737" i="29"/>
  <c r="I738" i="29"/>
  <c r="I739" i="29"/>
  <c r="I740" i="29"/>
  <c r="I741" i="29"/>
  <c r="I742" i="29"/>
  <c r="I743" i="29"/>
  <c r="I744" i="29"/>
  <c r="I745" i="29"/>
  <c r="I746" i="29"/>
  <c r="I747" i="29"/>
  <c r="I748" i="29"/>
  <c r="I749" i="29"/>
  <c r="I750" i="29"/>
  <c r="I751" i="29"/>
  <c r="I752" i="29"/>
  <c r="I753" i="29"/>
  <c r="I754" i="29"/>
  <c r="I755" i="29"/>
  <c r="I756" i="29"/>
  <c r="I757" i="29"/>
  <c r="I758" i="29"/>
  <c r="I759" i="29"/>
  <c r="I760" i="29"/>
  <c r="I761" i="29"/>
  <c r="I762" i="29"/>
  <c r="I763" i="29"/>
  <c r="I764" i="29"/>
  <c r="I765" i="29"/>
  <c r="I766" i="29"/>
  <c r="I767" i="29"/>
  <c r="I768" i="29"/>
  <c r="I769" i="29"/>
  <c r="I770" i="29"/>
  <c r="I771" i="29"/>
  <c r="I772" i="29"/>
  <c r="I773" i="29"/>
  <c r="I774" i="29"/>
  <c r="I775" i="29"/>
  <c r="I776" i="29"/>
  <c r="I777" i="29"/>
  <c r="I778" i="29"/>
  <c r="I779" i="29"/>
  <c r="I780" i="29"/>
  <c r="I781" i="29"/>
  <c r="I782" i="29"/>
  <c r="I783" i="29"/>
  <c r="I784" i="29"/>
  <c r="I785" i="29"/>
  <c r="I786" i="29"/>
  <c r="I787" i="29"/>
  <c r="I788" i="29"/>
  <c r="I789" i="29"/>
  <c r="I790" i="29"/>
  <c r="I791" i="29"/>
  <c r="I792" i="29"/>
  <c r="I793" i="29"/>
  <c r="I794" i="29"/>
  <c r="I795" i="29"/>
  <c r="I796" i="29"/>
  <c r="I797" i="29"/>
  <c r="I798" i="29"/>
  <c r="I799" i="29"/>
  <c r="I800" i="29"/>
  <c r="I801" i="29"/>
  <c r="I802" i="29"/>
  <c r="I803" i="29"/>
  <c r="I804" i="29"/>
  <c r="I805" i="29"/>
  <c r="I806" i="29"/>
  <c r="I807" i="29"/>
  <c r="I808" i="29"/>
  <c r="I809" i="29"/>
  <c r="I810" i="29"/>
  <c r="I811" i="29"/>
  <c r="I812" i="29"/>
  <c r="I813" i="29"/>
  <c r="I814" i="29"/>
  <c r="I815" i="29"/>
  <c r="I816" i="29"/>
  <c r="I817" i="29"/>
  <c r="I818" i="29"/>
  <c r="I819" i="29"/>
  <c r="I820" i="29"/>
  <c r="I821" i="29"/>
  <c r="I822" i="29"/>
  <c r="I823" i="29"/>
  <c r="I824" i="29"/>
  <c r="I825" i="29"/>
  <c r="I826" i="29"/>
  <c r="I827" i="29"/>
  <c r="I828" i="29"/>
  <c r="I829" i="29"/>
  <c r="I830" i="29"/>
  <c r="I831" i="29"/>
  <c r="I832" i="29"/>
  <c r="I833" i="29"/>
  <c r="I834" i="29"/>
  <c r="I835" i="29"/>
  <c r="I836" i="29"/>
  <c r="I837" i="29"/>
  <c r="I838" i="29"/>
  <c r="I839" i="29"/>
  <c r="I840" i="29"/>
  <c r="I841" i="29"/>
  <c r="I842" i="29"/>
  <c r="I843" i="29"/>
  <c r="I844" i="29"/>
  <c r="I845" i="29"/>
  <c r="I846" i="29"/>
  <c r="I847" i="29"/>
  <c r="I848" i="29"/>
  <c r="I849" i="29"/>
  <c r="I850" i="29"/>
  <c r="I851" i="29"/>
  <c r="I852" i="29"/>
  <c r="I853" i="29"/>
  <c r="I854" i="29"/>
  <c r="I855" i="29"/>
  <c r="I856" i="29"/>
  <c r="I857" i="29"/>
  <c r="I858" i="29"/>
  <c r="I859" i="29"/>
  <c r="I860" i="29"/>
  <c r="I861" i="29"/>
  <c r="I862" i="29"/>
  <c r="I863" i="29"/>
  <c r="I864" i="29"/>
  <c r="I865" i="29"/>
  <c r="I866" i="29"/>
  <c r="I867" i="29"/>
  <c r="I868" i="29"/>
  <c r="I869" i="29"/>
  <c r="I870" i="29"/>
  <c r="I871" i="29"/>
  <c r="I872" i="29"/>
  <c r="I873" i="29"/>
  <c r="I874" i="29"/>
  <c r="I875" i="29"/>
  <c r="I876" i="29"/>
  <c r="I877" i="29"/>
  <c r="I878" i="29"/>
  <c r="I879" i="29"/>
  <c r="I880" i="29"/>
  <c r="I881" i="29"/>
  <c r="I882" i="29"/>
  <c r="I883" i="29"/>
  <c r="I884" i="29"/>
  <c r="I885" i="29"/>
  <c r="I886" i="29"/>
  <c r="I887" i="29"/>
  <c r="I888" i="29"/>
  <c r="I889" i="29"/>
  <c r="I890" i="29"/>
  <c r="I891" i="29"/>
  <c r="I892" i="29"/>
  <c r="I893" i="29"/>
  <c r="I894" i="29"/>
  <c r="I895" i="29"/>
  <c r="I896" i="29"/>
  <c r="I897" i="29"/>
  <c r="I898" i="29"/>
  <c r="I899" i="29"/>
  <c r="I900" i="29"/>
  <c r="I901" i="29"/>
  <c r="I902" i="29"/>
  <c r="I903" i="29"/>
  <c r="I904" i="29"/>
  <c r="I905" i="29"/>
  <c r="I906" i="29"/>
  <c r="I907" i="29"/>
  <c r="I908" i="29"/>
  <c r="I909" i="29"/>
  <c r="I910" i="29"/>
  <c r="I911" i="29"/>
  <c r="I912" i="29"/>
  <c r="I913" i="29"/>
  <c r="I914" i="29"/>
  <c r="I915" i="29"/>
  <c r="I916" i="29"/>
  <c r="I917" i="29"/>
  <c r="I918" i="29"/>
  <c r="I919" i="29"/>
  <c r="I920" i="29"/>
  <c r="I921" i="29"/>
  <c r="I922" i="29"/>
  <c r="I923" i="29"/>
  <c r="I924" i="29"/>
  <c r="I925" i="29"/>
  <c r="I926" i="29"/>
  <c r="I927" i="29"/>
  <c r="I928" i="29"/>
  <c r="I929" i="29"/>
  <c r="I930" i="29"/>
  <c r="I931" i="29"/>
  <c r="I932" i="29"/>
  <c r="I933" i="29"/>
  <c r="I934" i="29"/>
  <c r="I935" i="29"/>
  <c r="I936" i="29"/>
  <c r="I937" i="29"/>
  <c r="I938" i="29"/>
  <c r="I939" i="29"/>
  <c r="I940" i="29"/>
  <c r="I941" i="29"/>
  <c r="I942" i="29"/>
  <c r="I943" i="29"/>
  <c r="I944" i="29"/>
  <c r="I945" i="29"/>
  <c r="I946" i="29"/>
  <c r="I947" i="29"/>
  <c r="I948" i="29"/>
  <c r="I949" i="29"/>
  <c r="I950" i="29"/>
  <c r="I951" i="29"/>
  <c r="I952" i="29"/>
  <c r="I953" i="29"/>
  <c r="I954" i="29"/>
  <c r="I955" i="29"/>
  <c r="I956" i="29"/>
  <c r="I957" i="29"/>
  <c r="I958" i="29"/>
  <c r="I959" i="29"/>
  <c r="I960" i="29"/>
  <c r="I961" i="29"/>
  <c r="I962" i="29"/>
  <c r="I963" i="29"/>
  <c r="I964" i="29"/>
  <c r="I965" i="29"/>
  <c r="I966" i="29"/>
  <c r="I967" i="29"/>
  <c r="I968" i="29"/>
  <c r="I969" i="29"/>
  <c r="I970" i="29"/>
  <c r="I971" i="29"/>
  <c r="I972" i="29"/>
  <c r="I973" i="29"/>
  <c r="I974" i="29"/>
  <c r="I975" i="29"/>
  <c r="I976" i="29"/>
  <c r="I977" i="29"/>
  <c r="I978" i="29"/>
  <c r="I979" i="29"/>
  <c r="I980" i="29"/>
  <c r="I981" i="29"/>
  <c r="I982" i="29"/>
  <c r="I983" i="29"/>
  <c r="I984" i="29"/>
  <c r="I985" i="29"/>
  <c r="I986" i="29"/>
  <c r="I987" i="29"/>
  <c r="I988" i="29"/>
  <c r="I989" i="29"/>
  <c r="I990" i="29"/>
  <c r="I991" i="29"/>
  <c r="I992" i="29"/>
  <c r="I993" i="29"/>
  <c r="I994" i="29"/>
  <c r="I995" i="29"/>
  <c r="I996" i="29"/>
  <c r="I997" i="29"/>
  <c r="I998" i="29"/>
  <c r="I999" i="29"/>
  <c r="I1000" i="29"/>
  <c r="I1001" i="29"/>
  <c r="I1002" i="29"/>
  <c r="I1003" i="29"/>
  <c r="I1004" i="29"/>
  <c r="I1005" i="29"/>
  <c r="I1006" i="29"/>
  <c r="I1007" i="29"/>
  <c r="C14" i="29"/>
  <c r="B14" i="29" s="1"/>
  <c r="P18" i="29"/>
  <c r="C18" i="21"/>
  <c r="D16" i="21"/>
  <c r="C16" i="21" s="1"/>
  <c r="C13" i="18"/>
  <c r="X70" i="18"/>
  <c r="X71" i="18"/>
  <c r="X24" i="29"/>
  <c r="X23" i="29"/>
  <c r="Z70" i="29"/>
  <c r="Z72" i="29"/>
  <c r="Z71" i="29"/>
  <c r="Z66" i="29"/>
  <c r="Z68" i="29"/>
  <c r="Z67" i="29"/>
  <c r="P262" i="29"/>
  <c r="P260" i="29"/>
  <c r="P259" i="29"/>
  <c r="P258" i="29"/>
  <c r="P256" i="29"/>
  <c r="P255" i="29"/>
  <c r="P254" i="29"/>
  <c r="P253" i="29"/>
  <c r="P252" i="29"/>
  <c r="P251" i="29"/>
  <c r="P250" i="29"/>
  <c r="P249" i="29"/>
  <c r="P248" i="29"/>
  <c r="P247" i="29"/>
  <c r="P246" i="29"/>
  <c r="P245" i="29"/>
  <c r="P244" i="29"/>
  <c r="P243" i="29"/>
  <c r="P242" i="29"/>
  <c r="P241" i="29"/>
  <c r="P240" i="29"/>
  <c r="P239" i="29"/>
  <c r="P238" i="29"/>
  <c r="P237" i="29"/>
  <c r="P236" i="29"/>
  <c r="P235" i="29"/>
  <c r="P234" i="29"/>
  <c r="P233" i="29"/>
  <c r="P232" i="29"/>
  <c r="P231" i="29"/>
  <c r="P230" i="29"/>
  <c r="P229" i="29"/>
  <c r="P228" i="29"/>
  <c r="P227" i="29"/>
  <c r="P226" i="29"/>
  <c r="P225" i="29"/>
  <c r="P224" i="29"/>
  <c r="P223" i="29"/>
  <c r="P222" i="29"/>
  <c r="P221" i="29"/>
  <c r="P220" i="29"/>
  <c r="P219" i="29"/>
  <c r="P218" i="29"/>
  <c r="P217" i="29"/>
  <c r="P216" i="29"/>
  <c r="P215" i="29"/>
  <c r="P214" i="29"/>
  <c r="P213" i="29"/>
  <c r="P212" i="29"/>
  <c r="P211" i="29"/>
  <c r="P210" i="29"/>
  <c r="P209" i="29"/>
  <c r="P208" i="29"/>
  <c r="P207" i="29"/>
  <c r="P206" i="29"/>
  <c r="P205" i="29"/>
  <c r="P204" i="29"/>
  <c r="P203" i="29"/>
  <c r="P202" i="29"/>
  <c r="P201" i="29"/>
  <c r="P200" i="29"/>
  <c r="P199" i="29"/>
  <c r="P198" i="29"/>
  <c r="P197" i="29"/>
  <c r="P196" i="29"/>
  <c r="P195" i="29"/>
  <c r="P194" i="29"/>
  <c r="P193" i="29"/>
  <c r="P192" i="29"/>
  <c r="P191" i="29"/>
  <c r="P190" i="29"/>
  <c r="P189" i="29"/>
  <c r="P188" i="29"/>
  <c r="P187" i="29"/>
  <c r="P186" i="29"/>
  <c r="P185" i="29"/>
  <c r="P184" i="29"/>
  <c r="P183" i="29"/>
  <c r="P182" i="29"/>
  <c r="P181" i="29"/>
  <c r="P180" i="29"/>
  <c r="P179" i="29"/>
  <c r="P178" i="29"/>
  <c r="P177" i="29"/>
  <c r="P176" i="29"/>
  <c r="P175" i="29"/>
  <c r="P174" i="29"/>
  <c r="P173" i="29"/>
  <c r="P172" i="29"/>
  <c r="P171" i="29"/>
  <c r="P170" i="29"/>
  <c r="P169" i="29"/>
  <c r="P168" i="29"/>
  <c r="P167" i="29"/>
  <c r="P166" i="29"/>
  <c r="P165" i="29"/>
  <c r="P164" i="29"/>
  <c r="P163" i="29"/>
  <c r="P162" i="29"/>
  <c r="P161" i="29"/>
  <c r="P160" i="29"/>
  <c r="P159" i="29"/>
  <c r="P158" i="29"/>
  <c r="P157" i="29"/>
  <c r="P156" i="29"/>
  <c r="P155" i="29"/>
  <c r="P154" i="29"/>
  <c r="P153" i="29"/>
  <c r="P152" i="29"/>
  <c r="P151" i="29"/>
  <c r="P150" i="29"/>
  <c r="P149" i="29"/>
  <c r="P148" i="29"/>
  <c r="P147" i="29"/>
  <c r="P146" i="29"/>
  <c r="P145" i="29"/>
  <c r="P144" i="29"/>
  <c r="P143" i="29"/>
  <c r="P141" i="29"/>
  <c r="P139" i="29"/>
  <c r="P137" i="29"/>
  <c r="P135" i="29"/>
  <c r="P133" i="29"/>
  <c r="P131" i="29"/>
  <c r="P129" i="29"/>
  <c r="P127" i="29"/>
  <c r="P125" i="29"/>
  <c r="P123" i="29"/>
  <c r="P121" i="29"/>
  <c r="P119" i="29"/>
  <c r="P117" i="29"/>
  <c r="P115" i="29"/>
  <c r="P113" i="29"/>
  <c r="P111" i="29"/>
  <c r="P109" i="29"/>
  <c r="P107" i="29"/>
  <c r="P105" i="29"/>
  <c r="P103" i="29"/>
  <c r="P101" i="29"/>
  <c r="P99" i="29"/>
  <c r="P97" i="29"/>
  <c r="P95" i="29"/>
  <c r="P93" i="29"/>
  <c r="P91" i="29"/>
  <c r="P89" i="29"/>
  <c r="P87" i="29"/>
  <c r="P85" i="29"/>
  <c r="P83" i="29"/>
  <c r="P81" i="29"/>
  <c r="P79" i="29"/>
  <c r="P77" i="29"/>
  <c r="P75" i="29"/>
  <c r="P73" i="29"/>
  <c r="P71" i="29"/>
  <c r="P69" i="29"/>
  <c r="P67" i="29"/>
  <c r="P65" i="29"/>
  <c r="P63" i="29"/>
  <c r="U1" i="29"/>
  <c r="U25" i="29" s="1"/>
  <c r="Y1" i="29"/>
  <c r="AB3" i="29"/>
  <c r="Y4" i="29"/>
  <c r="AB4" i="29"/>
  <c r="AB8" i="29"/>
  <c r="AB11" i="29"/>
  <c r="V15" i="29"/>
  <c r="P19" i="29"/>
  <c r="W19" i="29"/>
  <c r="Y19" i="29"/>
  <c r="Z19" i="29"/>
  <c r="P20" i="29"/>
  <c r="S21" i="29"/>
  <c r="P22" i="29"/>
  <c r="M28" i="29"/>
  <c r="P28" i="29"/>
  <c r="Q29" i="29"/>
  <c r="Q30" i="29"/>
  <c r="Q31" i="29"/>
  <c r="U34" i="29"/>
  <c r="K63" i="29"/>
  <c r="W63" i="29"/>
  <c r="X63" i="29"/>
  <c r="Z63" i="29"/>
  <c r="AA63" i="29"/>
  <c r="K64" i="29"/>
  <c r="K65" i="29"/>
  <c r="K66" i="29"/>
  <c r="K67" i="29"/>
  <c r="K68" i="29"/>
  <c r="K69" i="29"/>
  <c r="K70" i="29"/>
  <c r="K71" i="29"/>
  <c r="K72" i="29"/>
  <c r="K73" i="29"/>
  <c r="K75" i="29"/>
  <c r="K76" i="29"/>
  <c r="K77" i="29"/>
  <c r="K78" i="29"/>
  <c r="K79" i="29"/>
  <c r="K80" i="29"/>
  <c r="K81" i="29"/>
  <c r="K82" i="29"/>
  <c r="K83" i="29"/>
  <c r="K84" i="29"/>
  <c r="K86" i="29"/>
  <c r="K88" i="29"/>
  <c r="K90" i="29"/>
  <c r="K92" i="29"/>
  <c r="K94" i="29"/>
  <c r="K96" i="29"/>
  <c r="K98" i="29"/>
  <c r="K100" i="29"/>
  <c r="K102" i="29"/>
  <c r="K104" i="29"/>
  <c r="K106" i="29"/>
  <c r="K108" i="29"/>
  <c r="K110" i="29"/>
  <c r="K112" i="29"/>
  <c r="K114" i="29"/>
  <c r="K116" i="29"/>
  <c r="K118" i="29"/>
  <c r="K120" i="29"/>
  <c r="K122" i="29"/>
  <c r="K124" i="29"/>
  <c r="K126" i="29"/>
  <c r="K128" i="29"/>
  <c r="K130" i="29"/>
  <c r="K132" i="29"/>
  <c r="K134" i="29"/>
  <c r="K136" i="29"/>
  <c r="K138" i="29"/>
  <c r="K140" i="29"/>
  <c r="K142" i="29"/>
  <c r="K144" i="29"/>
  <c r="K146" i="29"/>
  <c r="K148" i="29"/>
  <c r="K150" i="29"/>
  <c r="K152" i="29"/>
  <c r="K154" i="29"/>
  <c r="K156" i="29"/>
  <c r="K158" i="29"/>
  <c r="K160" i="29"/>
  <c r="K162" i="29"/>
  <c r="K164" i="29"/>
  <c r="K166" i="29"/>
  <c r="K168" i="29"/>
  <c r="K170" i="29"/>
  <c r="K172" i="29"/>
  <c r="K174" i="29"/>
  <c r="K176" i="29"/>
  <c r="K178" i="29"/>
  <c r="K180" i="29"/>
  <c r="K182" i="29"/>
  <c r="K184" i="29"/>
  <c r="K186" i="29"/>
  <c r="K188" i="29"/>
  <c r="K190" i="29"/>
  <c r="K192" i="29"/>
  <c r="K194" i="29"/>
  <c r="K196" i="29"/>
  <c r="K198" i="29"/>
  <c r="K200" i="29"/>
  <c r="K202" i="29"/>
  <c r="K204" i="29"/>
  <c r="K206" i="29"/>
  <c r="K208" i="29"/>
  <c r="K210" i="29"/>
  <c r="K212" i="29"/>
  <c r="K214" i="29"/>
  <c r="K216" i="29"/>
  <c r="K218" i="29"/>
  <c r="K220" i="29"/>
  <c r="K222" i="29"/>
  <c r="K224" i="29"/>
  <c r="K226" i="29"/>
  <c r="K228" i="29"/>
  <c r="K230" i="29"/>
  <c r="K232" i="29"/>
  <c r="K234" i="29"/>
  <c r="K236" i="29"/>
  <c r="K238" i="29"/>
  <c r="K240" i="29"/>
  <c r="K242" i="29"/>
  <c r="K244" i="29"/>
  <c r="K246" i="29"/>
  <c r="K248" i="29"/>
  <c r="K250" i="29"/>
  <c r="K252" i="29"/>
  <c r="K254" i="29"/>
  <c r="K256" i="29"/>
  <c r="K258" i="29"/>
  <c r="K260" i="29"/>
  <c r="K262" i="29"/>
  <c r="K264" i="29"/>
  <c r="K266" i="29"/>
  <c r="K268" i="29"/>
  <c r="K270" i="29"/>
  <c r="K272" i="29"/>
  <c r="K274" i="29"/>
  <c r="K276" i="29"/>
  <c r="K278" i="29"/>
  <c r="K280" i="29"/>
  <c r="K282" i="29"/>
  <c r="K284" i="29"/>
  <c r="K286" i="29"/>
  <c r="K288" i="29"/>
  <c r="K290" i="29"/>
  <c r="K292" i="29"/>
  <c r="K294" i="29"/>
  <c r="K296" i="29"/>
  <c r="K298" i="29"/>
  <c r="K300" i="29"/>
  <c r="K302" i="29"/>
  <c r="K304" i="29"/>
  <c r="K306" i="29"/>
  <c r="K308" i="29"/>
  <c r="K310" i="29"/>
  <c r="K312" i="29"/>
  <c r="K314" i="29"/>
  <c r="K316" i="29"/>
  <c r="K318" i="29"/>
  <c r="K320" i="29"/>
  <c r="K322" i="29"/>
  <c r="K324" i="29"/>
  <c r="K326" i="29"/>
  <c r="K328" i="29"/>
  <c r="K330" i="29"/>
  <c r="K332" i="29"/>
  <c r="K334" i="29"/>
  <c r="K336" i="29"/>
  <c r="K338" i="29"/>
  <c r="K340" i="29"/>
  <c r="K342" i="29"/>
  <c r="K344" i="29"/>
  <c r="K346" i="29"/>
  <c r="K348" i="29"/>
  <c r="K350" i="29"/>
  <c r="K352" i="29"/>
  <c r="K354" i="29"/>
  <c r="K356" i="29"/>
  <c r="K358" i="29"/>
  <c r="K360" i="29"/>
  <c r="K362" i="29"/>
  <c r="K364" i="29"/>
  <c r="K366" i="29"/>
  <c r="K368" i="29"/>
  <c r="K370" i="29"/>
  <c r="K372" i="29"/>
  <c r="K374" i="29"/>
  <c r="K376" i="29"/>
  <c r="K378" i="29"/>
  <c r="K380" i="29"/>
  <c r="K382" i="29"/>
  <c r="K384" i="29"/>
  <c r="K386" i="29"/>
  <c r="K387" i="29"/>
  <c r="K388" i="29"/>
  <c r="K389" i="29"/>
  <c r="K390" i="29"/>
  <c r="K391" i="29"/>
  <c r="K392" i="29"/>
  <c r="K393" i="29"/>
  <c r="K394" i="29"/>
  <c r="K395" i="29"/>
  <c r="K396" i="29"/>
  <c r="K397" i="29"/>
  <c r="K398" i="29"/>
  <c r="K399" i="29"/>
  <c r="K400" i="29"/>
  <c r="K401" i="29"/>
  <c r="K402" i="29"/>
  <c r="K403" i="29"/>
  <c r="K404" i="29"/>
  <c r="K405" i="29"/>
  <c r="K406" i="29"/>
  <c r="K407" i="29"/>
  <c r="K408" i="29"/>
  <c r="K409" i="29"/>
  <c r="K410" i="29"/>
  <c r="K411" i="29"/>
  <c r="K412" i="29"/>
  <c r="K413" i="29"/>
  <c r="K414" i="29"/>
  <c r="K415" i="29"/>
  <c r="K416" i="29"/>
  <c r="K417" i="29"/>
  <c r="K418" i="29"/>
  <c r="K419" i="29"/>
  <c r="K420" i="29"/>
  <c r="K421" i="29"/>
  <c r="K422" i="29"/>
  <c r="K423" i="29"/>
  <c r="K424" i="29"/>
  <c r="K425" i="29"/>
  <c r="K426" i="29"/>
  <c r="K427" i="29"/>
  <c r="K428" i="29"/>
  <c r="K429" i="29"/>
  <c r="K430" i="29"/>
  <c r="K431" i="29"/>
  <c r="K432" i="29"/>
  <c r="K433" i="29"/>
  <c r="K434" i="29"/>
  <c r="K435" i="29"/>
  <c r="K436" i="29"/>
  <c r="K437" i="29"/>
  <c r="K438" i="29"/>
  <c r="K439" i="29"/>
  <c r="K440" i="29"/>
  <c r="K441" i="29"/>
  <c r="K442" i="29"/>
  <c r="K443" i="29"/>
  <c r="K444" i="29"/>
  <c r="K445" i="29"/>
  <c r="K446" i="29"/>
  <c r="K447" i="29"/>
  <c r="K448" i="29"/>
  <c r="K449" i="29"/>
  <c r="K450" i="29"/>
  <c r="K451" i="29"/>
  <c r="K452" i="29"/>
  <c r="K453" i="29"/>
  <c r="K454" i="29"/>
  <c r="K455" i="29"/>
  <c r="K456" i="29"/>
  <c r="K457" i="29"/>
  <c r="K458" i="29"/>
  <c r="K459" i="29"/>
  <c r="K460" i="29"/>
  <c r="K461" i="29"/>
  <c r="K462" i="29"/>
  <c r="K463" i="29"/>
  <c r="K464" i="29"/>
  <c r="K465" i="29"/>
  <c r="K466" i="29"/>
  <c r="K467" i="29"/>
  <c r="K468" i="29"/>
  <c r="K469" i="29"/>
  <c r="K470" i="29"/>
  <c r="K471" i="29"/>
  <c r="K472" i="29"/>
  <c r="K473" i="29"/>
  <c r="K474" i="29"/>
  <c r="K475" i="29"/>
  <c r="K476" i="29"/>
  <c r="K477" i="29"/>
  <c r="K478" i="29"/>
  <c r="K479" i="29"/>
  <c r="K480" i="29"/>
  <c r="K481" i="29"/>
  <c r="K482" i="29"/>
  <c r="K483" i="29"/>
  <c r="K484" i="29"/>
  <c r="K485" i="29"/>
  <c r="K486" i="29"/>
  <c r="K487" i="29"/>
  <c r="K488" i="29"/>
  <c r="K489" i="29"/>
  <c r="K490" i="29"/>
  <c r="K491" i="29"/>
  <c r="K492" i="29"/>
  <c r="K493" i="29"/>
  <c r="K494" i="29"/>
  <c r="K495" i="29"/>
  <c r="K496" i="29"/>
  <c r="K497" i="29"/>
  <c r="K498" i="29"/>
  <c r="K499" i="29"/>
  <c r="K500" i="29"/>
  <c r="K501" i="29"/>
  <c r="K502" i="29"/>
  <c r="K503" i="29"/>
  <c r="K504" i="29"/>
  <c r="K505" i="29"/>
  <c r="K506" i="29"/>
  <c r="K507" i="29"/>
  <c r="K508" i="29"/>
  <c r="K509" i="29"/>
  <c r="K510" i="29"/>
  <c r="K511" i="29"/>
  <c r="K512" i="29"/>
  <c r="K513" i="29"/>
  <c r="K514" i="29"/>
  <c r="K515" i="29"/>
  <c r="K516" i="29"/>
  <c r="K517" i="29"/>
  <c r="K518" i="29"/>
  <c r="K519" i="29"/>
  <c r="K520" i="29"/>
  <c r="K521" i="29"/>
  <c r="K522" i="29"/>
  <c r="K523" i="29"/>
  <c r="K524" i="29"/>
  <c r="K525" i="29"/>
  <c r="K526" i="29"/>
  <c r="K527" i="29"/>
  <c r="K528" i="29"/>
  <c r="K529" i="29"/>
  <c r="K530" i="29"/>
  <c r="K531" i="29"/>
  <c r="K532" i="29"/>
  <c r="K533" i="29"/>
  <c r="K534" i="29"/>
  <c r="K535" i="29"/>
  <c r="K536" i="29"/>
  <c r="K537" i="29"/>
  <c r="K538" i="29"/>
  <c r="K539" i="29"/>
  <c r="K540" i="29"/>
  <c r="K541" i="29"/>
  <c r="K542" i="29"/>
  <c r="K543" i="29"/>
  <c r="K544" i="29"/>
  <c r="K545" i="29"/>
  <c r="K546" i="29"/>
  <c r="K547" i="29"/>
  <c r="K548" i="29"/>
  <c r="K549" i="29"/>
  <c r="K550" i="29"/>
  <c r="K551" i="29"/>
  <c r="K552" i="29"/>
  <c r="K553" i="29"/>
  <c r="K554" i="29"/>
  <c r="K555" i="29"/>
  <c r="K556" i="29"/>
  <c r="K557" i="29"/>
  <c r="K558" i="29"/>
  <c r="K559" i="29"/>
  <c r="K560" i="29"/>
  <c r="K561" i="29"/>
  <c r="K562" i="29"/>
  <c r="K563" i="29"/>
  <c r="K564" i="29"/>
  <c r="K565" i="29"/>
  <c r="K566" i="29"/>
  <c r="K567" i="29"/>
  <c r="K568" i="29"/>
  <c r="K569" i="29"/>
  <c r="K570" i="29"/>
  <c r="K571" i="29"/>
  <c r="K572" i="29"/>
  <c r="K573" i="29"/>
  <c r="K574" i="29"/>
  <c r="K575" i="29"/>
  <c r="K576" i="29"/>
  <c r="K577" i="29"/>
  <c r="K578" i="29"/>
  <c r="K579" i="29"/>
  <c r="K580" i="29"/>
  <c r="K581" i="29"/>
  <c r="K582" i="29"/>
  <c r="K583" i="29"/>
  <c r="K584" i="29"/>
  <c r="K585" i="29"/>
  <c r="K586" i="29"/>
  <c r="K587" i="29"/>
  <c r="K588" i="29"/>
  <c r="K589" i="29"/>
  <c r="K590" i="29"/>
  <c r="K591" i="29"/>
  <c r="K592" i="29"/>
  <c r="K593" i="29"/>
  <c r="K594" i="29"/>
  <c r="K595" i="29"/>
  <c r="K596" i="29"/>
  <c r="K597" i="29"/>
  <c r="K598" i="29"/>
  <c r="K599" i="29"/>
  <c r="K600" i="29"/>
  <c r="K601" i="29"/>
  <c r="K602" i="29"/>
  <c r="K603" i="29"/>
  <c r="K604" i="29"/>
  <c r="K605" i="29"/>
  <c r="K606" i="29"/>
  <c r="K607" i="29"/>
  <c r="K608" i="29"/>
  <c r="K609" i="29"/>
  <c r="K610" i="29"/>
  <c r="K611" i="29"/>
  <c r="K612" i="29"/>
  <c r="K613" i="29"/>
  <c r="K614" i="29"/>
  <c r="K615" i="29"/>
  <c r="K616" i="29"/>
  <c r="K617" i="29"/>
  <c r="K618" i="29"/>
  <c r="K619" i="29"/>
  <c r="K620" i="29"/>
  <c r="K621" i="29"/>
  <c r="K622" i="29"/>
  <c r="K623" i="29"/>
  <c r="K624" i="29"/>
  <c r="K625" i="29"/>
  <c r="K626" i="29"/>
  <c r="K627" i="29"/>
  <c r="K628" i="29"/>
  <c r="K629" i="29"/>
  <c r="K630" i="29"/>
  <c r="K631" i="29"/>
  <c r="K632" i="29"/>
  <c r="K633" i="29"/>
  <c r="K634" i="29"/>
  <c r="K635" i="29"/>
  <c r="K636" i="29"/>
  <c r="K637" i="29"/>
  <c r="K638" i="29"/>
  <c r="K639" i="29"/>
  <c r="K640" i="29"/>
  <c r="K641" i="29"/>
  <c r="K642" i="29"/>
  <c r="K643" i="29"/>
  <c r="K644" i="29"/>
  <c r="K645" i="29"/>
  <c r="K646" i="29"/>
  <c r="K647" i="29"/>
  <c r="K648" i="29"/>
  <c r="K649" i="29"/>
  <c r="K650" i="29"/>
  <c r="K651" i="29"/>
  <c r="K652" i="29"/>
  <c r="K653" i="29"/>
  <c r="K654" i="29"/>
  <c r="K655" i="29"/>
  <c r="K656" i="29"/>
  <c r="K657" i="29"/>
  <c r="K658" i="29"/>
  <c r="K659" i="29"/>
  <c r="K660" i="29"/>
  <c r="K661" i="29"/>
  <c r="K662" i="29"/>
  <c r="K663" i="29"/>
  <c r="K664" i="29"/>
  <c r="K665" i="29"/>
  <c r="K666" i="29"/>
  <c r="K667" i="29"/>
  <c r="K668" i="29"/>
  <c r="K669" i="29"/>
  <c r="K670" i="29"/>
  <c r="K671" i="29"/>
  <c r="K672" i="29"/>
  <c r="K673" i="29"/>
  <c r="K674" i="29"/>
  <c r="K675" i="29"/>
  <c r="K676" i="29"/>
  <c r="K677" i="29"/>
  <c r="K678" i="29"/>
  <c r="K679" i="29"/>
  <c r="K680" i="29"/>
  <c r="K681" i="29"/>
  <c r="K682" i="29"/>
  <c r="K683" i="29"/>
  <c r="K684" i="29"/>
  <c r="K685" i="29"/>
  <c r="K686" i="29"/>
  <c r="K687" i="29"/>
  <c r="K688" i="29"/>
  <c r="K689" i="29"/>
  <c r="K690" i="29"/>
  <c r="K691" i="29"/>
  <c r="K692" i="29"/>
  <c r="K693" i="29"/>
  <c r="K694" i="29"/>
  <c r="K695" i="29"/>
  <c r="K696" i="29"/>
  <c r="K697" i="29"/>
  <c r="K698" i="29"/>
  <c r="K699" i="29"/>
  <c r="K700" i="29"/>
  <c r="K701" i="29"/>
  <c r="K702" i="29"/>
  <c r="K703" i="29"/>
  <c r="K704" i="29"/>
  <c r="K705" i="29"/>
  <c r="K706" i="29"/>
  <c r="K707" i="29"/>
  <c r="K708" i="29"/>
  <c r="K709" i="29"/>
  <c r="K710" i="29"/>
  <c r="K711" i="29"/>
  <c r="K712" i="29"/>
  <c r="K713" i="29"/>
  <c r="K714" i="29"/>
  <c r="K715" i="29"/>
  <c r="K716" i="29"/>
  <c r="K717" i="29"/>
  <c r="K718" i="29"/>
  <c r="K719" i="29"/>
  <c r="K720" i="29"/>
  <c r="K721" i="29"/>
  <c r="K722" i="29"/>
  <c r="K723" i="29"/>
  <c r="K724" i="29"/>
  <c r="K725" i="29"/>
  <c r="K726" i="29"/>
  <c r="K727" i="29"/>
  <c r="K728" i="29"/>
  <c r="K729" i="29"/>
  <c r="K730" i="29"/>
  <c r="K731" i="29"/>
  <c r="K732" i="29"/>
  <c r="K733" i="29"/>
  <c r="K734" i="29"/>
  <c r="K735" i="29"/>
  <c r="K736" i="29"/>
  <c r="K737" i="29"/>
  <c r="K738" i="29"/>
  <c r="K739" i="29"/>
  <c r="K740" i="29"/>
  <c r="K741" i="29"/>
  <c r="K742" i="29"/>
  <c r="K743" i="29"/>
  <c r="K744" i="29"/>
  <c r="K745" i="29"/>
  <c r="K746" i="29"/>
  <c r="K747" i="29"/>
  <c r="K748" i="29"/>
  <c r="K749" i="29"/>
  <c r="K750" i="29"/>
  <c r="K751" i="29"/>
  <c r="K752" i="29"/>
  <c r="K753" i="29"/>
  <c r="K754" i="29"/>
  <c r="K755" i="29"/>
  <c r="K756" i="29"/>
  <c r="K757" i="29"/>
  <c r="K758" i="29"/>
  <c r="K759" i="29"/>
  <c r="K760" i="29"/>
  <c r="K761" i="29"/>
  <c r="K762" i="29"/>
  <c r="K763" i="29"/>
  <c r="K764" i="29"/>
  <c r="K765" i="29"/>
  <c r="K766" i="29"/>
  <c r="K767" i="29"/>
  <c r="K768" i="29"/>
  <c r="K769" i="29"/>
  <c r="K770" i="29"/>
  <c r="K771" i="29"/>
  <c r="K772" i="29"/>
  <c r="K773" i="29"/>
  <c r="K774" i="29"/>
  <c r="K775" i="29"/>
  <c r="K776" i="29"/>
  <c r="K777" i="29"/>
  <c r="K778" i="29"/>
  <c r="K779" i="29"/>
  <c r="K780" i="29"/>
  <c r="K781" i="29"/>
  <c r="K782" i="29"/>
  <c r="K783" i="29"/>
  <c r="K784" i="29"/>
  <c r="K785" i="29"/>
  <c r="K786" i="29"/>
  <c r="K787" i="29"/>
  <c r="K788" i="29"/>
  <c r="K789" i="29"/>
  <c r="K790" i="29"/>
  <c r="K791" i="29"/>
  <c r="K792" i="29"/>
  <c r="K793" i="29"/>
  <c r="K794" i="29"/>
  <c r="K795" i="29"/>
  <c r="K796" i="29"/>
  <c r="K797" i="29"/>
  <c r="K798" i="29"/>
  <c r="K799" i="29"/>
  <c r="K800" i="29"/>
  <c r="K801" i="29"/>
  <c r="K802" i="29"/>
  <c r="K803" i="29"/>
  <c r="K804" i="29"/>
  <c r="K805" i="29"/>
  <c r="K806" i="29"/>
  <c r="K807" i="29"/>
  <c r="K808" i="29"/>
  <c r="K809" i="29"/>
  <c r="K810" i="29"/>
  <c r="K811" i="29"/>
  <c r="K812" i="29"/>
  <c r="K813" i="29"/>
  <c r="K814" i="29"/>
  <c r="K815" i="29"/>
  <c r="K816" i="29"/>
  <c r="K817" i="29"/>
  <c r="K818" i="29"/>
  <c r="K819" i="29"/>
  <c r="K820" i="29"/>
  <c r="K821" i="29"/>
  <c r="K822" i="29"/>
  <c r="K823" i="29"/>
  <c r="K824" i="29"/>
  <c r="K825" i="29"/>
  <c r="K826" i="29"/>
  <c r="K827" i="29"/>
  <c r="K828" i="29"/>
  <c r="K829" i="29"/>
  <c r="K830" i="29"/>
  <c r="K831" i="29"/>
  <c r="K832" i="29"/>
  <c r="K833" i="29"/>
  <c r="K834" i="29"/>
  <c r="K835" i="29"/>
  <c r="K836" i="29"/>
  <c r="K837" i="29"/>
  <c r="K838" i="29"/>
  <c r="K839" i="29"/>
  <c r="K840" i="29"/>
  <c r="K841" i="29"/>
  <c r="K842" i="29"/>
  <c r="K843" i="29"/>
  <c r="K844" i="29"/>
  <c r="K845" i="29"/>
  <c r="K846" i="29"/>
  <c r="K847" i="29"/>
  <c r="K848" i="29"/>
  <c r="K849" i="29"/>
  <c r="K850" i="29"/>
  <c r="K851" i="29"/>
  <c r="K852" i="29"/>
  <c r="K853" i="29"/>
  <c r="K854" i="29"/>
  <c r="K855" i="29"/>
  <c r="K856" i="29"/>
  <c r="K857" i="29"/>
  <c r="K858" i="29"/>
  <c r="K859" i="29"/>
  <c r="K860" i="29"/>
  <c r="K861" i="29"/>
  <c r="K862" i="29"/>
  <c r="K863" i="29"/>
  <c r="K864" i="29"/>
  <c r="K865" i="29"/>
  <c r="K866" i="29"/>
  <c r="K867" i="29"/>
  <c r="K868" i="29"/>
  <c r="K869" i="29"/>
  <c r="K870" i="29"/>
  <c r="K871" i="29"/>
  <c r="K872" i="29"/>
  <c r="K873" i="29"/>
  <c r="K874" i="29"/>
  <c r="K875" i="29"/>
  <c r="K876" i="29"/>
  <c r="K877" i="29"/>
  <c r="K878" i="29"/>
  <c r="K879" i="29"/>
  <c r="K880" i="29"/>
  <c r="K881" i="29"/>
  <c r="K882" i="29"/>
  <c r="K883" i="29"/>
  <c r="K884" i="29"/>
  <c r="K885" i="29"/>
  <c r="K886" i="29"/>
  <c r="K887" i="29"/>
  <c r="K888" i="29"/>
  <c r="K889" i="29"/>
  <c r="K890" i="29"/>
  <c r="K891" i="29"/>
  <c r="K892" i="29"/>
  <c r="K893" i="29"/>
  <c r="K894" i="29"/>
  <c r="K895" i="29"/>
  <c r="K896" i="29"/>
  <c r="K897" i="29"/>
  <c r="K898" i="29"/>
  <c r="K899" i="29"/>
  <c r="K900" i="29"/>
  <c r="K901" i="29"/>
  <c r="K902" i="29"/>
  <c r="K903" i="29"/>
  <c r="K904" i="29"/>
  <c r="K905" i="29"/>
  <c r="K906" i="29"/>
  <c r="K907" i="29"/>
  <c r="K908" i="29"/>
  <c r="K909" i="29"/>
  <c r="K910" i="29"/>
  <c r="K911" i="29"/>
  <c r="K912" i="29"/>
  <c r="K913" i="29"/>
  <c r="K914" i="29"/>
  <c r="K915" i="29"/>
  <c r="K916" i="29"/>
  <c r="K917" i="29"/>
  <c r="K918" i="29"/>
  <c r="K919" i="29"/>
  <c r="K920" i="29"/>
  <c r="K921" i="29"/>
  <c r="K922" i="29"/>
  <c r="K923" i="29"/>
  <c r="K924" i="29"/>
  <c r="K925" i="29"/>
  <c r="K926" i="29"/>
  <c r="K927" i="29"/>
  <c r="K928" i="29"/>
  <c r="K929" i="29"/>
  <c r="K930" i="29"/>
  <c r="K931" i="29"/>
  <c r="K932" i="29"/>
  <c r="K933" i="29"/>
  <c r="K934" i="29"/>
  <c r="K935" i="29"/>
  <c r="K936" i="29"/>
  <c r="K937" i="29"/>
  <c r="K938" i="29"/>
  <c r="K939" i="29"/>
  <c r="K940" i="29"/>
  <c r="K941" i="29"/>
  <c r="K942" i="29"/>
  <c r="K943" i="29"/>
  <c r="K944" i="29"/>
  <c r="K945" i="29"/>
  <c r="K946" i="29"/>
  <c r="K947" i="29"/>
  <c r="K948" i="29"/>
  <c r="K949" i="29"/>
  <c r="K950" i="29"/>
  <c r="K951" i="29"/>
  <c r="K952" i="29"/>
  <c r="K953" i="29"/>
  <c r="K954" i="29"/>
  <c r="K955" i="29"/>
  <c r="K956" i="29"/>
  <c r="K957" i="29"/>
  <c r="K958" i="29"/>
  <c r="K959" i="29"/>
  <c r="K960" i="29"/>
  <c r="K961" i="29"/>
  <c r="K962" i="29"/>
  <c r="K963" i="29"/>
  <c r="K964" i="29"/>
  <c r="K965" i="29"/>
  <c r="K966" i="29"/>
  <c r="K967" i="29"/>
  <c r="K968" i="29"/>
  <c r="K969" i="29"/>
  <c r="K970" i="29"/>
  <c r="K971" i="29"/>
  <c r="K972" i="29"/>
  <c r="K973" i="29"/>
  <c r="K974" i="29"/>
  <c r="K975" i="29"/>
  <c r="K976" i="29"/>
  <c r="K977" i="29"/>
  <c r="K978" i="29"/>
  <c r="K979" i="29"/>
  <c r="K980" i="29"/>
  <c r="K981" i="29"/>
  <c r="K982" i="29"/>
  <c r="K983" i="29"/>
  <c r="K984" i="29"/>
  <c r="K985" i="29"/>
  <c r="K986" i="29"/>
  <c r="K987" i="29"/>
  <c r="K988" i="29"/>
  <c r="K989" i="29"/>
  <c r="K990" i="29"/>
  <c r="K991" i="29"/>
  <c r="K992" i="29"/>
  <c r="K993" i="29"/>
  <c r="K994" i="29"/>
  <c r="K995" i="29"/>
  <c r="K996" i="29"/>
  <c r="K997" i="29"/>
  <c r="K998" i="29"/>
  <c r="K999" i="29"/>
  <c r="K1000" i="29"/>
  <c r="K1001" i="29"/>
  <c r="K1002" i="29"/>
  <c r="K1003" i="29"/>
  <c r="K1004" i="29"/>
  <c r="K1005" i="29"/>
  <c r="K1006" i="29"/>
  <c r="K1007" i="29"/>
  <c r="K1008" i="29"/>
  <c r="K1009" i="29"/>
  <c r="K1010" i="29"/>
  <c r="K1011" i="29"/>
  <c r="K1012" i="29"/>
  <c r="K1013" i="29"/>
  <c r="K1014" i="29"/>
  <c r="K1015" i="29"/>
  <c r="K1016" i="29"/>
  <c r="K1017" i="29"/>
  <c r="K1018" i="29"/>
  <c r="K1019" i="29"/>
  <c r="K1020" i="29"/>
  <c r="K1021" i="29"/>
  <c r="K1022" i="29"/>
  <c r="K1023" i="29"/>
  <c r="K1024" i="29"/>
  <c r="K1025" i="29"/>
  <c r="K1026" i="29"/>
  <c r="K1027" i="29"/>
  <c r="K1028" i="29"/>
  <c r="K1029" i="29"/>
  <c r="K1030" i="29"/>
  <c r="K1031" i="29"/>
  <c r="K1032" i="29"/>
  <c r="K1033" i="29"/>
  <c r="K1034" i="29"/>
  <c r="K1035" i="29"/>
  <c r="K1036" i="29"/>
  <c r="K1037" i="29"/>
  <c r="K1038" i="29"/>
  <c r="K1039" i="29"/>
  <c r="K1040" i="29"/>
  <c r="K1041" i="29"/>
  <c r="K1042" i="29"/>
  <c r="K1043" i="29"/>
  <c r="K1044" i="29"/>
  <c r="K1045" i="29"/>
  <c r="K1046" i="29"/>
  <c r="K1047" i="29"/>
  <c r="K1048" i="29"/>
  <c r="K1049" i="29"/>
  <c r="K1050" i="29"/>
  <c r="K1051" i="29"/>
  <c r="K1052" i="29"/>
  <c r="K1053" i="29"/>
  <c r="K1054" i="29"/>
  <c r="K1055" i="29"/>
  <c r="K1056" i="29"/>
  <c r="K1057" i="29"/>
  <c r="K1058" i="29"/>
  <c r="K1059" i="29"/>
  <c r="K1060" i="29"/>
  <c r="K1061" i="29"/>
  <c r="K1062" i="29"/>
  <c r="AZ28" i="19"/>
  <c r="AZ27" i="19"/>
  <c r="AY28" i="19"/>
  <c r="AY27" i="19"/>
  <c r="AY25" i="19"/>
  <c r="AY24" i="19"/>
  <c r="N21" i="13"/>
  <c r="N22" i="13"/>
  <c r="N23" i="13" s="1"/>
  <c r="N24" i="13" s="1"/>
  <c r="N25" i="13" s="1"/>
  <c r="BU42" i="28"/>
  <c r="AU6" i="26"/>
  <c r="AU5" i="26"/>
  <c r="BS44" i="28"/>
  <c r="BO38" i="28"/>
  <c r="BP2" i="28"/>
  <c r="A3" i="28"/>
  <c r="AF89" i="28" s="1"/>
  <c r="BT46" i="28"/>
  <c r="I3" i="28"/>
  <c r="BR3" i="28"/>
  <c r="BP5" i="28"/>
  <c r="K11" i="28"/>
  <c r="K12" i="28"/>
  <c r="BW6" i="28"/>
  <c r="BT7" i="28"/>
  <c r="BW7" i="28"/>
  <c r="BW8" i="28" s="1"/>
  <c r="K8" i="28"/>
  <c r="BR10" i="28"/>
  <c r="AD8" i="28"/>
  <c r="K9" i="28"/>
  <c r="BW9" i="28"/>
  <c r="BT10" i="28"/>
  <c r="CE12" i="28"/>
  <c r="BQ15" i="28"/>
  <c r="BT15" i="28"/>
  <c r="CB15" i="28"/>
  <c r="BU15" i="28"/>
  <c r="CA15" i="28"/>
  <c r="CC15" i="28"/>
  <c r="CC20" i="28" s="1"/>
  <c r="CD15" i="28"/>
  <c r="CJ15" i="28"/>
  <c r="CL15" i="28"/>
  <c r="CN15" i="28"/>
  <c r="CP15" i="28"/>
  <c r="CR15" i="28"/>
  <c r="CT15" i="28"/>
  <c r="BQ16" i="28"/>
  <c r="BT16" i="28"/>
  <c r="CB16" i="28"/>
  <c r="CL16" i="28"/>
  <c r="CL17" i="28" s="1"/>
  <c r="CL18" i="28" s="1"/>
  <c r="CL19" i="28" s="1"/>
  <c r="CL20" i="28" s="1"/>
  <c r="CL21" i="28" s="1"/>
  <c r="CL22" i="28" s="1"/>
  <c r="CL23" i="28" s="1"/>
  <c r="CL24" i="28" s="1"/>
  <c r="CL25" i="28" s="1"/>
  <c r="CL26" i="28" s="1"/>
  <c r="CL27" i="28" s="1"/>
  <c r="CL28" i="28" s="1"/>
  <c r="CL29" i="28" s="1"/>
  <c r="CL30" i="28" s="1"/>
  <c r="CL31" i="28" s="1"/>
  <c r="CL32" i="28" s="1"/>
  <c r="CL33" i="28" s="1"/>
  <c r="CL34" i="28" s="1"/>
  <c r="CL35" i="28" s="1"/>
  <c r="CL36" i="28" s="1"/>
  <c r="CL37" i="28" s="1"/>
  <c r="CL38" i="28" s="1"/>
  <c r="CL39" i="28" s="1"/>
  <c r="CN16" i="28"/>
  <c r="CN17" i="28" s="1"/>
  <c r="CN18" i="28" s="1"/>
  <c r="CN19" i="28" s="1"/>
  <c r="CN20" i="28" s="1"/>
  <c r="CN21" i="28" s="1"/>
  <c r="CN22" i="28" s="1"/>
  <c r="CN23" i="28" s="1"/>
  <c r="CN24" i="28" s="1"/>
  <c r="CN25" i="28" s="1"/>
  <c r="CN26" i="28" s="1"/>
  <c r="CN27" i="28" s="1"/>
  <c r="CN28" i="28" s="1"/>
  <c r="CN29" i="28" s="1"/>
  <c r="CN30" i="28" s="1"/>
  <c r="CN31" i="28" s="1"/>
  <c r="CN32" i="28" s="1"/>
  <c r="CN33" i="28" s="1"/>
  <c r="CN34" i="28" s="1"/>
  <c r="CN35" i="28" s="1"/>
  <c r="CN36" i="28" s="1"/>
  <c r="CN37" i="28" s="1"/>
  <c r="CN38" i="28" s="1"/>
  <c r="CN39" i="28" s="1"/>
  <c r="CP16" i="28"/>
  <c r="CP17" i="28" s="1"/>
  <c r="CP18" i="28" s="1"/>
  <c r="CP19" i="28" s="1"/>
  <c r="CP20" i="28" s="1"/>
  <c r="CP21" i="28" s="1"/>
  <c r="CP22" i="28" s="1"/>
  <c r="CP23" i="28" s="1"/>
  <c r="CP24" i="28" s="1"/>
  <c r="CP25" i="28" s="1"/>
  <c r="CP26" i="28" s="1"/>
  <c r="CP27" i="28" s="1"/>
  <c r="CP28" i="28" s="1"/>
  <c r="CP29" i="28" s="1"/>
  <c r="CP30" i="28" s="1"/>
  <c r="CP31" i="28" s="1"/>
  <c r="CP32" i="28" s="1"/>
  <c r="CP33" i="28" s="1"/>
  <c r="CP34" i="28" s="1"/>
  <c r="CP35" i="28" s="1"/>
  <c r="CP36" i="28" s="1"/>
  <c r="CP37" i="28" s="1"/>
  <c r="CP38" i="28" s="1"/>
  <c r="CP39" i="28" s="1"/>
  <c r="CR16" i="28"/>
  <c r="CR17" i="28" s="1"/>
  <c r="CR18" i="28" s="1"/>
  <c r="CR19" i="28" s="1"/>
  <c r="CR20" i="28" s="1"/>
  <c r="CR21" i="28" s="1"/>
  <c r="CR22" i="28" s="1"/>
  <c r="CR23" i="28" s="1"/>
  <c r="CR24" i="28" s="1"/>
  <c r="CR25" i="28" s="1"/>
  <c r="CR26" i="28" s="1"/>
  <c r="CR27" i="28" s="1"/>
  <c r="CR28" i="28" s="1"/>
  <c r="CR29" i="28" s="1"/>
  <c r="CR30" i="28" s="1"/>
  <c r="CR31" i="28" s="1"/>
  <c r="CR32" i="28" s="1"/>
  <c r="CR33" i="28" s="1"/>
  <c r="CR34" i="28" s="1"/>
  <c r="CR35" i="28" s="1"/>
  <c r="CR36" i="28" s="1"/>
  <c r="CR37" i="28" s="1"/>
  <c r="CR38" i="28" s="1"/>
  <c r="CR39" i="28" s="1"/>
  <c r="CT16" i="28"/>
  <c r="CT17" i="28" s="1"/>
  <c r="CT18" i="28" s="1"/>
  <c r="CT19" i="28" s="1"/>
  <c r="CT20" i="28" s="1"/>
  <c r="CT21" i="28" s="1"/>
  <c r="CT22" i="28" s="1"/>
  <c r="CT23" i="28" s="1"/>
  <c r="CT24" i="28" s="1"/>
  <c r="CT25" i="28" s="1"/>
  <c r="CT26" i="28" s="1"/>
  <c r="CT27" i="28" s="1"/>
  <c r="CT28" i="28" s="1"/>
  <c r="CT29" i="28" s="1"/>
  <c r="CT30" i="28" s="1"/>
  <c r="CT31" i="28" s="1"/>
  <c r="CT32" i="28" s="1"/>
  <c r="CT33" i="28" s="1"/>
  <c r="CT34" i="28" s="1"/>
  <c r="CT35" i="28" s="1"/>
  <c r="CT36" i="28" s="1"/>
  <c r="CT37" i="28" s="1"/>
  <c r="CT38" i="28" s="1"/>
  <c r="CT39" i="28" s="1"/>
  <c r="L17" i="28"/>
  <c r="BQ17" i="28"/>
  <c r="CA17" i="28"/>
  <c r="L18" i="28"/>
  <c r="BQ18" i="28"/>
  <c r="BT18" i="28"/>
  <c r="CA18" i="28"/>
  <c r="CC18" i="28"/>
  <c r="BQ19" i="28"/>
  <c r="BT19" i="28"/>
  <c r="CA19" i="28"/>
  <c r="L20" i="28"/>
  <c r="BQ20" i="28"/>
  <c r="BT20" i="28"/>
  <c r="BQ21" i="28"/>
  <c r="BT21" i="28"/>
  <c r="BQ22" i="28"/>
  <c r="BT22" i="28"/>
  <c r="BQ23" i="28"/>
  <c r="BT23" i="28"/>
  <c r="BQ24" i="28"/>
  <c r="BT24" i="28"/>
  <c r="BQ25" i="28"/>
  <c r="BT25" i="28"/>
  <c r="BQ26" i="28"/>
  <c r="BT26" i="28"/>
  <c r="BQ27" i="28"/>
  <c r="BT27" i="28"/>
  <c r="BQ28" i="28"/>
  <c r="BT28" i="28"/>
  <c r="BQ29" i="28"/>
  <c r="BT29" i="28"/>
  <c r="BQ30" i="28"/>
  <c r="BT30" i="28"/>
  <c r="BQ31" i="28"/>
  <c r="BT31" i="28"/>
  <c r="BQ32" i="28"/>
  <c r="BT32" i="28"/>
  <c r="BQ33" i="28"/>
  <c r="BT33" i="28"/>
  <c r="BQ34" i="28"/>
  <c r="BT34" i="28"/>
  <c r="BT35" i="28"/>
  <c r="BQ36" i="28"/>
  <c r="CC36" i="28"/>
  <c r="CC37" i="28"/>
  <c r="CC38" i="28"/>
  <c r="CC39" i="28"/>
  <c r="BO41" i="28"/>
  <c r="BR41" i="28"/>
  <c r="BS41" i="28"/>
  <c r="BS42" i="28" s="1"/>
  <c r="BY43" i="28"/>
  <c r="BQ45" i="28"/>
  <c r="BP46" i="28"/>
  <c r="BR46" i="28" s="1"/>
  <c r="AG83" i="28"/>
  <c r="AK346" i="28" s="1"/>
  <c r="AH83" i="28"/>
  <c r="AM647" i="28" s="1"/>
  <c r="AI83" i="28"/>
  <c r="AO529" i="28" s="1"/>
  <c r="AJ83" i="28"/>
  <c r="AQ167" i="28" s="1"/>
  <c r="AK83" i="28"/>
  <c r="AS305" i="28" s="1"/>
  <c r="AO81" i="28"/>
  <c r="AO82" i="28" s="1"/>
  <c r="AO83" i="28" s="1"/>
  <c r="AO84" i="28" s="1"/>
  <c r="AO85" i="28" s="1"/>
  <c r="AP81" i="28"/>
  <c r="AP82" i="28" s="1"/>
  <c r="AP83" i="28" s="1"/>
  <c r="AP84" i="28" s="1"/>
  <c r="AP85" i="28" s="1"/>
  <c r="AQ81" i="28"/>
  <c r="AQ82" i="28" s="1"/>
  <c r="AQ83" i="28" s="1"/>
  <c r="AQ84" i="28" s="1"/>
  <c r="AQ85" i="28" s="1"/>
  <c r="AX81" i="28"/>
  <c r="AB87" i="28"/>
  <c r="AB93" i="28"/>
  <c r="AB90" i="28"/>
  <c r="AB94" i="28"/>
  <c r="AX82" i="28"/>
  <c r="AO87" i="28"/>
  <c r="AN83" i="28" s="1"/>
  <c r="AX83" i="28"/>
  <c r="O84" i="28"/>
  <c r="O111" i="28" s="1"/>
  <c r="AX84" i="28"/>
  <c r="O85" i="28"/>
  <c r="O86" i="28"/>
  <c r="O87" i="28" s="1"/>
  <c r="AX86" i="28"/>
  <c r="AX87" i="28"/>
  <c r="O88" i="28"/>
  <c r="O89" i="28" s="1"/>
  <c r="AK88" i="28"/>
  <c r="AM88" i="28"/>
  <c r="AO88" i="28"/>
  <c r="AQ88" i="28"/>
  <c r="AP89" i="28" s="1"/>
  <c r="AA99" i="28" s="1"/>
  <c r="AS88" i="28"/>
  <c r="AR89" i="28" s="1"/>
  <c r="AA100" i="28" s="1"/>
  <c r="AX88" i="28"/>
  <c r="AJ92" i="28"/>
  <c r="AP97" i="28"/>
  <c r="AQ95" i="28"/>
  <c r="AR103" i="28"/>
  <c r="AR92" i="28"/>
  <c r="AR93" i="28"/>
  <c r="AX89" i="28"/>
  <c r="O90" i="28"/>
  <c r="O91" i="28"/>
  <c r="AX90" i="28"/>
  <c r="AL92" i="28"/>
  <c r="AN92" i="28"/>
  <c r="AP92" i="28"/>
  <c r="AX92" i="28"/>
  <c r="BA92" i="28"/>
  <c r="AJ93" i="28"/>
  <c r="AL93" i="28"/>
  <c r="AN93" i="28"/>
  <c r="AP93" i="28"/>
  <c r="BA93" i="28"/>
  <c r="AJ94" i="28"/>
  <c r="AL94" i="28"/>
  <c r="AN94" i="28"/>
  <c r="AP94" i="28"/>
  <c r="AR94" i="28"/>
  <c r="BA94" i="28"/>
  <c r="AJ95" i="28"/>
  <c r="AL95" i="28"/>
  <c r="AN95" i="28"/>
  <c r="AP95" i="28"/>
  <c r="AR95" i="28"/>
  <c r="BA95" i="28"/>
  <c r="AJ96" i="28"/>
  <c r="AL96" i="28"/>
  <c r="AN96" i="28"/>
  <c r="AP96" i="28"/>
  <c r="AR96" i="28"/>
  <c r="BA96" i="28"/>
  <c r="AJ97" i="28"/>
  <c r="AL97" i="28"/>
  <c r="AN97" i="28"/>
  <c r="AR97" i="28"/>
  <c r="BA97" i="28"/>
  <c r="O98" i="28"/>
  <c r="O99" i="28" s="1"/>
  <c r="AJ98" i="28"/>
  <c r="AL98" i="28"/>
  <c r="AN98" i="28"/>
  <c r="AP98" i="28"/>
  <c r="AR98" i="28"/>
  <c r="BA98" i="28"/>
  <c r="AJ99" i="28"/>
  <c r="AL99" i="28"/>
  <c r="AN99" i="28"/>
  <c r="AP99" i="28"/>
  <c r="AR99" i="28"/>
  <c r="BA99" i="28"/>
  <c r="O100" i="28"/>
  <c r="O101" i="28"/>
  <c r="AJ100" i="28"/>
  <c r="AL100" i="28"/>
  <c r="AN100" i="28"/>
  <c r="AP100" i="28"/>
  <c r="AR100" i="28"/>
  <c r="BA100" i="28"/>
  <c r="AJ101" i="28"/>
  <c r="AL101" i="28"/>
  <c r="AN101" i="28"/>
  <c r="AP101" i="28"/>
  <c r="AR101" i="28"/>
  <c r="BA101" i="28"/>
  <c r="AJ102" i="28"/>
  <c r="AL102" i="28"/>
  <c r="AN102" i="28"/>
  <c r="AP102" i="28"/>
  <c r="AR102" i="28"/>
  <c r="BA102" i="28"/>
  <c r="O103" i="28"/>
  <c r="O104" i="28" s="1"/>
  <c r="AJ103" i="28"/>
  <c r="AL103" i="28"/>
  <c r="AN103" i="28"/>
  <c r="AP103" i="28"/>
  <c r="BA103" i="28"/>
  <c r="AJ104" i="28"/>
  <c r="AL104" i="28"/>
  <c r="AN104" i="28"/>
  <c r="AP104" i="28"/>
  <c r="AR104" i="28"/>
  <c r="BA104" i="28"/>
  <c r="O105" i="28"/>
  <c r="O106" i="28" s="1"/>
  <c r="AJ105" i="28"/>
  <c r="AL105" i="28"/>
  <c r="AN105" i="28"/>
  <c r="AP105" i="28"/>
  <c r="AR105" i="28"/>
  <c r="BA105" i="28"/>
  <c r="AJ106" i="28"/>
  <c r="AL106" i="28"/>
  <c r="AN106" i="28"/>
  <c r="AP106" i="28"/>
  <c r="AR106" i="28"/>
  <c r="BA106" i="28"/>
  <c r="AJ107" i="28"/>
  <c r="AL107" i="28"/>
  <c r="AN107" i="28"/>
  <c r="AP107" i="28"/>
  <c r="AR107" i="28"/>
  <c r="BA107" i="28"/>
  <c r="P108" i="28"/>
  <c r="AJ108" i="28"/>
  <c r="AL108" i="28"/>
  <c r="AN108" i="28"/>
  <c r="AP108" i="28"/>
  <c r="AR108" i="28"/>
  <c r="BA108" i="28"/>
  <c r="AJ109" i="28"/>
  <c r="AL109" i="28"/>
  <c r="AN109" i="28"/>
  <c r="AP109" i="28"/>
  <c r="AR109" i="28"/>
  <c r="BA109" i="28"/>
  <c r="AJ110" i="28"/>
  <c r="AL110" i="28"/>
  <c r="AN110" i="28"/>
  <c r="AP110" i="28"/>
  <c r="AR110" i="28"/>
  <c r="BA110" i="28"/>
  <c r="AG112" i="28"/>
  <c r="AJ111" i="28"/>
  <c r="AL111" i="28"/>
  <c r="AN111" i="28"/>
  <c r="AP111" i="28"/>
  <c r="AR111" i="28"/>
  <c r="BA111" i="28"/>
  <c r="AJ112" i="28"/>
  <c r="AL112" i="28"/>
  <c r="AN112" i="28"/>
  <c r="AP112" i="28"/>
  <c r="AR112" i="28"/>
  <c r="BA112" i="28"/>
  <c r="AJ113" i="28"/>
  <c r="AL113" i="28"/>
  <c r="AN113" i="28"/>
  <c r="AP113" i="28"/>
  <c r="AR113" i="28"/>
  <c r="BA113" i="28"/>
  <c r="AJ114" i="28"/>
  <c r="AL114" i="28"/>
  <c r="AN114" i="28"/>
  <c r="AP114" i="28"/>
  <c r="AR114" i="28"/>
  <c r="BA114" i="28"/>
  <c r="AJ115" i="28"/>
  <c r="AL115" i="28"/>
  <c r="AN115" i="28"/>
  <c r="AP115" i="28"/>
  <c r="AR115" i="28"/>
  <c r="BA115" i="28"/>
  <c r="AJ116" i="28"/>
  <c r="AL116" i="28"/>
  <c r="AN116" i="28"/>
  <c r="AP116" i="28"/>
  <c r="AR116" i="28"/>
  <c r="BA116" i="28"/>
  <c r="AG118" i="28"/>
  <c r="AJ117" i="28"/>
  <c r="AL117" i="28"/>
  <c r="AN117" i="28"/>
  <c r="AP117" i="28"/>
  <c r="AR117" i="28"/>
  <c r="BA117" i="28"/>
  <c r="AG119" i="28"/>
  <c r="AJ118" i="28"/>
  <c r="AL118" i="28"/>
  <c r="AN118" i="28"/>
  <c r="AP118" i="28"/>
  <c r="AR118" i="28"/>
  <c r="BA118" i="28"/>
  <c r="AJ119" i="28"/>
  <c r="AL119" i="28"/>
  <c r="AN119" i="28"/>
  <c r="AP119" i="28"/>
  <c r="AR119" i="28"/>
  <c r="BA119" i="28"/>
  <c r="AJ120" i="28"/>
  <c r="AL120" i="28"/>
  <c r="AN120" i="28"/>
  <c r="AP120" i="28"/>
  <c r="AR120" i="28"/>
  <c r="BA120" i="28"/>
  <c r="AJ121" i="28"/>
  <c r="AL121" i="28"/>
  <c r="AN121" i="28"/>
  <c r="AP121" i="28"/>
  <c r="AR121" i="28"/>
  <c r="BA121" i="28"/>
  <c r="AJ122" i="28"/>
  <c r="AL122" i="28"/>
  <c r="AN122" i="28"/>
  <c r="AP122" i="28"/>
  <c r="AR122" i="28"/>
  <c r="BA122" i="28"/>
  <c r="AJ123" i="28"/>
  <c r="AL123" i="28"/>
  <c r="AN123" i="28"/>
  <c r="AP123" i="28"/>
  <c r="AR123" i="28"/>
  <c r="BA123" i="28"/>
  <c r="AJ124" i="28"/>
  <c r="AL124" i="28"/>
  <c r="AN124" i="28"/>
  <c r="AP124" i="28"/>
  <c r="AR124" i="28"/>
  <c r="BA124" i="28"/>
  <c r="AG126" i="28"/>
  <c r="AJ125" i="28"/>
  <c r="AL125" i="28"/>
  <c r="AN125" i="28"/>
  <c r="AP125" i="28"/>
  <c r="AR125" i="28"/>
  <c r="BA125" i="28"/>
  <c r="AG127" i="28"/>
  <c r="AJ126" i="28"/>
  <c r="AL126" i="28"/>
  <c r="AN126" i="28"/>
  <c r="AP126" i="28"/>
  <c r="AR126" i="28"/>
  <c r="BA126" i="28"/>
  <c r="AJ127" i="28"/>
  <c r="AL127" i="28"/>
  <c r="AN127" i="28"/>
  <c r="AP127" i="28"/>
  <c r="AR127" i="28"/>
  <c r="BA127" i="28"/>
  <c r="AJ128" i="28"/>
  <c r="AL128" i="28"/>
  <c r="AN128" i="28"/>
  <c r="AP128" i="28"/>
  <c r="AR128" i="28"/>
  <c r="BA128" i="28"/>
  <c r="AJ129" i="28"/>
  <c r="AL129" i="28"/>
  <c r="AN129" i="28"/>
  <c r="AP129" i="28"/>
  <c r="AR129" i="28"/>
  <c r="BA129" i="28"/>
  <c r="AJ130" i="28"/>
  <c r="AL130" i="28"/>
  <c r="AN130" i="28"/>
  <c r="AP130" i="28"/>
  <c r="AR130" i="28"/>
  <c r="BA130" i="28"/>
  <c r="AJ131" i="28"/>
  <c r="AL131" i="28"/>
  <c r="AN131" i="28"/>
  <c r="AP131" i="28"/>
  <c r="AR131" i="28"/>
  <c r="BA131" i="28"/>
  <c r="AJ132" i="28"/>
  <c r="AL132" i="28"/>
  <c r="AN132" i="28"/>
  <c r="AP132" i="28"/>
  <c r="AR132" i="28"/>
  <c r="BA132" i="28"/>
  <c r="AJ133" i="28"/>
  <c r="AL133" i="28"/>
  <c r="AN133" i="28"/>
  <c r="AP133" i="28"/>
  <c r="AR133" i="28"/>
  <c r="BA133" i="28"/>
  <c r="AG135" i="28"/>
  <c r="AJ134" i="28"/>
  <c r="AL134" i="28"/>
  <c r="AN134" i="28"/>
  <c r="AP134" i="28"/>
  <c r="AR134" i="28"/>
  <c r="BA134" i="28"/>
  <c r="AJ135" i="28"/>
  <c r="AL135" i="28"/>
  <c r="AN135" i="28"/>
  <c r="AP135" i="28"/>
  <c r="AR135" i="28"/>
  <c r="BA135" i="28"/>
  <c r="AJ136" i="28"/>
  <c r="AL136" i="28"/>
  <c r="AN136" i="28"/>
  <c r="AP136" i="28"/>
  <c r="AR136" i="28"/>
  <c r="BA136" i="28"/>
  <c r="AJ137" i="28"/>
  <c r="AL137" i="28"/>
  <c r="AN137" i="28"/>
  <c r="AP137" i="28"/>
  <c r="AR137" i="28"/>
  <c r="BA137" i="28"/>
  <c r="AJ138" i="28"/>
  <c r="AL138" i="28"/>
  <c r="AN138" i="28"/>
  <c r="AP138" i="28"/>
  <c r="AR138" i="28"/>
  <c r="BA138" i="28"/>
  <c r="AJ139" i="28"/>
  <c r="AL139" i="28"/>
  <c r="AN139" i="28"/>
  <c r="AP139" i="28"/>
  <c r="AR139" i="28"/>
  <c r="BA139" i="28"/>
  <c r="AJ140" i="28"/>
  <c r="AL140" i="28"/>
  <c r="AN140" i="28"/>
  <c r="AP140" i="28"/>
  <c r="AR140" i="28"/>
  <c r="BA140" i="28"/>
  <c r="AG142" i="28"/>
  <c r="AJ141" i="28"/>
  <c r="AL141" i="28"/>
  <c r="AN141" i="28"/>
  <c r="AP141" i="28"/>
  <c r="AR141" i="28"/>
  <c r="BA141" i="28"/>
  <c r="AG143" i="28"/>
  <c r="AJ142" i="28"/>
  <c r="AL142" i="28"/>
  <c r="AN142" i="28"/>
  <c r="AP142" i="28"/>
  <c r="AR142" i="28"/>
  <c r="BA142" i="28"/>
  <c r="AJ143" i="28"/>
  <c r="AL143" i="28"/>
  <c r="AN143" i="28"/>
  <c r="AP143" i="28"/>
  <c r="AR143" i="28"/>
  <c r="BA143" i="28"/>
  <c r="AJ144" i="28"/>
  <c r="AL144" i="28"/>
  <c r="AN144" i="28"/>
  <c r="AP144" i="28"/>
  <c r="AR144" i="28"/>
  <c r="BA144" i="28"/>
  <c r="AJ145" i="28"/>
  <c r="AL145" i="28"/>
  <c r="AN145" i="28"/>
  <c r="AP145" i="28"/>
  <c r="AR145" i="28"/>
  <c r="BA145" i="28"/>
  <c r="AJ146" i="28"/>
  <c r="AL146" i="28"/>
  <c r="AN146" i="28"/>
  <c r="AP146" i="28"/>
  <c r="AR146" i="28"/>
  <c r="BA146" i="28"/>
  <c r="AJ147" i="28"/>
  <c r="AL147" i="28"/>
  <c r="AN147" i="28"/>
  <c r="AP147" i="28"/>
  <c r="AR147" i="28"/>
  <c r="BA147" i="28"/>
  <c r="AJ148" i="28"/>
  <c r="AL148" i="28"/>
  <c r="AN148" i="28"/>
  <c r="AP148" i="28"/>
  <c r="AR148" i="28"/>
  <c r="BA148" i="28"/>
  <c r="AJ149" i="28"/>
  <c r="AL149" i="28"/>
  <c r="AN149" i="28"/>
  <c r="AP149" i="28"/>
  <c r="AR149" i="28"/>
  <c r="BA149" i="28"/>
  <c r="AG151" i="28"/>
  <c r="AJ150" i="28"/>
  <c r="AL150" i="28"/>
  <c r="AN150" i="28"/>
  <c r="AP150" i="28"/>
  <c r="AR150" i="28"/>
  <c r="BA150" i="28"/>
  <c r="AJ151" i="28"/>
  <c r="AL151" i="28"/>
  <c r="AN151" i="28"/>
  <c r="AP151" i="28"/>
  <c r="AR151" i="28"/>
  <c r="BA151" i="28"/>
  <c r="AJ152" i="28"/>
  <c r="AL152" i="28"/>
  <c r="AN152" i="28"/>
  <c r="AP152" i="28"/>
  <c r="AR152" i="28"/>
  <c r="BA152" i="28"/>
  <c r="AJ153" i="28"/>
  <c r="AL153" i="28"/>
  <c r="AN153" i="28"/>
  <c r="AP153" i="28"/>
  <c r="AR153" i="28"/>
  <c r="BA153" i="28"/>
  <c r="AJ154" i="28"/>
  <c r="AL154" i="28"/>
  <c r="AN154" i="28"/>
  <c r="AP154" i="28"/>
  <c r="AR154" i="28"/>
  <c r="BA154" i="28"/>
  <c r="AJ155" i="28"/>
  <c r="AL155" i="28"/>
  <c r="AN155" i="28"/>
  <c r="AP155" i="28"/>
  <c r="AR155" i="28"/>
  <c r="BA155" i="28"/>
  <c r="AJ156" i="28"/>
  <c r="AL156" i="28"/>
  <c r="AN156" i="28"/>
  <c r="AP156" i="28"/>
  <c r="AR156" i="28"/>
  <c r="BA156" i="28"/>
  <c r="AJ157" i="28"/>
  <c r="AL157" i="28"/>
  <c r="AN157" i="28"/>
  <c r="AP157" i="28"/>
  <c r="AR157" i="28"/>
  <c r="BA157" i="28"/>
  <c r="AJ158" i="28"/>
  <c r="AL158" i="28"/>
  <c r="AN158" i="28"/>
  <c r="AP158" i="28"/>
  <c r="AR158" i="28"/>
  <c r="BA158" i="28"/>
  <c r="AJ159" i="28"/>
  <c r="AL159" i="28"/>
  <c r="AN159" i="28"/>
  <c r="AP159" i="28"/>
  <c r="AR159" i="28"/>
  <c r="BA159" i="28"/>
  <c r="AJ160" i="28"/>
  <c r="AL160" i="28"/>
  <c r="AN160" i="28"/>
  <c r="AP160" i="28"/>
  <c r="AR160" i="28"/>
  <c r="BA160" i="28"/>
  <c r="AJ161" i="28"/>
  <c r="AL161" i="28"/>
  <c r="AN161" i="28"/>
  <c r="AP161" i="28"/>
  <c r="AR161" i="28"/>
  <c r="BA161" i="28"/>
  <c r="AJ162" i="28"/>
  <c r="AL162" i="28"/>
  <c r="AN162" i="28"/>
  <c r="AP162" i="28"/>
  <c r="AR162" i="28"/>
  <c r="BA162" i="28"/>
  <c r="AJ163" i="28"/>
  <c r="AL163" i="28"/>
  <c r="AN163" i="28"/>
  <c r="AP163" i="28"/>
  <c r="AR163" i="28"/>
  <c r="BA163" i="28"/>
  <c r="AJ164" i="28"/>
  <c r="AL164" i="28"/>
  <c r="AN164" i="28"/>
  <c r="AP164" i="28"/>
  <c r="AR164" i="28"/>
  <c r="BA164" i="28"/>
  <c r="AJ165" i="28"/>
  <c r="AL165" i="28"/>
  <c r="AN165" i="28"/>
  <c r="AP165" i="28"/>
  <c r="AR165" i="28"/>
  <c r="BA165" i="28"/>
  <c r="AJ166" i="28"/>
  <c r="AL166" i="28"/>
  <c r="AN166" i="28"/>
  <c r="AP166" i="28"/>
  <c r="AR166" i="28"/>
  <c r="BA166" i="28"/>
  <c r="AJ167" i="28"/>
  <c r="AL167" i="28"/>
  <c r="AN167" i="28"/>
  <c r="AP167" i="28"/>
  <c r="AR167" i="28"/>
  <c r="BA167" i="28"/>
  <c r="AJ168" i="28"/>
  <c r="AL168" i="28"/>
  <c r="AN168" i="28"/>
  <c r="AP168" i="28"/>
  <c r="AR168" i="28"/>
  <c r="BA168" i="28"/>
  <c r="AJ169" i="28"/>
  <c r="AL169" i="28"/>
  <c r="AN169" i="28"/>
  <c r="AP169" i="28"/>
  <c r="AR169" i="28"/>
  <c r="BA169" i="28"/>
  <c r="AJ170" i="28"/>
  <c r="AL170" i="28"/>
  <c r="AN170" i="28"/>
  <c r="AP170" i="28"/>
  <c r="AR170" i="28"/>
  <c r="BA170" i="28"/>
  <c r="AJ171" i="28"/>
  <c r="AL171" i="28"/>
  <c r="AN171" i="28"/>
  <c r="AP171" i="28"/>
  <c r="AR171" i="28"/>
  <c r="BA171" i="28"/>
  <c r="AJ172" i="28"/>
  <c r="AL172" i="28"/>
  <c r="AN172" i="28"/>
  <c r="AP172" i="28"/>
  <c r="AR172" i="28"/>
  <c r="BA172" i="28"/>
  <c r="AJ173" i="28"/>
  <c r="AL173" i="28"/>
  <c r="AN173" i="28"/>
  <c r="AP173" i="28"/>
  <c r="AR173" i="28"/>
  <c r="BA173" i="28"/>
  <c r="AJ174" i="28"/>
  <c r="AL174" i="28"/>
  <c r="AN174" i="28"/>
  <c r="AP174" i="28"/>
  <c r="AR174" i="28"/>
  <c r="BA174" i="28"/>
  <c r="AG176" i="28"/>
  <c r="AJ175" i="28"/>
  <c r="AL175" i="28"/>
  <c r="AN175" i="28"/>
  <c r="AP175" i="28"/>
  <c r="AR175" i="28"/>
  <c r="BA175" i="28"/>
  <c r="AJ176" i="28"/>
  <c r="AL176" i="28"/>
  <c r="AN176" i="28"/>
  <c r="AP176" i="28"/>
  <c r="AR176" i="28"/>
  <c r="BA176" i="28"/>
  <c r="AJ177" i="28"/>
  <c r="AL177" i="28"/>
  <c r="AN177" i="28"/>
  <c r="AP177" i="28"/>
  <c r="AR177" i="28"/>
  <c r="BA177" i="28"/>
  <c r="AJ178" i="28"/>
  <c r="AL178" i="28"/>
  <c r="AN178" i="28"/>
  <c r="AP178" i="28"/>
  <c r="AR178" i="28"/>
  <c r="BA178" i="28"/>
  <c r="AG180" i="28"/>
  <c r="AJ179" i="28"/>
  <c r="AL179" i="28"/>
  <c r="AN179" i="28"/>
  <c r="AP179" i="28"/>
  <c r="AR179" i="28"/>
  <c r="BA179" i="28"/>
  <c r="AJ180" i="28"/>
  <c r="AL180" i="28"/>
  <c r="AN180" i="28"/>
  <c r="AP180" i="28"/>
  <c r="AR180" i="28"/>
  <c r="BA180" i="28"/>
  <c r="AJ181" i="28"/>
  <c r="AL181" i="28"/>
  <c r="AN181" i="28"/>
  <c r="AP181" i="28"/>
  <c r="AR181" i="28"/>
  <c r="BA181" i="28"/>
  <c r="AJ182" i="28"/>
  <c r="AL182" i="28"/>
  <c r="AN182" i="28"/>
  <c r="AP182" i="28"/>
  <c r="AR182" i="28"/>
  <c r="BA182" i="28"/>
  <c r="AG184" i="28"/>
  <c r="AJ183" i="28"/>
  <c r="AL183" i="28"/>
  <c r="AN183" i="28"/>
  <c r="AP183" i="28"/>
  <c r="AR183" i="28"/>
  <c r="BA183" i="28"/>
  <c r="AJ184" i="28"/>
  <c r="AL184" i="28"/>
  <c r="AN184" i="28"/>
  <c r="AP184" i="28"/>
  <c r="AR184" i="28"/>
  <c r="BA184" i="28"/>
  <c r="AJ185" i="28"/>
  <c r="AL185" i="28"/>
  <c r="AN185" i="28"/>
  <c r="AP185" i="28"/>
  <c r="AR185" i="28"/>
  <c r="BA185" i="28"/>
  <c r="AJ186" i="28"/>
  <c r="AL186" i="28"/>
  <c r="AN186" i="28"/>
  <c r="AP186" i="28"/>
  <c r="AR186" i="28"/>
  <c r="BA186" i="28"/>
  <c r="AJ187" i="28"/>
  <c r="AL187" i="28"/>
  <c r="AN187" i="28"/>
  <c r="AP187" i="28"/>
  <c r="AR187" i="28"/>
  <c r="BA187" i="28"/>
  <c r="AJ188" i="28"/>
  <c r="AL188" i="28"/>
  <c r="AN188" i="28"/>
  <c r="AP188" i="28"/>
  <c r="AR188" i="28"/>
  <c r="BA188" i="28"/>
  <c r="AG190" i="28"/>
  <c r="AJ189" i="28"/>
  <c r="AL189" i="28"/>
  <c r="AN189" i="28"/>
  <c r="AP189" i="28"/>
  <c r="AR189" i="28"/>
  <c r="BA189" i="28"/>
  <c r="AJ190" i="28"/>
  <c r="AL190" i="28"/>
  <c r="AN190" i="28"/>
  <c r="AP190" i="28"/>
  <c r="AR190" i="28"/>
  <c r="BA190" i="28"/>
  <c r="AJ191" i="28"/>
  <c r="AL191" i="28"/>
  <c r="AN191" i="28"/>
  <c r="AP191" i="28"/>
  <c r="AR191" i="28"/>
  <c r="BA191" i="28"/>
  <c r="AJ192" i="28"/>
  <c r="AL192" i="28"/>
  <c r="AN192" i="28"/>
  <c r="AP192" i="28"/>
  <c r="AR192" i="28"/>
  <c r="BA192" i="28"/>
  <c r="AJ193" i="28"/>
  <c r="AL193" i="28"/>
  <c r="AN193" i="28"/>
  <c r="AP193" i="28"/>
  <c r="AR193" i="28"/>
  <c r="AJ194" i="28"/>
  <c r="AL194" i="28"/>
  <c r="AN194" i="28"/>
  <c r="AP194" i="28"/>
  <c r="AR194" i="28"/>
  <c r="AJ195" i="28"/>
  <c r="AL195" i="28"/>
  <c r="AN195" i="28"/>
  <c r="AP195" i="28"/>
  <c r="AR195" i="28"/>
  <c r="AG198" i="28"/>
  <c r="AJ196" i="28"/>
  <c r="AL196" i="28"/>
  <c r="AN196" i="28"/>
  <c r="AP196" i="28"/>
  <c r="AR196" i="28"/>
  <c r="AJ197" i="28"/>
  <c r="AL197" i="28"/>
  <c r="AN197" i="28"/>
  <c r="AP197" i="28"/>
  <c r="AR197" i="28"/>
  <c r="AG199" i="28"/>
  <c r="AJ198" i="28"/>
  <c r="AL198" i="28"/>
  <c r="AN198" i="28"/>
  <c r="AP198" i="28"/>
  <c r="AR198" i="28"/>
  <c r="AJ199" i="28"/>
  <c r="AL199" i="28"/>
  <c r="AN199" i="28"/>
  <c r="AP199" i="28"/>
  <c r="AR199" i="28"/>
  <c r="AJ200" i="28"/>
  <c r="AL200" i="28"/>
  <c r="AN200" i="28"/>
  <c r="AP200" i="28"/>
  <c r="AR200" i="28"/>
  <c r="AJ201" i="28"/>
  <c r="AL201" i="28"/>
  <c r="AN201" i="28"/>
  <c r="AP201" i="28"/>
  <c r="AR201" i="28"/>
  <c r="AJ202" i="28"/>
  <c r="AL202" i="28"/>
  <c r="AN202" i="28"/>
  <c r="AP202" i="28"/>
  <c r="AR202" i="28"/>
  <c r="AJ203" i="28"/>
  <c r="AL203" i="28"/>
  <c r="AN203" i="28"/>
  <c r="AP203" i="28"/>
  <c r="AR203" i="28"/>
  <c r="AJ204" i="28"/>
  <c r="AL204" i="28"/>
  <c r="AN204" i="28"/>
  <c r="AP204" i="28"/>
  <c r="AR204" i="28"/>
  <c r="AG207" i="28"/>
  <c r="AJ205" i="28"/>
  <c r="AL205" i="28"/>
  <c r="AN205" i="28"/>
  <c r="AP205" i="28"/>
  <c r="AR205" i="28"/>
  <c r="AJ206" i="28"/>
  <c r="AL206" i="28"/>
  <c r="AN206" i="28"/>
  <c r="AP206" i="28"/>
  <c r="AQ206" i="28"/>
  <c r="AR206" i="28"/>
  <c r="AJ207" i="28"/>
  <c r="AL207" i="28"/>
  <c r="AN207" i="28"/>
  <c r="AP207" i="28"/>
  <c r="AR207" i="28"/>
  <c r="AG209" i="28"/>
  <c r="AJ208" i="28"/>
  <c r="AL208" i="28"/>
  <c r="AN208" i="28"/>
  <c r="AP208" i="28"/>
  <c r="AR208" i="28"/>
  <c r="AG210" i="28"/>
  <c r="AJ209" i="28"/>
  <c r="AL209" i="28"/>
  <c r="AN209" i="28"/>
  <c r="AP209" i="28"/>
  <c r="AR209" i="28"/>
  <c r="AJ210" i="28"/>
  <c r="AL210" i="28"/>
  <c r="AN210" i="28"/>
  <c r="AP210" i="28"/>
  <c r="AR210" i="28"/>
  <c r="AG212" i="28"/>
  <c r="AJ211" i="28"/>
  <c r="AL211" i="28"/>
  <c r="AN211" i="28"/>
  <c r="AP211" i="28"/>
  <c r="AR211" i="28"/>
  <c r="AG213" i="28"/>
  <c r="AJ212" i="28"/>
  <c r="AL212" i="28"/>
  <c r="AN212" i="28"/>
  <c r="AP212" i="28"/>
  <c r="AR212" i="28"/>
  <c r="AG214" i="28"/>
  <c r="AJ213" i="28"/>
  <c r="AL213" i="28"/>
  <c r="AN213" i="28"/>
  <c r="AP213" i="28"/>
  <c r="AR213" i="28"/>
  <c r="AJ214" i="28"/>
  <c r="AL214" i="28"/>
  <c r="AN214" i="28"/>
  <c r="AP214" i="28"/>
  <c r="AR214" i="28"/>
  <c r="AG216" i="28"/>
  <c r="AJ215" i="28"/>
  <c r="AL215" i="28"/>
  <c r="AN215" i="28"/>
  <c r="AP215" i="28"/>
  <c r="AQ215" i="28"/>
  <c r="AR215" i="28"/>
  <c r="AJ216" i="28"/>
  <c r="AL216" i="28"/>
  <c r="AN216" i="28"/>
  <c r="AP216" i="28"/>
  <c r="AR216" i="28"/>
  <c r="AG218" i="28"/>
  <c r="AJ217" i="28"/>
  <c r="AL217" i="28"/>
  <c r="AN217" i="28"/>
  <c r="AP217" i="28"/>
  <c r="AR217" i="28"/>
  <c r="AJ218" i="28"/>
  <c r="AL218" i="28"/>
  <c r="AN218" i="28"/>
  <c r="AP218" i="28"/>
  <c r="AR218" i="28"/>
  <c r="AG220" i="28"/>
  <c r="AJ219" i="28"/>
  <c r="AL219" i="28"/>
  <c r="AN219" i="28"/>
  <c r="AP219" i="28"/>
  <c r="AR219" i="28"/>
  <c r="AJ220" i="28"/>
  <c r="AL220" i="28"/>
  <c r="AN220" i="28"/>
  <c r="AP220" i="28"/>
  <c r="AR220" i="28"/>
  <c r="AG222" i="28"/>
  <c r="AJ221" i="28"/>
  <c r="AL221" i="28"/>
  <c r="AN221" i="28"/>
  <c r="AP221" i="28"/>
  <c r="AR221" i="28"/>
  <c r="AJ222" i="28"/>
  <c r="AL222" i="28"/>
  <c r="AN222" i="28"/>
  <c r="AP222" i="28"/>
  <c r="AR222" i="28"/>
  <c r="AG224" i="28"/>
  <c r="AJ223" i="28"/>
  <c r="AL223" i="28"/>
  <c r="AN223" i="28"/>
  <c r="AP223" i="28"/>
  <c r="AR223" i="28"/>
  <c r="AG226" i="28"/>
  <c r="AJ224" i="28"/>
  <c r="AL224" i="28"/>
  <c r="AN224" i="28"/>
  <c r="AP224" i="28"/>
  <c r="AR224" i="28"/>
  <c r="AJ225" i="28"/>
  <c r="AL225" i="28"/>
  <c r="AN225" i="28"/>
  <c r="AP225" i="28"/>
  <c r="AR225" i="28"/>
  <c r="AG227" i="28"/>
  <c r="AJ226" i="28"/>
  <c r="AL226" i="28"/>
  <c r="AN226" i="28"/>
  <c r="AP226" i="28"/>
  <c r="AR226" i="28"/>
  <c r="AG228" i="28"/>
  <c r="AJ227" i="28"/>
  <c r="AL227" i="28"/>
  <c r="AN227" i="28"/>
  <c r="AP227" i="28"/>
  <c r="AR227" i="28"/>
  <c r="AJ228" i="28"/>
  <c r="AL228" i="28"/>
  <c r="AN228" i="28"/>
  <c r="AP228" i="28"/>
  <c r="AR228" i="28"/>
  <c r="AG230" i="28"/>
  <c r="AJ229" i="28"/>
  <c r="AL229" i="28"/>
  <c r="AN229" i="28"/>
  <c r="AP229" i="28"/>
  <c r="AR229" i="28"/>
  <c r="AG231" i="28"/>
  <c r="AH230" i="28"/>
  <c r="AJ230" i="28"/>
  <c r="AL230" i="28"/>
  <c r="AN230" i="28"/>
  <c r="AP230" i="28"/>
  <c r="AR230" i="28"/>
  <c r="AG232" i="28"/>
  <c r="AH232" i="28" s="1"/>
  <c r="AG233" i="28"/>
  <c r="AJ231" i="28"/>
  <c r="AL231" i="28"/>
  <c r="AN231" i="28"/>
  <c r="AP231" i="28"/>
  <c r="AR231" i="28"/>
  <c r="AJ232" i="28"/>
  <c r="AL232" i="28"/>
  <c r="AN232" i="28"/>
  <c r="AP232" i="28"/>
  <c r="AR232" i="28"/>
  <c r="AG234" i="28"/>
  <c r="AJ233" i="28"/>
  <c r="AL233" i="28"/>
  <c r="AN233" i="28"/>
  <c r="AP233" i="28"/>
  <c r="AR233" i="28"/>
  <c r="AG235" i="28"/>
  <c r="AH234" i="28"/>
  <c r="AJ234" i="28"/>
  <c r="AL234" i="28"/>
  <c r="AN234" i="28"/>
  <c r="AP234" i="28"/>
  <c r="AR234" i="28"/>
  <c r="AG236" i="28"/>
  <c r="AG237" i="28"/>
  <c r="AH236" i="28"/>
  <c r="AJ235" i="28"/>
  <c r="AL235" i="28"/>
  <c r="AN235" i="28"/>
  <c r="AP235" i="28"/>
  <c r="AR235" i="28"/>
  <c r="AJ236" i="28"/>
  <c r="AL236" i="28"/>
  <c r="AN236" i="28"/>
  <c r="AP236" i="28"/>
  <c r="AR236" i="28"/>
  <c r="AG238" i="28"/>
  <c r="AJ237" i="28"/>
  <c r="AL237" i="28"/>
  <c r="AN237" i="28"/>
  <c r="AP237" i="28"/>
  <c r="AR237" i="28"/>
  <c r="AG239" i="28"/>
  <c r="AH238" i="28"/>
  <c r="AJ238" i="28"/>
  <c r="AL238" i="28"/>
  <c r="AN238" i="28"/>
  <c r="AP238" i="28"/>
  <c r="AR238" i="28"/>
  <c r="AG240" i="28"/>
  <c r="AH240" i="28" s="1"/>
  <c r="AG241" i="28"/>
  <c r="AJ239" i="28"/>
  <c r="AL239" i="28"/>
  <c r="AN239" i="28"/>
  <c r="AP239" i="28"/>
  <c r="AR239" i="28"/>
  <c r="AJ240" i="28"/>
  <c r="AL240" i="28"/>
  <c r="AN240" i="28"/>
  <c r="AP240" i="28"/>
  <c r="AR240" i="28"/>
  <c r="AG242" i="28"/>
  <c r="AJ241" i="28"/>
  <c r="AL241" i="28"/>
  <c r="AN241" i="28"/>
  <c r="AP241" i="28"/>
  <c r="AR241" i="28"/>
  <c r="AG243" i="28"/>
  <c r="AH242" i="28"/>
  <c r="AJ242" i="28"/>
  <c r="AL242" i="28"/>
  <c r="AN242" i="28"/>
  <c r="AP242" i="28"/>
  <c r="AR242" i="28"/>
  <c r="AG244" i="28"/>
  <c r="AG245" i="28"/>
  <c r="AH244" i="28"/>
  <c r="AJ243" i="28"/>
  <c r="AL243" i="28"/>
  <c r="AN243" i="28"/>
  <c r="AP243" i="28"/>
  <c r="AR243" i="28"/>
  <c r="AJ244" i="28"/>
  <c r="AL244" i="28"/>
  <c r="AN244" i="28"/>
  <c r="AP244" i="28"/>
  <c r="AR244" i="28"/>
  <c r="AG246" i="28"/>
  <c r="AJ245" i="28"/>
  <c r="AL245" i="28"/>
  <c r="AN245" i="28"/>
  <c r="AP245" i="28"/>
  <c r="AR245" i="28"/>
  <c r="AG247" i="28"/>
  <c r="AH246" i="28"/>
  <c r="AJ246" i="28"/>
  <c r="AL246" i="28"/>
  <c r="AN246" i="28"/>
  <c r="AP246" i="28"/>
  <c r="AR246" i="28"/>
  <c r="AG248" i="28"/>
  <c r="AH248" i="28" s="1"/>
  <c r="AG249" i="28"/>
  <c r="AJ247" i="28"/>
  <c r="AL247" i="28"/>
  <c r="AN247" i="28"/>
  <c r="AP247" i="28"/>
  <c r="AR247" i="28"/>
  <c r="AJ248" i="28"/>
  <c r="AL248" i="28"/>
  <c r="AN248" i="28"/>
  <c r="AP248" i="28"/>
  <c r="AR248" i="28"/>
  <c r="AG250" i="28"/>
  <c r="AJ249" i="28"/>
  <c r="AL249" i="28"/>
  <c r="AN249" i="28"/>
  <c r="AP249" i="28"/>
  <c r="AR249" i="28"/>
  <c r="AG251" i="28"/>
  <c r="AH250" i="28"/>
  <c r="AJ250" i="28"/>
  <c r="AL250" i="28"/>
  <c r="AN250" i="28"/>
  <c r="AP250" i="28"/>
  <c r="AR250" i="28"/>
  <c r="AG252" i="28"/>
  <c r="AG253" i="28"/>
  <c r="AH252" i="28"/>
  <c r="AJ251" i="28"/>
  <c r="AL251" i="28"/>
  <c r="AN251" i="28"/>
  <c r="AP251" i="28"/>
  <c r="AR251" i="28"/>
  <c r="AJ252" i="28"/>
  <c r="AL252" i="28"/>
  <c r="AN252" i="28"/>
  <c r="AP252" i="28"/>
  <c r="AR252" i="28"/>
  <c r="AG254" i="28"/>
  <c r="AJ253" i="28"/>
  <c r="AL253" i="28"/>
  <c r="AN253" i="28"/>
  <c r="AP253" i="28"/>
  <c r="AR253" i="28"/>
  <c r="AG255" i="28"/>
  <c r="AH254" i="28"/>
  <c r="AJ254" i="28"/>
  <c r="AL254" i="28"/>
  <c r="AN254" i="28"/>
  <c r="AP254" i="28"/>
  <c r="AR254" i="28"/>
  <c r="AG256" i="28"/>
  <c r="AH256" i="28" s="1"/>
  <c r="AG257" i="28"/>
  <c r="AJ255" i="28"/>
  <c r="AL255" i="28"/>
  <c r="AN255" i="28"/>
  <c r="AP255" i="28"/>
  <c r="AR255" i="28"/>
  <c r="AJ256" i="28"/>
  <c r="AL256" i="28"/>
  <c r="AN256" i="28"/>
  <c r="AP256" i="28"/>
  <c r="AR256" i="28"/>
  <c r="AG258" i="28"/>
  <c r="AJ257" i="28"/>
  <c r="AL257" i="28"/>
  <c r="AN257" i="28"/>
  <c r="AP257" i="28"/>
  <c r="AR257" i="28"/>
  <c r="AG259" i="28"/>
  <c r="AH258" i="28"/>
  <c r="AJ258" i="28"/>
  <c r="AL258" i="28"/>
  <c r="AN258" i="28"/>
  <c r="AP258" i="28"/>
  <c r="AR258" i="28"/>
  <c r="AG260" i="28"/>
  <c r="AG261" i="28"/>
  <c r="AH260" i="28"/>
  <c r="AJ259" i="28"/>
  <c r="AL259" i="28"/>
  <c r="AN259" i="28"/>
  <c r="AP259" i="28"/>
  <c r="AR259" i="28"/>
  <c r="AJ260" i="28"/>
  <c r="AL260" i="28"/>
  <c r="AN260" i="28"/>
  <c r="AP260" i="28"/>
  <c r="AR260" i="28"/>
  <c r="AG262" i="28"/>
  <c r="AJ261" i="28"/>
  <c r="AL261" i="28"/>
  <c r="AN261" i="28"/>
  <c r="AP261" i="28"/>
  <c r="AR261" i="28"/>
  <c r="AG263" i="28"/>
  <c r="AH262" i="28"/>
  <c r="AJ262" i="28"/>
  <c r="AL262" i="28"/>
  <c r="AN262" i="28"/>
  <c r="AP262" i="28"/>
  <c r="AR262" i="28"/>
  <c r="AG264" i="28"/>
  <c r="AH264" i="28" s="1"/>
  <c r="AG265" i="28"/>
  <c r="AJ263" i="28"/>
  <c r="AL263" i="28"/>
  <c r="AN263" i="28"/>
  <c r="AP263" i="28"/>
  <c r="AR263" i="28"/>
  <c r="AJ264" i="28"/>
  <c r="AL264" i="28"/>
  <c r="AN264" i="28"/>
  <c r="AP264" i="28"/>
  <c r="AQ264" i="28"/>
  <c r="AR264" i="28"/>
  <c r="AG266" i="28"/>
  <c r="AJ265" i="28"/>
  <c r="AL265" i="28"/>
  <c r="AN265" i="28"/>
  <c r="AP265" i="28"/>
  <c r="AR265" i="28"/>
  <c r="AG267" i="28"/>
  <c r="AH266" i="28"/>
  <c r="AJ266" i="28"/>
  <c r="AL266" i="28"/>
  <c r="AN266" i="28"/>
  <c r="AP266" i="28"/>
  <c r="AR266" i="28"/>
  <c r="AG268" i="28"/>
  <c r="AG269" i="28"/>
  <c r="AH268" i="28"/>
  <c r="AJ267" i="28"/>
  <c r="AL267" i="28"/>
  <c r="AN267" i="28"/>
  <c r="AP267" i="28"/>
  <c r="AQ267" i="28"/>
  <c r="AR267" i="28"/>
  <c r="AJ268" i="28"/>
  <c r="AL268" i="28"/>
  <c r="AN268" i="28"/>
  <c r="AP268" i="28"/>
  <c r="AR268" i="28"/>
  <c r="AG270" i="28"/>
  <c r="AH269" i="28"/>
  <c r="AJ269" i="28"/>
  <c r="AL269" i="28"/>
  <c r="AN269" i="28"/>
  <c r="AP269" i="28"/>
  <c r="AR269" i="28"/>
  <c r="AG271" i="28"/>
  <c r="AJ270" i="28"/>
  <c r="AL270" i="28"/>
  <c r="AN270" i="28"/>
  <c r="AP270" i="28"/>
  <c r="AQ270" i="28"/>
  <c r="AR270" i="28"/>
  <c r="AG272" i="28"/>
  <c r="AJ271" i="28"/>
  <c r="AL271" i="28"/>
  <c r="AN271" i="28"/>
  <c r="AP271" i="28"/>
  <c r="AQ271" i="28"/>
  <c r="AR271" i="28"/>
  <c r="AG273" i="28"/>
  <c r="AJ272" i="28"/>
  <c r="AL272" i="28"/>
  <c r="AN272" i="28"/>
  <c r="AP272" i="28"/>
  <c r="AR272" i="28"/>
  <c r="AG274" i="28"/>
  <c r="AH273" i="28"/>
  <c r="AJ273" i="28"/>
  <c r="AL273" i="28"/>
  <c r="AN273" i="28"/>
  <c r="AP273" i="28"/>
  <c r="AR273" i="28"/>
  <c r="AG275" i="28"/>
  <c r="AH274" i="28" s="1"/>
  <c r="AJ274" i="28"/>
  <c r="AL274" i="28"/>
  <c r="AN274" i="28"/>
  <c r="AP274" i="28"/>
  <c r="AR274" i="28"/>
  <c r="AG276" i="28"/>
  <c r="AJ275" i="28"/>
  <c r="AL275" i="28"/>
  <c r="AN275" i="28"/>
  <c r="AP275" i="28"/>
  <c r="AR275" i="28"/>
  <c r="AG277" i="28"/>
  <c r="AJ276" i="28"/>
  <c r="AL276" i="28"/>
  <c r="AN276" i="28"/>
  <c r="AP276" i="28"/>
  <c r="AR276" i="28"/>
  <c r="AG278" i="28"/>
  <c r="AH277" i="28"/>
  <c r="AJ277" i="28"/>
  <c r="AL277" i="28"/>
  <c r="AN277" i="28"/>
  <c r="AP277" i="28"/>
  <c r="AQ277" i="28"/>
  <c r="AR277" i="28"/>
  <c r="AG279" i="28"/>
  <c r="AJ278" i="28"/>
  <c r="AL278" i="28"/>
  <c r="AN278" i="28"/>
  <c r="AP278" i="28"/>
  <c r="AR278" i="28"/>
  <c r="AG280" i="28"/>
  <c r="AJ279" i="28"/>
  <c r="AL279" i="28"/>
  <c r="AN279" i="28"/>
  <c r="AP279" i="28"/>
  <c r="AR279" i="28"/>
  <c r="AG281" i="28"/>
  <c r="AJ280" i="28"/>
  <c r="AL280" i="28"/>
  <c r="AN280" i="28"/>
  <c r="AP280" i="28"/>
  <c r="AR280" i="28"/>
  <c r="AG282" i="28"/>
  <c r="AH281" i="28"/>
  <c r="AJ281" i="28"/>
  <c r="AL281" i="28"/>
  <c r="AN281" i="28"/>
  <c r="AP281" i="28"/>
  <c r="AR281" i="28"/>
  <c r="AG283" i="28"/>
  <c r="AH282" i="28" s="1"/>
  <c r="AJ282" i="28"/>
  <c r="AL282" i="28"/>
  <c r="AN282" i="28"/>
  <c r="AP282" i="28"/>
  <c r="AR282" i="28"/>
  <c r="AG284" i="28"/>
  <c r="AJ283" i="28"/>
  <c r="AL283" i="28"/>
  <c r="AN283" i="28"/>
  <c r="AP283" i="28"/>
  <c r="AQ283" i="28"/>
  <c r="AR283" i="28"/>
  <c r="AG285" i="28"/>
  <c r="AJ284" i="28"/>
  <c r="AL284" i="28"/>
  <c r="AN284" i="28"/>
  <c r="AP284" i="28"/>
  <c r="AQ284" i="28"/>
  <c r="AR284" i="28"/>
  <c r="AG286" i="28"/>
  <c r="AH285" i="28"/>
  <c r="AJ285" i="28"/>
  <c r="AL285" i="28"/>
  <c r="AN285" i="28"/>
  <c r="AP285" i="28"/>
  <c r="AQ285" i="28"/>
  <c r="AR285" i="28"/>
  <c r="AG287" i="28"/>
  <c r="AJ286" i="28"/>
  <c r="AL286" i="28"/>
  <c r="AN286" i="28"/>
  <c r="AP286" i="28"/>
  <c r="AR286" i="28"/>
  <c r="AG288" i="28"/>
  <c r="AJ287" i="28"/>
  <c r="AL287" i="28"/>
  <c r="AN287" i="28"/>
  <c r="AP287" i="28"/>
  <c r="AR287" i="28"/>
  <c r="AG289" i="28"/>
  <c r="AJ288" i="28"/>
  <c r="AL288" i="28"/>
  <c r="AN288" i="28"/>
  <c r="AP288" i="28"/>
  <c r="AR288" i="28"/>
  <c r="AG290" i="28"/>
  <c r="AH289" i="28"/>
  <c r="AJ289" i="28"/>
  <c r="AL289" i="28"/>
  <c r="AN289" i="28"/>
  <c r="AP289" i="28"/>
  <c r="AR289" i="28"/>
  <c r="AG291" i="28"/>
  <c r="AH290" i="28" s="1"/>
  <c r="AJ290" i="28"/>
  <c r="AL290" i="28"/>
  <c r="AN290" i="28"/>
  <c r="AP290" i="28"/>
  <c r="AR290" i="28"/>
  <c r="AG292" i="28"/>
  <c r="AJ291" i="28"/>
  <c r="AL291" i="28"/>
  <c r="AN291" i="28"/>
  <c r="AP291" i="28"/>
  <c r="AR291" i="28"/>
  <c r="AG293" i="28"/>
  <c r="AJ292" i="28"/>
  <c r="AL292" i="28"/>
  <c r="AN292" i="28"/>
  <c r="AP292" i="28"/>
  <c r="AR292" i="28"/>
  <c r="AG294" i="28"/>
  <c r="AH293" i="28"/>
  <c r="AJ293" i="28"/>
  <c r="AL293" i="28"/>
  <c r="AN293" i="28"/>
  <c r="AP293" i="28"/>
  <c r="AR293" i="28"/>
  <c r="AG295" i="28"/>
  <c r="AJ294" i="28"/>
  <c r="AL294" i="28"/>
  <c r="AN294" i="28"/>
  <c r="AP294" i="28"/>
  <c r="AQ294" i="28"/>
  <c r="AR294" i="28"/>
  <c r="AG296" i="28"/>
  <c r="AJ295" i="28"/>
  <c r="AL295" i="28"/>
  <c r="AN295" i="28"/>
  <c r="AP295" i="28"/>
  <c r="AQ295" i="28"/>
  <c r="AR295" i="28"/>
  <c r="AG297" i="28"/>
  <c r="AJ296" i="28"/>
  <c r="AL296" i="28"/>
  <c r="AN296" i="28"/>
  <c r="AP296" i="28"/>
  <c r="AR296" i="28"/>
  <c r="AG298" i="28"/>
  <c r="AH297" i="28"/>
  <c r="AJ297" i="28"/>
  <c r="AL297" i="28"/>
  <c r="AN297" i="28"/>
  <c r="AP297" i="28"/>
  <c r="AR297" i="28"/>
  <c r="AG299" i="28"/>
  <c r="AH298" i="28" s="1"/>
  <c r="AJ298" i="28"/>
  <c r="AL298" i="28"/>
  <c r="AN298" i="28"/>
  <c r="AP298" i="28"/>
  <c r="AR298" i="28"/>
  <c r="AG300" i="28"/>
  <c r="AJ299" i="28"/>
  <c r="AL299" i="28"/>
  <c r="AN299" i="28"/>
  <c r="AP299" i="28"/>
  <c r="AR299" i="28"/>
  <c r="AG301" i="28"/>
  <c r="AJ300" i="28"/>
  <c r="AL300" i="28"/>
  <c r="AN300" i="28"/>
  <c r="AP300" i="28"/>
  <c r="AR300" i="28"/>
  <c r="AG302" i="28"/>
  <c r="AH301" i="28"/>
  <c r="AJ301" i="28"/>
  <c r="AL301" i="28"/>
  <c r="AN301" i="28"/>
  <c r="AP301" i="28"/>
  <c r="AQ301" i="28"/>
  <c r="AR301" i="28"/>
  <c r="AG303" i="28"/>
  <c r="AJ302" i="28"/>
  <c r="AL302" i="28"/>
  <c r="AN302" i="28"/>
  <c r="AP302" i="28"/>
  <c r="AR302" i="28"/>
  <c r="AG304" i="28"/>
  <c r="AJ303" i="28"/>
  <c r="AL303" i="28"/>
  <c r="AN303" i="28"/>
  <c r="AP303" i="28"/>
  <c r="AR303" i="28"/>
  <c r="AG305" i="28"/>
  <c r="AJ304" i="28"/>
  <c r="AL304" i="28"/>
  <c r="AN304" i="28"/>
  <c r="AP304" i="28"/>
  <c r="AR304" i="28"/>
  <c r="AG306" i="28"/>
  <c r="AH305" i="28"/>
  <c r="AJ305" i="28"/>
  <c r="AL305" i="28"/>
  <c r="AN305" i="28"/>
  <c r="AP305" i="28"/>
  <c r="AR305" i="28"/>
  <c r="AG307" i="28"/>
  <c r="AH306" i="28" s="1"/>
  <c r="AJ306" i="28"/>
  <c r="AL306" i="28"/>
  <c r="AN306" i="28"/>
  <c r="AP306" i="28"/>
  <c r="AR306" i="28"/>
  <c r="AG308" i="28"/>
  <c r="AJ307" i="28"/>
  <c r="AL307" i="28"/>
  <c r="AN307" i="28"/>
  <c r="AP307" i="28"/>
  <c r="AQ307" i="28"/>
  <c r="AR307" i="28"/>
  <c r="AG309" i="28"/>
  <c r="AJ308" i="28"/>
  <c r="AL308" i="28"/>
  <c r="AN308" i="28"/>
  <c r="AP308" i="28"/>
  <c r="AR308" i="28"/>
  <c r="AG310" i="28"/>
  <c r="AH309" i="28"/>
  <c r="AJ309" i="28"/>
  <c r="AL309" i="28"/>
  <c r="AN309" i="28"/>
  <c r="AP309" i="28"/>
  <c r="AR309" i="28"/>
  <c r="AG311" i="28"/>
  <c r="AJ310" i="28"/>
  <c r="AL310" i="28"/>
  <c r="AN310" i="28"/>
  <c r="AP310" i="28"/>
  <c r="AR310" i="28"/>
  <c r="AG312" i="28"/>
  <c r="AJ311" i="28"/>
  <c r="AL311" i="28"/>
  <c r="AN311" i="28"/>
  <c r="AP311" i="28"/>
  <c r="AR311" i="28"/>
  <c r="AG313" i="28"/>
  <c r="AH313" i="28" s="1"/>
  <c r="AG314" i="28"/>
  <c r="AH314" i="28" s="1"/>
  <c r="AJ312" i="28"/>
  <c r="AL312" i="28"/>
  <c r="AN312" i="28"/>
  <c r="AP312" i="28"/>
  <c r="AR312" i="28"/>
  <c r="AJ313" i="28"/>
  <c r="AL313" i="28"/>
  <c r="AN313" i="28"/>
  <c r="AP313" i="28"/>
  <c r="AR313" i="28"/>
  <c r="AG315" i="28"/>
  <c r="AJ314" i="28"/>
  <c r="AL314" i="28"/>
  <c r="AN314" i="28"/>
  <c r="AP314" i="28"/>
  <c r="AR314" i="28"/>
  <c r="AG316" i="28"/>
  <c r="AG317" i="28"/>
  <c r="AH316" i="28" s="1"/>
  <c r="AJ315" i="28"/>
  <c r="AL315" i="28"/>
  <c r="AN315" i="28"/>
  <c r="AP315" i="28"/>
  <c r="AR315" i="28"/>
  <c r="AJ316" i="28"/>
  <c r="AL316" i="28"/>
  <c r="AN316" i="28"/>
  <c r="AP316" i="28"/>
  <c r="AR316" i="28"/>
  <c r="AG318" i="28"/>
  <c r="AH318" i="28" s="1"/>
  <c r="AJ317" i="28"/>
  <c r="AL317" i="28"/>
  <c r="AN317" i="28"/>
  <c r="AP317" i="28"/>
  <c r="AR317" i="28"/>
  <c r="AG319" i="28"/>
  <c r="AJ318" i="28"/>
  <c r="AL318" i="28"/>
  <c r="AN318" i="28"/>
  <c r="AP318" i="28"/>
  <c r="AR318" i="28"/>
  <c r="AG320" i="28"/>
  <c r="AJ319" i="28"/>
  <c r="AL319" i="28"/>
  <c r="AN319" i="28"/>
  <c r="AP319" i="28"/>
  <c r="AR319" i="28"/>
  <c r="AG321" i="28"/>
  <c r="AH320" i="28"/>
  <c r="AJ320" i="28"/>
  <c r="AL320" i="28"/>
  <c r="AN320" i="28"/>
  <c r="AP320" i="28"/>
  <c r="AR320" i="28"/>
  <c r="AG322" i="28"/>
  <c r="AH321" i="28" s="1"/>
  <c r="AJ321" i="28"/>
  <c r="AL321" i="28"/>
  <c r="AN321" i="28"/>
  <c r="AP321" i="28"/>
  <c r="AR321" i="28"/>
  <c r="AG323" i="28"/>
  <c r="AJ322" i="28"/>
  <c r="AL322" i="28"/>
  <c r="AN322" i="28"/>
  <c r="AP322" i="28"/>
  <c r="AR322" i="28"/>
  <c r="AG324" i="28"/>
  <c r="AJ323" i="28"/>
  <c r="AL323" i="28"/>
  <c r="AN323" i="28"/>
  <c r="AP323" i="28"/>
  <c r="AR323" i="28"/>
  <c r="AG325" i="28"/>
  <c r="AH324" i="28"/>
  <c r="AJ324" i="28"/>
  <c r="AL324" i="28"/>
  <c r="AN324" i="28"/>
  <c r="AP324" i="28"/>
  <c r="AR324" i="28"/>
  <c r="AG326" i="28"/>
  <c r="AJ325" i="28"/>
  <c r="AL325" i="28"/>
  <c r="AN325" i="28"/>
  <c r="AP325" i="28"/>
  <c r="AQ325" i="28"/>
  <c r="AR325" i="28"/>
  <c r="AG327" i="28"/>
  <c r="AJ326" i="28"/>
  <c r="AL326" i="28"/>
  <c r="AN326" i="28"/>
  <c r="AP326" i="28"/>
  <c r="AR326" i="28"/>
  <c r="AG328" i="28"/>
  <c r="AJ327" i="28"/>
  <c r="AL327" i="28"/>
  <c r="AN327" i="28"/>
  <c r="AP327" i="28"/>
  <c r="AR327" i="28"/>
  <c r="AG329" i="28"/>
  <c r="AH328" i="28"/>
  <c r="AJ328" i="28"/>
  <c r="AL328" i="28"/>
  <c r="AN328" i="28"/>
  <c r="AP328" i="28"/>
  <c r="AR328" i="28"/>
  <c r="AG330" i="28"/>
  <c r="AH329" i="28" s="1"/>
  <c r="AJ329" i="28"/>
  <c r="AL329" i="28"/>
  <c r="AN329" i="28"/>
  <c r="AP329" i="28"/>
  <c r="AR329" i="28"/>
  <c r="AG331" i="28"/>
  <c r="AJ330" i="28"/>
  <c r="AL330" i="28"/>
  <c r="AN330" i="28"/>
  <c r="AP330" i="28"/>
  <c r="AR330" i="28"/>
  <c r="AG332" i="28"/>
  <c r="AJ331" i="28"/>
  <c r="AL331" i="28"/>
  <c r="AN331" i="28"/>
  <c r="AP331" i="28"/>
  <c r="AQ331" i="28"/>
  <c r="AR331" i="28"/>
  <c r="AG333" i="28"/>
  <c r="AH332" i="28"/>
  <c r="AJ332" i="28"/>
  <c r="AL332" i="28"/>
  <c r="AN332" i="28"/>
  <c r="AP332" i="28"/>
  <c r="AR332" i="28"/>
  <c r="AG334" i="28"/>
  <c r="AJ333" i="28"/>
  <c r="AL333" i="28"/>
  <c r="AN333" i="28"/>
  <c r="AP333" i="28"/>
  <c r="AR333" i="28"/>
  <c r="AG335" i="28"/>
  <c r="AJ334" i="28"/>
  <c r="AL334" i="28"/>
  <c r="AN334" i="28"/>
  <c r="AP334" i="28"/>
  <c r="AR334" i="28"/>
  <c r="AG336" i="28"/>
  <c r="AJ335" i="28"/>
  <c r="AL335" i="28"/>
  <c r="AN335" i="28"/>
  <c r="AP335" i="28"/>
  <c r="AR335" i="28"/>
  <c r="AG337" i="28"/>
  <c r="AH336" i="28"/>
  <c r="AJ336" i="28"/>
  <c r="AL336" i="28"/>
  <c r="AN336" i="28"/>
  <c r="AP336" i="28"/>
  <c r="AR336" i="28"/>
  <c r="AG338" i="28"/>
  <c r="AH337" i="28" s="1"/>
  <c r="AJ337" i="28"/>
  <c r="AL337" i="28"/>
  <c r="AN337" i="28"/>
  <c r="AP337" i="28"/>
  <c r="AR337" i="28"/>
  <c r="AG339" i="28"/>
  <c r="AJ338" i="28"/>
  <c r="AL338" i="28"/>
  <c r="AN338" i="28"/>
  <c r="AP338" i="28"/>
  <c r="AR338" i="28"/>
  <c r="AG340" i="28"/>
  <c r="AJ339" i="28"/>
  <c r="AL339" i="28"/>
  <c r="AN339" i="28"/>
  <c r="AP339" i="28"/>
  <c r="AR339" i="28"/>
  <c r="AG341" i="28"/>
  <c r="AH340" i="28"/>
  <c r="AJ340" i="28"/>
  <c r="AL340" i="28"/>
  <c r="AN340" i="28"/>
  <c r="AP340" i="28"/>
  <c r="AR340" i="28"/>
  <c r="AG342" i="28"/>
  <c r="AJ341" i="28"/>
  <c r="AL341" i="28"/>
  <c r="AN341" i="28"/>
  <c r="AP341" i="28"/>
  <c r="AR341" i="28"/>
  <c r="AG343" i="28"/>
  <c r="AJ342" i="28"/>
  <c r="AL342" i="28"/>
  <c r="AN342" i="28"/>
  <c r="AP342" i="28"/>
  <c r="AR342" i="28"/>
  <c r="AG344" i="28"/>
  <c r="AJ343" i="28"/>
  <c r="AL343" i="28"/>
  <c r="AN343" i="28"/>
  <c r="AP343" i="28"/>
  <c r="AR343" i="28"/>
  <c r="AG345" i="28"/>
  <c r="AH344" i="28"/>
  <c r="AJ344" i="28"/>
  <c r="AL344" i="28"/>
  <c r="AN344" i="28"/>
  <c r="AP344" i="28"/>
  <c r="AR344" i="28"/>
  <c r="AG346" i="28"/>
  <c r="AH345" i="28" s="1"/>
  <c r="AJ345" i="28"/>
  <c r="AL345" i="28"/>
  <c r="AN345" i="28"/>
  <c r="AP345" i="28"/>
  <c r="AR345" i="28"/>
  <c r="AG347" i="28"/>
  <c r="AJ346" i="28"/>
  <c r="AL346" i="28"/>
  <c r="AN346" i="28"/>
  <c r="AP346" i="28"/>
  <c r="AR346" i="28"/>
  <c r="AG348" i="28"/>
  <c r="AJ347" i="28"/>
  <c r="AL347" i="28"/>
  <c r="AN347" i="28"/>
  <c r="AP347" i="28"/>
  <c r="AR347" i="28"/>
  <c r="AG349" i="28"/>
  <c r="AH348" i="28"/>
  <c r="AJ348" i="28"/>
  <c r="AL348" i="28"/>
  <c r="AN348" i="28"/>
  <c r="AP348" i="28"/>
  <c r="AR348" i="28"/>
  <c r="AG350" i="28"/>
  <c r="AJ349" i="28"/>
  <c r="AL349" i="28"/>
  <c r="AN349" i="28"/>
  <c r="AP349" i="28"/>
  <c r="AQ349" i="28"/>
  <c r="AR349" i="28"/>
  <c r="AG351" i="28"/>
  <c r="AJ350" i="28"/>
  <c r="AL350" i="28"/>
  <c r="AN350" i="28"/>
  <c r="AP350" i="28"/>
  <c r="AR350" i="28"/>
  <c r="AG352" i="28"/>
  <c r="AJ351" i="28"/>
  <c r="AL351" i="28"/>
  <c r="AN351" i="28"/>
  <c r="AP351" i="28"/>
  <c r="AR351" i="28"/>
  <c r="AG353" i="28"/>
  <c r="AH352" i="28"/>
  <c r="AJ352" i="28"/>
  <c r="AL352" i="28"/>
  <c r="AN352" i="28"/>
  <c r="AP352" i="28"/>
  <c r="AR352" i="28"/>
  <c r="AG354" i="28"/>
  <c r="AH353" i="28" s="1"/>
  <c r="AJ353" i="28"/>
  <c r="AL353" i="28"/>
  <c r="AN353" i="28"/>
  <c r="AP353" i="28"/>
  <c r="AR353" i="28"/>
  <c r="AG355" i="28"/>
  <c r="AJ354" i="28"/>
  <c r="AL354" i="28"/>
  <c r="AN354" i="28"/>
  <c r="AP354" i="28"/>
  <c r="AR354" i="28"/>
  <c r="AG356" i="28"/>
  <c r="AJ355" i="28"/>
  <c r="AL355" i="28"/>
  <c r="AN355" i="28"/>
  <c r="AP355" i="28"/>
  <c r="AR355" i="28"/>
  <c r="AG357" i="28"/>
  <c r="AH356" i="28"/>
  <c r="AJ356" i="28"/>
  <c r="AL356" i="28"/>
  <c r="AN356" i="28"/>
  <c r="AP356" i="28"/>
  <c r="AR356" i="28"/>
  <c r="AG358" i="28"/>
  <c r="AJ357" i="28"/>
  <c r="AL357" i="28"/>
  <c r="AN357" i="28"/>
  <c r="AP357" i="28"/>
  <c r="AR357" i="28"/>
  <c r="AG359" i="28"/>
  <c r="AJ358" i="28"/>
  <c r="AL358" i="28"/>
  <c r="AN358" i="28"/>
  <c r="AP358" i="28"/>
  <c r="AR358" i="28"/>
  <c r="AG360" i="28"/>
  <c r="AJ359" i="28"/>
  <c r="AL359" i="28"/>
  <c r="AN359" i="28"/>
  <c r="AP359" i="28"/>
  <c r="AR359" i="28"/>
  <c r="AG361" i="28"/>
  <c r="AH360" i="28"/>
  <c r="AJ360" i="28"/>
  <c r="AL360" i="28"/>
  <c r="AN360" i="28"/>
  <c r="AP360" i="28"/>
  <c r="AR360" i="28"/>
  <c r="AG362" i="28"/>
  <c r="AH361" i="28" s="1"/>
  <c r="AJ361" i="28"/>
  <c r="AL361" i="28"/>
  <c r="AN361" i="28"/>
  <c r="AP361" i="28"/>
  <c r="AR361" i="28"/>
  <c r="AG363" i="28"/>
  <c r="AJ362" i="28"/>
  <c r="AL362" i="28"/>
  <c r="AN362" i="28"/>
  <c r="AP362" i="28"/>
  <c r="AR362" i="28"/>
  <c r="AG364" i="28"/>
  <c r="AJ363" i="28"/>
  <c r="AL363" i="28"/>
  <c r="AN363" i="28"/>
  <c r="AP363" i="28"/>
  <c r="AR363" i="28"/>
  <c r="AG365" i="28"/>
  <c r="AH364" i="28"/>
  <c r="AJ364" i="28"/>
  <c r="AL364" i="28"/>
  <c r="AN364" i="28"/>
  <c r="AP364" i="28"/>
  <c r="AR364" i="28"/>
  <c r="AG366" i="28"/>
  <c r="AJ365" i="28"/>
  <c r="AL365" i="28"/>
  <c r="AN365" i="28"/>
  <c r="AP365" i="28"/>
  <c r="AQ365" i="28"/>
  <c r="AR365" i="28"/>
  <c r="AG367" i="28"/>
  <c r="AJ366" i="28"/>
  <c r="AL366" i="28"/>
  <c r="AN366" i="28"/>
  <c r="AP366" i="28"/>
  <c r="AR366" i="28"/>
  <c r="AG368" i="28"/>
  <c r="AJ367" i="28"/>
  <c r="AL367" i="28"/>
  <c r="AN367" i="28"/>
  <c r="AP367" i="28"/>
  <c r="AR367" i="28"/>
  <c r="AG369" i="28"/>
  <c r="AH368" i="28"/>
  <c r="AJ368" i="28"/>
  <c r="AL368" i="28"/>
  <c r="AN368" i="28"/>
  <c r="AP368" i="28"/>
  <c r="AR368" i="28"/>
  <c r="AG370" i="28"/>
  <c r="AH369" i="28" s="1"/>
  <c r="AJ369" i="28"/>
  <c r="AL369" i="28"/>
  <c r="AN369" i="28"/>
  <c r="AP369" i="28"/>
  <c r="AR369" i="28"/>
  <c r="AG371" i="28"/>
  <c r="AJ370" i="28"/>
  <c r="AL370" i="28"/>
  <c r="AN370" i="28"/>
  <c r="AP370" i="28"/>
  <c r="AQ370" i="28"/>
  <c r="AR370" i="28"/>
  <c r="AG372" i="28"/>
  <c r="AJ371" i="28"/>
  <c r="AL371" i="28"/>
  <c r="AN371" i="28"/>
  <c r="AP371" i="28"/>
  <c r="AR371" i="28"/>
  <c r="AG373" i="28"/>
  <c r="AH372" i="28"/>
  <c r="AJ372" i="28"/>
  <c r="AL372" i="28"/>
  <c r="AN372" i="28"/>
  <c r="AP372" i="28"/>
  <c r="AR372" i="28"/>
  <c r="AG374" i="28"/>
  <c r="AJ373" i="28"/>
  <c r="AL373" i="28"/>
  <c r="AN373" i="28"/>
  <c r="AP373" i="28"/>
  <c r="AR373" i="28"/>
  <c r="AG375" i="28"/>
  <c r="AJ374" i="28"/>
  <c r="AL374" i="28"/>
  <c r="AN374" i="28"/>
  <c r="AP374" i="28"/>
  <c r="AR374" i="28"/>
  <c r="AG376" i="28"/>
  <c r="AJ375" i="28"/>
  <c r="AL375" i="28"/>
  <c r="AN375" i="28"/>
  <c r="AP375" i="28"/>
  <c r="AQ375" i="28"/>
  <c r="AR375" i="28"/>
  <c r="AG377" i="28"/>
  <c r="AH376" i="28"/>
  <c r="AJ376" i="28"/>
  <c r="AL376" i="28"/>
  <c r="AN376" i="28"/>
  <c r="AP376" i="28"/>
  <c r="AR376" i="28"/>
  <c r="AG378" i="28"/>
  <c r="AH377" i="28" s="1"/>
  <c r="AJ377" i="28"/>
  <c r="AL377" i="28"/>
  <c r="AN377" i="28"/>
  <c r="AP377" i="28"/>
  <c r="AR377" i="28"/>
  <c r="AG379" i="28"/>
  <c r="AJ378" i="28"/>
  <c r="AL378" i="28"/>
  <c r="AN378" i="28"/>
  <c r="AP378" i="28"/>
  <c r="AR378" i="28"/>
  <c r="AG380" i="28"/>
  <c r="AJ379" i="28"/>
  <c r="AL379" i="28"/>
  <c r="AN379" i="28"/>
  <c r="AP379" i="28"/>
  <c r="AR379" i="28"/>
  <c r="AG381" i="28"/>
  <c r="AH380" i="28"/>
  <c r="AJ380" i="28"/>
  <c r="AL380" i="28"/>
  <c r="AN380" i="28"/>
  <c r="AP380" i="28"/>
  <c r="AR380" i="28"/>
  <c r="AG382" i="28"/>
  <c r="AJ381" i="28"/>
  <c r="AL381" i="28"/>
  <c r="AN381" i="28"/>
  <c r="AP381" i="28"/>
  <c r="AQ381" i="28"/>
  <c r="AR381" i="28"/>
  <c r="AG383" i="28"/>
  <c r="AJ382" i="28"/>
  <c r="AL382" i="28"/>
  <c r="AN382" i="28"/>
  <c r="AP382" i="28"/>
  <c r="AR382" i="28"/>
  <c r="AG384" i="28"/>
  <c r="AJ383" i="28"/>
  <c r="AL383" i="28"/>
  <c r="AN383" i="28"/>
  <c r="AP383" i="28"/>
  <c r="AR383" i="28"/>
  <c r="AG385" i="28"/>
  <c r="AH384" i="28"/>
  <c r="AJ384" i="28"/>
  <c r="AL384" i="28"/>
  <c r="AN384" i="28"/>
  <c r="AP384" i="28"/>
  <c r="AQ384" i="28"/>
  <c r="AR384" i="28"/>
  <c r="AG386" i="28"/>
  <c r="AH385" i="28" s="1"/>
  <c r="AJ385" i="28"/>
  <c r="AL385" i="28"/>
  <c r="AN385" i="28"/>
  <c r="AP385" i="28"/>
  <c r="AR385" i="28"/>
  <c r="AG387" i="28"/>
  <c r="AJ386" i="28"/>
  <c r="AL386" i="28"/>
  <c r="AN386" i="28"/>
  <c r="AP386" i="28"/>
  <c r="AQ386" i="28"/>
  <c r="AR386" i="28"/>
  <c r="AG388" i="28"/>
  <c r="AJ387" i="28"/>
  <c r="AL387" i="28"/>
  <c r="AN387" i="28"/>
  <c r="AP387" i="28"/>
  <c r="AR387" i="28"/>
  <c r="AG389" i="28"/>
  <c r="AH388" i="28"/>
  <c r="AJ388" i="28"/>
  <c r="AL388" i="28"/>
  <c r="AN388" i="28"/>
  <c r="AP388" i="28"/>
  <c r="AR388" i="28"/>
  <c r="AG390" i="28"/>
  <c r="AJ389" i="28"/>
  <c r="AL389" i="28"/>
  <c r="AN389" i="28"/>
  <c r="AP389" i="28"/>
  <c r="AR389" i="28"/>
  <c r="AG391" i="28"/>
  <c r="AJ390" i="28"/>
  <c r="AL390" i="28"/>
  <c r="AN390" i="28"/>
  <c r="AP390" i="28"/>
  <c r="AR390" i="28"/>
  <c r="AG392" i="28"/>
  <c r="AJ391" i="28"/>
  <c r="AL391" i="28"/>
  <c r="AN391" i="28"/>
  <c r="AP391" i="28"/>
  <c r="AR391" i="28"/>
  <c r="AG393" i="28"/>
  <c r="AH392" i="28"/>
  <c r="AJ392" i="28"/>
  <c r="AL392" i="28"/>
  <c r="AN392" i="28"/>
  <c r="AP392" i="28"/>
  <c r="AR392" i="28"/>
  <c r="AG394" i="28"/>
  <c r="AH393" i="28" s="1"/>
  <c r="AJ393" i="28"/>
  <c r="AL393" i="28"/>
  <c r="AN393" i="28"/>
  <c r="AP393" i="28"/>
  <c r="AR393" i="28"/>
  <c r="AG395" i="28"/>
  <c r="AJ394" i="28"/>
  <c r="AL394" i="28"/>
  <c r="AN394" i="28"/>
  <c r="AP394" i="28"/>
  <c r="AR394" i="28"/>
  <c r="AG396" i="28"/>
  <c r="AJ395" i="28"/>
  <c r="AL395" i="28"/>
  <c r="AN395" i="28"/>
  <c r="AP395" i="28"/>
  <c r="AR395" i="28"/>
  <c r="AG397" i="28"/>
  <c r="AH396" i="28"/>
  <c r="AJ396" i="28"/>
  <c r="AL396" i="28"/>
  <c r="AN396" i="28"/>
  <c r="AP396" i="28"/>
  <c r="AR396" i="28"/>
  <c r="AG398" i="28"/>
  <c r="AJ397" i="28"/>
  <c r="AL397" i="28"/>
  <c r="AN397" i="28"/>
  <c r="AP397" i="28"/>
  <c r="AR397" i="28"/>
  <c r="AG399" i="28"/>
  <c r="AJ398" i="28"/>
  <c r="AL398" i="28"/>
  <c r="AN398" i="28"/>
  <c r="AP398" i="28"/>
  <c r="AR398" i="28"/>
  <c r="AG400" i="28"/>
  <c r="AJ399" i="28"/>
  <c r="AL399" i="28"/>
  <c r="AN399" i="28"/>
  <c r="AP399" i="28"/>
  <c r="AR399" i="28"/>
  <c r="AG401" i="28"/>
  <c r="AH400" i="28"/>
  <c r="AJ400" i="28"/>
  <c r="AL400" i="28"/>
  <c r="AN400" i="28"/>
  <c r="AP400" i="28"/>
  <c r="AQ400" i="28"/>
  <c r="AR400" i="28"/>
  <c r="AG402" i="28"/>
  <c r="AH401" i="28" s="1"/>
  <c r="AJ401" i="28"/>
  <c r="AL401" i="28"/>
  <c r="AN401" i="28"/>
  <c r="AP401" i="28"/>
  <c r="AR401" i="28"/>
  <c r="AG403" i="28"/>
  <c r="AJ402" i="28"/>
  <c r="AL402" i="28"/>
  <c r="AN402" i="28"/>
  <c r="AP402" i="28"/>
  <c r="AR402" i="28"/>
  <c r="AG404" i="28"/>
  <c r="AJ403" i="28"/>
  <c r="AL403" i="28"/>
  <c r="AN403" i="28"/>
  <c r="AP403" i="28"/>
  <c r="AR403" i="28"/>
  <c r="AG405" i="28"/>
  <c r="AH404" i="28"/>
  <c r="AJ404" i="28"/>
  <c r="AL404" i="28"/>
  <c r="AN404" i="28"/>
  <c r="AP404" i="28"/>
  <c r="AR404" i="28"/>
  <c r="AG406" i="28"/>
  <c r="AJ405" i="28"/>
  <c r="AL405" i="28"/>
  <c r="AN405" i="28"/>
  <c r="AP405" i="28"/>
  <c r="AQ405" i="28"/>
  <c r="AR405" i="28"/>
  <c r="AG407" i="28"/>
  <c r="AJ406" i="28"/>
  <c r="AL406" i="28"/>
  <c r="AN406" i="28"/>
  <c r="AP406" i="28"/>
  <c r="AR406" i="28"/>
  <c r="AG408" i="28"/>
  <c r="AJ407" i="28"/>
  <c r="AL407" i="28"/>
  <c r="AN407" i="28"/>
  <c r="AP407" i="28"/>
  <c r="AR407" i="28"/>
  <c r="AG409" i="28"/>
  <c r="AH408" i="28"/>
  <c r="AJ408" i="28"/>
  <c r="AL408" i="28"/>
  <c r="AN408" i="28"/>
  <c r="AP408" i="28"/>
  <c r="AR408" i="28"/>
  <c r="AG410" i="28"/>
  <c r="AH409" i="28" s="1"/>
  <c r="AJ409" i="28"/>
  <c r="AL409" i="28"/>
  <c r="AN409" i="28"/>
  <c r="AP409" i="28"/>
  <c r="AR409" i="28"/>
  <c r="AG411" i="28"/>
  <c r="AJ410" i="28"/>
  <c r="AL410" i="28"/>
  <c r="AN410" i="28"/>
  <c r="AP410" i="28"/>
  <c r="AR410" i="28"/>
  <c r="AG412" i="28"/>
  <c r="AJ411" i="28"/>
  <c r="AL411" i="28"/>
  <c r="AN411" i="28"/>
  <c r="AP411" i="28"/>
  <c r="AQ411" i="28"/>
  <c r="AR411" i="28"/>
  <c r="AG413" i="28"/>
  <c r="AH412" i="28"/>
  <c r="AJ412" i="28"/>
  <c r="AL412" i="28"/>
  <c r="AN412" i="28"/>
  <c r="AP412" i="28"/>
  <c r="AR412" i="28"/>
  <c r="AG414" i="28"/>
  <c r="AJ413" i="28"/>
  <c r="AL413" i="28"/>
  <c r="AN413" i="28"/>
  <c r="AP413" i="28"/>
  <c r="AR413" i="28"/>
  <c r="AG415" i="28"/>
  <c r="AJ414" i="28"/>
  <c r="AL414" i="28"/>
  <c r="AN414" i="28"/>
  <c r="AP414" i="28"/>
  <c r="AQ414" i="28"/>
  <c r="AR414" i="28"/>
  <c r="AG416" i="28"/>
  <c r="AJ415" i="28"/>
  <c r="AL415" i="28"/>
  <c r="AN415" i="28"/>
  <c r="AP415" i="28"/>
  <c r="AR415" i="28"/>
  <c r="AG417" i="28"/>
  <c r="AH416" i="28"/>
  <c r="AJ416" i="28"/>
  <c r="AL416" i="28"/>
  <c r="AN416" i="28"/>
  <c r="AP416" i="28"/>
  <c r="AR416" i="28"/>
  <c r="AG418" i="28"/>
  <c r="AH417" i="28" s="1"/>
  <c r="AJ417" i="28"/>
  <c r="AL417" i="28"/>
  <c r="AN417" i="28"/>
  <c r="AP417" i="28"/>
  <c r="AR417" i="28"/>
  <c r="AG419" i="28"/>
  <c r="AJ418" i="28"/>
  <c r="AL418" i="28"/>
  <c r="AN418" i="28"/>
  <c r="AP418" i="28"/>
  <c r="AR418" i="28"/>
  <c r="AG420" i="28"/>
  <c r="AJ419" i="28"/>
  <c r="AL419" i="28"/>
  <c r="AN419" i="28"/>
  <c r="AP419" i="28"/>
  <c r="AQ419" i="28"/>
  <c r="AR419" i="28"/>
  <c r="AG421" i="28"/>
  <c r="AH420" i="28"/>
  <c r="AJ420" i="28"/>
  <c r="AL420" i="28"/>
  <c r="AN420" i="28"/>
  <c r="AP420" i="28"/>
  <c r="AR420" i="28"/>
  <c r="AG422" i="28"/>
  <c r="AJ421" i="28"/>
  <c r="AL421" i="28"/>
  <c r="AN421" i="28"/>
  <c r="AP421" i="28"/>
  <c r="AQ421" i="28"/>
  <c r="AR421" i="28"/>
  <c r="AG423" i="28"/>
  <c r="AJ422" i="28"/>
  <c r="AL422" i="28"/>
  <c r="AN422" i="28"/>
  <c r="AP422" i="28"/>
  <c r="AR422" i="28"/>
  <c r="AG424" i="28"/>
  <c r="AJ423" i="28"/>
  <c r="AL423" i="28"/>
  <c r="AN423" i="28"/>
  <c r="AP423" i="28"/>
  <c r="AR423" i="28"/>
  <c r="AG425" i="28"/>
  <c r="AH424" i="28"/>
  <c r="AJ424" i="28"/>
  <c r="AL424" i="28"/>
  <c r="AN424" i="28"/>
  <c r="AP424" i="28"/>
  <c r="AR424" i="28"/>
  <c r="AG426" i="28"/>
  <c r="AH425" i="28" s="1"/>
  <c r="AJ425" i="28"/>
  <c r="AL425" i="28"/>
  <c r="AN425" i="28"/>
  <c r="AP425" i="28"/>
  <c r="AR425" i="28"/>
  <c r="AG427" i="28"/>
  <c r="AJ426" i="28"/>
  <c r="AL426" i="28"/>
  <c r="AN426" i="28"/>
  <c r="AP426" i="28"/>
  <c r="AR426" i="28"/>
  <c r="AG428" i="28"/>
  <c r="AJ427" i="28"/>
  <c r="AL427" i="28"/>
  <c r="AN427" i="28"/>
  <c r="AP427" i="28"/>
  <c r="AQ427" i="28"/>
  <c r="AR427" i="28"/>
  <c r="AG429" i="28"/>
  <c r="AH428" i="28"/>
  <c r="AJ428" i="28"/>
  <c r="AL428" i="28"/>
  <c r="AN428" i="28"/>
  <c r="AP428" i="28"/>
  <c r="AR428" i="28"/>
  <c r="AG430" i="28"/>
  <c r="AJ429" i="28"/>
  <c r="AL429" i="28"/>
  <c r="AN429" i="28"/>
  <c r="AP429" i="28"/>
  <c r="AQ429" i="28"/>
  <c r="AR429" i="28"/>
  <c r="AG431" i="28"/>
  <c r="AJ430" i="28"/>
  <c r="AL430" i="28"/>
  <c r="AN430" i="28"/>
  <c r="AP430" i="28"/>
  <c r="AR430" i="28"/>
  <c r="AG432" i="28"/>
  <c r="AJ431" i="28"/>
  <c r="AL431" i="28"/>
  <c r="AN431" i="28"/>
  <c r="AP431" i="28"/>
  <c r="AR431" i="28"/>
  <c r="AG433" i="28"/>
  <c r="AH432" i="28"/>
  <c r="AJ432" i="28"/>
  <c r="AL432" i="28"/>
  <c r="AN432" i="28"/>
  <c r="AP432" i="28"/>
  <c r="AQ432" i="28"/>
  <c r="AR432" i="28"/>
  <c r="AG434" i="28"/>
  <c r="AH433" i="28" s="1"/>
  <c r="AJ433" i="28"/>
  <c r="AL433" i="28"/>
  <c r="AN433" i="28"/>
  <c r="AP433" i="28"/>
  <c r="AR433" i="28"/>
  <c r="AG435" i="28"/>
  <c r="AJ434" i="28"/>
  <c r="AL434" i="28"/>
  <c r="AN434" i="28"/>
  <c r="AP434" i="28"/>
  <c r="AR434" i="28"/>
  <c r="AG436" i="28"/>
  <c r="AJ435" i="28"/>
  <c r="AL435" i="28"/>
  <c r="AN435" i="28"/>
  <c r="AP435" i="28"/>
  <c r="AQ435" i="28"/>
  <c r="AR435" i="28"/>
  <c r="AG437" i="28"/>
  <c r="AH436" i="28"/>
  <c r="AJ436" i="28"/>
  <c r="AL436" i="28"/>
  <c r="AN436" i="28"/>
  <c r="AP436" i="28"/>
  <c r="AR436" i="28"/>
  <c r="AG438" i="28"/>
  <c r="AJ437" i="28"/>
  <c r="AL437" i="28"/>
  <c r="AN437" i="28"/>
  <c r="AP437" i="28"/>
  <c r="AQ437" i="28"/>
  <c r="AR437" i="28"/>
  <c r="AG439" i="28"/>
  <c r="AJ438" i="28"/>
  <c r="AL438" i="28"/>
  <c r="AN438" i="28"/>
  <c r="AP438" i="28"/>
  <c r="AQ438" i="28"/>
  <c r="AR438" i="28"/>
  <c r="AG440" i="28"/>
  <c r="AJ439" i="28"/>
  <c r="AL439" i="28"/>
  <c r="AN439" i="28"/>
  <c r="AP439" i="28"/>
  <c r="AR439" i="28"/>
  <c r="AG441" i="28"/>
  <c r="AH440" i="28"/>
  <c r="AJ440" i="28"/>
  <c r="AL440" i="28"/>
  <c r="AN440" i="28"/>
  <c r="AP440" i="28"/>
  <c r="AQ440" i="28"/>
  <c r="AR440" i="28"/>
  <c r="AG442" i="28"/>
  <c r="AH441" i="28" s="1"/>
  <c r="AJ441" i="28"/>
  <c r="AL441" i="28"/>
  <c r="AN441" i="28"/>
  <c r="AP441" i="28"/>
  <c r="AR441" i="28"/>
  <c r="AG443" i="28"/>
  <c r="AJ442" i="28"/>
  <c r="AL442" i="28"/>
  <c r="AN442" i="28"/>
  <c r="AP442" i="28"/>
  <c r="AR442" i="28"/>
  <c r="AG444" i="28"/>
  <c r="AJ443" i="28"/>
  <c r="AL443" i="28"/>
  <c r="AN443" i="28"/>
  <c r="AP443" i="28"/>
  <c r="AQ443" i="28"/>
  <c r="AR443" i="28"/>
  <c r="AG445" i="28"/>
  <c r="AH444" i="28"/>
  <c r="AJ444" i="28"/>
  <c r="AL444" i="28"/>
  <c r="AN444" i="28"/>
  <c r="AP444" i="28"/>
  <c r="AR444" i="28"/>
  <c r="AG446" i="28"/>
  <c r="AJ445" i="28"/>
  <c r="AL445" i="28"/>
  <c r="AN445" i="28"/>
  <c r="AP445" i="28"/>
  <c r="AR445" i="28"/>
  <c r="AG447" i="28"/>
  <c r="AJ446" i="28"/>
  <c r="AL446" i="28"/>
  <c r="AN446" i="28"/>
  <c r="AP446" i="28"/>
  <c r="AQ446" i="28"/>
  <c r="AR446" i="28"/>
  <c r="AG448" i="28"/>
  <c r="AJ447" i="28"/>
  <c r="AL447" i="28"/>
  <c r="AN447" i="28"/>
  <c r="AP447" i="28"/>
  <c r="AQ447" i="28"/>
  <c r="AR447" i="28"/>
  <c r="AG449" i="28"/>
  <c r="AH448" i="28"/>
  <c r="AJ448" i="28"/>
  <c r="AL448" i="28"/>
  <c r="AN448" i="28"/>
  <c r="AP448" i="28"/>
  <c r="AR448" i="28"/>
  <c r="AG450" i="28"/>
  <c r="AH449" i="28" s="1"/>
  <c r="AJ449" i="28"/>
  <c r="AL449" i="28"/>
  <c r="AN449" i="28"/>
  <c r="AP449" i="28"/>
  <c r="AQ449" i="28"/>
  <c r="AR449" i="28"/>
  <c r="AG451" i="28"/>
  <c r="AJ450" i="28"/>
  <c r="AL450" i="28"/>
  <c r="AN450" i="28"/>
  <c r="AP450" i="28"/>
  <c r="AQ450" i="28"/>
  <c r="AR450" i="28"/>
  <c r="AG452" i="28"/>
  <c r="AJ451" i="28"/>
  <c r="AK451" i="28"/>
  <c r="AL451" i="28"/>
  <c r="AN451" i="28"/>
  <c r="AP451" i="28"/>
  <c r="AR451" i="28"/>
  <c r="AG453" i="28"/>
  <c r="AH452" i="28"/>
  <c r="AJ452" i="28"/>
  <c r="AL452" i="28"/>
  <c r="AN452" i="28"/>
  <c r="AP452" i="28"/>
  <c r="AQ452" i="28"/>
  <c r="AR452" i="28"/>
  <c r="AG454" i="28"/>
  <c r="AJ453" i="28"/>
  <c r="AL453" i="28"/>
  <c r="AN453" i="28"/>
  <c r="AP453" i="28"/>
  <c r="AR453" i="28"/>
  <c r="AG455" i="28"/>
  <c r="AJ454" i="28"/>
  <c r="AL454" i="28"/>
  <c r="AN454" i="28"/>
  <c r="AP454" i="28"/>
  <c r="AR454" i="28"/>
  <c r="AG456" i="28"/>
  <c r="AJ455" i="28"/>
  <c r="AL455" i="28"/>
  <c r="AN455" i="28"/>
  <c r="AP455" i="28"/>
  <c r="AQ455" i="28"/>
  <c r="AR455" i="28"/>
  <c r="AG457" i="28"/>
  <c r="AH456" i="28"/>
  <c r="AJ456" i="28"/>
  <c r="AL456" i="28"/>
  <c r="AN456" i="28"/>
  <c r="AP456" i="28"/>
  <c r="AR456" i="28"/>
  <c r="AG458" i="28"/>
  <c r="AH457" i="28" s="1"/>
  <c r="AJ457" i="28"/>
  <c r="AL457" i="28"/>
  <c r="AN457" i="28"/>
  <c r="AP457" i="28"/>
  <c r="AQ457" i="28"/>
  <c r="AR457" i="28"/>
  <c r="AG459" i="28"/>
  <c r="AJ458" i="28"/>
  <c r="AL458" i="28"/>
  <c r="AN458" i="28"/>
  <c r="AP458" i="28"/>
  <c r="AQ458" i="28"/>
  <c r="AR458" i="28"/>
  <c r="AG460" i="28"/>
  <c r="AJ459" i="28"/>
  <c r="AL459" i="28"/>
  <c r="AN459" i="28"/>
  <c r="AP459" i="28"/>
  <c r="AR459" i="28"/>
  <c r="AG461" i="28"/>
  <c r="AH460" i="28"/>
  <c r="AJ460" i="28"/>
  <c r="AL460" i="28"/>
  <c r="AN460" i="28"/>
  <c r="AP460" i="28"/>
  <c r="AQ460" i="28"/>
  <c r="AR460" i="28"/>
  <c r="AG462" i="28"/>
  <c r="AJ461" i="28"/>
  <c r="AL461" i="28"/>
  <c r="AN461" i="28"/>
  <c r="AP461" i="28"/>
  <c r="AQ461" i="28"/>
  <c r="AR461" i="28"/>
  <c r="AG463" i="28"/>
  <c r="AJ462" i="28"/>
  <c r="AL462" i="28"/>
  <c r="AN462" i="28"/>
  <c r="AP462" i="28"/>
  <c r="AR462" i="28"/>
  <c r="AG464" i="28"/>
  <c r="AJ463" i="28"/>
  <c r="AL463" i="28"/>
  <c r="AN463" i="28"/>
  <c r="AP463" i="28"/>
  <c r="AR463" i="28"/>
  <c r="AG465" i="28"/>
  <c r="AH464" i="28"/>
  <c r="AJ464" i="28"/>
  <c r="AL464" i="28"/>
  <c r="AN464" i="28"/>
  <c r="AP464" i="28"/>
  <c r="AQ464" i="28"/>
  <c r="AR464" i="28"/>
  <c r="AG466" i="28"/>
  <c r="AH465" i="28" s="1"/>
  <c r="AJ465" i="28"/>
  <c r="AL465" i="28"/>
  <c r="AN465" i="28"/>
  <c r="AP465" i="28"/>
  <c r="AR465" i="28"/>
  <c r="AG467" i="28"/>
  <c r="AJ466" i="28"/>
  <c r="AL466" i="28"/>
  <c r="AN466" i="28"/>
  <c r="AP466" i="28"/>
  <c r="AR466" i="28"/>
  <c r="AG468" i="28"/>
  <c r="AJ467" i="28"/>
  <c r="AL467" i="28"/>
  <c r="AN467" i="28"/>
  <c r="AP467" i="28"/>
  <c r="AQ467" i="28"/>
  <c r="AR467" i="28"/>
  <c r="AG469" i="28"/>
  <c r="AH468" i="28"/>
  <c r="AJ468" i="28"/>
  <c r="AL468" i="28"/>
  <c r="AN468" i="28"/>
  <c r="AP468" i="28"/>
  <c r="AR468" i="28"/>
  <c r="AS468" i="28"/>
  <c r="AG470" i="28"/>
  <c r="AJ469" i="28"/>
  <c r="AL469" i="28"/>
  <c r="AN469" i="28"/>
  <c r="AP469" i="28"/>
  <c r="AQ469" i="28"/>
  <c r="AR469" i="28"/>
  <c r="AG471" i="28"/>
  <c r="AJ470" i="28"/>
  <c r="AL470" i="28"/>
  <c r="AN470" i="28"/>
  <c r="AP470" i="28"/>
  <c r="AQ470" i="28"/>
  <c r="AR470" i="28"/>
  <c r="AG472" i="28"/>
  <c r="AJ471" i="28"/>
  <c r="AL471" i="28"/>
  <c r="AN471" i="28"/>
  <c r="AP471" i="28"/>
  <c r="AR471" i="28"/>
  <c r="AG473" i="28"/>
  <c r="AH472" i="28"/>
  <c r="AJ472" i="28"/>
  <c r="AL472" i="28"/>
  <c r="AN472" i="28"/>
  <c r="AP472" i="28"/>
  <c r="AQ472" i="28"/>
  <c r="AR472" i="28"/>
  <c r="AG474" i="28"/>
  <c r="AH473" i="28" s="1"/>
  <c r="AJ473" i="28"/>
  <c r="AL473" i="28"/>
  <c r="AN473" i="28"/>
  <c r="AP473" i="28"/>
  <c r="AR473" i="28"/>
  <c r="AG475" i="28"/>
  <c r="AJ474" i="28"/>
  <c r="AL474" i="28"/>
  <c r="AN474" i="28"/>
  <c r="AP474" i="28"/>
  <c r="AR474" i="28"/>
  <c r="AG476" i="28"/>
  <c r="AJ475" i="28"/>
  <c r="AL475" i="28"/>
  <c r="AN475" i="28"/>
  <c r="AP475" i="28"/>
  <c r="AQ475" i="28"/>
  <c r="AR475" i="28"/>
  <c r="AG477" i="28"/>
  <c r="AH476" i="28"/>
  <c r="AJ476" i="28"/>
  <c r="AL476" i="28"/>
  <c r="AN476" i="28"/>
  <c r="AP476" i="28"/>
  <c r="AR476" i="28"/>
  <c r="AG478" i="28"/>
  <c r="AJ477" i="28"/>
  <c r="AL477" i="28"/>
  <c r="AN477" i="28"/>
  <c r="AP477" i="28"/>
  <c r="AR477" i="28"/>
  <c r="AG479" i="28"/>
  <c r="AJ478" i="28"/>
  <c r="AL478" i="28"/>
  <c r="AN478" i="28"/>
  <c r="AP478" i="28"/>
  <c r="AQ478" i="28"/>
  <c r="AR478" i="28"/>
  <c r="AG480" i="28"/>
  <c r="AJ479" i="28"/>
  <c r="AL479" i="28"/>
  <c r="AN479" i="28"/>
  <c r="AP479" i="28"/>
  <c r="AQ479" i="28"/>
  <c r="AR479" i="28"/>
  <c r="AG481" i="28"/>
  <c r="AH480" i="28"/>
  <c r="AJ480" i="28"/>
  <c r="AL480" i="28"/>
  <c r="AN480" i="28"/>
  <c r="AP480" i="28"/>
  <c r="AR480" i="28"/>
  <c r="AG482" i="28"/>
  <c r="AH481" i="28" s="1"/>
  <c r="AJ481" i="28"/>
  <c r="AL481" i="28"/>
  <c r="AN481" i="28"/>
  <c r="AP481" i="28"/>
  <c r="AQ481" i="28"/>
  <c r="AR481" i="28"/>
  <c r="AG483" i="28"/>
  <c r="AJ482" i="28"/>
  <c r="AL482" i="28"/>
  <c r="AN482" i="28"/>
  <c r="AP482" i="28"/>
  <c r="AQ482" i="28"/>
  <c r="AR482" i="28"/>
  <c r="AG484" i="28"/>
  <c r="AJ483" i="28"/>
  <c r="AL483" i="28"/>
  <c r="AN483" i="28"/>
  <c r="AP483" i="28"/>
  <c r="AR483" i="28"/>
  <c r="AG485" i="28"/>
  <c r="AH484" i="28"/>
  <c r="AJ484" i="28"/>
  <c r="AL484" i="28"/>
  <c r="AN484" i="28"/>
  <c r="AP484" i="28"/>
  <c r="AQ484" i="28"/>
  <c r="AR484" i="28"/>
  <c r="AG486" i="28"/>
  <c r="AJ485" i="28"/>
  <c r="AL485" i="28"/>
  <c r="AN485" i="28"/>
  <c r="AP485" i="28"/>
  <c r="AR485" i="28"/>
  <c r="AG487" i="28"/>
  <c r="AJ486" i="28"/>
  <c r="AL486" i="28"/>
  <c r="AN486" i="28"/>
  <c r="AP486" i="28"/>
  <c r="AR486" i="28"/>
  <c r="AG488" i="28"/>
  <c r="AJ487" i="28"/>
  <c r="AL487" i="28"/>
  <c r="AN487" i="28"/>
  <c r="AP487" i="28"/>
  <c r="AQ487" i="28"/>
  <c r="AR487" i="28"/>
  <c r="AG489" i="28"/>
  <c r="AH488" i="28"/>
  <c r="AJ488" i="28"/>
  <c r="AL488" i="28"/>
  <c r="AN488" i="28"/>
  <c r="AP488" i="28"/>
  <c r="AR488" i="28"/>
  <c r="AG490" i="28"/>
  <c r="AH489" i="28" s="1"/>
  <c r="AJ489" i="28"/>
  <c r="AL489" i="28"/>
  <c r="AN489" i="28"/>
  <c r="AP489" i="28"/>
  <c r="AQ489" i="28"/>
  <c r="AR489" i="28"/>
  <c r="AG491" i="28"/>
  <c r="AJ490" i="28"/>
  <c r="AL490" i="28"/>
  <c r="AN490" i="28"/>
  <c r="AP490" i="28"/>
  <c r="AQ490" i="28"/>
  <c r="AR490" i="28"/>
  <c r="AG492" i="28"/>
  <c r="AJ491" i="28"/>
  <c r="AK491" i="28"/>
  <c r="AL491" i="28"/>
  <c r="AN491" i="28"/>
  <c r="AP491" i="28"/>
  <c r="AR491" i="28"/>
  <c r="AG493" i="28"/>
  <c r="AH492" i="28"/>
  <c r="AJ492" i="28"/>
  <c r="AL492" i="28"/>
  <c r="AN492" i="28"/>
  <c r="AP492" i="28"/>
  <c r="AQ492" i="28"/>
  <c r="AR492" i="28"/>
  <c r="AG494" i="28"/>
  <c r="AJ493" i="28"/>
  <c r="AL493" i="28"/>
  <c r="AN493" i="28"/>
  <c r="AP493" i="28"/>
  <c r="AQ493" i="28"/>
  <c r="AR493" i="28"/>
  <c r="AG495" i="28"/>
  <c r="AJ494" i="28"/>
  <c r="AL494" i="28"/>
  <c r="AN494" i="28"/>
  <c r="AP494" i="28"/>
  <c r="AR494" i="28"/>
  <c r="AG496" i="28"/>
  <c r="AJ495" i="28"/>
  <c r="AL495" i="28"/>
  <c r="AN495" i="28"/>
  <c r="AP495" i="28"/>
  <c r="AR495" i="28"/>
  <c r="AG497" i="28"/>
  <c r="AH496" i="28"/>
  <c r="AJ496" i="28"/>
  <c r="AL496" i="28"/>
  <c r="AN496" i="28"/>
  <c r="AP496" i="28"/>
  <c r="AQ496" i="28"/>
  <c r="AR496" i="28"/>
  <c r="AG498" i="28"/>
  <c r="AH497" i="28" s="1"/>
  <c r="AJ497" i="28"/>
  <c r="AL497" i="28"/>
  <c r="AN497" i="28"/>
  <c r="AP497" i="28"/>
  <c r="AR497" i="28"/>
  <c r="AG499" i="28"/>
  <c r="AJ498" i="28"/>
  <c r="AL498" i="28"/>
  <c r="AN498" i="28"/>
  <c r="AP498" i="28"/>
  <c r="AR498" i="28"/>
  <c r="AG500" i="28"/>
  <c r="AJ499" i="28"/>
  <c r="AL499" i="28"/>
  <c r="AN499" i="28"/>
  <c r="AP499" i="28"/>
  <c r="AQ499" i="28"/>
  <c r="AR499" i="28"/>
  <c r="AG501" i="28"/>
  <c r="AH500" i="28"/>
  <c r="AJ500" i="28"/>
  <c r="AL500" i="28"/>
  <c r="AN500" i="28"/>
  <c r="AP500" i="28"/>
  <c r="AR500" i="28"/>
  <c r="AG502" i="28"/>
  <c r="AJ501" i="28"/>
  <c r="AL501" i="28"/>
  <c r="AN501" i="28"/>
  <c r="AP501" i="28"/>
  <c r="AQ501" i="28"/>
  <c r="AR501" i="28"/>
  <c r="AG503" i="28"/>
  <c r="AJ502" i="28"/>
  <c r="AL502" i="28"/>
  <c r="AN502" i="28"/>
  <c r="AP502" i="28"/>
  <c r="AQ502" i="28"/>
  <c r="AR502" i="28"/>
  <c r="AG504" i="28"/>
  <c r="AJ503" i="28"/>
  <c r="AL503" i="28"/>
  <c r="AN503" i="28"/>
  <c r="AP503" i="28"/>
  <c r="AR503" i="28"/>
  <c r="AG505" i="28"/>
  <c r="AH504" i="28"/>
  <c r="AJ504" i="28"/>
  <c r="AL504" i="28"/>
  <c r="AN504" i="28"/>
  <c r="AP504" i="28"/>
  <c r="AQ504" i="28"/>
  <c r="AR504" i="28"/>
  <c r="AG506" i="28"/>
  <c r="AH505" i="28" s="1"/>
  <c r="AJ505" i="28"/>
  <c r="AK505" i="28"/>
  <c r="AL505" i="28"/>
  <c r="AN505" i="28"/>
  <c r="AP505" i="28"/>
  <c r="AR505" i="28"/>
  <c r="AG507" i="28"/>
  <c r="AJ506" i="28"/>
  <c r="AL506" i="28"/>
  <c r="AN506" i="28"/>
  <c r="AP506" i="28"/>
  <c r="AQ506" i="28"/>
  <c r="AR506" i="28"/>
  <c r="AG508" i="28"/>
  <c r="AJ507" i="28"/>
  <c r="AL507" i="28"/>
  <c r="AN507" i="28"/>
  <c r="AP507" i="28"/>
  <c r="AQ507" i="28"/>
  <c r="AR507" i="28"/>
  <c r="AG509" i="28"/>
  <c r="AH508" i="28"/>
  <c r="AJ508" i="28"/>
  <c r="AL508" i="28"/>
  <c r="AN508" i="28"/>
  <c r="AP508" i="28"/>
  <c r="AR508" i="28"/>
  <c r="AG510" i="28"/>
  <c r="AJ509" i="28"/>
  <c r="AL509" i="28"/>
  <c r="AN509" i="28"/>
  <c r="AP509" i="28"/>
  <c r="AQ509" i="28"/>
  <c r="AR509" i="28"/>
  <c r="AG511" i="28"/>
  <c r="AJ510" i="28"/>
  <c r="AL510" i="28"/>
  <c r="AN510" i="28"/>
  <c r="AP510" i="28"/>
  <c r="AQ510" i="28"/>
  <c r="AR510" i="28"/>
  <c r="AG512" i="28"/>
  <c r="AJ511" i="28"/>
  <c r="AL511" i="28"/>
  <c r="AN511" i="28"/>
  <c r="AP511" i="28"/>
  <c r="AR511" i="28"/>
  <c r="AG513" i="28"/>
  <c r="AH512" i="28"/>
  <c r="AJ512" i="28"/>
  <c r="AL512" i="28"/>
  <c r="AN512" i="28"/>
  <c r="AP512" i="28"/>
  <c r="AQ512" i="28"/>
  <c r="AR512" i="28"/>
  <c r="AG514" i="28"/>
  <c r="AH513" i="28" s="1"/>
  <c r="AJ513" i="28"/>
  <c r="AL513" i="28"/>
  <c r="AN513" i="28"/>
  <c r="AP513" i="28"/>
  <c r="AQ513" i="28"/>
  <c r="AR513" i="28"/>
  <c r="AG515" i="28"/>
  <c r="AJ514" i="28"/>
  <c r="AL514" i="28"/>
  <c r="AN514" i="28"/>
  <c r="AP514" i="28"/>
  <c r="AR514" i="28"/>
  <c r="AG516" i="28"/>
  <c r="AJ515" i="28"/>
  <c r="AL515" i="28"/>
  <c r="AN515" i="28"/>
  <c r="AP515" i="28"/>
  <c r="AQ515" i="28"/>
  <c r="AR515" i="28"/>
  <c r="AG517" i="28"/>
  <c r="AH516" i="28"/>
  <c r="AJ516" i="28"/>
  <c r="AL516" i="28"/>
  <c r="AN516" i="28"/>
  <c r="AP516" i="28"/>
  <c r="AR516" i="28"/>
  <c r="AG518" i="28"/>
  <c r="AJ517" i="28"/>
  <c r="AL517" i="28"/>
  <c r="AN517" i="28"/>
  <c r="AP517" i="28"/>
  <c r="AQ517" i="28"/>
  <c r="AR517" i="28"/>
  <c r="AG519" i="28"/>
  <c r="AJ518" i="28"/>
  <c r="AL518" i="28"/>
  <c r="AN518" i="28"/>
  <c r="AP518" i="28"/>
  <c r="AQ518" i="28"/>
  <c r="AR518" i="28"/>
  <c r="AG520" i="28"/>
  <c r="AJ519" i="28"/>
  <c r="AL519" i="28"/>
  <c r="AN519" i="28"/>
  <c r="AP519" i="28"/>
  <c r="AQ519" i="28"/>
  <c r="AR519" i="28"/>
  <c r="AG521" i="28"/>
  <c r="AH520" i="28"/>
  <c r="AJ520" i="28"/>
  <c r="AL520" i="28"/>
  <c r="AN520" i="28"/>
  <c r="AP520" i="28"/>
  <c r="AQ520" i="28"/>
  <c r="AR520" i="28"/>
  <c r="AG522" i="28"/>
  <c r="AH521" i="28" s="1"/>
  <c r="AJ521" i="28"/>
  <c r="AL521" i="28"/>
  <c r="AN521" i="28"/>
  <c r="AP521" i="28"/>
  <c r="AQ521" i="28"/>
  <c r="AR521" i="28"/>
  <c r="AG523" i="28"/>
  <c r="AJ522" i="28"/>
  <c r="AL522" i="28"/>
  <c r="AN522" i="28"/>
  <c r="AP522" i="28"/>
  <c r="AQ522" i="28"/>
  <c r="AR522" i="28"/>
  <c r="AG524" i="28"/>
  <c r="AJ523" i="28"/>
  <c r="AL523" i="28"/>
  <c r="AN523" i="28"/>
  <c r="AP523" i="28"/>
  <c r="AQ523" i="28"/>
  <c r="AR523" i="28"/>
  <c r="AG525" i="28"/>
  <c r="AH524" i="28"/>
  <c r="AJ524" i="28"/>
  <c r="AL524" i="28"/>
  <c r="AN524" i="28"/>
  <c r="AP524" i="28"/>
  <c r="AR524" i="28"/>
  <c r="AG526" i="28"/>
  <c r="AJ525" i="28"/>
  <c r="AL525" i="28"/>
  <c r="AN525" i="28"/>
  <c r="AP525" i="28"/>
  <c r="AQ525" i="28"/>
  <c r="AR525" i="28"/>
  <c r="AG527" i="28"/>
  <c r="AJ526" i="28"/>
  <c r="AL526" i="28"/>
  <c r="AN526" i="28"/>
  <c r="AP526" i="28"/>
  <c r="AQ526" i="28"/>
  <c r="AR526" i="28"/>
  <c r="AG528" i="28"/>
  <c r="AJ527" i="28"/>
  <c r="AL527" i="28"/>
  <c r="AN527" i="28"/>
  <c r="AP527" i="28"/>
  <c r="AQ527" i="28"/>
  <c r="AR527" i="28"/>
  <c r="AG529" i="28"/>
  <c r="AH528" i="28"/>
  <c r="AJ528" i="28"/>
  <c r="AL528" i="28"/>
  <c r="AN528" i="28"/>
  <c r="AP528" i="28"/>
  <c r="AQ528" i="28"/>
  <c r="AR528" i="28"/>
  <c r="AG530" i="28"/>
  <c r="AH529" i="28" s="1"/>
  <c r="AJ529" i="28"/>
  <c r="AL529" i="28"/>
  <c r="AN529" i="28"/>
  <c r="AP529" i="28"/>
  <c r="AQ529" i="28"/>
  <c r="AR529" i="28"/>
  <c r="AS529" i="28"/>
  <c r="AG531" i="28"/>
  <c r="AJ530" i="28"/>
  <c r="AL530" i="28"/>
  <c r="AN530" i="28"/>
  <c r="AP530" i="28"/>
  <c r="AR530" i="28"/>
  <c r="AG532" i="28"/>
  <c r="AJ531" i="28"/>
  <c r="AL531" i="28"/>
  <c r="AN531" i="28"/>
  <c r="AP531" i="28"/>
  <c r="AQ531" i="28"/>
  <c r="AR531" i="28"/>
  <c r="AG533" i="28"/>
  <c r="AH532" i="28"/>
  <c r="AJ532" i="28"/>
  <c r="AL532" i="28"/>
  <c r="AN532" i="28"/>
  <c r="AP532" i="28"/>
  <c r="AR532" i="28"/>
  <c r="AG534" i="28"/>
  <c r="AJ533" i="28"/>
  <c r="AL533" i="28"/>
  <c r="AN533" i="28"/>
  <c r="AP533" i="28"/>
  <c r="AQ533" i="28"/>
  <c r="AR533" i="28"/>
  <c r="AG535" i="28"/>
  <c r="AJ534" i="28"/>
  <c r="AL534" i="28"/>
  <c r="AN534" i="28"/>
  <c r="AP534" i="28"/>
  <c r="AQ534" i="28"/>
  <c r="AR534" i="28"/>
  <c r="AG536" i="28"/>
  <c r="AJ535" i="28"/>
  <c r="AL535" i="28"/>
  <c r="AN535" i="28"/>
  <c r="AP535" i="28"/>
  <c r="AQ535" i="28"/>
  <c r="AR535" i="28"/>
  <c r="AG537" i="28"/>
  <c r="AH536" i="28"/>
  <c r="AJ536" i="28"/>
  <c r="AL536" i="28"/>
  <c r="AN536" i="28"/>
  <c r="AP536" i="28"/>
  <c r="AR536" i="28"/>
  <c r="AG538" i="28"/>
  <c r="AJ537" i="28"/>
  <c r="AL537" i="28"/>
  <c r="AN537" i="28"/>
  <c r="AP537" i="28"/>
  <c r="AQ537" i="28"/>
  <c r="AR537" i="28"/>
  <c r="AG539" i="28"/>
  <c r="AJ538" i="28"/>
  <c r="AL538" i="28"/>
  <c r="AN538" i="28"/>
  <c r="AP538" i="28"/>
  <c r="AQ538" i="28"/>
  <c r="AR538" i="28"/>
  <c r="AG540" i="28"/>
  <c r="AJ539" i="28"/>
  <c r="AL539" i="28"/>
  <c r="AN539" i="28"/>
  <c r="AP539" i="28"/>
  <c r="AQ539" i="28"/>
  <c r="AR539" i="28"/>
  <c r="AG541" i="28"/>
  <c r="AH540" i="28"/>
  <c r="AJ540" i="28"/>
  <c r="AL540" i="28"/>
  <c r="AN540" i="28"/>
  <c r="AP540" i="28"/>
  <c r="AR540" i="28"/>
  <c r="AG542" i="28"/>
  <c r="AJ541" i="28"/>
  <c r="AL541" i="28"/>
  <c r="AN541" i="28"/>
  <c r="AP541" i="28"/>
  <c r="AQ541" i="28"/>
  <c r="AR541" i="28"/>
  <c r="AG543" i="28"/>
  <c r="AJ542" i="28"/>
  <c r="AL542" i="28"/>
  <c r="AN542" i="28"/>
  <c r="AP542" i="28"/>
  <c r="AQ542" i="28"/>
  <c r="AR542" i="28"/>
  <c r="AG544" i="28"/>
  <c r="AJ543" i="28"/>
  <c r="AL543" i="28"/>
  <c r="AN543" i="28"/>
  <c r="AP543" i="28"/>
  <c r="AR543" i="28"/>
  <c r="AG545" i="28"/>
  <c r="AH544" i="28"/>
  <c r="AJ544" i="28"/>
  <c r="AL544" i="28"/>
  <c r="AN544" i="28"/>
  <c r="AP544" i="28"/>
  <c r="AQ544" i="28"/>
  <c r="AR544" i="28"/>
  <c r="AG546" i="28"/>
  <c r="AJ545" i="28"/>
  <c r="AL545" i="28"/>
  <c r="AN545" i="28"/>
  <c r="AP545" i="28"/>
  <c r="AQ545" i="28"/>
  <c r="AR545" i="28"/>
  <c r="AG547" i="28"/>
  <c r="AJ546" i="28"/>
  <c r="AL546" i="28"/>
  <c r="AN546" i="28"/>
  <c r="AP546" i="28"/>
  <c r="AQ546" i="28"/>
  <c r="AR546" i="28"/>
  <c r="AG548" i="28"/>
  <c r="AJ547" i="28"/>
  <c r="AL547" i="28"/>
  <c r="AN547" i="28"/>
  <c r="AP547" i="28"/>
  <c r="AQ547" i="28"/>
  <c r="AR547" i="28"/>
  <c r="AG549" i="28"/>
  <c r="AH548" i="28"/>
  <c r="AJ548" i="28"/>
  <c r="AL548" i="28"/>
  <c r="AN548" i="28"/>
  <c r="AP548" i="28"/>
  <c r="AQ548" i="28"/>
  <c r="AR548" i="28"/>
  <c r="AG550" i="28"/>
  <c r="AJ549" i="28"/>
  <c r="AL549" i="28"/>
  <c r="AN549" i="28"/>
  <c r="AP549" i="28"/>
  <c r="AQ549" i="28"/>
  <c r="AR549" i="28"/>
  <c r="AG551" i="28"/>
  <c r="AJ550" i="28"/>
  <c r="AL550" i="28"/>
  <c r="AN550" i="28"/>
  <c r="AP550" i="28"/>
  <c r="AQ550" i="28"/>
  <c r="AR550" i="28"/>
  <c r="AG552" i="28"/>
  <c r="AJ551" i="28"/>
  <c r="AL551" i="28"/>
  <c r="AN551" i="28"/>
  <c r="AP551" i="28"/>
  <c r="AR551" i="28"/>
  <c r="AG553" i="28"/>
  <c r="AH552" i="28"/>
  <c r="AJ552" i="28"/>
  <c r="AL552" i="28"/>
  <c r="AN552" i="28"/>
  <c r="AP552" i="28"/>
  <c r="AQ552" i="28"/>
  <c r="AR552" i="28"/>
  <c r="AG554" i="28"/>
  <c r="AJ553" i="28"/>
  <c r="AL553" i="28"/>
  <c r="AN553" i="28"/>
  <c r="AP553" i="28"/>
  <c r="AQ553" i="28"/>
  <c r="AR553" i="28"/>
  <c r="AG555" i="28"/>
  <c r="AJ554" i="28"/>
  <c r="AL554" i="28"/>
  <c r="AN554" i="28"/>
  <c r="AP554" i="28"/>
  <c r="AQ554" i="28"/>
  <c r="AR554" i="28"/>
  <c r="AG556" i="28"/>
  <c r="AJ555" i="28"/>
  <c r="AL555" i="28"/>
  <c r="AN555" i="28"/>
  <c r="AP555" i="28"/>
  <c r="AQ555" i="28"/>
  <c r="AR555" i="28"/>
  <c r="AS555" i="28"/>
  <c r="AG557" i="28"/>
  <c r="AH556" i="28"/>
  <c r="AJ556" i="28"/>
  <c r="AK556" i="28"/>
  <c r="AL556" i="28"/>
  <c r="AN556" i="28"/>
  <c r="AP556" i="28"/>
  <c r="AR556" i="28"/>
  <c r="AG558" i="28"/>
  <c r="AJ557" i="28"/>
  <c r="AL557" i="28"/>
  <c r="AN557" i="28"/>
  <c r="AP557" i="28"/>
  <c r="AQ557" i="28"/>
  <c r="AR557" i="28"/>
  <c r="AG559" i="28"/>
  <c r="AJ558" i="28"/>
  <c r="AL558" i="28"/>
  <c r="AN558" i="28"/>
  <c r="AP558" i="28"/>
  <c r="AQ558" i="28"/>
  <c r="AR558" i="28"/>
  <c r="AG560" i="28"/>
  <c r="AJ559" i="28"/>
  <c r="AL559" i="28"/>
  <c r="AN559" i="28"/>
  <c r="AP559" i="28"/>
  <c r="AR559" i="28"/>
  <c r="AG561" i="28"/>
  <c r="AH560" i="28"/>
  <c r="AJ560" i="28"/>
  <c r="AL560" i="28"/>
  <c r="AN560" i="28"/>
  <c r="AP560" i="28"/>
  <c r="AQ560" i="28"/>
  <c r="AR560" i="28"/>
  <c r="AG562" i="28"/>
  <c r="AJ561" i="28"/>
  <c r="AL561" i="28"/>
  <c r="AN561" i="28"/>
  <c r="AP561" i="28"/>
  <c r="AQ561" i="28"/>
  <c r="AR561" i="28"/>
  <c r="AG563" i="28"/>
  <c r="AJ562" i="28"/>
  <c r="AL562" i="28"/>
  <c r="AN562" i="28"/>
  <c r="AP562" i="28"/>
  <c r="AQ562" i="28"/>
  <c r="AR562" i="28"/>
  <c r="AG564" i="28"/>
  <c r="AJ563" i="28"/>
  <c r="AL563" i="28"/>
  <c r="AN563" i="28"/>
  <c r="AP563" i="28"/>
  <c r="AQ563" i="28"/>
  <c r="AR563" i="28"/>
  <c r="AG565" i="28"/>
  <c r="AH564" i="28"/>
  <c r="AJ564" i="28"/>
  <c r="AL564" i="28"/>
  <c r="AN564" i="28"/>
  <c r="AP564" i="28"/>
  <c r="AQ564" i="28"/>
  <c r="AR564" i="28"/>
  <c r="AG566" i="28"/>
  <c r="AJ565" i="28"/>
  <c r="AL565" i="28"/>
  <c r="AN565" i="28"/>
  <c r="AP565" i="28"/>
  <c r="AQ565" i="28"/>
  <c r="AR565" i="28"/>
  <c r="AG567" i="28"/>
  <c r="AJ566" i="28"/>
  <c r="AL566" i="28"/>
  <c r="AN566" i="28"/>
  <c r="AP566" i="28"/>
  <c r="AQ566" i="28"/>
  <c r="AR566" i="28"/>
  <c r="AS566" i="28"/>
  <c r="AG568" i="28"/>
  <c r="AJ567" i="28"/>
  <c r="AL567" i="28"/>
  <c r="AN567" i="28"/>
  <c r="AP567" i="28"/>
  <c r="AR567" i="28"/>
  <c r="AG569" i="28"/>
  <c r="AH568" i="28"/>
  <c r="AJ568" i="28"/>
  <c r="AL568" i="28"/>
  <c r="AN568" i="28"/>
  <c r="AP568" i="28"/>
  <c r="AQ568" i="28"/>
  <c r="AR568" i="28"/>
  <c r="AG570" i="28"/>
  <c r="AJ569" i="28"/>
  <c r="AL569" i="28"/>
  <c r="AN569" i="28"/>
  <c r="AP569" i="28"/>
  <c r="AQ569" i="28"/>
  <c r="AR569" i="28"/>
  <c r="AG571" i="28"/>
  <c r="AJ570" i="28"/>
  <c r="AL570" i="28"/>
  <c r="AN570" i="28"/>
  <c r="AP570" i="28"/>
  <c r="AQ570" i="28"/>
  <c r="AR570" i="28"/>
  <c r="AG572" i="28"/>
  <c r="AJ571" i="28"/>
  <c r="AL571" i="28"/>
  <c r="AN571" i="28"/>
  <c r="AP571" i="28"/>
  <c r="AQ571" i="28"/>
  <c r="AR571" i="28"/>
  <c r="AG573" i="28"/>
  <c r="AH572" i="28"/>
  <c r="AJ572" i="28"/>
  <c r="AL572" i="28"/>
  <c r="AN572" i="28"/>
  <c r="AP572" i="28"/>
  <c r="AR572" i="28"/>
  <c r="AG574" i="28"/>
  <c r="AJ573" i="28"/>
  <c r="AL573" i="28"/>
  <c r="AN573" i="28"/>
  <c r="AP573" i="28"/>
  <c r="AQ573" i="28"/>
  <c r="AR573" i="28"/>
  <c r="AG575" i="28"/>
  <c r="AJ574" i="28"/>
  <c r="AL574" i="28"/>
  <c r="AN574" i="28"/>
  <c r="AP574" i="28"/>
  <c r="AQ574" i="28"/>
  <c r="AR574" i="28"/>
  <c r="AG576" i="28"/>
  <c r="AJ575" i="28"/>
  <c r="AL575" i="28"/>
  <c r="AN575" i="28"/>
  <c r="AP575" i="28"/>
  <c r="AR575" i="28"/>
  <c r="AG577" i="28"/>
  <c r="AH576" i="28"/>
  <c r="AJ576" i="28"/>
  <c r="AL576" i="28"/>
  <c r="AN576" i="28"/>
  <c r="AP576" i="28"/>
  <c r="AQ576" i="28"/>
  <c r="AR576" i="28"/>
  <c r="AG578" i="28"/>
  <c r="AJ577" i="28"/>
  <c r="AL577" i="28"/>
  <c r="AN577" i="28"/>
  <c r="AP577" i="28"/>
  <c r="AQ577" i="28"/>
  <c r="AR577" i="28"/>
  <c r="AG579" i="28"/>
  <c r="AJ578" i="28"/>
  <c r="AL578" i="28"/>
  <c r="AN578" i="28"/>
  <c r="AP578" i="28"/>
  <c r="AQ578" i="28"/>
  <c r="AR578" i="28"/>
  <c r="AG580" i="28"/>
  <c r="AH579" i="28" s="1"/>
  <c r="AJ579" i="28"/>
  <c r="AL579" i="28"/>
  <c r="AN579" i="28"/>
  <c r="AP579" i="28"/>
  <c r="AQ579" i="28"/>
  <c r="AR579" i="28"/>
  <c r="AG581" i="28"/>
  <c r="AH580" i="28"/>
  <c r="AJ580" i="28"/>
  <c r="AL580" i="28"/>
  <c r="AN580" i="28"/>
  <c r="AP580" i="28"/>
  <c r="AQ580" i="28"/>
  <c r="AR580" i="28"/>
  <c r="AS580" i="28"/>
  <c r="AG582" i="28"/>
  <c r="AJ581" i="28"/>
  <c r="AL581" i="28"/>
  <c r="AN581" i="28"/>
  <c r="AP581" i="28"/>
  <c r="AQ581" i="28"/>
  <c r="AR581" i="28"/>
  <c r="AG583" i="28"/>
  <c r="AJ582" i="28"/>
  <c r="AL582" i="28"/>
  <c r="AN582" i="28"/>
  <c r="AP582" i="28"/>
  <c r="AQ582" i="28"/>
  <c r="AR582" i="28"/>
  <c r="AG584" i="28"/>
  <c r="AJ583" i="28"/>
  <c r="AL583" i="28"/>
  <c r="AN583" i="28"/>
  <c r="AP583" i="28"/>
  <c r="AQ583" i="28"/>
  <c r="AR583" i="28"/>
  <c r="AS583" i="28"/>
  <c r="AG585" i="28"/>
  <c r="AH584" i="28"/>
  <c r="AJ584" i="28"/>
  <c r="AK584" i="28"/>
  <c r="AL584" i="28"/>
  <c r="AN584" i="28"/>
  <c r="AP584" i="28"/>
  <c r="AQ584" i="28"/>
  <c r="AR584" i="28"/>
  <c r="AG586" i="28"/>
  <c r="AH585" i="28" s="1"/>
  <c r="AJ585" i="28"/>
  <c r="AL585" i="28"/>
  <c r="AN585" i="28"/>
  <c r="AP585" i="28"/>
  <c r="AQ585" i="28"/>
  <c r="AR585" i="28"/>
  <c r="AG587" i="28"/>
  <c r="AH586" i="28"/>
  <c r="AJ586" i="28"/>
  <c r="AL586" i="28"/>
  <c r="AN586" i="28"/>
  <c r="AP586" i="28"/>
  <c r="AQ586" i="28"/>
  <c r="AR586" i="28"/>
  <c r="AG588" i="28"/>
  <c r="AH587" i="28" s="1"/>
  <c r="AJ587" i="28"/>
  <c r="AL587" i="28"/>
  <c r="AN587" i="28"/>
  <c r="AP587" i="28"/>
  <c r="AQ587" i="28"/>
  <c r="AR587" i="28"/>
  <c r="AG589" i="28"/>
  <c r="AH588" i="28"/>
  <c r="AJ588" i="28"/>
  <c r="AL588" i="28"/>
  <c r="AN588" i="28"/>
  <c r="AP588" i="28"/>
  <c r="AQ588" i="28"/>
  <c r="AR588" i="28"/>
  <c r="AG590" i="28"/>
  <c r="AJ589" i="28"/>
  <c r="AL589" i="28"/>
  <c r="AN589" i="28"/>
  <c r="AP589" i="28"/>
  <c r="AQ589" i="28"/>
  <c r="AR589" i="28"/>
  <c r="AG591" i="28"/>
  <c r="AJ590" i="28"/>
  <c r="AL590" i="28"/>
  <c r="AN590" i="28"/>
  <c r="AP590" i="28"/>
  <c r="AQ590" i="28"/>
  <c r="AR590" i="28"/>
  <c r="AG592" i="28"/>
  <c r="AJ591" i="28"/>
  <c r="AL591" i="28"/>
  <c r="AN591" i="28"/>
  <c r="AP591" i="28"/>
  <c r="AQ591" i="28"/>
  <c r="AR591" i="28"/>
  <c r="AG593" i="28"/>
  <c r="AH592" i="28"/>
  <c r="AJ592" i="28"/>
  <c r="AL592" i="28"/>
  <c r="AN592" i="28"/>
  <c r="AP592" i="28"/>
  <c r="AQ592" i="28"/>
  <c r="AR592" i="28"/>
  <c r="AG594" i="28"/>
  <c r="AH593" i="28" s="1"/>
  <c r="AJ593" i="28"/>
  <c r="AL593" i="28"/>
  <c r="AN593" i="28"/>
  <c r="AP593" i="28"/>
  <c r="AQ593" i="28"/>
  <c r="AR593" i="28"/>
  <c r="AG595" i="28"/>
  <c r="AH594" i="28"/>
  <c r="AJ594" i="28"/>
  <c r="AL594" i="28"/>
  <c r="AN594" i="28"/>
  <c r="AP594" i="28"/>
  <c r="AQ594" i="28"/>
  <c r="AR594" i="28"/>
  <c r="AG596" i="28"/>
  <c r="AH595" i="28" s="1"/>
  <c r="AJ595" i="28"/>
  <c r="AL595" i="28"/>
  <c r="AN595" i="28"/>
  <c r="AP595" i="28"/>
  <c r="AQ595" i="28"/>
  <c r="AR595" i="28"/>
  <c r="AG597" i="28"/>
  <c r="AH596" i="28"/>
  <c r="AJ596" i="28"/>
  <c r="AL596" i="28"/>
  <c r="AN596" i="28"/>
  <c r="AP596" i="28"/>
  <c r="AQ596" i="28"/>
  <c r="AR596" i="28"/>
  <c r="AG598" i="28"/>
  <c r="AJ597" i="28"/>
  <c r="AL597" i="28"/>
  <c r="AN597" i="28"/>
  <c r="AP597" i="28"/>
  <c r="AQ597" i="28"/>
  <c r="AR597" i="28"/>
  <c r="AG599" i="28"/>
  <c r="AJ598" i="28"/>
  <c r="AL598" i="28"/>
  <c r="AN598" i="28"/>
  <c r="AP598" i="28"/>
  <c r="AQ598" i="28"/>
  <c r="AR598" i="28"/>
  <c r="AG600" i="28"/>
  <c r="AJ599" i="28"/>
  <c r="AL599" i="28"/>
  <c r="AN599" i="28"/>
  <c r="AP599" i="28"/>
  <c r="AQ599" i="28"/>
  <c r="AR599" i="28"/>
  <c r="AG601" i="28"/>
  <c r="AH600" i="28"/>
  <c r="AJ600" i="28"/>
  <c r="AL600" i="28"/>
  <c r="AN600" i="28"/>
  <c r="AP600" i="28"/>
  <c r="AQ600" i="28"/>
  <c r="AR600" i="28"/>
  <c r="AG602" i="28"/>
  <c r="AH601" i="28" s="1"/>
  <c r="AJ601" i="28"/>
  <c r="AL601" i="28"/>
  <c r="AN601" i="28"/>
  <c r="AP601" i="28"/>
  <c r="AQ601" i="28"/>
  <c r="AR601" i="28"/>
  <c r="AG603" i="28"/>
  <c r="AH602" i="28"/>
  <c r="AJ602" i="28"/>
  <c r="AL602" i="28"/>
  <c r="AN602" i="28"/>
  <c r="AP602" i="28"/>
  <c r="AQ602" i="28"/>
  <c r="AR602" i="28"/>
  <c r="AG604" i="28"/>
  <c r="AH603" i="28" s="1"/>
  <c r="AJ603" i="28"/>
  <c r="AL603" i="28"/>
  <c r="AN603" i="28"/>
  <c r="AP603" i="28"/>
  <c r="AQ603" i="28"/>
  <c r="AR603" i="28"/>
  <c r="AG605" i="28"/>
  <c r="AH604" i="28"/>
  <c r="AJ604" i="28"/>
  <c r="AL604" i="28"/>
  <c r="AN604" i="28"/>
  <c r="AP604" i="28"/>
  <c r="AQ604" i="28"/>
  <c r="AR604" i="28"/>
  <c r="AG606" i="28"/>
  <c r="AJ605" i="28"/>
  <c r="AL605" i="28"/>
  <c r="AN605" i="28"/>
  <c r="AP605" i="28"/>
  <c r="AQ605" i="28"/>
  <c r="AR605" i="28"/>
  <c r="AG607" i="28"/>
  <c r="AJ606" i="28"/>
  <c r="AL606" i="28"/>
  <c r="AN606" i="28"/>
  <c r="AP606" i="28"/>
  <c r="AQ606" i="28"/>
  <c r="AR606" i="28"/>
  <c r="AG608" i="28"/>
  <c r="AJ607" i="28"/>
  <c r="AL607" i="28"/>
  <c r="AN607" i="28"/>
  <c r="AP607" i="28"/>
  <c r="AQ607" i="28"/>
  <c r="AR607" i="28"/>
  <c r="AG609" i="28"/>
  <c r="AH608" i="28"/>
  <c r="AJ608" i="28"/>
  <c r="AL608" i="28"/>
  <c r="AN608" i="28"/>
  <c r="AP608" i="28"/>
  <c r="AQ608" i="28"/>
  <c r="AR608" i="28"/>
  <c r="AG610" i="28"/>
  <c r="AH609" i="28" s="1"/>
  <c r="AJ609" i="28"/>
  <c r="AL609" i="28"/>
  <c r="AN609" i="28"/>
  <c r="AP609" i="28"/>
  <c r="AQ609" i="28"/>
  <c r="AR609" i="28"/>
  <c r="AG611" i="28"/>
  <c r="AH610" i="28"/>
  <c r="AJ610" i="28"/>
  <c r="AL610" i="28"/>
  <c r="AN610" i="28"/>
  <c r="AP610" i="28"/>
  <c r="AQ610" i="28"/>
  <c r="AR610" i="28"/>
  <c r="AG612" i="28"/>
  <c r="AH611" i="28" s="1"/>
  <c r="AJ611" i="28"/>
  <c r="AL611" i="28"/>
  <c r="AN611" i="28"/>
  <c r="AP611" i="28"/>
  <c r="AQ611" i="28"/>
  <c r="AR611" i="28"/>
  <c r="AG613" i="28"/>
  <c r="AH612" i="28"/>
  <c r="AJ612" i="28"/>
  <c r="AL612" i="28"/>
  <c r="AN612" i="28"/>
  <c r="AP612" i="28"/>
  <c r="AQ612" i="28"/>
  <c r="AR612" i="28"/>
  <c r="AG614" i="28"/>
  <c r="AJ613" i="28"/>
  <c r="AL613" i="28"/>
  <c r="AN613" i="28"/>
  <c r="AP613" i="28"/>
  <c r="AQ613" i="28"/>
  <c r="AR613" i="28"/>
  <c r="AG615" i="28"/>
  <c r="AJ614" i="28"/>
  <c r="AL614" i="28"/>
  <c r="AN614" i="28"/>
  <c r="AP614" i="28"/>
  <c r="AQ614" i="28"/>
  <c r="AR614" i="28"/>
  <c r="AG616" i="28"/>
  <c r="AJ615" i="28"/>
  <c r="AL615" i="28"/>
  <c r="AN615" i="28"/>
  <c r="AP615" i="28"/>
  <c r="AQ615" i="28"/>
  <c r="AR615" i="28"/>
  <c r="AG617" i="28"/>
  <c r="AH616" i="28"/>
  <c r="AJ616" i="28"/>
  <c r="AL616" i="28"/>
  <c r="AN616" i="28"/>
  <c r="AP616" i="28"/>
  <c r="AQ616" i="28"/>
  <c r="AR616" i="28"/>
  <c r="AG618" i="28"/>
  <c r="AH617" i="28" s="1"/>
  <c r="AJ617" i="28"/>
  <c r="AL617" i="28"/>
  <c r="AN617" i="28"/>
  <c r="AP617" i="28"/>
  <c r="AQ617" i="28"/>
  <c r="AR617" i="28"/>
  <c r="AG619" i="28"/>
  <c r="AH618" i="28"/>
  <c r="AJ618" i="28"/>
  <c r="AL618" i="28"/>
  <c r="AN618" i="28"/>
  <c r="AP618" i="28"/>
  <c r="AQ618" i="28"/>
  <c r="AR618" i="28"/>
  <c r="AG620" i="28"/>
  <c r="AH619" i="28" s="1"/>
  <c r="AJ619" i="28"/>
  <c r="AL619" i="28"/>
  <c r="AN619" i="28"/>
  <c r="AP619" i="28"/>
  <c r="AQ619" i="28"/>
  <c r="AR619" i="28"/>
  <c r="AG621" i="28"/>
  <c r="AH620" i="28"/>
  <c r="AJ620" i="28"/>
  <c r="AL620" i="28"/>
  <c r="AN620" i="28"/>
  <c r="AP620" i="28"/>
  <c r="AQ620" i="28"/>
  <c r="AR620" i="28"/>
  <c r="AG622" i="28"/>
  <c r="AJ621" i="28"/>
  <c r="AL621" i="28"/>
  <c r="AN621" i="28"/>
  <c r="AP621" i="28"/>
  <c r="AQ621" i="28"/>
  <c r="AR621" i="28"/>
  <c r="AG623" i="28"/>
  <c r="AJ622" i="28"/>
  <c r="AL622" i="28"/>
  <c r="AN622" i="28"/>
  <c r="AP622" i="28"/>
  <c r="AQ622" i="28"/>
  <c r="AR622" i="28"/>
  <c r="AG624" i="28"/>
  <c r="AJ623" i="28"/>
  <c r="AL623" i="28"/>
  <c r="AN623" i="28"/>
  <c r="AP623" i="28"/>
  <c r="AQ623" i="28"/>
  <c r="AR623" i="28"/>
  <c r="AG625" i="28"/>
  <c r="AH624" i="28"/>
  <c r="AJ624" i="28"/>
  <c r="AL624" i="28"/>
  <c r="AN624" i="28"/>
  <c r="AP624" i="28"/>
  <c r="AQ624" i="28"/>
  <c r="AR624" i="28"/>
  <c r="AG626" i="28"/>
  <c r="AH625" i="28" s="1"/>
  <c r="AJ625" i="28"/>
  <c r="AL625" i="28"/>
  <c r="AN625" i="28"/>
  <c r="AP625" i="28"/>
  <c r="AQ625" i="28"/>
  <c r="AR625" i="28"/>
  <c r="AG627" i="28"/>
  <c r="AH626" i="28"/>
  <c r="AJ626" i="28"/>
  <c r="AL626" i="28"/>
  <c r="AN626" i="28"/>
  <c r="AP626" i="28"/>
  <c r="AQ626" i="28"/>
  <c r="AR626" i="28"/>
  <c r="AG628" i="28"/>
  <c r="AH627" i="28" s="1"/>
  <c r="AJ627" i="28"/>
  <c r="AL627" i="28"/>
  <c r="AN627" i="28"/>
  <c r="AP627" i="28"/>
  <c r="AQ627" i="28"/>
  <c r="AR627" i="28"/>
  <c r="AG629" i="28"/>
  <c r="AH628" i="28"/>
  <c r="AJ628" i="28"/>
  <c r="AL628" i="28"/>
  <c r="AN628" i="28"/>
  <c r="AP628" i="28"/>
  <c r="AQ628" i="28"/>
  <c r="AR628" i="28"/>
  <c r="AG630" i="28"/>
  <c r="AJ629" i="28"/>
  <c r="AL629" i="28"/>
  <c r="AN629" i="28"/>
  <c r="AP629" i="28"/>
  <c r="AQ629" i="28"/>
  <c r="AR629" i="28"/>
  <c r="AG631" i="28"/>
  <c r="AJ630" i="28"/>
  <c r="AL630" i="28"/>
  <c r="AN630" i="28"/>
  <c r="AP630" i="28"/>
  <c r="AQ630" i="28"/>
  <c r="AR630" i="28"/>
  <c r="AG632" i="28"/>
  <c r="AJ631" i="28"/>
  <c r="AL631" i="28"/>
  <c r="AN631" i="28"/>
  <c r="AP631" i="28"/>
  <c r="AQ631" i="28"/>
  <c r="AR631" i="28"/>
  <c r="AG633" i="28"/>
  <c r="AH632" i="28"/>
  <c r="AJ632" i="28"/>
  <c r="AL632" i="28"/>
  <c r="AN632" i="28"/>
  <c r="AP632" i="28"/>
  <c r="AQ632" i="28"/>
  <c r="AR632" i="28"/>
  <c r="AG634" i="28"/>
  <c r="AH633" i="28" s="1"/>
  <c r="AJ633" i="28"/>
  <c r="AL633" i="28"/>
  <c r="AN633" i="28"/>
  <c r="AP633" i="28"/>
  <c r="AQ633" i="28"/>
  <c r="AR633" i="28"/>
  <c r="AG635" i="28"/>
  <c r="AH634" i="28"/>
  <c r="AJ634" i="28"/>
  <c r="AL634" i="28"/>
  <c r="AN634" i="28"/>
  <c r="AP634" i="28"/>
  <c r="AQ634" i="28"/>
  <c r="AR634" i="28"/>
  <c r="AG636" i="28"/>
  <c r="AH635" i="28" s="1"/>
  <c r="AJ635" i="28"/>
  <c r="AL635" i="28"/>
  <c r="AN635" i="28"/>
  <c r="AP635" i="28"/>
  <c r="AQ635" i="28"/>
  <c r="AR635" i="28"/>
  <c r="AG637" i="28"/>
  <c r="AH636" i="28"/>
  <c r="AJ636" i="28"/>
  <c r="AL636" i="28"/>
  <c r="AN636" i="28"/>
  <c r="AP636" i="28"/>
  <c r="AQ636" i="28"/>
  <c r="AR636" i="28"/>
  <c r="AG638" i="28"/>
  <c r="AJ637" i="28"/>
  <c r="AL637" i="28"/>
  <c r="AN637" i="28"/>
  <c r="AP637" i="28"/>
  <c r="AQ637" i="28"/>
  <c r="AR637" i="28"/>
  <c r="AG639" i="28"/>
  <c r="AJ638" i="28"/>
  <c r="AL638" i="28"/>
  <c r="AN638" i="28"/>
  <c r="AP638" i="28"/>
  <c r="AQ638" i="28"/>
  <c r="AR638" i="28"/>
  <c r="AG640" i="28"/>
  <c r="AJ639" i="28"/>
  <c r="AL639" i="28"/>
  <c r="AN639" i="28"/>
  <c r="AP639" i="28"/>
  <c r="AQ639" i="28"/>
  <c r="AR639" i="28"/>
  <c r="AG641" i="28"/>
  <c r="AH640" i="28"/>
  <c r="AJ640" i="28"/>
  <c r="AL640" i="28"/>
  <c r="AN640" i="28"/>
  <c r="AP640" i="28"/>
  <c r="AQ640" i="28"/>
  <c r="AR640" i="28"/>
  <c r="AG642" i="28"/>
  <c r="AH641" i="28" s="1"/>
  <c r="AJ641" i="28"/>
  <c r="AL641" i="28"/>
  <c r="AN641" i="28"/>
  <c r="AP641" i="28"/>
  <c r="AQ641" i="28"/>
  <c r="AR641" i="28"/>
  <c r="AG643" i="28"/>
  <c r="AH642" i="28"/>
  <c r="AJ642" i="28"/>
  <c r="AL642" i="28"/>
  <c r="AN642" i="28"/>
  <c r="AP642" i="28"/>
  <c r="AQ642" i="28"/>
  <c r="AR642" i="28"/>
  <c r="AG644" i="28"/>
  <c r="AH643" i="28" s="1"/>
  <c r="AJ643" i="28"/>
  <c r="AL643" i="28"/>
  <c r="AN643" i="28"/>
  <c r="AP643" i="28"/>
  <c r="AQ643" i="28"/>
  <c r="AR643" i="28"/>
  <c r="AG645" i="28"/>
  <c r="AH644" i="28"/>
  <c r="AJ644" i="28"/>
  <c r="AL644" i="28"/>
  <c r="AN644" i="28"/>
  <c r="AP644" i="28"/>
  <c r="AQ644" i="28"/>
  <c r="AR644" i="28"/>
  <c r="AG646" i="28"/>
  <c r="AJ645" i="28"/>
  <c r="AL645" i="28"/>
  <c r="AN645" i="28"/>
  <c r="AP645" i="28"/>
  <c r="AQ645" i="28"/>
  <c r="AR645" i="28"/>
  <c r="AG647" i="28"/>
  <c r="AJ646" i="28"/>
  <c r="AL646" i="28"/>
  <c r="AN646" i="28"/>
  <c r="AP646" i="28"/>
  <c r="AQ646" i="28"/>
  <c r="AR646" i="28"/>
  <c r="AS646" i="28"/>
  <c r="AG648" i="28"/>
  <c r="AJ647" i="28"/>
  <c r="AL647" i="28"/>
  <c r="AN647" i="28"/>
  <c r="AP647" i="28"/>
  <c r="AQ647" i="28"/>
  <c r="AR647" i="28"/>
  <c r="AS647" i="28"/>
  <c r="AG649" i="28"/>
  <c r="AH648" i="28"/>
  <c r="AJ648" i="28"/>
  <c r="AK648" i="28"/>
  <c r="AL648" i="28"/>
  <c r="AN648" i="28"/>
  <c r="AP648" i="28"/>
  <c r="AQ648" i="28"/>
  <c r="AR648" i="28"/>
  <c r="AG650" i="28"/>
  <c r="AH649" i="28" s="1"/>
  <c r="AJ649" i="28"/>
  <c r="AK649" i="28"/>
  <c r="AL649" i="28"/>
  <c r="AN649" i="28"/>
  <c r="AP649" i="28"/>
  <c r="AQ649" i="28"/>
  <c r="AR649" i="28"/>
  <c r="AG651" i="28"/>
  <c r="AH650" i="28"/>
  <c r="AJ650" i="28"/>
  <c r="AL650" i="28"/>
  <c r="AN650" i="28"/>
  <c r="AP650" i="28"/>
  <c r="AQ650" i="28"/>
  <c r="AR650" i="28"/>
  <c r="AS650" i="28"/>
  <c r="AG652" i="28"/>
  <c r="AH651" i="28" s="1"/>
  <c r="AJ651" i="28"/>
  <c r="AL651" i="28"/>
  <c r="AN651" i="28"/>
  <c r="AP651" i="28"/>
  <c r="AQ651" i="28"/>
  <c r="AR651" i="28"/>
  <c r="AG653" i="28"/>
  <c r="AH652" i="28"/>
  <c r="AJ652" i="28"/>
  <c r="AL652" i="28"/>
  <c r="AN652" i="28"/>
  <c r="AP652" i="28"/>
  <c r="AQ652" i="28"/>
  <c r="AR652" i="28"/>
  <c r="AG654" i="28"/>
  <c r="AJ653" i="28"/>
  <c r="AL653" i="28"/>
  <c r="AN653" i="28"/>
  <c r="AP653" i="28"/>
  <c r="AQ653" i="28"/>
  <c r="AR653" i="28"/>
  <c r="AG655" i="28"/>
  <c r="AJ654" i="28"/>
  <c r="AL654" i="28"/>
  <c r="AN654" i="28"/>
  <c r="AP654" i="28"/>
  <c r="AQ654" i="28"/>
  <c r="AR654" i="28"/>
  <c r="AG656" i="28"/>
  <c r="AJ655" i="28"/>
  <c r="AL655" i="28"/>
  <c r="AN655" i="28"/>
  <c r="AP655" i="28"/>
  <c r="AQ655" i="28"/>
  <c r="AR655" i="28"/>
  <c r="AG657" i="28"/>
  <c r="AH656" i="28"/>
  <c r="AJ656" i="28"/>
  <c r="AL656" i="28"/>
  <c r="AN656" i="28"/>
  <c r="AP656" i="28"/>
  <c r="AQ656" i="28"/>
  <c r="AR656" i="28"/>
  <c r="AG658" i="28"/>
  <c r="AH657" i="28" s="1"/>
  <c r="AJ657" i="28"/>
  <c r="AL657" i="28"/>
  <c r="AN657" i="28"/>
  <c r="AP657" i="28"/>
  <c r="AQ657" i="28"/>
  <c r="AR657" i="28"/>
  <c r="AG659" i="28"/>
  <c r="AH658" i="28"/>
  <c r="AJ658" i="28"/>
  <c r="AL658" i="28"/>
  <c r="AN658" i="28"/>
  <c r="AP658" i="28"/>
  <c r="AQ658" i="28"/>
  <c r="AR658" i="28"/>
  <c r="AG660" i="28"/>
  <c r="AH659" i="28" s="1"/>
  <c r="AJ659" i="28"/>
  <c r="AL659" i="28"/>
  <c r="AN659" i="28"/>
  <c r="AP659" i="28"/>
  <c r="AQ659" i="28"/>
  <c r="AR659" i="28"/>
  <c r="AG661" i="28"/>
  <c r="AH660" i="28"/>
  <c r="AJ660" i="28"/>
  <c r="AL660" i="28"/>
  <c r="AN660" i="28"/>
  <c r="AP660" i="28"/>
  <c r="AQ660" i="28"/>
  <c r="AR660" i="28"/>
  <c r="AG662" i="28"/>
  <c r="AJ661" i="28"/>
  <c r="AL661" i="28"/>
  <c r="AN661" i="28"/>
  <c r="AP661" i="28"/>
  <c r="AQ661" i="28"/>
  <c r="AR661" i="28"/>
  <c r="AG663" i="28"/>
  <c r="AJ662" i="28"/>
  <c r="AL662" i="28"/>
  <c r="AN662" i="28"/>
  <c r="AP662" i="28"/>
  <c r="AQ662" i="28"/>
  <c r="AR662" i="28"/>
  <c r="AG664" i="28"/>
  <c r="AJ663" i="28"/>
  <c r="AL663" i="28"/>
  <c r="AN663" i="28"/>
  <c r="AP663" i="28"/>
  <c r="AQ663" i="28"/>
  <c r="AR663" i="28"/>
  <c r="AG665" i="28"/>
  <c r="AH664" i="28"/>
  <c r="AJ664" i="28"/>
  <c r="AL664" i="28"/>
  <c r="AN664" i="28"/>
  <c r="AP664" i="28"/>
  <c r="AQ664" i="28"/>
  <c r="AR664" i="28"/>
  <c r="AG666" i="28"/>
  <c r="AH665" i="28" s="1"/>
  <c r="AJ665" i="28"/>
  <c r="AL665" i="28"/>
  <c r="AN665" i="28"/>
  <c r="AP665" i="28"/>
  <c r="AQ665" i="28"/>
  <c r="AR665" i="28"/>
  <c r="AG667" i="28"/>
  <c r="AH666" i="28"/>
  <c r="AJ666" i="28"/>
  <c r="AL666" i="28"/>
  <c r="AN666" i="28"/>
  <c r="AP666" i="28"/>
  <c r="AQ666" i="28"/>
  <c r="AR666" i="28"/>
  <c r="AG668" i="28"/>
  <c r="AH667" i="28" s="1"/>
  <c r="AJ667" i="28"/>
  <c r="AL667" i="28"/>
  <c r="AN667" i="28"/>
  <c r="AP667" i="28"/>
  <c r="AQ667" i="28"/>
  <c r="AR667" i="28"/>
  <c r="AG669" i="28"/>
  <c r="AH668" i="28"/>
  <c r="AJ668" i="28"/>
  <c r="AL668" i="28"/>
  <c r="AN668" i="28"/>
  <c r="AP668" i="28"/>
  <c r="AQ668" i="28"/>
  <c r="AR668" i="28"/>
  <c r="AG670" i="28"/>
  <c r="AJ669" i="28"/>
  <c r="AL669" i="28"/>
  <c r="AN669" i="28"/>
  <c r="AP669" i="28"/>
  <c r="AQ669" i="28"/>
  <c r="AR669" i="28"/>
  <c r="AG671" i="28"/>
  <c r="AJ670" i="28"/>
  <c r="AL670" i="28"/>
  <c r="AN670" i="28"/>
  <c r="AP670" i="28"/>
  <c r="AQ670" i="28"/>
  <c r="AR670" i="28"/>
  <c r="AG672" i="28"/>
  <c r="AJ671" i="28"/>
  <c r="AL671" i="28"/>
  <c r="AN671" i="28"/>
  <c r="AP671" i="28"/>
  <c r="AQ671" i="28"/>
  <c r="AR671" i="28"/>
  <c r="AG673" i="28"/>
  <c r="AH672" i="28"/>
  <c r="AJ672" i="28"/>
  <c r="AL672" i="28"/>
  <c r="AN672" i="28"/>
  <c r="AP672" i="28"/>
  <c r="AQ672" i="28"/>
  <c r="AR672" i="28"/>
  <c r="AG674" i="28"/>
  <c r="AH673" i="28" s="1"/>
  <c r="AJ673" i="28"/>
  <c r="AL673" i="28"/>
  <c r="AN673" i="28"/>
  <c r="AP673" i="28"/>
  <c r="AQ673" i="28"/>
  <c r="AR673" i="28"/>
  <c r="AG675" i="28"/>
  <c r="AH674" i="28"/>
  <c r="AJ674" i="28"/>
  <c r="AL674" i="28"/>
  <c r="AN674" i="28"/>
  <c r="AP674" i="28"/>
  <c r="AQ674" i="28"/>
  <c r="AR674" i="28"/>
  <c r="AG676" i="28"/>
  <c r="AH675" i="28" s="1"/>
  <c r="AJ675" i="28"/>
  <c r="AK675" i="28"/>
  <c r="AL675" i="28"/>
  <c r="AN675" i="28"/>
  <c r="AP675" i="28"/>
  <c r="AQ675" i="28"/>
  <c r="AR675" i="28"/>
  <c r="AG677" i="28"/>
  <c r="AH676" i="28"/>
  <c r="AJ676" i="28"/>
  <c r="AL676" i="28"/>
  <c r="AN676" i="28"/>
  <c r="AP676" i="28"/>
  <c r="AQ676" i="28"/>
  <c r="AR676" i="28"/>
  <c r="AS676" i="28"/>
  <c r="AG678" i="28"/>
  <c r="AJ677" i="28"/>
  <c r="AL677" i="28"/>
  <c r="AN677" i="28"/>
  <c r="AP677" i="28"/>
  <c r="AQ677" i="28"/>
  <c r="AR677" i="28"/>
  <c r="AS677" i="28"/>
  <c r="AG679" i="28"/>
  <c r="AJ678" i="28"/>
  <c r="AL678" i="28"/>
  <c r="AN678" i="28"/>
  <c r="AP678" i="28"/>
  <c r="AQ678" i="28"/>
  <c r="AR678" i="28"/>
  <c r="AG680" i="28"/>
  <c r="AJ679" i="28"/>
  <c r="AL679" i="28"/>
  <c r="AN679" i="28"/>
  <c r="AP679" i="28"/>
  <c r="AQ679" i="28"/>
  <c r="AR679" i="28"/>
  <c r="AG681" i="28"/>
  <c r="AH680" i="28"/>
  <c r="AJ680" i="28"/>
  <c r="AL680" i="28"/>
  <c r="AN680" i="28"/>
  <c r="AP680" i="28"/>
  <c r="AQ680" i="28"/>
  <c r="AR680" i="28"/>
  <c r="AG682" i="28"/>
  <c r="AH681" i="28" s="1"/>
  <c r="AJ681" i="28"/>
  <c r="AL681" i="28"/>
  <c r="AN681" i="28"/>
  <c r="AP681" i="28"/>
  <c r="AQ681" i="28"/>
  <c r="AR681" i="28"/>
  <c r="AG683" i="28"/>
  <c r="AH682" i="28"/>
  <c r="AJ682" i="28"/>
  <c r="AL682" i="28"/>
  <c r="AN682" i="28"/>
  <c r="AP682" i="28"/>
  <c r="AQ682" i="28"/>
  <c r="AR682" i="28"/>
  <c r="AG684" i="28"/>
  <c r="AH683" i="28" s="1"/>
  <c r="AJ683" i="28"/>
  <c r="AL683" i="28"/>
  <c r="AN683" i="28"/>
  <c r="AP683" i="28"/>
  <c r="AQ683" i="28"/>
  <c r="AR683" i="28"/>
  <c r="AG685" i="28"/>
  <c r="AH684" i="28"/>
  <c r="AJ684" i="28"/>
  <c r="AL684" i="28"/>
  <c r="AN684" i="28"/>
  <c r="AP684" i="28"/>
  <c r="AQ684" i="28"/>
  <c r="AR684" i="28"/>
  <c r="AG686" i="28"/>
  <c r="AJ685" i="28"/>
  <c r="AL685" i="28"/>
  <c r="AN685" i="28"/>
  <c r="AP685" i="28"/>
  <c r="AQ685" i="28"/>
  <c r="AR685" i="28"/>
  <c r="AG687" i="28"/>
  <c r="AJ686" i="28"/>
  <c r="AL686" i="28"/>
  <c r="AN686" i="28"/>
  <c r="AP686" i="28"/>
  <c r="AQ686" i="28"/>
  <c r="AR686" i="28"/>
  <c r="AG688" i="28"/>
  <c r="AJ687" i="28"/>
  <c r="AL687" i="28"/>
  <c r="AN687" i="28"/>
  <c r="AP687" i="28"/>
  <c r="AQ687" i="28"/>
  <c r="AR687" i="28"/>
  <c r="AG689" i="28"/>
  <c r="AH688" i="28"/>
  <c r="AJ688" i="28"/>
  <c r="AL688" i="28"/>
  <c r="AN688" i="28"/>
  <c r="AP688" i="28"/>
  <c r="AQ688" i="28"/>
  <c r="AR688" i="28"/>
  <c r="AG690" i="28"/>
  <c r="AH689" i="28" s="1"/>
  <c r="AJ689" i="28"/>
  <c r="AL689" i="28"/>
  <c r="AN689" i="28"/>
  <c r="AP689" i="28"/>
  <c r="AQ689" i="28"/>
  <c r="AR689" i="28"/>
  <c r="AG691" i="28"/>
  <c r="AH690" i="28"/>
  <c r="AJ690" i="28"/>
  <c r="AL690" i="28"/>
  <c r="AN690" i="28"/>
  <c r="AP690" i="28"/>
  <c r="AQ690" i="28"/>
  <c r="AR690" i="28"/>
  <c r="AG692" i="28"/>
  <c r="AH691" i="28" s="1"/>
  <c r="AJ691" i="28"/>
  <c r="AL691" i="28"/>
  <c r="AN691" i="28"/>
  <c r="AP691" i="28"/>
  <c r="AQ691" i="28"/>
  <c r="AR691" i="28"/>
  <c r="AG693" i="28"/>
  <c r="AH692" i="28"/>
  <c r="AJ692" i="28"/>
  <c r="AL692" i="28"/>
  <c r="AN692" i="28"/>
  <c r="AP692" i="28"/>
  <c r="AQ692" i="28"/>
  <c r="AR692" i="28"/>
  <c r="AG694" i="28"/>
  <c r="AJ693" i="28"/>
  <c r="AL693" i="28"/>
  <c r="AN693" i="28"/>
  <c r="AP693" i="28"/>
  <c r="AQ693" i="28"/>
  <c r="AR693" i="28"/>
  <c r="AG695" i="28"/>
  <c r="AJ694" i="28"/>
  <c r="AL694" i="28"/>
  <c r="AN694" i="28"/>
  <c r="AP694" i="28"/>
  <c r="AQ694" i="28"/>
  <c r="AR694" i="28"/>
  <c r="AG696" i="28"/>
  <c r="AJ695" i="28"/>
  <c r="AL695" i="28"/>
  <c r="AN695" i="28"/>
  <c r="AP695" i="28"/>
  <c r="AQ695" i="28"/>
  <c r="AR695" i="28"/>
  <c r="AG697" i="28"/>
  <c r="AH696" i="28"/>
  <c r="AJ696" i="28"/>
  <c r="AL696" i="28"/>
  <c r="AN696" i="28"/>
  <c r="AP696" i="28"/>
  <c r="AQ696" i="28"/>
  <c r="AR696" i="28"/>
  <c r="AG698" i="28"/>
  <c r="AH697" i="28" s="1"/>
  <c r="AJ697" i="28"/>
  <c r="AL697" i="28"/>
  <c r="AN697" i="28"/>
  <c r="AP697" i="28"/>
  <c r="AQ697" i="28"/>
  <c r="AR697" i="28"/>
  <c r="AG699" i="28"/>
  <c r="AH698" i="28"/>
  <c r="AJ698" i="28"/>
  <c r="AL698" i="28"/>
  <c r="AN698" i="28"/>
  <c r="AP698" i="28"/>
  <c r="AQ698" i="28"/>
  <c r="AR698" i="28"/>
  <c r="AG700" i="28"/>
  <c r="AH699" i="28" s="1"/>
  <c r="AJ699" i="28"/>
  <c r="AL699" i="28"/>
  <c r="AN699" i="28"/>
  <c r="AP699" i="28"/>
  <c r="AQ699" i="28"/>
  <c r="AR699" i="28"/>
  <c r="AG701" i="28"/>
  <c r="AH700" i="28"/>
  <c r="AJ700" i="28"/>
  <c r="AL700" i="28"/>
  <c r="AN700" i="28"/>
  <c r="AP700" i="28"/>
  <c r="AQ700" i="28"/>
  <c r="AR700" i="28"/>
  <c r="AG702" i="28"/>
  <c r="AJ701" i="28"/>
  <c r="AL701" i="28"/>
  <c r="AN701" i="28"/>
  <c r="AP701" i="28"/>
  <c r="AQ701" i="28"/>
  <c r="AR701" i="28"/>
  <c r="AG703" i="28"/>
  <c r="AJ702" i="28"/>
  <c r="AL702" i="28"/>
  <c r="AN702" i="28"/>
  <c r="AP702" i="28"/>
  <c r="AQ702" i="28"/>
  <c r="AR702" i="28"/>
  <c r="AG704" i="28"/>
  <c r="AJ703" i="28"/>
  <c r="AL703" i="28"/>
  <c r="AN703" i="28"/>
  <c r="AP703" i="28"/>
  <c r="AQ703" i="28"/>
  <c r="AR703" i="28"/>
  <c r="AG705" i="28"/>
  <c r="AH704" i="28"/>
  <c r="AJ704" i="28"/>
  <c r="AL704" i="28"/>
  <c r="AN704" i="28"/>
  <c r="AP704" i="28"/>
  <c r="AQ704" i="28"/>
  <c r="AR704" i="28"/>
  <c r="AG706" i="28"/>
  <c r="AH705" i="28" s="1"/>
  <c r="AJ705" i="28"/>
  <c r="AL705" i="28"/>
  <c r="AN705" i="28"/>
  <c r="AP705" i="28"/>
  <c r="AQ705" i="28"/>
  <c r="AR705" i="28"/>
  <c r="AG707" i="28"/>
  <c r="AH706" i="28"/>
  <c r="AJ706" i="28"/>
  <c r="AL706" i="28"/>
  <c r="AN706" i="28"/>
  <c r="AP706" i="28"/>
  <c r="AQ706" i="28"/>
  <c r="AR706" i="28"/>
  <c r="AG708" i="28"/>
  <c r="AH707" i="28" s="1"/>
  <c r="AJ707" i="28"/>
  <c r="AL707" i="28"/>
  <c r="AN707" i="28"/>
  <c r="AP707" i="28"/>
  <c r="AQ707" i="28"/>
  <c r="AR707" i="28"/>
  <c r="AG709" i="28"/>
  <c r="AH708" i="28"/>
  <c r="AJ708" i="28"/>
  <c r="AL708" i="28"/>
  <c r="AN708" i="28"/>
  <c r="AP708" i="28"/>
  <c r="AQ708" i="28"/>
  <c r="AR708" i="28"/>
  <c r="AG710" i="28"/>
  <c r="AJ709" i="28"/>
  <c r="AL709" i="28"/>
  <c r="AN709" i="28"/>
  <c r="AP709" i="28"/>
  <c r="AQ709" i="28"/>
  <c r="AR709" i="28"/>
  <c r="AG711" i="28"/>
  <c r="AJ710" i="28"/>
  <c r="AL710" i="28"/>
  <c r="AN710" i="28"/>
  <c r="AP710" i="28"/>
  <c r="AQ710" i="28"/>
  <c r="AR710" i="28"/>
  <c r="AG712" i="28"/>
  <c r="AJ711" i="28"/>
  <c r="AL711" i="28"/>
  <c r="AN711" i="28"/>
  <c r="AP711" i="28"/>
  <c r="AQ711" i="28"/>
  <c r="AR711" i="28"/>
  <c r="AG713" i="28"/>
  <c r="AH712" i="28"/>
  <c r="AJ712" i="28"/>
  <c r="AL712" i="28"/>
  <c r="AN712" i="28"/>
  <c r="AP712" i="28"/>
  <c r="AQ712" i="28"/>
  <c r="AR712" i="28"/>
  <c r="AG714" i="28"/>
  <c r="AH713" i="28" s="1"/>
  <c r="AJ713" i="28"/>
  <c r="AL713" i="28"/>
  <c r="AN713" i="28"/>
  <c r="AP713" i="28"/>
  <c r="AQ713" i="28"/>
  <c r="AR713" i="28"/>
  <c r="AG715" i="28"/>
  <c r="AH714" i="28"/>
  <c r="AJ714" i="28"/>
  <c r="AL714" i="28"/>
  <c r="AN714" i="28"/>
  <c r="AP714" i="28"/>
  <c r="AQ714" i="28"/>
  <c r="AR714" i="28"/>
  <c r="AG716" i="28"/>
  <c r="AH715" i="28" s="1"/>
  <c r="AJ715" i="28"/>
  <c r="AL715" i="28"/>
  <c r="AN715" i="28"/>
  <c r="AP715" i="28"/>
  <c r="AQ715" i="28"/>
  <c r="AR715" i="28"/>
  <c r="AG717" i="28"/>
  <c r="AH716" i="28"/>
  <c r="AJ716" i="28"/>
  <c r="AL716" i="28"/>
  <c r="AN716" i="28"/>
  <c r="AP716" i="28"/>
  <c r="AQ716" i="28"/>
  <c r="AR716" i="28"/>
  <c r="AG718" i="28"/>
  <c r="AJ717" i="28"/>
  <c r="AL717" i="28"/>
  <c r="AN717" i="28"/>
  <c r="AP717" i="28"/>
  <c r="AQ717" i="28"/>
  <c r="AR717" i="28"/>
  <c r="AG719" i="28"/>
  <c r="AJ718" i="28"/>
  <c r="AL718" i="28"/>
  <c r="AN718" i="28"/>
  <c r="AP718" i="28"/>
  <c r="AQ718" i="28"/>
  <c r="AR718" i="28"/>
  <c r="AG720" i="28"/>
  <c r="AJ719" i="28"/>
  <c r="AL719" i="28"/>
  <c r="AN719" i="28"/>
  <c r="AP719" i="28"/>
  <c r="AQ719" i="28"/>
  <c r="AR719" i="28"/>
  <c r="AG721" i="28"/>
  <c r="AH720" i="28"/>
  <c r="AJ720" i="28"/>
  <c r="AL720" i="28"/>
  <c r="AN720" i="28"/>
  <c r="AP720" i="28"/>
  <c r="AQ720" i="28"/>
  <c r="AR720" i="28"/>
  <c r="AG722" i="28"/>
  <c r="AH721" i="28" s="1"/>
  <c r="AJ721" i="28"/>
  <c r="AL721" i="28"/>
  <c r="AN721" i="28"/>
  <c r="AP721" i="28"/>
  <c r="AQ721" i="28"/>
  <c r="AR721" i="28"/>
  <c r="AG723" i="28"/>
  <c r="AH722" i="28"/>
  <c r="AJ722" i="28"/>
  <c r="AL722" i="28"/>
  <c r="AN722" i="28"/>
  <c r="AP722" i="28"/>
  <c r="AQ722" i="28"/>
  <c r="AR722" i="28"/>
  <c r="AG724" i="28"/>
  <c r="AH723" i="28" s="1"/>
  <c r="AJ723" i="28"/>
  <c r="AL723" i="28"/>
  <c r="AN723" i="28"/>
  <c r="AP723" i="28"/>
  <c r="AQ723" i="28"/>
  <c r="AR723" i="28"/>
  <c r="AG725" i="28"/>
  <c r="AH724" i="28"/>
  <c r="AJ724" i="28"/>
  <c r="AL724" i="28"/>
  <c r="AN724" i="28"/>
  <c r="AP724" i="28"/>
  <c r="AQ724" i="28"/>
  <c r="AR724" i="28"/>
  <c r="AG726" i="28"/>
  <c r="AJ725" i="28"/>
  <c r="AL725" i="28"/>
  <c r="AN725" i="28"/>
  <c r="AP725" i="28"/>
  <c r="AQ725" i="28"/>
  <c r="AR725" i="28"/>
  <c r="AG727" i="28"/>
  <c r="AJ726" i="28"/>
  <c r="AL726" i="28"/>
  <c r="AN726" i="28"/>
  <c r="AP726" i="28"/>
  <c r="AQ726" i="28"/>
  <c r="AR726" i="28"/>
  <c r="AG728" i="28"/>
  <c r="AJ727" i="28"/>
  <c r="AL727" i="28"/>
  <c r="AN727" i="28"/>
  <c r="AP727" i="28"/>
  <c r="AQ727" i="28"/>
  <c r="AR727" i="28"/>
  <c r="AG729" i="28"/>
  <c r="AH728" i="28"/>
  <c r="AJ728" i="28"/>
  <c r="AL728" i="28"/>
  <c r="AN728" i="28"/>
  <c r="AP728" i="28"/>
  <c r="AQ728" i="28"/>
  <c r="AR728" i="28"/>
  <c r="AG730" i="28"/>
  <c r="AH729" i="28" s="1"/>
  <c r="AJ729" i="28"/>
  <c r="AL729" i="28"/>
  <c r="AN729" i="28"/>
  <c r="AP729" i="28"/>
  <c r="AQ729" i="28"/>
  <c r="AR729" i="28"/>
  <c r="AG731" i="28"/>
  <c r="AH730" i="28"/>
  <c r="AJ730" i="28"/>
  <c r="AL730" i="28"/>
  <c r="AN730" i="28"/>
  <c r="AP730" i="28"/>
  <c r="AQ730" i="28"/>
  <c r="AR730" i="28"/>
  <c r="AG732" i="28"/>
  <c r="AH731" i="28" s="1"/>
  <c r="AJ731" i="28"/>
  <c r="AL731" i="28"/>
  <c r="AN731" i="28"/>
  <c r="AP731" i="28"/>
  <c r="AQ731" i="28"/>
  <c r="AR731" i="28"/>
  <c r="AG733" i="28"/>
  <c r="AH732" i="28"/>
  <c r="AJ732" i="28"/>
  <c r="AL732" i="28"/>
  <c r="AN732" i="28"/>
  <c r="AP732" i="28"/>
  <c r="AQ732" i="28"/>
  <c r="AR732" i="28"/>
  <c r="AG734" i="28"/>
  <c r="AJ733" i="28"/>
  <c r="AL733" i="28"/>
  <c r="AN733" i="28"/>
  <c r="AP733" i="28"/>
  <c r="AQ733" i="28"/>
  <c r="AR733" i="28"/>
  <c r="AG735" i="28"/>
  <c r="AJ734" i="28"/>
  <c r="AL734" i="28"/>
  <c r="AN734" i="28"/>
  <c r="AP734" i="28"/>
  <c r="AQ734" i="28"/>
  <c r="AR734" i="28"/>
  <c r="AG736" i="28"/>
  <c r="AJ735" i="28"/>
  <c r="AL735" i="28"/>
  <c r="AN735" i="28"/>
  <c r="AP735" i="28"/>
  <c r="AQ735" i="28"/>
  <c r="AR735" i="28"/>
  <c r="AG737" i="28"/>
  <c r="AH736" i="28"/>
  <c r="AJ736" i="28"/>
  <c r="AL736" i="28"/>
  <c r="AN736" i="28"/>
  <c r="AP736" i="28"/>
  <c r="AQ736" i="28"/>
  <c r="AR736" i="28"/>
  <c r="AG738" i="28"/>
  <c r="AH737" i="28" s="1"/>
  <c r="AJ737" i="28"/>
  <c r="AL737" i="28"/>
  <c r="AN737" i="28"/>
  <c r="AP737" i="28"/>
  <c r="AQ737" i="28"/>
  <c r="AR737" i="28"/>
  <c r="AG739" i="28"/>
  <c r="AH738" i="28"/>
  <c r="AJ738" i="28"/>
  <c r="AL738" i="28"/>
  <c r="AN738" i="28"/>
  <c r="AP738" i="28"/>
  <c r="AQ738" i="28"/>
  <c r="AR738" i="28"/>
  <c r="AG740" i="28"/>
  <c r="AH739" i="28" s="1"/>
  <c r="AJ739" i="28"/>
  <c r="AL739" i="28"/>
  <c r="AN739" i="28"/>
  <c r="AP739" i="28"/>
  <c r="AQ739" i="28"/>
  <c r="AR739" i="28"/>
  <c r="AG741" i="28"/>
  <c r="AH740" i="28"/>
  <c r="AJ740" i="28"/>
  <c r="AL740" i="28"/>
  <c r="AN740" i="28"/>
  <c r="AP740" i="28"/>
  <c r="AQ740" i="28"/>
  <c r="AR740" i="28"/>
  <c r="AG742" i="28"/>
  <c r="AJ741" i="28"/>
  <c r="AL741" i="28"/>
  <c r="AN741" i="28"/>
  <c r="AP741" i="28"/>
  <c r="AQ741" i="28"/>
  <c r="AR741" i="28"/>
  <c r="AG743" i="28"/>
  <c r="AJ742" i="28"/>
  <c r="AL742" i="28"/>
  <c r="AN742" i="28"/>
  <c r="AP742" i="28"/>
  <c r="AQ742" i="28"/>
  <c r="AR742" i="28"/>
  <c r="AG744" i="28"/>
  <c r="AJ743" i="28"/>
  <c r="AL743" i="28"/>
  <c r="AN743" i="28"/>
  <c r="AP743" i="28"/>
  <c r="AQ743" i="28"/>
  <c r="AR743" i="28"/>
  <c r="AG745" i="28"/>
  <c r="AH744" i="28"/>
  <c r="AJ744" i="28"/>
  <c r="AL744" i="28"/>
  <c r="AN744" i="28"/>
  <c r="AP744" i="28"/>
  <c r="AQ744" i="28"/>
  <c r="AR744" i="28"/>
  <c r="AG746" i="28"/>
  <c r="AH745" i="28" s="1"/>
  <c r="AJ745" i="28"/>
  <c r="AL745" i="28"/>
  <c r="AN745" i="28"/>
  <c r="AP745" i="28"/>
  <c r="AQ745" i="28"/>
  <c r="AR745" i="28"/>
  <c r="AG747" i="28"/>
  <c r="AH746" i="28"/>
  <c r="AJ746" i="28"/>
  <c r="AL746" i="28"/>
  <c r="AN746" i="28"/>
  <c r="AP746" i="28"/>
  <c r="AQ746" i="28"/>
  <c r="AR746" i="28"/>
  <c r="AG748" i="28"/>
  <c r="AH747" i="28" s="1"/>
  <c r="AJ747" i="28"/>
  <c r="AL747" i="28"/>
  <c r="AN747" i="28"/>
  <c r="AP747" i="28"/>
  <c r="AQ747" i="28"/>
  <c r="AR747" i="28"/>
  <c r="AG749" i="28"/>
  <c r="AH748" i="28"/>
  <c r="AJ748" i="28"/>
  <c r="AL748" i="28"/>
  <c r="AN748" i="28"/>
  <c r="AP748" i="28"/>
  <c r="AQ748" i="28"/>
  <c r="AR748" i="28"/>
  <c r="AG750" i="28"/>
  <c r="AJ749" i="28"/>
  <c r="AL749" i="28"/>
  <c r="AN749" i="28"/>
  <c r="AP749" i="28"/>
  <c r="AQ749" i="28"/>
  <c r="AR749" i="28"/>
  <c r="AG751" i="28"/>
  <c r="AJ750" i="28"/>
  <c r="AL750" i="28"/>
  <c r="AN750" i="28"/>
  <c r="AP750" i="28"/>
  <c r="AQ750" i="28"/>
  <c r="AR750" i="28"/>
  <c r="AG752" i="28"/>
  <c r="AJ751" i="28"/>
  <c r="AL751" i="28"/>
  <c r="AN751" i="28"/>
  <c r="AP751" i="28"/>
  <c r="AQ751" i="28"/>
  <c r="AR751" i="28"/>
  <c r="AG753" i="28"/>
  <c r="AH752" i="28"/>
  <c r="AJ752" i="28"/>
  <c r="AL752" i="28"/>
  <c r="AN752" i="28"/>
  <c r="AP752" i="28"/>
  <c r="AQ752" i="28"/>
  <c r="AR752" i="28"/>
  <c r="AG754" i="28"/>
  <c r="AH753" i="28" s="1"/>
  <c r="AJ753" i="28"/>
  <c r="AL753" i="28"/>
  <c r="AN753" i="28"/>
  <c r="AP753" i="28"/>
  <c r="AQ753" i="28"/>
  <c r="AR753" i="28"/>
  <c r="AG755" i="28"/>
  <c r="AH754" i="28"/>
  <c r="AJ754" i="28"/>
  <c r="AL754" i="28"/>
  <c r="AN754" i="28"/>
  <c r="AP754" i="28"/>
  <c r="AQ754" i="28"/>
  <c r="AR754" i="28"/>
  <c r="AG756" i="28"/>
  <c r="AH755" i="28" s="1"/>
  <c r="AJ755" i="28"/>
  <c r="AL755" i="28"/>
  <c r="AN755" i="28"/>
  <c r="AP755" i="28"/>
  <c r="AQ755" i="28"/>
  <c r="AR755" i="28"/>
  <c r="AG757" i="28"/>
  <c r="AH756" i="28"/>
  <c r="AJ756" i="28"/>
  <c r="AL756" i="28"/>
  <c r="AN756" i="28"/>
  <c r="AP756" i="28"/>
  <c r="AQ756" i="28"/>
  <c r="AR756" i="28"/>
  <c r="AG758" i="28"/>
  <c r="AJ757" i="28"/>
  <c r="AL757" i="28"/>
  <c r="AN757" i="28"/>
  <c r="AP757" i="28"/>
  <c r="AQ757" i="28"/>
  <c r="AR757" i="28"/>
  <c r="AG759" i="28"/>
  <c r="AJ758" i="28"/>
  <c r="AL758" i="28"/>
  <c r="AN758" i="28"/>
  <c r="AP758" i="28"/>
  <c r="AQ758" i="28"/>
  <c r="AR758" i="28"/>
  <c r="AG760" i="28"/>
  <c r="AJ759" i="28"/>
  <c r="AL759" i="28"/>
  <c r="AN759" i="28"/>
  <c r="AP759" i="28"/>
  <c r="AQ759" i="28"/>
  <c r="AR759" i="28"/>
  <c r="AG761" i="28"/>
  <c r="AH760" i="28"/>
  <c r="AJ760" i="28"/>
  <c r="AL760" i="28"/>
  <c r="AN760" i="28"/>
  <c r="AP760" i="28"/>
  <c r="AQ760" i="28"/>
  <c r="AR760" i="28"/>
  <c r="AG762" i="28"/>
  <c r="AH761" i="28" s="1"/>
  <c r="AJ761" i="28"/>
  <c r="AL761" i="28"/>
  <c r="AN761" i="28"/>
  <c r="AP761" i="28"/>
  <c r="AQ761" i="28"/>
  <c r="AR761" i="28"/>
  <c r="AG763" i="28"/>
  <c r="AH762" i="28"/>
  <c r="AJ762" i="28"/>
  <c r="AL762" i="28"/>
  <c r="AN762" i="28"/>
  <c r="AP762" i="28"/>
  <c r="AQ762" i="28"/>
  <c r="AR762" i="28"/>
  <c r="AG764" i="28"/>
  <c r="AH763" i="28" s="1"/>
  <c r="AJ763" i="28"/>
  <c r="AL763" i="28"/>
  <c r="AN763" i="28"/>
  <c r="AP763" i="28"/>
  <c r="AQ763" i="28"/>
  <c r="AR763" i="28"/>
  <c r="AG765" i="28"/>
  <c r="AH764" i="28"/>
  <c r="AJ764" i="28"/>
  <c r="AL764" i="28"/>
  <c r="AN764" i="28"/>
  <c r="AP764" i="28"/>
  <c r="AQ764" i="28"/>
  <c r="AR764" i="28"/>
  <c r="AG766" i="28"/>
  <c r="AJ765" i="28"/>
  <c r="AL765" i="28"/>
  <c r="AN765" i="28"/>
  <c r="AP765" i="28"/>
  <c r="AQ765" i="28"/>
  <c r="AR765" i="28"/>
  <c r="AG767" i="28"/>
  <c r="AJ766" i="28"/>
  <c r="AK766" i="28"/>
  <c r="AL766" i="28"/>
  <c r="AN766" i="28"/>
  <c r="AP766" i="28"/>
  <c r="AQ766" i="28"/>
  <c r="AR766" i="28"/>
  <c r="AG768" i="28"/>
  <c r="AJ767" i="28"/>
  <c r="AL767" i="28"/>
  <c r="AN767" i="28"/>
  <c r="AP767" i="28"/>
  <c r="AQ767" i="28"/>
  <c r="AR767" i="28"/>
  <c r="AG769" i="28"/>
  <c r="AH768" i="28"/>
  <c r="AJ768" i="28"/>
  <c r="AL768" i="28"/>
  <c r="AN768" i="28"/>
  <c r="AP768" i="28"/>
  <c r="AQ768" i="28"/>
  <c r="AR768" i="28"/>
  <c r="AG770" i="28"/>
  <c r="AH769" i="28" s="1"/>
  <c r="AJ769" i="28"/>
  <c r="AL769" i="28"/>
  <c r="AN769" i="28"/>
  <c r="AP769" i="28"/>
  <c r="AQ769" i="28"/>
  <c r="AR769" i="28"/>
  <c r="AG771" i="28"/>
  <c r="AH770" i="28"/>
  <c r="AJ770" i="28"/>
  <c r="AL770" i="28"/>
  <c r="AN770" i="28"/>
  <c r="AP770" i="28"/>
  <c r="AQ770" i="28"/>
  <c r="AR770" i="28"/>
  <c r="AG772" i="28"/>
  <c r="AH771" i="28" s="1"/>
  <c r="AJ771" i="28"/>
  <c r="AL771" i="28"/>
  <c r="AN771" i="28"/>
  <c r="AP771" i="28"/>
  <c r="AQ771" i="28"/>
  <c r="AR771" i="28"/>
  <c r="AG773" i="28"/>
  <c r="AH772" i="28"/>
  <c r="AJ772" i="28"/>
  <c r="AL772" i="28"/>
  <c r="AN772" i="28"/>
  <c r="AP772" i="28"/>
  <c r="AQ772" i="28"/>
  <c r="AR772" i="28"/>
  <c r="AG774" i="28"/>
  <c r="AJ773" i="28"/>
  <c r="AL773" i="28"/>
  <c r="AN773" i="28"/>
  <c r="AP773" i="28"/>
  <c r="AQ773" i="28"/>
  <c r="AR773" i="28"/>
  <c r="AS773" i="28"/>
  <c r="AG775" i="28"/>
  <c r="AJ774" i="28"/>
  <c r="AL774" i="28"/>
  <c r="AN774" i="28"/>
  <c r="AP774" i="28"/>
  <c r="AQ774" i="28"/>
  <c r="AR774" i="28"/>
  <c r="AG776" i="28"/>
  <c r="AJ775" i="28"/>
  <c r="AL775" i="28"/>
  <c r="AN775" i="28"/>
  <c r="AP775" i="28"/>
  <c r="AQ775" i="28"/>
  <c r="AR775" i="28"/>
  <c r="AG777" i="28"/>
  <c r="AH776" i="28"/>
  <c r="AJ776" i="28"/>
  <c r="AL776" i="28"/>
  <c r="AN776" i="28"/>
  <c r="AP776" i="28"/>
  <c r="AQ776" i="28"/>
  <c r="AR776" i="28"/>
  <c r="AG778" i="28"/>
  <c r="AH777" i="28" s="1"/>
  <c r="AJ777" i="28"/>
  <c r="AL777" i="28"/>
  <c r="AN777" i="28"/>
  <c r="AP777" i="28"/>
  <c r="AQ777" i="28"/>
  <c r="AR777" i="28"/>
  <c r="AG779" i="28"/>
  <c r="AH778" i="28"/>
  <c r="AJ778" i="28"/>
  <c r="AL778" i="28"/>
  <c r="AN778" i="28"/>
  <c r="AP778" i="28"/>
  <c r="AQ778" i="28"/>
  <c r="AR778" i="28"/>
  <c r="AG780" i="28"/>
  <c r="AH779" i="28" s="1"/>
  <c r="AJ779" i="28"/>
  <c r="AK779" i="28"/>
  <c r="AL779" i="28"/>
  <c r="AN779" i="28"/>
  <c r="AP779" i="28"/>
  <c r="AQ779" i="28"/>
  <c r="AR779" i="28"/>
  <c r="AG781" i="28"/>
  <c r="AH780" i="28"/>
  <c r="AJ780" i="28"/>
  <c r="AL780" i="28"/>
  <c r="AN780" i="28"/>
  <c r="AP780" i="28"/>
  <c r="AQ780" i="28"/>
  <c r="AR780" i="28"/>
  <c r="AS780" i="28"/>
  <c r="AG782" i="28"/>
  <c r="AJ781" i="28"/>
  <c r="AL781" i="28"/>
  <c r="AN781" i="28"/>
  <c r="AP781" i="28"/>
  <c r="AQ781" i="28"/>
  <c r="AR781" i="28"/>
  <c r="AG783" i="28"/>
  <c r="AJ782" i="28"/>
  <c r="AL782" i="28"/>
  <c r="AN782" i="28"/>
  <c r="AP782" i="28"/>
  <c r="AQ782" i="28"/>
  <c r="AR782" i="28"/>
  <c r="AG784" i="28"/>
  <c r="AJ783" i="28"/>
  <c r="AL783" i="28"/>
  <c r="AN783" i="28"/>
  <c r="AP783" i="28"/>
  <c r="AQ783" i="28"/>
  <c r="AR783" i="28"/>
  <c r="AG785" i="28"/>
  <c r="AH784" i="28"/>
  <c r="AJ784" i="28"/>
  <c r="AL784" i="28"/>
  <c r="AN784" i="28"/>
  <c r="AP784" i="28"/>
  <c r="AQ784" i="28"/>
  <c r="AR784" i="28"/>
  <c r="AG786" i="28"/>
  <c r="AH785" i="28" s="1"/>
  <c r="AJ785" i="28"/>
  <c r="AL785" i="28"/>
  <c r="AN785" i="28"/>
  <c r="AP785" i="28"/>
  <c r="AQ785" i="28"/>
  <c r="AR785" i="28"/>
  <c r="AG787" i="28"/>
  <c r="AH786" i="28"/>
  <c r="AJ786" i="28"/>
  <c r="AL786" i="28"/>
  <c r="AN786" i="28"/>
  <c r="AP786" i="28"/>
  <c r="AQ786" i="28"/>
  <c r="AR786" i="28"/>
  <c r="AG788" i="28"/>
  <c r="AH787" i="28" s="1"/>
  <c r="AJ787" i="28"/>
  <c r="AL787" i="28"/>
  <c r="AN787" i="28"/>
  <c r="AP787" i="28"/>
  <c r="AQ787" i="28"/>
  <c r="AR787" i="28"/>
  <c r="AG789" i="28"/>
  <c r="AH788" i="28"/>
  <c r="AJ788" i="28"/>
  <c r="AL788" i="28"/>
  <c r="AN788" i="28"/>
  <c r="AP788" i="28"/>
  <c r="AQ788" i="28"/>
  <c r="AR788" i="28"/>
  <c r="AG790" i="28"/>
  <c r="AJ789" i="28"/>
  <c r="AL789" i="28"/>
  <c r="AN789" i="28"/>
  <c r="AP789" i="28"/>
  <c r="AQ789" i="28"/>
  <c r="AR789" i="28"/>
  <c r="AG791" i="28"/>
  <c r="AJ790" i="28"/>
  <c r="AL790" i="28"/>
  <c r="AN790" i="28"/>
  <c r="AP790" i="28"/>
  <c r="AQ790" i="28"/>
  <c r="AR790" i="28"/>
  <c r="AG792" i="28"/>
  <c r="AJ791" i="28"/>
  <c r="AK791" i="28"/>
  <c r="AL791" i="28"/>
  <c r="AN791" i="28"/>
  <c r="AP791" i="28"/>
  <c r="AQ791" i="28"/>
  <c r="AR791" i="28"/>
  <c r="AG793" i="28"/>
  <c r="AH792" i="28"/>
  <c r="AJ792" i="28"/>
  <c r="AL792" i="28"/>
  <c r="AN792" i="28"/>
  <c r="AP792" i="28"/>
  <c r="AQ792" i="28"/>
  <c r="AR792" i="28"/>
  <c r="AS792" i="28"/>
  <c r="AG794" i="28"/>
  <c r="AH793" i="28" s="1"/>
  <c r="AJ793" i="28"/>
  <c r="AL793" i="28"/>
  <c r="AN793" i="28"/>
  <c r="AP793" i="28"/>
  <c r="AQ793" i="28"/>
  <c r="AR793" i="28"/>
  <c r="AG795" i="28"/>
  <c r="AH794" i="28"/>
  <c r="AJ794" i="28"/>
  <c r="AL794" i="28"/>
  <c r="AN794" i="28"/>
  <c r="AP794" i="28"/>
  <c r="AQ794" i="28"/>
  <c r="AR794" i="28"/>
  <c r="AG796" i="28"/>
  <c r="AH795" i="28" s="1"/>
  <c r="AJ795" i="28"/>
  <c r="AL795" i="28"/>
  <c r="AN795" i="28"/>
  <c r="AP795" i="28"/>
  <c r="AQ795" i="28"/>
  <c r="AR795" i="28"/>
  <c r="AG797" i="28"/>
  <c r="AH796" i="28"/>
  <c r="AJ796" i="28"/>
  <c r="AL796" i="28"/>
  <c r="AN796" i="28"/>
  <c r="AP796" i="28"/>
  <c r="AQ796" i="28"/>
  <c r="AR796" i="28"/>
  <c r="AG798" i="28"/>
  <c r="AJ797" i="28"/>
  <c r="AL797" i="28"/>
  <c r="AN797" i="28"/>
  <c r="AP797" i="28"/>
  <c r="AQ797" i="28"/>
  <c r="AR797" i="28"/>
  <c r="AG799" i="28"/>
  <c r="AJ798" i="28"/>
  <c r="AK798" i="28"/>
  <c r="AL798" i="28"/>
  <c r="AN798" i="28"/>
  <c r="AP798" i="28"/>
  <c r="AQ798" i="28"/>
  <c r="AR798" i="28"/>
  <c r="AG800" i="28"/>
  <c r="AJ799" i="28"/>
  <c r="AL799" i="28"/>
  <c r="AN799" i="28"/>
  <c r="AP799" i="28"/>
  <c r="AQ799" i="28"/>
  <c r="AR799" i="28"/>
  <c r="AG801" i="28"/>
  <c r="AH800" i="28"/>
  <c r="AJ800" i="28"/>
  <c r="AL800" i="28"/>
  <c r="AN800" i="28"/>
  <c r="AP800" i="28"/>
  <c r="AQ800" i="28"/>
  <c r="AR800" i="28"/>
  <c r="AG802" i="28"/>
  <c r="AH801" i="28" s="1"/>
  <c r="AJ801" i="28"/>
  <c r="AL801" i="28"/>
  <c r="AN801" i="28"/>
  <c r="AP801" i="28"/>
  <c r="AQ801" i="28"/>
  <c r="AR801" i="28"/>
  <c r="AG803" i="28"/>
  <c r="AH802" i="28"/>
  <c r="AJ802" i="28"/>
  <c r="AL802" i="28"/>
  <c r="AN802" i="28"/>
  <c r="AP802" i="28"/>
  <c r="AQ802" i="28"/>
  <c r="AR802" i="28"/>
  <c r="AG804" i="28"/>
  <c r="AH803" i="28" s="1"/>
  <c r="AJ803" i="28"/>
  <c r="AL803" i="28"/>
  <c r="AN803" i="28"/>
  <c r="AP803" i="28"/>
  <c r="AQ803" i="28"/>
  <c r="AR803" i="28"/>
  <c r="AG805" i="28"/>
  <c r="AH804" i="28"/>
  <c r="AJ804" i="28"/>
  <c r="AL804" i="28"/>
  <c r="AN804" i="28"/>
  <c r="AP804" i="28"/>
  <c r="AQ804" i="28"/>
  <c r="AR804" i="28"/>
  <c r="AG806" i="28"/>
  <c r="AJ805" i="28"/>
  <c r="AL805" i="28"/>
  <c r="AN805" i="28"/>
  <c r="AP805" i="28"/>
  <c r="AQ805" i="28"/>
  <c r="AR805" i="28"/>
  <c r="AS805" i="28"/>
  <c r="AG807" i="28"/>
  <c r="AJ806" i="28"/>
  <c r="AL806" i="28"/>
  <c r="AN806" i="28"/>
  <c r="AP806" i="28"/>
  <c r="AQ806" i="28"/>
  <c r="AR806" i="28"/>
  <c r="AG808" i="28"/>
  <c r="AJ807" i="28"/>
  <c r="AL807" i="28"/>
  <c r="AN807" i="28"/>
  <c r="AP807" i="28"/>
  <c r="AQ807" i="28"/>
  <c r="AR807" i="28"/>
  <c r="AG809" i="28"/>
  <c r="AH808" i="28"/>
  <c r="AJ808" i="28"/>
  <c r="AL808" i="28"/>
  <c r="AN808" i="28"/>
  <c r="AP808" i="28"/>
  <c r="AQ808" i="28"/>
  <c r="AR808" i="28"/>
  <c r="AG810" i="28"/>
  <c r="AH809" i="28" s="1"/>
  <c r="AJ809" i="28"/>
  <c r="AL809" i="28"/>
  <c r="AN809" i="28"/>
  <c r="AP809" i="28"/>
  <c r="AQ809" i="28"/>
  <c r="AR809" i="28"/>
  <c r="AG811" i="28"/>
  <c r="AH810" i="28"/>
  <c r="AJ810" i="28"/>
  <c r="AL810" i="28"/>
  <c r="AN810" i="28"/>
  <c r="AP810" i="28"/>
  <c r="AQ810" i="28"/>
  <c r="AR810" i="28"/>
  <c r="AG812" i="28"/>
  <c r="AH811" i="28" s="1"/>
  <c r="AJ811" i="28"/>
  <c r="AK811" i="28"/>
  <c r="AL811" i="28"/>
  <c r="AN811" i="28"/>
  <c r="AP811" i="28"/>
  <c r="AQ811" i="28"/>
  <c r="AR811" i="28"/>
  <c r="AG813" i="28"/>
  <c r="AH812" i="28"/>
  <c r="AJ812" i="28"/>
  <c r="AL812" i="28"/>
  <c r="AN812" i="28"/>
  <c r="AP812" i="28"/>
  <c r="AQ812" i="28"/>
  <c r="AR812" i="28"/>
  <c r="AS812" i="28"/>
  <c r="AG814" i="28"/>
  <c r="AJ813" i="28"/>
  <c r="AL813" i="28"/>
  <c r="AN813" i="28"/>
  <c r="AP813" i="28"/>
  <c r="AQ813" i="28"/>
  <c r="AR813" i="28"/>
  <c r="AG815" i="28"/>
  <c r="AJ814" i="28"/>
  <c r="AL814" i="28"/>
  <c r="AN814" i="28"/>
  <c r="AP814" i="28"/>
  <c r="AQ814" i="28"/>
  <c r="AR814" i="28"/>
  <c r="AG816" i="28"/>
  <c r="AJ815" i="28"/>
  <c r="AL815" i="28"/>
  <c r="AN815" i="28"/>
  <c r="AP815" i="28"/>
  <c r="AQ815" i="28"/>
  <c r="AR815" i="28"/>
  <c r="AG817" i="28"/>
  <c r="AH816" i="28"/>
  <c r="AJ816" i="28"/>
  <c r="AL816" i="28"/>
  <c r="AN816" i="28"/>
  <c r="AP816" i="28"/>
  <c r="AQ816" i="28"/>
  <c r="AR816" i="28"/>
  <c r="AG818" i="28"/>
  <c r="AH817" i="28" s="1"/>
  <c r="AJ817" i="28"/>
  <c r="AL817" i="28"/>
  <c r="AN817" i="28"/>
  <c r="AP817" i="28"/>
  <c r="AQ817" i="28"/>
  <c r="AR817" i="28"/>
  <c r="AG819" i="28"/>
  <c r="AH818" i="28"/>
  <c r="AJ818" i="28"/>
  <c r="AL818" i="28"/>
  <c r="AN818" i="28"/>
  <c r="AP818" i="28"/>
  <c r="AQ818" i="28"/>
  <c r="AR818" i="28"/>
  <c r="AG820" i="28"/>
  <c r="AH819" i="28" s="1"/>
  <c r="AJ819" i="28"/>
  <c r="AL819" i="28"/>
  <c r="AN819" i="28"/>
  <c r="AP819" i="28"/>
  <c r="AQ819" i="28"/>
  <c r="AR819" i="28"/>
  <c r="AG821" i="28"/>
  <c r="AH820" i="28"/>
  <c r="AJ820" i="28"/>
  <c r="AL820" i="28"/>
  <c r="AN820" i="28"/>
  <c r="AP820" i="28"/>
  <c r="AQ820" i="28"/>
  <c r="AR820" i="28"/>
  <c r="AG822" i="28"/>
  <c r="AJ821" i="28"/>
  <c r="AL821" i="28"/>
  <c r="AN821" i="28"/>
  <c r="AP821" i="28"/>
  <c r="AQ821" i="28"/>
  <c r="AR821" i="28"/>
  <c r="AG823" i="28"/>
  <c r="AJ822" i="28"/>
  <c r="AL822" i="28"/>
  <c r="AN822" i="28"/>
  <c r="AP822" i="28"/>
  <c r="AQ822" i="28"/>
  <c r="AR822" i="28"/>
  <c r="AG824" i="28"/>
  <c r="AJ823" i="28"/>
  <c r="AK823" i="28"/>
  <c r="AL823" i="28"/>
  <c r="AN823" i="28"/>
  <c r="AP823" i="28"/>
  <c r="AQ823" i="28"/>
  <c r="AR823" i="28"/>
  <c r="AG825" i="28"/>
  <c r="AH824" i="28"/>
  <c r="AJ824" i="28"/>
  <c r="AL824" i="28"/>
  <c r="AN824" i="28"/>
  <c r="AP824" i="28"/>
  <c r="AQ824" i="28"/>
  <c r="AR824" i="28"/>
  <c r="AS824" i="28"/>
  <c r="AG826" i="28"/>
  <c r="AH825" i="28" s="1"/>
  <c r="AJ825" i="28"/>
  <c r="AL825" i="28"/>
  <c r="AN825" i="28"/>
  <c r="AP825" i="28"/>
  <c r="AQ825" i="28"/>
  <c r="AR825" i="28"/>
  <c r="AG827" i="28"/>
  <c r="AH826" i="28"/>
  <c r="AJ826" i="28"/>
  <c r="AL826" i="28"/>
  <c r="AN826" i="28"/>
  <c r="AP826" i="28"/>
  <c r="AQ826" i="28"/>
  <c r="AR826" i="28"/>
  <c r="AG828" i="28"/>
  <c r="AH827" i="28" s="1"/>
  <c r="AJ827" i="28"/>
  <c r="AL827" i="28"/>
  <c r="AN827" i="28"/>
  <c r="AP827" i="28"/>
  <c r="AQ827" i="28"/>
  <c r="AR827" i="28"/>
  <c r="AG829" i="28"/>
  <c r="AH828" i="28"/>
  <c r="AJ828" i="28"/>
  <c r="AL828" i="28"/>
  <c r="AN828" i="28"/>
  <c r="AP828" i="28"/>
  <c r="AQ828" i="28"/>
  <c r="AR828" i="28"/>
  <c r="AG830" i="28"/>
  <c r="AJ829" i="28"/>
  <c r="AL829" i="28"/>
  <c r="AN829" i="28"/>
  <c r="AP829" i="28"/>
  <c r="AQ829" i="28"/>
  <c r="AR829" i="28"/>
  <c r="AG831" i="28"/>
  <c r="AJ830" i="28"/>
  <c r="AL830" i="28"/>
  <c r="AN830" i="28"/>
  <c r="AP830" i="28"/>
  <c r="AQ830" i="28"/>
  <c r="AR830" i="28"/>
  <c r="AG832" i="28"/>
  <c r="AJ831" i="28"/>
  <c r="AL831" i="28"/>
  <c r="AN831" i="28"/>
  <c r="AP831" i="28"/>
  <c r="AQ831" i="28"/>
  <c r="AR831" i="28"/>
  <c r="AG833" i="28"/>
  <c r="AH832" i="28"/>
  <c r="AJ832" i="28"/>
  <c r="AL832" i="28"/>
  <c r="AN832" i="28"/>
  <c r="AP832" i="28"/>
  <c r="AQ832" i="28"/>
  <c r="AR832" i="28"/>
  <c r="AG834" i="28"/>
  <c r="AH833" i="28" s="1"/>
  <c r="AJ833" i="28"/>
  <c r="AL833" i="28"/>
  <c r="AN833" i="28"/>
  <c r="AP833" i="28"/>
  <c r="AQ833" i="28"/>
  <c r="AR833" i="28"/>
  <c r="AG835" i="28"/>
  <c r="AH834" i="28"/>
  <c r="AJ834" i="28"/>
  <c r="AL834" i="28"/>
  <c r="AN834" i="28"/>
  <c r="AP834" i="28"/>
  <c r="AQ834" i="28"/>
  <c r="AR834" i="28"/>
  <c r="AG836" i="28"/>
  <c r="AH835" i="28" s="1"/>
  <c r="AJ835" i="28"/>
  <c r="AL835" i="28"/>
  <c r="AN835" i="28"/>
  <c r="AP835" i="28"/>
  <c r="AQ835" i="28"/>
  <c r="AR835" i="28"/>
  <c r="AG837" i="28"/>
  <c r="AH836" i="28"/>
  <c r="AJ836" i="28"/>
  <c r="AL836" i="28"/>
  <c r="AN836" i="28"/>
  <c r="AP836" i="28"/>
  <c r="AQ836" i="28"/>
  <c r="AR836" i="28"/>
  <c r="AG838" i="28"/>
  <c r="AJ837" i="28"/>
  <c r="AL837" i="28"/>
  <c r="AN837" i="28"/>
  <c r="AP837" i="28"/>
  <c r="AQ837" i="28"/>
  <c r="AR837" i="28"/>
  <c r="AG839" i="28"/>
  <c r="AJ838" i="28"/>
  <c r="AL838" i="28"/>
  <c r="AN838" i="28"/>
  <c r="AP838" i="28"/>
  <c r="AQ838" i="28"/>
  <c r="AR838" i="28"/>
  <c r="AG840" i="28"/>
  <c r="AJ839" i="28"/>
  <c r="AL839" i="28"/>
  <c r="AN839" i="28"/>
  <c r="AP839" i="28"/>
  <c r="AQ839" i="28"/>
  <c r="AR839" i="28"/>
  <c r="AG841" i="28"/>
  <c r="AH840" i="28"/>
  <c r="AJ840" i="28"/>
  <c r="AL840" i="28"/>
  <c r="AN840" i="28"/>
  <c r="AP840" i="28"/>
  <c r="AQ840" i="28"/>
  <c r="AR840" i="28"/>
  <c r="AG842" i="28"/>
  <c r="AH841" i="28" s="1"/>
  <c r="AJ841" i="28"/>
  <c r="AL841" i="28"/>
  <c r="AN841" i="28"/>
  <c r="AP841" i="28"/>
  <c r="AQ841" i="28"/>
  <c r="AR841" i="28"/>
  <c r="AG843" i="28"/>
  <c r="AH842" i="28"/>
  <c r="AJ842" i="28"/>
  <c r="AL842" i="28"/>
  <c r="AN842" i="28"/>
  <c r="AP842" i="28"/>
  <c r="AQ842" i="28"/>
  <c r="AR842" i="28"/>
  <c r="AG844" i="28"/>
  <c r="AH843" i="28" s="1"/>
  <c r="AJ843" i="28"/>
  <c r="AL843" i="28"/>
  <c r="AN843" i="28"/>
  <c r="AP843" i="28"/>
  <c r="AQ843" i="28"/>
  <c r="AR843" i="28"/>
  <c r="AG845" i="28"/>
  <c r="AH844" i="28"/>
  <c r="AJ844" i="28"/>
  <c r="AL844" i="28"/>
  <c r="AN844" i="28"/>
  <c r="AP844" i="28"/>
  <c r="AQ844" i="28"/>
  <c r="AR844" i="28"/>
  <c r="AG846" i="28"/>
  <c r="AJ845" i="28"/>
  <c r="AL845" i="28"/>
  <c r="AN845" i="28"/>
  <c r="AP845" i="28"/>
  <c r="AQ845" i="28"/>
  <c r="AR845" i="28"/>
  <c r="AG847" i="28"/>
  <c r="AJ846" i="28"/>
  <c r="AL846" i="28"/>
  <c r="AN846" i="28"/>
  <c r="AP846" i="28"/>
  <c r="AQ846" i="28"/>
  <c r="AR846" i="28"/>
  <c r="AG848" i="28"/>
  <c r="AJ847" i="28"/>
  <c r="AL847" i="28"/>
  <c r="AN847" i="28"/>
  <c r="AP847" i="28"/>
  <c r="AQ847" i="28"/>
  <c r="AR847" i="28"/>
  <c r="AG849" i="28"/>
  <c r="AH848" i="28"/>
  <c r="AJ848" i="28"/>
  <c r="AL848" i="28"/>
  <c r="AN848" i="28"/>
  <c r="AP848" i="28"/>
  <c r="AQ848" i="28"/>
  <c r="AR848" i="28"/>
  <c r="AG850" i="28"/>
  <c r="AH849" i="28" s="1"/>
  <c r="AJ849" i="28"/>
  <c r="AL849" i="28"/>
  <c r="AN849" i="28"/>
  <c r="AP849" i="28"/>
  <c r="AQ849" i="28"/>
  <c r="AR849" i="28"/>
  <c r="AG851" i="28"/>
  <c r="AH850" i="28"/>
  <c r="AJ850" i="28"/>
  <c r="AL850" i="28"/>
  <c r="AN850" i="28"/>
  <c r="AP850" i="28"/>
  <c r="AQ850" i="28"/>
  <c r="AR850" i="28"/>
  <c r="AG852" i="28"/>
  <c r="AH851" i="28" s="1"/>
  <c r="AJ851" i="28"/>
  <c r="AL851" i="28"/>
  <c r="AN851" i="28"/>
  <c r="AP851" i="28"/>
  <c r="AQ851" i="28"/>
  <c r="AR851" i="28"/>
  <c r="AG853" i="28"/>
  <c r="AH852" i="28"/>
  <c r="AJ852" i="28"/>
  <c r="AL852" i="28"/>
  <c r="AN852" i="28"/>
  <c r="AP852" i="28"/>
  <c r="AQ852" i="28"/>
  <c r="AR852" i="28"/>
  <c r="AG854" i="28"/>
  <c r="AJ853" i="28"/>
  <c r="AL853" i="28"/>
  <c r="AN853" i="28"/>
  <c r="AP853" i="28"/>
  <c r="AQ853" i="28"/>
  <c r="AR853" i="28"/>
  <c r="AG855" i="28"/>
  <c r="AJ854" i="28"/>
  <c r="AL854" i="28"/>
  <c r="AN854" i="28"/>
  <c r="AP854" i="28"/>
  <c r="AQ854" i="28"/>
  <c r="AR854" i="28"/>
  <c r="AG856" i="28"/>
  <c r="AJ855" i="28"/>
  <c r="AL855" i="28"/>
  <c r="AN855" i="28"/>
  <c r="AP855" i="28"/>
  <c r="AQ855" i="28"/>
  <c r="AR855" i="28"/>
  <c r="AG857" i="28"/>
  <c r="AH856" i="28"/>
  <c r="AJ856" i="28"/>
  <c r="AL856" i="28"/>
  <c r="AN856" i="28"/>
  <c r="AP856" i="28"/>
  <c r="AQ856" i="28"/>
  <c r="AR856" i="28"/>
  <c r="AG858" i="28"/>
  <c r="AH857" i="28" s="1"/>
  <c r="AJ857" i="28"/>
  <c r="AL857" i="28"/>
  <c r="AN857" i="28"/>
  <c r="AP857" i="28"/>
  <c r="AQ857" i="28"/>
  <c r="AR857" i="28"/>
  <c r="AG859" i="28"/>
  <c r="AH858" i="28"/>
  <c r="AJ858" i="28"/>
  <c r="AL858" i="28"/>
  <c r="AN858" i="28"/>
  <c r="AP858" i="28"/>
  <c r="AQ858" i="28"/>
  <c r="AR858" i="28"/>
  <c r="AG860" i="28"/>
  <c r="AH859" i="28" s="1"/>
  <c r="AJ859" i="28"/>
  <c r="AL859" i="28"/>
  <c r="AN859" i="28"/>
  <c r="AP859" i="28"/>
  <c r="AQ859" i="28"/>
  <c r="AR859" i="28"/>
  <c r="AG861" i="28"/>
  <c r="AH860" i="28"/>
  <c r="AJ860" i="28"/>
  <c r="AL860" i="28"/>
  <c r="AN860" i="28"/>
  <c r="AP860" i="28"/>
  <c r="AQ860" i="28"/>
  <c r="AR860" i="28"/>
  <c r="AG862" i="28"/>
  <c r="AJ861" i="28"/>
  <c r="AL861" i="28"/>
  <c r="AN861" i="28"/>
  <c r="AP861" i="28"/>
  <c r="AQ861" i="28"/>
  <c r="AR861" i="28"/>
  <c r="AG863" i="28"/>
  <c r="AJ862" i="28"/>
  <c r="AL862" i="28"/>
  <c r="AN862" i="28"/>
  <c r="AP862" i="28"/>
  <c r="AQ862" i="28"/>
  <c r="AR862" i="28"/>
  <c r="AG864" i="28"/>
  <c r="AJ863" i="28"/>
  <c r="AL863" i="28"/>
  <c r="AN863" i="28"/>
  <c r="AP863" i="28"/>
  <c r="AQ863" i="28"/>
  <c r="AR863" i="28"/>
  <c r="AG865" i="28"/>
  <c r="AH864" i="28"/>
  <c r="AJ864" i="28"/>
  <c r="AL864" i="28"/>
  <c r="AN864" i="28"/>
  <c r="AP864" i="28"/>
  <c r="AQ864" i="28"/>
  <c r="AR864" i="28"/>
  <c r="AG866" i="28"/>
  <c r="AH865" i="28" s="1"/>
  <c r="AJ865" i="28"/>
  <c r="AK865" i="28"/>
  <c r="AL865" i="28"/>
  <c r="AN865" i="28"/>
  <c r="AP865" i="28"/>
  <c r="AQ865" i="28"/>
  <c r="AR865" i="28"/>
  <c r="AG867" i="28"/>
  <c r="AH866" i="28"/>
  <c r="AJ866" i="28"/>
  <c r="AL866" i="28"/>
  <c r="AN866" i="28"/>
  <c r="AP866" i="28"/>
  <c r="AQ866" i="28"/>
  <c r="AR866" i="28"/>
  <c r="AS866" i="28"/>
  <c r="AG868" i="28"/>
  <c r="AH867" i="28" s="1"/>
  <c r="AJ867" i="28"/>
  <c r="AL867" i="28"/>
  <c r="AN867" i="28"/>
  <c r="AP867" i="28"/>
  <c r="AQ867" i="28"/>
  <c r="AR867" i="28"/>
  <c r="AG869" i="28"/>
  <c r="AH868" i="28"/>
  <c r="AJ868" i="28"/>
  <c r="AL868" i="28"/>
  <c r="AN868" i="28"/>
  <c r="AP868" i="28"/>
  <c r="AQ868" i="28"/>
  <c r="AR868" i="28"/>
  <c r="AG870" i="28"/>
  <c r="AJ869" i="28"/>
  <c r="AL869" i="28"/>
  <c r="AN869" i="28"/>
  <c r="AP869" i="28"/>
  <c r="AQ869" i="28"/>
  <c r="AR869" i="28"/>
  <c r="AG871" i="28"/>
  <c r="AJ870" i="28"/>
  <c r="AL870" i="28"/>
  <c r="AN870" i="28"/>
  <c r="AP870" i="28"/>
  <c r="AQ870" i="28"/>
  <c r="AR870" i="28"/>
  <c r="AG872" i="28"/>
  <c r="AJ871" i="28"/>
  <c r="AL871" i="28"/>
  <c r="AN871" i="28"/>
  <c r="AP871" i="28"/>
  <c r="AQ871" i="28"/>
  <c r="AR871" i="28"/>
  <c r="AG873" i="28"/>
  <c r="AH872" i="28"/>
  <c r="AJ872" i="28"/>
  <c r="AL872" i="28"/>
  <c r="AN872" i="28"/>
  <c r="AP872" i="28"/>
  <c r="AQ872" i="28"/>
  <c r="AR872" i="28"/>
  <c r="AG874" i="28"/>
  <c r="AH873" i="28" s="1"/>
  <c r="AJ873" i="28"/>
  <c r="AL873" i="28"/>
  <c r="AN873" i="28"/>
  <c r="AP873" i="28"/>
  <c r="AQ873" i="28"/>
  <c r="AR873" i="28"/>
  <c r="AG875" i="28"/>
  <c r="AH874" i="28"/>
  <c r="AJ874" i="28"/>
  <c r="AL874" i="28"/>
  <c r="AN874" i="28"/>
  <c r="AP874" i="28"/>
  <c r="AQ874" i="28"/>
  <c r="AR874" i="28"/>
  <c r="AG876" i="28"/>
  <c r="AH875" i="28" s="1"/>
  <c r="AJ875" i="28"/>
  <c r="AL875" i="28"/>
  <c r="AN875" i="28"/>
  <c r="AP875" i="28"/>
  <c r="AQ875" i="28"/>
  <c r="AR875" i="28"/>
  <c r="AG877" i="28"/>
  <c r="AJ876" i="28"/>
  <c r="AL876" i="28"/>
  <c r="AN876" i="28"/>
  <c r="AP876" i="28"/>
  <c r="AQ876" i="28"/>
  <c r="AR876" i="28"/>
  <c r="AG878" i="28"/>
  <c r="AJ877" i="28"/>
  <c r="AL877" i="28"/>
  <c r="AN877" i="28"/>
  <c r="AP877" i="28"/>
  <c r="AQ877" i="28"/>
  <c r="AR877" i="28"/>
  <c r="AG879" i="28"/>
  <c r="AJ878" i="28"/>
  <c r="AL878" i="28"/>
  <c r="AN878" i="28"/>
  <c r="AP878" i="28"/>
  <c r="AQ878" i="28"/>
  <c r="AR878" i="28"/>
  <c r="AG880" i="28"/>
  <c r="AJ879" i="28"/>
  <c r="AL879" i="28"/>
  <c r="AN879" i="28"/>
  <c r="AP879" i="28"/>
  <c r="AQ879" i="28"/>
  <c r="AR879" i="28"/>
  <c r="AG881" i="28"/>
  <c r="AH880" i="28"/>
  <c r="AJ880" i="28"/>
  <c r="AL880" i="28"/>
  <c r="AN880" i="28"/>
  <c r="AP880" i="28"/>
  <c r="AQ880" i="28"/>
  <c r="AR880" i="28"/>
  <c r="AG882" i="28"/>
  <c r="AH881" i="28" s="1"/>
  <c r="AJ881" i="28"/>
  <c r="AL881" i="28"/>
  <c r="AN881" i="28"/>
  <c r="AP881" i="28"/>
  <c r="AQ881" i="28"/>
  <c r="AR881" i="28"/>
  <c r="AG883" i="28"/>
  <c r="AH882" i="28"/>
  <c r="AJ882" i="28"/>
  <c r="AL882" i="28"/>
  <c r="AN882" i="28"/>
  <c r="AP882" i="28"/>
  <c r="AQ882" i="28"/>
  <c r="AR882" i="28"/>
  <c r="AG884" i="28"/>
  <c r="AH883" i="28" s="1"/>
  <c r="AJ883" i="28"/>
  <c r="AL883" i="28"/>
  <c r="AN883" i="28"/>
  <c r="AP883" i="28"/>
  <c r="AQ883" i="28"/>
  <c r="AR883" i="28"/>
  <c r="AG885" i="28"/>
  <c r="AH884" i="28"/>
  <c r="AJ884" i="28"/>
  <c r="AL884" i="28"/>
  <c r="AN884" i="28"/>
  <c r="AP884" i="28"/>
  <c r="AQ884" i="28"/>
  <c r="AR884" i="28"/>
  <c r="AG886" i="28"/>
  <c r="AJ885" i="28"/>
  <c r="AL885" i="28"/>
  <c r="AN885" i="28"/>
  <c r="AP885" i="28"/>
  <c r="AQ885" i="28"/>
  <c r="AR885" i="28"/>
  <c r="AG887" i="28"/>
  <c r="AJ886" i="28"/>
  <c r="AL886" i="28"/>
  <c r="AN886" i="28"/>
  <c r="AP886" i="28"/>
  <c r="AQ886" i="28"/>
  <c r="AR886" i="28"/>
  <c r="AG888" i="28"/>
  <c r="AJ887" i="28"/>
  <c r="AL887" i="28"/>
  <c r="AN887" i="28"/>
  <c r="AP887" i="28"/>
  <c r="AQ887" i="28"/>
  <c r="AR887" i="28"/>
  <c r="AG889" i="28"/>
  <c r="AH888" i="28"/>
  <c r="AJ888" i="28"/>
  <c r="AL888" i="28"/>
  <c r="AN888" i="28"/>
  <c r="AP888" i="28"/>
  <c r="AQ888" i="28"/>
  <c r="AR888" i="28"/>
  <c r="AG890" i="28"/>
  <c r="AH889" i="28" s="1"/>
  <c r="AJ889" i="28"/>
  <c r="AL889" i="28"/>
  <c r="AN889" i="28"/>
  <c r="AP889" i="28"/>
  <c r="AQ889" i="28"/>
  <c r="AR889" i="28"/>
  <c r="AG891" i="28"/>
  <c r="AH890" i="28"/>
  <c r="AJ890" i="28"/>
  <c r="AL890" i="28"/>
  <c r="AN890" i="28"/>
  <c r="AP890" i="28"/>
  <c r="AQ890" i="28"/>
  <c r="AR890" i="28"/>
  <c r="AG892" i="28"/>
  <c r="AH891" i="28" s="1"/>
  <c r="AJ891" i="28"/>
  <c r="AL891" i="28"/>
  <c r="AN891" i="28"/>
  <c r="AP891" i="28"/>
  <c r="AQ891" i="28"/>
  <c r="AR891" i="28"/>
  <c r="AG893" i="28"/>
  <c r="AJ892" i="28"/>
  <c r="AL892" i="28"/>
  <c r="AN892" i="28"/>
  <c r="AP892" i="28"/>
  <c r="AQ892" i="28"/>
  <c r="AR892" i="28"/>
  <c r="AG894" i="28"/>
  <c r="AJ893" i="28"/>
  <c r="AL893" i="28"/>
  <c r="AN893" i="28"/>
  <c r="AP893" i="28"/>
  <c r="AQ893" i="28"/>
  <c r="AR893" i="28"/>
  <c r="AG895" i="28"/>
  <c r="AJ894" i="28"/>
  <c r="AL894" i="28"/>
  <c r="AN894" i="28"/>
  <c r="AP894" i="28"/>
  <c r="AQ894" i="28"/>
  <c r="AR894" i="28"/>
  <c r="AG896" i="28"/>
  <c r="AJ895" i="28"/>
  <c r="AL895" i="28"/>
  <c r="AN895" i="28"/>
  <c r="AP895" i="28"/>
  <c r="AQ895" i="28"/>
  <c r="AR895" i="28"/>
  <c r="AG897" i="28"/>
  <c r="AH896" i="28"/>
  <c r="AJ896" i="28"/>
  <c r="AL896" i="28"/>
  <c r="AN896" i="28"/>
  <c r="AP896" i="28"/>
  <c r="AQ896" i="28"/>
  <c r="AR896" i="28"/>
  <c r="AG898" i="28"/>
  <c r="AH897" i="28" s="1"/>
  <c r="AJ897" i="28"/>
  <c r="AL897" i="28"/>
  <c r="AN897" i="28"/>
  <c r="AP897" i="28"/>
  <c r="AQ897" i="28"/>
  <c r="AR897" i="28"/>
  <c r="AG899" i="28"/>
  <c r="AJ898" i="28"/>
  <c r="AL898" i="28"/>
  <c r="AN898" i="28"/>
  <c r="AP898" i="28"/>
  <c r="AQ898" i="28"/>
  <c r="AR898" i="28"/>
  <c r="AG900" i="28"/>
  <c r="AJ899" i="28"/>
  <c r="AL899" i="28"/>
  <c r="AN899" i="28"/>
  <c r="AP899" i="28"/>
  <c r="AQ899" i="28"/>
  <c r="AR899" i="28"/>
  <c r="AG901" i="28"/>
  <c r="AH900" i="28"/>
  <c r="AJ900" i="28"/>
  <c r="AL900" i="28"/>
  <c r="AN900" i="28"/>
  <c r="AP900" i="28"/>
  <c r="AQ900" i="28"/>
  <c r="AR900" i="28"/>
  <c r="AG902" i="28"/>
  <c r="AJ901" i="28"/>
  <c r="AL901" i="28"/>
  <c r="AN901" i="28"/>
  <c r="AP901" i="28"/>
  <c r="AQ901" i="28"/>
  <c r="AR901" i="28"/>
  <c r="AG903" i="28"/>
  <c r="AJ902" i="28"/>
  <c r="AL902" i="28"/>
  <c r="AN902" i="28"/>
  <c r="AP902" i="28"/>
  <c r="AQ902" i="28"/>
  <c r="AR902" i="28"/>
  <c r="AG904" i="28"/>
  <c r="AJ903" i="28"/>
  <c r="AL903" i="28"/>
  <c r="AN903" i="28"/>
  <c r="AP903" i="28"/>
  <c r="AQ903" i="28"/>
  <c r="AR903" i="28"/>
  <c r="AS903" i="28"/>
  <c r="AG905" i="28"/>
  <c r="AH904" i="28" s="1"/>
  <c r="AJ904" i="28"/>
  <c r="AL904" i="28"/>
  <c r="AN904" i="28"/>
  <c r="AP904" i="28"/>
  <c r="AQ904" i="28"/>
  <c r="AR904" i="28"/>
  <c r="AG906" i="28"/>
  <c r="AJ905" i="28"/>
  <c r="AL905" i="28"/>
  <c r="AN905" i="28"/>
  <c r="AP905" i="28"/>
  <c r="AQ905" i="28"/>
  <c r="AR905" i="28"/>
  <c r="AG907" i="28"/>
  <c r="AH906" i="28"/>
  <c r="AJ906" i="28"/>
  <c r="AL906" i="28"/>
  <c r="AN906" i="28"/>
  <c r="AP906" i="28"/>
  <c r="AQ906" i="28"/>
  <c r="AR906" i="28"/>
  <c r="AG908" i="28"/>
  <c r="AH907" i="28" s="1"/>
  <c r="AJ907" i="28"/>
  <c r="AL907" i="28"/>
  <c r="AN907" i="28"/>
  <c r="AP907" i="28"/>
  <c r="AQ907" i="28"/>
  <c r="AR907" i="28"/>
  <c r="AS907" i="28"/>
  <c r="AG909" i="28"/>
  <c r="AJ908" i="28"/>
  <c r="AL908" i="28"/>
  <c r="AN908" i="28"/>
  <c r="AP908" i="28"/>
  <c r="AQ908" i="28"/>
  <c r="AR908" i="28"/>
  <c r="AS908" i="28"/>
  <c r="AG910" i="28"/>
  <c r="AJ909" i="28"/>
  <c r="AL909" i="28"/>
  <c r="AN909" i="28"/>
  <c r="AP909" i="28"/>
  <c r="AQ909" i="28"/>
  <c r="AR909" i="28"/>
  <c r="AG911" i="28"/>
  <c r="AH910" i="28"/>
  <c r="AJ910" i="28"/>
  <c r="AL910" i="28"/>
  <c r="AN910" i="28"/>
  <c r="AP910" i="28"/>
  <c r="AQ910" i="28"/>
  <c r="AR910" i="28"/>
  <c r="AG912" i="28"/>
  <c r="AH911" i="28" s="1"/>
  <c r="AJ911" i="28"/>
  <c r="AL911" i="28"/>
  <c r="AN911" i="28"/>
  <c r="AP911" i="28"/>
  <c r="AQ911" i="28"/>
  <c r="AR911" i="28"/>
  <c r="AG913" i="28"/>
  <c r="AJ912" i="28"/>
  <c r="AL912" i="28"/>
  <c r="AN912" i="28"/>
  <c r="AP912" i="28"/>
  <c r="AQ912" i="28"/>
  <c r="AR912" i="28"/>
  <c r="AS912" i="28"/>
  <c r="AG914" i="28"/>
  <c r="AJ913" i="28"/>
  <c r="AL913" i="28"/>
  <c r="AN913" i="28"/>
  <c r="AP913" i="28"/>
  <c r="AQ913" i="28"/>
  <c r="AR913" i="28"/>
  <c r="AG915" i="28"/>
  <c r="AH914" i="28"/>
  <c r="AJ914" i="28"/>
  <c r="AL914" i="28"/>
  <c r="AN914" i="28"/>
  <c r="AP914" i="28"/>
  <c r="AQ914" i="28"/>
  <c r="AR914" i="28"/>
  <c r="AG916" i="28"/>
  <c r="AH915" i="28" s="1"/>
  <c r="AJ915" i="28"/>
  <c r="AK915" i="28"/>
  <c r="AL915" i="28"/>
  <c r="AN915" i="28"/>
  <c r="AP915" i="28"/>
  <c r="AQ915" i="28"/>
  <c r="AR915" i="28"/>
  <c r="AG917" i="28"/>
  <c r="AJ916" i="28"/>
  <c r="AL916" i="28"/>
  <c r="AN916" i="28"/>
  <c r="AP916" i="28"/>
  <c r="AQ916" i="28"/>
  <c r="AR916" i="28"/>
  <c r="AG918" i="28"/>
  <c r="AJ917" i="28"/>
  <c r="AL917" i="28"/>
  <c r="AN917" i="28"/>
  <c r="AP917" i="28"/>
  <c r="AQ917" i="28"/>
  <c r="AR917" i="28"/>
  <c r="AG919" i="28"/>
  <c r="AH918" i="28"/>
  <c r="AJ918" i="28"/>
  <c r="AL918" i="28"/>
  <c r="AN918" i="28"/>
  <c r="AP918" i="28"/>
  <c r="AQ918" i="28"/>
  <c r="AR918" i="28"/>
  <c r="AG920" i="28"/>
  <c r="AH919" i="28" s="1"/>
  <c r="AJ919" i="28"/>
  <c r="AK919" i="28"/>
  <c r="AL919" i="28"/>
  <c r="AN919" i="28"/>
  <c r="AP919" i="28"/>
  <c r="AQ919" i="28"/>
  <c r="AR919" i="28"/>
  <c r="AG921" i="28"/>
  <c r="AJ920" i="28"/>
  <c r="AK920" i="28"/>
  <c r="AL920" i="28"/>
  <c r="AN920" i="28"/>
  <c r="AP920" i="28"/>
  <c r="AQ920" i="28"/>
  <c r="AR920" i="28"/>
  <c r="AG922" i="28"/>
  <c r="AJ921" i="28"/>
  <c r="AL921" i="28"/>
  <c r="AN921" i="28"/>
  <c r="AP921" i="28"/>
  <c r="AQ921" i="28"/>
  <c r="AR921" i="28"/>
  <c r="AG923" i="28"/>
  <c r="AH922" i="28"/>
  <c r="AJ922" i="28"/>
  <c r="AL922" i="28"/>
  <c r="AN922" i="28"/>
  <c r="AP922" i="28"/>
  <c r="AQ922" i="28"/>
  <c r="AR922" i="28"/>
  <c r="AG924" i="28"/>
  <c r="AH923" i="28" s="1"/>
  <c r="AJ923" i="28"/>
  <c r="AL923" i="28"/>
  <c r="AN923" i="28"/>
  <c r="AP923" i="28"/>
  <c r="AQ923" i="28"/>
  <c r="AR923" i="28"/>
  <c r="AS923" i="28"/>
  <c r="AG925" i="28"/>
  <c r="AJ924" i="28"/>
  <c r="AL924" i="28"/>
  <c r="AN924" i="28"/>
  <c r="AP924" i="28"/>
  <c r="AQ924" i="28"/>
  <c r="AR924" i="28"/>
  <c r="AS924" i="28"/>
  <c r="AG926" i="28"/>
  <c r="AJ925" i="28"/>
  <c r="AL925" i="28"/>
  <c r="AN925" i="28"/>
  <c r="AP925" i="28"/>
  <c r="AQ925" i="28"/>
  <c r="AR925" i="28"/>
  <c r="AG927" i="28"/>
  <c r="AH926" i="28"/>
  <c r="AJ926" i="28"/>
  <c r="AL926" i="28"/>
  <c r="AN926" i="28"/>
  <c r="AP926" i="28"/>
  <c r="AQ926" i="28"/>
  <c r="AR926" i="28"/>
  <c r="AG928" i="28"/>
  <c r="AH927" i="28" s="1"/>
  <c r="AJ927" i="28"/>
  <c r="AL927" i="28"/>
  <c r="AN927" i="28"/>
  <c r="AP927" i="28"/>
  <c r="AQ927" i="28"/>
  <c r="AR927" i="28"/>
  <c r="AG929" i="28"/>
  <c r="AJ928" i="28"/>
  <c r="AL928" i="28"/>
  <c r="AN928" i="28"/>
  <c r="AP928" i="28"/>
  <c r="AQ928" i="28"/>
  <c r="AR928" i="28"/>
  <c r="AS928" i="28"/>
  <c r="AG930" i="28"/>
  <c r="AJ929" i="28"/>
  <c r="AL929" i="28"/>
  <c r="AN929" i="28"/>
  <c r="AP929" i="28"/>
  <c r="AQ929" i="28"/>
  <c r="AR929" i="28"/>
  <c r="AG931" i="28"/>
  <c r="AH930" i="28"/>
  <c r="AJ930" i="28"/>
  <c r="AL930" i="28"/>
  <c r="AN930" i="28"/>
  <c r="AP930" i="28"/>
  <c r="AQ930" i="28"/>
  <c r="AR930" i="28"/>
  <c r="AG932" i="28"/>
  <c r="AH931" i="28" s="1"/>
  <c r="AJ931" i="28"/>
  <c r="AK931" i="28"/>
  <c r="AL931" i="28"/>
  <c r="AN931" i="28"/>
  <c r="AP931" i="28"/>
  <c r="AQ931" i="28"/>
  <c r="AR931" i="28"/>
  <c r="AG933" i="28"/>
  <c r="AJ932" i="28"/>
  <c r="AL932" i="28"/>
  <c r="AN932" i="28"/>
  <c r="AP932" i="28"/>
  <c r="AQ932" i="28"/>
  <c r="AR932" i="28"/>
  <c r="AG934" i="28"/>
  <c r="AJ933" i="28"/>
  <c r="AL933" i="28"/>
  <c r="AN933" i="28"/>
  <c r="AP933" i="28"/>
  <c r="AQ933" i="28"/>
  <c r="AR933" i="28"/>
  <c r="AG935" i="28"/>
  <c r="AH934" i="28"/>
  <c r="AJ934" i="28"/>
  <c r="AL934" i="28"/>
  <c r="AN934" i="28"/>
  <c r="AP934" i="28"/>
  <c r="AQ934" i="28"/>
  <c r="AR934" i="28"/>
  <c r="AG936" i="28"/>
  <c r="AH935" i="28" s="1"/>
  <c r="AJ935" i="28"/>
  <c r="AL935" i="28"/>
  <c r="AN935" i="28"/>
  <c r="AP935" i="28"/>
  <c r="AQ935" i="28"/>
  <c r="AR935" i="28"/>
  <c r="AG937" i="28"/>
  <c r="AJ936" i="28"/>
  <c r="AL936" i="28"/>
  <c r="AN936" i="28"/>
  <c r="AP936" i="28"/>
  <c r="AQ936" i="28"/>
  <c r="AR936" i="28"/>
  <c r="AG938" i="28"/>
  <c r="AJ937" i="28"/>
  <c r="AL937" i="28"/>
  <c r="AN937" i="28"/>
  <c r="AP937" i="28"/>
  <c r="AQ937" i="28"/>
  <c r="AR937" i="28"/>
  <c r="AG939" i="28"/>
  <c r="AH938" i="28"/>
  <c r="AJ938" i="28"/>
  <c r="AL938" i="28"/>
  <c r="AN938" i="28"/>
  <c r="AP938" i="28"/>
  <c r="AQ938" i="28"/>
  <c r="AR938" i="28"/>
  <c r="AG940" i="28"/>
  <c r="AH939" i="28" s="1"/>
  <c r="AJ939" i="28"/>
  <c r="AL939" i="28"/>
  <c r="AN939" i="28"/>
  <c r="AP939" i="28"/>
  <c r="AQ939" i="28"/>
  <c r="AR939" i="28"/>
  <c r="AS939" i="28"/>
  <c r="AG941" i="28"/>
  <c r="AJ940" i="28"/>
  <c r="AL940" i="28"/>
  <c r="AN940" i="28"/>
  <c r="AP940" i="28"/>
  <c r="AQ940" i="28"/>
  <c r="AR940" i="28"/>
  <c r="AG942" i="28"/>
  <c r="AJ941" i="28"/>
  <c r="AL941" i="28"/>
  <c r="AN941" i="28"/>
  <c r="AP941" i="28"/>
  <c r="AQ941" i="28"/>
  <c r="AR941" i="28"/>
  <c r="AG943" i="28"/>
  <c r="AH942" i="28"/>
  <c r="AJ942" i="28"/>
  <c r="AL942" i="28"/>
  <c r="AN942" i="28"/>
  <c r="AP942" i="28"/>
  <c r="AQ942" i="28"/>
  <c r="AR942" i="28"/>
  <c r="AG944" i="28"/>
  <c r="AH943" i="28" s="1"/>
  <c r="AJ943" i="28"/>
  <c r="AL943" i="28"/>
  <c r="AN943" i="28"/>
  <c r="AP943" i="28"/>
  <c r="AQ943" i="28"/>
  <c r="AR943" i="28"/>
  <c r="AG945" i="28"/>
  <c r="AJ944" i="28"/>
  <c r="AL944" i="28"/>
  <c r="AN944" i="28"/>
  <c r="AP944" i="28"/>
  <c r="AQ944" i="28"/>
  <c r="AR944" i="28"/>
  <c r="AG946" i="28"/>
  <c r="AJ945" i="28"/>
  <c r="AL945" i="28"/>
  <c r="AN945" i="28"/>
  <c r="AP945" i="28"/>
  <c r="AQ945" i="28"/>
  <c r="AR945" i="28"/>
  <c r="AG947" i="28"/>
  <c r="AH946" i="28"/>
  <c r="AJ946" i="28"/>
  <c r="AL946" i="28"/>
  <c r="AN946" i="28"/>
  <c r="AP946" i="28"/>
  <c r="AQ946" i="28"/>
  <c r="AR946" i="28"/>
  <c r="AG948" i="28"/>
  <c r="AH947" i="28" s="1"/>
  <c r="AJ947" i="28"/>
  <c r="AL947" i="28"/>
  <c r="AN947" i="28"/>
  <c r="AP947" i="28"/>
  <c r="AQ947" i="28"/>
  <c r="AR947" i="28"/>
  <c r="AG949" i="28"/>
  <c r="AJ948" i="28"/>
  <c r="AL948" i="28"/>
  <c r="AN948" i="28"/>
  <c r="AP948" i="28"/>
  <c r="AQ948" i="28"/>
  <c r="AR948" i="28"/>
  <c r="AG950" i="28"/>
  <c r="AJ949" i="28"/>
  <c r="AL949" i="28"/>
  <c r="AN949" i="28"/>
  <c r="AP949" i="28"/>
  <c r="AQ949" i="28"/>
  <c r="AR949" i="28"/>
  <c r="AG951" i="28"/>
  <c r="AH950" i="28"/>
  <c r="AJ950" i="28"/>
  <c r="AL950" i="28"/>
  <c r="AN950" i="28"/>
  <c r="AP950" i="28"/>
  <c r="AQ950" i="28"/>
  <c r="AR950" i="28"/>
  <c r="AG952" i="28"/>
  <c r="AH951" i="28" s="1"/>
  <c r="AJ951" i="28"/>
  <c r="AL951" i="28"/>
  <c r="AN951" i="28"/>
  <c r="AP951" i="28"/>
  <c r="AQ951" i="28"/>
  <c r="AR951" i="28"/>
  <c r="AG953" i="28"/>
  <c r="AJ952" i="28"/>
  <c r="AK952" i="28"/>
  <c r="AL952" i="28"/>
  <c r="AN952" i="28"/>
  <c r="AP952" i="28"/>
  <c r="AQ952" i="28"/>
  <c r="AR952" i="28"/>
  <c r="AG954" i="28"/>
  <c r="AJ953" i="28"/>
  <c r="AL953" i="28"/>
  <c r="AN953" i="28"/>
  <c r="AP953" i="28"/>
  <c r="AQ953" i="28"/>
  <c r="AR953" i="28"/>
  <c r="AG955" i="28"/>
  <c r="AH954" i="28"/>
  <c r="AJ954" i="28"/>
  <c r="AL954" i="28"/>
  <c r="AN954" i="28"/>
  <c r="AP954" i="28"/>
  <c r="AQ954" i="28"/>
  <c r="AR954" i="28"/>
  <c r="AG956" i="28"/>
  <c r="AH955" i="28" s="1"/>
  <c r="AJ955" i="28"/>
  <c r="AL955" i="28"/>
  <c r="AN955" i="28"/>
  <c r="AP955" i="28"/>
  <c r="AQ955" i="28"/>
  <c r="AR955" i="28"/>
  <c r="AS955" i="28"/>
  <c r="AG957" i="28"/>
  <c r="AJ956" i="28"/>
  <c r="AL956" i="28"/>
  <c r="AN956" i="28"/>
  <c r="AP956" i="28"/>
  <c r="AQ956" i="28"/>
  <c r="AR956" i="28"/>
  <c r="AG958" i="28"/>
  <c r="AJ957" i="28"/>
  <c r="AL957" i="28"/>
  <c r="AN957" i="28"/>
  <c r="AP957" i="28"/>
  <c r="AQ957" i="28"/>
  <c r="AR957" i="28"/>
  <c r="AG959" i="28"/>
  <c r="AH958" i="28"/>
  <c r="AJ958" i="28"/>
  <c r="AL958" i="28"/>
  <c r="AN958" i="28"/>
  <c r="AP958" i="28"/>
  <c r="AQ958" i="28"/>
  <c r="AR958" i="28"/>
  <c r="AG960" i="28"/>
  <c r="AH959" i="28" s="1"/>
  <c r="AJ959" i="28"/>
  <c r="AL959" i="28"/>
  <c r="AN959" i="28"/>
  <c r="AP959" i="28"/>
  <c r="AQ959" i="28"/>
  <c r="AR959" i="28"/>
  <c r="AG961" i="28"/>
  <c r="AJ960" i="28"/>
  <c r="AL960" i="28"/>
  <c r="AN960" i="28"/>
  <c r="AP960" i="28"/>
  <c r="AQ960" i="28"/>
  <c r="AR960" i="28"/>
  <c r="AG962" i="28"/>
  <c r="AJ961" i="28"/>
  <c r="AL961" i="28"/>
  <c r="AN961" i="28"/>
  <c r="AP961" i="28"/>
  <c r="AQ961" i="28"/>
  <c r="AR961" i="28"/>
  <c r="AG963" i="28"/>
  <c r="AH962" i="28"/>
  <c r="AJ962" i="28"/>
  <c r="AL962" i="28"/>
  <c r="AN962" i="28"/>
  <c r="AP962" i="28"/>
  <c r="AQ962" i="28"/>
  <c r="AR962" i="28"/>
  <c r="AG964" i="28"/>
  <c r="AH963" i="28" s="1"/>
  <c r="AJ963" i="28"/>
  <c r="AL963" i="28"/>
  <c r="AN963" i="28"/>
  <c r="AP963" i="28"/>
  <c r="AQ963" i="28"/>
  <c r="AR963" i="28"/>
  <c r="AG965" i="28"/>
  <c r="AJ964" i="28"/>
  <c r="AL964" i="28"/>
  <c r="AN964" i="28"/>
  <c r="AP964" i="28"/>
  <c r="AQ964" i="28"/>
  <c r="AR964" i="28"/>
  <c r="AS964" i="28"/>
  <c r="AG966" i="28"/>
  <c r="AJ965" i="28"/>
  <c r="AL965" i="28"/>
  <c r="AN965" i="28"/>
  <c r="AP965" i="28"/>
  <c r="AQ965" i="28"/>
  <c r="AR965" i="28"/>
  <c r="AG967" i="28"/>
  <c r="AH966" i="28"/>
  <c r="AJ966" i="28"/>
  <c r="AL966" i="28"/>
  <c r="AN966" i="28"/>
  <c r="AP966" i="28"/>
  <c r="AQ966" i="28"/>
  <c r="AR966" i="28"/>
  <c r="AG968" i="28"/>
  <c r="AH967" i="28" s="1"/>
  <c r="AJ967" i="28"/>
  <c r="AK967" i="28"/>
  <c r="AL967" i="28"/>
  <c r="AN967" i="28"/>
  <c r="AP967" i="28"/>
  <c r="AQ967" i="28"/>
  <c r="AR967" i="28"/>
  <c r="AG969" i="28"/>
  <c r="AJ968" i="28"/>
  <c r="AL968" i="28"/>
  <c r="AN968" i="28"/>
  <c r="AP968" i="28"/>
  <c r="AQ968" i="28"/>
  <c r="AR968" i="28"/>
  <c r="AG970" i="28"/>
  <c r="AJ969" i="28"/>
  <c r="AL969" i="28"/>
  <c r="AN969" i="28"/>
  <c r="AP969" i="28"/>
  <c r="AQ969" i="28"/>
  <c r="AR969" i="28"/>
  <c r="AG971" i="28"/>
  <c r="AH970" i="28"/>
  <c r="AJ970" i="28"/>
  <c r="AL970" i="28"/>
  <c r="AN970" i="28"/>
  <c r="AP970" i="28"/>
  <c r="AQ970" i="28"/>
  <c r="AR970" i="28"/>
  <c r="AG972" i="28"/>
  <c r="AH971" i="28" s="1"/>
  <c r="AJ971" i="28"/>
  <c r="AL971" i="28"/>
  <c r="AN971" i="28"/>
  <c r="AP971" i="28"/>
  <c r="AQ971" i="28"/>
  <c r="AR971" i="28"/>
  <c r="AG973" i="28"/>
  <c r="AJ972" i="28"/>
  <c r="AL972" i="28"/>
  <c r="AN972" i="28"/>
  <c r="AP972" i="28"/>
  <c r="AQ972" i="28"/>
  <c r="AR972" i="28"/>
  <c r="AG974" i="28"/>
  <c r="AJ973" i="28"/>
  <c r="AL973" i="28"/>
  <c r="AN973" i="28"/>
  <c r="AP973" i="28"/>
  <c r="AQ973" i="28"/>
  <c r="AR973" i="28"/>
  <c r="AG975" i="28"/>
  <c r="AH974" i="28"/>
  <c r="AJ974" i="28"/>
  <c r="AL974" i="28"/>
  <c r="AN974" i="28"/>
  <c r="AP974" i="28"/>
  <c r="AQ974" i="28"/>
  <c r="AR974" i="28"/>
  <c r="AG976" i="28"/>
  <c r="AH975" i="28" s="1"/>
  <c r="AJ975" i="28"/>
  <c r="AL975" i="28"/>
  <c r="AN975" i="28"/>
  <c r="AP975" i="28"/>
  <c r="AQ975" i="28"/>
  <c r="AR975" i="28"/>
  <c r="AG977" i="28"/>
  <c r="AJ976" i="28"/>
  <c r="AK976" i="28"/>
  <c r="AL976" i="28"/>
  <c r="AN976" i="28"/>
  <c r="AP976" i="28"/>
  <c r="AQ976" i="28"/>
  <c r="AR976" i="28"/>
  <c r="AG978" i="28"/>
  <c r="AJ977" i="28"/>
  <c r="AL977" i="28"/>
  <c r="AN977" i="28"/>
  <c r="AP977" i="28"/>
  <c r="AQ977" i="28"/>
  <c r="AR977" i="28"/>
  <c r="AG979" i="28"/>
  <c r="AH978" i="28"/>
  <c r="AJ978" i="28"/>
  <c r="AL978" i="28"/>
  <c r="AN978" i="28"/>
  <c r="AP978" i="28"/>
  <c r="AQ978" i="28"/>
  <c r="AR978" i="28"/>
  <c r="AG980" i="28"/>
  <c r="AH979" i="28" s="1"/>
  <c r="AJ979" i="28"/>
  <c r="AL979" i="28"/>
  <c r="AN979" i="28"/>
  <c r="AP979" i="28"/>
  <c r="AQ979" i="28"/>
  <c r="AR979" i="28"/>
  <c r="AS979" i="28"/>
  <c r="AG981" i="28"/>
  <c r="AJ980" i="28"/>
  <c r="AL980" i="28"/>
  <c r="AN980" i="28"/>
  <c r="AP980" i="28"/>
  <c r="AQ980" i="28"/>
  <c r="AR980" i="28"/>
  <c r="AG982" i="28"/>
  <c r="AJ981" i="28"/>
  <c r="AL981" i="28"/>
  <c r="AN981" i="28"/>
  <c r="AP981" i="28"/>
  <c r="AQ981" i="28"/>
  <c r="AR981" i="28"/>
  <c r="AG983" i="28"/>
  <c r="AH982" i="28"/>
  <c r="AJ982" i="28"/>
  <c r="AL982" i="28"/>
  <c r="AN982" i="28"/>
  <c r="AP982" i="28"/>
  <c r="AQ982" i="28"/>
  <c r="AR982" i="28"/>
  <c r="AG984" i="28"/>
  <c r="AH983" i="28" s="1"/>
  <c r="AJ983" i="28"/>
  <c r="AL983" i="28"/>
  <c r="AN983" i="28"/>
  <c r="AP983" i="28"/>
  <c r="AQ983" i="28"/>
  <c r="AR983" i="28"/>
  <c r="AG985" i="28"/>
  <c r="AJ984" i="28"/>
  <c r="AL984" i="28"/>
  <c r="AN984" i="28"/>
  <c r="AP984" i="28"/>
  <c r="AQ984" i="28"/>
  <c r="AR984" i="28"/>
  <c r="AG986" i="28"/>
  <c r="AJ985" i="28"/>
  <c r="AL985" i="28"/>
  <c r="AN985" i="28"/>
  <c r="AP985" i="28"/>
  <c r="AQ985" i="28"/>
  <c r="AR985" i="28"/>
  <c r="AG987" i="28"/>
  <c r="AH986" i="28"/>
  <c r="AJ986" i="28"/>
  <c r="AL986" i="28"/>
  <c r="AN986" i="28"/>
  <c r="AP986" i="28"/>
  <c r="AQ986" i="28"/>
  <c r="AR986" i="28"/>
  <c r="AG988" i="28"/>
  <c r="AH987" i="28" s="1"/>
  <c r="AJ987" i="28"/>
  <c r="AL987" i="28"/>
  <c r="AN987" i="28"/>
  <c r="AP987" i="28"/>
  <c r="AQ987" i="28"/>
  <c r="AR987" i="28"/>
  <c r="AG989" i="28"/>
  <c r="AJ988" i="28"/>
  <c r="AL988" i="28"/>
  <c r="AN988" i="28"/>
  <c r="AP988" i="28"/>
  <c r="AQ988" i="28"/>
  <c r="AR988" i="28"/>
  <c r="AG990" i="28"/>
  <c r="AJ989" i="28"/>
  <c r="AL989" i="28"/>
  <c r="AN989" i="28"/>
  <c r="AP989" i="28"/>
  <c r="AQ989" i="28"/>
  <c r="AR989" i="28"/>
  <c r="AG991" i="28"/>
  <c r="AH990" i="28"/>
  <c r="AJ990" i="28"/>
  <c r="AL990" i="28"/>
  <c r="AN990" i="28"/>
  <c r="AP990" i="28"/>
  <c r="AQ990" i="28"/>
  <c r="AR990" i="28"/>
  <c r="AG992" i="28"/>
  <c r="AH991" i="28" s="1"/>
  <c r="AJ991" i="28"/>
  <c r="AL991" i="28"/>
  <c r="AN991" i="28"/>
  <c r="AP991" i="28"/>
  <c r="AQ991" i="28"/>
  <c r="AR991" i="28"/>
  <c r="AG993" i="28"/>
  <c r="AJ992" i="28"/>
  <c r="AK992" i="28"/>
  <c r="AL992" i="28"/>
  <c r="AN992" i="28"/>
  <c r="AP992" i="28"/>
  <c r="AQ992" i="28"/>
  <c r="AR992" i="28"/>
  <c r="AG994" i="28"/>
  <c r="AJ993" i="28"/>
  <c r="AL993" i="28"/>
  <c r="AN993" i="28"/>
  <c r="AP993" i="28"/>
  <c r="AQ993" i="28"/>
  <c r="AR993" i="28"/>
  <c r="AG995" i="28"/>
  <c r="AH994" i="28"/>
  <c r="AJ994" i="28"/>
  <c r="AL994" i="28"/>
  <c r="AN994" i="28"/>
  <c r="AP994" i="28"/>
  <c r="AQ994" i="28"/>
  <c r="AR994" i="28"/>
  <c r="AG996" i="28"/>
  <c r="AH995" i="28" s="1"/>
  <c r="AJ995" i="28"/>
  <c r="AK995" i="28"/>
  <c r="AL995" i="28"/>
  <c r="AN995" i="28"/>
  <c r="AP995" i="28"/>
  <c r="AQ995" i="28"/>
  <c r="AR995" i="28"/>
  <c r="AG997" i="28"/>
  <c r="AJ996" i="28"/>
  <c r="AK996" i="28"/>
  <c r="AL996" i="28"/>
  <c r="AN996" i="28"/>
  <c r="AP996" i="28"/>
  <c r="AQ996" i="28"/>
  <c r="AR996" i="28"/>
  <c r="AG998" i="28"/>
  <c r="AJ997" i="28"/>
  <c r="AL997" i="28"/>
  <c r="AN997" i="28"/>
  <c r="AP997" i="28"/>
  <c r="AQ997" i="28"/>
  <c r="AR997" i="28"/>
  <c r="AG999" i="28"/>
  <c r="AH998" i="28"/>
  <c r="AJ998" i="28"/>
  <c r="AL998" i="28"/>
  <c r="AN998" i="28"/>
  <c r="AP998" i="28"/>
  <c r="AQ998" i="28"/>
  <c r="AR998" i="28"/>
  <c r="AG1000" i="28"/>
  <c r="AH999" i="28" s="1"/>
  <c r="AJ999" i="28"/>
  <c r="AL999" i="28"/>
  <c r="AN999" i="28"/>
  <c r="AP999" i="28"/>
  <c r="AQ999" i="28"/>
  <c r="AR999" i="28"/>
  <c r="AS999" i="28"/>
  <c r="AG1001" i="28"/>
  <c r="AJ1000" i="28"/>
  <c r="AL1000" i="28"/>
  <c r="AN1000" i="28"/>
  <c r="AP1000" i="28"/>
  <c r="AQ1000" i="28"/>
  <c r="AR1000" i="28"/>
  <c r="AG1002" i="28"/>
  <c r="AJ1001" i="28"/>
  <c r="AK1001" i="28"/>
  <c r="AL1001" i="28"/>
  <c r="AN1001" i="28"/>
  <c r="AP1001" i="28"/>
  <c r="AQ1001" i="28"/>
  <c r="AR1001" i="28"/>
  <c r="AG1003" i="28"/>
  <c r="AH1002" i="28"/>
  <c r="AJ1002" i="28"/>
  <c r="AL1002" i="28"/>
  <c r="AN1002" i="28"/>
  <c r="AP1002" i="28"/>
  <c r="AQ1002" i="28"/>
  <c r="AR1002" i="28"/>
  <c r="AG1004" i="28"/>
  <c r="AH1003" i="28" s="1"/>
  <c r="AJ1003" i="28"/>
  <c r="AL1003" i="28"/>
  <c r="AN1003" i="28"/>
  <c r="AP1003" i="28"/>
  <c r="AQ1003" i="28"/>
  <c r="AR1003" i="28"/>
  <c r="AG1005" i="28"/>
  <c r="AJ1004" i="28"/>
  <c r="AL1004" i="28"/>
  <c r="AN1004" i="28"/>
  <c r="AP1004" i="28"/>
  <c r="AQ1004" i="28"/>
  <c r="AR1004" i="28"/>
  <c r="AG1006" i="28"/>
  <c r="AJ1005" i="28"/>
  <c r="AL1005" i="28"/>
  <c r="AN1005" i="28"/>
  <c r="AP1005" i="28"/>
  <c r="AQ1005" i="28"/>
  <c r="AR1005" i="28"/>
  <c r="AG1007" i="28"/>
  <c r="AH1006" i="28"/>
  <c r="AJ1006" i="28"/>
  <c r="AL1006" i="28"/>
  <c r="AN1006" i="28"/>
  <c r="AP1006" i="28"/>
  <c r="AQ1006" i="28"/>
  <c r="AR1006" i="28"/>
  <c r="AG1008" i="28"/>
  <c r="AH1007" i="28" s="1"/>
  <c r="AJ1007" i="28"/>
  <c r="AL1007" i="28"/>
  <c r="AN1007" i="28"/>
  <c r="AP1007" i="28"/>
  <c r="AQ1007" i="28"/>
  <c r="AR1007" i="28"/>
  <c r="AG1009" i="28"/>
  <c r="AJ1008" i="28"/>
  <c r="AL1008" i="28"/>
  <c r="AN1008" i="28"/>
  <c r="AP1008" i="28"/>
  <c r="AQ1008" i="28"/>
  <c r="AR1008" i="28"/>
  <c r="AG1010" i="28"/>
  <c r="AJ1009" i="28"/>
  <c r="AL1009" i="28"/>
  <c r="AN1009" i="28"/>
  <c r="AP1009" i="28"/>
  <c r="AQ1009" i="28"/>
  <c r="AR1009" i="28"/>
  <c r="AG1011" i="28"/>
  <c r="AH1010" i="28"/>
  <c r="AJ1010" i="28"/>
  <c r="AL1010" i="28"/>
  <c r="AN1010" i="28"/>
  <c r="AP1010" i="28"/>
  <c r="AQ1010" i="28"/>
  <c r="AR1010" i="28"/>
  <c r="AG1012" i="28"/>
  <c r="AH1011" i="28" s="1"/>
  <c r="AJ1011" i="28"/>
  <c r="AL1011" i="28"/>
  <c r="AN1011" i="28"/>
  <c r="AP1011" i="28"/>
  <c r="AQ1011" i="28"/>
  <c r="AR1011" i="28"/>
  <c r="AG1013" i="28"/>
  <c r="AJ1012" i="28"/>
  <c r="AL1012" i="28"/>
  <c r="AN1012" i="28"/>
  <c r="AP1012" i="28"/>
  <c r="AQ1012" i="28"/>
  <c r="AR1012" i="28"/>
  <c r="AG1014" i="28"/>
  <c r="AJ1013" i="28"/>
  <c r="AK1013" i="28"/>
  <c r="AL1013" i="28"/>
  <c r="AN1013" i="28"/>
  <c r="AP1013" i="28"/>
  <c r="AQ1013" i="28"/>
  <c r="AR1013" i="28"/>
  <c r="AG1015" i="28"/>
  <c r="AH1014" i="28"/>
  <c r="AJ1014" i="28"/>
  <c r="AL1014" i="28"/>
  <c r="AN1014" i="28"/>
  <c r="AP1014" i="28"/>
  <c r="AQ1014" i="28"/>
  <c r="AR1014" i="28"/>
  <c r="AS1014" i="28"/>
  <c r="AG1016" i="28"/>
  <c r="AH1015" i="28" s="1"/>
  <c r="AJ1015" i="28"/>
  <c r="AL1015" i="28"/>
  <c r="AN1015" i="28"/>
  <c r="AP1015" i="28"/>
  <c r="AQ1015" i="28"/>
  <c r="AR1015" i="28"/>
  <c r="AS1015" i="28"/>
  <c r="AG1017" i="28"/>
  <c r="AJ1016" i="28"/>
  <c r="AL1016" i="28"/>
  <c r="AN1016" i="28"/>
  <c r="AP1016" i="28"/>
  <c r="AQ1016" i="28"/>
  <c r="AR1016" i="28"/>
  <c r="AG1018" i="28"/>
  <c r="AJ1017" i="28"/>
  <c r="AK1017" i="28"/>
  <c r="AL1017" i="28"/>
  <c r="AN1017" i="28"/>
  <c r="AP1017" i="28"/>
  <c r="AQ1017" i="28"/>
  <c r="AR1017" i="28"/>
  <c r="AG1019" i="28"/>
  <c r="AH1018" i="28"/>
  <c r="AJ1018" i="28"/>
  <c r="AL1018" i="28"/>
  <c r="AN1018" i="28"/>
  <c r="AP1018" i="28"/>
  <c r="AQ1018" i="28"/>
  <c r="AR1018" i="28"/>
  <c r="AG1020" i="28"/>
  <c r="AH1019" i="28" s="1"/>
  <c r="AJ1019" i="28"/>
  <c r="AL1019" i="28"/>
  <c r="AN1019" i="28"/>
  <c r="AP1019" i="28"/>
  <c r="AQ1019" i="28"/>
  <c r="AR1019" i="28"/>
  <c r="AG1021" i="28"/>
  <c r="AJ1020" i="28"/>
  <c r="AL1020" i="28"/>
  <c r="AN1020" i="28"/>
  <c r="AP1020" i="28"/>
  <c r="AQ1020" i="28"/>
  <c r="AR1020" i="28"/>
  <c r="AG1022" i="28"/>
  <c r="AJ1021" i="28"/>
  <c r="AL1021" i="28"/>
  <c r="AN1021" i="28"/>
  <c r="AP1021" i="28"/>
  <c r="AQ1021" i="28"/>
  <c r="AR1021" i="28"/>
  <c r="AG1023" i="28"/>
  <c r="AH1022" i="28"/>
  <c r="AJ1022" i="28"/>
  <c r="AL1022" i="28"/>
  <c r="AN1022" i="28"/>
  <c r="AP1022" i="28"/>
  <c r="AQ1022" i="28"/>
  <c r="AR1022" i="28"/>
  <c r="AG1024" i="28"/>
  <c r="AH1023" i="28" s="1"/>
  <c r="AJ1023" i="28"/>
  <c r="AL1023" i="28"/>
  <c r="AN1023" i="28"/>
  <c r="AP1023" i="28"/>
  <c r="AQ1023" i="28"/>
  <c r="AR1023" i="28"/>
  <c r="AG1025" i="28"/>
  <c r="AJ1024" i="28"/>
  <c r="AL1024" i="28"/>
  <c r="AN1024" i="28"/>
  <c r="AP1024" i="28"/>
  <c r="AQ1024" i="28"/>
  <c r="AR1024" i="28"/>
  <c r="AG1026" i="28"/>
  <c r="AJ1025" i="28"/>
  <c r="AL1025" i="28"/>
  <c r="AN1025" i="28"/>
  <c r="AP1025" i="28"/>
  <c r="AQ1025" i="28"/>
  <c r="AR1025" i="28"/>
  <c r="AG1027" i="28"/>
  <c r="AH1026" i="28"/>
  <c r="AJ1026" i="28"/>
  <c r="AL1026" i="28"/>
  <c r="AN1026" i="28"/>
  <c r="AP1026" i="28"/>
  <c r="AQ1026" i="28"/>
  <c r="AR1026" i="28"/>
  <c r="AG1028" i="28"/>
  <c r="AH1027" i="28" s="1"/>
  <c r="AJ1027" i="28"/>
  <c r="AL1027" i="28"/>
  <c r="AN1027" i="28"/>
  <c r="AP1027" i="28"/>
  <c r="AQ1027" i="28"/>
  <c r="AR1027" i="28"/>
  <c r="AG1029" i="28"/>
  <c r="AJ1028" i="28"/>
  <c r="AL1028" i="28"/>
  <c r="AN1028" i="28"/>
  <c r="AP1028" i="28"/>
  <c r="AQ1028" i="28"/>
  <c r="AR1028" i="28"/>
  <c r="AG1030" i="28"/>
  <c r="AJ1029" i="28"/>
  <c r="AK1029" i="28"/>
  <c r="AL1029" i="28"/>
  <c r="AN1029" i="28"/>
  <c r="AP1029" i="28"/>
  <c r="AQ1029" i="28"/>
  <c r="AR1029" i="28"/>
  <c r="AG1031" i="28"/>
  <c r="AH1030" i="28"/>
  <c r="AJ1030" i="28"/>
  <c r="AL1030" i="28"/>
  <c r="AN1030" i="28"/>
  <c r="AP1030" i="28"/>
  <c r="AQ1030" i="28"/>
  <c r="AR1030" i="28"/>
  <c r="AS1030" i="28"/>
  <c r="AG1032" i="28"/>
  <c r="AH1031" i="28" s="1"/>
  <c r="AJ1031" i="28"/>
  <c r="AL1031" i="28"/>
  <c r="AN1031" i="28"/>
  <c r="AP1031" i="28"/>
  <c r="AQ1031" i="28"/>
  <c r="AR1031" i="28"/>
  <c r="AS1031" i="28"/>
  <c r="AG1033" i="28"/>
  <c r="AJ1032" i="28"/>
  <c r="AL1032" i="28"/>
  <c r="AN1032" i="28"/>
  <c r="AP1032" i="28"/>
  <c r="AQ1032" i="28"/>
  <c r="AR1032" i="28"/>
  <c r="AG1034" i="28"/>
  <c r="AJ1033" i="28"/>
  <c r="AK1033" i="28"/>
  <c r="AL1033" i="28"/>
  <c r="AN1033" i="28"/>
  <c r="AP1033" i="28"/>
  <c r="AQ1033" i="28"/>
  <c r="AR1033" i="28"/>
  <c r="AG1035" i="28"/>
  <c r="AH1034" i="28"/>
  <c r="AJ1034" i="28"/>
  <c r="AL1034" i="28"/>
  <c r="AN1034" i="28"/>
  <c r="AP1034" i="28"/>
  <c r="AQ1034" i="28"/>
  <c r="AR1034" i="28"/>
  <c r="AG1036" i="28"/>
  <c r="AH1035" i="28" s="1"/>
  <c r="AJ1035" i="28"/>
  <c r="AL1035" i="28"/>
  <c r="AN1035" i="28"/>
  <c r="AP1035" i="28"/>
  <c r="AQ1035" i="28"/>
  <c r="AR1035" i="28"/>
  <c r="AG1037" i="28"/>
  <c r="AJ1036" i="28"/>
  <c r="AL1036" i="28"/>
  <c r="AN1036" i="28"/>
  <c r="AP1036" i="28"/>
  <c r="AQ1036" i="28"/>
  <c r="AR1036" i="28"/>
  <c r="AG1038" i="28"/>
  <c r="AJ1037" i="28"/>
  <c r="AL1037" i="28"/>
  <c r="AN1037" i="28"/>
  <c r="AP1037" i="28"/>
  <c r="AQ1037" i="28"/>
  <c r="AR1037" i="28"/>
  <c r="AG1039" i="28"/>
  <c r="AH1038" i="28"/>
  <c r="AJ1038" i="28"/>
  <c r="AL1038" i="28"/>
  <c r="AN1038" i="28"/>
  <c r="AP1038" i="28"/>
  <c r="AQ1038" i="28"/>
  <c r="AR1038" i="28"/>
  <c r="AG1040" i="28"/>
  <c r="AH1039" i="28" s="1"/>
  <c r="AJ1039" i="28"/>
  <c r="AL1039" i="28"/>
  <c r="AN1039" i="28"/>
  <c r="AP1039" i="28"/>
  <c r="AQ1039" i="28"/>
  <c r="AR1039" i="28"/>
  <c r="AG1041" i="28"/>
  <c r="AJ1040" i="28"/>
  <c r="AL1040" i="28"/>
  <c r="AN1040" i="28"/>
  <c r="AP1040" i="28"/>
  <c r="AQ1040" i="28"/>
  <c r="AR1040" i="28"/>
  <c r="AG1042" i="28"/>
  <c r="AJ1041" i="28"/>
  <c r="AL1041" i="28"/>
  <c r="AN1041" i="28"/>
  <c r="AP1041" i="28"/>
  <c r="AQ1041" i="28"/>
  <c r="AR1041" i="28"/>
  <c r="AG1043" i="28"/>
  <c r="AH1042" i="28"/>
  <c r="AJ1042" i="28"/>
  <c r="AL1042" i="28"/>
  <c r="AN1042" i="28"/>
  <c r="AP1042" i="28"/>
  <c r="AQ1042" i="28"/>
  <c r="AR1042" i="28"/>
  <c r="AG1044" i="28"/>
  <c r="AH1043" i="28" s="1"/>
  <c r="AJ1043" i="28"/>
  <c r="AL1043" i="28"/>
  <c r="AN1043" i="28"/>
  <c r="AP1043" i="28"/>
  <c r="AQ1043" i="28"/>
  <c r="AR1043" i="28"/>
  <c r="AG1045" i="28"/>
  <c r="AJ1044" i="28"/>
  <c r="AL1044" i="28"/>
  <c r="AN1044" i="28"/>
  <c r="AP1044" i="28"/>
  <c r="AQ1044" i="28"/>
  <c r="AR1044" i="28"/>
  <c r="AG1046" i="28"/>
  <c r="AJ1045" i="28"/>
  <c r="AK1045" i="28"/>
  <c r="AL1045" i="28"/>
  <c r="AN1045" i="28"/>
  <c r="AP1045" i="28"/>
  <c r="AQ1045" i="28"/>
  <c r="AR1045" i="28"/>
  <c r="AG1047" i="28"/>
  <c r="AH1046" i="28"/>
  <c r="AJ1046" i="28"/>
  <c r="AL1046" i="28"/>
  <c r="AN1046" i="28"/>
  <c r="AP1046" i="28"/>
  <c r="AQ1046" i="28"/>
  <c r="AR1046" i="28"/>
  <c r="AS1046" i="28"/>
  <c r="AG1048" i="28"/>
  <c r="AH1047" i="28" s="1"/>
  <c r="AJ1047" i="28"/>
  <c r="AL1047" i="28"/>
  <c r="AN1047" i="28"/>
  <c r="AP1047" i="28"/>
  <c r="AQ1047" i="28"/>
  <c r="AR1047" i="28"/>
  <c r="AS1047" i="28"/>
  <c r="AG1049" i="28"/>
  <c r="AJ1048" i="28"/>
  <c r="AL1048" i="28"/>
  <c r="AN1048" i="28"/>
  <c r="AP1048" i="28"/>
  <c r="AQ1048" i="28"/>
  <c r="AR1048" i="28"/>
  <c r="AG1050" i="28"/>
  <c r="AJ1049" i="28"/>
  <c r="AK1049" i="28"/>
  <c r="AL1049" i="28"/>
  <c r="AN1049" i="28"/>
  <c r="AP1049" i="28"/>
  <c r="AQ1049" i="28"/>
  <c r="AR1049" i="28"/>
  <c r="AG1051" i="28"/>
  <c r="AH1050" i="28"/>
  <c r="AJ1050" i="28"/>
  <c r="AL1050" i="28"/>
  <c r="AN1050" i="28"/>
  <c r="AP1050" i="28"/>
  <c r="AQ1050" i="28"/>
  <c r="AR1050" i="28"/>
  <c r="AS1050" i="28"/>
  <c r="AG1052" i="28"/>
  <c r="AH1051" i="28" s="1"/>
  <c r="AJ1051" i="28"/>
  <c r="AL1051" i="28"/>
  <c r="AN1051" i="28"/>
  <c r="AP1051" i="28"/>
  <c r="AQ1051" i="28"/>
  <c r="AR1051" i="28"/>
  <c r="AG1053" i="28"/>
  <c r="AJ1052" i="28"/>
  <c r="AL1052" i="28"/>
  <c r="AN1052" i="28"/>
  <c r="AP1052" i="28"/>
  <c r="AQ1052" i="28"/>
  <c r="AR1052" i="28"/>
  <c r="AG1054" i="28"/>
  <c r="AJ1053" i="28"/>
  <c r="AL1053" i="28"/>
  <c r="AN1053" i="28"/>
  <c r="AP1053" i="28"/>
  <c r="AQ1053" i="28"/>
  <c r="AR1053" i="28"/>
  <c r="AG1055" i="28"/>
  <c r="AH1054" i="28"/>
  <c r="AJ1054" i="28"/>
  <c r="AL1054" i="28"/>
  <c r="AN1054" i="28"/>
  <c r="AP1054" i="28"/>
  <c r="AQ1054" i="28"/>
  <c r="AR1054" i="28"/>
  <c r="AG1056" i="28"/>
  <c r="AH1055" i="28" s="1"/>
  <c r="AJ1055" i="28"/>
  <c r="AL1055" i="28"/>
  <c r="AN1055" i="28"/>
  <c r="AP1055" i="28"/>
  <c r="AQ1055" i="28"/>
  <c r="AR1055" i="28"/>
  <c r="AG1057" i="28"/>
  <c r="AJ1056" i="28"/>
  <c r="AL1056" i="28"/>
  <c r="AN1056" i="28"/>
  <c r="AP1056" i="28"/>
  <c r="AQ1056" i="28"/>
  <c r="AR1056" i="28"/>
  <c r="AG1058" i="28"/>
  <c r="AJ1057" i="28"/>
  <c r="AL1057" i="28"/>
  <c r="AN1057" i="28"/>
  <c r="AP1057" i="28"/>
  <c r="AQ1057" i="28"/>
  <c r="AR1057" i="28"/>
  <c r="AG1059" i="28"/>
  <c r="AH1058" i="28"/>
  <c r="AJ1058" i="28"/>
  <c r="AL1058" i="28"/>
  <c r="AN1058" i="28"/>
  <c r="AP1058" i="28"/>
  <c r="AQ1058" i="28"/>
  <c r="AR1058" i="28"/>
  <c r="AG1060" i="28"/>
  <c r="AH1059" i="28" s="1"/>
  <c r="AJ1059" i="28"/>
  <c r="AL1059" i="28"/>
  <c r="AN1059" i="28"/>
  <c r="AP1059" i="28"/>
  <c r="AQ1059" i="28"/>
  <c r="AR1059" i="28"/>
  <c r="AG1061" i="28"/>
  <c r="AJ1060" i="28"/>
  <c r="AL1060" i="28"/>
  <c r="AN1060" i="28"/>
  <c r="AP1060" i="28"/>
  <c r="AQ1060" i="28"/>
  <c r="AR1060" i="28"/>
  <c r="AG1062" i="28"/>
  <c r="AJ1061" i="28"/>
  <c r="AL1061" i="28"/>
  <c r="AN1061" i="28"/>
  <c r="AP1061" i="28"/>
  <c r="AQ1061" i="28"/>
  <c r="AR1061" i="28"/>
  <c r="AG1063" i="28"/>
  <c r="AH1062" i="28"/>
  <c r="AJ1062" i="28"/>
  <c r="AL1062" i="28"/>
  <c r="AN1062" i="28"/>
  <c r="AP1062" i="28"/>
  <c r="AQ1062" i="28"/>
  <c r="AR1062" i="28"/>
  <c r="AS1062" i="28"/>
  <c r="AG1064" i="28"/>
  <c r="AH1063" i="28" s="1"/>
  <c r="AJ1063" i="28"/>
  <c r="AL1063" i="28"/>
  <c r="AN1063" i="28"/>
  <c r="AP1063" i="28"/>
  <c r="AQ1063" i="28"/>
  <c r="AR1063" i="28"/>
  <c r="AG1065" i="28"/>
  <c r="AJ1064" i="28"/>
  <c r="AK1064" i="28"/>
  <c r="AL1064" i="28"/>
  <c r="AN1064" i="28"/>
  <c r="AP1064" i="28"/>
  <c r="AQ1064" i="28"/>
  <c r="AR1064" i="28"/>
  <c r="AG1066" i="28"/>
  <c r="AJ1065" i="28"/>
  <c r="AL1065" i="28"/>
  <c r="AN1065" i="28"/>
  <c r="AP1065" i="28"/>
  <c r="AQ1065" i="28"/>
  <c r="AR1065" i="28"/>
  <c r="AG1067" i="28"/>
  <c r="AH1066" i="28"/>
  <c r="AJ1066" i="28"/>
  <c r="AL1066" i="28"/>
  <c r="AN1066" i="28"/>
  <c r="AP1066" i="28"/>
  <c r="AQ1066" i="28"/>
  <c r="AR1066" i="28"/>
  <c r="AG1068" i="28"/>
  <c r="AH1067" i="28" s="1"/>
  <c r="AJ1067" i="28"/>
  <c r="AL1067" i="28"/>
  <c r="AN1067" i="28"/>
  <c r="AP1067" i="28"/>
  <c r="AQ1067" i="28"/>
  <c r="AR1067" i="28"/>
  <c r="AG1069" i="28"/>
  <c r="AJ1068" i="28"/>
  <c r="AL1068" i="28"/>
  <c r="AN1068" i="28"/>
  <c r="AP1068" i="28"/>
  <c r="AQ1068" i="28"/>
  <c r="AR1068" i="28"/>
  <c r="AG1070" i="28"/>
  <c r="AJ1069" i="28"/>
  <c r="AL1069" i="28"/>
  <c r="AN1069" i="28"/>
  <c r="AP1069" i="28"/>
  <c r="AQ1069" i="28"/>
  <c r="AR1069" i="28"/>
  <c r="AG1071" i="28"/>
  <c r="AH1070" i="28"/>
  <c r="AJ1070" i="28"/>
  <c r="AL1070" i="28"/>
  <c r="AN1070" i="28"/>
  <c r="AP1070" i="28"/>
  <c r="AQ1070" i="28"/>
  <c r="AR1070" i="28"/>
  <c r="AG1072" i="28"/>
  <c r="AH1071" i="28" s="1"/>
  <c r="AJ1071" i="28"/>
  <c r="AL1071" i="28"/>
  <c r="AN1071" i="28"/>
  <c r="AP1071" i="28"/>
  <c r="AQ1071" i="28"/>
  <c r="AR1071" i="28"/>
  <c r="AG1073" i="28"/>
  <c r="AJ1072" i="28"/>
  <c r="AL1072" i="28"/>
  <c r="AN1072" i="28"/>
  <c r="AP1072" i="28"/>
  <c r="AQ1072" i="28"/>
  <c r="AR1072" i="28"/>
  <c r="AG1074" i="28"/>
  <c r="AJ1073" i="28"/>
  <c r="AL1073" i="28"/>
  <c r="AN1073" i="28"/>
  <c r="AP1073" i="28"/>
  <c r="AQ1073" i="28"/>
  <c r="AR1073" i="28"/>
  <c r="AG1075" i="28"/>
  <c r="AH1074" i="28"/>
  <c r="AJ1074" i="28"/>
  <c r="AL1074" i="28"/>
  <c r="AN1074" i="28"/>
  <c r="AP1074" i="28"/>
  <c r="AQ1074" i="28"/>
  <c r="AR1074" i="28"/>
  <c r="AG1076" i="28"/>
  <c r="AH1075" i="28" s="1"/>
  <c r="AJ1075" i="28"/>
  <c r="AL1075" i="28"/>
  <c r="AN1075" i="28"/>
  <c r="AP1075" i="28"/>
  <c r="AQ1075" i="28"/>
  <c r="AR1075" i="28"/>
  <c r="AG1077" i="28"/>
  <c r="AJ1076" i="28"/>
  <c r="AL1076" i="28"/>
  <c r="AN1076" i="28"/>
  <c r="AP1076" i="28"/>
  <c r="AQ1076" i="28"/>
  <c r="AR1076" i="28"/>
  <c r="AG1078" i="28"/>
  <c r="AJ1077" i="28"/>
  <c r="AL1077" i="28"/>
  <c r="AN1077" i="28"/>
  <c r="AP1077" i="28"/>
  <c r="AQ1077" i="28"/>
  <c r="AR1077" i="28"/>
  <c r="AS1077" i="28"/>
  <c r="AG1079" i="28"/>
  <c r="AH1078" i="28"/>
  <c r="AJ1078" i="28"/>
  <c r="AK1078" i="28"/>
  <c r="AL1078" i="28"/>
  <c r="AN1078" i="28"/>
  <c r="AP1078" i="28"/>
  <c r="AQ1078" i="28"/>
  <c r="AR1078" i="28"/>
  <c r="AG1080" i="28"/>
  <c r="AH1079" i="28" s="1"/>
  <c r="AJ1079" i="28"/>
  <c r="AL1079" i="28"/>
  <c r="AN1079" i="28"/>
  <c r="AP1079" i="28"/>
  <c r="AQ1079" i="28"/>
  <c r="AR1079" i="28"/>
  <c r="AG1081" i="28"/>
  <c r="AJ1080" i="28"/>
  <c r="AL1080" i="28"/>
  <c r="AN1080" i="28"/>
  <c r="AP1080" i="28"/>
  <c r="AQ1080" i="28"/>
  <c r="AR1080" i="28"/>
  <c r="AG1082" i="28"/>
  <c r="AJ1081" i="28"/>
  <c r="AL1081" i="28"/>
  <c r="AN1081" i="28"/>
  <c r="AP1081" i="28"/>
  <c r="AQ1081" i="28"/>
  <c r="AR1081" i="28"/>
  <c r="AG1083" i="28"/>
  <c r="AH1082" i="28"/>
  <c r="AJ1082" i="28"/>
  <c r="AL1082" i="28"/>
  <c r="AN1082" i="28"/>
  <c r="AP1082" i="28"/>
  <c r="AQ1082" i="28"/>
  <c r="AR1082" i="28"/>
  <c r="AG1084" i="28"/>
  <c r="AH1083" i="28" s="1"/>
  <c r="AJ1083" i="28"/>
  <c r="AL1083" i="28"/>
  <c r="AN1083" i="28"/>
  <c r="AP1083" i="28"/>
  <c r="AQ1083" i="28"/>
  <c r="AR1083" i="28"/>
  <c r="AG1085" i="28"/>
  <c r="AJ1084" i="28"/>
  <c r="AL1084" i="28"/>
  <c r="AN1084" i="28"/>
  <c r="AP1084" i="28"/>
  <c r="AQ1084" i="28"/>
  <c r="AR1084" i="28"/>
  <c r="AG1086" i="28"/>
  <c r="AJ1085" i="28"/>
  <c r="AL1085" i="28"/>
  <c r="AN1085" i="28"/>
  <c r="AP1085" i="28"/>
  <c r="AQ1085" i="28"/>
  <c r="AR1085" i="28"/>
  <c r="AG1087" i="28"/>
  <c r="AH1086" i="28"/>
  <c r="AJ1086" i="28"/>
  <c r="AL1086" i="28"/>
  <c r="AN1086" i="28"/>
  <c r="AP1086" i="28"/>
  <c r="AQ1086" i="28"/>
  <c r="AR1086" i="28"/>
  <c r="AG1088" i="28"/>
  <c r="AH1087" i="28" s="1"/>
  <c r="AJ1087" i="28"/>
  <c r="AL1087" i="28"/>
  <c r="AN1087" i="28"/>
  <c r="AP1087" i="28"/>
  <c r="AQ1087" i="28"/>
  <c r="AR1087" i="28"/>
  <c r="AG1089" i="28"/>
  <c r="AJ1088" i="28"/>
  <c r="AL1088" i="28"/>
  <c r="AN1088" i="28"/>
  <c r="AP1088" i="28"/>
  <c r="AQ1088" i="28"/>
  <c r="AR1088" i="28"/>
  <c r="AG1090" i="28"/>
  <c r="AJ1089" i="28"/>
  <c r="AL1089" i="28"/>
  <c r="AN1089" i="28"/>
  <c r="AP1089" i="28"/>
  <c r="AQ1089" i="28"/>
  <c r="AR1089" i="28"/>
  <c r="AG1091" i="28"/>
  <c r="AH1090" i="28"/>
  <c r="AJ1090" i="28"/>
  <c r="AL1090" i="28"/>
  <c r="AN1090" i="28"/>
  <c r="AP1090" i="28"/>
  <c r="AQ1090" i="28"/>
  <c r="AR1090" i="28"/>
  <c r="AJ1091" i="28"/>
  <c r="AL1091" i="28"/>
  <c r="AN1091" i="28"/>
  <c r="AP1091" i="28"/>
  <c r="AQ1091" i="28"/>
  <c r="AR1091" i="28"/>
  <c r="D1" i="26"/>
  <c r="S1" i="26"/>
  <c r="AA1" i="26" s="1"/>
  <c r="AU1" i="26"/>
  <c r="AU2" i="26" s="1"/>
  <c r="AV1" i="26"/>
  <c r="B2" i="26"/>
  <c r="D2" i="26"/>
  <c r="AP18" i="26" s="1"/>
  <c r="D3" i="26"/>
  <c r="AO2" i="26"/>
  <c r="AP20" i="26"/>
  <c r="AS2" i="26" s="1"/>
  <c r="AT4" i="26" s="1"/>
  <c r="AP21" i="26"/>
  <c r="AV2" i="26"/>
  <c r="AR4" i="26"/>
  <c r="AP19" i="26"/>
  <c r="D5" i="26"/>
  <c r="AO6" i="26"/>
  <c r="AQ6" i="26"/>
  <c r="AO7" i="26"/>
  <c r="P8" i="26"/>
  <c r="AV9" i="26"/>
  <c r="AW9" i="26"/>
  <c r="AZ11" i="26" s="1"/>
  <c r="BA11" i="26" s="1"/>
  <c r="AQ10" i="26"/>
  <c r="AV10" i="26"/>
  <c r="AW10" i="26"/>
  <c r="AO11" i="26"/>
  <c r="AV11" i="26"/>
  <c r="AW11" i="26"/>
  <c r="AW508" i="26"/>
  <c r="AZ510" i="26"/>
  <c r="AW507" i="26"/>
  <c r="AZ509" i="26"/>
  <c r="AW506" i="26"/>
  <c r="AZ508" i="26"/>
  <c r="AW505" i="26"/>
  <c r="AZ507" i="26"/>
  <c r="AW504" i="26"/>
  <c r="AZ506" i="26"/>
  <c r="AW503" i="26"/>
  <c r="AZ505" i="26"/>
  <c r="AW502" i="26"/>
  <c r="AZ504" i="26"/>
  <c r="AW501" i="26"/>
  <c r="AZ503" i="26"/>
  <c r="AW500" i="26"/>
  <c r="AZ502" i="26"/>
  <c r="AW499" i="26"/>
  <c r="AZ501" i="26"/>
  <c r="BA501" i="26" s="1"/>
  <c r="AY501" i="26" s="1"/>
  <c r="AW498" i="26"/>
  <c r="AZ500" i="26"/>
  <c r="AW497" i="26"/>
  <c r="AZ499" i="26"/>
  <c r="AW496" i="26"/>
  <c r="AZ498" i="26"/>
  <c r="AW495" i="26"/>
  <c r="AZ497" i="26"/>
  <c r="AW494" i="26"/>
  <c r="AZ496" i="26"/>
  <c r="AW493" i="26"/>
  <c r="AZ495" i="26"/>
  <c r="AW492" i="26"/>
  <c r="AZ494" i="26"/>
  <c r="AW491" i="26"/>
  <c r="AZ493" i="26"/>
  <c r="BA493" i="26" s="1"/>
  <c r="AY493" i="26" s="1"/>
  <c r="AW490" i="26"/>
  <c r="AZ492" i="26"/>
  <c r="AW489" i="26"/>
  <c r="AZ491" i="26"/>
  <c r="AW488" i="26"/>
  <c r="AZ490" i="26"/>
  <c r="AW487" i="26"/>
  <c r="AZ489" i="26"/>
  <c r="AW486" i="26"/>
  <c r="AZ488" i="26"/>
  <c r="AW485" i="26"/>
  <c r="AZ487" i="26"/>
  <c r="AW484" i="26"/>
  <c r="AZ486" i="26"/>
  <c r="AW483" i="26"/>
  <c r="AZ485" i="26"/>
  <c r="BA485" i="26" s="1"/>
  <c r="AY485" i="26" s="1"/>
  <c r="AW482" i="26"/>
  <c r="AZ484" i="26"/>
  <c r="AW481" i="26"/>
  <c r="AZ483" i="26"/>
  <c r="AW480" i="26"/>
  <c r="AZ482" i="26"/>
  <c r="AW479" i="26"/>
  <c r="AZ481" i="26"/>
  <c r="BA481" i="26" s="1"/>
  <c r="AY481" i="26" s="1"/>
  <c r="AW478" i="26"/>
  <c r="AZ480" i="26"/>
  <c r="AW477" i="26"/>
  <c r="AZ479" i="26"/>
  <c r="AW476" i="26"/>
  <c r="AZ478" i="26"/>
  <c r="AW475" i="26"/>
  <c r="AZ477" i="26"/>
  <c r="BA477" i="26" s="1"/>
  <c r="AY477" i="26" s="1"/>
  <c r="AW474" i="26"/>
  <c r="AZ476" i="26"/>
  <c r="AW473" i="26"/>
  <c r="AZ475" i="26"/>
  <c r="AW472" i="26"/>
  <c r="AZ474" i="26"/>
  <c r="AW471" i="26"/>
  <c r="AZ473" i="26"/>
  <c r="BA473" i="26" s="1"/>
  <c r="AY473" i="26" s="1"/>
  <c r="AW470" i="26"/>
  <c r="AZ472" i="26"/>
  <c r="AW469" i="26"/>
  <c r="AZ471" i="26"/>
  <c r="AW468" i="26"/>
  <c r="AZ470" i="26"/>
  <c r="AW467" i="26"/>
  <c r="AZ469" i="26"/>
  <c r="BA469" i="26" s="1"/>
  <c r="AY469" i="26" s="1"/>
  <c r="AW466" i="26"/>
  <c r="AZ468" i="26"/>
  <c r="AW465" i="26"/>
  <c r="AZ467" i="26"/>
  <c r="AW464" i="26"/>
  <c r="AZ466" i="26"/>
  <c r="AW463" i="26"/>
  <c r="AZ465" i="26"/>
  <c r="BA465" i="26" s="1"/>
  <c r="AY465" i="26" s="1"/>
  <c r="AW462" i="26"/>
  <c r="AZ464" i="26"/>
  <c r="AW461" i="26"/>
  <c r="AZ463" i="26"/>
  <c r="AW460" i="26"/>
  <c r="AZ462" i="26"/>
  <c r="AW459" i="26"/>
  <c r="AZ461" i="26"/>
  <c r="BA461" i="26" s="1"/>
  <c r="AY461" i="26" s="1"/>
  <c r="AW458" i="26"/>
  <c r="AZ460" i="26"/>
  <c r="AW457" i="26"/>
  <c r="AZ459" i="26"/>
  <c r="AW456" i="26"/>
  <c r="AZ458" i="26"/>
  <c r="AW455" i="26"/>
  <c r="AZ457" i="26"/>
  <c r="BA457" i="26" s="1"/>
  <c r="AY457" i="26" s="1"/>
  <c r="AW454" i="26"/>
  <c r="AZ456" i="26"/>
  <c r="AW453" i="26"/>
  <c r="AZ455" i="26"/>
  <c r="AW452" i="26"/>
  <c r="AZ454" i="26"/>
  <c r="AW451" i="26"/>
  <c r="AZ453" i="26"/>
  <c r="BA453" i="26" s="1"/>
  <c r="AY453" i="26" s="1"/>
  <c r="AW450" i="26"/>
  <c r="AZ452" i="26"/>
  <c r="AW449" i="26"/>
  <c r="AZ451" i="26"/>
  <c r="AW448" i="26"/>
  <c r="AZ450" i="26"/>
  <c r="AW447" i="26"/>
  <c r="AZ449" i="26"/>
  <c r="BA449" i="26" s="1"/>
  <c r="AY449" i="26" s="1"/>
  <c r="AW446" i="26"/>
  <c r="AZ448" i="26"/>
  <c r="AW445" i="26"/>
  <c r="AZ447" i="26"/>
  <c r="AW444" i="26"/>
  <c r="AZ446" i="26"/>
  <c r="AW443" i="26"/>
  <c r="AZ445" i="26"/>
  <c r="BA445" i="26" s="1"/>
  <c r="AY445" i="26" s="1"/>
  <c r="AW442" i="26"/>
  <c r="AZ444" i="26"/>
  <c r="AW441" i="26"/>
  <c r="AZ443" i="26"/>
  <c r="AW440" i="26"/>
  <c r="AZ442" i="26"/>
  <c r="AW439" i="26"/>
  <c r="AZ441" i="26"/>
  <c r="BA441" i="26" s="1"/>
  <c r="AY441" i="26" s="1"/>
  <c r="AW438" i="26"/>
  <c r="AZ440" i="26"/>
  <c r="AW437" i="26"/>
  <c r="AZ439" i="26"/>
  <c r="AW436" i="26"/>
  <c r="AZ438" i="26"/>
  <c r="AW435" i="26"/>
  <c r="AZ437" i="26"/>
  <c r="BA437" i="26" s="1"/>
  <c r="AY437" i="26" s="1"/>
  <c r="AW434" i="26"/>
  <c r="AZ436" i="26"/>
  <c r="AW433" i="26"/>
  <c r="AZ435" i="26"/>
  <c r="AW432" i="26"/>
  <c r="AZ434" i="26"/>
  <c r="AW431" i="26"/>
  <c r="AZ433" i="26"/>
  <c r="BA433" i="26" s="1"/>
  <c r="AY433" i="26" s="1"/>
  <c r="AW430" i="26"/>
  <c r="AZ432" i="26"/>
  <c r="AW429" i="26"/>
  <c r="AZ431" i="26"/>
  <c r="AW428" i="26"/>
  <c r="AZ430" i="26"/>
  <c r="AW427" i="26"/>
  <c r="AZ429" i="26"/>
  <c r="BA429" i="26" s="1"/>
  <c r="AY429" i="26" s="1"/>
  <c r="AW426" i="26"/>
  <c r="AZ428" i="26"/>
  <c r="AW425" i="26"/>
  <c r="AZ427" i="26"/>
  <c r="AW424" i="26"/>
  <c r="AZ426" i="26"/>
  <c r="AW423" i="26"/>
  <c r="AZ425" i="26"/>
  <c r="BA425" i="26" s="1"/>
  <c r="AY425" i="26" s="1"/>
  <c r="AW422" i="26"/>
  <c r="AZ424" i="26"/>
  <c r="AW421" i="26"/>
  <c r="AZ423" i="26"/>
  <c r="AW420" i="26"/>
  <c r="AZ422" i="26"/>
  <c r="AW419" i="26"/>
  <c r="AZ421" i="26"/>
  <c r="BA421" i="26" s="1"/>
  <c r="AY421" i="26" s="1"/>
  <c r="AW418" i="26"/>
  <c r="AZ420" i="26"/>
  <c r="AW417" i="26"/>
  <c r="AZ419" i="26"/>
  <c r="AW416" i="26"/>
  <c r="AZ418" i="26"/>
  <c r="AW415" i="26"/>
  <c r="AZ417" i="26"/>
  <c r="AW414" i="26"/>
  <c r="AZ416" i="26"/>
  <c r="AW413" i="26"/>
  <c r="AZ415" i="26"/>
  <c r="AW412" i="26"/>
  <c r="AZ414" i="26"/>
  <c r="AW411" i="26"/>
  <c r="AZ413" i="26"/>
  <c r="AW410" i="26"/>
  <c r="AZ412" i="26"/>
  <c r="AW409" i="26"/>
  <c r="AZ411" i="26"/>
  <c r="AW408" i="26"/>
  <c r="AZ410" i="26"/>
  <c r="AW407" i="26"/>
  <c r="AZ409" i="26"/>
  <c r="AW406" i="26"/>
  <c r="AZ408" i="26"/>
  <c r="AW405" i="26"/>
  <c r="AZ407" i="26"/>
  <c r="AW404" i="26"/>
  <c r="AZ406" i="26"/>
  <c r="AW403" i="26"/>
  <c r="AZ405" i="26"/>
  <c r="AW402" i="26"/>
  <c r="AZ404" i="26"/>
  <c r="AW401" i="26"/>
  <c r="AZ403" i="26"/>
  <c r="AW400" i="26"/>
  <c r="AZ402" i="26"/>
  <c r="AW399" i="26"/>
  <c r="AZ401" i="26"/>
  <c r="AW398" i="26"/>
  <c r="AZ400" i="26"/>
  <c r="AW397" i="26"/>
  <c r="AZ399" i="26"/>
  <c r="AW396" i="26"/>
  <c r="AZ398" i="26"/>
  <c r="AW395" i="26"/>
  <c r="AZ397" i="26"/>
  <c r="AW394" i="26"/>
  <c r="AZ396" i="26"/>
  <c r="AW393" i="26"/>
  <c r="AZ395" i="26"/>
  <c r="AW392" i="26"/>
  <c r="AZ394" i="26"/>
  <c r="AW391" i="26"/>
  <c r="AZ393" i="26"/>
  <c r="AW390" i="26"/>
  <c r="AZ392" i="26"/>
  <c r="AW389" i="26"/>
  <c r="AZ391" i="26"/>
  <c r="AW388" i="26"/>
  <c r="AZ390" i="26"/>
  <c r="AW387" i="26"/>
  <c r="AZ389" i="26"/>
  <c r="AW386" i="26"/>
  <c r="AZ388" i="26"/>
  <c r="AW385" i="26"/>
  <c r="AZ387" i="26"/>
  <c r="AW384" i="26"/>
  <c r="AZ386" i="26"/>
  <c r="AW383" i="26"/>
  <c r="AZ385" i="26"/>
  <c r="AW382" i="26"/>
  <c r="AZ384" i="26"/>
  <c r="AW381" i="26"/>
  <c r="AZ383" i="26"/>
  <c r="AW380" i="26"/>
  <c r="AZ382" i="26"/>
  <c r="AW379" i="26"/>
  <c r="AZ381" i="26"/>
  <c r="AW378" i="26"/>
  <c r="AZ380" i="26"/>
  <c r="AW377" i="26"/>
  <c r="AZ379" i="26"/>
  <c r="AW376" i="26"/>
  <c r="AZ378" i="26"/>
  <c r="AW375" i="26"/>
  <c r="AZ377" i="26"/>
  <c r="AW374" i="26"/>
  <c r="AZ376" i="26"/>
  <c r="AW373" i="26"/>
  <c r="AZ375" i="26"/>
  <c r="AW372" i="26"/>
  <c r="AZ374" i="26"/>
  <c r="AW371" i="26"/>
  <c r="AZ373" i="26"/>
  <c r="AW370" i="26"/>
  <c r="AZ372" i="26"/>
  <c r="AW369" i="26"/>
  <c r="AZ371" i="26"/>
  <c r="AW368" i="26"/>
  <c r="AZ370" i="26"/>
  <c r="AW367" i="26"/>
  <c r="AZ369" i="26"/>
  <c r="AW366" i="26"/>
  <c r="AZ368" i="26"/>
  <c r="AW365" i="26"/>
  <c r="AZ367" i="26"/>
  <c r="AW364" i="26"/>
  <c r="AZ366" i="26"/>
  <c r="AW363" i="26"/>
  <c r="AZ365" i="26"/>
  <c r="AW362" i="26"/>
  <c r="AZ364" i="26"/>
  <c r="AW361" i="26"/>
  <c r="AZ363" i="26"/>
  <c r="AW360" i="26"/>
  <c r="AZ362" i="26"/>
  <c r="AW359" i="26"/>
  <c r="AZ361" i="26"/>
  <c r="AW358" i="26"/>
  <c r="AZ360" i="26"/>
  <c r="AW357" i="26"/>
  <c r="AZ359" i="26"/>
  <c r="AW356" i="26"/>
  <c r="AZ358" i="26"/>
  <c r="AW355" i="26"/>
  <c r="AZ357" i="26"/>
  <c r="AW354" i="26"/>
  <c r="AZ356" i="26"/>
  <c r="AW353" i="26"/>
  <c r="AZ355" i="26"/>
  <c r="AW352" i="26"/>
  <c r="AZ354" i="26"/>
  <c r="AW351" i="26"/>
  <c r="AZ353" i="26"/>
  <c r="AW350" i="26"/>
  <c r="AZ352" i="26"/>
  <c r="AW349" i="26"/>
  <c r="AZ351" i="26"/>
  <c r="AW348" i="26"/>
  <c r="AZ350" i="26"/>
  <c r="AW347" i="26"/>
  <c r="AZ349" i="26"/>
  <c r="AW346" i="26"/>
  <c r="AZ348" i="26"/>
  <c r="AW345" i="26"/>
  <c r="AZ347" i="26"/>
  <c r="AW344" i="26"/>
  <c r="AZ346" i="26"/>
  <c r="AW343" i="26"/>
  <c r="AZ345" i="26"/>
  <c r="AW342" i="26"/>
  <c r="AZ344" i="26"/>
  <c r="AW341" i="26"/>
  <c r="AZ343" i="26"/>
  <c r="AW340" i="26"/>
  <c r="AZ342" i="26"/>
  <c r="AW339" i="26"/>
  <c r="AZ341" i="26"/>
  <c r="AW338" i="26"/>
  <c r="AZ340" i="26"/>
  <c r="AW337" i="26"/>
  <c r="AZ339" i="26"/>
  <c r="AW336" i="26"/>
  <c r="AZ338" i="26"/>
  <c r="AW335" i="26"/>
  <c r="AZ337" i="26"/>
  <c r="AW334" i="26"/>
  <c r="AZ336" i="26"/>
  <c r="AW333" i="26"/>
  <c r="AZ335" i="26"/>
  <c r="AW332" i="26"/>
  <c r="AZ334" i="26"/>
  <c r="AW331" i="26"/>
  <c r="AZ333" i="26"/>
  <c r="AW330" i="26"/>
  <c r="AZ332" i="26"/>
  <c r="AW329" i="26"/>
  <c r="AZ331" i="26"/>
  <c r="AW328" i="26"/>
  <c r="AZ330" i="26"/>
  <c r="AW327" i="26"/>
  <c r="AZ329" i="26"/>
  <c r="AW326" i="26"/>
  <c r="AZ328" i="26"/>
  <c r="AW325" i="26"/>
  <c r="AZ327" i="26"/>
  <c r="AW324" i="26"/>
  <c r="AZ326" i="26"/>
  <c r="AW323" i="26"/>
  <c r="AZ325" i="26"/>
  <c r="AW322" i="26"/>
  <c r="AZ324" i="26"/>
  <c r="AW321" i="26"/>
  <c r="AZ323" i="26"/>
  <c r="AW320" i="26"/>
  <c r="AZ322" i="26"/>
  <c r="AW319" i="26"/>
  <c r="AZ321" i="26"/>
  <c r="AW318" i="26"/>
  <c r="AZ320" i="26"/>
  <c r="AW317" i="26"/>
  <c r="AZ319" i="26"/>
  <c r="AW316" i="26"/>
  <c r="AZ318" i="26"/>
  <c r="AW315" i="26"/>
  <c r="AZ317" i="26"/>
  <c r="AW314" i="26"/>
  <c r="AZ316" i="26"/>
  <c r="AW313" i="26"/>
  <c r="AZ315" i="26"/>
  <c r="AW312" i="26"/>
  <c r="AZ314" i="26"/>
  <c r="AW311" i="26"/>
  <c r="AZ313" i="26"/>
  <c r="AW310" i="26"/>
  <c r="AZ312" i="26"/>
  <c r="AW309" i="26"/>
  <c r="AZ311" i="26"/>
  <c r="AW308" i="26"/>
  <c r="AZ310" i="26"/>
  <c r="AW307" i="26"/>
  <c r="AZ309" i="26"/>
  <c r="AW306" i="26"/>
  <c r="AZ308" i="26"/>
  <c r="AW305" i="26"/>
  <c r="AZ307" i="26"/>
  <c r="AW304" i="26"/>
  <c r="AZ306" i="26"/>
  <c r="AW303" i="26"/>
  <c r="AZ305" i="26"/>
  <c r="AW302" i="26"/>
  <c r="AZ304" i="26"/>
  <c r="AW301" i="26"/>
  <c r="AZ303" i="26"/>
  <c r="AW300" i="26"/>
  <c r="AZ302" i="26"/>
  <c r="AW299" i="26"/>
  <c r="AZ301" i="26"/>
  <c r="AW298" i="26"/>
  <c r="AZ300" i="26"/>
  <c r="AW297" i="26"/>
  <c r="AZ299" i="26"/>
  <c r="AW296" i="26"/>
  <c r="AZ298" i="26"/>
  <c r="AW295" i="26"/>
  <c r="AZ297" i="26"/>
  <c r="AW294" i="26"/>
  <c r="AZ296" i="26"/>
  <c r="AW293" i="26"/>
  <c r="AZ295" i="26"/>
  <c r="AW292" i="26"/>
  <c r="AZ294" i="26"/>
  <c r="AW291" i="26"/>
  <c r="AZ293" i="26"/>
  <c r="AW290" i="26"/>
  <c r="AZ292" i="26"/>
  <c r="AW289" i="26"/>
  <c r="AZ291" i="26"/>
  <c r="AW288" i="26"/>
  <c r="AZ290" i="26"/>
  <c r="AW287" i="26"/>
  <c r="AZ289" i="26"/>
  <c r="AW286" i="26"/>
  <c r="AZ288" i="26"/>
  <c r="AW285" i="26"/>
  <c r="AZ287" i="26"/>
  <c r="AW284" i="26"/>
  <c r="AZ286" i="26"/>
  <c r="AW283" i="26"/>
  <c r="AZ285" i="26"/>
  <c r="AW282" i="26"/>
  <c r="AZ284" i="26"/>
  <c r="AW281" i="26"/>
  <c r="AZ283" i="26"/>
  <c r="AW280" i="26"/>
  <c r="AZ282" i="26"/>
  <c r="AW279" i="26"/>
  <c r="AZ281" i="26"/>
  <c r="AW278" i="26"/>
  <c r="AZ280" i="26"/>
  <c r="AW277" i="26"/>
  <c r="AZ279" i="26"/>
  <c r="AW276" i="26"/>
  <c r="AZ278" i="26"/>
  <c r="AW275" i="26"/>
  <c r="AZ277" i="26"/>
  <c r="AW274" i="26"/>
  <c r="AZ276" i="26"/>
  <c r="AW273" i="26"/>
  <c r="AZ275" i="26"/>
  <c r="AW272" i="26"/>
  <c r="AZ274" i="26"/>
  <c r="AW271" i="26"/>
  <c r="AZ273" i="26"/>
  <c r="AW270" i="26"/>
  <c r="AZ272" i="26"/>
  <c r="AW269" i="26"/>
  <c r="AZ271" i="26"/>
  <c r="AW268" i="26"/>
  <c r="AZ270" i="26"/>
  <c r="AW267" i="26"/>
  <c r="AZ269" i="26"/>
  <c r="AW266" i="26"/>
  <c r="AZ268" i="26"/>
  <c r="AW265" i="26"/>
  <c r="AZ267" i="26"/>
  <c r="AW264" i="26"/>
  <c r="AZ266" i="26"/>
  <c r="AW263" i="26"/>
  <c r="AZ265" i="26"/>
  <c r="AW262" i="26"/>
  <c r="AZ264" i="26"/>
  <c r="AW261" i="26"/>
  <c r="AZ263" i="26"/>
  <c r="AW260" i="26"/>
  <c r="AZ262" i="26"/>
  <c r="AW259" i="26"/>
  <c r="AZ261" i="26"/>
  <c r="AW258" i="26"/>
  <c r="AZ260" i="26"/>
  <c r="AW257" i="26"/>
  <c r="AZ259" i="26"/>
  <c r="AW256" i="26"/>
  <c r="AZ258" i="26"/>
  <c r="AW255" i="26"/>
  <c r="AZ257" i="26"/>
  <c r="AW254" i="26"/>
  <c r="AZ256" i="26"/>
  <c r="AW253" i="26"/>
  <c r="AZ255" i="26"/>
  <c r="AW252" i="26"/>
  <c r="AZ254" i="26"/>
  <c r="AW251" i="26"/>
  <c r="AZ253" i="26"/>
  <c r="AW250" i="26"/>
  <c r="AZ252" i="26"/>
  <c r="AW249" i="26"/>
  <c r="AZ251" i="26"/>
  <c r="AW248" i="26"/>
  <c r="AZ250" i="26"/>
  <c r="AW247" i="26"/>
  <c r="AZ249" i="26"/>
  <c r="AW246" i="26"/>
  <c r="AZ248" i="26"/>
  <c r="AW245" i="26"/>
  <c r="AZ247" i="26"/>
  <c r="AW244" i="26"/>
  <c r="AZ246" i="26"/>
  <c r="AW243" i="26"/>
  <c r="AZ245" i="26"/>
  <c r="AW242" i="26"/>
  <c r="AZ244" i="26"/>
  <c r="AW241" i="26"/>
  <c r="AZ243" i="26"/>
  <c r="AW240" i="26"/>
  <c r="AZ242" i="26"/>
  <c r="AW239" i="26"/>
  <c r="AZ241" i="26"/>
  <c r="AW238" i="26"/>
  <c r="AZ240" i="26"/>
  <c r="AW237" i="26"/>
  <c r="AZ239" i="26"/>
  <c r="AW236" i="26"/>
  <c r="AZ238" i="26"/>
  <c r="AW235" i="26"/>
  <c r="AZ237" i="26"/>
  <c r="AW234" i="26"/>
  <c r="AZ236" i="26"/>
  <c r="AW233" i="26"/>
  <c r="AZ235" i="26"/>
  <c r="AW232" i="26"/>
  <c r="AZ234" i="26"/>
  <c r="AW231" i="26"/>
  <c r="AZ233" i="26"/>
  <c r="AW230" i="26"/>
  <c r="AZ232" i="26"/>
  <c r="AW229" i="26"/>
  <c r="AZ231" i="26"/>
  <c r="AW228" i="26"/>
  <c r="AZ230" i="26"/>
  <c r="AW227" i="26"/>
  <c r="AZ229" i="26"/>
  <c r="AW226" i="26"/>
  <c r="AZ228" i="26"/>
  <c r="AW225" i="26"/>
  <c r="AZ227" i="26"/>
  <c r="AW224" i="26"/>
  <c r="AZ226" i="26"/>
  <c r="AW223" i="26"/>
  <c r="AZ225" i="26"/>
  <c r="AW222" i="26"/>
  <c r="AZ224" i="26"/>
  <c r="AW221" i="26"/>
  <c r="AZ223" i="26"/>
  <c r="AW220" i="26"/>
  <c r="AZ222" i="26"/>
  <c r="AW219" i="26"/>
  <c r="AZ221" i="26"/>
  <c r="AW218" i="26"/>
  <c r="AZ220" i="26"/>
  <c r="AW217" i="26"/>
  <c r="AZ219" i="26"/>
  <c r="AW216" i="26"/>
  <c r="AZ218" i="26"/>
  <c r="AW215" i="26"/>
  <c r="AZ217" i="26"/>
  <c r="AW214" i="26"/>
  <c r="AZ216" i="26"/>
  <c r="AW213" i="26"/>
  <c r="AZ215" i="26"/>
  <c r="AW212" i="26"/>
  <c r="AZ214" i="26"/>
  <c r="AW211" i="26"/>
  <c r="AZ213" i="26"/>
  <c r="AW210" i="26"/>
  <c r="AZ212" i="26"/>
  <c r="AW209" i="26"/>
  <c r="AZ211" i="26"/>
  <c r="AW208" i="26"/>
  <c r="AZ210" i="26"/>
  <c r="AW207" i="26"/>
  <c r="AZ209" i="26"/>
  <c r="AW206" i="26"/>
  <c r="AZ208" i="26"/>
  <c r="AW205" i="26"/>
  <c r="AZ207" i="26"/>
  <c r="AW204" i="26"/>
  <c r="AZ206" i="26"/>
  <c r="AW203" i="26"/>
  <c r="AZ205" i="26"/>
  <c r="AW202" i="26"/>
  <c r="AZ204" i="26"/>
  <c r="AW201" i="26"/>
  <c r="AZ203" i="26"/>
  <c r="AW200" i="26"/>
  <c r="AZ202" i="26"/>
  <c r="AW199" i="26"/>
  <c r="AZ201" i="26"/>
  <c r="AW198" i="26"/>
  <c r="AZ200" i="26"/>
  <c r="AW197" i="26"/>
  <c r="AZ199" i="26"/>
  <c r="AW196" i="26"/>
  <c r="AZ198" i="26"/>
  <c r="AW195" i="26"/>
  <c r="AZ197" i="26"/>
  <c r="AW194" i="26"/>
  <c r="AZ196" i="26"/>
  <c r="AW193" i="26"/>
  <c r="AZ195" i="26"/>
  <c r="AW192" i="26"/>
  <c r="AZ194" i="26"/>
  <c r="AW191" i="26"/>
  <c r="AZ193" i="26"/>
  <c r="AW190" i="26"/>
  <c r="AZ192" i="26"/>
  <c r="AW189" i="26"/>
  <c r="AZ191" i="26"/>
  <c r="AW188" i="26"/>
  <c r="AZ190" i="26"/>
  <c r="AW187" i="26"/>
  <c r="AZ189" i="26"/>
  <c r="AW186" i="26"/>
  <c r="AZ188" i="26"/>
  <c r="AW185" i="26"/>
  <c r="AZ187" i="26"/>
  <c r="AW184" i="26"/>
  <c r="AZ186" i="26"/>
  <c r="AW183" i="26"/>
  <c r="AZ185" i="26"/>
  <c r="AW182" i="26"/>
  <c r="AZ184" i="26"/>
  <c r="AW181" i="26"/>
  <c r="AZ183" i="26"/>
  <c r="AW180" i="26"/>
  <c r="AZ182" i="26"/>
  <c r="AW179" i="26"/>
  <c r="AZ181" i="26"/>
  <c r="AW178" i="26"/>
  <c r="AZ180" i="26"/>
  <c r="AW177" i="26"/>
  <c r="AZ179" i="26"/>
  <c r="AW176" i="26"/>
  <c r="AZ178" i="26"/>
  <c r="AW175" i="26"/>
  <c r="AZ177" i="26"/>
  <c r="AW174" i="26"/>
  <c r="AZ176" i="26"/>
  <c r="AW173" i="26"/>
  <c r="AZ175" i="26"/>
  <c r="AW172" i="26"/>
  <c r="AZ174" i="26"/>
  <c r="AW171" i="26"/>
  <c r="AZ173" i="26"/>
  <c r="AW170" i="26"/>
  <c r="AZ172" i="26"/>
  <c r="AW169" i="26"/>
  <c r="AZ171" i="26"/>
  <c r="AW168" i="26"/>
  <c r="AZ170" i="26"/>
  <c r="AW167" i="26"/>
  <c r="AZ169" i="26"/>
  <c r="AW166" i="26"/>
  <c r="AZ168" i="26"/>
  <c r="AW165" i="26"/>
  <c r="AZ167" i="26"/>
  <c r="AW164" i="26"/>
  <c r="AZ166" i="26"/>
  <c r="AW163" i="26"/>
  <c r="AZ165" i="26"/>
  <c r="AW162" i="26"/>
  <c r="AZ164" i="26"/>
  <c r="AW161" i="26"/>
  <c r="AZ163" i="26"/>
  <c r="AV160" i="26"/>
  <c r="AW160" i="26"/>
  <c r="AZ162" i="26" s="1"/>
  <c r="BA162" i="26" s="1"/>
  <c r="AY162" i="26" s="1"/>
  <c r="AV159" i="26"/>
  <c r="AW159" i="26"/>
  <c r="AZ161" i="26" s="1"/>
  <c r="BA161" i="26" s="1"/>
  <c r="AY161" i="26" s="1"/>
  <c r="AV158" i="26"/>
  <c r="AW158" i="26"/>
  <c r="AZ160" i="26" s="1"/>
  <c r="BA160" i="26" s="1"/>
  <c r="AV157" i="26"/>
  <c r="AW157" i="26"/>
  <c r="AZ159" i="26"/>
  <c r="AV156" i="26"/>
  <c r="AW156" i="26"/>
  <c r="AZ158" i="26" s="1"/>
  <c r="BA158" i="26" s="1"/>
  <c r="AY158" i="26" s="1"/>
  <c r="AV155" i="26"/>
  <c r="AW155" i="26"/>
  <c r="AZ157" i="26" s="1"/>
  <c r="AV154" i="26"/>
  <c r="AW154" i="26"/>
  <c r="AZ156" i="26" s="1"/>
  <c r="AV153" i="26"/>
  <c r="AW153" i="26"/>
  <c r="AZ155" i="26"/>
  <c r="AV152" i="26"/>
  <c r="AW152" i="26"/>
  <c r="AZ154" i="26" s="1"/>
  <c r="BA154" i="26" s="1"/>
  <c r="AY154" i="26" s="1"/>
  <c r="AV151" i="26"/>
  <c r="AW151" i="26"/>
  <c r="AZ153" i="26" s="1"/>
  <c r="AV150" i="26"/>
  <c r="AW150" i="26"/>
  <c r="AZ152" i="26" s="1"/>
  <c r="BA152" i="26" s="1"/>
  <c r="AV149" i="26"/>
  <c r="AW149" i="26"/>
  <c r="AZ151" i="26"/>
  <c r="AV148" i="26"/>
  <c r="AW148" i="26"/>
  <c r="AZ150" i="26" s="1"/>
  <c r="BA150" i="26" s="1"/>
  <c r="AY150" i="26" s="1"/>
  <c r="AV147" i="26"/>
  <c r="AW147" i="26"/>
  <c r="AZ149" i="26" s="1"/>
  <c r="AV146" i="26"/>
  <c r="AW146" i="26"/>
  <c r="AZ148" i="26" s="1"/>
  <c r="AV145" i="26"/>
  <c r="AW145" i="26"/>
  <c r="AZ147" i="26"/>
  <c r="AV144" i="26"/>
  <c r="AW144" i="26"/>
  <c r="AZ146" i="26" s="1"/>
  <c r="BA146" i="26" s="1"/>
  <c r="AY146" i="26" s="1"/>
  <c r="AV143" i="26"/>
  <c r="AW143" i="26"/>
  <c r="AZ145" i="26" s="1"/>
  <c r="BA145" i="26" s="1"/>
  <c r="AY145" i="26" s="1"/>
  <c r="AV142" i="26"/>
  <c r="AW142" i="26"/>
  <c r="AZ144" i="26" s="1"/>
  <c r="BA144" i="26" s="1"/>
  <c r="AV141" i="26"/>
  <c r="AW141" i="26"/>
  <c r="AZ143" i="26"/>
  <c r="AV140" i="26"/>
  <c r="AW140" i="26"/>
  <c r="AZ142" i="26" s="1"/>
  <c r="BA142" i="26" s="1"/>
  <c r="AY142" i="26" s="1"/>
  <c r="AV139" i="26"/>
  <c r="AW139" i="26"/>
  <c r="AZ141" i="26" s="1"/>
  <c r="AV138" i="26"/>
  <c r="AW138" i="26"/>
  <c r="AZ140" i="26" s="1"/>
  <c r="AV137" i="26"/>
  <c r="AW137" i="26"/>
  <c r="AZ139" i="26"/>
  <c r="AV136" i="26"/>
  <c r="AW136" i="26"/>
  <c r="AZ138" i="26" s="1"/>
  <c r="BA138" i="26" s="1"/>
  <c r="AY138" i="26" s="1"/>
  <c r="AV135" i="26"/>
  <c r="AW135" i="26"/>
  <c r="AZ137" i="26" s="1"/>
  <c r="BA137" i="26" s="1"/>
  <c r="AY137" i="26" s="1"/>
  <c r="AV134" i="26"/>
  <c r="AW134" i="26"/>
  <c r="AZ136" i="26" s="1"/>
  <c r="BA136" i="26" s="1"/>
  <c r="AV133" i="26"/>
  <c r="AW133" i="26"/>
  <c r="AZ135" i="26"/>
  <c r="AV132" i="26"/>
  <c r="AW132" i="26"/>
  <c r="AZ134" i="26" s="1"/>
  <c r="BA134" i="26" s="1"/>
  <c r="AY134" i="26" s="1"/>
  <c r="AV131" i="26"/>
  <c r="AW131" i="26"/>
  <c r="AZ133" i="26" s="1"/>
  <c r="AV130" i="26"/>
  <c r="AW130" i="26"/>
  <c r="AZ132" i="26" s="1"/>
  <c r="AV129" i="26"/>
  <c r="AW129" i="26"/>
  <c r="AZ131" i="26"/>
  <c r="AV128" i="26"/>
  <c r="AW128" i="26"/>
  <c r="AZ130" i="26" s="1"/>
  <c r="BA130" i="26" s="1"/>
  <c r="AY130" i="26" s="1"/>
  <c r="AV127" i="26"/>
  <c r="AW127" i="26"/>
  <c r="AZ129" i="26" s="1"/>
  <c r="BA129" i="26" s="1"/>
  <c r="AY129" i="26" s="1"/>
  <c r="AV126" i="26"/>
  <c r="AW126" i="26"/>
  <c r="AZ128" i="26" s="1"/>
  <c r="BA128" i="26" s="1"/>
  <c r="AV125" i="26"/>
  <c r="AW125" i="26"/>
  <c r="AZ127" i="26"/>
  <c r="AV124" i="26"/>
  <c r="AW124" i="26"/>
  <c r="AZ126" i="26" s="1"/>
  <c r="BA126" i="26" s="1"/>
  <c r="AY126" i="26" s="1"/>
  <c r="AV123" i="26"/>
  <c r="AW123" i="26"/>
  <c r="AZ125" i="26" s="1"/>
  <c r="AV122" i="26"/>
  <c r="AW122" i="26"/>
  <c r="AZ124" i="26" s="1"/>
  <c r="AV121" i="26"/>
  <c r="AW121" i="26"/>
  <c r="AZ123" i="26"/>
  <c r="AV120" i="26"/>
  <c r="AW120" i="26"/>
  <c r="AZ122" i="26" s="1"/>
  <c r="BA122" i="26" s="1"/>
  <c r="AY122" i="26" s="1"/>
  <c r="AV119" i="26"/>
  <c r="AW119" i="26"/>
  <c r="AZ121" i="26" s="1"/>
  <c r="BA121" i="26" s="1"/>
  <c r="AY121" i="26" s="1"/>
  <c r="AV118" i="26"/>
  <c r="AW118" i="26"/>
  <c r="AZ120" i="26" s="1"/>
  <c r="BA120" i="26" s="1"/>
  <c r="AV117" i="26"/>
  <c r="AW117" i="26"/>
  <c r="AZ119" i="26"/>
  <c r="AV116" i="26"/>
  <c r="AW116" i="26"/>
  <c r="AZ118" i="26" s="1"/>
  <c r="BA118" i="26" s="1"/>
  <c r="AY118" i="26" s="1"/>
  <c r="AV115" i="26"/>
  <c r="AW115" i="26"/>
  <c r="AZ117" i="26" s="1"/>
  <c r="AV114" i="26"/>
  <c r="AW114" i="26"/>
  <c r="AZ116" i="26" s="1"/>
  <c r="AV113" i="26"/>
  <c r="AW113" i="26"/>
  <c r="AZ115" i="26"/>
  <c r="AV112" i="26"/>
  <c r="AW112" i="26"/>
  <c r="AZ114" i="26" s="1"/>
  <c r="BA114" i="26" s="1"/>
  <c r="AY114" i="26" s="1"/>
  <c r="AV111" i="26"/>
  <c r="AW111" i="26"/>
  <c r="AZ113" i="26" s="1"/>
  <c r="BA113" i="26" s="1"/>
  <c r="AY113" i="26" s="1"/>
  <c r="AV110" i="26"/>
  <c r="AW110" i="26"/>
  <c r="AZ112" i="26" s="1"/>
  <c r="BA112" i="26" s="1"/>
  <c r="AV109" i="26"/>
  <c r="AW109" i="26"/>
  <c r="AZ111" i="26"/>
  <c r="AV108" i="26"/>
  <c r="AW108" i="26"/>
  <c r="AZ110" i="26" s="1"/>
  <c r="BA110" i="26" s="1"/>
  <c r="AY110" i="26" s="1"/>
  <c r="AV107" i="26"/>
  <c r="AW107" i="26"/>
  <c r="AZ109" i="26" s="1"/>
  <c r="BA109" i="26" s="1"/>
  <c r="AY109" i="26" s="1"/>
  <c r="AV106" i="26"/>
  <c r="AW106" i="26"/>
  <c r="AZ108" i="26"/>
  <c r="AV105" i="26"/>
  <c r="AW105" i="26"/>
  <c r="AZ107" i="26" s="1"/>
  <c r="AV104" i="26"/>
  <c r="AW104" i="26"/>
  <c r="AZ106" i="26" s="1"/>
  <c r="AV103" i="26"/>
  <c r="AW103" i="26"/>
  <c r="AZ105" i="26" s="1"/>
  <c r="AV102" i="26"/>
  <c r="AW102" i="26"/>
  <c r="AZ104" i="26" s="1"/>
  <c r="AV101" i="26"/>
  <c r="AW101" i="26"/>
  <c r="AZ103" i="26"/>
  <c r="AV100" i="26"/>
  <c r="AW100" i="26"/>
  <c r="AZ102" i="26" s="1"/>
  <c r="BA102" i="26" s="1"/>
  <c r="AY102" i="26" s="1"/>
  <c r="AV99" i="26"/>
  <c r="AW99" i="26"/>
  <c r="AZ101" i="26" s="1"/>
  <c r="BA101" i="26" s="1"/>
  <c r="AY101" i="26" s="1"/>
  <c r="AV98" i="26"/>
  <c r="AW98" i="26"/>
  <c r="AZ100" i="26"/>
  <c r="AV97" i="26"/>
  <c r="AW97" i="26"/>
  <c r="AZ99" i="26" s="1"/>
  <c r="AV96" i="26"/>
  <c r="AW96" i="26"/>
  <c r="AZ98" i="26" s="1"/>
  <c r="BA98" i="26" s="1"/>
  <c r="AY98" i="26" s="1"/>
  <c r="AV95" i="26"/>
  <c r="AW95" i="26"/>
  <c r="AZ97" i="26" s="1"/>
  <c r="BA97" i="26" s="1"/>
  <c r="AY97" i="26" s="1"/>
  <c r="AV94" i="26"/>
  <c r="AW94" i="26"/>
  <c r="AZ96" i="26" s="1"/>
  <c r="AV93" i="26"/>
  <c r="AW93" i="26"/>
  <c r="AZ95" i="26"/>
  <c r="AV92" i="26"/>
  <c r="AW92" i="26"/>
  <c r="AZ94" i="26" s="1"/>
  <c r="BA94" i="26" s="1"/>
  <c r="AY94" i="26" s="1"/>
  <c r="AV91" i="26"/>
  <c r="AW91" i="26"/>
  <c r="AZ93" i="26" s="1"/>
  <c r="BA93" i="26" s="1"/>
  <c r="AY93" i="26" s="1"/>
  <c r="AV90" i="26"/>
  <c r="AW90" i="26"/>
  <c r="AZ92" i="26"/>
  <c r="AV89" i="26"/>
  <c r="AW89" i="26"/>
  <c r="AZ91" i="26" s="1"/>
  <c r="AV88" i="26"/>
  <c r="AW88" i="26"/>
  <c r="AZ90" i="26" s="1"/>
  <c r="AV87" i="26"/>
  <c r="AW87" i="26"/>
  <c r="AZ89" i="26" s="1"/>
  <c r="AV86" i="26"/>
  <c r="AW86" i="26"/>
  <c r="AZ88" i="26" s="1"/>
  <c r="AV85" i="26"/>
  <c r="AW85" i="26"/>
  <c r="AZ87" i="26"/>
  <c r="AV84" i="26"/>
  <c r="AW84" i="26"/>
  <c r="AZ86" i="26" s="1"/>
  <c r="BA86" i="26" s="1"/>
  <c r="AY86" i="26" s="1"/>
  <c r="AV83" i="26"/>
  <c r="AW83" i="26"/>
  <c r="AZ85" i="26" s="1"/>
  <c r="BA85" i="26" s="1"/>
  <c r="AY85" i="26" s="1"/>
  <c r="AV82" i="26"/>
  <c r="AW82" i="26"/>
  <c r="AZ84" i="26"/>
  <c r="AV81" i="26"/>
  <c r="AW81" i="26"/>
  <c r="AZ83" i="26" s="1"/>
  <c r="AV80" i="26"/>
  <c r="AW80" i="26"/>
  <c r="AZ82" i="26" s="1"/>
  <c r="BA82" i="26" s="1"/>
  <c r="AY82" i="26" s="1"/>
  <c r="AV79" i="26"/>
  <c r="AW79" i="26"/>
  <c r="AZ81" i="26" s="1"/>
  <c r="BA81" i="26" s="1"/>
  <c r="AY81" i="26" s="1"/>
  <c r="AV78" i="26"/>
  <c r="AW78" i="26"/>
  <c r="AZ80" i="26" s="1"/>
  <c r="AV77" i="26"/>
  <c r="AW77" i="26"/>
  <c r="AZ79" i="26"/>
  <c r="AV76" i="26"/>
  <c r="AW76" i="26"/>
  <c r="AZ78" i="26" s="1"/>
  <c r="BA78" i="26" s="1"/>
  <c r="AY78" i="26" s="1"/>
  <c r="AV75" i="26"/>
  <c r="AW75" i="26"/>
  <c r="AZ77" i="26" s="1"/>
  <c r="BA77" i="26" s="1"/>
  <c r="AY77" i="26" s="1"/>
  <c r="AV74" i="26"/>
  <c r="AW74" i="26"/>
  <c r="AZ76" i="26"/>
  <c r="AV73" i="26"/>
  <c r="AW73" i="26"/>
  <c r="AZ75" i="26" s="1"/>
  <c r="AV72" i="26"/>
  <c r="AW72" i="26"/>
  <c r="AZ74" i="26" s="1"/>
  <c r="AV71" i="26"/>
  <c r="AW71" i="26"/>
  <c r="AZ73" i="26" s="1"/>
  <c r="AV70" i="26"/>
  <c r="AW70" i="26"/>
  <c r="AZ72" i="26" s="1"/>
  <c r="AV69" i="26"/>
  <c r="AW69" i="26"/>
  <c r="AZ71" i="26"/>
  <c r="AV68" i="26"/>
  <c r="AW68" i="26"/>
  <c r="AZ70" i="26" s="1"/>
  <c r="BA70" i="26" s="1"/>
  <c r="AY70" i="26" s="1"/>
  <c r="AV67" i="26"/>
  <c r="AW67" i="26"/>
  <c r="AZ69" i="26" s="1"/>
  <c r="BA69" i="26" s="1"/>
  <c r="AY69" i="26" s="1"/>
  <c r="AV66" i="26"/>
  <c r="AW66" i="26"/>
  <c r="AZ68" i="26"/>
  <c r="AV65" i="26"/>
  <c r="AW65" i="26"/>
  <c r="AZ67" i="26" s="1"/>
  <c r="AV64" i="26"/>
  <c r="AW64" i="26"/>
  <c r="AZ66" i="26" s="1"/>
  <c r="BA66" i="26" s="1"/>
  <c r="AY66" i="26" s="1"/>
  <c r="AV63" i="26"/>
  <c r="AW63" i="26"/>
  <c r="AZ65" i="26" s="1"/>
  <c r="BA65" i="26" s="1"/>
  <c r="AY65" i="26" s="1"/>
  <c r="AV62" i="26"/>
  <c r="AW62" i="26"/>
  <c r="AZ64" i="26" s="1"/>
  <c r="AV61" i="26"/>
  <c r="AW61" i="26"/>
  <c r="AZ63" i="26"/>
  <c r="AV60" i="26"/>
  <c r="AW60" i="26"/>
  <c r="AZ62" i="26" s="1"/>
  <c r="BA62" i="26" s="1"/>
  <c r="AY62" i="26" s="1"/>
  <c r="AV59" i="26"/>
  <c r="AW59" i="26"/>
  <c r="AZ61" i="26" s="1"/>
  <c r="BA61" i="26" s="1"/>
  <c r="AY61" i="26" s="1"/>
  <c r="AV58" i="26"/>
  <c r="AW58" i="26"/>
  <c r="AZ60" i="26"/>
  <c r="AV57" i="26"/>
  <c r="AW57" i="26"/>
  <c r="AZ59" i="26" s="1"/>
  <c r="AV56" i="26"/>
  <c r="AW56" i="26"/>
  <c r="AZ58" i="26" s="1"/>
  <c r="AV55" i="26"/>
  <c r="AW55" i="26"/>
  <c r="AZ57" i="26" s="1"/>
  <c r="AV54" i="26"/>
  <c r="AW54" i="26"/>
  <c r="AZ56" i="26" s="1"/>
  <c r="AV53" i="26"/>
  <c r="AW53" i="26"/>
  <c r="AZ55" i="26"/>
  <c r="AV52" i="26"/>
  <c r="AW52" i="26"/>
  <c r="AZ54" i="26" s="1"/>
  <c r="BA54" i="26" s="1"/>
  <c r="AY54" i="26" s="1"/>
  <c r="AV51" i="26"/>
  <c r="AW51" i="26"/>
  <c r="AZ53" i="26" s="1"/>
  <c r="BA53" i="26" s="1"/>
  <c r="AY53" i="26" s="1"/>
  <c r="AV50" i="26"/>
  <c r="AW50" i="26"/>
  <c r="AZ52" i="26"/>
  <c r="AV49" i="26"/>
  <c r="AW49" i="26"/>
  <c r="AZ51" i="26" s="1"/>
  <c r="AV48" i="26"/>
  <c r="AW48" i="26"/>
  <c r="AZ50" i="26" s="1"/>
  <c r="BA50" i="26" s="1"/>
  <c r="AY50" i="26" s="1"/>
  <c r="AV47" i="26"/>
  <c r="AW47" i="26"/>
  <c r="AZ49" i="26" s="1"/>
  <c r="BA49" i="26" s="1"/>
  <c r="AY49" i="26" s="1"/>
  <c r="AV46" i="26"/>
  <c r="AW46" i="26"/>
  <c r="AZ48" i="26" s="1"/>
  <c r="AV45" i="26"/>
  <c r="AW45" i="26"/>
  <c r="AZ47" i="26"/>
  <c r="AV44" i="26"/>
  <c r="AW44" i="26"/>
  <c r="AZ46" i="26" s="1"/>
  <c r="BA46" i="26" s="1"/>
  <c r="AY46" i="26" s="1"/>
  <c r="AV43" i="26"/>
  <c r="AW43" i="26"/>
  <c r="AZ45" i="26" s="1"/>
  <c r="BA45" i="26" s="1"/>
  <c r="AY45" i="26" s="1"/>
  <c r="AV42" i="26"/>
  <c r="AW42" i="26"/>
  <c r="AZ44" i="26"/>
  <c r="AV41" i="26"/>
  <c r="AW41" i="26"/>
  <c r="AZ43" i="26" s="1"/>
  <c r="AV40" i="26"/>
  <c r="AW40" i="26"/>
  <c r="AZ42" i="26" s="1"/>
  <c r="AV39" i="26"/>
  <c r="AW39" i="26"/>
  <c r="AZ41" i="26" s="1"/>
  <c r="AV38" i="26"/>
  <c r="AW38" i="26"/>
  <c r="AZ40" i="26" s="1"/>
  <c r="AV37" i="26"/>
  <c r="AW37" i="26"/>
  <c r="AZ39" i="26"/>
  <c r="AV36" i="26"/>
  <c r="AW36" i="26"/>
  <c r="AZ38" i="26" s="1"/>
  <c r="BA38" i="26" s="1"/>
  <c r="AY38" i="26" s="1"/>
  <c r="AV35" i="26"/>
  <c r="AW35" i="26"/>
  <c r="AZ37" i="26" s="1"/>
  <c r="BA37" i="26" s="1"/>
  <c r="AY37" i="26" s="1"/>
  <c r="AV34" i="26"/>
  <c r="AW34" i="26"/>
  <c r="AZ36" i="26"/>
  <c r="AV33" i="26"/>
  <c r="AW33" i="26"/>
  <c r="AZ35" i="26" s="1"/>
  <c r="AV32" i="26"/>
  <c r="AW32" i="26"/>
  <c r="AZ34" i="26" s="1"/>
  <c r="BA34" i="26" s="1"/>
  <c r="AY34" i="26" s="1"/>
  <c r="AV31" i="26"/>
  <c r="AW31" i="26"/>
  <c r="AZ33" i="26" s="1"/>
  <c r="AV30" i="26"/>
  <c r="AW30" i="26"/>
  <c r="AZ32" i="26" s="1"/>
  <c r="AV29" i="26"/>
  <c r="AW29" i="26"/>
  <c r="AZ31" i="26"/>
  <c r="AV28" i="26"/>
  <c r="AW28" i="26"/>
  <c r="AZ30" i="26" s="1"/>
  <c r="BA30" i="26" s="1"/>
  <c r="AY30" i="26" s="1"/>
  <c r="AV27" i="26"/>
  <c r="AW27" i="26"/>
  <c r="AZ29" i="26" s="1"/>
  <c r="BA29" i="26" s="1"/>
  <c r="AY29" i="26" s="1"/>
  <c r="AV26" i="26"/>
  <c r="AW26" i="26"/>
  <c r="AZ28" i="26"/>
  <c r="AV25" i="26"/>
  <c r="AW25" i="26"/>
  <c r="AZ27" i="26" s="1"/>
  <c r="AV24" i="26"/>
  <c r="AW24" i="26"/>
  <c r="AZ26" i="26" s="1"/>
  <c r="BA26" i="26" s="1"/>
  <c r="AY26" i="26" s="1"/>
  <c r="AV23" i="26"/>
  <c r="AW23" i="26"/>
  <c r="AZ25" i="26" s="1"/>
  <c r="BA25" i="26" s="1"/>
  <c r="AY25" i="26" s="1"/>
  <c r="AV22" i="26"/>
  <c r="AW22" i="26"/>
  <c r="AZ24" i="26"/>
  <c r="AV21" i="26"/>
  <c r="AW21" i="26"/>
  <c r="AZ23" i="26" s="1"/>
  <c r="BA23" i="26" s="1"/>
  <c r="AY23" i="26" s="1"/>
  <c r="AV20" i="26"/>
  <c r="AW20" i="26"/>
  <c r="AZ22" i="26" s="1"/>
  <c r="AV19" i="26"/>
  <c r="AW19" i="26"/>
  <c r="AZ21" i="26" s="1"/>
  <c r="AV18" i="26"/>
  <c r="AW18" i="26"/>
  <c r="AZ20" i="26"/>
  <c r="BA20" i="26" s="1"/>
  <c r="AY20" i="26" s="1"/>
  <c r="AV17" i="26"/>
  <c r="AW17" i="26"/>
  <c r="AZ19" i="26" s="1"/>
  <c r="AV16" i="26"/>
  <c r="AW16" i="26"/>
  <c r="AZ18" i="26" s="1"/>
  <c r="BA18" i="26" s="1"/>
  <c r="AY18" i="26" s="1"/>
  <c r="AV15" i="26"/>
  <c r="AW15" i="26"/>
  <c r="AZ17" i="26" s="1"/>
  <c r="BA17" i="26" s="1"/>
  <c r="AY17" i="26" s="1"/>
  <c r="AV14" i="26"/>
  <c r="AW14" i="26"/>
  <c r="AZ16" i="26"/>
  <c r="BA16" i="26" s="1"/>
  <c r="AY16" i="26" s="1"/>
  <c r="AV13" i="26"/>
  <c r="AW13" i="26"/>
  <c r="AZ15" i="26" s="1"/>
  <c r="BA15" i="26" s="1"/>
  <c r="AY15" i="26" s="1"/>
  <c r="AV12" i="26"/>
  <c r="AW12" i="26"/>
  <c r="AZ14" i="26" s="1"/>
  <c r="BA14" i="26" s="1"/>
  <c r="AY14" i="26" s="1"/>
  <c r="AZ13" i="26"/>
  <c r="BA13" i="26" s="1"/>
  <c r="AY13" i="26" s="1"/>
  <c r="AZ12" i="26"/>
  <c r="BA12" i="26" s="1"/>
  <c r="AY12" i="26" s="1"/>
  <c r="BG11" i="26"/>
  <c r="AF12" i="26"/>
  <c r="AO12" i="26"/>
  <c r="BG12" i="26"/>
  <c r="AF13" i="26"/>
  <c r="BG13" i="26"/>
  <c r="AF14" i="26"/>
  <c r="BG14" i="26"/>
  <c r="S15" i="26"/>
  <c r="BG15" i="26"/>
  <c r="AF16" i="26"/>
  <c r="BG16" i="26"/>
  <c r="S17" i="26"/>
  <c r="BG17" i="26"/>
  <c r="AF18" i="26"/>
  <c r="BG18" i="26"/>
  <c r="S19" i="26"/>
  <c r="BG19" i="26"/>
  <c r="AF20" i="26"/>
  <c r="BG20" i="26"/>
  <c r="N21" i="26"/>
  <c r="AF21" i="26"/>
  <c r="BG21" i="26"/>
  <c r="S22" i="26"/>
  <c r="BG22" i="26"/>
  <c r="AF23" i="26"/>
  <c r="BG23" i="26"/>
  <c r="G24" i="26"/>
  <c r="BG24" i="26"/>
  <c r="AF25" i="26"/>
  <c r="BG25" i="26"/>
  <c r="G26" i="26"/>
  <c r="BG26" i="26"/>
  <c r="AF27" i="26"/>
  <c r="BG27" i="26"/>
  <c r="G28" i="26"/>
  <c r="AV4" i="26"/>
  <c r="AP25" i="26" s="1"/>
  <c r="AO4" i="26"/>
  <c r="AP26" i="26"/>
  <c r="AP28" i="26"/>
  <c r="BG28" i="26"/>
  <c r="AF29" i="26"/>
  <c r="BG29" i="26"/>
  <c r="G30" i="26"/>
  <c r="BG30" i="26"/>
  <c r="AF31" i="26"/>
  <c r="BG31" i="26"/>
  <c r="G32" i="26"/>
  <c r="BG32" i="26"/>
  <c r="AF33" i="26"/>
  <c r="BG33" i="26"/>
  <c r="G34" i="26"/>
  <c r="BG34" i="26"/>
  <c r="AF35" i="26"/>
  <c r="BG35" i="26"/>
  <c r="G36" i="26"/>
  <c r="BG36" i="26"/>
  <c r="AF37" i="26"/>
  <c r="BG37" i="26"/>
  <c r="BG38" i="26"/>
  <c r="BG39" i="26"/>
  <c r="BG40" i="26"/>
  <c r="BG41" i="26"/>
  <c r="BG42" i="26"/>
  <c r="BG43" i="26"/>
  <c r="BG44" i="26"/>
  <c r="BG45" i="26"/>
  <c r="BG46" i="26"/>
  <c r="BG47" i="26"/>
  <c r="BG48" i="26"/>
  <c r="BG49" i="26"/>
  <c r="BG50" i="26"/>
  <c r="BG51" i="26"/>
  <c r="BG52" i="26"/>
  <c r="BG53" i="26"/>
  <c r="BG54" i="26"/>
  <c r="BG55" i="26"/>
  <c r="BG56" i="26"/>
  <c r="BG57" i="26"/>
  <c r="BG58" i="26"/>
  <c r="BG59" i="26"/>
  <c r="BG60" i="26"/>
  <c r="BG61" i="26"/>
  <c r="BG62" i="26"/>
  <c r="BG63" i="26"/>
  <c r="BG64" i="26"/>
  <c r="BG65" i="26"/>
  <c r="BG66" i="26"/>
  <c r="BG67" i="26"/>
  <c r="BG68" i="26"/>
  <c r="BG69" i="26"/>
  <c r="BG70" i="26"/>
  <c r="BG71" i="26"/>
  <c r="BG72" i="26"/>
  <c r="BG73" i="26"/>
  <c r="BG74" i="26"/>
  <c r="BG75" i="26"/>
  <c r="BG76" i="26"/>
  <c r="BG77" i="26"/>
  <c r="BG78" i="26"/>
  <c r="BG79" i="26"/>
  <c r="BG80" i="26"/>
  <c r="BG81" i="26"/>
  <c r="BG82" i="26"/>
  <c r="BG83" i="26"/>
  <c r="BG84" i="26"/>
  <c r="BG85" i="26"/>
  <c r="BG86" i="26"/>
  <c r="BG87" i="26"/>
  <c r="BG88" i="26"/>
  <c r="BG89" i="26"/>
  <c r="BG90" i="26"/>
  <c r="BG91" i="26"/>
  <c r="BG92" i="26"/>
  <c r="BG93" i="26"/>
  <c r="BG94" i="26"/>
  <c r="BG95" i="26"/>
  <c r="BG96" i="26"/>
  <c r="BG97" i="26"/>
  <c r="BG98" i="26"/>
  <c r="BG99" i="26"/>
  <c r="BG100" i="26"/>
  <c r="BG101" i="26"/>
  <c r="BG102" i="26"/>
  <c r="BG103" i="26"/>
  <c r="BG104" i="26"/>
  <c r="BG105" i="26"/>
  <c r="BG106" i="26"/>
  <c r="BG107" i="26"/>
  <c r="BG108" i="26"/>
  <c r="BG109" i="26"/>
  <c r="BG110" i="26"/>
  <c r="BG111" i="26"/>
  <c r="BG112" i="26"/>
  <c r="BG113" i="26"/>
  <c r="BG114" i="26"/>
  <c r="BG115" i="26"/>
  <c r="BG116" i="26"/>
  <c r="BG117" i="26"/>
  <c r="BG118" i="26"/>
  <c r="BG119" i="26"/>
  <c r="BG120" i="26"/>
  <c r="BG121" i="26"/>
  <c r="BG122" i="26"/>
  <c r="BG123" i="26"/>
  <c r="BG124" i="26"/>
  <c r="BG125" i="26"/>
  <c r="BG126" i="26"/>
  <c r="BG127" i="26"/>
  <c r="BG128" i="26"/>
  <c r="BG129" i="26"/>
  <c r="BG130" i="26"/>
  <c r="BG131" i="26"/>
  <c r="BG132" i="26"/>
  <c r="BG133" i="26"/>
  <c r="BG134" i="26"/>
  <c r="BG135" i="26"/>
  <c r="BG136" i="26"/>
  <c r="BG137" i="26"/>
  <c r="BG138" i="26"/>
  <c r="BG139" i="26"/>
  <c r="BG140" i="26"/>
  <c r="BG141" i="26"/>
  <c r="BG142" i="26"/>
  <c r="BG143" i="26"/>
  <c r="BG144" i="26"/>
  <c r="BG145" i="26"/>
  <c r="BG146" i="26"/>
  <c r="BG147" i="26"/>
  <c r="BG148" i="26"/>
  <c r="BG149" i="26"/>
  <c r="BG150" i="26"/>
  <c r="BG151" i="26"/>
  <c r="BG152" i="26"/>
  <c r="BG153" i="26"/>
  <c r="BG154" i="26"/>
  <c r="BG155" i="26"/>
  <c r="BG156" i="26"/>
  <c r="BG157" i="26"/>
  <c r="BG158" i="26"/>
  <c r="BG159" i="26"/>
  <c r="BG160" i="26"/>
  <c r="AV161" i="26"/>
  <c r="BG161" i="26"/>
  <c r="AV162" i="26"/>
  <c r="BG162" i="26"/>
  <c r="AV163" i="26"/>
  <c r="BG163" i="26"/>
  <c r="AV164" i="26"/>
  <c r="BG164" i="26"/>
  <c r="AV165" i="26"/>
  <c r="BG165" i="26"/>
  <c r="AV166" i="26"/>
  <c r="BG166" i="26"/>
  <c r="AV167" i="26"/>
  <c r="BG167" i="26"/>
  <c r="AV168" i="26"/>
  <c r="BG168" i="26"/>
  <c r="AV169" i="26"/>
  <c r="BG169" i="26"/>
  <c r="AV170" i="26"/>
  <c r="BG170" i="26"/>
  <c r="AV171" i="26"/>
  <c r="BG171" i="26"/>
  <c r="AV172" i="26"/>
  <c r="BG172" i="26"/>
  <c r="AV173" i="26"/>
  <c r="BG173" i="26"/>
  <c r="AV174" i="26"/>
  <c r="BG174" i="26"/>
  <c r="AV175" i="26"/>
  <c r="BG175" i="26"/>
  <c r="AV176" i="26"/>
  <c r="BG176" i="26"/>
  <c r="AV177" i="26"/>
  <c r="BG177" i="26"/>
  <c r="AV178" i="26"/>
  <c r="BG178" i="26"/>
  <c r="AV179" i="26"/>
  <c r="BG179" i="26"/>
  <c r="AV180" i="26"/>
  <c r="BG180" i="26"/>
  <c r="AV181" i="26"/>
  <c r="BG181" i="26"/>
  <c r="AV182" i="26"/>
  <c r="BG182" i="26"/>
  <c r="AV183" i="26"/>
  <c r="BG183" i="26"/>
  <c r="AV184" i="26"/>
  <c r="BG184" i="26"/>
  <c r="AV185" i="26"/>
  <c r="BG185" i="26"/>
  <c r="AV186" i="26"/>
  <c r="BG186" i="26"/>
  <c r="AV187" i="26"/>
  <c r="BG187" i="26"/>
  <c r="AV188" i="26"/>
  <c r="BG188" i="26"/>
  <c r="AV189" i="26"/>
  <c r="BG189" i="26"/>
  <c r="AV190" i="26"/>
  <c r="BG190" i="26"/>
  <c r="AV191" i="26"/>
  <c r="BG191" i="26"/>
  <c r="AV192" i="26"/>
  <c r="BG192" i="26"/>
  <c r="AV193" i="26"/>
  <c r="BG193" i="26"/>
  <c r="AV194" i="26"/>
  <c r="BG194" i="26"/>
  <c r="AV195" i="26"/>
  <c r="BG195" i="26"/>
  <c r="AV196" i="26"/>
  <c r="BG196" i="26"/>
  <c r="AV197" i="26"/>
  <c r="BG197" i="26"/>
  <c r="AV198" i="26"/>
  <c r="BG198" i="26"/>
  <c r="AV199" i="26"/>
  <c r="BG199" i="26"/>
  <c r="AV200" i="26"/>
  <c r="BG200" i="26"/>
  <c r="AV201" i="26"/>
  <c r="BG201" i="26"/>
  <c r="AV202" i="26"/>
  <c r="BG202" i="26"/>
  <c r="AV203" i="26"/>
  <c r="BG203" i="26"/>
  <c r="AV204" i="26"/>
  <c r="BG204" i="26"/>
  <c r="AV205" i="26"/>
  <c r="BG205" i="26"/>
  <c r="AV206" i="26"/>
  <c r="BG206" i="26"/>
  <c r="AV207" i="26"/>
  <c r="BG207" i="26"/>
  <c r="AV208" i="26"/>
  <c r="BG208" i="26"/>
  <c r="AV209" i="26"/>
  <c r="BG209" i="26"/>
  <c r="AV210" i="26"/>
  <c r="BG210" i="26"/>
  <c r="AV211" i="26"/>
  <c r="BG211" i="26"/>
  <c r="AV212" i="26"/>
  <c r="AV213" i="26"/>
  <c r="AV214" i="26"/>
  <c r="AV215" i="26"/>
  <c r="AV216" i="26"/>
  <c r="AV217" i="26"/>
  <c r="AV218" i="26"/>
  <c r="AV219" i="26"/>
  <c r="AV220" i="26"/>
  <c r="AV221" i="26"/>
  <c r="AV222" i="26"/>
  <c r="AV223" i="26"/>
  <c r="AV224" i="26"/>
  <c r="AV225" i="26"/>
  <c r="AV226" i="26"/>
  <c r="AV227" i="26"/>
  <c r="AV228" i="26"/>
  <c r="AV229" i="26"/>
  <c r="AV230" i="26"/>
  <c r="AV231" i="26"/>
  <c r="AV232" i="26"/>
  <c r="AV233" i="26"/>
  <c r="AV234" i="26"/>
  <c r="AV235" i="26"/>
  <c r="AV236" i="26"/>
  <c r="AV237" i="26"/>
  <c r="AV238" i="26"/>
  <c r="AV239" i="26"/>
  <c r="AV240" i="26"/>
  <c r="AV241" i="26"/>
  <c r="AV242" i="26"/>
  <c r="AV243" i="26"/>
  <c r="AV244" i="26"/>
  <c r="AV245" i="26"/>
  <c r="AV246" i="26"/>
  <c r="AV247" i="26"/>
  <c r="AV248" i="26"/>
  <c r="AV249" i="26"/>
  <c r="AV250" i="26"/>
  <c r="AV251" i="26"/>
  <c r="AV252" i="26"/>
  <c r="AV253" i="26"/>
  <c r="AV254" i="26"/>
  <c r="AV255" i="26"/>
  <c r="AV256" i="26"/>
  <c r="AV257" i="26"/>
  <c r="AV258" i="26"/>
  <c r="AV259" i="26"/>
  <c r="AV260" i="26"/>
  <c r="AV261" i="26"/>
  <c r="AV262" i="26"/>
  <c r="AV263" i="26"/>
  <c r="AV264" i="26"/>
  <c r="AV265" i="26"/>
  <c r="AV266" i="26"/>
  <c r="AV267" i="26"/>
  <c r="AV268" i="26"/>
  <c r="AV269" i="26"/>
  <c r="AV270" i="26"/>
  <c r="AV271" i="26"/>
  <c r="AV272" i="26"/>
  <c r="AV273" i="26"/>
  <c r="AV274" i="26"/>
  <c r="AV275" i="26"/>
  <c r="AV276" i="26"/>
  <c r="AV277" i="26"/>
  <c r="AV278" i="26"/>
  <c r="AV279" i="26"/>
  <c r="AV280" i="26"/>
  <c r="AV281" i="26"/>
  <c r="AV282" i="26"/>
  <c r="AV283" i="26"/>
  <c r="AV284" i="26"/>
  <c r="AV285" i="26"/>
  <c r="AV286" i="26"/>
  <c r="AV287" i="26"/>
  <c r="AV288" i="26"/>
  <c r="AV289" i="26"/>
  <c r="AV290" i="26"/>
  <c r="AV291" i="26"/>
  <c r="AV292" i="26"/>
  <c r="AV293" i="26"/>
  <c r="AV294" i="26"/>
  <c r="AV295" i="26"/>
  <c r="AV296" i="26"/>
  <c r="AV297" i="26"/>
  <c r="AV298" i="26"/>
  <c r="AV299" i="26"/>
  <c r="AV300" i="26"/>
  <c r="AV301" i="26"/>
  <c r="AV302" i="26"/>
  <c r="AV303" i="26"/>
  <c r="AV304" i="26"/>
  <c r="AV305" i="26"/>
  <c r="AV306" i="26"/>
  <c r="AV307" i="26"/>
  <c r="AV308" i="26"/>
  <c r="AV309" i="26"/>
  <c r="AV310" i="26"/>
  <c r="AV311" i="26"/>
  <c r="AV312" i="26"/>
  <c r="AV313" i="26"/>
  <c r="AV314" i="26"/>
  <c r="AV315" i="26"/>
  <c r="AV316" i="26"/>
  <c r="AV317" i="26"/>
  <c r="AV318" i="26"/>
  <c r="AV319" i="26"/>
  <c r="AV320" i="26"/>
  <c r="AV321" i="26"/>
  <c r="AV322" i="26"/>
  <c r="AV323" i="26"/>
  <c r="AV324" i="26"/>
  <c r="AV325" i="26"/>
  <c r="AV326" i="26"/>
  <c r="AV327" i="26"/>
  <c r="AV328" i="26"/>
  <c r="AV329" i="26"/>
  <c r="AV330" i="26"/>
  <c r="AV331" i="26"/>
  <c r="AV332" i="26"/>
  <c r="AV333" i="26"/>
  <c r="AV334" i="26"/>
  <c r="AV335" i="26"/>
  <c r="AV336" i="26"/>
  <c r="AV337" i="26"/>
  <c r="AV338" i="26"/>
  <c r="AV339" i="26"/>
  <c r="AV340" i="26"/>
  <c r="AV341" i="26"/>
  <c r="AV342" i="26"/>
  <c r="AV343" i="26"/>
  <c r="AV344" i="26"/>
  <c r="AV345" i="26"/>
  <c r="AV346" i="26"/>
  <c r="AV347" i="26"/>
  <c r="AV348" i="26"/>
  <c r="AV349" i="26"/>
  <c r="AV350" i="26"/>
  <c r="AV351" i="26"/>
  <c r="AV352" i="26"/>
  <c r="AV353" i="26"/>
  <c r="AV354" i="26"/>
  <c r="AV355" i="26"/>
  <c r="AV356" i="26"/>
  <c r="AV357" i="26"/>
  <c r="AV358" i="26"/>
  <c r="AV359" i="26"/>
  <c r="AV360" i="26"/>
  <c r="AV361" i="26"/>
  <c r="AV362" i="26"/>
  <c r="AV363" i="26"/>
  <c r="AV364" i="26"/>
  <c r="AV365" i="26"/>
  <c r="AV366" i="26"/>
  <c r="AV367" i="26"/>
  <c r="AV368" i="26"/>
  <c r="AV369" i="26"/>
  <c r="AV370" i="26"/>
  <c r="AV371" i="26"/>
  <c r="AV372" i="26"/>
  <c r="AV373" i="26"/>
  <c r="AV374" i="26"/>
  <c r="AV375" i="26"/>
  <c r="AV376" i="26"/>
  <c r="AV377" i="26"/>
  <c r="AV378" i="26"/>
  <c r="AV379" i="26"/>
  <c r="AV380" i="26"/>
  <c r="AV381" i="26"/>
  <c r="AV382" i="26"/>
  <c r="AV383" i="26"/>
  <c r="AV384" i="26"/>
  <c r="AV385" i="26"/>
  <c r="AV386" i="26"/>
  <c r="AV387" i="26"/>
  <c r="AV388" i="26"/>
  <c r="AV389" i="26"/>
  <c r="AV390" i="26"/>
  <c r="AV391" i="26"/>
  <c r="AV392" i="26"/>
  <c r="AV393" i="26"/>
  <c r="AV394" i="26"/>
  <c r="AV395" i="26"/>
  <c r="AV396" i="26"/>
  <c r="AV397" i="26"/>
  <c r="AV398" i="26"/>
  <c r="AV399" i="26"/>
  <c r="AV400" i="26"/>
  <c r="AV401" i="26"/>
  <c r="AV402" i="26"/>
  <c r="AV403" i="26"/>
  <c r="AV404" i="26"/>
  <c r="AV405" i="26"/>
  <c r="AV406" i="26"/>
  <c r="AV407" i="26"/>
  <c r="AV408" i="26"/>
  <c r="AV409" i="26"/>
  <c r="AV410" i="26"/>
  <c r="AV411" i="26"/>
  <c r="AV412" i="26"/>
  <c r="AV413" i="26"/>
  <c r="AV414" i="26"/>
  <c r="AV415" i="26"/>
  <c r="AV416" i="26"/>
  <c r="AV417" i="26"/>
  <c r="AV418" i="26"/>
  <c r="AV419" i="26"/>
  <c r="AV420" i="26"/>
  <c r="BA420" i="26"/>
  <c r="AY420" i="26" s="1"/>
  <c r="AV421" i="26"/>
  <c r="AV422" i="26"/>
  <c r="BA422" i="26"/>
  <c r="AY422" i="26"/>
  <c r="AV423" i="26"/>
  <c r="BA423" i="26"/>
  <c r="AY423" i="26" s="1"/>
  <c r="AV424" i="26"/>
  <c r="BA424" i="26"/>
  <c r="AY424" i="26" s="1"/>
  <c r="AV425" i="26"/>
  <c r="AV426" i="26"/>
  <c r="BA426" i="26"/>
  <c r="AY426" i="26"/>
  <c r="AV427" i="26"/>
  <c r="BA427" i="26"/>
  <c r="AY427" i="26" s="1"/>
  <c r="AV428" i="26"/>
  <c r="BA428" i="26"/>
  <c r="AY428" i="26" s="1"/>
  <c r="AV429" i="26"/>
  <c r="AV430" i="26"/>
  <c r="BA430" i="26"/>
  <c r="AY430" i="26"/>
  <c r="AV431" i="26"/>
  <c r="BA431" i="26"/>
  <c r="AY431" i="26" s="1"/>
  <c r="AV432" i="26"/>
  <c r="BA432" i="26"/>
  <c r="AY432" i="26" s="1"/>
  <c r="AV433" i="26"/>
  <c r="AV434" i="26"/>
  <c r="BA434" i="26"/>
  <c r="AY434" i="26"/>
  <c r="AV435" i="26"/>
  <c r="BA435" i="26"/>
  <c r="AY435" i="26" s="1"/>
  <c r="AV436" i="26"/>
  <c r="BA436" i="26"/>
  <c r="AY436" i="26" s="1"/>
  <c r="AV437" i="26"/>
  <c r="AV438" i="26"/>
  <c r="BA438" i="26"/>
  <c r="AY438" i="26"/>
  <c r="AV439" i="26"/>
  <c r="BA439" i="26"/>
  <c r="AY439" i="26" s="1"/>
  <c r="AV440" i="26"/>
  <c r="BA440" i="26"/>
  <c r="AY440" i="26" s="1"/>
  <c r="AV441" i="26"/>
  <c r="AV442" i="26"/>
  <c r="BA442" i="26"/>
  <c r="AY442" i="26"/>
  <c r="AV443" i="26"/>
  <c r="BA443" i="26"/>
  <c r="AY443" i="26" s="1"/>
  <c r="AV444" i="26"/>
  <c r="BA444" i="26"/>
  <c r="AY444" i="26" s="1"/>
  <c r="AV445" i="26"/>
  <c r="AV446" i="26"/>
  <c r="BA446" i="26"/>
  <c r="AY446" i="26"/>
  <c r="AV447" i="26"/>
  <c r="BA447" i="26"/>
  <c r="AY447" i="26" s="1"/>
  <c r="AV448" i="26"/>
  <c r="BA448" i="26"/>
  <c r="AY448" i="26" s="1"/>
  <c r="AV449" i="26"/>
  <c r="AV450" i="26"/>
  <c r="BA450" i="26"/>
  <c r="AY450" i="26"/>
  <c r="AV451" i="26"/>
  <c r="BA451" i="26"/>
  <c r="AY451" i="26" s="1"/>
  <c r="AV452" i="26"/>
  <c r="BA452" i="26"/>
  <c r="AY452" i="26" s="1"/>
  <c r="AV453" i="26"/>
  <c r="AV454" i="26"/>
  <c r="BA454" i="26"/>
  <c r="AY454" i="26"/>
  <c r="AV455" i="26"/>
  <c r="BA455" i="26"/>
  <c r="AY455" i="26" s="1"/>
  <c r="AV456" i="26"/>
  <c r="BA456" i="26"/>
  <c r="AY456" i="26" s="1"/>
  <c r="AV457" i="26"/>
  <c r="AV458" i="26"/>
  <c r="BA458" i="26"/>
  <c r="AY458" i="26"/>
  <c r="AV459" i="26"/>
  <c r="BA459" i="26"/>
  <c r="AY459" i="26" s="1"/>
  <c r="AV460" i="26"/>
  <c r="BA460" i="26"/>
  <c r="AY460" i="26" s="1"/>
  <c r="AV461" i="26"/>
  <c r="AV462" i="26"/>
  <c r="BA462" i="26"/>
  <c r="AY462" i="26"/>
  <c r="AV463" i="26"/>
  <c r="BA463" i="26"/>
  <c r="AY463" i="26" s="1"/>
  <c r="AV464" i="26"/>
  <c r="BA464" i="26"/>
  <c r="AY464" i="26" s="1"/>
  <c r="AV465" i="26"/>
  <c r="AV466" i="26"/>
  <c r="BA466" i="26"/>
  <c r="AY466" i="26"/>
  <c r="AV467" i="26"/>
  <c r="BA467" i="26"/>
  <c r="AY467" i="26" s="1"/>
  <c r="AV468" i="26"/>
  <c r="BA468" i="26"/>
  <c r="AY468" i="26" s="1"/>
  <c r="AV469" i="26"/>
  <c r="AV470" i="26"/>
  <c r="BA470" i="26"/>
  <c r="AY470" i="26"/>
  <c r="AV471" i="26"/>
  <c r="BA471" i="26"/>
  <c r="AY471" i="26" s="1"/>
  <c r="AV472" i="26"/>
  <c r="BA472" i="26"/>
  <c r="AY472" i="26" s="1"/>
  <c r="AV473" i="26"/>
  <c r="AV474" i="26"/>
  <c r="BA474" i="26"/>
  <c r="AY474" i="26"/>
  <c r="AV475" i="26"/>
  <c r="BA475" i="26"/>
  <c r="AY475" i="26" s="1"/>
  <c r="AV476" i="26"/>
  <c r="BA476" i="26"/>
  <c r="AY476" i="26" s="1"/>
  <c r="AV477" i="26"/>
  <c r="AV478" i="26"/>
  <c r="BA478" i="26"/>
  <c r="AY478" i="26"/>
  <c r="AV479" i="26"/>
  <c r="BA479" i="26"/>
  <c r="AY479" i="26" s="1"/>
  <c r="AV480" i="26"/>
  <c r="BA480" i="26"/>
  <c r="AY480" i="26" s="1"/>
  <c r="AV481" i="26"/>
  <c r="AV482" i="26"/>
  <c r="BA482" i="26"/>
  <c r="AY482" i="26"/>
  <c r="AV483" i="26"/>
  <c r="BA483" i="26"/>
  <c r="AY483" i="26" s="1"/>
  <c r="AV484" i="26"/>
  <c r="BA484" i="26"/>
  <c r="AY484" i="26" s="1"/>
  <c r="AV485" i="26"/>
  <c r="AV486" i="26"/>
  <c r="BA486" i="26"/>
  <c r="AY486" i="26"/>
  <c r="AV487" i="26"/>
  <c r="BA487" i="26"/>
  <c r="AY487" i="26" s="1"/>
  <c r="AV488" i="26"/>
  <c r="BA488" i="26"/>
  <c r="AY488" i="26" s="1"/>
  <c r="AV489" i="26"/>
  <c r="BA489" i="26"/>
  <c r="AY489" i="26" s="1"/>
  <c r="AV490" i="26"/>
  <c r="BA490" i="26"/>
  <c r="AY490" i="26"/>
  <c r="AV491" i="26"/>
  <c r="BA491" i="26"/>
  <c r="AY491" i="26" s="1"/>
  <c r="AV492" i="26"/>
  <c r="BA492" i="26"/>
  <c r="AY492" i="26" s="1"/>
  <c r="AV493" i="26"/>
  <c r="AV494" i="26"/>
  <c r="BA494" i="26"/>
  <c r="AY494" i="26"/>
  <c r="AV495" i="26"/>
  <c r="BA495" i="26"/>
  <c r="AY495" i="26" s="1"/>
  <c r="AV496" i="26"/>
  <c r="BA496" i="26"/>
  <c r="AY496" i="26" s="1"/>
  <c r="AV497" i="26"/>
  <c r="BA497" i="26"/>
  <c r="AY497" i="26" s="1"/>
  <c r="AV498" i="26"/>
  <c r="BA498" i="26"/>
  <c r="AY498" i="26"/>
  <c r="AV499" i="26"/>
  <c r="BA499" i="26"/>
  <c r="AY499" i="26" s="1"/>
  <c r="AV500" i="26"/>
  <c r="BA500" i="26"/>
  <c r="AY500" i="26" s="1"/>
  <c r="AV501" i="26"/>
  <c r="AV502" i="26"/>
  <c r="BA502" i="26"/>
  <c r="AY502" i="26"/>
  <c r="AV503" i="26"/>
  <c r="BA503" i="26"/>
  <c r="AY503" i="26" s="1"/>
  <c r="AV504" i="26"/>
  <c r="BA504" i="26"/>
  <c r="AY504" i="26" s="1"/>
  <c r="AV505" i="26"/>
  <c r="BA505" i="26"/>
  <c r="AY505" i="26" s="1"/>
  <c r="AV506" i="26"/>
  <c r="BA506" i="26"/>
  <c r="AY506" i="26"/>
  <c r="AV507" i="26"/>
  <c r="BA507" i="26"/>
  <c r="AY507" i="26" s="1"/>
  <c r="AV508" i="26"/>
  <c r="BA508" i="26"/>
  <c r="AY508" i="26" s="1"/>
  <c r="BA509" i="26"/>
  <c r="AY509" i="26" s="1"/>
  <c r="BA510" i="26"/>
  <c r="AY510" i="26" s="1"/>
  <c r="M15" i="13"/>
  <c r="J22" i="13" s="1"/>
  <c r="T4" i="13"/>
  <c r="D13" i="13"/>
  <c r="D22" i="13"/>
  <c r="D19" i="13"/>
  <c r="D10" i="13"/>
  <c r="I11" i="13"/>
  <c r="AB19" i="21"/>
  <c r="AA23" i="21"/>
  <c r="Z25" i="21" s="1"/>
  <c r="Z28" i="21" s="1"/>
  <c r="AJ63" i="21"/>
  <c r="AJ64" i="21"/>
  <c r="AJ65" i="21" s="1"/>
  <c r="AJ66" i="21" s="1"/>
  <c r="AJ67" i="21" s="1"/>
  <c r="AJ68" i="21" s="1"/>
  <c r="AJ69" i="21" s="1"/>
  <c r="AJ70" i="21" s="1"/>
  <c r="AJ71" i="21" s="1"/>
  <c r="AJ72" i="21" s="1"/>
  <c r="AJ73" i="21" s="1"/>
  <c r="AJ74" i="21" s="1"/>
  <c r="AJ75" i="21" s="1"/>
  <c r="AJ76" i="21" s="1"/>
  <c r="AJ77" i="21" s="1"/>
  <c r="AJ78" i="21" s="1"/>
  <c r="AJ79" i="21" s="1"/>
  <c r="AJ80" i="21" s="1"/>
  <c r="AJ81" i="21" s="1"/>
  <c r="AJ82" i="21" s="1"/>
  <c r="AJ83" i="21" s="1"/>
  <c r="AJ84" i="21" s="1"/>
  <c r="AJ85" i="21" s="1"/>
  <c r="AJ86" i="21" s="1"/>
  <c r="AJ87" i="21" s="1"/>
  <c r="AJ88" i="21" s="1"/>
  <c r="AJ89" i="21" s="1"/>
  <c r="AJ90" i="21" s="1"/>
  <c r="AJ91" i="21" s="1"/>
  <c r="AJ92" i="21" s="1"/>
  <c r="AJ93" i="21" s="1"/>
  <c r="AJ94" i="21" s="1"/>
  <c r="AJ95" i="21" s="1"/>
  <c r="AJ96" i="21" s="1"/>
  <c r="AJ97" i="21" s="1"/>
  <c r="AJ98" i="21" s="1"/>
  <c r="AJ99" i="21" s="1"/>
  <c r="AJ100" i="21" s="1"/>
  <c r="AJ101" i="21" s="1"/>
  <c r="AJ102" i="21" s="1"/>
  <c r="AJ103" i="21" s="1"/>
  <c r="AJ104" i="21" s="1"/>
  <c r="AJ105" i="21" s="1"/>
  <c r="AJ106" i="21" s="1"/>
  <c r="AJ107" i="21" s="1"/>
  <c r="AJ108" i="21" s="1"/>
  <c r="AJ109" i="21" s="1"/>
  <c r="AJ110" i="21" s="1"/>
  <c r="AJ111" i="21" s="1"/>
  <c r="AJ112" i="21" s="1"/>
  <c r="AJ113" i="21" s="1"/>
  <c r="AJ114" i="21" s="1"/>
  <c r="AJ115" i="21" s="1"/>
  <c r="AJ116" i="21" s="1"/>
  <c r="AJ117" i="21" s="1"/>
  <c r="AJ118" i="21" s="1"/>
  <c r="AJ119" i="21" s="1"/>
  <c r="AJ120" i="21" s="1"/>
  <c r="AJ121" i="21" s="1"/>
  <c r="AJ122" i="21" s="1"/>
  <c r="AJ123" i="21" s="1"/>
  <c r="AJ124" i="21" s="1"/>
  <c r="AJ125" i="21" s="1"/>
  <c r="AJ126" i="21" s="1"/>
  <c r="AJ127" i="21" s="1"/>
  <c r="AJ128" i="21" s="1"/>
  <c r="AJ129" i="21" s="1"/>
  <c r="AJ130" i="21" s="1"/>
  <c r="AJ131" i="21" s="1"/>
  <c r="AJ132" i="21" s="1"/>
  <c r="AJ133" i="21" s="1"/>
  <c r="AJ134" i="21" s="1"/>
  <c r="AJ135" i="21" s="1"/>
  <c r="AJ136" i="21" s="1"/>
  <c r="AJ137" i="21" s="1"/>
  <c r="AJ138" i="21" s="1"/>
  <c r="AJ139" i="21" s="1"/>
  <c r="AJ140" i="21" s="1"/>
  <c r="AJ141" i="21" s="1"/>
  <c r="AJ142" i="21" s="1"/>
  <c r="AJ143" i="21" s="1"/>
  <c r="AJ144" i="21" s="1"/>
  <c r="AJ145" i="21" s="1"/>
  <c r="AJ146" i="21" s="1"/>
  <c r="AJ147" i="21" s="1"/>
  <c r="AJ148" i="21" s="1"/>
  <c r="AJ149" i="21" s="1"/>
  <c r="AJ150" i="21" s="1"/>
  <c r="AJ151" i="21" s="1"/>
  <c r="AJ152" i="21" s="1"/>
  <c r="AJ153" i="21" s="1"/>
  <c r="AJ154" i="21" s="1"/>
  <c r="AJ155" i="21" s="1"/>
  <c r="AJ156" i="21" s="1"/>
  <c r="AJ157" i="21" s="1"/>
  <c r="AJ158" i="21" s="1"/>
  <c r="AJ159" i="21" s="1"/>
  <c r="AJ160" i="21" s="1"/>
  <c r="AJ161" i="21" s="1"/>
  <c r="AJ162" i="21" s="1"/>
  <c r="AE36" i="21"/>
  <c r="AE35" i="21"/>
  <c r="AE34" i="21"/>
  <c r="AE33" i="21"/>
  <c r="AE32" i="21"/>
  <c r="AE31" i="21"/>
  <c r="AE30" i="21"/>
  <c r="AE29" i="21"/>
  <c r="AE28" i="21"/>
  <c r="AE27" i="21"/>
  <c r="AE26" i="21"/>
  <c r="AE25" i="21"/>
  <c r="AE24" i="21"/>
  <c r="AE23" i="21"/>
  <c r="AE22" i="21"/>
  <c r="AE21" i="21"/>
  <c r="AE20" i="21"/>
  <c r="AE19" i="21"/>
  <c r="AE18" i="21"/>
  <c r="AE17" i="21"/>
  <c r="AE16" i="21"/>
  <c r="AE15" i="21"/>
  <c r="AE14" i="21"/>
  <c r="AE13" i="21"/>
  <c r="AE12" i="21"/>
  <c r="AE11" i="21"/>
  <c r="AE10" i="21"/>
  <c r="AE9" i="21"/>
  <c r="AE8" i="21"/>
  <c r="AE7" i="21"/>
  <c r="AE6" i="21"/>
  <c r="AE5" i="21"/>
  <c r="AE4" i="21"/>
  <c r="AE3" i="21"/>
  <c r="AE2" i="21"/>
  <c r="AE1" i="21"/>
  <c r="Y1" i="21"/>
  <c r="Z1" i="21"/>
  <c r="AA1" i="21"/>
  <c r="AB1" i="21"/>
  <c r="AC1" i="21"/>
  <c r="AD1" i="21"/>
  <c r="X2" i="21"/>
  <c r="X3" i="21"/>
  <c r="X4" i="21"/>
  <c r="X5" i="21"/>
  <c r="X6" i="21"/>
  <c r="X7" i="21"/>
  <c r="X8" i="21"/>
  <c r="X9" i="21"/>
  <c r="X10" i="21"/>
  <c r="X11" i="21"/>
  <c r="X12" i="21"/>
  <c r="X13" i="21"/>
  <c r="X14" i="21"/>
  <c r="X15" i="21"/>
  <c r="X16" i="21"/>
  <c r="X17" i="21"/>
  <c r="X18" i="21"/>
  <c r="X19" i="21"/>
  <c r="X20" i="21"/>
  <c r="X21" i="21"/>
  <c r="X22" i="21"/>
  <c r="X23" i="21"/>
  <c r="X24" i="21"/>
  <c r="X25" i="21"/>
  <c r="X26" i="21"/>
  <c r="X27" i="21"/>
  <c r="X28" i="21"/>
  <c r="X29" i="21"/>
  <c r="X30" i="21"/>
  <c r="X31" i="21"/>
  <c r="X32" i="21"/>
  <c r="X33" i="21"/>
  <c r="X34" i="21"/>
  <c r="X35" i="21"/>
  <c r="X36" i="21"/>
  <c r="X1" i="21"/>
  <c r="Q3" i="21"/>
  <c r="R3" i="21"/>
  <c r="AD4" i="21"/>
  <c r="U5" i="21"/>
  <c r="U6" i="21"/>
  <c r="D7" i="21"/>
  <c r="U7" i="21"/>
  <c r="L8" i="21"/>
  <c r="AF75" i="21"/>
  <c r="AF76" i="21"/>
  <c r="AF77" i="21"/>
  <c r="AF78" i="21"/>
  <c r="AF79" i="21"/>
  <c r="AF80" i="21"/>
  <c r="AF81" i="21"/>
  <c r="AF82" i="21"/>
  <c r="AF83" i="21"/>
  <c r="AF84" i="21"/>
  <c r="AF85" i="21"/>
  <c r="AF86" i="21"/>
  <c r="AF87" i="21"/>
  <c r="AF88" i="21"/>
  <c r="AF89" i="21"/>
  <c r="AF90" i="21"/>
  <c r="AF91" i="21"/>
  <c r="AF92" i="21"/>
  <c r="AF93" i="21"/>
  <c r="AF94" i="21"/>
  <c r="AF95" i="21"/>
  <c r="AF96" i="21"/>
  <c r="AF97" i="21"/>
  <c r="AF98" i="21"/>
  <c r="AF99" i="21"/>
  <c r="AF100" i="21"/>
  <c r="AF101" i="21"/>
  <c r="AF102" i="21"/>
  <c r="AF103" i="21"/>
  <c r="AF104" i="21"/>
  <c r="AF105" i="21"/>
  <c r="AF106" i="21"/>
  <c r="AF107" i="21"/>
  <c r="AF108" i="21"/>
  <c r="AF109" i="21"/>
  <c r="AF110" i="21"/>
  <c r="AF111" i="21"/>
  <c r="AF112" i="21"/>
  <c r="AF113" i="21"/>
  <c r="AF114" i="21"/>
  <c r="AF115" i="21"/>
  <c r="AF116" i="21"/>
  <c r="AF117" i="21"/>
  <c r="AF118" i="21"/>
  <c r="AF119" i="21"/>
  <c r="AF120" i="21"/>
  <c r="AF121" i="21"/>
  <c r="AF122" i="21"/>
  <c r="AF123" i="21"/>
  <c r="AF124" i="21"/>
  <c r="AF125" i="21"/>
  <c r="AF126" i="21"/>
  <c r="AF127" i="21"/>
  <c r="AF128" i="21"/>
  <c r="AF129" i="21"/>
  <c r="AF130" i="21"/>
  <c r="AF131" i="21"/>
  <c r="AF132" i="21"/>
  <c r="AF133" i="21"/>
  <c r="AF134" i="21"/>
  <c r="AF135" i="21"/>
  <c r="AF136" i="21"/>
  <c r="AF137" i="21"/>
  <c r="AF138" i="21"/>
  <c r="AF139" i="21"/>
  <c r="AF140" i="21"/>
  <c r="AF141" i="21"/>
  <c r="AF142" i="21"/>
  <c r="AF143" i="21"/>
  <c r="AF144" i="21"/>
  <c r="AF145" i="21"/>
  <c r="AF146" i="21"/>
  <c r="AF147" i="21"/>
  <c r="AF148" i="21"/>
  <c r="AF149" i="21"/>
  <c r="AF150" i="21"/>
  <c r="AF151" i="21"/>
  <c r="AF152" i="21"/>
  <c r="AF153" i="21"/>
  <c r="AF154" i="21"/>
  <c r="AF155" i="21"/>
  <c r="AF156" i="21"/>
  <c r="AF157" i="21"/>
  <c r="AF158" i="21"/>
  <c r="AF159" i="21"/>
  <c r="AF160" i="21"/>
  <c r="AF161" i="21"/>
  <c r="AF162" i="21"/>
  <c r="AA33" i="21"/>
  <c r="AC33" i="21"/>
  <c r="AD33" i="21"/>
  <c r="J31" i="21"/>
  <c r="AA60" i="21"/>
  <c r="AB60" i="21"/>
  <c r="Z61" i="21"/>
  <c r="AL61" i="21"/>
  <c r="AM61" i="21"/>
  <c r="AO61" i="21"/>
  <c r="AP61" i="21"/>
  <c r="V1" i="19"/>
  <c r="W1" i="19"/>
  <c r="X1" i="19"/>
  <c r="Y1" i="19"/>
  <c r="Z1" i="19"/>
  <c r="AA1" i="19"/>
  <c r="AB1" i="19"/>
  <c r="V2" i="19"/>
  <c r="AB2" i="19"/>
  <c r="P3" i="19"/>
  <c r="S3" i="19"/>
  <c r="V3" i="19"/>
  <c r="AB3" i="19"/>
  <c r="AY3" i="19"/>
  <c r="T4" i="19"/>
  <c r="V4" i="19"/>
  <c r="AB4" i="19"/>
  <c r="T5" i="19"/>
  <c r="V5" i="19"/>
  <c r="AB5" i="19"/>
  <c r="T6" i="19"/>
  <c r="V6" i="19"/>
  <c r="AB6" i="19"/>
  <c r="B7" i="19"/>
  <c r="S7" i="19"/>
  <c r="V7" i="19"/>
  <c r="AB7" i="19"/>
  <c r="L8" i="19"/>
  <c r="V8" i="19"/>
  <c r="AB8" i="19"/>
  <c r="S9" i="19"/>
  <c r="V9" i="19"/>
  <c r="AB9" i="19"/>
  <c r="S11" i="19"/>
  <c r="V10" i="19"/>
  <c r="AB10" i="19"/>
  <c r="V11" i="19"/>
  <c r="AB11" i="19"/>
  <c r="V12" i="19"/>
  <c r="AB12" i="19"/>
  <c r="V13" i="19"/>
  <c r="AB13" i="19"/>
  <c r="V14" i="19"/>
  <c r="AB14" i="19"/>
  <c r="T16" i="19"/>
  <c r="V15" i="19"/>
  <c r="AB15" i="19"/>
  <c r="V16" i="19"/>
  <c r="AB16" i="19"/>
  <c r="V17" i="19"/>
  <c r="AB17" i="19"/>
  <c r="V18" i="19"/>
  <c r="AB18" i="19"/>
  <c r="V19" i="19"/>
  <c r="AB19" i="19"/>
  <c r="V20" i="19"/>
  <c r="AB20" i="19"/>
  <c r="V21" i="19"/>
  <c r="AB21" i="19"/>
  <c r="V22" i="19"/>
  <c r="AB22" i="19"/>
  <c r="V23" i="19"/>
  <c r="AB23" i="19"/>
  <c r="V24" i="19"/>
  <c r="AB24" i="19"/>
  <c r="V25" i="19"/>
  <c r="AB25" i="19"/>
  <c r="V26" i="19"/>
  <c r="AB26" i="19"/>
  <c r="V27" i="19"/>
  <c r="AB27" i="19"/>
  <c r="V28" i="19"/>
  <c r="AB28" i="19"/>
  <c r="V29" i="19"/>
  <c r="AB29" i="19"/>
  <c r="V30" i="19"/>
  <c r="AB30" i="19"/>
  <c r="V31" i="19"/>
  <c r="AB31" i="19"/>
  <c r="V32" i="19"/>
  <c r="AB32" i="19"/>
  <c r="V33" i="19"/>
  <c r="AB33" i="19"/>
  <c r="V34" i="19"/>
  <c r="AB34" i="19"/>
  <c r="V35" i="19"/>
  <c r="AB35" i="19"/>
  <c r="V36" i="19"/>
  <c r="AB36" i="19"/>
  <c r="V37" i="19"/>
  <c r="AB37" i="19"/>
  <c r="AA55" i="19"/>
  <c r="AB55" i="19"/>
  <c r="W56" i="19"/>
  <c r="U1" i="18"/>
  <c r="U18" i="18" s="1"/>
  <c r="AI3" i="18"/>
  <c r="J7" i="18"/>
  <c r="U14" i="18"/>
  <c r="N15" i="18"/>
  <c r="P15" i="18"/>
  <c r="P20" i="18"/>
  <c r="Q17" i="18"/>
  <c r="Q18" i="18"/>
  <c r="Q20" i="18"/>
  <c r="P23" i="18"/>
  <c r="P25" i="18"/>
  <c r="U30" i="18"/>
  <c r="U34" i="18"/>
  <c r="N53" i="18"/>
  <c r="P53" i="18"/>
  <c r="N54" i="18"/>
  <c r="P54" i="18"/>
  <c r="N55" i="18"/>
  <c r="P55" i="18"/>
  <c r="W57" i="18"/>
  <c r="N56" i="18"/>
  <c r="P56" i="18"/>
  <c r="N57" i="18"/>
  <c r="P57" i="18"/>
  <c r="N58" i="18"/>
  <c r="P58" i="18"/>
  <c r="N59" i="18"/>
  <c r="P59" i="18"/>
  <c r="N60" i="18"/>
  <c r="P60" i="18"/>
  <c r="N61" i="18"/>
  <c r="P61" i="18"/>
  <c r="W58" i="18"/>
  <c r="X58" i="18"/>
  <c r="N62" i="18"/>
  <c r="P62" i="18"/>
  <c r="N63" i="18"/>
  <c r="P63" i="18"/>
  <c r="N64" i="18"/>
  <c r="P64" i="18"/>
  <c r="N65" i="18"/>
  <c r="P65" i="18"/>
  <c r="N66" i="18"/>
  <c r="P66" i="18"/>
  <c r="N67" i="18"/>
  <c r="P67" i="18"/>
  <c r="N68" i="18"/>
  <c r="P68" i="18"/>
  <c r="N69" i="18"/>
  <c r="P69" i="18"/>
  <c r="N70" i="18"/>
  <c r="P70" i="18"/>
  <c r="N71" i="18"/>
  <c r="P71" i="18"/>
  <c r="N72" i="18"/>
  <c r="P72" i="18"/>
  <c r="W69" i="18"/>
  <c r="N73" i="18"/>
  <c r="P73" i="18"/>
  <c r="N74" i="18"/>
  <c r="P74" i="18"/>
  <c r="N75" i="18"/>
  <c r="P75" i="18"/>
  <c r="N76" i="18"/>
  <c r="P76" i="18"/>
  <c r="N77" i="18"/>
  <c r="P77" i="18"/>
  <c r="N78" i="18"/>
  <c r="P78" i="18"/>
  <c r="N79" i="18"/>
  <c r="P79" i="18"/>
  <c r="N80" i="18"/>
  <c r="P80" i="18"/>
  <c r="N81" i="18"/>
  <c r="P81" i="18"/>
  <c r="N82" i="18"/>
  <c r="P82" i="18"/>
  <c r="N83" i="18"/>
  <c r="P83" i="18"/>
  <c r="N84" i="18"/>
  <c r="P84" i="18"/>
  <c r="N85" i="18"/>
  <c r="P85" i="18"/>
  <c r="N86" i="18"/>
  <c r="P86" i="18"/>
  <c r="N87" i="18"/>
  <c r="P87" i="18"/>
  <c r="N88" i="18"/>
  <c r="P88" i="18"/>
  <c r="N89" i="18"/>
  <c r="P89" i="18"/>
  <c r="N90" i="18"/>
  <c r="P90" i="18"/>
  <c r="N91" i="18"/>
  <c r="P91" i="18"/>
  <c r="N92" i="18"/>
  <c r="P92" i="18"/>
  <c r="N93" i="18"/>
  <c r="P93" i="18"/>
  <c r="N94" i="18"/>
  <c r="P94" i="18"/>
  <c r="N95" i="18"/>
  <c r="P95" i="18"/>
  <c r="N96" i="18"/>
  <c r="P96" i="18"/>
  <c r="N97" i="18"/>
  <c r="P97" i="18"/>
  <c r="N98" i="18"/>
  <c r="P98" i="18"/>
  <c r="N99" i="18"/>
  <c r="P99" i="18"/>
  <c r="N100" i="18"/>
  <c r="P100" i="18"/>
  <c r="N101" i="18"/>
  <c r="P101" i="18"/>
  <c r="N102" i="18"/>
  <c r="P102" i="18"/>
  <c r="N103" i="18"/>
  <c r="P103" i="18"/>
  <c r="N104" i="18"/>
  <c r="P104" i="18"/>
  <c r="N105" i="18"/>
  <c r="P105" i="18"/>
  <c r="N106" i="18"/>
  <c r="P106" i="18"/>
  <c r="N107" i="18"/>
  <c r="P107" i="18"/>
  <c r="N108" i="18"/>
  <c r="P108" i="18"/>
  <c r="N109" i="18"/>
  <c r="P109" i="18"/>
  <c r="N110" i="18"/>
  <c r="P110" i="18"/>
  <c r="N111" i="18"/>
  <c r="P111" i="18"/>
  <c r="N112" i="18"/>
  <c r="P112" i="18"/>
  <c r="N113" i="18"/>
  <c r="P113" i="18"/>
  <c r="N114" i="18"/>
  <c r="P114" i="18"/>
  <c r="N115" i="18"/>
  <c r="P115" i="18"/>
  <c r="N116" i="18"/>
  <c r="P116" i="18"/>
  <c r="N117" i="18"/>
  <c r="P117" i="18"/>
  <c r="N118" i="18"/>
  <c r="P118" i="18"/>
  <c r="N119" i="18"/>
  <c r="P119" i="18"/>
  <c r="N120" i="18"/>
  <c r="P120" i="18"/>
  <c r="N121" i="18"/>
  <c r="P121" i="18"/>
  <c r="N122" i="18"/>
  <c r="P122" i="18"/>
  <c r="N123" i="18"/>
  <c r="P123" i="18"/>
  <c r="N124" i="18"/>
  <c r="P124" i="18"/>
  <c r="N125" i="18"/>
  <c r="P125" i="18"/>
  <c r="N126" i="18"/>
  <c r="P126" i="18"/>
  <c r="N127" i="18"/>
  <c r="P127" i="18"/>
  <c r="N128" i="18"/>
  <c r="P128" i="18"/>
  <c r="N129" i="18"/>
  <c r="P129" i="18"/>
  <c r="N130" i="18"/>
  <c r="P130" i="18"/>
  <c r="N131" i="18"/>
  <c r="P131" i="18"/>
  <c r="N132" i="18"/>
  <c r="P132" i="18"/>
  <c r="N133" i="18"/>
  <c r="P133" i="18"/>
  <c r="N134" i="18"/>
  <c r="P134" i="18"/>
  <c r="N135" i="18"/>
  <c r="P135" i="18"/>
  <c r="N136" i="18"/>
  <c r="P136" i="18"/>
  <c r="N137" i="18"/>
  <c r="P137" i="18"/>
  <c r="N138" i="18"/>
  <c r="P138" i="18"/>
  <c r="N139" i="18"/>
  <c r="P139" i="18"/>
  <c r="N140" i="18"/>
  <c r="P140" i="18"/>
  <c r="N141" i="18"/>
  <c r="P141" i="18"/>
  <c r="N142" i="18"/>
  <c r="P142" i="18"/>
  <c r="N143" i="18"/>
  <c r="P143" i="18"/>
  <c r="N144" i="18"/>
  <c r="P144" i="18"/>
  <c r="N145" i="18"/>
  <c r="P145" i="18"/>
  <c r="N146" i="18"/>
  <c r="P146" i="18"/>
  <c r="N147" i="18"/>
  <c r="P147" i="18"/>
  <c r="N148" i="18"/>
  <c r="P148" i="18"/>
  <c r="N149" i="18"/>
  <c r="P149" i="18"/>
  <c r="N150" i="18"/>
  <c r="P150" i="18"/>
  <c r="N151" i="18"/>
  <c r="P151" i="18"/>
  <c r="N152" i="18"/>
  <c r="P152" i="18"/>
  <c r="AJ5" i="13"/>
  <c r="AK9" i="13"/>
  <c r="AJ4" i="13"/>
  <c r="AL7" i="13"/>
  <c r="I12" i="13"/>
  <c r="AP6" i="13"/>
  <c r="M36" i="13"/>
  <c r="AP7" i="13"/>
  <c r="AI9" i="13"/>
  <c r="L34" i="13" s="1"/>
  <c r="L35" i="13" s="1"/>
  <c r="AJ9" i="13"/>
  <c r="AI10" i="13"/>
  <c r="AJ10" i="13"/>
  <c r="AI11" i="13"/>
  <c r="AJ11" i="13"/>
  <c r="AI12" i="13"/>
  <c r="AJ12" i="13"/>
  <c r="H13" i="13"/>
  <c r="AI13" i="13"/>
  <c r="AJ13" i="13"/>
  <c r="AI14" i="13"/>
  <c r="AJ14" i="13"/>
  <c r="AI15" i="13"/>
  <c r="AJ15" i="13"/>
  <c r="J16" i="13"/>
  <c r="AI16" i="13"/>
  <c r="AJ16" i="13"/>
  <c r="H24" i="13"/>
  <c r="H26" i="13" s="1"/>
  <c r="AI17" i="13"/>
  <c r="AJ17" i="13"/>
  <c r="J18" i="13"/>
  <c r="AI18" i="13"/>
  <c r="AJ18" i="13"/>
  <c r="AI19" i="13"/>
  <c r="AJ19" i="13"/>
  <c r="AI20" i="13"/>
  <c r="AJ20" i="13"/>
  <c r="AI21" i="13"/>
  <c r="AJ21" i="13"/>
  <c r="H22" i="13"/>
  <c r="I22" i="13"/>
  <c r="AI22" i="13"/>
  <c r="AJ22" i="13"/>
  <c r="AI23" i="13"/>
  <c r="AJ23" i="13"/>
  <c r="J24" i="13"/>
  <c r="J25" i="13" s="1"/>
  <c r="J26" i="13" s="1"/>
  <c r="J27" i="13" s="1"/>
  <c r="J28" i="13" s="1"/>
  <c r="J29" i="13" s="1"/>
  <c r="J30" i="13" s="1"/>
  <c r="J31" i="13" s="1"/>
  <c r="J32" i="13" s="1"/>
  <c r="J33" i="13" s="1"/>
  <c r="J34" i="13" s="1"/>
  <c r="J35" i="13" s="1"/>
  <c r="J36" i="13" s="1"/>
  <c r="AI24" i="13"/>
  <c r="AJ24" i="13"/>
  <c r="AI25" i="13"/>
  <c r="AJ25" i="13"/>
  <c r="L26" i="13"/>
  <c r="AI26" i="13"/>
  <c r="AJ26" i="13"/>
  <c r="H27" i="13"/>
  <c r="L27" i="13"/>
  <c r="AI27" i="13"/>
  <c r="AJ27" i="13"/>
  <c r="AI28" i="13"/>
  <c r="AJ28" i="13"/>
  <c r="AI29" i="13"/>
  <c r="AJ29" i="13"/>
  <c r="H30" i="13"/>
  <c r="M30" i="13"/>
  <c r="N30" i="13"/>
  <c r="AI30" i="13"/>
  <c r="AJ30" i="13"/>
  <c r="M31" i="13"/>
  <c r="N31" i="13"/>
  <c r="AI31" i="13"/>
  <c r="AJ31" i="13"/>
  <c r="H32" i="13"/>
  <c r="N32" i="13"/>
  <c r="AI32" i="13"/>
  <c r="AJ32" i="13"/>
  <c r="AI33" i="13"/>
  <c r="AJ33" i="13"/>
  <c r="AI34" i="13"/>
  <c r="AJ34" i="13"/>
  <c r="H35" i="13"/>
  <c r="AI35" i="13"/>
  <c r="AJ35" i="13"/>
  <c r="L36" i="13"/>
  <c r="L37" i="13" s="1"/>
  <c r="AI36" i="13"/>
  <c r="AJ36" i="13"/>
  <c r="AI37" i="13"/>
  <c r="AJ37" i="13"/>
  <c r="AI38" i="13"/>
  <c r="AJ38" i="13"/>
  <c r="AI39" i="13"/>
  <c r="AJ39" i="13"/>
  <c r="AI40" i="13"/>
  <c r="AJ40" i="13"/>
  <c r="AI41" i="13"/>
  <c r="AJ41" i="13"/>
  <c r="AI42" i="13"/>
  <c r="AJ42" i="13"/>
  <c r="AI43" i="13"/>
  <c r="AJ43" i="13"/>
  <c r="AI44" i="13"/>
  <c r="AJ44" i="13"/>
  <c r="AI45" i="13"/>
  <c r="AJ45" i="13"/>
  <c r="AI46" i="13"/>
  <c r="AJ46" i="13"/>
  <c r="AI47" i="13"/>
  <c r="AJ47" i="13"/>
  <c r="AI48" i="13"/>
  <c r="AJ48" i="13"/>
  <c r="AI49" i="13"/>
  <c r="AJ49" i="13"/>
  <c r="AI50" i="13"/>
  <c r="AJ50" i="13"/>
  <c r="AI51" i="13"/>
  <c r="AJ51" i="13"/>
  <c r="AI52" i="13"/>
  <c r="AJ52" i="13"/>
  <c r="AI53" i="13"/>
  <c r="AJ53" i="13"/>
  <c r="AI54" i="13"/>
  <c r="AJ54" i="13"/>
  <c r="AI55" i="13"/>
  <c r="AJ55" i="13"/>
  <c r="AI56" i="13"/>
  <c r="AJ56" i="13"/>
  <c r="AI57" i="13"/>
  <c r="AJ57" i="13"/>
  <c r="AI58" i="13"/>
  <c r="AJ58" i="13"/>
  <c r="AI59" i="13"/>
  <c r="AJ59" i="13"/>
  <c r="AI60" i="13"/>
  <c r="AJ60" i="13"/>
  <c r="AI61" i="13"/>
  <c r="AJ61" i="13"/>
  <c r="AI62" i="13"/>
  <c r="AJ62" i="13"/>
  <c r="AI63" i="13"/>
  <c r="AJ63" i="13"/>
  <c r="AI64" i="13"/>
  <c r="AJ64" i="13"/>
  <c r="AI65" i="13"/>
  <c r="AJ65" i="13"/>
  <c r="AI66" i="13"/>
  <c r="AJ66" i="13"/>
  <c r="AI67" i="13"/>
  <c r="AJ67" i="13"/>
  <c r="AI68" i="13"/>
  <c r="AJ68" i="13"/>
  <c r="AI69" i="13"/>
  <c r="AJ69" i="13"/>
  <c r="AI70" i="13"/>
  <c r="AJ70" i="13"/>
  <c r="AI71" i="13"/>
  <c r="AJ71" i="13"/>
  <c r="AI72" i="13"/>
  <c r="AJ72" i="13"/>
  <c r="AI73" i="13"/>
  <c r="AJ73" i="13"/>
  <c r="AI74" i="13"/>
  <c r="AJ74" i="13"/>
  <c r="AI75" i="13"/>
  <c r="AJ75" i="13"/>
  <c r="AI76" i="13"/>
  <c r="AJ76" i="13"/>
  <c r="AI77" i="13"/>
  <c r="AJ77" i="13"/>
  <c r="AI78" i="13"/>
  <c r="AJ78" i="13"/>
  <c r="AI79" i="13"/>
  <c r="AJ79" i="13"/>
  <c r="AI80" i="13"/>
  <c r="AJ80" i="13"/>
  <c r="AI81" i="13"/>
  <c r="AJ81" i="13"/>
  <c r="AI82" i="13"/>
  <c r="AJ82" i="13"/>
  <c r="AI83" i="13"/>
  <c r="AJ83" i="13"/>
  <c r="AI84" i="13"/>
  <c r="AJ84" i="13"/>
  <c r="AI85" i="13"/>
  <c r="AJ85" i="13"/>
  <c r="AI86" i="13"/>
  <c r="AJ86" i="13"/>
  <c r="AI87" i="13"/>
  <c r="AJ87" i="13"/>
  <c r="AI88" i="13"/>
  <c r="AJ88" i="13"/>
  <c r="AI89" i="13"/>
  <c r="AJ89" i="13"/>
  <c r="AI90" i="13"/>
  <c r="AJ90" i="13"/>
  <c r="AI91" i="13"/>
  <c r="AJ91" i="13"/>
  <c r="AI92" i="13"/>
  <c r="AJ92" i="13"/>
  <c r="AI93" i="13"/>
  <c r="AJ93" i="13"/>
  <c r="AI94" i="13"/>
  <c r="AJ94" i="13"/>
  <c r="AI95" i="13"/>
  <c r="AJ95" i="13"/>
  <c r="AI96" i="13"/>
  <c r="AJ96" i="13"/>
  <c r="AI97" i="13"/>
  <c r="AJ97" i="13"/>
  <c r="AI98" i="13"/>
  <c r="AJ98" i="13"/>
  <c r="AI99" i="13"/>
  <c r="AJ99" i="13"/>
  <c r="AI100" i="13"/>
  <c r="AJ100" i="13"/>
  <c r="AI101" i="13"/>
  <c r="AJ101" i="13"/>
  <c r="AI102" i="13"/>
  <c r="AJ102" i="13"/>
  <c r="AI103" i="13"/>
  <c r="AJ103" i="13"/>
  <c r="AI104" i="13"/>
  <c r="AJ104" i="13"/>
  <c r="AI105" i="13"/>
  <c r="AJ105" i="13"/>
  <c r="AI106" i="13"/>
  <c r="AJ106" i="13"/>
  <c r="AI107" i="13"/>
  <c r="AJ107" i="13"/>
  <c r="AI108" i="13"/>
  <c r="AJ108" i="13"/>
  <c r="AI109" i="13"/>
  <c r="AJ109" i="13"/>
  <c r="AI110" i="13"/>
  <c r="AJ110" i="13"/>
  <c r="AI111" i="13"/>
  <c r="AJ111" i="13"/>
  <c r="AI112" i="13"/>
  <c r="AJ112" i="13"/>
  <c r="AI113" i="13"/>
  <c r="AJ113" i="13"/>
  <c r="AI114" i="13"/>
  <c r="AJ114" i="13"/>
  <c r="AI115" i="13"/>
  <c r="AJ115" i="13"/>
  <c r="AI116" i="13"/>
  <c r="AJ116" i="13"/>
  <c r="AI117" i="13"/>
  <c r="AJ117" i="13"/>
  <c r="AI118" i="13"/>
  <c r="AJ118" i="13"/>
  <c r="AI119" i="13"/>
  <c r="AJ119" i="13"/>
  <c r="AI120" i="13"/>
  <c r="AJ120" i="13"/>
  <c r="AI121" i="13"/>
  <c r="AJ121" i="13"/>
  <c r="AI122" i="13"/>
  <c r="AJ122" i="13"/>
  <c r="AI123" i="13"/>
  <c r="AJ123" i="13"/>
  <c r="AI124" i="13"/>
  <c r="AJ124" i="13"/>
  <c r="AI125" i="13"/>
  <c r="AJ125" i="13"/>
  <c r="AI126" i="13"/>
  <c r="AJ126" i="13"/>
  <c r="AI127" i="13"/>
  <c r="AJ127" i="13"/>
  <c r="AI128" i="13"/>
  <c r="AJ128" i="13"/>
  <c r="AI129" i="13"/>
  <c r="AJ129" i="13"/>
  <c r="AI130" i="13"/>
  <c r="AJ130" i="13"/>
  <c r="AI131" i="13"/>
  <c r="AJ131" i="13"/>
  <c r="AI132" i="13"/>
  <c r="AJ132" i="13"/>
  <c r="AI133" i="13"/>
  <c r="AJ133" i="13"/>
  <c r="AI134" i="13"/>
  <c r="AJ134" i="13"/>
  <c r="AI135" i="13"/>
  <c r="AJ135" i="13"/>
  <c r="AI136" i="13"/>
  <c r="AJ136" i="13"/>
  <c r="AI137" i="13"/>
  <c r="AJ137" i="13"/>
  <c r="AI138" i="13"/>
  <c r="AJ138" i="13"/>
  <c r="AI139" i="13"/>
  <c r="AJ139" i="13"/>
  <c r="AI140" i="13"/>
  <c r="AJ140" i="13"/>
  <c r="AI141" i="13"/>
  <c r="AJ141" i="13"/>
  <c r="AI142" i="13"/>
  <c r="AJ142" i="13"/>
  <c r="AI143" i="13"/>
  <c r="AJ143" i="13"/>
  <c r="AI144" i="13"/>
  <c r="AJ144" i="13"/>
  <c r="AI145" i="13"/>
  <c r="AJ145" i="13"/>
  <c r="AI146" i="13"/>
  <c r="AJ146" i="13"/>
  <c r="AI147" i="13"/>
  <c r="AJ147" i="13"/>
  <c r="AI148" i="13"/>
  <c r="AJ148" i="13"/>
  <c r="AI149" i="13"/>
  <c r="AJ149" i="13"/>
  <c r="AI150" i="13"/>
  <c r="AJ150" i="13"/>
  <c r="AI151" i="13"/>
  <c r="AJ151" i="13"/>
  <c r="AI152" i="13"/>
  <c r="AJ152" i="13"/>
  <c r="AI153" i="13"/>
  <c r="AJ153" i="13"/>
  <c r="AI154" i="13"/>
  <c r="AJ154" i="13"/>
  <c r="AI155" i="13"/>
  <c r="AJ155" i="13"/>
  <c r="AI156" i="13"/>
  <c r="AJ156" i="13"/>
  <c r="AI157" i="13"/>
  <c r="AJ157" i="13"/>
  <c r="AI158" i="13"/>
  <c r="AJ158" i="13"/>
  <c r="AI159" i="13"/>
  <c r="AJ159" i="13"/>
  <c r="AI160" i="13"/>
  <c r="AJ160" i="13"/>
  <c r="AI161" i="13"/>
  <c r="AJ161" i="13"/>
  <c r="AI162" i="13"/>
  <c r="AJ162" i="13"/>
  <c r="AI163" i="13"/>
  <c r="AJ163" i="13"/>
  <c r="AI164" i="13"/>
  <c r="AJ164" i="13"/>
  <c r="AI165" i="13"/>
  <c r="AJ165" i="13"/>
  <c r="AI166" i="13"/>
  <c r="AJ166" i="13"/>
  <c r="AI167" i="13"/>
  <c r="AJ167" i="13"/>
  <c r="AI168" i="13"/>
  <c r="AJ168" i="13"/>
  <c r="AI169" i="13"/>
  <c r="AJ169" i="13"/>
  <c r="AI170" i="13"/>
  <c r="AJ170" i="13"/>
  <c r="AI171" i="13"/>
  <c r="AJ171" i="13"/>
  <c r="AI172" i="13"/>
  <c r="AJ172" i="13"/>
  <c r="AI173" i="13"/>
  <c r="AJ173" i="13"/>
  <c r="AI174" i="13"/>
  <c r="AJ174" i="13"/>
  <c r="AI175" i="13"/>
  <c r="AJ175" i="13"/>
  <c r="AI176" i="13"/>
  <c r="AJ176" i="13"/>
  <c r="AI177" i="13"/>
  <c r="AJ177" i="13"/>
  <c r="AI178" i="13"/>
  <c r="AJ178" i="13"/>
  <c r="AI179" i="13"/>
  <c r="AJ179" i="13"/>
  <c r="AI180" i="13"/>
  <c r="AJ180" i="13"/>
  <c r="AI181" i="13"/>
  <c r="AJ181" i="13"/>
  <c r="AI182" i="13"/>
  <c r="AJ182" i="13"/>
  <c r="AI183" i="13"/>
  <c r="AJ183" i="13"/>
  <c r="AI184" i="13"/>
  <c r="AJ184" i="13"/>
  <c r="AI185" i="13"/>
  <c r="AJ185" i="13"/>
  <c r="AI186" i="13"/>
  <c r="AJ186" i="13"/>
  <c r="AI187" i="13"/>
  <c r="AJ187" i="13"/>
  <c r="AI188" i="13"/>
  <c r="AJ188" i="13"/>
  <c r="AI189" i="13"/>
  <c r="AJ189" i="13"/>
  <c r="AI190" i="13"/>
  <c r="AJ190" i="13"/>
  <c r="AI191" i="13"/>
  <c r="AJ191" i="13"/>
  <c r="AI192" i="13"/>
  <c r="AJ192" i="13"/>
  <c r="AI193" i="13"/>
  <c r="AJ193" i="13"/>
  <c r="AI194" i="13"/>
  <c r="AJ194" i="13"/>
  <c r="AI195" i="13"/>
  <c r="AJ195" i="13"/>
  <c r="AI196" i="13"/>
  <c r="AJ196" i="13"/>
  <c r="AI197" i="13"/>
  <c r="AJ197" i="13"/>
  <c r="AI198" i="13"/>
  <c r="AJ198" i="13"/>
  <c r="AI199" i="13"/>
  <c r="AJ199" i="13"/>
  <c r="AI200" i="13"/>
  <c r="AJ200" i="13"/>
  <c r="AI201" i="13"/>
  <c r="AJ201" i="13"/>
  <c r="AI202" i="13"/>
  <c r="AJ202" i="13"/>
  <c r="AI203" i="13"/>
  <c r="AJ203" i="13"/>
  <c r="AI204" i="13"/>
  <c r="AJ204" i="13"/>
  <c r="AI205" i="13"/>
  <c r="AJ205" i="13"/>
  <c r="AI206" i="13"/>
  <c r="AJ206" i="13"/>
  <c r="AI207" i="13"/>
  <c r="AJ207" i="13"/>
  <c r="AI208" i="13"/>
  <c r="AJ208" i="13"/>
  <c r="AI209" i="13"/>
  <c r="AJ209" i="13"/>
  <c r="AI210" i="13"/>
  <c r="AJ210" i="13"/>
  <c r="AI211" i="13"/>
  <c r="AJ211" i="13"/>
  <c r="AI212" i="13"/>
  <c r="AJ212" i="13"/>
  <c r="AI213" i="13"/>
  <c r="AJ213" i="13"/>
  <c r="AI214" i="13"/>
  <c r="AJ214" i="13"/>
  <c r="AI215" i="13"/>
  <c r="AJ215" i="13"/>
  <c r="AI216" i="13"/>
  <c r="AJ216" i="13"/>
  <c r="AI217" i="13"/>
  <c r="AJ217" i="13"/>
  <c r="AI218" i="13"/>
  <c r="AJ218" i="13"/>
  <c r="AI219" i="13"/>
  <c r="AJ219" i="13"/>
  <c r="AI220" i="13"/>
  <c r="AJ220" i="13"/>
  <c r="AI221" i="13"/>
  <c r="AJ221" i="13"/>
  <c r="AI222" i="13"/>
  <c r="AJ222" i="13"/>
  <c r="AI223" i="13"/>
  <c r="AJ223" i="13"/>
  <c r="AI224" i="13"/>
  <c r="AJ224" i="13"/>
  <c r="AI225" i="13"/>
  <c r="AJ225" i="13"/>
  <c r="AI226" i="13"/>
  <c r="AJ226" i="13"/>
  <c r="AI227" i="13"/>
  <c r="AJ227" i="13"/>
  <c r="AI228" i="13"/>
  <c r="AJ228" i="13"/>
  <c r="AI229" i="13"/>
  <c r="AJ229" i="13"/>
  <c r="AI230" i="13"/>
  <c r="AJ230" i="13"/>
  <c r="AI231" i="13"/>
  <c r="AJ231" i="13"/>
  <c r="AI232" i="13"/>
  <c r="AJ232" i="13"/>
  <c r="AI233" i="13"/>
  <c r="AJ233" i="13"/>
  <c r="AI234" i="13"/>
  <c r="AJ234" i="13"/>
  <c r="AI235" i="13"/>
  <c r="AJ235" i="13"/>
  <c r="AI236" i="13"/>
  <c r="AJ236" i="13"/>
  <c r="AI237" i="13"/>
  <c r="AJ237" i="13"/>
  <c r="AI238" i="13"/>
  <c r="AJ238" i="13"/>
  <c r="AI239" i="13"/>
  <c r="AJ239" i="13"/>
  <c r="AI240" i="13"/>
  <c r="AJ240" i="13"/>
  <c r="AI241" i="13"/>
  <c r="AJ241" i="13"/>
  <c r="AI242" i="13"/>
  <c r="AJ242" i="13"/>
  <c r="AI243" i="13"/>
  <c r="AJ243" i="13"/>
  <c r="AI244" i="13"/>
  <c r="AJ244" i="13"/>
  <c r="AI245" i="13"/>
  <c r="AJ245" i="13"/>
  <c r="AI246" i="13"/>
  <c r="AJ246" i="13"/>
  <c r="AI247" i="13"/>
  <c r="AJ247" i="13"/>
  <c r="AI248" i="13"/>
  <c r="AJ248" i="13"/>
  <c r="AI249" i="13"/>
  <c r="AJ249" i="13"/>
  <c r="AI250" i="13"/>
  <c r="AJ250" i="13"/>
  <c r="AI251" i="13"/>
  <c r="AJ251" i="13"/>
  <c r="AI252" i="13"/>
  <c r="AJ252" i="13"/>
  <c r="AI253" i="13"/>
  <c r="AJ253" i="13"/>
  <c r="AI254" i="13"/>
  <c r="AJ254" i="13"/>
  <c r="AI255" i="13"/>
  <c r="AJ255" i="13"/>
  <c r="AI256" i="13"/>
  <c r="AJ256" i="13"/>
  <c r="AI257" i="13"/>
  <c r="AJ257" i="13"/>
  <c r="AI258" i="13"/>
  <c r="AJ258" i="13"/>
  <c r="AI259" i="13"/>
  <c r="AJ259" i="13"/>
  <c r="AI260" i="13"/>
  <c r="AJ260" i="13"/>
  <c r="AI261" i="13"/>
  <c r="AJ261" i="13"/>
  <c r="AI262" i="13"/>
  <c r="AJ262" i="13"/>
  <c r="AI263" i="13"/>
  <c r="AJ263" i="13"/>
  <c r="AI264" i="13"/>
  <c r="AJ264" i="13"/>
  <c r="AI265" i="13"/>
  <c r="AJ265" i="13"/>
  <c r="AI266" i="13"/>
  <c r="AJ266" i="13"/>
  <c r="AI267" i="13"/>
  <c r="AJ267" i="13"/>
  <c r="AI268" i="13"/>
  <c r="AJ268" i="13"/>
  <c r="AI269" i="13"/>
  <c r="AJ269" i="13"/>
  <c r="AI270" i="13"/>
  <c r="AJ270" i="13"/>
  <c r="AI271" i="13"/>
  <c r="AJ271" i="13"/>
  <c r="AI272" i="13"/>
  <c r="AJ272" i="13"/>
  <c r="AI273" i="13"/>
  <c r="AJ273" i="13"/>
  <c r="AI274" i="13"/>
  <c r="AJ274" i="13"/>
  <c r="AI275" i="13"/>
  <c r="AJ275" i="13"/>
  <c r="AI276" i="13"/>
  <c r="AJ276" i="13"/>
  <c r="AI277" i="13"/>
  <c r="AJ277" i="13"/>
  <c r="AI278" i="13"/>
  <c r="AJ278" i="13"/>
  <c r="AI279" i="13"/>
  <c r="AJ279" i="13"/>
  <c r="AI280" i="13"/>
  <c r="AJ280" i="13"/>
  <c r="AI281" i="13"/>
  <c r="AJ281" i="13"/>
  <c r="AI282" i="13"/>
  <c r="AJ282" i="13"/>
  <c r="AI283" i="13"/>
  <c r="AJ283" i="13"/>
  <c r="AI284" i="13"/>
  <c r="AJ284" i="13"/>
  <c r="AI285" i="13"/>
  <c r="AJ285" i="13"/>
  <c r="AI286" i="13"/>
  <c r="AJ286" i="13"/>
  <c r="AI287" i="13"/>
  <c r="AJ287" i="13"/>
  <c r="AI288" i="13"/>
  <c r="AJ288" i="13"/>
  <c r="AI289" i="13"/>
  <c r="AJ289" i="13"/>
  <c r="AI290" i="13"/>
  <c r="AJ290" i="13"/>
  <c r="AI291" i="13"/>
  <c r="AJ291" i="13"/>
  <c r="AI292" i="13"/>
  <c r="AJ292" i="13"/>
  <c r="AI293" i="13"/>
  <c r="AJ293" i="13"/>
  <c r="AI294" i="13"/>
  <c r="AJ294" i="13"/>
  <c r="AI295" i="13"/>
  <c r="AJ295" i="13"/>
  <c r="AI296" i="13"/>
  <c r="AJ296" i="13"/>
  <c r="AI297" i="13"/>
  <c r="AJ297" i="13"/>
  <c r="AI298" i="13"/>
  <c r="AJ298" i="13"/>
  <c r="AI299" i="13"/>
  <c r="AJ299" i="13"/>
  <c r="AI300" i="13"/>
  <c r="AJ300" i="13"/>
  <c r="AI301" i="13"/>
  <c r="AJ301" i="13"/>
  <c r="AI302" i="13"/>
  <c r="AJ302" i="13"/>
  <c r="AI303" i="13"/>
  <c r="AJ303" i="13"/>
  <c r="AI304" i="13"/>
  <c r="AJ304" i="13"/>
  <c r="AI305" i="13"/>
  <c r="AJ305" i="13"/>
  <c r="AI306" i="13"/>
  <c r="AJ306" i="13"/>
  <c r="AI307" i="13"/>
  <c r="AJ307" i="13"/>
  <c r="AI308" i="13"/>
  <c r="AJ308" i="13"/>
  <c r="AI309" i="13"/>
  <c r="AJ309" i="13"/>
  <c r="AI310" i="13"/>
  <c r="AJ310" i="13"/>
  <c r="AI311" i="13"/>
  <c r="AJ311" i="13"/>
  <c r="AI312" i="13"/>
  <c r="AJ312" i="13"/>
  <c r="AI313" i="13"/>
  <c r="AJ313" i="13"/>
  <c r="AI314" i="13"/>
  <c r="AJ314" i="13"/>
  <c r="AI315" i="13"/>
  <c r="AJ315" i="13"/>
  <c r="AI316" i="13"/>
  <c r="AJ316" i="13"/>
  <c r="AI317" i="13"/>
  <c r="AJ317" i="13"/>
  <c r="AI318" i="13"/>
  <c r="AJ318" i="13"/>
  <c r="AI319" i="13"/>
  <c r="AJ319" i="13"/>
  <c r="AI320" i="13"/>
  <c r="AJ320" i="13"/>
  <c r="AI321" i="13"/>
  <c r="AJ321" i="13"/>
  <c r="AI322" i="13"/>
  <c r="AJ322" i="13"/>
  <c r="AI323" i="13"/>
  <c r="AJ323" i="13"/>
  <c r="AI324" i="13"/>
  <c r="AJ324" i="13"/>
  <c r="AI325" i="13"/>
  <c r="AJ325" i="13"/>
  <c r="AI326" i="13"/>
  <c r="AJ326" i="13"/>
  <c r="AI327" i="13"/>
  <c r="AJ327" i="13"/>
  <c r="AI328" i="13"/>
  <c r="AJ328" i="13"/>
  <c r="AI329" i="13"/>
  <c r="AJ329" i="13"/>
  <c r="AI330" i="13"/>
  <c r="AJ330" i="13"/>
  <c r="AI331" i="13"/>
  <c r="AJ331" i="13"/>
  <c r="AI332" i="13"/>
  <c r="AJ332" i="13"/>
  <c r="AI333" i="13"/>
  <c r="AJ333" i="13"/>
  <c r="AI334" i="13"/>
  <c r="AJ334" i="13"/>
  <c r="AI335" i="13"/>
  <c r="AJ335" i="13"/>
  <c r="AI336" i="13"/>
  <c r="AJ336" i="13"/>
  <c r="AI337" i="13"/>
  <c r="AJ337" i="13"/>
  <c r="AI338" i="13"/>
  <c r="AJ338" i="13"/>
  <c r="AI339" i="13"/>
  <c r="AJ339" i="13"/>
  <c r="AI340" i="13"/>
  <c r="AJ340" i="13"/>
  <c r="AI341" i="13"/>
  <c r="AJ341" i="13"/>
  <c r="AI342" i="13"/>
  <c r="AJ342" i="13"/>
  <c r="AI343" i="13"/>
  <c r="AJ343" i="13"/>
  <c r="AI344" i="13"/>
  <c r="AJ344" i="13"/>
  <c r="AI345" i="13"/>
  <c r="AJ345" i="13"/>
  <c r="AI346" i="13"/>
  <c r="AJ346" i="13"/>
  <c r="AI347" i="13"/>
  <c r="AJ347" i="13"/>
  <c r="AI348" i="13"/>
  <c r="AJ348" i="13"/>
  <c r="AI349" i="13"/>
  <c r="AJ349" i="13"/>
  <c r="AI350" i="13"/>
  <c r="AJ350" i="13"/>
  <c r="AI351" i="13"/>
  <c r="AJ351" i="13"/>
  <c r="AI352" i="13"/>
  <c r="AJ352" i="13"/>
  <c r="AI353" i="13"/>
  <c r="AJ353" i="13"/>
  <c r="AI354" i="13"/>
  <c r="AJ354" i="13"/>
  <c r="AI355" i="13"/>
  <c r="AJ355" i="13"/>
  <c r="AI356" i="13"/>
  <c r="AJ356" i="13"/>
  <c r="AI357" i="13"/>
  <c r="AJ357" i="13"/>
  <c r="AI358" i="13"/>
  <c r="AJ358" i="13"/>
  <c r="AI359" i="13"/>
  <c r="AJ359" i="13"/>
  <c r="AI360" i="13"/>
  <c r="AJ360" i="13"/>
  <c r="AI361" i="13"/>
  <c r="AJ361" i="13"/>
  <c r="AI362" i="13"/>
  <c r="AJ362" i="13"/>
  <c r="AI363" i="13"/>
  <c r="AJ363" i="13"/>
  <c r="AI364" i="13"/>
  <c r="AJ364" i="13"/>
  <c r="AI365" i="13"/>
  <c r="AJ365" i="13"/>
  <c r="AI366" i="13"/>
  <c r="AJ366" i="13"/>
  <c r="AI367" i="13"/>
  <c r="AJ367" i="13"/>
  <c r="AI368" i="13"/>
  <c r="AJ368" i="13"/>
  <c r="AI369" i="13"/>
  <c r="AJ369" i="13"/>
  <c r="AI370" i="13"/>
  <c r="AJ370" i="13"/>
  <c r="AI371" i="13"/>
  <c r="AJ371" i="13"/>
  <c r="AI372" i="13"/>
  <c r="AJ372" i="13"/>
  <c r="AI373" i="13"/>
  <c r="AJ373" i="13"/>
  <c r="AI374" i="13"/>
  <c r="AJ374" i="13"/>
  <c r="AI375" i="13"/>
  <c r="AJ375" i="13"/>
  <c r="AI376" i="13"/>
  <c r="AJ376" i="13"/>
  <c r="AI377" i="13"/>
  <c r="AJ377" i="13"/>
  <c r="AI378" i="13"/>
  <c r="AJ378" i="13"/>
  <c r="AI379" i="13"/>
  <c r="AJ379" i="13"/>
  <c r="AI380" i="13"/>
  <c r="AJ380" i="13"/>
  <c r="AI381" i="13"/>
  <c r="AJ381" i="13"/>
  <c r="AI382" i="13"/>
  <c r="AJ382" i="13"/>
  <c r="AI383" i="13"/>
  <c r="AJ383" i="13"/>
  <c r="AI384" i="13"/>
  <c r="AJ384" i="13"/>
  <c r="AI385" i="13"/>
  <c r="AJ385" i="13"/>
  <c r="AI386" i="13"/>
  <c r="AJ386" i="13"/>
  <c r="AI387" i="13"/>
  <c r="AJ387" i="13"/>
  <c r="AI388" i="13"/>
  <c r="AJ388" i="13"/>
  <c r="AI389" i="13"/>
  <c r="AJ389" i="13"/>
  <c r="AI390" i="13"/>
  <c r="AJ390" i="13"/>
  <c r="AI391" i="13"/>
  <c r="AJ391" i="13"/>
  <c r="AI392" i="13"/>
  <c r="AJ392" i="13"/>
  <c r="AI393" i="13"/>
  <c r="AJ393" i="13"/>
  <c r="AI394" i="13"/>
  <c r="AJ394" i="13"/>
  <c r="AI395" i="13"/>
  <c r="AJ395" i="13"/>
  <c r="AI396" i="13"/>
  <c r="AJ396" i="13"/>
  <c r="AI397" i="13"/>
  <c r="AJ397" i="13"/>
  <c r="AI398" i="13"/>
  <c r="AJ398" i="13"/>
  <c r="AI399" i="13"/>
  <c r="AJ399" i="13"/>
  <c r="AI400" i="13"/>
  <c r="AJ400" i="13"/>
  <c r="AI401" i="13"/>
  <c r="AJ401" i="13"/>
  <c r="AI402" i="13"/>
  <c r="AJ402" i="13"/>
  <c r="AI403" i="13"/>
  <c r="AJ403" i="13"/>
  <c r="AI404" i="13"/>
  <c r="AJ404" i="13"/>
  <c r="AI405" i="13"/>
  <c r="AJ405" i="13"/>
  <c r="AI406" i="13"/>
  <c r="AJ406" i="13"/>
  <c r="AI407" i="13"/>
  <c r="AJ407" i="13"/>
  <c r="AI408" i="13"/>
  <c r="AJ408" i="13"/>
  <c r="AI409" i="13"/>
  <c r="AJ409" i="13"/>
  <c r="AI410" i="13"/>
  <c r="AJ410" i="13"/>
  <c r="AI411" i="13"/>
  <c r="AJ411" i="13"/>
  <c r="AI412" i="13"/>
  <c r="AJ412" i="13"/>
  <c r="AI413" i="13"/>
  <c r="AJ413" i="13"/>
  <c r="AI414" i="13"/>
  <c r="AJ414" i="13"/>
  <c r="AI415" i="13"/>
  <c r="AJ415" i="13"/>
  <c r="AI416" i="13"/>
  <c r="AJ416" i="13"/>
  <c r="AI417" i="13"/>
  <c r="AJ417" i="13"/>
  <c r="AI418" i="13"/>
  <c r="AJ418" i="13"/>
  <c r="AI419" i="13"/>
  <c r="AJ419" i="13"/>
  <c r="AI420" i="13"/>
  <c r="AJ420" i="13"/>
  <c r="AI421" i="13"/>
  <c r="AJ421" i="13"/>
  <c r="AI422" i="13"/>
  <c r="AJ422" i="13"/>
  <c r="AI423" i="13"/>
  <c r="AJ423" i="13"/>
  <c r="AI424" i="13"/>
  <c r="AJ424" i="13"/>
  <c r="AI425" i="13"/>
  <c r="AJ425" i="13"/>
  <c r="AI426" i="13"/>
  <c r="AJ426" i="13"/>
  <c r="AI427" i="13"/>
  <c r="AJ427" i="13"/>
  <c r="AI428" i="13"/>
  <c r="AJ428" i="13"/>
  <c r="AI429" i="13"/>
  <c r="AJ429" i="13"/>
  <c r="AI430" i="13"/>
  <c r="AJ430" i="13"/>
  <c r="AI431" i="13"/>
  <c r="AJ431" i="13"/>
  <c r="AI432" i="13"/>
  <c r="AJ432" i="13"/>
  <c r="AI433" i="13"/>
  <c r="AJ433" i="13"/>
  <c r="AI434" i="13"/>
  <c r="AJ434" i="13"/>
  <c r="AI435" i="13"/>
  <c r="AJ435" i="13"/>
  <c r="AI436" i="13"/>
  <c r="AJ436" i="13"/>
  <c r="AI437" i="13"/>
  <c r="AJ437" i="13"/>
  <c r="AI438" i="13"/>
  <c r="AJ438" i="13"/>
  <c r="AI439" i="13"/>
  <c r="AJ439" i="13"/>
  <c r="AI440" i="13"/>
  <c r="AJ440" i="13"/>
  <c r="AI441" i="13"/>
  <c r="AJ441" i="13"/>
  <c r="AI442" i="13"/>
  <c r="AJ442" i="13"/>
  <c r="AI443" i="13"/>
  <c r="AJ443" i="13"/>
  <c r="AI444" i="13"/>
  <c r="AJ444" i="13"/>
  <c r="AI445" i="13"/>
  <c r="AJ445" i="13"/>
  <c r="AI446" i="13"/>
  <c r="AJ446" i="13"/>
  <c r="AI447" i="13"/>
  <c r="AJ447" i="13"/>
  <c r="AI448" i="13"/>
  <c r="AJ448" i="13"/>
  <c r="AI449" i="13"/>
  <c r="AJ449" i="13"/>
  <c r="AI450" i="13"/>
  <c r="AJ450" i="13"/>
  <c r="AI451" i="13"/>
  <c r="AJ451" i="13"/>
  <c r="AI452" i="13"/>
  <c r="AJ452" i="13"/>
  <c r="AI453" i="13"/>
  <c r="AJ453" i="13"/>
  <c r="AI454" i="13"/>
  <c r="AJ454" i="13"/>
  <c r="AI455" i="13"/>
  <c r="AJ455" i="13"/>
  <c r="AI456" i="13"/>
  <c r="AJ456" i="13"/>
  <c r="AI457" i="13"/>
  <c r="AJ457" i="13"/>
  <c r="AI458" i="13"/>
  <c r="AJ458" i="13"/>
  <c r="AI459" i="13"/>
  <c r="AJ459" i="13"/>
  <c r="AI460" i="13"/>
  <c r="AJ460" i="13"/>
  <c r="AI461" i="13"/>
  <c r="AJ461" i="13"/>
  <c r="AI462" i="13"/>
  <c r="AJ462" i="13"/>
  <c r="AI463" i="13"/>
  <c r="AJ463" i="13"/>
  <c r="AI464" i="13"/>
  <c r="AJ464" i="13"/>
  <c r="AI465" i="13"/>
  <c r="AJ465" i="13"/>
  <c r="AI466" i="13"/>
  <c r="AJ466" i="13"/>
  <c r="AI467" i="13"/>
  <c r="AJ467" i="13"/>
  <c r="AI468" i="13"/>
  <c r="AJ468" i="13"/>
  <c r="AI469" i="13"/>
  <c r="AJ469" i="13"/>
  <c r="AI470" i="13"/>
  <c r="AJ470" i="13"/>
  <c r="AI471" i="13"/>
  <c r="AJ471" i="13"/>
  <c r="AI472" i="13"/>
  <c r="AJ472" i="13"/>
  <c r="AI473" i="13"/>
  <c r="AJ473" i="13"/>
  <c r="AI474" i="13"/>
  <c r="AJ474" i="13"/>
  <c r="AI475" i="13"/>
  <c r="AJ475" i="13"/>
  <c r="AI476" i="13"/>
  <c r="AJ476" i="13"/>
  <c r="AI477" i="13"/>
  <c r="AJ477" i="13"/>
  <c r="AI478" i="13"/>
  <c r="AJ478" i="13"/>
  <c r="AI479" i="13"/>
  <c r="AJ479" i="13"/>
  <c r="AI480" i="13"/>
  <c r="AJ480" i="13"/>
  <c r="AI481" i="13"/>
  <c r="AJ481" i="13"/>
  <c r="AI482" i="13"/>
  <c r="AJ482" i="13"/>
  <c r="AI483" i="13"/>
  <c r="AJ483" i="13"/>
  <c r="AI484" i="13"/>
  <c r="AJ484" i="13"/>
  <c r="AI485" i="13"/>
  <c r="AJ485" i="13"/>
  <c r="AI486" i="13"/>
  <c r="AJ486" i="13"/>
  <c r="AI487" i="13"/>
  <c r="AJ487" i="13"/>
  <c r="AI488" i="13"/>
  <c r="AJ488" i="13"/>
  <c r="AI489" i="13"/>
  <c r="AJ489" i="13"/>
  <c r="AI490" i="13"/>
  <c r="AJ490" i="13"/>
  <c r="AI491" i="13"/>
  <c r="AJ491" i="13"/>
  <c r="AI492" i="13"/>
  <c r="AJ492" i="13"/>
  <c r="AI493" i="13"/>
  <c r="AJ493" i="13"/>
  <c r="AI494" i="13"/>
  <c r="AJ494" i="13"/>
  <c r="AI495" i="13"/>
  <c r="AJ495" i="13"/>
  <c r="AI496" i="13"/>
  <c r="AJ496" i="13"/>
  <c r="AI497" i="13"/>
  <c r="AJ497" i="13"/>
  <c r="AI498" i="13"/>
  <c r="AJ498" i="13"/>
  <c r="AI499" i="13"/>
  <c r="AJ499" i="13"/>
  <c r="AI500" i="13"/>
  <c r="AJ500" i="13"/>
  <c r="AI501" i="13"/>
  <c r="AJ501" i="13"/>
  <c r="AI502" i="13"/>
  <c r="AJ502" i="13"/>
  <c r="AI503" i="13"/>
  <c r="AJ503" i="13"/>
  <c r="AI504" i="13"/>
  <c r="AJ504" i="13"/>
  <c r="AI505" i="13"/>
  <c r="AJ505" i="13"/>
  <c r="AI506" i="13"/>
  <c r="AJ506" i="13"/>
  <c r="AI507" i="13"/>
  <c r="AJ507" i="13"/>
  <c r="AI508" i="13"/>
  <c r="AJ508" i="13"/>
  <c r="AI509" i="13"/>
  <c r="AJ509" i="13"/>
  <c r="AI510" i="13"/>
  <c r="AJ510" i="13"/>
  <c r="AI511" i="13"/>
  <c r="AJ511" i="13"/>
  <c r="AI512" i="13"/>
  <c r="AJ512" i="13"/>
  <c r="AI513" i="13"/>
  <c r="AJ513" i="13"/>
  <c r="AI514" i="13"/>
  <c r="AJ514" i="13"/>
  <c r="AI515" i="13"/>
  <c r="AJ515" i="13"/>
  <c r="AI516" i="13"/>
  <c r="AJ516" i="13"/>
  <c r="AI517" i="13"/>
  <c r="AJ517" i="13"/>
  <c r="AI518" i="13"/>
  <c r="AJ518" i="13"/>
  <c r="AI519" i="13"/>
  <c r="AJ519" i="13"/>
  <c r="AI520" i="13"/>
  <c r="AJ520" i="13"/>
  <c r="AI521" i="13"/>
  <c r="AJ521" i="13"/>
  <c r="AI522" i="13"/>
  <c r="AJ522" i="13"/>
  <c r="AI523" i="13"/>
  <c r="AJ523" i="13"/>
  <c r="AI524" i="13"/>
  <c r="AJ524" i="13"/>
  <c r="AI525" i="13"/>
  <c r="AJ525" i="13"/>
  <c r="AI526" i="13"/>
  <c r="AJ526" i="13"/>
  <c r="AI527" i="13"/>
  <c r="AJ527" i="13"/>
  <c r="AI528" i="13"/>
  <c r="AJ528" i="13"/>
  <c r="AI529" i="13"/>
  <c r="AJ529" i="13"/>
  <c r="AI530" i="13"/>
  <c r="AJ530" i="13"/>
  <c r="AI531" i="13"/>
  <c r="AJ531" i="13"/>
  <c r="AI532" i="13"/>
  <c r="AJ532" i="13"/>
  <c r="AI533" i="13"/>
  <c r="AJ533" i="13"/>
  <c r="AI534" i="13"/>
  <c r="AJ534" i="13"/>
  <c r="AI535" i="13"/>
  <c r="AJ535" i="13"/>
  <c r="AI536" i="13"/>
  <c r="AJ536" i="13"/>
  <c r="AI537" i="13"/>
  <c r="AJ537" i="13"/>
  <c r="AI538" i="13"/>
  <c r="AJ538" i="13"/>
  <c r="AI539" i="13"/>
  <c r="AJ539" i="13"/>
  <c r="AI540" i="13"/>
  <c r="AJ540" i="13"/>
  <c r="AI541" i="13"/>
  <c r="AJ541" i="13"/>
  <c r="AI542" i="13"/>
  <c r="AJ542" i="13"/>
  <c r="AI543" i="13"/>
  <c r="AJ543" i="13"/>
  <c r="AI544" i="13"/>
  <c r="AJ544" i="13"/>
  <c r="AI545" i="13"/>
  <c r="AJ545" i="13"/>
  <c r="AI546" i="13"/>
  <c r="AJ546" i="13"/>
  <c r="AI547" i="13"/>
  <c r="AJ547" i="13"/>
  <c r="AI548" i="13"/>
  <c r="AJ548" i="13"/>
  <c r="AI549" i="13"/>
  <c r="AJ549" i="13"/>
  <c r="AI550" i="13"/>
  <c r="AJ550" i="13"/>
  <c r="AI551" i="13"/>
  <c r="AJ551" i="13"/>
  <c r="AI552" i="13"/>
  <c r="AJ552" i="13"/>
  <c r="AI553" i="13"/>
  <c r="AJ553" i="13"/>
  <c r="AI554" i="13"/>
  <c r="AJ554" i="13"/>
  <c r="AI555" i="13"/>
  <c r="AJ555" i="13"/>
  <c r="AI556" i="13"/>
  <c r="AJ556" i="13"/>
  <c r="AI557" i="13"/>
  <c r="AJ557" i="13"/>
  <c r="AI558" i="13"/>
  <c r="AJ558" i="13"/>
  <c r="AI559" i="13"/>
  <c r="AJ559" i="13"/>
  <c r="AI560" i="13"/>
  <c r="AJ560" i="13"/>
  <c r="AI561" i="13"/>
  <c r="AJ561" i="13"/>
  <c r="AI562" i="13"/>
  <c r="AJ562" i="13"/>
  <c r="AI563" i="13"/>
  <c r="AJ563" i="13"/>
  <c r="AI564" i="13"/>
  <c r="AJ564" i="13"/>
  <c r="AI565" i="13"/>
  <c r="AJ565" i="13"/>
  <c r="AI566" i="13"/>
  <c r="AJ566" i="13"/>
  <c r="AI567" i="13"/>
  <c r="AJ567" i="13"/>
  <c r="AI568" i="13"/>
  <c r="AJ568" i="13"/>
  <c r="AI569" i="13"/>
  <c r="AJ569" i="13"/>
  <c r="AI570" i="13"/>
  <c r="AJ570" i="13"/>
  <c r="AI571" i="13"/>
  <c r="AJ571" i="13"/>
  <c r="AI572" i="13"/>
  <c r="AJ572" i="13"/>
  <c r="AI573" i="13"/>
  <c r="AJ573" i="13"/>
  <c r="AI574" i="13"/>
  <c r="AJ574" i="13"/>
  <c r="AI575" i="13"/>
  <c r="AJ575" i="13"/>
  <c r="AI576" i="13"/>
  <c r="AJ576" i="13"/>
  <c r="AI577" i="13"/>
  <c r="AJ577" i="13"/>
  <c r="AI578" i="13"/>
  <c r="AJ578" i="13"/>
  <c r="AI579" i="13"/>
  <c r="AJ579" i="13"/>
  <c r="AI580" i="13"/>
  <c r="AJ580" i="13"/>
  <c r="AI581" i="13"/>
  <c r="AJ581" i="13"/>
  <c r="AI582" i="13"/>
  <c r="AJ582" i="13"/>
  <c r="AI583" i="13"/>
  <c r="AJ583" i="13"/>
  <c r="AI584" i="13"/>
  <c r="AJ584" i="13"/>
  <c r="AI585" i="13"/>
  <c r="AJ585" i="13"/>
  <c r="AI586" i="13"/>
  <c r="AJ586" i="13"/>
  <c r="AI587" i="13"/>
  <c r="AJ587" i="13"/>
  <c r="AI588" i="13"/>
  <c r="AJ588" i="13"/>
  <c r="AI589" i="13"/>
  <c r="AJ589" i="13"/>
  <c r="AI590" i="13"/>
  <c r="AJ590" i="13"/>
  <c r="AI591" i="13"/>
  <c r="AJ591" i="13"/>
  <c r="AI592" i="13"/>
  <c r="AJ592" i="13"/>
  <c r="AI593" i="13"/>
  <c r="AJ593" i="13"/>
  <c r="AI594" i="13"/>
  <c r="AJ594" i="13"/>
  <c r="AI595" i="13"/>
  <c r="AJ595" i="13"/>
  <c r="AI596" i="13"/>
  <c r="AJ596" i="13"/>
  <c r="AI597" i="13"/>
  <c r="AJ597" i="13"/>
  <c r="AI598" i="13"/>
  <c r="AJ598" i="13"/>
  <c r="AI599" i="13"/>
  <c r="AJ599" i="13"/>
  <c r="AI600" i="13"/>
  <c r="AJ600" i="13"/>
  <c r="AI601" i="13"/>
  <c r="AJ601" i="13"/>
  <c r="AI602" i="13"/>
  <c r="AJ602" i="13"/>
  <c r="AI603" i="13"/>
  <c r="AJ603" i="13"/>
  <c r="AI604" i="13"/>
  <c r="AJ604" i="13"/>
  <c r="AI605" i="13"/>
  <c r="AJ605" i="13"/>
  <c r="AI606" i="13"/>
  <c r="AJ606" i="13"/>
  <c r="AI607" i="13"/>
  <c r="AJ607" i="13"/>
  <c r="AI608" i="13"/>
  <c r="AJ608" i="13"/>
  <c r="AI609" i="13"/>
  <c r="AJ609" i="13"/>
  <c r="AI610" i="13"/>
  <c r="AJ610" i="13"/>
  <c r="AI611" i="13"/>
  <c r="AJ611" i="13"/>
  <c r="AI612" i="13"/>
  <c r="AJ612" i="13"/>
  <c r="AI613" i="13"/>
  <c r="AJ613" i="13"/>
  <c r="AI614" i="13"/>
  <c r="AJ614" i="13"/>
  <c r="AI615" i="13"/>
  <c r="AJ615" i="13"/>
  <c r="AI616" i="13"/>
  <c r="AJ616" i="13"/>
  <c r="AI617" i="13"/>
  <c r="AJ617" i="13"/>
  <c r="AI618" i="13"/>
  <c r="AJ618" i="13"/>
  <c r="AI619" i="13"/>
  <c r="AJ619" i="13"/>
  <c r="AI620" i="13"/>
  <c r="AJ620" i="13"/>
  <c r="AI621" i="13"/>
  <c r="AJ621" i="13"/>
  <c r="AI622" i="13"/>
  <c r="AJ622" i="13"/>
  <c r="AI623" i="13"/>
  <c r="AJ623" i="13"/>
  <c r="AI624" i="13"/>
  <c r="AJ624" i="13"/>
  <c r="AI625" i="13"/>
  <c r="AJ625" i="13"/>
  <c r="AI626" i="13"/>
  <c r="AJ626" i="13"/>
  <c r="AI627" i="13"/>
  <c r="AJ627" i="13"/>
  <c r="AI628" i="13"/>
  <c r="AJ628" i="13"/>
  <c r="AI629" i="13"/>
  <c r="AJ629" i="13"/>
  <c r="AI630" i="13"/>
  <c r="AJ630" i="13"/>
  <c r="AI631" i="13"/>
  <c r="AJ631" i="13"/>
  <c r="AI632" i="13"/>
  <c r="AJ632" i="13"/>
  <c r="AI633" i="13"/>
  <c r="AJ633" i="13"/>
  <c r="AI634" i="13"/>
  <c r="AJ634" i="13"/>
  <c r="AI635" i="13"/>
  <c r="AJ635" i="13"/>
  <c r="AI636" i="13"/>
  <c r="AJ636" i="13"/>
  <c r="AI637" i="13"/>
  <c r="AJ637" i="13"/>
  <c r="AI638" i="13"/>
  <c r="AJ638" i="13"/>
  <c r="AI639" i="13"/>
  <c r="AJ639" i="13"/>
  <c r="AI640" i="13"/>
  <c r="AJ640" i="13"/>
  <c r="AI641" i="13"/>
  <c r="AJ641" i="13"/>
  <c r="AI642" i="13"/>
  <c r="AJ642" i="13"/>
  <c r="AI643" i="13"/>
  <c r="AJ643" i="13"/>
  <c r="AI644" i="13"/>
  <c r="AJ644" i="13"/>
  <c r="AI645" i="13"/>
  <c r="AJ645" i="13"/>
  <c r="AI646" i="13"/>
  <c r="AJ646" i="13"/>
  <c r="AI647" i="13"/>
  <c r="AJ647" i="13"/>
  <c r="AI648" i="13"/>
  <c r="AJ648" i="13"/>
  <c r="AI649" i="13"/>
  <c r="AJ649" i="13"/>
  <c r="AI650" i="13"/>
  <c r="AJ650" i="13"/>
  <c r="AI651" i="13"/>
  <c r="AJ651" i="13"/>
  <c r="AI652" i="13"/>
  <c r="AJ652" i="13"/>
  <c r="AI653" i="13"/>
  <c r="AJ653" i="13"/>
  <c r="AI654" i="13"/>
  <c r="AJ654" i="13"/>
  <c r="AI655" i="13"/>
  <c r="AJ655" i="13"/>
  <c r="AI656" i="13"/>
  <c r="AJ656" i="13"/>
  <c r="AI657" i="13"/>
  <c r="AJ657" i="13"/>
  <c r="AI658" i="13"/>
  <c r="AJ658" i="13"/>
  <c r="AI659" i="13"/>
  <c r="AJ659" i="13"/>
  <c r="AI660" i="13"/>
  <c r="AJ660" i="13"/>
  <c r="AI661" i="13"/>
  <c r="AJ661" i="13"/>
  <c r="AI662" i="13"/>
  <c r="AJ662" i="13"/>
  <c r="AI663" i="13"/>
  <c r="AJ663" i="13"/>
  <c r="AI664" i="13"/>
  <c r="AJ664" i="13"/>
  <c r="AI665" i="13"/>
  <c r="AJ665" i="13"/>
  <c r="AI666" i="13"/>
  <c r="AJ666" i="13"/>
  <c r="AI667" i="13"/>
  <c r="AJ667" i="13"/>
  <c r="AI668" i="13"/>
  <c r="AJ668" i="13"/>
  <c r="AI669" i="13"/>
  <c r="AJ669" i="13"/>
  <c r="AI670" i="13"/>
  <c r="AJ670" i="13"/>
  <c r="AI671" i="13"/>
  <c r="AJ671" i="13"/>
  <c r="AI672" i="13"/>
  <c r="AJ672" i="13"/>
  <c r="AI673" i="13"/>
  <c r="AJ673" i="13"/>
  <c r="AI674" i="13"/>
  <c r="AJ674" i="13"/>
  <c r="AI675" i="13"/>
  <c r="AJ675" i="13"/>
  <c r="AI676" i="13"/>
  <c r="AJ676" i="13"/>
  <c r="AI677" i="13"/>
  <c r="AJ677" i="13"/>
  <c r="AI678" i="13"/>
  <c r="AJ678" i="13"/>
  <c r="AI679" i="13"/>
  <c r="AJ679" i="13"/>
  <c r="AI680" i="13"/>
  <c r="AJ680" i="13"/>
  <c r="AI681" i="13"/>
  <c r="AJ681" i="13"/>
  <c r="AI682" i="13"/>
  <c r="AJ682" i="13"/>
  <c r="AI683" i="13"/>
  <c r="AJ683" i="13"/>
  <c r="AI684" i="13"/>
  <c r="AJ684" i="13"/>
  <c r="AI685" i="13"/>
  <c r="AJ685" i="13"/>
  <c r="AI686" i="13"/>
  <c r="AJ686" i="13"/>
  <c r="AI687" i="13"/>
  <c r="AJ687" i="13"/>
  <c r="AI688" i="13"/>
  <c r="AJ688" i="13"/>
  <c r="AI689" i="13"/>
  <c r="AJ689" i="13"/>
  <c r="AI690" i="13"/>
  <c r="AJ690" i="13"/>
  <c r="AI691" i="13"/>
  <c r="AJ691" i="13"/>
  <c r="AI692" i="13"/>
  <c r="AJ692" i="13"/>
  <c r="AI693" i="13"/>
  <c r="AJ693" i="13"/>
  <c r="AI694" i="13"/>
  <c r="AJ694" i="13"/>
  <c r="AI695" i="13"/>
  <c r="AJ695" i="13"/>
  <c r="AI696" i="13"/>
  <c r="AJ696" i="13"/>
  <c r="AI697" i="13"/>
  <c r="AJ697" i="13"/>
  <c r="AI698" i="13"/>
  <c r="AJ698" i="13"/>
  <c r="AI699" i="13"/>
  <c r="AJ699" i="13"/>
  <c r="AI700" i="13"/>
  <c r="AJ700" i="13"/>
  <c r="AI701" i="13"/>
  <c r="AJ701" i="13"/>
  <c r="AI702" i="13"/>
  <c r="AJ702" i="13"/>
  <c r="AI703" i="13"/>
  <c r="AJ703" i="13"/>
  <c r="AI704" i="13"/>
  <c r="AJ704" i="13"/>
  <c r="AI705" i="13"/>
  <c r="AJ705" i="13"/>
  <c r="AI706" i="13"/>
  <c r="AJ706" i="13"/>
  <c r="AI707" i="13"/>
  <c r="AJ707" i="13"/>
  <c r="AI708" i="13"/>
  <c r="AJ708" i="13"/>
  <c r="AI709" i="13"/>
  <c r="AJ709" i="13"/>
  <c r="AI710" i="13"/>
  <c r="AJ710" i="13"/>
  <c r="AI711" i="13"/>
  <c r="AJ711" i="13"/>
  <c r="AI712" i="13"/>
  <c r="AJ712" i="13"/>
  <c r="AI713" i="13"/>
  <c r="AJ713" i="13"/>
  <c r="AI714" i="13"/>
  <c r="AJ714" i="13"/>
  <c r="AI715" i="13"/>
  <c r="AJ715" i="13"/>
  <c r="AI716" i="13"/>
  <c r="AJ716" i="13"/>
  <c r="AI717" i="13"/>
  <c r="AJ717" i="13"/>
  <c r="AI718" i="13"/>
  <c r="AJ718" i="13"/>
  <c r="AI719" i="13"/>
  <c r="AJ719" i="13"/>
  <c r="AI720" i="13"/>
  <c r="AJ720" i="13"/>
  <c r="AI721" i="13"/>
  <c r="AJ721" i="13"/>
  <c r="AI722" i="13"/>
  <c r="AJ722" i="13"/>
  <c r="AI723" i="13"/>
  <c r="AJ723" i="13"/>
  <c r="AI724" i="13"/>
  <c r="AJ724" i="13"/>
  <c r="AI725" i="13"/>
  <c r="AJ725" i="13"/>
  <c r="AI726" i="13"/>
  <c r="AJ726" i="13"/>
  <c r="AI727" i="13"/>
  <c r="AJ727" i="13"/>
  <c r="AI728" i="13"/>
  <c r="AJ728" i="13"/>
  <c r="AI729" i="13"/>
  <c r="AJ729" i="13"/>
  <c r="AI730" i="13"/>
  <c r="AJ730" i="13"/>
  <c r="AI731" i="13"/>
  <c r="AJ731" i="13"/>
  <c r="AI732" i="13"/>
  <c r="AJ732" i="13"/>
  <c r="AI733" i="13"/>
  <c r="AJ733" i="13"/>
  <c r="AI734" i="13"/>
  <c r="AJ734" i="13"/>
  <c r="AI735" i="13"/>
  <c r="AJ735" i="13"/>
  <c r="AI736" i="13"/>
  <c r="AJ736" i="13"/>
  <c r="AI737" i="13"/>
  <c r="AJ737" i="13"/>
  <c r="AI738" i="13"/>
  <c r="AJ738" i="13"/>
  <c r="AI739" i="13"/>
  <c r="AJ739" i="13"/>
  <c r="AI740" i="13"/>
  <c r="AJ740" i="13"/>
  <c r="AI741" i="13"/>
  <c r="AJ741" i="13"/>
  <c r="AI742" i="13"/>
  <c r="AJ742" i="13"/>
  <c r="AI743" i="13"/>
  <c r="AJ743" i="13"/>
  <c r="AI744" i="13"/>
  <c r="AJ744" i="13"/>
  <c r="AI745" i="13"/>
  <c r="AJ745" i="13"/>
  <c r="AI746" i="13"/>
  <c r="AJ746" i="13"/>
  <c r="AI747" i="13"/>
  <c r="AJ747" i="13"/>
  <c r="AI748" i="13"/>
  <c r="AJ748" i="13"/>
  <c r="AI749" i="13"/>
  <c r="AJ749" i="13"/>
  <c r="AI750" i="13"/>
  <c r="AJ750" i="13"/>
  <c r="AI751" i="13"/>
  <c r="AJ751" i="13"/>
  <c r="AI752" i="13"/>
  <c r="AJ752" i="13"/>
  <c r="AI753" i="13"/>
  <c r="AJ753" i="13"/>
  <c r="AI754" i="13"/>
  <c r="AJ754" i="13"/>
  <c r="AI755" i="13"/>
  <c r="AJ755" i="13"/>
  <c r="AI756" i="13"/>
  <c r="AJ756" i="13"/>
  <c r="AI757" i="13"/>
  <c r="AJ757" i="13"/>
  <c r="AI758" i="13"/>
  <c r="AJ758" i="13"/>
  <c r="AI759" i="13"/>
  <c r="AJ759" i="13"/>
  <c r="AI760" i="13"/>
  <c r="AJ760" i="13"/>
  <c r="AI761" i="13"/>
  <c r="AJ761" i="13"/>
  <c r="AI762" i="13"/>
  <c r="AJ762" i="13"/>
  <c r="AI763" i="13"/>
  <c r="AJ763" i="13"/>
  <c r="AI764" i="13"/>
  <c r="AJ764" i="13"/>
  <c r="AI765" i="13"/>
  <c r="AJ765" i="13"/>
  <c r="AI766" i="13"/>
  <c r="AJ766" i="13"/>
  <c r="AI767" i="13"/>
  <c r="AJ767" i="13"/>
  <c r="AI768" i="13"/>
  <c r="AJ768" i="13"/>
  <c r="AI769" i="13"/>
  <c r="AJ769" i="13"/>
  <c r="AI770" i="13"/>
  <c r="AJ770" i="13"/>
  <c r="AI771" i="13"/>
  <c r="AJ771" i="13"/>
  <c r="AI772" i="13"/>
  <c r="AJ772" i="13"/>
  <c r="AI773" i="13"/>
  <c r="AJ773" i="13"/>
  <c r="AI774" i="13"/>
  <c r="AJ774" i="13"/>
  <c r="AI775" i="13"/>
  <c r="AJ775" i="13"/>
  <c r="AI776" i="13"/>
  <c r="AJ776" i="13"/>
  <c r="AI777" i="13"/>
  <c r="AJ777" i="13"/>
  <c r="AI778" i="13"/>
  <c r="AJ778" i="13"/>
  <c r="AI779" i="13"/>
  <c r="AJ779" i="13"/>
  <c r="AI780" i="13"/>
  <c r="AJ780" i="13"/>
  <c r="AI781" i="13"/>
  <c r="AJ781" i="13"/>
  <c r="AI782" i="13"/>
  <c r="AJ782" i="13"/>
  <c r="AI783" i="13"/>
  <c r="AJ783" i="13"/>
  <c r="AI784" i="13"/>
  <c r="AJ784" i="13"/>
  <c r="AI785" i="13"/>
  <c r="AJ785" i="13"/>
  <c r="AI786" i="13"/>
  <c r="AJ786" i="13"/>
  <c r="AI787" i="13"/>
  <c r="AJ787" i="13"/>
  <c r="AI788" i="13"/>
  <c r="AJ788" i="13"/>
  <c r="AI789" i="13"/>
  <c r="AJ789" i="13"/>
  <c r="AI790" i="13"/>
  <c r="AJ790" i="13"/>
  <c r="AI791" i="13"/>
  <c r="AJ791" i="13"/>
  <c r="AI792" i="13"/>
  <c r="AJ792" i="13"/>
  <c r="AI793" i="13"/>
  <c r="AJ793" i="13"/>
  <c r="AI794" i="13"/>
  <c r="AJ794" i="13"/>
  <c r="AI795" i="13"/>
  <c r="AJ795" i="13"/>
  <c r="AI796" i="13"/>
  <c r="AJ796" i="13"/>
  <c r="AI797" i="13"/>
  <c r="AJ797" i="13"/>
  <c r="AI798" i="13"/>
  <c r="AJ798" i="13"/>
  <c r="AI799" i="13"/>
  <c r="AJ799" i="13"/>
  <c r="AI800" i="13"/>
  <c r="AJ800" i="13"/>
  <c r="AI801" i="13"/>
  <c r="AJ801" i="13"/>
  <c r="AI802" i="13"/>
  <c r="AJ802" i="13"/>
  <c r="AI803" i="13"/>
  <c r="AJ803" i="13"/>
  <c r="AI804" i="13"/>
  <c r="AJ804" i="13"/>
  <c r="AI805" i="13"/>
  <c r="AJ805" i="13"/>
  <c r="AI806" i="13"/>
  <c r="AJ806" i="13"/>
  <c r="AI807" i="13"/>
  <c r="AJ807" i="13"/>
  <c r="AI808" i="13"/>
  <c r="AJ808" i="13"/>
  <c r="AI809" i="13"/>
  <c r="AJ809" i="13"/>
  <c r="AI810" i="13"/>
  <c r="AJ810" i="13"/>
  <c r="AI811" i="13"/>
  <c r="AJ811" i="13"/>
  <c r="AI812" i="13"/>
  <c r="AJ812" i="13"/>
  <c r="AI813" i="13"/>
  <c r="AJ813" i="13"/>
  <c r="AI814" i="13"/>
  <c r="AJ814" i="13"/>
  <c r="AI815" i="13"/>
  <c r="AJ815" i="13"/>
  <c r="AI816" i="13"/>
  <c r="AJ816" i="13"/>
  <c r="AI817" i="13"/>
  <c r="AJ817" i="13"/>
  <c r="AI818" i="13"/>
  <c r="AJ818" i="13"/>
  <c r="AI819" i="13"/>
  <c r="AJ819" i="13"/>
  <c r="AI820" i="13"/>
  <c r="AJ820" i="13"/>
  <c r="AI821" i="13"/>
  <c r="AJ821" i="13"/>
  <c r="AI822" i="13"/>
  <c r="AJ822" i="13"/>
  <c r="AI823" i="13"/>
  <c r="AJ823" i="13"/>
  <c r="AI824" i="13"/>
  <c r="AJ824" i="13"/>
  <c r="AI825" i="13"/>
  <c r="AJ825" i="13"/>
  <c r="AI826" i="13"/>
  <c r="AJ826" i="13"/>
  <c r="AI827" i="13"/>
  <c r="AJ827" i="13"/>
  <c r="AI828" i="13"/>
  <c r="AJ828" i="13"/>
  <c r="AI829" i="13"/>
  <c r="AJ829" i="13"/>
  <c r="AI830" i="13"/>
  <c r="AJ830" i="13"/>
  <c r="AI831" i="13"/>
  <c r="AJ831" i="13"/>
  <c r="AI832" i="13"/>
  <c r="AJ832" i="13"/>
  <c r="AI833" i="13"/>
  <c r="AJ833" i="13"/>
  <c r="AI834" i="13"/>
  <c r="AJ834" i="13"/>
  <c r="AI835" i="13"/>
  <c r="AJ835" i="13"/>
  <c r="AI836" i="13"/>
  <c r="AJ836" i="13"/>
  <c r="AI837" i="13"/>
  <c r="AJ837" i="13"/>
  <c r="AI838" i="13"/>
  <c r="AJ838" i="13"/>
  <c r="AI839" i="13"/>
  <c r="AJ839" i="13"/>
  <c r="AI840" i="13"/>
  <c r="AJ840" i="13"/>
  <c r="AI841" i="13"/>
  <c r="AJ841" i="13"/>
  <c r="AI842" i="13"/>
  <c r="AJ842" i="13"/>
  <c r="AI843" i="13"/>
  <c r="AJ843" i="13"/>
  <c r="AI844" i="13"/>
  <c r="AJ844" i="13"/>
  <c r="AI845" i="13"/>
  <c r="AJ845" i="13"/>
  <c r="AI846" i="13"/>
  <c r="AJ846" i="13"/>
  <c r="AI847" i="13"/>
  <c r="AJ847" i="13"/>
  <c r="AI848" i="13"/>
  <c r="AJ848" i="13"/>
  <c r="AI849" i="13"/>
  <c r="AJ849" i="13"/>
  <c r="AI850" i="13"/>
  <c r="AJ850" i="13"/>
  <c r="AI851" i="13"/>
  <c r="AJ851" i="13"/>
  <c r="AI852" i="13"/>
  <c r="AJ852" i="13"/>
  <c r="AI853" i="13"/>
  <c r="AJ853" i="13"/>
  <c r="AI854" i="13"/>
  <c r="AJ854" i="13"/>
  <c r="AI855" i="13"/>
  <c r="AJ855" i="13"/>
  <c r="AI856" i="13"/>
  <c r="AJ856" i="13"/>
  <c r="AI857" i="13"/>
  <c r="AJ857" i="13"/>
  <c r="AI858" i="13"/>
  <c r="AJ858" i="13"/>
  <c r="AI859" i="13"/>
  <c r="AJ859" i="13"/>
  <c r="AI860" i="13"/>
  <c r="AJ860" i="13"/>
  <c r="AI861" i="13"/>
  <c r="AJ861" i="13"/>
  <c r="AI862" i="13"/>
  <c r="AJ862" i="13"/>
  <c r="AI863" i="13"/>
  <c r="AJ863" i="13"/>
  <c r="AI864" i="13"/>
  <c r="AJ864" i="13"/>
  <c r="AI865" i="13"/>
  <c r="AJ865" i="13"/>
  <c r="AI866" i="13"/>
  <c r="AJ866" i="13"/>
  <c r="AI867" i="13"/>
  <c r="AJ867" i="13"/>
  <c r="AI868" i="13"/>
  <c r="AJ868" i="13"/>
  <c r="AI869" i="13"/>
  <c r="AJ869" i="13"/>
  <c r="AI870" i="13"/>
  <c r="AJ870" i="13"/>
  <c r="AI871" i="13"/>
  <c r="AJ871" i="13"/>
  <c r="AI872" i="13"/>
  <c r="AJ872" i="13"/>
  <c r="AI873" i="13"/>
  <c r="AJ873" i="13"/>
  <c r="AI874" i="13"/>
  <c r="AJ874" i="13"/>
  <c r="AI875" i="13"/>
  <c r="AJ875" i="13"/>
  <c r="AI876" i="13"/>
  <c r="AJ876" i="13"/>
  <c r="AI877" i="13"/>
  <c r="AJ877" i="13"/>
  <c r="AI878" i="13"/>
  <c r="AJ878" i="13"/>
  <c r="AI879" i="13"/>
  <c r="AJ879" i="13"/>
  <c r="AI880" i="13"/>
  <c r="AJ880" i="13"/>
  <c r="AI881" i="13"/>
  <c r="AJ881" i="13"/>
  <c r="AI882" i="13"/>
  <c r="AJ882" i="13"/>
  <c r="AI883" i="13"/>
  <c r="AJ883" i="13"/>
  <c r="AI884" i="13"/>
  <c r="AJ884" i="13"/>
  <c r="AI885" i="13"/>
  <c r="AJ885" i="13"/>
  <c r="AI886" i="13"/>
  <c r="AJ886" i="13"/>
  <c r="AI887" i="13"/>
  <c r="AJ887" i="13"/>
  <c r="AI888" i="13"/>
  <c r="AJ888" i="13"/>
  <c r="AI889" i="13"/>
  <c r="AJ889" i="13"/>
  <c r="AI890" i="13"/>
  <c r="AJ890" i="13"/>
  <c r="AI891" i="13"/>
  <c r="AJ891" i="13"/>
  <c r="AI892" i="13"/>
  <c r="AJ892" i="13"/>
  <c r="AI893" i="13"/>
  <c r="AJ893" i="13"/>
  <c r="AI894" i="13"/>
  <c r="AJ894" i="13"/>
  <c r="AI895" i="13"/>
  <c r="AJ895" i="13"/>
  <c r="AI896" i="13"/>
  <c r="AJ896" i="13"/>
  <c r="AI897" i="13"/>
  <c r="AJ897" i="13"/>
  <c r="AI898" i="13"/>
  <c r="AJ898" i="13"/>
  <c r="AI899" i="13"/>
  <c r="AJ899" i="13"/>
  <c r="AI900" i="13"/>
  <c r="AJ900" i="13"/>
  <c r="AI901" i="13"/>
  <c r="AJ901" i="13"/>
  <c r="AI902" i="13"/>
  <c r="AJ902" i="13"/>
  <c r="AI903" i="13"/>
  <c r="AJ903" i="13"/>
  <c r="AI904" i="13"/>
  <c r="AJ904" i="13"/>
  <c r="AI905" i="13"/>
  <c r="AJ905" i="13"/>
  <c r="AI906" i="13"/>
  <c r="AJ906" i="13"/>
  <c r="AI907" i="13"/>
  <c r="AJ907" i="13"/>
  <c r="AI908" i="13"/>
  <c r="AJ908" i="13"/>
  <c r="AI909" i="13"/>
  <c r="AJ909" i="13"/>
  <c r="AI910" i="13"/>
  <c r="AJ910" i="13"/>
  <c r="AI911" i="13"/>
  <c r="AJ911" i="13"/>
  <c r="AI912" i="13"/>
  <c r="AJ912" i="13"/>
  <c r="AI913" i="13"/>
  <c r="AJ913" i="13"/>
  <c r="AI914" i="13"/>
  <c r="AJ914" i="13"/>
  <c r="AI915" i="13"/>
  <c r="AJ915" i="13"/>
  <c r="AI916" i="13"/>
  <c r="AJ916" i="13"/>
  <c r="AI917" i="13"/>
  <c r="AJ917" i="13"/>
  <c r="AI918" i="13"/>
  <c r="AJ918" i="13"/>
  <c r="AI919" i="13"/>
  <c r="AJ919" i="13"/>
  <c r="AI920" i="13"/>
  <c r="AJ920" i="13"/>
  <c r="AI921" i="13"/>
  <c r="AJ921" i="13"/>
  <c r="AI922" i="13"/>
  <c r="AJ922" i="13"/>
  <c r="AI923" i="13"/>
  <c r="AJ923" i="13"/>
  <c r="AI924" i="13"/>
  <c r="AJ924" i="13"/>
  <c r="AI925" i="13"/>
  <c r="AJ925" i="13"/>
  <c r="AI926" i="13"/>
  <c r="AJ926" i="13"/>
  <c r="AI927" i="13"/>
  <c r="AJ927" i="13"/>
  <c r="AI928" i="13"/>
  <c r="AJ928" i="13"/>
  <c r="AI929" i="13"/>
  <c r="AJ929" i="13"/>
  <c r="AI930" i="13"/>
  <c r="AJ930" i="13"/>
  <c r="AI931" i="13"/>
  <c r="AJ931" i="13"/>
  <c r="AI932" i="13"/>
  <c r="AJ932" i="13"/>
  <c r="AI933" i="13"/>
  <c r="AJ933" i="13"/>
  <c r="AI934" i="13"/>
  <c r="AJ934" i="13"/>
  <c r="AI935" i="13"/>
  <c r="AJ935" i="13"/>
  <c r="AI936" i="13"/>
  <c r="AJ936" i="13"/>
  <c r="AI937" i="13"/>
  <c r="AJ937" i="13"/>
  <c r="AI938" i="13"/>
  <c r="AJ938" i="13"/>
  <c r="AI939" i="13"/>
  <c r="AJ939" i="13"/>
  <c r="AI940" i="13"/>
  <c r="AJ940" i="13"/>
  <c r="AI941" i="13"/>
  <c r="AJ941" i="13"/>
  <c r="AI942" i="13"/>
  <c r="AJ942" i="13"/>
  <c r="AI943" i="13"/>
  <c r="AJ943" i="13"/>
  <c r="AI944" i="13"/>
  <c r="AJ944" i="13"/>
  <c r="AI945" i="13"/>
  <c r="AJ945" i="13"/>
  <c r="AI946" i="13"/>
  <c r="AJ946" i="13"/>
  <c r="AI947" i="13"/>
  <c r="AJ947" i="13"/>
  <c r="AI948" i="13"/>
  <c r="AJ948" i="13"/>
  <c r="AI949" i="13"/>
  <c r="AJ949" i="13"/>
  <c r="AI950" i="13"/>
  <c r="AJ950" i="13"/>
  <c r="AI951" i="13"/>
  <c r="AJ951" i="13"/>
  <c r="AI952" i="13"/>
  <c r="AJ952" i="13"/>
  <c r="AI953" i="13"/>
  <c r="AJ953" i="13"/>
  <c r="AI954" i="13"/>
  <c r="AJ954" i="13"/>
  <c r="AI955" i="13"/>
  <c r="AJ955" i="13"/>
  <c r="AI956" i="13"/>
  <c r="AJ956" i="13"/>
  <c r="AI957" i="13"/>
  <c r="AJ957" i="13"/>
  <c r="AI958" i="13"/>
  <c r="AJ958" i="13"/>
  <c r="AI959" i="13"/>
  <c r="AJ959" i="13"/>
  <c r="AI960" i="13"/>
  <c r="AJ960" i="13"/>
  <c r="AI961" i="13"/>
  <c r="AJ961" i="13"/>
  <c r="AI962" i="13"/>
  <c r="AJ962" i="13"/>
  <c r="AI963" i="13"/>
  <c r="AJ963" i="13"/>
  <c r="AI964" i="13"/>
  <c r="AJ964" i="13"/>
  <c r="AI965" i="13"/>
  <c r="AJ965" i="13"/>
  <c r="AI966" i="13"/>
  <c r="AJ966" i="13"/>
  <c r="AI967" i="13"/>
  <c r="AJ967" i="13"/>
  <c r="AI968" i="13"/>
  <c r="AJ968" i="13"/>
  <c r="AI969" i="13"/>
  <c r="AJ969" i="13"/>
  <c r="AI970" i="13"/>
  <c r="AJ970" i="13"/>
  <c r="AI971" i="13"/>
  <c r="AJ971" i="13"/>
  <c r="AI972" i="13"/>
  <c r="AJ972" i="13"/>
  <c r="AI973" i="13"/>
  <c r="AJ973" i="13"/>
  <c r="AI974" i="13"/>
  <c r="AJ974" i="13"/>
  <c r="AI975" i="13"/>
  <c r="AJ975" i="13"/>
  <c r="AI976" i="13"/>
  <c r="AJ976" i="13"/>
  <c r="AI977" i="13"/>
  <c r="AJ977" i="13"/>
  <c r="AI978" i="13"/>
  <c r="AJ978" i="13"/>
  <c r="AI979" i="13"/>
  <c r="AJ979" i="13"/>
  <c r="AI980" i="13"/>
  <c r="AJ980" i="13"/>
  <c r="AI981" i="13"/>
  <c r="AJ981" i="13"/>
  <c r="AI982" i="13"/>
  <c r="AJ982" i="13"/>
  <c r="AI983" i="13"/>
  <c r="AJ983" i="13"/>
  <c r="AI984" i="13"/>
  <c r="AJ984" i="13"/>
  <c r="AI985" i="13"/>
  <c r="AJ985" i="13"/>
  <c r="AI986" i="13"/>
  <c r="AJ986" i="13"/>
  <c r="AI987" i="13"/>
  <c r="AJ987" i="13"/>
  <c r="AI988" i="13"/>
  <c r="AJ988" i="13"/>
  <c r="AI989" i="13"/>
  <c r="AJ989" i="13"/>
  <c r="AI990" i="13"/>
  <c r="AJ990" i="13"/>
  <c r="AI991" i="13"/>
  <c r="AJ991" i="13"/>
  <c r="AI992" i="13"/>
  <c r="AJ992" i="13"/>
  <c r="AI993" i="13"/>
  <c r="AJ993" i="13"/>
  <c r="AI994" i="13"/>
  <c r="AJ994" i="13"/>
  <c r="AI995" i="13"/>
  <c r="AJ995" i="13"/>
  <c r="AI996" i="13"/>
  <c r="AJ996" i="13"/>
  <c r="AI997" i="13"/>
  <c r="AJ997" i="13"/>
  <c r="AI998" i="13"/>
  <c r="AJ998" i="13"/>
  <c r="AI999" i="13"/>
  <c r="AJ999" i="13"/>
  <c r="AI1000" i="13"/>
  <c r="AJ1000" i="13"/>
  <c r="AI1001" i="13"/>
  <c r="AJ1001" i="13"/>
  <c r="AI1002" i="13"/>
  <c r="AJ1002" i="13"/>
  <c r="AI1003" i="13"/>
  <c r="AJ1003" i="13"/>
  <c r="AI1004" i="13"/>
  <c r="AJ1004" i="13"/>
  <c r="AI1005" i="13"/>
  <c r="AJ1005" i="13"/>
  <c r="AI1006" i="13"/>
  <c r="AJ1006" i="13"/>
  <c r="AI1007" i="13"/>
  <c r="AJ1007" i="13"/>
  <c r="AI1008" i="13"/>
  <c r="AJ1008" i="13"/>
  <c r="AI1009" i="13"/>
  <c r="AJ1009" i="13"/>
  <c r="N20" i="18"/>
  <c r="O23" i="18" s="1"/>
  <c r="AB96" i="19"/>
  <c r="AB100" i="19"/>
  <c r="AB104" i="19"/>
  <c r="AB108" i="19"/>
  <c r="AB112" i="19"/>
  <c r="AB116" i="19"/>
  <c r="AB120" i="19"/>
  <c r="AB124" i="19"/>
  <c r="AB128" i="19"/>
  <c r="AB132" i="19"/>
  <c r="AB136" i="19"/>
  <c r="AB140" i="19"/>
  <c r="AB144" i="19"/>
  <c r="AB148" i="19"/>
  <c r="AB152" i="19"/>
  <c r="AB156" i="19"/>
  <c r="AB79" i="19"/>
  <c r="AB83" i="19"/>
  <c r="AB87" i="19"/>
  <c r="AB91" i="19"/>
  <c r="AB95" i="19"/>
  <c r="AB99" i="19"/>
  <c r="AB103" i="19"/>
  <c r="AB107" i="19"/>
  <c r="AB111" i="19"/>
  <c r="AB115" i="19"/>
  <c r="AB119" i="19"/>
  <c r="AB123" i="19"/>
  <c r="AB127" i="19"/>
  <c r="AB131" i="19"/>
  <c r="AB135" i="19"/>
  <c r="AB139" i="19"/>
  <c r="BA31" i="26"/>
  <c r="AY31" i="26"/>
  <c r="BA39" i="26"/>
  <c r="AY39" i="26"/>
  <c r="BA47" i="26"/>
  <c r="AY47" i="26"/>
  <c r="BA55" i="26"/>
  <c r="AY55" i="26"/>
  <c r="BA63" i="26"/>
  <c r="AY63" i="26"/>
  <c r="BA71" i="26"/>
  <c r="AY71" i="26"/>
  <c r="BA79" i="26"/>
  <c r="AY79" i="26"/>
  <c r="BA87" i="26"/>
  <c r="AY87" i="26"/>
  <c r="BA95" i="26"/>
  <c r="AY95" i="26"/>
  <c r="BA103" i="26"/>
  <c r="AY103" i="26"/>
  <c r="BA111" i="26"/>
  <c r="AY111" i="26"/>
  <c r="BA115" i="26"/>
  <c r="AY115" i="26" s="1"/>
  <c r="BA119" i="26"/>
  <c r="AY119" i="26" s="1"/>
  <c r="BA123" i="26"/>
  <c r="AY123" i="26"/>
  <c r="BA127" i="26"/>
  <c r="AY127" i="26"/>
  <c r="BA131" i="26"/>
  <c r="AY131" i="26" s="1"/>
  <c r="BA135" i="26"/>
  <c r="AY135" i="26" s="1"/>
  <c r="BA139" i="26"/>
  <c r="AY139" i="26"/>
  <c r="BA143" i="26"/>
  <c r="AY143" i="26"/>
  <c r="BA147" i="26"/>
  <c r="AY147" i="26" s="1"/>
  <c r="BA151" i="26"/>
  <c r="AY151" i="26" s="1"/>
  <c r="BA155" i="26"/>
  <c r="AY155" i="26"/>
  <c r="BA159" i="26"/>
  <c r="AY159" i="26"/>
  <c r="BA163" i="26"/>
  <c r="AY163" i="26"/>
  <c r="BA165" i="26"/>
  <c r="AY165" i="26" s="1"/>
  <c r="BA167" i="26"/>
  <c r="AY167" i="26" s="1"/>
  <c r="BA169" i="26"/>
  <c r="AY169" i="26"/>
  <c r="BA171" i="26"/>
  <c r="AY171" i="26" s="1"/>
  <c r="BA173" i="26"/>
  <c r="AY173" i="26" s="1"/>
  <c r="BA175" i="26"/>
  <c r="AY175" i="26" s="1"/>
  <c r="BA177" i="26"/>
  <c r="AY177" i="26"/>
  <c r="BA179" i="26"/>
  <c r="AY179" i="26"/>
  <c r="BA181" i="26"/>
  <c r="AY181" i="26" s="1"/>
  <c r="BA183" i="26"/>
  <c r="AY183" i="26" s="1"/>
  <c r="BA185" i="26"/>
  <c r="AY185" i="26"/>
  <c r="BA187" i="26"/>
  <c r="AY187" i="26" s="1"/>
  <c r="BA189" i="26"/>
  <c r="AY189" i="26" s="1"/>
  <c r="BA191" i="26"/>
  <c r="AY191" i="26" s="1"/>
  <c r="BA193" i="26"/>
  <c r="AY193" i="26"/>
  <c r="BA195" i="26"/>
  <c r="AY195" i="26"/>
  <c r="BA197" i="26"/>
  <c r="AY197" i="26" s="1"/>
  <c r="BA199" i="26"/>
  <c r="AY199" i="26" s="1"/>
  <c r="BA201" i="26"/>
  <c r="AY201" i="26"/>
  <c r="BA203" i="26"/>
  <c r="AY203" i="26" s="1"/>
  <c r="BA205" i="26"/>
  <c r="AY205" i="26" s="1"/>
  <c r="BA207" i="26"/>
  <c r="AY207" i="26" s="1"/>
  <c r="BA209" i="26"/>
  <c r="AY209" i="26"/>
  <c r="BA211" i="26"/>
  <c r="AY211" i="26"/>
  <c r="BA213" i="26"/>
  <c r="AY213" i="26" s="1"/>
  <c r="BA215" i="26"/>
  <c r="AY215" i="26" s="1"/>
  <c r="BA217" i="26"/>
  <c r="AY217" i="26" s="1"/>
  <c r="BA219" i="26"/>
  <c r="AY219" i="26" s="1"/>
  <c r="BA221" i="26"/>
  <c r="AY221" i="26" s="1"/>
  <c r="BA223" i="26"/>
  <c r="AY223" i="26" s="1"/>
  <c r="BA225" i="26"/>
  <c r="AY225" i="26"/>
  <c r="BA227" i="26"/>
  <c r="AY227" i="26" s="1"/>
  <c r="BA229" i="26"/>
  <c r="AY229" i="26" s="1"/>
  <c r="BA231" i="26"/>
  <c r="AY231" i="26" s="1"/>
  <c r="BA233" i="26"/>
  <c r="AY233" i="26" s="1"/>
  <c r="AX235" i="26"/>
  <c r="BA235" i="26"/>
  <c r="AY235" i="26" s="1"/>
  <c r="BA237" i="26"/>
  <c r="AY237" i="26" s="1"/>
  <c r="BA239" i="26"/>
  <c r="AY239" i="26" s="1"/>
  <c r="BA241" i="26"/>
  <c r="AY241" i="26"/>
  <c r="BA243" i="26"/>
  <c r="AY243" i="26" s="1"/>
  <c r="BA245" i="26"/>
  <c r="AY245" i="26" s="1"/>
  <c r="BA247" i="26"/>
  <c r="AY247" i="26" s="1"/>
  <c r="BA249" i="26"/>
  <c r="AY249" i="26" s="1"/>
  <c r="BA251" i="26"/>
  <c r="AY251" i="26" s="1"/>
  <c r="BA253" i="26"/>
  <c r="AY253" i="26" s="1"/>
  <c r="BA255" i="26"/>
  <c r="AY255" i="26" s="1"/>
  <c r="BA257" i="26"/>
  <c r="AY257" i="26"/>
  <c r="BA259" i="26"/>
  <c r="AY259" i="26" s="1"/>
  <c r="BA261" i="26"/>
  <c r="AY261" i="26" s="1"/>
  <c r="BA263" i="26"/>
  <c r="AY263" i="26" s="1"/>
  <c r="BA265" i="26"/>
  <c r="AY265" i="26" s="1"/>
  <c r="AX267" i="26"/>
  <c r="BA267" i="26"/>
  <c r="AY267" i="26" s="1"/>
  <c r="BA269" i="26"/>
  <c r="AY269" i="26" s="1"/>
  <c r="BA271" i="26"/>
  <c r="AY271" i="26" s="1"/>
  <c r="BA273" i="26"/>
  <c r="AY273" i="26"/>
  <c r="BA275" i="26"/>
  <c r="AY275" i="26" s="1"/>
  <c r="BA277" i="26"/>
  <c r="AY277" i="26" s="1"/>
  <c r="BA279" i="26"/>
  <c r="AY279" i="26" s="1"/>
  <c r="BA281" i="26"/>
  <c r="AY281" i="26" s="1"/>
  <c r="BA283" i="26"/>
  <c r="AY283" i="26" s="1"/>
  <c r="BA285" i="26"/>
  <c r="AY285" i="26" s="1"/>
  <c r="BA287" i="26"/>
  <c r="AY287" i="26" s="1"/>
  <c r="BA289" i="26"/>
  <c r="AY289" i="26"/>
  <c r="BA291" i="26"/>
  <c r="AY291" i="26" s="1"/>
  <c r="BA293" i="26"/>
  <c r="AY293" i="26" s="1"/>
  <c r="BA295" i="26"/>
  <c r="AY295" i="26" s="1"/>
  <c r="BA297" i="26"/>
  <c r="AY297" i="26" s="1"/>
  <c r="AX299" i="26"/>
  <c r="BA299" i="26"/>
  <c r="AY299" i="26" s="1"/>
  <c r="BA301" i="26"/>
  <c r="AY301" i="26" s="1"/>
  <c r="BA303" i="26"/>
  <c r="AY303" i="26" s="1"/>
  <c r="BA305" i="26"/>
  <c r="AY305" i="26"/>
  <c r="BA307" i="26"/>
  <c r="AY307" i="26" s="1"/>
  <c r="BA309" i="26"/>
  <c r="AY309" i="26" s="1"/>
  <c r="BA311" i="26"/>
  <c r="AY311" i="26" s="1"/>
  <c r="BA313" i="26"/>
  <c r="AY313" i="26" s="1"/>
  <c r="BA315" i="26"/>
  <c r="AY315" i="26" s="1"/>
  <c r="BA317" i="26"/>
  <c r="AY317" i="26" s="1"/>
  <c r="BA319" i="26"/>
  <c r="AY319" i="26" s="1"/>
  <c r="BA321" i="26"/>
  <c r="AY321" i="26"/>
  <c r="BA323" i="26"/>
  <c r="AY323" i="26" s="1"/>
  <c r="BA325" i="26"/>
  <c r="AY325" i="26" s="1"/>
  <c r="BA327" i="26"/>
  <c r="AY327" i="26" s="1"/>
  <c r="BA329" i="26"/>
  <c r="AY329" i="26" s="1"/>
  <c r="AX331" i="26"/>
  <c r="BA331" i="26"/>
  <c r="AY331" i="26" s="1"/>
  <c r="BA333" i="26"/>
  <c r="AY333" i="26" s="1"/>
  <c r="BA335" i="26"/>
  <c r="AY335" i="26" s="1"/>
  <c r="BA337" i="26"/>
  <c r="AY337" i="26"/>
  <c r="BA339" i="26"/>
  <c r="AY339" i="26" s="1"/>
  <c r="BA341" i="26"/>
  <c r="AY341" i="26" s="1"/>
  <c r="BA343" i="26"/>
  <c r="AY343" i="26" s="1"/>
  <c r="BA345" i="26"/>
  <c r="AY345" i="26" s="1"/>
  <c r="BA347" i="26"/>
  <c r="AY347" i="26" s="1"/>
  <c r="BA349" i="26"/>
  <c r="AY349" i="26" s="1"/>
  <c r="BA351" i="26"/>
  <c r="AY351" i="26" s="1"/>
  <c r="BA353" i="26"/>
  <c r="AY353" i="26"/>
  <c r="BA355" i="26"/>
  <c r="AY355" i="26" s="1"/>
  <c r="BA357" i="26"/>
  <c r="AY357" i="26" s="1"/>
  <c r="BA359" i="26"/>
  <c r="AY359" i="26" s="1"/>
  <c r="BA361" i="26"/>
  <c r="AY361" i="26" s="1"/>
  <c r="AX363" i="26"/>
  <c r="BA363" i="26"/>
  <c r="AY363" i="26" s="1"/>
  <c r="BA365" i="26"/>
  <c r="AY365" i="26" s="1"/>
  <c r="BA367" i="26"/>
  <c r="AY367" i="26" s="1"/>
  <c r="BA369" i="26"/>
  <c r="AY369" i="26"/>
  <c r="BA371" i="26"/>
  <c r="AY371" i="26" s="1"/>
  <c r="BA373" i="26"/>
  <c r="AY373" i="26" s="1"/>
  <c r="BA375" i="26"/>
  <c r="AY375" i="26" s="1"/>
  <c r="BA377" i="26"/>
  <c r="AY377" i="26" s="1"/>
  <c r="BA379" i="26"/>
  <c r="AY379" i="26" s="1"/>
  <c r="BA381" i="26"/>
  <c r="AY381" i="26" s="1"/>
  <c r="BA383" i="26"/>
  <c r="AY383" i="26" s="1"/>
  <c r="BA385" i="26"/>
  <c r="AY385" i="26"/>
  <c r="BA387" i="26"/>
  <c r="AY387" i="26" s="1"/>
  <c r="BA389" i="26"/>
  <c r="AY389" i="26" s="1"/>
  <c r="BA391" i="26"/>
  <c r="AY391" i="26" s="1"/>
  <c r="BA393" i="26"/>
  <c r="AY393" i="26" s="1"/>
  <c r="AX395" i="26"/>
  <c r="BA395" i="26"/>
  <c r="AY395" i="26" s="1"/>
  <c r="BA397" i="26"/>
  <c r="AY397" i="26" s="1"/>
  <c r="BA399" i="26"/>
  <c r="AY399" i="26" s="1"/>
  <c r="BA401" i="26"/>
  <c r="AY401" i="26"/>
  <c r="BA403" i="26"/>
  <c r="AY403" i="26" s="1"/>
  <c r="BA405" i="26"/>
  <c r="AY405" i="26" s="1"/>
  <c r="BA407" i="26"/>
  <c r="AY407" i="26" s="1"/>
  <c r="BA409" i="26"/>
  <c r="AY409" i="26" s="1"/>
  <c r="BA411" i="26"/>
  <c r="AY411" i="26" s="1"/>
  <c r="BA413" i="26"/>
  <c r="AY413" i="26" s="1"/>
  <c r="BA415" i="26"/>
  <c r="AY415" i="26" s="1"/>
  <c r="BA417" i="26"/>
  <c r="AY417" i="26"/>
  <c r="BA419" i="26"/>
  <c r="AY419" i="26" s="1"/>
  <c r="BA33" i="26"/>
  <c r="AY33" i="26" s="1"/>
  <c r="BA41" i="26"/>
  <c r="AY41" i="26" s="1"/>
  <c r="BA57" i="26"/>
  <c r="AY57" i="26" s="1"/>
  <c r="AX61" i="26"/>
  <c r="BA73" i="26"/>
  <c r="AY73" i="26"/>
  <c r="BA89" i="26"/>
  <c r="AY89" i="26" s="1"/>
  <c r="BA105" i="26"/>
  <c r="AY105" i="26" s="1"/>
  <c r="BA117" i="26"/>
  <c r="AY117" i="26" s="1"/>
  <c r="BA125" i="26"/>
  <c r="AY125" i="26"/>
  <c r="BA133" i="26"/>
  <c r="AY133" i="26" s="1"/>
  <c r="BA141" i="26"/>
  <c r="AY141" i="26"/>
  <c r="BA149" i="26"/>
  <c r="AY149" i="26" s="1"/>
  <c r="BA153" i="26"/>
  <c r="AY153" i="26" s="1"/>
  <c r="AX157" i="26"/>
  <c r="BA157" i="26"/>
  <c r="AY157" i="26"/>
  <c r="BA164" i="26"/>
  <c r="AY164" i="26" s="1"/>
  <c r="BA166" i="26"/>
  <c r="AY166" i="26" s="1"/>
  <c r="BA168" i="26"/>
  <c r="AY168" i="26"/>
  <c r="BA170" i="26"/>
  <c r="AY170" i="26"/>
  <c r="BA172" i="26"/>
  <c r="AY172" i="26" s="1"/>
  <c r="BA174" i="26"/>
  <c r="AY174" i="26" s="1"/>
  <c r="BA176" i="26"/>
  <c r="AY176" i="26"/>
  <c r="BA178" i="26"/>
  <c r="AY178" i="26"/>
  <c r="BA180" i="26"/>
  <c r="AY180" i="26" s="1"/>
  <c r="BA182" i="26"/>
  <c r="AY182" i="26" s="1"/>
  <c r="AX184" i="26"/>
  <c r="BA184" i="26"/>
  <c r="AY184" i="26"/>
  <c r="BA186" i="26"/>
  <c r="AY186" i="26"/>
  <c r="BA188" i="26"/>
  <c r="AY188" i="26" s="1"/>
  <c r="BA190" i="26"/>
  <c r="AY190" i="26" s="1"/>
  <c r="BA192" i="26"/>
  <c r="AY192" i="26"/>
  <c r="BA194" i="26"/>
  <c r="AY194" i="26"/>
  <c r="BA196" i="26"/>
  <c r="AY196" i="26" s="1"/>
  <c r="BA198" i="26"/>
  <c r="AY198" i="26" s="1"/>
  <c r="BA200" i="26"/>
  <c r="AY200" i="26"/>
  <c r="BA202" i="26"/>
  <c r="AY202" i="26"/>
  <c r="BA204" i="26"/>
  <c r="AY204" i="26" s="1"/>
  <c r="BA206" i="26"/>
  <c r="AY206" i="26" s="1"/>
  <c r="BA208" i="26"/>
  <c r="AY208" i="26"/>
  <c r="BA210" i="26"/>
  <c r="AY210" i="26"/>
  <c r="BA212" i="26"/>
  <c r="AY212" i="26" s="1"/>
  <c r="BA214" i="26"/>
  <c r="AY214" i="26" s="1"/>
  <c r="AX216" i="26"/>
  <c r="BA216" i="26"/>
  <c r="AY216" i="26"/>
  <c r="BA218" i="26"/>
  <c r="AY218" i="26"/>
  <c r="BA220" i="26"/>
  <c r="AY220" i="26" s="1"/>
  <c r="BA222" i="26"/>
  <c r="AY222" i="26" s="1"/>
  <c r="BA224" i="26"/>
  <c r="AY224" i="26"/>
  <c r="BA226" i="26"/>
  <c r="AY226" i="26"/>
  <c r="BA228" i="26"/>
  <c r="AY228" i="26" s="1"/>
  <c r="BA230" i="26"/>
  <c r="AY230" i="26" s="1"/>
  <c r="BA232" i="26"/>
  <c r="AY232" i="26"/>
  <c r="BA234" i="26"/>
  <c r="AY234" i="26"/>
  <c r="BA236" i="26"/>
  <c r="AY236" i="26" s="1"/>
  <c r="BA238" i="26"/>
  <c r="AY238" i="26" s="1"/>
  <c r="BA240" i="26"/>
  <c r="AY240" i="26"/>
  <c r="BA242" i="26"/>
  <c r="AY242" i="26"/>
  <c r="BA244" i="26"/>
  <c r="AY244" i="26" s="1"/>
  <c r="BA246" i="26"/>
  <c r="AY246" i="26" s="1"/>
  <c r="AX248" i="26"/>
  <c r="BA248" i="26"/>
  <c r="AY248" i="26"/>
  <c r="BA250" i="26"/>
  <c r="AY250" i="26"/>
  <c r="BA252" i="26"/>
  <c r="AY252" i="26" s="1"/>
  <c r="BA254" i="26"/>
  <c r="AY254" i="26" s="1"/>
  <c r="BA256" i="26"/>
  <c r="AY256" i="26"/>
  <c r="BA258" i="26"/>
  <c r="AY258" i="26"/>
  <c r="BA260" i="26"/>
  <c r="AY260" i="26" s="1"/>
  <c r="BA262" i="26"/>
  <c r="AY262" i="26" s="1"/>
  <c r="BA264" i="26"/>
  <c r="AY264" i="26"/>
  <c r="BA266" i="26"/>
  <c r="AY266" i="26"/>
  <c r="BA268" i="26"/>
  <c r="AY268" i="26" s="1"/>
  <c r="BA270" i="26"/>
  <c r="AY270" i="26" s="1"/>
  <c r="BA272" i="26"/>
  <c r="AY272" i="26"/>
  <c r="BA274" i="26"/>
  <c r="AY274" i="26"/>
  <c r="BA276" i="26"/>
  <c r="AY276" i="26" s="1"/>
  <c r="BA278" i="26"/>
  <c r="AY278" i="26" s="1"/>
  <c r="AX280" i="26"/>
  <c r="BA280" i="26"/>
  <c r="AY280" i="26"/>
  <c r="BA282" i="26"/>
  <c r="AY282" i="26"/>
  <c r="BA284" i="26"/>
  <c r="AY284" i="26" s="1"/>
  <c r="BA286" i="26"/>
  <c r="AY286" i="26" s="1"/>
  <c r="BA288" i="26"/>
  <c r="AY288" i="26"/>
  <c r="BA290" i="26"/>
  <c r="AY290" i="26"/>
  <c r="BA292" i="26"/>
  <c r="AY292" i="26" s="1"/>
  <c r="BA294" i="26"/>
  <c r="AY294" i="26" s="1"/>
  <c r="BA296" i="26"/>
  <c r="AY296" i="26"/>
  <c r="BA298" i="26"/>
  <c r="AY298" i="26"/>
  <c r="BA300" i="26"/>
  <c r="AY300" i="26" s="1"/>
  <c r="BA302" i="26"/>
  <c r="AY302" i="26" s="1"/>
  <c r="BA304" i="26"/>
  <c r="AY304" i="26"/>
  <c r="BA306" i="26"/>
  <c r="AY306" i="26"/>
  <c r="BA308" i="26"/>
  <c r="AY308" i="26" s="1"/>
  <c r="BA310" i="26"/>
  <c r="AY310" i="26" s="1"/>
  <c r="AX312" i="26"/>
  <c r="BA312" i="26"/>
  <c r="AY312" i="26"/>
  <c r="BA314" i="26"/>
  <c r="AY314" i="26"/>
  <c r="BA316" i="26"/>
  <c r="AY316" i="26" s="1"/>
  <c r="BA318" i="26"/>
  <c r="AY318" i="26" s="1"/>
  <c r="BA320" i="26"/>
  <c r="AY320" i="26"/>
  <c r="BA322" i="26"/>
  <c r="AY322" i="26"/>
  <c r="BA324" i="26"/>
  <c r="AY324" i="26" s="1"/>
  <c r="BA326" i="26"/>
  <c r="AY326" i="26" s="1"/>
  <c r="BA328" i="26"/>
  <c r="AY328" i="26"/>
  <c r="BA330" i="26"/>
  <c r="AY330" i="26"/>
  <c r="BA332" i="26"/>
  <c r="AY332" i="26" s="1"/>
  <c r="BA334" i="26"/>
  <c r="AY334" i="26" s="1"/>
  <c r="BA336" i="26"/>
  <c r="AY336" i="26"/>
  <c r="BA338" i="26"/>
  <c r="AY338" i="26"/>
  <c r="BA340" i="26"/>
  <c r="AY340" i="26" s="1"/>
  <c r="BA342" i="26"/>
  <c r="AY342" i="26" s="1"/>
  <c r="AX344" i="26"/>
  <c r="BA344" i="26"/>
  <c r="AY344" i="26"/>
  <c r="BA346" i="26"/>
  <c r="AY346" i="26"/>
  <c r="BA348" i="26"/>
  <c r="AY348" i="26" s="1"/>
  <c r="BA350" i="26"/>
  <c r="AY350" i="26" s="1"/>
  <c r="BA352" i="26"/>
  <c r="AY352" i="26"/>
  <c r="BA354" i="26"/>
  <c r="AY354" i="26"/>
  <c r="BA356" i="26"/>
  <c r="AY356" i="26" s="1"/>
  <c r="BA358" i="26"/>
  <c r="AY358" i="26" s="1"/>
  <c r="BA360" i="26"/>
  <c r="AY360" i="26"/>
  <c r="BA362" i="26"/>
  <c r="AY362" i="26"/>
  <c r="BA364" i="26"/>
  <c r="AY364" i="26" s="1"/>
  <c r="BA366" i="26"/>
  <c r="AY366" i="26" s="1"/>
  <c r="BA368" i="26"/>
  <c r="AY368" i="26"/>
  <c r="BA370" i="26"/>
  <c r="AY370" i="26"/>
  <c r="BA372" i="26"/>
  <c r="AY372" i="26" s="1"/>
  <c r="BA374" i="26"/>
  <c r="AY374" i="26" s="1"/>
  <c r="AX376" i="26"/>
  <c r="BA376" i="26"/>
  <c r="AY376" i="26"/>
  <c r="BA378" i="26"/>
  <c r="AY378" i="26"/>
  <c r="BA380" i="26"/>
  <c r="AY380" i="26" s="1"/>
  <c r="BA382" i="26"/>
  <c r="AY382" i="26" s="1"/>
  <c r="BA384" i="26"/>
  <c r="AY384" i="26"/>
  <c r="BA386" i="26"/>
  <c r="AY386" i="26"/>
  <c r="BA388" i="26"/>
  <c r="AY388" i="26" s="1"/>
  <c r="BA390" i="26"/>
  <c r="AY390" i="26" s="1"/>
  <c r="BA392" i="26"/>
  <c r="AY392" i="26"/>
  <c r="BA394" i="26"/>
  <c r="AY394" i="26"/>
  <c r="BA396" i="26"/>
  <c r="AY396" i="26" s="1"/>
  <c r="BA398" i="26"/>
  <c r="AY398" i="26" s="1"/>
  <c r="BA400" i="26"/>
  <c r="AY400" i="26"/>
  <c r="BA402" i="26"/>
  <c r="AY402" i="26"/>
  <c r="BA404" i="26"/>
  <c r="AY404" i="26" s="1"/>
  <c r="BA406" i="26"/>
  <c r="AY406" i="26" s="1"/>
  <c r="AX408" i="26"/>
  <c r="BA408" i="26"/>
  <c r="AY408" i="26"/>
  <c r="BA410" i="26"/>
  <c r="AY410" i="26"/>
  <c r="BA412" i="26"/>
  <c r="AY412" i="26" s="1"/>
  <c r="BA414" i="26"/>
  <c r="AY414" i="26" s="1"/>
  <c r="BA416" i="26"/>
  <c r="AY416" i="26"/>
  <c r="BA418" i="26"/>
  <c r="AY418" i="26"/>
  <c r="AP2" i="26"/>
  <c r="AP4" i="26"/>
  <c r="D8" i="26" s="1"/>
  <c r="T1" i="26"/>
  <c r="V1" i="26"/>
  <c r="X1" i="26"/>
  <c r="Z1" i="26"/>
  <c r="AB1" i="26"/>
  <c r="AD1" i="26"/>
  <c r="AF1" i="26"/>
  <c r="AF2" i="26"/>
  <c r="AF3" i="26"/>
  <c r="S4" i="26"/>
  <c r="AF5" i="26"/>
  <c r="AF6" i="26"/>
  <c r="AF7" i="26"/>
  <c r="AF8" i="26"/>
  <c r="AF9" i="26"/>
  <c r="S10" i="26"/>
  <c r="AF11" i="26"/>
  <c r="AH213" i="28"/>
  <c r="AH212" i="28"/>
  <c r="AH209" i="28"/>
  <c r="AH1091" i="28"/>
  <c r="AH312" i="28"/>
  <c r="AH226" i="28"/>
  <c r="AH142" i="28"/>
  <c r="AH126" i="28"/>
  <c r="AH118" i="28"/>
  <c r="AG115" i="28"/>
  <c r="P111" i="28"/>
  <c r="P112" i="28" s="1"/>
  <c r="P113" i="28" s="1"/>
  <c r="P114" i="28" s="1"/>
  <c r="P115" i="28" s="1"/>
  <c r="P116" i="28" s="1"/>
  <c r="P117" i="28" s="1"/>
  <c r="P118" i="28" s="1"/>
  <c r="P119" i="28" s="1"/>
  <c r="P120" i="28" s="1"/>
  <c r="P121" i="28" s="1"/>
  <c r="P122" i="28" s="1"/>
  <c r="P123" i="28" s="1"/>
  <c r="P124" i="28" s="1"/>
  <c r="P125" i="28" s="1"/>
  <c r="P126" i="28" s="1"/>
  <c r="P127" i="28" s="1"/>
  <c r="P128" i="28" s="1"/>
  <c r="P129" i="28" s="1"/>
  <c r="P130" i="28" s="1"/>
  <c r="P131" i="28" s="1"/>
  <c r="P132" i="28" s="1"/>
  <c r="P133" i="28" s="1"/>
  <c r="P134" i="28" s="1"/>
  <c r="P135" i="28" s="1"/>
  <c r="P136" i="28" s="1"/>
  <c r="P137" i="28" s="1"/>
  <c r="P138" i="28" s="1"/>
  <c r="P139" i="28" s="1"/>
  <c r="P140" i="28" s="1"/>
  <c r="P141" i="28" s="1"/>
  <c r="P142" i="28" s="1"/>
  <c r="P143" i="28" s="1"/>
  <c r="P144" i="28" s="1"/>
  <c r="P145" i="28" s="1"/>
  <c r="P146" i="28" s="1"/>
  <c r="P147" i="28" s="1"/>
  <c r="P148" i="28" s="1"/>
  <c r="P149" i="28" s="1"/>
  <c r="P150" i="28" s="1"/>
  <c r="P151" i="28" s="1"/>
  <c r="P152" i="28" s="1"/>
  <c r="P153" i="28" s="1"/>
  <c r="P154" i="28" s="1"/>
  <c r="P155" i="28" s="1"/>
  <c r="P156" i="28" s="1"/>
  <c r="P157" i="28" s="1"/>
  <c r="P158" i="28" s="1"/>
  <c r="P159" i="28" s="1"/>
  <c r="P160" i="28" s="1"/>
  <c r="P161" i="28" s="1"/>
  <c r="P162" i="28" s="1"/>
  <c r="P163" i="28" s="1"/>
  <c r="P164" i="28" s="1"/>
  <c r="P165" i="28" s="1"/>
  <c r="P166" i="28" s="1"/>
  <c r="P167" i="28" s="1"/>
  <c r="P168" i="28" s="1"/>
  <c r="P169" i="28" s="1"/>
  <c r="P170" i="28" s="1"/>
  <c r="P171" i="28" s="1"/>
  <c r="P172" i="28" s="1"/>
  <c r="P173" i="28" s="1"/>
  <c r="P174" i="28" s="1"/>
  <c r="P175" i="28" s="1"/>
  <c r="P176" i="28" s="1"/>
  <c r="P177" i="28" s="1"/>
  <c r="P178" i="28" s="1"/>
  <c r="P179" i="28" s="1"/>
  <c r="P180" i="28" s="1"/>
  <c r="P181" i="28" s="1"/>
  <c r="P182" i="28" s="1"/>
  <c r="P183" i="28" s="1"/>
  <c r="P184" i="28" s="1"/>
  <c r="P185" i="28" s="1"/>
  <c r="P186" i="28" s="1"/>
  <c r="P187" i="28" s="1"/>
  <c r="P188" i="28" s="1"/>
  <c r="P189" i="28" s="1"/>
  <c r="P190" i="28" s="1"/>
  <c r="P191" i="28" s="1"/>
  <c r="P192" i="28" s="1"/>
  <c r="P193" i="28" s="1"/>
  <c r="P194" i="28" s="1"/>
  <c r="P195" i="28" s="1"/>
  <c r="P196" i="28" s="1"/>
  <c r="P197" i="28" s="1"/>
  <c r="P198" i="28" s="1"/>
  <c r="P199" i="28" s="1"/>
  <c r="P200" i="28" s="1"/>
  <c r="P201" i="28" s="1"/>
  <c r="P202" i="28" s="1"/>
  <c r="P203" i="28" s="1"/>
  <c r="P204" i="28" s="1"/>
  <c r="P205" i="28" s="1"/>
  <c r="P206" i="28" s="1"/>
  <c r="P207" i="28" s="1"/>
  <c r="P208" i="28" s="1"/>
  <c r="P209" i="28" s="1"/>
  <c r="P210" i="28" s="1"/>
  <c r="P211" i="28" s="1"/>
  <c r="P212" i="28" s="1"/>
  <c r="P213" i="28" s="1"/>
  <c r="P214" i="28" s="1"/>
  <c r="P215" i="28" s="1"/>
  <c r="P216" i="28" s="1"/>
  <c r="P217" i="28" s="1"/>
  <c r="P218" i="28" s="1"/>
  <c r="P219" i="28" s="1"/>
  <c r="P220" i="28" s="1"/>
  <c r="P221" i="28" s="1"/>
  <c r="P222" i="28" s="1"/>
  <c r="P223" i="28" s="1"/>
  <c r="P224" i="28" s="1"/>
  <c r="P225" i="28" s="1"/>
  <c r="P226" i="28" s="1"/>
  <c r="P227" i="28" s="1"/>
  <c r="P228" i="28" s="1"/>
  <c r="P229" i="28" s="1"/>
  <c r="P230" i="28" s="1"/>
  <c r="P231" i="28" s="1"/>
  <c r="P232" i="28" s="1"/>
  <c r="P233" i="28" s="1"/>
  <c r="P234" i="28" s="1"/>
  <c r="P235" i="28" s="1"/>
  <c r="P236" i="28" s="1"/>
  <c r="P237" i="28" s="1"/>
  <c r="P238" i="28" s="1"/>
  <c r="P239" i="28" s="1"/>
  <c r="P240" i="28" s="1"/>
  <c r="P241" i="28" s="1"/>
  <c r="P242" i="28" s="1"/>
  <c r="P243" i="28" s="1"/>
  <c r="P244" i="28" s="1"/>
  <c r="P245" i="28" s="1"/>
  <c r="P246" i="28" s="1"/>
  <c r="P247" i="28" s="1"/>
  <c r="P248" i="28" s="1"/>
  <c r="P249" i="28" s="1"/>
  <c r="P250" i="28" s="1"/>
  <c r="P251" i="28" s="1"/>
  <c r="P252" i="28" s="1"/>
  <c r="P253" i="28" s="1"/>
  <c r="P254" i="28" s="1"/>
  <c r="P255" i="28" s="1"/>
  <c r="P256" i="28" s="1"/>
  <c r="P257" i="28" s="1"/>
  <c r="P258" i="28" s="1"/>
  <c r="P259" i="28" s="1"/>
  <c r="P260" i="28" s="1"/>
  <c r="P261" i="28" s="1"/>
  <c r="P262" i="28" s="1"/>
  <c r="P263" i="28" s="1"/>
  <c r="P264" i="28" s="1"/>
  <c r="P265" i="28" s="1"/>
  <c r="P266" i="28" s="1"/>
  <c r="P267" i="28" s="1"/>
  <c r="P268" i="28" s="1"/>
  <c r="P269" i="28" s="1"/>
  <c r="P270" i="28" s="1"/>
  <c r="P271" i="28" s="1"/>
  <c r="P272" i="28" s="1"/>
  <c r="P273" i="28" s="1"/>
  <c r="P274" i="28" s="1"/>
  <c r="P275" i="28" s="1"/>
  <c r="P276" i="28" s="1"/>
  <c r="P277" i="28" s="1"/>
  <c r="P278" i="28" s="1"/>
  <c r="P279" i="28" s="1"/>
  <c r="P280" i="28" s="1"/>
  <c r="P281" i="28" s="1"/>
  <c r="P282" i="28" s="1"/>
  <c r="P283" i="28" s="1"/>
  <c r="P284" i="28" s="1"/>
  <c r="P285" i="28" s="1"/>
  <c r="P286" i="28" s="1"/>
  <c r="P287" i="28" s="1"/>
  <c r="P288" i="28" s="1"/>
  <c r="P289" i="28" s="1"/>
  <c r="P290" i="28" s="1"/>
  <c r="P291" i="28" s="1"/>
  <c r="P292" i="28" s="1"/>
  <c r="P293" i="28" s="1"/>
  <c r="P294" i="28" s="1"/>
  <c r="P295" i="28" s="1"/>
  <c r="P296" i="28" s="1"/>
  <c r="P297" i="28" s="1"/>
  <c r="P298" i="28" s="1"/>
  <c r="P299" i="28" s="1"/>
  <c r="P300" i="28" s="1"/>
  <c r="P301" i="28" s="1"/>
  <c r="P302" i="28" s="1"/>
  <c r="P303" i="28" s="1"/>
  <c r="P304" i="28" s="1"/>
  <c r="P305" i="28" s="1"/>
  <c r="P306" i="28" s="1"/>
  <c r="P307" i="28" s="1"/>
  <c r="P308" i="28" s="1"/>
  <c r="P309" i="28" s="1"/>
  <c r="P310" i="28" s="1"/>
  <c r="P311" i="28" s="1"/>
  <c r="AG110" i="28"/>
  <c r="AG109" i="28"/>
  <c r="AH109" i="28" s="1"/>
  <c r="AG108" i="28"/>
  <c r="AG107" i="28"/>
  <c r="AG97" i="28"/>
  <c r="AH96" i="28" s="1"/>
  <c r="AG96" i="28"/>
  <c r="AG94" i="28"/>
  <c r="AG93" i="28"/>
  <c r="AG98" i="28"/>
  <c r="AG99" i="28"/>
  <c r="AG100" i="28"/>
  <c r="AG101" i="28"/>
  <c r="AG102" i="28"/>
  <c r="AH102" i="28" s="1"/>
  <c r="AG103" i="28"/>
  <c r="AG104" i="28"/>
  <c r="AG106" i="28"/>
  <c r="AH106" i="28" s="1"/>
  <c r="Z142" i="19"/>
  <c r="Z146" i="19"/>
  <c r="Z150" i="19"/>
  <c r="Z154" i="19"/>
  <c r="AB143" i="19"/>
  <c r="AB147" i="19"/>
  <c r="AB151" i="19"/>
  <c r="AB155" i="19"/>
  <c r="C8" i="26"/>
  <c r="AH103" i="28"/>
  <c r="AB92" i="19"/>
  <c r="AB88" i="19"/>
  <c r="AB84" i="19"/>
  <c r="AB80" i="19"/>
  <c r="AB157" i="19"/>
  <c r="AB153" i="19"/>
  <c r="AB149" i="19"/>
  <c r="AB145" i="19"/>
  <c r="Z156" i="19"/>
  <c r="Z152" i="19"/>
  <c r="Z148" i="19"/>
  <c r="Z144" i="19"/>
  <c r="AB141" i="19"/>
  <c r="AB137" i="19"/>
  <c r="AB133" i="19"/>
  <c r="AB129" i="19"/>
  <c r="AB125" i="19"/>
  <c r="AB121" i="19"/>
  <c r="AB117" i="19"/>
  <c r="AB113" i="19"/>
  <c r="AB109" i="19"/>
  <c r="AB105" i="19"/>
  <c r="AB101" i="19"/>
  <c r="AB97" i="19"/>
  <c r="AB93" i="19"/>
  <c r="AB89" i="19"/>
  <c r="AB85" i="19"/>
  <c r="AB81" i="19"/>
  <c r="AB154" i="19"/>
  <c r="AB150" i="19"/>
  <c r="AB146" i="19"/>
  <c r="AB142" i="19"/>
  <c r="AB138" i="19"/>
  <c r="AB134" i="19"/>
  <c r="AB130" i="19"/>
  <c r="AB126" i="19"/>
  <c r="AB122" i="19"/>
  <c r="AB118" i="19"/>
  <c r="AB114" i="19"/>
  <c r="AB110" i="19"/>
  <c r="AB106" i="19"/>
  <c r="AB102" i="19"/>
  <c r="AB98" i="19"/>
  <c r="AB94" i="19"/>
  <c r="AB90" i="19"/>
  <c r="AB86" i="19"/>
  <c r="AB82" i="19"/>
  <c r="AB78" i="19"/>
  <c r="X62" i="18"/>
  <c r="V1" i="18"/>
  <c r="X1" i="18"/>
  <c r="Z1" i="18"/>
  <c r="AB1" i="18"/>
  <c r="AD1" i="18"/>
  <c r="AF1" i="18"/>
  <c r="AH1" i="18"/>
  <c r="U2" i="18"/>
  <c r="BA22" i="26"/>
  <c r="AY22" i="26" s="1"/>
  <c r="AX22" i="26"/>
  <c r="Z140" i="19"/>
  <c r="Z138" i="19"/>
  <c r="Z136" i="19"/>
  <c r="Z134" i="19"/>
  <c r="Z132" i="19"/>
  <c r="Z130" i="19"/>
  <c r="Z128" i="19"/>
  <c r="Z126" i="19"/>
  <c r="Z124" i="19"/>
  <c r="Z122" i="19"/>
  <c r="Z120" i="19"/>
  <c r="Z118" i="19"/>
  <c r="Z116" i="19"/>
  <c r="Z114" i="19"/>
  <c r="Z112" i="19"/>
  <c r="Z110" i="19"/>
  <c r="Z108" i="19"/>
  <c r="Z106" i="19"/>
  <c r="Z104" i="19"/>
  <c r="Z102" i="19"/>
  <c r="Z100" i="19"/>
  <c r="Z98" i="19"/>
  <c r="AB60" i="19"/>
  <c r="Z157" i="19"/>
  <c r="Z155" i="19"/>
  <c r="Z153" i="19"/>
  <c r="Z151" i="19"/>
  <c r="Z149" i="19"/>
  <c r="Z147" i="19"/>
  <c r="Z145" i="19"/>
  <c r="Z143" i="19"/>
  <c r="Z141" i="19"/>
  <c r="Z139" i="19"/>
  <c r="Z137" i="19"/>
  <c r="Z135" i="19"/>
  <c r="Z133" i="19"/>
  <c r="Z131" i="19"/>
  <c r="Z129" i="19"/>
  <c r="Z127" i="19"/>
  <c r="Z125" i="19"/>
  <c r="Z123" i="19"/>
  <c r="Z121" i="19"/>
  <c r="Z119" i="19"/>
  <c r="Z117" i="19"/>
  <c r="Z115" i="19"/>
  <c r="Z113" i="19"/>
  <c r="Z111" i="19"/>
  <c r="Z109" i="19"/>
  <c r="Z107" i="19"/>
  <c r="Z105" i="19"/>
  <c r="Z103" i="19"/>
  <c r="Z101" i="19"/>
  <c r="Z99" i="19"/>
  <c r="M37" i="13"/>
  <c r="H36" i="13"/>
  <c r="H34" i="13"/>
  <c r="H31" i="13"/>
  <c r="H29" i="13"/>
  <c r="L12" i="13"/>
  <c r="BA28" i="26"/>
  <c r="AY28" i="26" s="1"/>
  <c r="BA36" i="26"/>
  <c r="AY36" i="26"/>
  <c r="BA44" i="26"/>
  <c r="AY44" i="26" s="1"/>
  <c r="BA52" i="26"/>
  <c r="AY52" i="26"/>
  <c r="BA60" i="26"/>
  <c r="AY60" i="26" s="1"/>
  <c r="BA68" i="26"/>
  <c r="AY68" i="26"/>
  <c r="BA76" i="26"/>
  <c r="AY76" i="26" s="1"/>
  <c r="BA84" i="26"/>
  <c r="AY84" i="26"/>
  <c r="BA92" i="26"/>
  <c r="AY92" i="26" s="1"/>
  <c r="BA100" i="26"/>
  <c r="AY100" i="26"/>
  <c r="BA108" i="26"/>
  <c r="AY108" i="26" s="1"/>
  <c r="U1" i="26"/>
  <c r="Y1" i="26"/>
  <c r="AC1" i="26"/>
  <c r="S3" i="26"/>
  <c r="AF4" i="26"/>
  <c r="S6" i="26"/>
  <c r="S8" i="26"/>
  <c r="K11" i="13"/>
  <c r="I7" i="13" s="1"/>
  <c r="BA24" i="26"/>
  <c r="AY24" i="26" s="1"/>
  <c r="AT3" i="26"/>
  <c r="BH13" i="26" s="1"/>
  <c r="AH317" i="28"/>
  <c r="AH315" i="28"/>
  <c r="AH267" i="28"/>
  <c r="AH265" i="28"/>
  <c r="AH263" i="28"/>
  <c r="AH261" i="28"/>
  <c r="AH259" i="28"/>
  <c r="AH257" i="28"/>
  <c r="AH255" i="28"/>
  <c r="AH253" i="28"/>
  <c r="AH251" i="28"/>
  <c r="AH249" i="28"/>
  <c r="AH247" i="28"/>
  <c r="AH245" i="28"/>
  <c r="AH243" i="28"/>
  <c r="AH241" i="28"/>
  <c r="AH239" i="28"/>
  <c r="AH237" i="28"/>
  <c r="AH235" i="28"/>
  <c r="AH233" i="28"/>
  <c r="AH231" i="28"/>
  <c r="AH198" i="28"/>
  <c r="AG152" i="28"/>
  <c r="AH151" i="28" s="1"/>
  <c r="AG120" i="28"/>
  <c r="AG173" i="28"/>
  <c r="AG171" i="28"/>
  <c r="AG169" i="28"/>
  <c r="AG167" i="28"/>
  <c r="AG165" i="28"/>
  <c r="AG163" i="28"/>
  <c r="AG161" i="28"/>
  <c r="AG159" i="28"/>
  <c r="AG157" i="28"/>
  <c r="AG156" i="28"/>
  <c r="AG153" i="28"/>
  <c r="AG149" i="28"/>
  <c r="AG148" i="28"/>
  <c r="AG145" i="28"/>
  <c r="AG144" i="28"/>
  <c r="AH143" i="28" s="1"/>
  <c r="AG141" i="28"/>
  <c r="AH141" i="28" s="1"/>
  <c r="AG140" i="28"/>
  <c r="AG137" i="28"/>
  <c r="AG136" i="28"/>
  <c r="AG133" i="28"/>
  <c r="AG132" i="28"/>
  <c r="AG129" i="28"/>
  <c r="AG128" i="28"/>
  <c r="AG125" i="28"/>
  <c r="AH125" i="28"/>
  <c r="AG124" i="28"/>
  <c r="AG121" i="28"/>
  <c r="AG117" i="28"/>
  <c r="Z116" i="28"/>
  <c r="Z117" i="28" s="1"/>
  <c r="Z118" i="28" s="1"/>
  <c r="Z119" i="28" s="1"/>
  <c r="Z120" i="28" s="1"/>
  <c r="Z121" i="28" s="1"/>
  <c r="Z122" i="28" s="1"/>
  <c r="Z123" i="28" s="1"/>
  <c r="Z124" i="28" s="1"/>
  <c r="Z125" i="28" s="1"/>
  <c r="Z126" i="28" s="1"/>
  <c r="Z127" i="28" s="1"/>
  <c r="Z128" i="28" s="1"/>
  <c r="Z129" i="28" s="1"/>
  <c r="Z130" i="28" s="1"/>
  <c r="Z131" i="28" s="1"/>
  <c r="Z132" i="28" s="1"/>
  <c r="Z133" i="28" s="1"/>
  <c r="Z134" i="28" s="1"/>
  <c r="Z135" i="28" s="1"/>
  <c r="Z136" i="28" s="1"/>
  <c r="Z137" i="28" s="1"/>
  <c r="Z138" i="28" s="1"/>
  <c r="Z139" i="28" s="1"/>
  <c r="Z140" i="28" s="1"/>
  <c r="Z141" i="28" s="1"/>
  <c r="Z142" i="28" s="1"/>
  <c r="Z143" i="28" s="1"/>
  <c r="Z144" i="28" s="1"/>
  <c r="Z145" i="28" s="1"/>
  <c r="Z146" i="28" s="1"/>
  <c r="Z147" i="28" s="1"/>
  <c r="Z148" i="28" s="1"/>
  <c r="Z149" i="28" s="1"/>
  <c r="Z150" i="28" s="1"/>
  <c r="Z151" i="28" s="1"/>
  <c r="Z152" i="28" s="1"/>
  <c r="Z153" i="28" s="1"/>
  <c r="Z154" i="28" s="1"/>
  <c r="Z155" i="28" s="1"/>
  <c r="Z156" i="28" s="1"/>
  <c r="Z157" i="28" s="1"/>
  <c r="Z158" i="28" s="1"/>
  <c r="Z159" i="28" s="1"/>
  <c r="Z160" i="28" s="1"/>
  <c r="Z161" i="28" s="1"/>
  <c r="Z162" i="28" s="1"/>
  <c r="Z163" i="28" s="1"/>
  <c r="Z164" i="28" s="1"/>
  <c r="Z165" i="28" s="1"/>
  <c r="Z166" i="28" s="1"/>
  <c r="Z167" i="28" s="1"/>
  <c r="Z168" i="28" s="1"/>
  <c r="Z169" i="28" s="1"/>
  <c r="Z170" i="28" s="1"/>
  <c r="Z171" i="28" s="1"/>
  <c r="Z172" i="28" s="1"/>
  <c r="Z173" i="28" s="1"/>
  <c r="Z174" i="28" s="1"/>
  <c r="Z175" i="28" s="1"/>
  <c r="Z176" i="28" s="1"/>
  <c r="Z177" i="28" s="1"/>
  <c r="Z178" i="28" s="1"/>
  <c r="Z179" i="28" s="1"/>
  <c r="Z180" i="28" s="1"/>
  <c r="Z181" i="28" s="1"/>
  <c r="Z182" i="28" s="1"/>
  <c r="Z183" i="28" s="1"/>
  <c r="Z184" i="28" s="1"/>
  <c r="Z185" i="28" s="1"/>
  <c r="Z186" i="28" s="1"/>
  <c r="Z187" i="28" s="1"/>
  <c r="Z188" i="28" s="1"/>
  <c r="Z189" i="28" s="1"/>
  <c r="Z190" i="28" s="1"/>
  <c r="Z191" i="28" s="1"/>
  <c r="Z192" i="28" s="1"/>
  <c r="Z193" i="28" s="1"/>
  <c r="Z194" i="28" s="1"/>
  <c r="Z195" i="28" s="1"/>
  <c r="Z196" i="28" s="1"/>
  <c r="Z197" i="28" s="1"/>
  <c r="Z198" i="28" s="1"/>
  <c r="Z199" i="28" s="1"/>
  <c r="Z200" i="28" s="1"/>
  <c r="Z201" i="28" s="1"/>
  <c r="Z202" i="28" s="1"/>
  <c r="Z203" i="28" s="1"/>
  <c r="Z204" i="28" s="1"/>
  <c r="Z205" i="28" s="1"/>
  <c r="Z206" i="28" s="1"/>
  <c r="Z207" i="28" s="1"/>
  <c r="Z208" i="28" s="1"/>
  <c r="Z209" i="28" s="1"/>
  <c r="Z210" i="28" s="1"/>
  <c r="Z211" i="28" s="1"/>
  <c r="Z212" i="28" s="1"/>
  <c r="Z213" i="28" s="1"/>
  <c r="Z214" i="28" s="1"/>
  <c r="Z215" i="28" s="1"/>
  <c r="Z216" i="28" s="1"/>
  <c r="Z217" i="28" s="1"/>
  <c r="Z218" i="28" s="1"/>
  <c r="Z219" i="28" s="1"/>
  <c r="Z220" i="28" s="1"/>
  <c r="Z221" i="28" s="1"/>
  <c r="Z222" i="28" s="1"/>
  <c r="Z223" i="28" s="1"/>
  <c r="Z224" i="28" s="1"/>
  <c r="Z225" i="28" s="1"/>
  <c r="Z226" i="28" s="1"/>
  <c r="Z227" i="28" s="1"/>
  <c r="Z228" i="28" s="1"/>
  <c r="Z229" i="28" s="1"/>
  <c r="Z230" i="28" s="1"/>
  <c r="Z231" i="28" s="1"/>
  <c r="Z232" i="28" s="1"/>
  <c r="Z233" i="28" s="1"/>
  <c r="Z234" i="28" s="1"/>
  <c r="Z235" i="28" s="1"/>
  <c r="Z236" i="28" s="1"/>
  <c r="Z237" i="28" s="1"/>
  <c r="Z238" i="28" s="1"/>
  <c r="Z239" i="28" s="1"/>
  <c r="Z240" i="28" s="1"/>
  <c r="Z241" i="28" s="1"/>
  <c r="Z242" i="28" s="1"/>
  <c r="Z243" i="28" s="1"/>
  <c r="Z244" i="28" s="1"/>
  <c r="Z245" i="28" s="1"/>
  <c r="Z246" i="28" s="1"/>
  <c r="Z247" i="28" s="1"/>
  <c r="Z248" i="28" s="1"/>
  <c r="Z249" i="28" s="1"/>
  <c r="Z250" i="28" s="1"/>
  <c r="Z251" i="28" s="1"/>
  <c r="Z252" i="28" s="1"/>
  <c r="Z253" i="28" s="1"/>
  <c r="Z254" i="28" s="1"/>
  <c r="Z255" i="28" s="1"/>
  <c r="Z256" i="28" s="1"/>
  <c r="Z257" i="28" s="1"/>
  <c r="Z258" i="28" s="1"/>
  <c r="Z259" i="28" s="1"/>
  <c r="Z260" i="28" s="1"/>
  <c r="Z261" i="28" s="1"/>
  <c r="Z262" i="28" s="1"/>
  <c r="Z263" i="28" s="1"/>
  <c r="Z264" i="28" s="1"/>
  <c r="Z265" i="28" s="1"/>
  <c r="Z266" i="28" s="1"/>
  <c r="Z267" i="28" s="1"/>
  <c r="Z268" i="28" s="1"/>
  <c r="Z269" i="28" s="1"/>
  <c r="Z270" i="28" s="1"/>
  <c r="Z271" i="28" s="1"/>
  <c r="Z272" i="28" s="1"/>
  <c r="Z273" i="28" s="1"/>
  <c r="Z274" i="28" s="1"/>
  <c r="Z275" i="28" s="1"/>
  <c r="Z276" i="28" s="1"/>
  <c r="Z277" i="28" s="1"/>
  <c r="Z278" i="28" s="1"/>
  <c r="Z279" i="28" s="1"/>
  <c r="Z280" i="28" s="1"/>
  <c r="Z281" i="28" s="1"/>
  <c r="Z282" i="28" s="1"/>
  <c r="Z283" i="28" s="1"/>
  <c r="Z284" i="28" s="1"/>
  <c r="Z285" i="28" s="1"/>
  <c r="Z286" i="28" s="1"/>
  <c r="Z287" i="28" s="1"/>
  <c r="Z288" i="28" s="1"/>
  <c r="Z289" i="28" s="1"/>
  <c r="Z290" i="28" s="1"/>
  <c r="Z291" i="28" s="1"/>
  <c r="Z292" i="28" s="1"/>
  <c r="Z293" i="28" s="1"/>
  <c r="Z294" i="28" s="1"/>
  <c r="Z295" i="28" s="1"/>
  <c r="Z296" i="28" s="1"/>
  <c r="Z297" i="28" s="1"/>
  <c r="Z298" i="28" s="1"/>
  <c r="Z299" i="28" s="1"/>
  <c r="Z300" i="28" s="1"/>
  <c r="Z301" i="28" s="1"/>
  <c r="Z302" i="28" s="1"/>
  <c r="Z303" i="28" s="1"/>
  <c r="Z304" i="28" s="1"/>
  <c r="Z305" i="28" s="1"/>
  <c r="Z306" i="28" s="1"/>
  <c r="Z307" i="28" s="1"/>
  <c r="Z308" i="28" s="1"/>
  <c r="Z309" i="28" s="1"/>
  <c r="Z310" i="28" s="1"/>
  <c r="Z311" i="28" s="1"/>
  <c r="Z312" i="28" s="1"/>
  <c r="Z313" i="28" s="1"/>
  <c r="Z314" i="28" s="1"/>
  <c r="Z315" i="28" s="1"/>
  <c r="Z316" i="28" s="1"/>
  <c r="AG114" i="28"/>
  <c r="AH114" i="28"/>
  <c r="AG111" i="28"/>
  <c r="AH110" i="28" s="1"/>
  <c r="CC17" i="28"/>
  <c r="CC16" i="28"/>
  <c r="CC19" i="28"/>
  <c r="CC21" i="28"/>
  <c r="CC23" i="28"/>
  <c r="CC25" i="28"/>
  <c r="CC27" i="28"/>
  <c r="CC29" i="28"/>
  <c r="CC31" i="28"/>
  <c r="CC33" i="28"/>
  <c r="AB59" i="19"/>
  <c r="AB58" i="19"/>
  <c r="AB61" i="19"/>
  <c r="AH117" i="28"/>
  <c r="T7" i="13"/>
  <c r="AH124" i="28"/>
  <c r="AH132" i="28"/>
  <c r="AH152" i="28"/>
  <c r="AB62" i="19"/>
  <c r="AB63" i="19"/>
  <c r="AB64" i="19"/>
  <c r="AB65" i="19"/>
  <c r="AB66" i="19"/>
  <c r="AB67" i="19"/>
  <c r="AB68" i="19"/>
  <c r="AB69" i="19"/>
  <c r="AB70" i="19"/>
  <c r="AB71" i="19"/>
  <c r="AB72" i="19"/>
  <c r="AB73" i="19"/>
  <c r="AB74" i="19"/>
  <c r="AB75" i="19"/>
  <c r="AB76" i="19"/>
  <c r="AB77" i="19"/>
  <c r="AZ5" i="19"/>
  <c r="AZ18" i="19"/>
  <c r="AZ19"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AX19" i="19"/>
  <c r="AX18" i="19"/>
  <c r="AY5" i="19"/>
  <c r="AY8" i="19"/>
  <c r="AZ16" i="19"/>
  <c r="AY15" i="19"/>
  <c r="AY16" i="19"/>
  <c r="AZ15" i="19"/>
  <c r="AZ8" i="19"/>
  <c r="L11" i="13"/>
  <c r="I32" i="13"/>
  <c r="BF53" i="26"/>
  <c r="BF37" i="26"/>
  <c r="BF13" i="26"/>
  <c r="BF18" i="26"/>
  <c r="BF188" i="26"/>
  <c r="BF46" i="26"/>
  <c r="BF30" i="26"/>
  <c r="BF199" i="26"/>
  <c r="AH93" i="28"/>
  <c r="AP5" i="13"/>
  <c r="I18" i="13"/>
  <c r="I19" i="13" s="1"/>
  <c r="AX34" i="26"/>
  <c r="AX13" i="26"/>
  <c r="AS16" i="26"/>
  <c r="AU19" i="26"/>
  <c r="BE22" i="26"/>
  <c r="AU25" i="26"/>
  <c r="AR28" i="26"/>
  <c r="BE37" i="26"/>
  <c r="BE53" i="26"/>
  <c r="BE69" i="26"/>
  <c r="BE85" i="26"/>
  <c r="BE101" i="26"/>
  <c r="BE115" i="26"/>
  <c r="AX128" i="26"/>
  <c r="BE140" i="26"/>
  <c r="BE152" i="26"/>
  <c r="AX421" i="26"/>
  <c r="AX429" i="26"/>
  <c r="AX437" i="26"/>
  <c r="AX445" i="26"/>
  <c r="AX453" i="26"/>
  <c r="AX461" i="26"/>
  <c r="AX469" i="26"/>
  <c r="AX477" i="26"/>
  <c r="AX485" i="26"/>
  <c r="AX493" i="26"/>
  <c r="AX501" i="26"/>
  <c r="AX510" i="26"/>
  <c r="AX71" i="26"/>
  <c r="AX135" i="26"/>
  <c r="AX181" i="26"/>
  <c r="AX213" i="26"/>
  <c r="AX245" i="26"/>
  <c r="AX277" i="26"/>
  <c r="AX309" i="26"/>
  <c r="AX341" i="26"/>
  <c r="AX373" i="26"/>
  <c r="AX405" i="26"/>
  <c r="AX49" i="26"/>
  <c r="AX113" i="26"/>
  <c r="AX170" i="26"/>
  <c r="AX202" i="26"/>
  <c r="AX234" i="26"/>
  <c r="AX266" i="26"/>
  <c r="AX298" i="26"/>
  <c r="AX330" i="26"/>
  <c r="AX362" i="26"/>
  <c r="AX394" i="26"/>
  <c r="AS11" i="26"/>
  <c r="AX62" i="26"/>
  <c r="AU13" i="26"/>
  <c r="AS17" i="26"/>
  <c r="AT19" i="26"/>
  <c r="AT22" i="26"/>
  <c r="AR26" i="26"/>
  <c r="AR29" i="26"/>
  <c r="BE42" i="26"/>
  <c r="BE54" i="26"/>
  <c r="BE66" i="26"/>
  <c r="BE76" i="26"/>
  <c r="BE86" i="26"/>
  <c r="BE98" i="26"/>
  <c r="BE108" i="26"/>
  <c r="BE117" i="26"/>
  <c r="BE125" i="26"/>
  <c r="BE130" i="26"/>
  <c r="AX138" i="26"/>
  <c r="AX146" i="26"/>
  <c r="BE153" i="26"/>
  <c r="BE158" i="26"/>
  <c r="BE166" i="26"/>
  <c r="BE171" i="26"/>
  <c r="BE176" i="26"/>
  <c r="BE182" i="26"/>
  <c r="BE187" i="26"/>
  <c r="BE192" i="26"/>
  <c r="BE198" i="26"/>
  <c r="BE203" i="26"/>
  <c r="BE208" i="26"/>
  <c r="BH208" i="26"/>
  <c r="BH204" i="26"/>
  <c r="BH200" i="26"/>
  <c r="BH196" i="26"/>
  <c r="BH192" i="26"/>
  <c r="BH188" i="26"/>
  <c r="BH184" i="26"/>
  <c r="BH180" i="26"/>
  <c r="BH176" i="26"/>
  <c r="BH172" i="26"/>
  <c r="BH168" i="26"/>
  <c r="BH66" i="26"/>
  <c r="BH64" i="26"/>
  <c r="BH62" i="26"/>
  <c r="BH60" i="26"/>
  <c r="BH58" i="26"/>
  <c r="BH56" i="26"/>
  <c r="BH54" i="26"/>
  <c r="BH52" i="26"/>
  <c r="BH50" i="26"/>
  <c r="BH48" i="26"/>
  <c r="BH46" i="26"/>
  <c r="BH44" i="26"/>
  <c r="BH42" i="26"/>
  <c r="BH40" i="26"/>
  <c r="BH38" i="26"/>
  <c r="BH36" i="26"/>
  <c r="BH34" i="26"/>
  <c r="BH32" i="26"/>
  <c r="BH30" i="26"/>
  <c r="BH28" i="26"/>
  <c r="BH26" i="26"/>
  <c r="BH23" i="26"/>
  <c r="BH21" i="26"/>
  <c r="BH18" i="26"/>
  <c r="BH14" i="26"/>
  <c r="BH211" i="26"/>
  <c r="BH207" i="26"/>
  <c r="BH203" i="26"/>
  <c r="BH199" i="26"/>
  <c r="BH195" i="26"/>
  <c r="BH191" i="26"/>
  <c r="BH187" i="26"/>
  <c r="BH183" i="26"/>
  <c r="BH179" i="26"/>
  <c r="BH175" i="26"/>
  <c r="BH171" i="26"/>
  <c r="BH25" i="26"/>
  <c r="BH17" i="26"/>
  <c r="AH107" i="28"/>
  <c r="AK10" i="13"/>
  <c r="BD9" i="26"/>
  <c r="BC61" i="26" s="1"/>
  <c r="W1" i="26"/>
  <c r="AE1" i="26"/>
  <c r="S2" i="26"/>
  <c r="S5" i="26"/>
  <c r="S7" i="26"/>
  <c r="S11" i="26"/>
  <c r="AN9" i="13"/>
  <c r="AL6" i="13"/>
  <c r="M34" i="13"/>
  <c r="J13" i="13"/>
  <c r="L4" i="13"/>
  <c r="M35" i="13"/>
  <c r="AI36" i="18"/>
  <c r="Z36" i="18"/>
  <c r="AI35" i="18"/>
  <c r="Z35" i="18"/>
  <c r="AI34" i="18"/>
  <c r="Z34" i="18"/>
  <c r="AI33" i="18"/>
  <c r="Z33" i="18"/>
  <c r="AI32" i="18"/>
  <c r="Z32" i="18"/>
  <c r="AI31" i="18"/>
  <c r="Z31" i="18"/>
  <c r="AI30" i="18"/>
  <c r="Z30" i="18"/>
  <c r="AI29" i="18"/>
  <c r="Z29" i="18"/>
  <c r="AI28" i="18"/>
  <c r="Z28" i="18"/>
  <c r="AI27" i="18"/>
  <c r="Z27" i="18"/>
  <c r="AI26" i="18"/>
  <c r="Z26" i="18"/>
  <c r="AA25" i="18"/>
  <c r="U25" i="18"/>
  <c r="AA24" i="18"/>
  <c r="U24" i="18"/>
  <c r="AI23" i="18"/>
  <c r="Z23" i="18"/>
  <c r="AI22" i="18"/>
  <c r="Z22" i="18"/>
  <c r="AI21" i="18"/>
  <c r="Z21" i="18"/>
  <c r="AA20" i="18"/>
  <c r="U20" i="18"/>
  <c r="AA19" i="18"/>
  <c r="U19" i="18"/>
  <c r="AI18" i="18"/>
  <c r="Z18" i="18"/>
  <c r="AA17" i="18"/>
  <c r="U17" i="18"/>
  <c r="AI16" i="18"/>
  <c r="Z16" i="18"/>
  <c r="AI15" i="18"/>
  <c r="Z15" i="18"/>
  <c r="AI14" i="18"/>
  <c r="Z14" i="18"/>
  <c r="AI13" i="18"/>
  <c r="Z13" i="18"/>
  <c r="AI12" i="18"/>
  <c r="Z12" i="18"/>
  <c r="AI11" i="18"/>
  <c r="Z11" i="18"/>
  <c r="AI10" i="18"/>
  <c r="Z10" i="18"/>
  <c r="AI9" i="18"/>
  <c r="Z9" i="18"/>
  <c r="AI8" i="18"/>
  <c r="Z8" i="18"/>
  <c r="AI7" i="18"/>
  <c r="Z7" i="18"/>
  <c r="AA6" i="18"/>
  <c r="U6" i="18"/>
  <c r="AA5" i="18"/>
  <c r="U5" i="18"/>
  <c r="AA4" i="18"/>
  <c r="U4" i="18"/>
  <c r="AA3" i="18"/>
  <c r="U3" i="18"/>
  <c r="AA2" i="18"/>
  <c r="AI1" i="18"/>
  <c r="AE1" i="18"/>
  <c r="AA1" i="18"/>
  <c r="X4" i="13"/>
  <c r="AH227" i="28"/>
  <c r="AG92" i="28"/>
  <c r="AH92" i="28" s="1"/>
  <c r="AG95" i="28"/>
  <c r="AH95" i="28" s="1"/>
  <c r="AG105" i="28"/>
  <c r="AA116" i="28"/>
  <c r="AA117" i="28" s="1"/>
  <c r="AA118" i="28" s="1"/>
  <c r="AA119" i="28" s="1"/>
  <c r="AA120" i="28" s="1"/>
  <c r="AA121" i="28" s="1"/>
  <c r="AA122" i="28" s="1"/>
  <c r="AA123" i="28" s="1"/>
  <c r="AA124" i="28" s="1"/>
  <c r="AA125" i="28" s="1"/>
  <c r="AA126" i="28" s="1"/>
  <c r="AA127" i="28" s="1"/>
  <c r="AA128" i="28" s="1"/>
  <c r="AA129" i="28" s="1"/>
  <c r="AA130" i="28" s="1"/>
  <c r="AA131" i="28" s="1"/>
  <c r="AA132" i="28" s="1"/>
  <c r="AA133" i="28" s="1"/>
  <c r="AA134" i="28" s="1"/>
  <c r="AA135" i="28" s="1"/>
  <c r="AA136" i="28" s="1"/>
  <c r="AA137" i="28" s="1"/>
  <c r="AA138" i="28" s="1"/>
  <c r="AA139" i="28" s="1"/>
  <c r="AA140" i="28" s="1"/>
  <c r="AA141" i="28" s="1"/>
  <c r="AA142" i="28" s="1"/>
  <c r="AA143" i="28" s="1"/>
  <c r="AA144" i="28" s="1"/>
  <c r="AA145" i="28" s="1"/>
  <c r="AA146" i="28" s="1"/>
  <c r="AA147" i="28" s="1"/>
  <c r="AA148" i="28" s="1"/>
  <c r="AA149" i="28" s="1"/>
  <c r="AA150" i="28" s="1"/>
  <c r="AA151" i="28" s="1"/>
  <c r="AA152" i="28" s="1"/>
  <c r="AA153" i="28" s="1"/>
  <c r="AA154" i="28" s="1"/>
  <c r="AA155" i="28" s="1"/>
  <c r="AA156" i="28" s="1"/>
  <c r="AA157" i="28" s="1"/>
  <c r="AA158" i="28" s="1"/>
  <c r="AA159" i="28" s="1"/>
  <c r="AA160" i="28" s="1"/>
  <c r="AA161" i="28" s="1"/>
  <c r="AA162" i="28" s="1"/>
  <c r="AA163" i="28" s="1"/>
  <c r="AA164" i="28" s="1"/>
  <c r="AA165" i="28" s="1"/>
  <c r="AA166" i="28" s="1"/>
  <c r="AA167" i="28" s="1"/>
  <c r="AA168" i="28" s="1"/>
  <c r="AA169" i="28" s="1"/>
  <c r="AA170" i="28" s="1"/>
  <c r="AA171" i="28" s="1"/>
  <c r="AA172" i="28" s="1"/>
  <c r="AA173" i="28" s="1"/>
  <c r="AA174" i="28" s="1"/>
  <c r="AA175" i="28" s="1"/>
  <c r="AA176" i="28" s="1"/>
  <c r="AA177" i="28" s="1"/>
  <c r="AA178" i="28" s="1"/>
  <c r="AA179" i="28" s="1"/>
  <c r="AA180" i="28" s="1"/>
  <c r="AA181" i="28" s="1"/>
  <c r="AA182" i="28" s="1"/>
  <c r="AA183" i="28" s="1"/>
  <c r="AA184" i="28" s="1"/>
  <c r="AA185" i="28" s="1"/>
  <c r="AA186" i="28" s="1"/>
  <c r="AA187" i="28" s="1"/>
  <c r="AA188" i="28" s="1"/>
  <c r="AA189" i="28" s="1"/>
  <c r="AA190" i="28" s="1"/>
  <c r="AA191" i="28" s="1"/>
  <c r="AA192" i="28" s="1"/>
  <c r="AA193" i="28" s="1"/>
  <c r="AA194" i="28" s="1"/>
  <c r="AA195" i="28" s="1"/>
  <c r="AA196" i="28" s="1"/>
  <c r="AA197" i="28" s="1"/>
  <c r="AA198" i="28" s="1"/>
  <c r="AA199" i="28" s="1"/>
  <c r="AA200" i="28" s="1"/>
  <c r="AA201" i="28" s="1"/>
  <c r="AA202" i="28" s="1"/>
  <c r="AA203" i="28" s="1"/>
  <c r="AA204" i="28" s="1"/>
  <c r="AA205" i="28" s="1"/>
  <c r="AA206" i="28" s="1"/>
  <c r="AA207" i="28" s="1"/>
  <c r="AA208" i="28" s="1"/>
  <c r="AA209" i="28" s="1"/>
  <c r="AA210" i="28" s="1"/>
  <c r="AA211" i="28" s="1"/>
  <c r="AA212" i="28" s="1"/>
  <c r="AA213" i="28" s="1"/>
  <c r="AA214" i="28" s="1"/>
  <c r="AA215" i="28" s="1"/>
  <c r="AA216" i="28" s="1"/>
  <c r="AA217" i="28" s="1"/>
  <c r="AA218" i="28" s="1"/>
  <c r="AA219" i="28" s="1"/>
  <c r="AA220" i="28" s="1"/>
  <c r="AA221" i="28" s="1"/>
  <c r="AA222" i="28" s="1"/>
  <c r="AA223" i="28" s="1"/>
  <c r="AA224" i="28" s="1"/>
  <c r="AA225" i="28" s="1"/>
  <c r="AA226" i="28" s="1"/>
  <c r="AA227" i="28" s="1"/>
  <c r="AA228" i="28" s="1"/>
  <c r="AA229" i="28" s="1"/>
  <c r="AA230" i="28" s="1"/>
  <c r="AA231" i="28" s="1"/>
  <c r="AA232" i="28" s="1"/>
  <c r="AA233" i="28" s="1"/>
  <c r="AA234" i="28" s="1"/>
  <c r="AA235" i="28" s="1"/>
  <c r="AA236" i="28" s="1"/>
  <c r="AA237" i="28" s="1"/>
  <c r="AA238" i="28" s="1"/>
  <c r="AA239" i="28" s="1"/>
  <c r="AA240" i="28" s="1"/>
  <c r="AA241" i="28" s="1"/>
  <c r="AA242" i="28" s="1"/>
  <c r="AA243" i="28" s="1"/>
  <c r="AA244" i="28" s="1"/>
  <c r="AA245" i="28" s="1"/>
  <c r="AA246" i="28" s="1"/>
  <c r="AA247" i="28" s="1"/>
  <c r="AA248" i="28" s="1"/>
  <c r="AA249" i="28" s="1"/>
  <c r="AA250" i="28" s="1"/>
  <c r="AA251" i="28" s="1"/>
  <c r="AA252" i="28" s="1"/>
  <c r="AA253" i="28" s="1"/>
  <c r="AA254" i="28" s="1"/>
  <c r="AA255" i="28" s="1"/>
  <c r="AA256" i="28" s="1"/>
  <c r="AA257" i="28" s="1"/>
  <c r="AA258" i="28" s="1"/>
  <c r="AA259" i="28" s="1"/>
  <c r="AA260" i="28" s="1"/>
  <c r="AA261" i="28" s="1"/>
  <c r="AA262" i="28" s="1"/>
  <c r="AA263" i="28" s="1"/>
  <c r="AA264" i="28" s="1"/>
  <c r="AA265" i="28" s="1"/>
  <c r="AA266" i="28" s="1"/>
  <c r="AA267" i="28" s="1"/>
  <c r="AA268" i="28" s="1"/>
  <c r="AA269" i="28" s="1"/>
  <c r="AA270" i="28" s="1"/>
  <c r="AA271" i="28" s="1"/>
  <c r="AA272" i="28" s="1"/>
  <c r="AA273" i="28" s="1"/>
  <c r="AA274" i="28" s="1"/>
  <c r="AA275" i="28" s="1"/>
  <c r="AA276" i="28" s="1"/>
  <c r="AA277" i="28" s="1"/>
  <c r="AA278" i="28" s="1"/>
  <c r="AA279" i="28" s="1"/>
  <c r="AA280" i="28" s="1"/>
  <c r="AA281" i="28" s="1"/>
  <c r="AA282" i="28" s="1"/>
  <c r="AA283" i="28" s="1"/>
  <c r="AA284" i="28" s="1"/>
  <c r="AA285" i="28" s="1"/>
  <c r="AA286" i="28" s="1"/>
  <c r="AA287" i="28" s="1"/>
  <c r="AA288" i="28" s="1"/>
  <c r="AA289" i="28" s="1"/>
  <c r="AA290" i="28" s="1"/>
  <c r="AA291" i="28" s="1"/>
  <c r="AA292" i="28" s="1"/>
  <c r="AA293" i="28" s="1"/>
  <c r="AA294" i="28" s="1"/>
  <c r="AA295" i="28" s="1"/>
  <c r="AA296" i="28" s="1"/>
  <c r="AA297" i="28" s="1"/>
  <c r="AA298" i="28" s="1"/>
  <c r="AA299" i="28" s="1"/>
  <c r="AA300" i="28" s="1"/>
  <c r="AA301" i="28" s="1"/>
  <c r="AA302" i="28" s="1"/>
  <c r="AA303" i="28" s="1"/>
  <c r="AA304" i="28" s="1"/>
  <c r="AA305" i="28" s="1"/>
  <c r="AA306" i="28" s="1"/>
  <c r="AA307" i="28" s="1"/>
  <c r="AA308" i="28" s="1"/>
  <c r="AA309" i="28" s="1"/>
  <c r="AA310" i="28" s="1"/>
  <c r="AA311" i="28" s="1"/>
  <c r="AA312" i="28" s="1"/>
  <c r="AA313" i="28" s="1"/>
  <c r="AA314" i="28" s="1"/>
  <c r="AA315" i="28" s="1"/>
  <c r="AA316" i="28" s="1"/>
  <c r="U35" i="29"/>
  <c r="U33" i="29"/>
  <c r="AB31" i="29"/>
  <c r="U30" i="29"/>
  <c r="AB29" i="29"/>
  <c r="U28" i="29"/>
  <c r="U26" i="29"/>
  <c r="U24" i="29"/>
  <c r="U22" i="29"/>
  <c r="U17" i="29"/>
  <c r="U16" i="29"/>
  <c r="AB14" i="29"/>
  <c r="AB13" i="29"/>
  <c r="U11" i="29"/>
  <c r="AB9" i="29"/>
  <c r="U8" i="29"/>
  <c r="AB6" i="29"/>
  <c r="U3" i="29"/>
  <c r="AA1" i="29"/>
  <c r="V1" i="29"/>
  <c r="X1" i="29"/>
  <c r="Z1" i="29"/>
  <c r="AB1" i="29"/>
  <c r="AB2" i="29"/>
  <c r="U4" i="29"/>
  <c r="U5" i="29"/>
  <c r="AB5" i="29"/>
  <c r="U7" i="29"/>
  <c r="AB7" i="29"/>
  <c r="U9" i="29"/>
  <c r="U10" i="29"/>
  <c r="AB10" i="29"/>
  <c r="U12" i="29"/>
  <c r="AB12" i="29"/>
  <c r="U14" i="29"/>
  <c r="U15" i="29"/>
  <c r="AB15" i="29"/>
  <c r="AB16" i="29"/>
  <c r="AB17" i="29"/>
  <c r="AB18" i="29"/>
  <c r="U19" i="29"/>
  <c r="AB19" i="29"/>
  <c r="U20" i="29"/>
  <c r="AB20" i="29"/>
  <c r="U21" i="29"/>
  <c r="AB21" i="29"/>
  <c r="AB22" i="29"/>
  <c r="AB23" i="29"/>
  <c r="AB24" i="29"/>
  <c r="AB25" i="29"/>
  <c r="AB26" i="29"/>
  <c r="AB27" i="29"/>
  <c r="AB28" i="29"/>
  <c r="U29" i="29"/>
  <c r="AB30" i="29"/>
  <c r="U31" i="29"/>
  <c r="AB32" i="29"/>
  <c r="AB33" i="29"/>
  <c r="AB34" i="29"/>
  <c r="AB35" i="29"/>
  <c r="AB36" i="29"/>
  <c r="P142" i="29"/>
  <c r="P140" i="29"/>
  <c r="P138" i="29"/>
  <c r="P136" i="29"/>
  <c r="P134" i="29"/>
  <c r="P132" i="29"/>
  <c r="P130" i="29"/>
  <c r="P128" i="29"/>
  <c r="P126" i="29"/>
  <c r="P124" i="29"/>
  <c r="P122" i="29"/>
  <c r="P120" i="29"/>
  <c r="P118" i="29"/>
  <c r="P116" i="29"/>
  <c r="P114" i="29"/>
  <c r="P112" i="29"/>
  <c r="P110" i="29"/>
  <c r="P108" i="29"/>
  <c r="P106" i="29"/>
  <c r="P104" i="29"/>
  <c r="P102" i="29"/>
  <c r="P100" i="29"/>
  <c r="P98" i="29"/>
  <c r="P96" i="29"/>
  <c r="P94" i="29"/>
  <c r="P92" i="29"/>
  <c r="P90" i="29"/>
  <c r="P88" i="29"/>
  <c r="P86" i="29"/>
  <c r="P84" i="29"/>
  <c r="P82" i="29"/>
  <c r="P80" i="29"/>
  <c r="P78" i="29"/>
  <c r="P76" i="29"/>
  <c r="P74" i="29"/>
  <c r="P72" i="29"/>
  <c r="P70" i="29"/>
  <c r="P68" i="29"/>
  <c r="P66" i="29"/>
  <c r="P64" i="29"/>
  <c r="BY44" i="28"/>
  <c r="BY45" i="28" s="1"/>
  <c r="BZ45" i="28" s="1"/>
  <c r="W74" i="18"/>
  <c r="W77" i="18" s="1"/>
  <c r="B13" i="18"/>
  <c r="W75" i="18"/>
  <c r="BZ44" i="28"/>
  <c r="K13" i="13"/>
  <c r="N7" i="13" s="1"/>
  <c r="M28" i="13"/>
  <c r="M29" i="13" s="1"/>
  <c r="AK11" i="13"/>
  <c r="AP11" i="13" s="1"/>
  <c r="AQ11" i="13"/>
  <c r="AR11" i="13" s="1"/>
  <c r="AN10" i="13"/>
  <c r="AP9" i="13"/>
  <c r="AQ9" i="13" s="1"/>
  <c r="AP10" i="13"/>
  <c r="AQ10" i="13" s="1"/>
  <c r="AR10" i="13" s="1"/>
  <c r="AH94" i="28"/>
  <c r="AF56" i="18"/>
  <c r="AF57" i="18" s="1"/>
  <c r="P22" i="18"/>
  <c r="X59" i="18"/>
  <c r="X60" i="18"/>
  <c r="X61" i="18"/>
  <c r="P21" i="18"/>
  <c r="AH104" i="28"/>
  <c r="AH105" i="28"/>
  <c r="BC15" i="26"/>
  <c r="BC20" i="26"/>
  <c r="BC21" i="26"/>
  <c r="BC28" i="26"/>
  <c r="BC30" i="26"/>
  <c r="BC36" i="26"/>
  <c r="BC38" i="26"/>
  <c r="BC44" i="26"/>
  <c r="BC46" i="26"/>
  <c r="BC52" i="26"/>
  <c r="BC54" i="26"/>
  <c r="BC82" i="26"/>
  <c r="BF82" i="26" s="1"/>
  <c r="BC84" i="26"/>
  <c r="BH84" i="26" s="1"/>
  <c r="BC90" i="26"/>
  <c r="BF90" i="26" s="1"/>
  <c r="BC92" i="26"/>
  <c r="BF92" i="26" s="1"/>
  <c r="BC98" i="26"/>
  <c r="BF98" i="26" s="1"/>
  <c r="BC100" i="26"/>
  <c r="BH100" i="26" s="1"/>
  <c r="BC106" i="26"/>
  <c r="BF106" i="26" s="1"/>
  <c r="BC108" i="26"/>
  <c r="BF108" i="26" s="1"/>
  <c r="BC114" i="26"/>
  <c r="BF114" i="26" s="1"/>
  <c r="BC117" i="26"/>
  <c r="BH117" i="26" s="1"/>
  <c r="BC118" i="26"/>
  <c r="BC122" i="26"/>
  <c r="BF122" i="26" s="1"/>
  <c r="BC125" i="26"/>
  <c r="BH125" i="26" s="1"/>
  <c r="BC126" i="26"/>
  <c r="BC130" i="26"/>
  <c r="BF130" i="26" s="1"/>
  <c r="BC133" i="26"/>
  <c r="BH133" i="26" s="1"/>
  <c r="BC134" i="26"/>
  <c r="BC138" i="26"/>
  <c r="BF138" i="26" s="1"/>
  <c r="BC141" i="26"/>
  <c r="BH141" i="26" s="1"/>
  <c r="BC142" i="26"/>
  <c r="BC146" i="26"/>
  <c r="BF146" i="26" s="1"/>
  <c r="BC149" i="26"/>
  <c r="BH149" i="26" s="1"/>
  <c r="BC150" i="26"/>
  <c r="BC154" i="26"/>
  <c r="BF154" i="26" s="1"/>
  <c r="BC157" i="26"/>
  <c r="BH157" i="26" s="1"/>
  <c r="BC158" i="26"/>
  <c r="BC163" i="26"/>
  <c r="BH163" i="26" s="1"/>
  <c r="BC164" i="26"/>
  <c r="BH164" i="26" s="1"/>
  <c r="BC165" i="26"/>
  <c r="BC167" i="26"/>
  <c r="BC168" i="26"/>
  <c r="BF168" i="26"/>
  <c r="BF169" i="26"/>
  <c r="BC170" i="26"/>
  <c r="BF170" i="26"/>
  <c r="BF171" i="26"/>
  <c r="BC172" i="26"/>
  <c r="BF172" i="26"/>
  <c r="BF173" i="26"/>
  <c r="BC174" i="26"/>
  <c r="BF174" i="26"/>
  <c r="BF175" i="26"/>
  <c r="BC176" i="26"/>
  <c r="BF176" i="26"/>
  <c r="BF177" i="26"/>
  <c r="BC178" i="26"/>
  <c r="BF178" i="26"/>
  <c r="BF179" i="26"/>
  <c r="BC180" i="26"/>
  <c r="BF180" i="26"/>
  <c r="BF181" i="26"/>
  <c r="BC182" i="26"/>
  <c r="BF182" i="26"/>
  <c r="BF183" i="26"/>
  <c r="BC184" i="26"/>
  <c r="BC185" i="26"/>
  <c r="BC187" i="26"/>
  <c r="BC188" i="26"/>
  <c r="BC189" i="26"/>
  <c r="BC191" i="26"/>
  <c r="BC192" i="26"/>
  <c r="BC193" i="26"/>
  <c r="BC195" i="26"/>
  <c r="BC196" i="26"/>
  <c r="BC197" i="26"/>
  <c r="BC199" i="26"/>
  <c r="BC200" i="26"/>
  <c r="BC201" i="26"/>
  <c r="BC203" i="26"/>
  <c r="BC204" i="26"/>
  <c r="BC205" i="26"/>
  <c r="BC207" i="26"/>
  <c r="BC208" i="26"/>
  <c r="BC209" i="26"/>
  <c r="BC211" i="26"/>
  <c r="BC11" i="26"/>
  <c r="BC12" i="26"/>
  <c r="BC14" i="26"/>
  <c r="BC16" i="26"/>
  <c r="BC19" i="26"/>
  <c r="BC24" i="26"/>
  <c r="BC25" i="26"/>
  <c r="BC26" i="26"/>
  <c r="BC31" i="26"/>
  <c r="BC33" i="26"/>
  <c r="BC35" i="26"/>
  <c r="BC39" i="26"/>
  <c r="BC41" i="26"/>
  <c r="BC43" i="26"/>
  <c r="BC47" i="26"/>
  <c r="BC49" i="26"/>
  <c r="BC51" i="26"/>
  <c r="BC55" i="26"/>
  <c r="BC57" i="26"/>
  <c r="BC83" i="26"/>
  <c r="BH83" i="26" s="1"/>
  <c r="BC87" i="26"/>
  <c r="BH87" i="26" s="1"/>
  <c r="BC89" i="26"/>
  <c r="BF89" i="26" s="1"/>
  <c r="BC91" i="26"/>
  <c r="BF91" i="26" s="1"/>
  <c r="BC95" i="26"/>
  <c r="BH95" i="26" s="1"/>
  <c r="BC97" i="26"/>
  <c r="BC99" i="26"/>
  <c r="BC103" i="26"/>
  <c r="BH103" i="26" s="1"/>
  <c r="BC105" i="26"/>
  <c r="BC107" i="26"/>
  <c r="BC111" i="26"/>
  <c r="BH111" i="26" s="1"/>
  <c r="BC112" i="26"/>
  <c r="BF112" i="26" s="1"/>
  <c r="BC115" i="26"/>
  <c r="BH115" i="26" s="1"/>
  <c r="BC119" i="26"/>
  <c r="BH119" i="26" s="1"/>
  <c r="BC120" i="26"/>
  <c r="BF120" i="26" s="1"/>
  <c r="BC123" i="26"/>
  <c r="BF123" i="26" s="1"/>
  <c r="BC127" i="26"/>
  <c r="BH127" i="26" s="1"/>
  <c r="BC128" i="26"/>
  <c r="BH128" i="26" s="1"/>
  <c r="BC131" i="26"/>
  <c r="BF131" i="26" s="1"/>
  <c r="BC135" i="26"/>
  <c r="BH135" i="26" s="1"/>
  <c r="BC136" i="26"/>
  <c r="BC139" i="26"/>
  <c r="BF139" i="26" s="1"/>
  <c r="BC143" i="26"/>
  <c r="BF143" i="26" s="1"/>
  <c r="BC144" i="26"/>
  <c r="BH144" i="26" s="1"/>
  <c r="BC147" i="26"/>
  <c r="BF147" i="26" s="1"/>
  <c r="BC151" i="26"/>
  <c r="BC152" i="26"/>
  <c r="BC155" i="26"/>
  <c r="BF155" i="26" s="1"/>
  <c r="BC159" i="26"/>
  <c r="BH159" i="26" s="1"/>
  <c r="BC160" i="26"/>
  <c r="BH160" i="26" s="1"/>
  <c r="BC161" i="26"/>
  <c r="BH161" i="26" s="1"/>
  <c r="I26" i="13"/>
  <c r="I31" i="13"/>
  <c r="I33" i="13"/>
  <c r="I28" i="13"/>
  <c r="I25" i="13"/>
  <c r="I24" i="13"/>
  <c r="I29" i="13"/>
  <c r="I34" i="13"/>
  <c r="I36" i="13"/>
  <c r="I35" i="13"/>
  <c r="I30" i="13"/>
  <c r="I27" i="13"/>
  <c r="BF161" i="26"/>
  <c r="BF159" i="26"/>
  <c r="BH155" i="26"/>
  <c r="BH151" i="26"/>
  <c r="BF151" i="26"/>
  <c r="BH147" i="26"/>
  <c r="BH143" i="26"/>
  <c r="BH139" i="26"/>
  <c r="BF135" i="26"/>
  <c r="BF127" i="26"/>
  <c r="BF119" i="26"/>
  <c r="BF115" i="26"/>
  <c r="BF111" i="26"/>
  <c r="BF107" i="26"/>
  <c r="BH107" i="26"/>
  <c r="BF99" i="26"/>
  <c r="BH99" i="26"/>
  <c r="BF95" i="26"/>
  <c r="BF87" i="26"/>
  <c r="BF83" i="26"/>
  <c r="BF167" i="26"/>
  <c r="BH167" i="26"/>
  <c r="BH165" i="26"/>
  <c r="BF165" i="26"/>
  <c r="BF163" i="26"/>
  <c r="BF158" i="26"/>
  <c r="BH158" i="26"/>
  <c r="BH154" i="26"/>
  <c r="BF150" i="26"/>
  <c r="BH150" i="26"/>
  <c r="BF142" i="26"/>
  <c r="BH142" i="26"/>
  <c r="BH138" i="26"/>
  <c r="BF134" i="26"/>
  <c r="BH134" i="26"/>
  <c r="BH130" i="26"/>
  <c r="BF126" i="26"/>
  <c r="BH126" i="26"/>
  <c r="BH122" i="26"/>
  <c r="BF118" i="26"/>
  <c r="BH118" i="26"/>
  <c r="BH106" i="26"/>
  <c r="BH98" i="26"/>
  <c r="BF160" i="26"/>
  <c r="BF128" i="26"/>
  <c r="BH120" i="26"/>
  <c r="BF105" i="26"/>
  <c r="BH105" i="26"/>
  <c r="BF97" i="26"/>
  <c r="BH97" i="26"/>
  <c r="BH89" i="26"/>
  <c r="BF166" i="26"/>
  <c r="BF164" i="26"/>
  <c r="BF162" i="26"/>
  <c r="BF141" i="26"/>
  <c r="BF133" i="26"/>
  <c r="BH108" i="26"/>
  <c r="BH92" i="26"/>
  <c r="AD34" i="21"/>
  <c r="AR9" i="13"/>
  <c r="BY46" i="28"/>
  <c r="BZ46" i="28" s="1"/>
  <c r="BH131" i="26"/>
  <c r="AF59" i="18"/>
  <c r="AD35" i="21"/>
  <c r="AN11" i="13"/>
  <c r="AK12" i="13"/>
  <c r="AN12" i="13" s="1"/>
  <c r="X79" i="18"/>
  <c r="X78" i="18"/>
  <c r="W80" i="18"/>
  <c r="BY47" i="28"/>
  <c r="BY48" i="28" s="1"/>
  <c r="AK13" i="13"/>
  <c r="AP13" i="13" s="1"/>
  <c r="AQ13" i="13" s="1"/>
  <c r="AR13" i="13" s="1"/>
  <c r="AF71" i="21"/>
  <c r="AF72" i="21"/>
  <c r="AF73" i="21"/>
  <c r="AF74" i="21"/>
  <c r="D20" i="21"/>
  <c r="AW65" i="21"/>
  <c r="BA35" i="19"/>
  <c r="C18" i="29"/>
  <c r="AV65" i="21"/>
  <c r="AZ35" i="19"/>
  <c r="B18" i="29"/>
  <c r="C20" i="21"/>
  <c r="AO992" i="28" l="1"/>
  <c r="AK872" i="28"/>
  <c r="AS871" i="28"/>
  <c r="AK818" i="28"/>
  <c r="AS817" i="28"/>
  <c r="AK786" i="28"/>
  <c r="AS785" i="28"/>
  <c r="AS592" i="28"/>
  <c r="AS542" i="28"/>
  <c r="AS524" i="28"/>
  <c r="AS234" i="28"/>
  <c r="AK225" i="28"/>
  <c r="AK702" i="28"/>
  <c r="AK701" i="28"/>
  <c r="AS694" i="28"/>
  <c r="AS693" i="28"/>
  <c r="AK515" i="28"/>
  <c r="AK409" i="28"/>
  <c r="AS406" i="28"/>
  <c r="AM860" i="28"/>
  <c r="AQ179" i="28"/>
  <c r="AQ178" i="28"/>
  <c r="AM889" i="28"/>
  <c r="AS258" i="28"/>
  <c r="AK257" i="28"/>
  <c r="AS255" i="28"/>
  <c r="AS247" i="28"/>
  <c r="AS1087" i="28"/>
  <c r="AS1086" i="28"/>
  <c r="AK1073" i="28"/>
  <c r="AK1069" i="28"/>
  <c r="AK1022" i="28"/>
  <c r="AS1021" i="28"/>
  <c r="AK987" i="28"/>
  <c r="AK986" i="28"/>
  <c r="AS985" i="28"/>
  <c r="AS984" i="28"/>
  <c r="AK947" i="28"/>
  <c r="AK946" i="28"/>
  <c r="AS945" i="28"/>
  <c r="AS944" i="28"/>
  <c r="AS896" i="28"/>
  <c r="AS892" i="28"/>
  <c r="AS891" i="28"/>
  <c r="AK875" i="28"/>
  <c r="AK821" i="28"/>
  <c r="AS802" i="28"/>
  <c r="AK796" i="28"/>
  <c r="AS795" i="28"/>
  <c r="AK789" i="28"/>
  <c r="AS770" i="28"/>
  <c r="AK764" i="28"/>
  <c r="AS763" i="28"/>
  <c r="AK721" i="28"/>
  <c r="AS628" i="28"/>
  <c r="AK623" i="28"/>
  <c r="AS612" i="28"/>
  <c r="AS589" i="28"/>
  <c r="AS588" i="28"/>
  <c r="AS553" i="28"/>
  <c r="AK489" i="28"/>
  <c r="AS470" i="28"/>
  <c r="AK427" i="28"/>
  <c r="AS382" i="28"/>
  <c r="AK1089" i="28"/>
  <c r="AK1085" i="28"/>
  <c r="AS1071" i="28"/>
  <c r="AS1070" i="28"/>
  <c r="AK1058" i="28"/>
  <c r="AS1057" i="28"/>
  <c r="AK1038" i="28"/>
  <c r="AS1037" i="28"/>
  <c r="AK1006" i="28"/>
  <c r="AS1005" i="28"/>
  <c r="AK971" i="28"/>
  <c r="AK970" i="28"/>
  <c r="AS969" i="28"/>
  <c r="AS968" i="28"/>
  <c r="AK963" i="28"/>
  <c r="AK962" i="28"/>
  <c r="AS961" i="28"/>
  <c r="AS960" i="28"/>
  <c r="AK895" i="28"/>
  <c r="AK894" i="28"/>
  <c r="AK884" i="28"/>
  <c r="AS883" i="28"/>
  <c r="AK880" i="28"/>
  <c r="AS879" i="28"/>
  <c r="AS869" i="28"/>
  <c r="AK862" i="28"/>
  <c r="AS814" i="28"/>
  <c r="AK808" i="28"/>
  <c r="AS807" i="28"/>
  <c r="AK801" i="28"/>
  <c r="AS782" i="28"/>
  <c r="AK776" i="28"/>
  <c r="AS775" i="28"/>
  <c r="AK769" i="28"/>
  <c r="AS680" i="28"/>
  <c r="AK665" i="28"/>
  <c r="AS653" i="28"/>
  <c r="AK627" i="28"/>
  <c r="AK626" i="28"/>
  <c r="AS625" i="28"/>
  <c r="AS624" i="28"/>
  <c r="AK587" i="28"/>
  <c r="AS577" i="28"/>
  <c r="AS576" i="28"/>
  <c r="AS540" i="28"/>
  <c r="AS526" i="28"/>
  <c r="AK510" i="28"/>
  <c r="AK449" i="28"/>
  <c r="AS430" i="28"/>
  <c r="AS240" i="28"/>
  <c r="AM629" i="28"/>
  <c r="AO615" i="28"/>
  <c r="AO618" i="28"/>
  <c r="AO616" i="28"/>
  <c r="AM1064" i="28"/>
  <c r="AM661" i="28"/>
  <c r="AM1048" i="28"/>
  <c r="AM704" i="28"/>
  <c r="AM963" i="28"/>
  <c r="AM936" i="28"/>
  <c r="AM904" i="28"/>
  <c r="AM827" i="28"/>
  <c r="AM693" i="28"/>
  <c r="AM672" i="28"/>
  <c r="AM1000" i="28"/>
  <c r="AM968" i="28"/>
  <c r="AM931" i="28"/>
  <c r="AM763" i="28"/>
  <c r="AM640" i="28"/>
  <c r="AM236" i="28"/>
  <c r="AS1090" i="28"/>
  <c r="AK1086" i="28"/>
  <c r="AS1085" i="28"/>
  <c r="AS1078" i="28"/>
  <c r="AK1077" i="28"/>
  <c r="AK1076" i="28"/>
  <c r="AS1074" i="28"/>
  <c r="AK1070" i="28"/>
  <c r="AS1069" i="28"/>
  <c r="AK1061" i="28"/>
  <c r="AS1059" i="28"/>
  <c r="AS1058" i="28"/>
  <c r="AK1057" i="28"/>
  <c r="AK1050" i="28"/>
  <c r="AS1049" i="28"/>
  <c r="AK1046" i="28"/>
  <c r="AS1045" i="28"/>
  <c r="AS1038" i="28"/>
  <c r="AK1037" i="28"/>
  <c r="AK1036" i="28"/>
  <c r="AS1034" i="28"/>
  <c r="AK1030" i="28"/>
  <c r="AS1029" i="28"/>
  <c r="AS1022" i="28"/>
  <c r="AK1021" i="28"/>
  <c r="AK1020" i="28"/>
  <c r="AS1018" i="28"/>
  <c r="AK1014" i="28"/>
  <c r="AS1013" i="28"/>
  <c r="AS1006" i="28"/>
  <c r="AK1005" i="28"/>
  <c r="AK1004" i="28"/>
  <c r="AS1002" i="28"/>
  <c r="AK999" i="28"/>
  <c r="AK998" i="28"/>
  <c r="AS997" i="28"/>
  <c r="AS996" i="28"/>
  <c r="AS988" i="28"/>
  <c r="AS987" i="28"/>
  <c r="AK984" i="28"/>
  <c r="AK983" i="28"/>
  <c r="AK979" i="28"/>
  <c r="AS976" i="28"/>
  <c r="AS972" i="28"/>
  <c r="AS971" i="28"/>
  <c r="AS967" i="28"/>
  <c r="AK964" i="28"/>
  <c r="AK960" i="28"/>
  <c r="AK959" i="28"/>
  <c r="AK955" i="28"/>
  <c r="AS952" i="28"/>
  <c r="AS948" i="28"/>
  <c r="AS947" i="28"/>
  <c r="AK944" i="28"/>
  <c r="AK943" i="28"/>
  <c r="AK939" i="28"/>
  <c r="AS936" i="28"/>
  <c r="AK928" i="28"/>
  <c r="AK923" i="28"/>
  <c r="AK922" i="28"/>
  <c r="AS921" i="28"/>
  <c r="AS920" i="28"/>
  <c r="AS915" i="28"/>
  <c r="AK912" i="28"/>
  <c r="AK907" i="28"/>
  <c r="AK906" i="28"/>
  <c r="AS905" i="28"/>
  <c r="AS904" i="28"/>
  <c r="AK903" i="28"/>
  <c r="AK896" i="28"/>
  <c r="AS895" i="28"/>
  <c r="AK891" i="28"/>
  <c r="AK890" i="28"/>
  <c r="AS889" i="28"/>
  <c r="AS884" i="28"/>
  <c r="AK883" i="28"/>
  <c r="AK882" i="28"/>
  <c r="AS881" i="28"/>
  <c r="AS880" i="28"/>
  <c r="AK879" i="28"/>
  <c r="AS875" i="28"/>
  <c r="AS872" i="28"/>
  <c r="AK871" i="28"/>
  <c r="AK869" i="28"/>
  <c r="AK866" i="28"/>
  <c r="AS865" i="28"/>
  <c r="AS862" i="28"/>
  <c r="AS860" i="28"/>
  <c r="AK827" i="28"/>
  <c r="AK824" i="28"/>
  <c r="AS823" i="28"/>
  <c r="AS821" i="28"/>
  <c r="AS818" i="28"/>
  <c r="AK817" i="28"/>
  <c r="AK814" i="28"/>
  <c r="AK812" i="28"/>
  <c r="AS811" i="28"/>
  <c r="AS808" i="28"/>
  <c r="AK807" i="28"/>
  <c r="AK805" i="28"/>
  <c r="AK802" i="28"/>
  <c r="AS801" i="28"/>
  <c r="AS798" i="28"/>
  <c r="AS796" i="28"/>
  <c r="AK795" i="28"/>
  <c r="AK792" i="28"/>
  <c r="AS791" i="28"/>
  <c r="AS789" i="28"/>
  <c r="AS786" i="28"/>
  <c r="AK785" i="28"/>
  <c r="AK782" i="28"/>
  <c r="AK780" i="28"/>
  <c r="AS779" i="28"/>
  <c r="AS776" i="28"/>
  <c r="AK775" i="28"/>
  <c r="AK773" i="28"/>
  <c r="AK770" i="28"/>
  <c r="AS769" i="28"/>
  <c r="AS766" i="28"/>
  <c r="AS764" i="28"/>
  <c r="AS722" i="28"/>
  <c r="AK704" i="28"/>
  <c r="AS703" i="28"/>
  <c r="AS702" i="28"/>
  <c r="AK679" i="28"/>
  <c r="AK676" i="28"/>
  <c r="AS675" i="28"/>
  <c r="AS672" i="28"/>
  <c r="AS666" i="28"/>
  <c r="AK653" i="28"/>
  <c r="AK650" i="28"/>
  <c r="AS649" i="28"/>
  <c r="AK646" i="28"/>
  <c r="AK645" i="28"/>
  <c r="AK628" i="28"/>
  <c r="AS627" i="28"/>
  <c r="AK624" i="28"/>
  <c r="AS623" i="28"/>
  <c r="AK618" i="28"/>
  <c r="AS617" i="28"/>
  <c r="AS616" i="28"/>
  <c r="AK615" i="28"/>
  <c r="AK614" i="28"/>
  <c r="AK611" i="28"/>
  <c r="AK591" i="28"/>
  <c r="AK588" i="28"/>
  <c r="AS587" i="28"/>
  <c r="AS584" i="28"/>
  <c r="AK583" i="28"/>
  <c r="AK582" i="28"/>
  <c r="AK579" i="28"/>
  <c r="AK576" i="28"/>
  <c r="AS575" i="28"/>
  <c r="AK566" i="28"/>
  <c r="AK555" i="28"/>
  <c r="AK553" i="28"/>
  <c r="AK542" i="28"/>
  <c r="AK529" i="28"/>
  <c r="AK526" i="28"/>
  <c r="AK516" i="28"/>
  <c r="AS515" i="28"/>
  <c r="AS510" i="28"/>
  <c r="AS508" i="28"/>
  <c r="AS494" i="28"/>
  <c r="AS489" i="28"/>
  <c r="AK470" i="28"/>
  <c r="AS449" i="28"/>
  <c r="AS444" i="28"/>
  <c r="AK428" i="28"/>
  <c r="AS427" i="28"/>
  <c r="AK404" i="28"/>
  <c r="AS403" i="28"/>
  <c r="AK380" i="28"/>
  <c r="AS379" i="28"/>
  <c r="AK243" i="28"/>
  <c r="AS1091" i="28"/>
  <c r="AS1088" i="28"/>
  <c r="AS1084" i="28"/>
  <c r="AS1083" i="28"/>
  <c r="AK1080" i="28"/>
  <c r="AK1079" i="28"/>
  <c r="AK1075" i="28"/>
  <c r="AS1072" i="28"/>
  <c r="AS1068" i="28"/>
  <c r="AS1067" i="28"/>
  <c r="AS1063" i="28"/>
  <c r="AK1060" i="28"/>
  <c r="AK1055" i="28"/>
  <c r="AK1054" i="28"/>
  <c r="AS1053" i="28"/>
  <c r="AS1052" i="28"/>
  <c r="AS1044" i="28"/>
  <c r="AS1043" i="28"/>
  <c r="AK1040" i="28"/>
  <c r="AK1039" i="28"/>
  <c r="AK1035" i="28"/>
  <c r="AS1032" i="28"/>
  <c r="AS1028" i="28"/>
  <c r="AS1027" i="28"/>
  <c r="AK1024" i="28"/>
  <c r="AK1023" i="28"/>
  <c r="AK1019" i="28"/>
  <c r="AS1016" i="28"/>
  <c r="AS1012" i="28"/>
  <c r="AS1011" i="28"/>
  <c r="AK1008" i="28"/>
  <c r="AK1007" i="28"/>
  <c r="AK1003" i="28"/>
  <c r="AS1000" i="28"/>
  <c r="AS994" i="28"/>
  <c r="AK993" i="28"/>
  <c r="AS991" i="28"/>
  <c r="AS990" i="28"/>
  <c r="AK989" i="28"/>
  <c r="AK982" i="28"/>
  <c r="AS981" i="28"/>
  <c r="AK977" i="28"/>
  <c r="AS975" i="28"/>
  <c r="AS974" i="28"/>
  <c r="AK973" i="28"/>
  <c r="AK968" i="28"/>
  <c r="AS966" i="28"/>
  <c r="AK958" i="28"/>
  <c r="AS957" i="28"/>
  <c r="AK953" i="28"/>
  <c r="AS951" i="28"/>
  <c r="AS950" i="28"/>
  <c r="AK949" i="28"/>
  <c r="AK942" i="28"/>
  <c r="AS941" i="28"/>
  <c r="AK937" i="28"/>
  <c r="AS935" i="28"/>
  <c r="AK932" i="28"/>
  <c r="AS930" i="28"/>
  <c r="AK926" i="28"/>
  <c r="AS925" i="28"/>
  <c r="AS918" i="28"/>
  <c r="AK917" i="28"/>
  <c r="AK916" i="28"/>
  <c r="AS914" i="28"/>
  <c r="AK910" i="28"/>
  <c r="AS909" i="28"/>
  <c r="AK901" i="28"/>
  <c r="AK900" i="28"/>
  <c r="AS899" i="28"/>
  <c r="AS898" i="28"/>
  <c r="AS893" i="28"/>
  <c r="AK886" i="28"/>
  <c r="AK885" i="28"/>
  <c r="AK877" i="28"/>
  <c r="AK876" i="28"/>
  <c r="AS858" i="28"/>
  <c r="AK857" i="28"/>
  <c r="AK854" i="28"/>
  <c r="AK852" i="28"/>
  <c r="AS851" i="28"/>
  <c r="AS848" i="28"/>
  <c r="AK847" i="28"/>
  <c r="AK845" i="28"/>
  <c r="AK842" i="28"/>
  <c r="AS841" i="28"/>
  <c r="AS838" i="28"/>
  <c r="AS836" i="28"/>
  <c r="AK835" i="28"/>
  <c r="AK832" i="28"/>
  <c r="AS831" i="28"/>
  <c r="AS829" i="28"/>
  <c r="AK762" i="28"/>
  <c r="AS761" i="28"/>
  <c r="AS758" i="28"/>
  <c r="AS756" i="28"/>
  <c r="AK755" i="28"/>
  <c r="AK752" i="28"/>
  <c r="AS751" i="28"/>
  <c r="AS749" i="28"/>
  <c r="AS746" i="28"/>
  <c r="AK745" i="28"/>
  <c r="AK742" i="28"/>
  <c r="AK741" i="28"/>
  <c r="AS734" i="28"/>
  <c r="AS733" i="28"/>
  <c r="AK730" i="28"/>
  <c r="AS729" i="28"/>
  <c r="AS726" i="28"/>
  <c r="AK717" i="28"/>
  <c r="AK714" i="28"/>
  <c r="AS713" i="28"/>
  <c r="AK710" i="28"/>
  <c r="AK709" i="28"/>
  <c r="AK692" i="28"/>
  <c r="AS691" i="28"/>
  <c r="AK688" i="28"/>
  <c r="AS687" i="28"/>
  <c r="AS670" i="28"/>
  <c r="AK657" i="28"/>
  <c r="AK638" i="28"/>
  <c r="AK637" i="28"/>
  <c r="AS630" i="28"/>
  <c r="AS629" i="28"/>
  <c r="AK604" i="28"/>
  <c r="AS603" i="28"/>
  <c r="AK600" i="28"/>
  <c r="AS599" i="28"/>
  <c r="AK574" i="28"/>
  <c r="AS569" i="28"/>
  <c r="AS568" i="28"/>
  <c r="AS562" i="28"/>
  <c r="AS561" i="28"/>
  <c r="AS534" i="28"/>
  <c r="AS532" i="28"/>
  <c r="AK500" i="28"/>
  <c r="AS499" i="28"/>
  <c r="AS498" i="28"/>
  <c r="AS481" i="28"/>
  <c r="AS476" i="28"/>
  <c r="AK459" i="28"/>
  <c r="AK457" i="28"/>
  <c r="AS438" i="28"/>
  <c r="AS436" i="28"/>
  <c r="AK414" i="28"/>
  <c r="AS398" i="28"/>
  <c r="AK393" i="28"/>
  <c r="AS390" i="28"/>
  <c r="AS374" i="28"/>
  <c r="AS129" i="28"/>
  <c r="AS135" i="28"/>
  <c r="AS172" i="28"/>
  <c r="AS175" i="28"/>
  <c r="AS182" i="28"/>
  <c r="AS204" i="28"/>
  <c r="AS218" i="28"/>
  <c r="AS220" i="28"/>
  <c r="AS231" i="28"/>
  <c r="AS243" i="28"/>
  <c r="AS257" i="28"/>
  <c r="AS277" i="28"/>
  <c r="AS278" i="28"/>
  <c r="AS283" i="28"/>
  <c r="AS294" i="28"/>
  <c r="AS307" i="28"/>
  <c r="AS308" i="28"/>
  <c r="AS324" i="28"/>
  <c r="AS331" i="28"/>
  <c r="AS336" i="28"/>
  <c r="AS337" i="28"/>
  <c r="AS338" i="28"/>
  <c r="AS339" i="28"/>
  <c r="AS348" i="28"/>
  <c r="AS356" i="28"/>
  <c r="AS357" i="28"/>
  <c r="AS358" i="28"/>
  <c r="AS359" i="28"/>
  <c r="AS365" i="28"/>
  <c r="AS366" i="28"/>
  <c r="AS367" i="28"/>
  <c r="AS114" i="28"/>
  <c r="AS128" i="28"/>
  <c r="AS140" i="28"/>
  <c r="AS148" i="28"/>
  <c r="AS163" i="28"/>
  <c r="AS169" i="28"/>
  <c r="AS194" i="28"/>
  <c r="AS196" i="28"/>
  <c r="AS215" i="28"/>
  <c r="AS235" i="28"/>
  <c r="AS245" i="28"/>
  <c r="AS252" i="28"/>
  <c r="AS253" i="28"/>
  <c r="AS260" i="28"/>
  <c r="AS264" i="28"/>
  <c r="AS265" i="28"/>
  <c r="AS267" i="28"/>
  <c r="AS271" i="28"/>
  <c r="AS272" i="28"/>
  <c r="AS287" i="28"/>
  <c r="AS288" i="28"/>
  <c r="AS301" i="28"/>
  <c r="AS309" i="28"/>
  <c r="AS310" i="28"/>
  <c r="AS325" i="28"/>
  <c r="AS326" i="28"/>
  <c r="AS327" i="28"/>
  <c r="AS332" i="28"/>
  <c r="AS340" i="28"/>
  <c r="AS341" i="28"/>
  <c r="AS342" i="28"/>
  <c r="AS343" i="28"/>
  <c r="AS349" i="28"/>
  <c r="AS350" i="28"/>
  <c r="AS100" i="28"/>
  <c r="AS121" i="28"/>
  <c r="AS155" i="28"/>
  <c r="AS165" i="28"/>
  <c r="AS185" i="28"/>
  <c r="AS189" i="28"/>
  <c r="AS217" i="28"/>
  <c r="AS246" i="28"/>
  <c r="AS273" i="28"/>
  <c r="AS297" i="28"/>
  <c r="AS304" i="28"/>
  <c r="AS311" i="28"/>
  <c r="AS317" i="28"/>
  <c r="AS333" i="28"/>
  <c r="AS344" i="28"/>
  <c r="AS345" i="28"/>
  <c r="AS346" i="28"/>
  <c r="AS347" i="28"/>
  <c r="AS375" i="28"/>
  <c r="AS392" i="28"/>
  <c r="AS393" i="28"/>
  <c r="AS394" i="28"/>
  <c r="AS395" i="28"/>
  <c r="AS404" i="28"/>
  <c r="AS412" i="28"/>
  <c r="AS413" i="28"/>
  <c r="AS420" i="28"/>
  <c r="AS428" i="28"/>
  <c r="AS435" i="28"/>
  <c r="AS446" i="28"/>
  <c r="AS450" i="28"/>
  <c r="AS451" i="28"/>
  <c r="AS456" i="28"/>
  <c r="AS460" i="28"/>
  <c r="AS467" i="28"/>
  <c r="AS478" i="28"/>
  <c r="AS482" i="28"/>
  <c r="AS483" i="28"/>
  <c r="AS488" i="28"/>
  <c r="AS159" i="28"/>
  <c r="AS233" i="28"/>
  <c r="AS254" i="28"/>
  <c r="AS282" i="28"/>
  <c r="AS292" i="28"/>
  <c r="AS299" i="28"/>
  <c r="AS300" i="28"/>
  <c r="AS302" i="28"/>
  <c r="AS314" i="28"/>
  <c r="AS319" i="28"/>
  <c r="AS329" i="28"/>
  <c r="AS330" i="28"/>
  <c r="AS335" i="28"/>
  <c r="AS352" i="28"/>
  <c r="AS353" i="28"/>
  <c r="AS354" i="28"/>
  <c r="AS355" i="28"/>
  <c r="AS361" i="28"/>
  <c r="AS362" i="28"/>
  <c r="AS363" i="28"/>
  <c r="AS370" i="28"/>
  <c r="AS371" i="28"/>
  <c r="AS380" i="28"/>
  <c r="AS386" i="28"/>
  <c r="AS387" i="28"/>
  <c r="AS408" i="28"/>
  <c r="AS409" i="28"/>
  <c r="AS410" i="28"/>
  <c r="AS416" i="28"/>
  <c r="AS417" i="28"/>
  <c r="AS418" i="28"/>
  <c r="AS424" i="28"/>
  <c r="AS425" i="28"/>
  <c r="AS426" i="28"/>
  <c r="AS437" i="28"/>
  <c r="AS443" i="28"/>
  <c r="AS448" i="28"/>
  <c r="AS452" i="28"/>
  <c r="AS453" i="28"/>
  <c r="AS454" i="28"/>
  <c r="AS458" i="28"/>
  <c r="AS459" i="28"/>
  <c r="AS469" i="28"/>
  <c r="AS475" i="28"/>
  <c r="AS480" i="28"/>
  <c r="AS484" i="28"/>
  <c r="AS485" i="28"/>
  <c r="AS486" i="28"/>
  <c r="AS490" i="28"/>
  <c r="AS491" i="28"/>
  <c r="AS119" i="28"/>
  <c r="AS101" i="28"/>
  <c r="AS186" i="28"/>
  <c r="AS193" i="28"/>
  <c r="AS209" i="28"/>
  <c r="AS266" i="28"/>
  <c r="AS276" i="28"/>
  <c r="AS313" i="28"/>
  <c r="AS316" i="28"/>
  <c r="AS323" i="28"/>
  <c r="AS334" i="28"/>
  <c r="AS376" i="28"/>
  <c r="AS383" i="28"/>
  <c r="AS391" i="28"/>
  <c r="AS397" i="28"/>
  <c r="AS400" i="28"/>
  <c r="AS407" i="28"/>
  <c r="AS423" i="28"/>
  <c r="AS429" i="28"/>
  <c r="AS432" i="28"/>
  <c r="AS439" i="28"/>
  <c r="AS442" i="28"/>
  <c r="AS455" i="28"/>
  <c r="AS461" i="28"/>
  <c r="AS464" i="28"/>
  <c r="AS471" i="28"/>
  <c r="AS474" i="28"/>
  <c r="AS487" i="28"/>
  <c r="AS492" i="28"/>
  <c r="AS502" i="28"/>
  <c r="AS503" i="28"/>
  <c r="AS507" i="28"/>
  <c r="AS516" i="28"/>
  <c r="AS523" i="28"/>
  <c r="AS527" i="28"/>
  <c r="AS531" i="28"/>
  <c r="AS535" i="28"/>
  <c r="AS539" i="28"/>
  <c r="AS547" i="28"/>
  <c r="AS550" i="28"/>
  <c r="AS551" i="28"/>
  <c r="AS554" i="28"/>
  <c r="AS558" i="28"/>
  <c r="AS559" i="28"/>
  <c r="AS197" i="28"/>
  <c r="AS306" i="28"/>
  <c r="AS312" i="28"/>
  <c r="AS315" i="28"/>
  <c r="AS321" i="28"/>
  <c r="AS351" i="28"/>
  <c r="AS360" i="28"/>
  <c r="AS364" i="28"/>
  <c r="AS368" i="28"/>
  <c r="AS373" i="28"/>
  <c r="AS378" i="28"/>
  <c r="AS381" i="28"/>
  <c r="AS384" i="28"/>
  <c r="AS389" i="28"/>
  <c r="AS399" i="28"/>
  <c r="AS402" i="28"/>
  <c r="AS405" i="28"/>
  <c r="AS415" i="28"/>
  <c r="AS421" i="28"/>
  <c r="AS431" i="28"/>
  <c r="AS434" i="28"/>
  <c r="AS440" i="28"/>
  <c r="AS445" i="28"/>
  <c r="AS447" i="28"/>
  <c r="AS463" i="28"/>
  <c r="AS466" i="28"/>
  <c r="AS472" i="28"/>
  <c r="AS477" i="28"/>
  <c r="AS479" i="28"/>
  <c r="AS497" i="28"/>
  <c r="AS500" i="28"/>
  <c r="AS504" i="28"/>
  <c r="AS505" i="28"/>
  <c r="AS509" i="28"/>
  <c r="AS513" i="28"/>
  <c r="AS514" i="28"/>
  <c r="AS518" i="28"/>
  <c r="AS521" i="28"/>
  <c r="AS525" i="28"/>
  <c r="AS528" i="28"/>
  <c r="AS533" i="28"/>
  <c r="AS537" i="28"/>
  <c r="AS541" i="28"/>
  <c r="AS545" i="28"/>
  <c r="AS548" i="28"/>
  <c r="AS552" i="28"/>
  <c r="AS556" i="28"/>
  <c r="AS560" i="28"/>
  <c r="AS571" i="28"/>
  <c r="AS579" i="28"/>
  <c r="AS582" i="28"/>
  <c r="AS585" i="28"/>
  <c r="AS591" i="28"/>
  <c r="AS596" i="28"/>
  <c r="AS602" i="28"/>
  <c r="AS605" i="28"/>
  <c r="AS608" i="28"/>
  <c r="AS611" i="28"/>
  <c r="AS614" i="28"/>
  <c r="AS620" i="28"/>
  <c r="AS626" i="28"/>
  <c r="AS634" i="28"/>
  <c r="AS637" i="28"/>
  <c r="AS642" i="28"/>
  <c r="AS645" i="28"/>
  <c r="AS648" i="28"/>
  <c r="AS651" i="28"/>
  <c r="AS654" i="28"/>
  <c r="AS657" i="28"/>
  <c r="AS662" i="28"/>
  <c r="AS665" i="28"/>
  <c r="AS671" i="28"/>
  <c r="AS673" i="28"/>
  <c r="AS679" i="28"/>
  <c r="AS684" i="28"/>
  <c r="AS690" i="28"/>
  <c r="AS698" i="28"/>
  <c r="AS701" i="28"/>
  <c r="AS706" i="28"/>
  <c r="AS709" i="28"/>
  <c r="AS712" i="28"/>
  <c r="AS715" i="28"/>
  <c r="AS718" i="28"/>
  <c r="AS721" i="28"/>
  <c r="AS727" i="28"/>
  <c r="AS732" i="28"/>
  <c r="AS738" i="28"/>
  <c r="AS741" i="28"/>
  <c r="AS146" i="28"/>
  <c r="AS289" i="28"/>
  <c r="AS298" i="28"/>
  <c r="AS318" i="28"/>
  <c r="AS372" i="28"/>
  <c r="AS388" i="28"/>
  <c r="AS401" i="28"/>
  <c r="AS419" i="28"/>
  <c r="AS433" i="28"/>
  <c r="AS473" i="28"/>
  <c r="AS495" i="28"/>
  <c r="AS501" i="28"/>
  <c r="AS511" i="28"/>
  <c r="AS520" i="28"/>
  <c r="AS522" i="28"/>
  <c r="AS536" i="28"/>
  <c r="AS538" i="28"/>
  <c r="AS544" i="28"/>
  <c r="AS546" i="28"/>
  <c r="AS549" i="28"/>
  <c r="AS557" i="28"/>
  <c r="AS563" i="28"/>
  <c r="AS581" i="28"/>
  <c r="AS586" i="28"/>
  <c r="AS590" i="28"/>
  <c r="AS594" i="28"/>
  <c r="AS595" i="28"/>
  <c r="AS609" i="28"/>
  <c r="AS613" i="28"/>
  <c r="AS618" i="28"/>
  <c r="AS619" i="28"/>
  <c r="AS631" i="28"/>
  <c r="AS635" i="28"/>
  <c r="AS643" i="28"/>
  <c r="AS652" i="28"/>
  <c r="AS656" i="28"/>
  <c r="AS660" i="28"/>
  <c r="AS664" i="28"/>
  <c r="AS668" i="28"/>
  <c r="AS669" i="28"/>
  <c r="AS674" i="28"/>
  <c r="AS678" i="28"/>
  <c r="AS682" i="28"/>
  <c r="AS683" i="28"/>
  <c r="AS695" i="28"/>
  <c r="AS699" i="28"/>
  <c r="AS707" i="28"/>
  <c r="AS716" i="28"/>
  <c r="AS720" i="28"/>
  <c r="AS724" i="28"/>
  <c r="AS725" i="28"/>
  <c r="AS735" i="28"/>
  <c r="AS739" i="28"/>
  <c r="AS743" i="28"/>
  <c r="AS748" i="28"/>
  <c r="AS754" i="28"/>
  <c r="AS757" i="28"/>
  <c r="AS760" i="28"/>
  <c r="AS765" i="28"/>
  <c r="AS768" i="28"/>
  <c r="AS771" i="28"/>
  <c r="AS774" i="28"/>
  <c r="AS777" i="28"/>
  <c r="AS783" i="28"/>
  <c r="AS788" i="28"/>
  <c r="AS794" i="28"/>
  <c r="AS797" i="28"/>
  <c r="AS800" i="28"/>
  <c r="AS803" i="28"/>
  <c r="AS806" i="28"/>
  <c r="AS809" i="28"/>
  <c r="AS815" i="28"/>
  <c r="AS820" i="28"/>
  <c r="AS826" i="28"/>
  <c r="AS828" i="28"/>
  <c r="AS834" i="28"/>
  <c r="AS837" i="28"/>
  <c r="AS840" i="28"/>
  <c r="AS843" i="28"/>
  <c r="AS846" i="28"/>
  <c r="AS849" i="28"/>
  <c r="AS855" i="28"/>
  <c r="AS863" i="28"/>
  <c r="AS868" i="28"/>
  <c r="AS874" i="28"/>
  <c r="AS152" i="28"/>
  <c r="AS293" i="28"/>
  <c r="AS320" i="28"/>
  <c r="AS369" i="28"/>
  <c r="AS377" i="28"/>
  <c r="AS385" i="28"/>
  <c r="AS396" i="28"/>
  <c r="AS411" i="28"/>
  <c r="AS422" i="28"/>
  <c r="AS441" i="28"/>
  <c r="AS465" i="28"/>
  <c r="AS493" i="28"/>
  <c r="AS496" i="28"/>
  <c r="AS506" i="28"/>
  <c r="AS512" i="28"/>
  <c r="AS517" i="28"/>
  <c r="AS519" i="28"/>
  <c r="AS530" i="28"/>
  <c r="AS543" i="28"/>
  <c r="AS564" i="28"/>
  <c r="AS565" i="28"/>
  <c r="AS570" i="28"/>
  <c r="AS572" i="28"/>
  <c r="AS573" i="28"/>
  <c r="AS578" i="28"/>
  <c r="AS593" i="28"/>
  <c r="AS597" i="28"/>
  <c r="AS598" i="28"/>
  <c r="AS606" i="28"/>
  <c r="AS607" i="28"/>
  <c r="AS610" i="28"/>
  <c r="AS615" i="28"/>
  <c r="AS621" i="28"/>
  <c r="AS622" i="28"/>
  <c r="AS632" i="28"/>
  <c r="AS633" i="28"/>
  <c r="AS636" i="28"/>
  <c r="AS640" i="28"/>
  <c r="AS641" i="28"/>
  <c r="AS644" i="28"/>
  <c r="AS655" i="28"/>
  <c r="AS659" i="28"/>
  <c r="AS663" i="28"/>
  <c r="AS667" i="28"/>
  <c r="AS681" i="28"/>
  <c r="AS685" i="28"/>
  <c r="AS686" i="28"/>
  <c r="AS696" i="28"/>
  <c r="AS697" i="28"/>
  <c r="AS700" i="28"/>
  <c r="AS704" i="28"/>
  <c r="AS705" i="28"/>
  <c r="AS708" i="28"/>
  <c r="AS719" i="28"/>
  <c r="AS723" i="28"/>
  <c r="AS728" i="28"/>
  <c r="AS736" i="28"/>
  <c r="AS737" i="28"/>
  <c r="AS740" i="28"/>
  <c r="AS744" i="28"/>
  <c r="AS747" i="28"/>
  <c r="AS750" i="28"/>
  <c r="AS753" i="28"/>
  <c r="AS759" i="28"/>
  <c r="AS767" i="28"/>
  <c r="AS772" i="28"/>
  <c r="AS778" i="28"/>
  <c r="AS781" i="28"/>
  <c r="AS784" i="28"/>
  <c r="AS787" i="28"/>
  <c r="AS790" i="28"/>
  <c r="AS793" i="28"/>
  <c r="AS799" i="28"/>
  <c r="AS804" i="28"/>
  <c r="AS810" i="28"/>
  <c r="AS813" i="28"/>
  <c r="AS816" i="28"/>
  <c r="AS819" i="28"/>
  <c r="AS822" i="28"/>
  <c r="AS825" i="28"/>
  <c r="AS827" i="28"/>
  <c r="AS830" i="28"/>
  <c r="AS833" i="28"/>
  <c r="AS839" i="28"/>
  <c r="AS844" i="28"/>
  <c r="AS850" i="28"/>
  <c r="AS853" i="28"/>
  <c r="AS856" i="28"/>
  <c r="AS859" i="28"/>
  <c r="AS861" i="28"/>
  <c r="AS864" i="28"/>
  <c r="AS867" i="28"/>
  <c r="AS870" i="28"/>
  <c r="AS873" i="28"/>
  <c r="AS876" i="28"/>
  <c r="AS882" i="28"/>
  <c r="AS885" i="28"/>
  <c r="AS888" i="28"/>
  <c r="AS890" i="28"/>
  <c r="AS894" i="28"/>
  <c r="AS897" i="28"/>
  <c r="AS900" i="28"/>
  <c r="AS906" i="28"/>
  <c r="AS913" i="28"/>
  <c r="AS916" i="28"/>
  <c r="AS919" i="28"/>
  <c r="AS922" i="28"/>
  <c r="AS929" i="28"/>
  <c r="AS931" i="28"/>
  <c r="AS934" i="28"/>
  <c r="AS937" i="28"/>
  <c r="AS940" i="28"/>
  <c r="AS943" i="28"/>
  <c r="AS946" i="28"/>
  <c r="AS953" i="28"/>
  <c r="AS956" i="28"/>
  <c r="AS959" i="28"/>
  <c r="AS962" i="28"/>
  <c r="AS965" i="28"/>
  <c r="AS970" i="28"/>
  <c r="AS977" i="28"/>
  <c r="AS980" i="28"/>
  <c r="AS983" i="28"/>
  <c r="AS986" i="28"/>
  <c r="AS992" i="28"/>
  <c r="AS995" i="28"/>
  <c r="AS998" i="28"/>
  <c r="AS1001" i="28"/>
  <c r="AS1004" i="28"/>
  <c r="AS1007" i="28"/>
  <c r="AS1010" i="28"/>
  <c r="AS1017" i="28"/>
  <c r="AS1020" i="28"/>
  <c r="AS1023" i="28"/>
  <c r="AS1026" i="28"/>
  <c r="AS1033" i="28"/>
  <c r="AS1036" i="28"/>
  <c r="AS1039" i="28"/>
  <c r="AS1042" i="28"/>
  <c r="AS1048" i="28"/>
  <c r="AS1051" i="28"/>
  <c r="AS1054" i="28"/>
  <c r="AS1061" i="28"/>
  <c r="AS1066" i="28"/>
  <c r="AS1073" i="28"/>
  <c r="AS1076" i="28"/>
  <c r="AS1079" i="28"/>
  <c r="AS1082" i="28"/>
  <c r="AS1089" i="28"/>
  <c r="AK101" i="28"/>
  <c r="AK104" i="28"/>
  <c r="AK107" i="28"/>
  <c r="AK123" i="28"/>
  <c r="AK149" i="28"/>
  <c r="AK158" i="28"/>
  <c r="AK183" i="28"/>
  <c r="AK224" i="28"/>
  <c r="AK233" i="28"/>
  <c r="AK235" i="28"/>
  <c r="AK245" i="28"/>
  <c r="AK252" i="28"/>
  <c r="AK253" i="28"/>
  <c r="AK258" i="28"/>
  <c r="AK260" i="28"/>
  <c r="AK265" i="28"/>
  <c r="AK272" i="28"/>
  <c r="AK287" i="28"/>
  <c r="AK288" i="28"/>
  <c r="AK302" i="28"/>
  <c r="AK309" i="28"/>
  <c r="AK310" i="28"/>
  <c r="AK311" i="28"/>
  <c r="AK326" i="28"/>
  <c r="AK327" i="28"/>
  <c r="AK332" i="28"/>
  <c r="AK333" i="28"/>
  <c r="AK340" i="28"/>
  <c r="AK341" i="28"/>
  <c r="AK342" i="28"/>
  <c r="AK343" i="28"/>
  <c r="AK350" i="28"/>
  <c r="AK351" i="28"/>
  <c r="AK360" i="28"/>
  <c r="AK361" i="28"/>
  <c r="AK368" i="28"/>
  <c r="AK99" i="28"/>
  <c r="AK141" i="28"/>
  <c r="AK166" i="28"/>
  <c r="AK177" i="28"/>
  <c r="AK193" i="28"/>
  <c r="AK203" i="28"/>
  <c r="AK212" i="28"/>
  <c r="AK214" i="28"/>
  <c r="AK240" i="28"/>
  <c r="AK246" i="28"/>
  <c r="AK254" i="28"/>
  <c r="AK266" i="28"/>
  <c r="AK273" i="28"/>
  <c r="AK276" i="28"/>
  <c r="AK289" i="28"/>
  <c r="AK292" i="28"/>
  <c r="AK297" i="28"/>
  <c r="AK298" i="28"/>
  <c r="AK299" i="28"/>
  <c r="AK303" i="28"/>
  <c r="AK304" i="28"/>
  <c r="AK313" i="28"/>
  <c r="AK314" i="28"/>
  <c r="AK316" i="28"/>
  <c r="AK317" i="28"/>
  <c r="AK318" i="28"/>
  <c r="AK319" i="28"/>
  <c r="AK328" i="28"/>
  <c r="AK329" i="28"/>
  <c r="AK334" i="28"/>
  <c r="AK335" i="28"/>
  <c r="AK344" i="28"/>
  <c r="AK182" i="28"/>
  <c r="AK207" i="28"/>
  <c r="AK247" i="28"/>
  <c r="AK305" i="28"/>
  <c r="AK306" i="28"/>
  <c r="AK307" i="28"/>
  <c r="AK308" i="28"/>
  <c r="AK312" i="28"/>
  <c r="AK338" i="28"/>
  <c r="AK348" i="28"/>
  <c r="AK358" i="28"/>
  <c r="AK369" i="28"/>
  <c r="AK370" i="28"/>
  <c r="AK376" i="28"/>
  <c r="AK377" i="28"/>
  <c r="AK378" i="28"/>
  <c r="AK379" i="28"/>
  <c r="AK385" i="28"/>
  <c r="AK386" i="28"/>
  <c r="AK396" i="28"/>
  <c r="AK397" i="28"/>
  <c r="AK398" i="28"/>
  <c r="AK399" i="28"/>
  <c r="AK406" i="28"/>
  <c r="AK407" i="28"/>
  <c r="AK415" i="28"/>
  <c r="AK422" i="28"/>
  <c r="AK423" i="28"/>
  <c r="AK430" i="28"/>
  <c r="AK431" i="28"/>
  <c r="AK436" i="28"/>
  <c r="AK437" i="28"/>
  <c r="AK441" i="28"/>
  <c r="AK442" i="28"/>
  <c r="AK443" i="28"/>
  <c r="AK452" i="28"/>
  <c r="AK458" i="28"/>
  <c r="AK462" i="28"/>
  <c r="AK463" i="28"/>
  <c r="AK468" i="28"/>
  <c r="AK469" i="28"/>
  <c r="AK473" i="28"/>
  <c r="AK474" i="28"/>
  <c r="AK475" i="28"/>
  <c r="AK484" i="28"/>
  <c r="AK490" i="28"/>
  <c r="AK137" i="28"/>
  <c r="AK187" i="28"/>
  <c r="AK198" i="28"/>
  <c r="AK201" i="28"/>
  <c r="AK204" i="28"/>
  <c r="AK234" i="28"/>
  <c r="AK255" i="28"/>
  <c r="AK264" i="28"/>
  <c r="AK267" i="28"/>
  <c r="AK293" i="28"/>
  <c r="AK294" i="28"/>
  <c r="AK301" i="28"/>
  <c r="AK315" i="28"/>
  <c r="AK320" i="28"/>
  <c r="AK321" i="28"/>
  <c r="AK322" i="28"/>
  <c r="AK323" i="28"/>
  <c r="AK325" i="28"/>
  <c r="AK336" i="28"/>
  <c r="AK356" i="28"/>
  <c r="AK364" i="28"/>
  <c r="AK365" i="28"/>
  <c r="AK366" i="28"/>
  <c r="AK372" i="28"/>
  <c r="AK373" i="28"/>
  <c r="AK374" i="28"/>
  <c r="AK375" i="28"/>
  <c r="AK382" i="28"/>
  <c r="AK383" i="28"/>
  <c r="AK388" i="28"/>
  <c r="AK389" i="28"/>
  <c r="AK390" i="28"/>
  <c r="AK391" i="28"/>
  <c r="AK401" i="28"/>
  <c r="AK402" i="28"/>
  <c r="AK403" i="28"/>
  <c r="AK433" i="28"/>
  <c r="AK434" i="28"/>
  <c r="AK435" i="28"/>
  <c r="AK439" i="28"/>
  <c r="AK444" i="28"/>
  <c r="AK445" i="28"/>
  <c r="AK446" i="28"/>
  <c r="AK450" i="28"/>
  <c r="AK460" i="28"/>
  <c r="AK465" i="28"/>
  <c r="AK466" i="28"/>
  <c r="AK467" i="28"/>
  <c r="AK471" i="28"/>
  <c r="AK476" i="28"/>
  <c r="AK477" i="28"/>
  <c r="AK478" i="28"/>
  <c r="AK482" i="28"/>
  <c r="AK492" i="28"/>
  <c r="AK497" i="28"/>
  <c r="AK498" i="28"/>
  <c r="AK499" i="28"/>
  <c r="AK102" i="28"/>
  <c r="AK136" i="28"/>
  <c r="AK156" i="28"/>
  <c r="AK277" i="28"/>
  <c r="AK278" i="28"/>
  <c r="AK300" i="28"/>
  <c r="AK324" i="28"/>
  <c r="AK330" i="28"/>
  <c r="AK337" i="28"/>
  <c r="AK345" i="28"/>
  <c r="AK349" i="28"/>
  <c r="AK354" i="28"/>
  <c r="AK381" i="28"/>
  <c r="AK384" i="28"/>
  <c r="AK392" i="28"/>
  <c r="AK405" i="28"/>
  <c r="AK408" i="28"/>
  <c r="AK418" i="28"/>
  <c r="AK421" i="28"/>
  <c r="AK424" i="28"/>
  <c r="AK440" i="28"/>
  <c r="AK447" i="28"/>
  <c r="AK453" i="28"/>
  <c r="AK456" i="28"/>
  <c r="AK472" i="28"/>
  <c r="AK479" i="28"/>
  <c r="AK485" i="28"/>
  <c r="AK488" i="28"/>
  <c r="AK494" i="28"/>
  <c r="AK495" i="28"/>
  <c r="AK504" i="28"/>
  <c r="AK508" i="28"/>
  <c r="AK509" i="28"/>
  <c r="AK513" i="28"/>
  <c r="AK518" i="28"/>
  <c r="AK521" i="28"/>
  <c r="AK524" i="28"/>
  <c r="AK525" i="28"/>
  <c r="AK528" i="28"/>
  <c r="AK532" i="28"/>
  <c r="AK533" i="28"/>
  <c r="AK536" i="28"/>
  <c r="AK537" i="28"/>
  <c r="AK540" i="28"/>
  <c r="AK541" i="28"/>
  <c r="AK545" i="28"/>
  <c r="AK548" i="28"/>
  <c r="AK552" i="28"/>
  <c r="AK560" i="28"/>
  <c r="AK282" i="28"/>
  <c r="AK347" i="28"/>
  <c r="AK352" i="28"/>
  <c r="AK359" i="28"/>
  <c r="AK363" i="28"/>
  <c r="AK367" i="28"/>
  <c r="AK394" i="28"/>
  <c r="AK400" i="28"/>
  <c r="AK410" i="28"/>
  <c r="AK413" i="28"/>
  <c r="AK416" i="28"/>
  <c r="AK426" i="28"/>
  <c r="AK429" i="28"/>
  <c r="AK432" i="28"/>
  <c r="AK448" i="28"/>
  <c r="AK455" i="28"/>
  <c r="AK461" i="28"/>
  <c r="AK464" i="28"/>
  <c r="AK480" i="28"/>
  <c r="AK487" i="28"/>
  <c r="AK502" i="28"/>
  <c r="AK507" i="28"/>
  <c r="AK511" i="28"/>
  <c r="AK523" i="28"/>
  <c r="AK527" i="28"/>
  <c r="AK530" i="28"/>
  <c r="AK531" i="28"/>
  <c r="AK535" i="28"/>
  <c r="AK539" i="28"/>
  <c r="AK543" i="28"/>
  <c r="AK547" i="28"/>
  <c r="AK550" i="28"/>
  <c r="AK554" i="28"/>
  <c r="AK558" i="28"/>
  <c r="AK562" i="28"/>
  <c r="AK565" i="28"/>
  <c r="AK569" i="28"/>
  <c r="AK572" i="28"/>
  <c r="AK573" i="28"/>
  <c r="AK577" i="28"/>
  <c r="AK580" i="28"/>
  <c r="AK586" i="28"/>
  <c r="AK589" i="28"/>
  <c r="AK592" i="28"/>
  <c r="AK595" i="28"/>
  <c r="AK598" i="28"/>
  <c r="AK601" i="28"/>
  <c r="AK607" i="28"/>
  <c r="AK612" i="28"/>
  <c r="AK617" i="28"/>
  <c r="AK619" i="28"/>
  <c r="AK622" i="28"/>
  <c r="AK625" i="28"/>
  <c r="AK630" i="28"/>
  <c r="AK633" i="28"/>
  <c r="AK639" i="28"/>
  <c r="AK641" i="28"/>
  <c r="AK647" i="28"/>
  <c r="AK652" i="28"/>
  <c r="AK658" i="28"/>
  <c r="AK661" i="28"/>
  <c r="AK666" i="28"/>
  <c r="AK669" i="28"/>
  <c r="AK672" i="28"/>
  <c r="AK674" i="28"/>
  <c r="AK677" i="28"/>
  <c r="AK680" i="28"/>
  <c r="AK683" i="28"/>
  <c r="AK686" i="28"/>
  <c r="AK689" i="28"/>
  <c r="AK694" i="28"/>
  <c r="AK697" i="28"/>
  <c r="AK703" i="28"/>
  <c r="AK705" i="28"/>
  <c r="AK711" i="28"/>
  <c r="AK716" i="28"/>
  <c r="AK722" i="28"/>
  <c r="AK725" i="28"/>
  <c r="AK728" i="28"/>
  <c r="AK731" i="28"/>
  <c r="AK734" i="28"/>
  <c r="AK737" i="28"/>
  <c r="AK130" i="28"/>
  <c r="AK271" i="28"/>
  <c r="AK357" i="28"/>
  <c r="AK362" i="28"/>
  <c r="AK371" i="28"/>
  <c r="AK387" i="28"/>
  <c r="AK411" i="28"/>
  <c r="AK420" i="28"/>
  <c r="AK486" i="28"/>
  <c r="AK493" i="28"/>
  <c r="AK496" i="28"/>
  <c r="AK506" i="28"/>
  <c r="AK512" i="28"/>
  <c r="AK514" i="28"/>
  <c r="AK517" i="28"/>
  <c r="AK519" i="28"/>
  <c r="AK564" i="28"/>
  <c r="AK570" i="28"/>
  <c r="AK578" i="28"/>
  <c r="AK593" i="28"/>
  <c r="AK596" i="28"/>
  <c r="AK597" i="28"/>
  <c r="AK605" i="28"/>
  <c r="AK606" i="28"/>
  <c r="AK610" i="28"/>
  <c r="AK620" i="28"/>
  <c r="AK621" i="28"/>
  <c r="AK629" i="28"/>
  <c r="AK632" i="28"/>
  <c r="AK636" i="28"/>
  <c r="AK644" i="28"/>
  <c r="AK654" i="28"/>
  <c r="AK655" i="28"/>
  <c r="AK659" i="28"/>
  <c r="AK662" i="28"/>
  <c r="AK663" i="28"/>
  <c r="AK667" i="28"/>
  <c r="AK671" i="28"/>
  <c r="AK681" i="28"/>
  <c r="AK684" i="28"/>
  <c r="AK685" i="28"/>
  <c r="AK693" i="28"/>
  <c r="AK696" i="28"/>
  <c r="AK700" i="28"/>
  <c r="AK708" i="28"/>
  <c r="AK718" i="28"/>
  <c r="AK719" i="28"/>
  <c r="AK723" i="28"/>
  <c r="AK727" i="28"/>
  <c r="AK736" i="28"/>
  <c r="AK740" i="28"/>
  <c r="AK744" i="28"/>
  <c r="AK747" i="28"/>
  <c r="AK750" i="28"/>
  <c r="AK753" i="28"/>
  <c r="AK759" i="28"/>
  <c r="AK767" i="28"/>
  <c r="AK772" i="28"/>
  <c r="AK778" i="28"/>
  <c r="AK781" i="28"/>
  <c r="AK784" i="28"/>
  <c r="AK787" i="28"/>
  <c r="AK790" i="28"/>
  <c r="AK793" i="28"/>
  <c r="AK799" i="28"/>
  <c r="AK804" i="28"/>
  <c r="AK810" i="28"/>
  <c r="AK813" i="28"/>
  <c r="AK816" i="28"/>
  <c r="AK819" i="28"/>
  <c r="AK822" i="28"/>
  <c r="AK825" i="28"/>
  <c r="AK830" i="28"/>
  <c r="AK833" i="28"/>
  <c r="AK839" i="28"/>
  <c r="AK844" i="28"/>
  <c r="AK850" i="28"/>
  <c r="AK853" i="28"/>
  <c r="AK856" i="28"/>
  <c r="AK859" i="28"/>
  <c r="AK861" i="28"/>
  <c r="AK864" i="28"/>
  <c r="AK867" i="28"/>
  <c r="AK870" i="28"/>
  <c r="AK873" i="28"/>
  <c r="AK283" i="28"/>
  <c r="AK331" i="28"/>
  <c r="AK339" i="28"/>
  <c r="AK355" i="28"/>
  <c r="AK395" i="28"/>
  <c r="AK412" i="28"/>
  <c r="AK419" i="28"/>
  <c r="AK425" i="28"/>
  <c r="AK454" i="28"/>
  <c r="AK501" i="28"/>
  <c r="AK503" i="28"/>
  <c r="AK520" i="28"/>
  <c r="AK522" i="28"/>
  <c r="AK538" i="28"/>
  <c r="AK544" i="28"/>
  <c r="AK546" i="28"/>
  <c r="AK549" i="28"/>
  <c r="AK551" i="28"/>
  <c r="AK557" i="28"/>
  <c r="AK559" i="28"/>
  <c r="AK563" i="28"/>
  <c r="AK567" i="28"/>
  <c r="AK575" i="28"/>
  <c r="AK581" i="28"/>
  <c r="AK585" i="28"/>
  <c r="AK590" i="28"/>
  <c r="AK594" i="28"/>
  <c r="AK608" i="28"/>
  <c r="AK609" i="28"/>
  <c r="AK613" i="28"/>
  <c r="AK616" i="28"/>
  <c r="AK631" i="28"/>
  <c r="AK634" i="28"/>
  <c r="AK635" i="28"/>
  <c r="AK642" i="28"/>
  <c r="AK643" i="28"/>
  <c r="AK651" i="28"/>
  <c r="AK656" i="28"/>
  <c r="AK660" i="28"/>
  <c r="AK664" i="28"/>
  <c r="AK668" i="28"/>
  <c r="AK673" i="28"/>
  <c r="AK678" i="28"/>
  <c r="AK682" i="28"/>
  <c r="AK695" i="28"/>
  <c r="AK698" i="28"/>
  <c r="AK699" i="28"/>
  <c r="AK706" i="28"/>
  <c r="AK707" i="28"/>
  <c r="AK715" i="28"/>
  <c r="AK720" i="28"/>
  <c r="AK724" i="28"/>
  <c r="AK735" i="28"/>
  <c r="AK738" i="28"/>
  <c r="AK739" i="28"/>
  <c r="AK743" i="28"/>
  <c r="AK748" i="28"/>
  <c r="AK754" i="28"/>
  <c r="AK757" i="28"/>
  <c r="AK760" i="28"/>
  <c r="AK763" i="28"/>
  <c r="AK765" i="28"/>
  <c r="AK768" i="28"/>
  <c r="AK771" i="28"/>
  <c r="AK774" i="28"/>
  <c r="AK777" i="28"/>
  <c r="AK783" i="28"/>
  <c r="AK788" i="28"/>
  <c r="AK794" i="28"/>
  <c r="AK797" i="28"/>
  <c r="AK800" i="28"/>
  <c r="AK803" i="28"/>
  <c r="AK806" i="28"/>
  <c r="AK809" i="28"/>
  <c r="AK815" i="28"/>
  <c r="AK820" i="28"/>
  <c r="AK826" i="28"/>
  <c r="AK828" i="28"/>
  <c r="AK834" i="28"/>
  <c r="AK837" i="28"/>
  <c r="AK840" i="28"/>
  <c r="AK843" i="28"/>
  <c r="AK846" i="28"/>
  <c r="AK849" i="28"/>
  <c r="AK855" i="28"/>
  <c r="AK860" i="28"/>
  <c r="AK863" i="28"/>
  <c r="AK868" i="28"/>
  <c r="AK874" i="28"/>
  <c r="AK878" i="28"/>
  <c r="AK881" i="28"/>
  <c r="AK887" i="28"/>
  <c r="AK892" i="28"/>
  <c r="AK899" i="28"/>
  <c r="AK902" i="28"/>
  <c r="AK905" i="28"/>
  <c r="AK908" i="28"/>
  <c r="AK911" i="28"/>
  <c r="AK914" i="28"/>
  <c r="AK921" i="28"/>
  <c r="AK924" i="28"/>
  <c r="AK927" i="28"/>
  <c r="AK930" i="28"/>
  <c r="AK933" i="28"/>
  <c r="AK936" i="28"/>
  <c r="AK938" i="28"/>
  <c r="AK945" i="28"/>
  <c r="AK948" i="28"/>
  <c r="AK951" i="28"/>
  <c r="AK954" i="28"/>
  <c r="AK961" i="28"/>
  <c r="AK966" i="28"/>
  <c r="AK969" i="28"/>
  <c r="AK972" i="28"/>
  <c r="AK975" i="28"/>
  <c r="AK978" i="28"/>
  <c r="AK985" i="28"/>
  <c r="AK988" i="28"/>
  <c r="AK991" i="28"/>
  <c r="AK997" i="28"/>
  <c r="AK1000" i="28"/>
  <c r="AK1002" i="28"/>
  <c r="AK1009" i="28"/>
  <c r="AK1012" i="28"/>
  <c r="AK1015" i="28"/>
  <c r="AK1018" i="28"/>
  <c r="AK1025" i="28"/>
  <c r="AK1028" i="28"/>
  <c r="AK1031" i="28"/>
  <c r="AK1034" i="28"/>
  <c r="AK1041" i="28"/>
  <c r="AK1044" i="28"/>
  <c r="AK1047" i="28"/>
  <c r="AK1053" i="28"/>
  <c r="AK1056" i="28"/>
  <c r="AK1059" i="28"/>
  <c r="AK1062" i="28"/>
  <c r="AK1065" i="28"/>
  <c r="AK1068" i="28"/>
  <c r="AK1071" i="28"/>
  <c r="AK1074" i="28"/>
  <c r="AK1081" i="28"/>
  <c r="AK1084" i="28"/>
  <c r="AK1087" i="28"/>
  <c r="AK1090" i="28"/>
  <c r="AK1091" i="28"/>
  <c r="AK162" i="28"/>
  <c r="AK1088" i="28"/>
  <c r="AK1083" i="28"/>
  <c r="AK1082" i="28"/>
  <c r="AS1081" i="28"/>
  <c r="AS1080" i="28"/>
  <c r="AS1075" i="28"/>
  <c r="AK1072" i="28"/>
  <c r="AK1067" i="28"/>
  <c r="AK1066" i="28"/>
  <c r="AS1065" i="28"/>
  <c r="AS1064" i="28"/>
  <c r="AK1063" i="28"/>
  <c r="AS1060" i="28"/>
  <c r="AS1056" i="28"/>
  <c r="AS1055" i="28"/>
  <c r="AK1052" i="28"/>
  <c r="AK1051" i="28"/>
  <c r="AK1048" i="28"/>
  <c r="AK1043" i="28"/>
  <c r="AK1042" i="28"/>
  <c r="AS1041" i="28"/>
  <c r="AS1040" i="28"/>
  <c r="AS1035" i="28"/>
  <c r="AK1032" i="28"/>
  <c r="AK1027" i="28"/>
  <c r="AK1026" i="28"/>
  <c r="AS1025" i="28"/>
  <c r="AS1024" i="28"/>
  <c r="AS1019" i="28"/>
  <c r="AK1016" i="28"/>
  <c r="AK1011" i="28"/>
  <c r="AK1010" i="28"/>
  <c r="AS1009" i="28"/>
  <c r="AS1008" i="28"/>
  <c r="AS1003" i="28"/>
  <c r="AK994" i="28"/>
  <c r="AS993" i="28"/>
  <c r="AK990" i="28"/>
  <c r="AS989" i="28"/>
  <c r="AS982" i="28"/>
  <c r="AK981" i="28"/>
  <c r="AK980" i="28"/>
  <c r="AS978" i="28"/>
  <c r="AK974" i="28"/>
  <c r="AS973" i="28"/>
  <c r="AK965" i="28"/>
  <c r="AS963" i="28"/>
  <c r="AS958" i="28"/>
  <c r="AK957" i="28"/>
  <c r="AK956" i="28"/>
  <c r="AS954" i="28"/>
  <c r="AK950" i="28"/>
  <c r="AS949" i="28"/>
  <c r="AS942" i="28"/>
  <c r="AK941" i="28"/>
  <c r="AK940" i="28"/>
  <c r="AS938" i="28"/>
  <c r="AK935" i="28"/>
  <c r="AK934" i="28"/>
  <c r="AS933" i="28"/>
  <c r="AS932" i="28"/>
  <c r="AK929" i="28"/>
  <c r="AS927" i="28"/>
  <c r="AS926" i="28"/>
  <c r="AK925" i="28"/>
  <c r="AK918" i="28"/>
  <c r="AS917" i="28"/>
  <c r="AK913" i="28"/>
  <c r="AS911" i="28"/>
  <c r="AS910" i="28"/>
  <c r="AK909" i="28"/>
  <c r="AK904" i="28"/>
  <c r="AS902" i="28"/>
  <c r="AS901" i="28"/>
  <c r="AK898" i="28"/>
  <c r="AK897" i="28"/>
  <c r="AK893" i="28"/>
  <c r="AK889" i="28"/>
  <c r="AK888" i="28"/>
  <c r="AS887" i="28"/>
  <c r="AS886" i="28"/>
  <c r="AS878" i="28"/>
  <c r="AS877" i="28"/>
  <c r="AK858" i="28"/>
  <c r="AS857" i="28"/>
  <c r="AS854" i="28"/>
  <c r="AS852" i="28"/>
  <c r="AK851" i="28"/>
  <c r="AK848" i="28"/>
  <c r="AS847" i="28"/>
  <c r="AS845" i="28"/>
  <c r="AS842" i="28"/>
  <c r="AK841" i="28"/>
  <c r="AK838" i="28"/>
  <c r="AK836" i="28"/>
  <c r="AS835" i="28"/>
  <c r="AS832" i="28"/>
  <c r="AK831" i="28"/>
  <c r="AK829" i="28"/>
  <c r="AS762" i="28"/>
  <c r="AK761" i="28"/>
  <c r="AK758" i="28"/>
  <c r="AK756" i="28"/>
  <c r="AS755" i="28"/>
  <c r="AS752" i="28"/>
  <c r="AK751" i="28"/>
  <c r="AK749" i="28"/>
  <c r="AK746" i="28"/>
  <c r="AS745" i="28"/>
  <c r="AS742" i="28"/>
  <c r="AK733" i="28"/>
  <c r="AK732" i="28"/>
  <c r="AS731" i="28"/>
  <c r="AS730" i="28"/>
  <c r="AK729" i="28"/>
  <c r="AK726" i="28"/>
  <c r="AS717" i="28"/>
  <c r="AS714" i="28"/>
  <c r="AK713" i="28"/>
  <c r="AK712" i="28"/>
  <c r="AS711" i="28"/>
  <c r="AS710" i="28"/>
  <c r="AS692" i="28"/>
  <c r="AK691" i="28"/>
  <c r="AK690" i="28"/>
  <c r="AS689" i="28"/>
  <c r="AS688" i="28"/>
  <c r="AK687" i="28"/>
  <c r="AK670" i="28"/>
  <c r="AS661" i="28"/>
  <c r="AS658" i="28"/>
  <c r="AK640" i="28"/>
  <c r="AS639" i="28"/>
  <c r="AS638" i="28"/>
  <c r="AS604" i="28"/>
  <c r="AK603" i="28"/>
  <c r="AK602" i="28"/>
  <c r="AS601" i="28"/>
  <c r="AS600" i="28"/>
  <c r="AK599" i="28"/>
  <c r="AS574" i="28"/>
  <c r="AK571" i="28"/>
  <c r="AK568" i="28"/>
  <c r="AS567" i="28"/>
  <c r="AK561" i="28"/>
  <c r="AK534" i="28"/>
  <c r="AK483" i="28"/>
  <c r="AK481" i="28"/>
  <c r="AS462" i="28"/>
  <c r="AS457" i="28"/>
  <c r="AK438" i="28"/>
  <c r="AK417" i="28"/>
  <c r="AS414" i="28"/>
  <c r="AK353" i="28"/>
  <c r="AS328" i="28"/>
  <c r="AS322" i="28"/>
  <c r="AS303" i="28"/>
  <c r="AQ104" i="28"/>
  <c r="AQ144" i="28"/>
  <c r="AQ149" i="28"/>
  <c r="AQ150" i="28"/>
  <c r="AQ157" i="28"/>
  <c r="AQ183" i="28"/>
  <c r="AQ188" i="28"/>
  <c r="AQ189" i="28"/>
  <c r="AQ190" i="28"/>
  <c r="AQ217" i="28"/>
  <c r="AQ233" i="28"/>
  <c r="AQ248" i="28"/>
  <c r="AQ258" i="28"/>
  <c r="AQ302" i="28"/>
  <c r="AQ311" i="28"/>
  <c r="AQ333" i="28"/>
  <c r="AQ351" i="28"/>
  <c r="AQ361" i="28"/>
  <c r="AQ368" i="28"/>
  <c r="AQ131" i="28"/>
  <c r="AQ146" i="28"/>
  <c r="AQ147" i="28"/>
  <c r="AQ152" i="28"/>
  <c r="AQ153" i="28"/>
  <c r="AQ185" i="28"/>
  <c r="AQ186" i="28"/>
  <c r="AQ192" i="28"/>
  <c r="AQ193" i="28"/>
  <c r="AQ240" i="28"/>
  <c r="AQ241" i="28"/>
  <c r="AQ242" i="28"/>
  <c r="AQ299" i="28"/>
  <c r="AQ329" i="28"/>
  <c r="AQ335" i="28"/>
  <c r="AQ344" i="28"/>
  <c r="AM796" i="28"/>
  <c r="AM732" i="28"/>
  <c r="AM680" i="28"/>
  <c r="AM648" i="28"/>
  <c r="AM1032" i="28"/>
  <c r="AM979" i="28"/>
  <c r="AM947" i="28"/>
  <c r="AM915" i="28"/>
  <c r="AM890" i="28"/>
  <c r="AM828" i="28"/>
  <c r="AM764" i="28"/>
  <c r="AM616" i="28"/>
  <c r="AM615" i="28"/>
  <c r="AM1080" i="28"/>
  <c r="AM1016" i="28"/>
  <c r="AM995" i="28"/>
  <c r="AM984" i="28"/>
  <c r="AM952" i="28"/>
  <c r="AM920" i="28"/>
  <c r="AM859" i="28"/>
  <c r="AM795" i="28"/>
  <c r="AM731" i="28"/>
  <c r="AM679" i="28"/>
  <c r="AO930" i="28"/>
  <c r="AO925" i="28"/>
  <c r="AO917" i="28"/>
  <c r="AO820" i="28"/>
  <c r="AO801" i="28"/>
  <c r="AO794" i="28"/>
  <c r="AO775" i="28"/>
  <c r="AO962" i="28"/>
  <c r="AO957" i="28"/>
  <c r="AO949" i="28"/>
  <c r="AO708" i="28"/>
  <c r="AO975" i="28"/>
  <c r="AO984" i="28"/>
  <c r="AO982" i="28"/>
  <c r="AO721" i="28"/>
  <c r="AO1090" i="28"/>
  <c r="AO1082" i="28"/>
  <c r="AO1080" i="28"/>
  <c r="AO1066" i="28"/>
  <c r="AO1026" i="28"/>
  <c r="AO1018" i="28"/>
  <c r="AO1016" i="28"/>
  <c r="AO1002" i="28"/>
  <c r="AO977" i="28"/>
  <c r="AO969" i="28"/>
  <c r="AO784" i="28"/>
  <c r="AO779" i="28"/>
  <c r="AO725" i="28"/>
  <c r="AO710" i="28"/>
  <c r="AO696" i="28"/>
  <c r="AO1084" i="28"/>
  <c r="AO1059" i="28"/>
  <c r="AO1051" i="28"/>
  <c r="AO1028" i="28"/>
  <c r="AO1020" i="28"/>
  <c r="AO995" i="28"/>
  <c r="AO911" i="28"/>
  <c r="AO882" i="28"/>
  <c r="AO788" i="28"/>
  <c r="AO769" i="28"/>
  <c r="AO727" i="28"/>
  <c r="AO714" i="28"/>
  <c r="AO700" i="28"/>
  <c r="AO624" i="28"/>
  <c r="AO622" i="28"/>
  <c r="AO1077" i="28"/>
  <c r="AO1063" i="28"/>
  <c r="AO1061" i="28"/>
  <c r="AO1053" i="28"/>
  <c r="AO1013" i="28"/>
  <c r="AO999" i="28"/>
  <c r="AO997" i="28"/>
  <c r="AO990" i="28"/>
  <c r="AO947" i="28"/>
  <c r="AO913" i="28"/>
  <c r="AO870" i="28"/>
  <c r="AO790" i="28"/>
  <c r="AO773" i="28"/>
  <c r="AO753" i="28"/>
  <c r="AO702" i="28"/>
  <c r="AO1078" i="28"/>
  <c r="AO1072" i="28"/>
  <c r="AO1070" i="28"/>
  <c r="AO1068" i="28"/>
  <c r="AO1064" i="28"/>
  <c r="AO1054" i="28"/>
  <c r="AO1049" i="28"/>
  <c r="AO1047" i="28"/>
  <c r="AO1041" i="28"/>
  <c r="AO1039" i="28"/>
  <c r="AO1035" i="28"/>
  <c r="AO1033" i="28"/>
  <c r="AO1014" i="28"/>
  <c r="AO1008" i="28"/>
  <c r="AO1006" i="28"/>
  <c r="AO1004" i="28"/>
  <c r="AO1000" i="28"/>
  <c r="AO980" i="28"/>
  <c r="AO970" i="28"/>
  <c r="AO967" i="28"/>
  <c r="AO965" i="28"/>
  <c r="AO963" i="28"/>
  <c r="AO960" i="28"/>
  <c r="AO958" i="28"/>
  <c r="AO952" i="28"/>
  <c r="AO950" i="28"/>
  <c r="AO945" i="28"/>
  <c r="AO943" i="28"/>
  <c r="AO937" i="28"/>
  <c r="AO935" i="28"/>
  <c r="AO933" i="28"/>
  <c r="AO931" i="28"/>
  <c r="AO928" i="28"/>
  <c r="AO926" i="28"/>
  <c r="AO920" i="28"/>
  <c r="AO918" i="28"/>
  <c r="AO904" i="28"/>
  <c r="AO899" i="28"/>
  <c r="AO897" i="28"/>
  <c r="AO874" i="28"/>
  <c r="AO858" i="28"/>
  <c r="AO854" i="28"/>
  <c r="AO852" i="28"/>
  <c r="AO848" i="28"/>
  <c r="AO843" i="28"/>
  <c r="AO839" i="28"/>
  <c r="AO837" i="28"/>
  <c r="AO833" i="28"/>
  <c r="AO822" i="28"/>
  <c r="AO805" i="28"/>
  <c r="AO757" i="28"/>
  <c r="AO691" i="28"/>
  <c r="AO689" i="28"/>
  <c r="AO685" i="28"/>
  <c r="AO683" i="28"/>
  <c r="AO644" i="28"/>
  <c r="AO638" i="28"/>
  <c r="AO636" i="28"/>
  <c r="AO632" i="28"/>
  <c r="AO590" i="28"/>
  <c r="AO586" i="28"/>
  <c r="AO584" i="28"/>
  <c r="AO562" i="28"/>
  <c r="AO560" i="28"/>
  <c r="AO554" i="28"/>
  <c r="AO552" i="28"/>
  <c r="AO535" i="28"/>
  <c r="AO488" i="28"/>
  <c r="AQ138" i="28"/>
  <c r="AO1087" i="28"/>
  <c r="AO1085" i="28"/>
  <c r="AO1083" i="28"/>
  <c r="AO1060" i="28"/>
  <c r="AO1058" i="28"/>
  <c r="AO1056" i="28"/>
  <c r="AO1052" i="28"/>
  <c r="AO1050" i="28"/>
  <c r="AO1042" i="28"/>
  <c r="AO1037" i="28"/>
  <c r="AO1029" i="28"/>
  <c r="AO1027" i="28"/>
  <c r="AO1023" i="28"/>
  <c r="AO1021" i="28"/>
  <c r="AO1019" i="28"/>
  <c r="AO996" i="28"/>
  <c r="AO993" i="28"/>
  <c r="AO991" i="28"/>
  <c r="AO987" i="28"/>
  <c r="AO985" i="28"/>
  <c r="AO976" i="28"/>
  <c r="AO974" i="28"/>
  <c r="AO972" i="28"/>
  <c r="AO968" i="28"/>
  <c r="AO948" i="28"/>
  <c r="AO938" i="28"/>
  <c r="AO912" i="28"/>
  <c r="AO910" i="28"/>
  <c r="AO908" i="28"/>
  <c r="AO876" i="28"/>
  <c r="AO864" i="28"/>
  <c r="AO826" i="28"/>
  <c r="AO807" i="28"/>
  <c r="AO791" i="28"/>
  <c r="AO789" i="28"/>
  <c r="AO785" i="28"/>
  <c r="AO778" i="28"/>
  <c r="AO774" i="28"/>
  <c r="AO772" i="28"/>
  <c r="AO768" i="28"/>
  <c r="AO759" i="28"/>
  <c r="AO730" i="28"/>
  <c r="AO726" i="28"/>
  <c r="AO724" i="28"/>
  <c r="AO720" i="28"/>
  <c r="AO715" i="28"/>
  <c r="AO711" i="28"/>
  <c r="AO709" i="28"/>
  <c r="AO705" i="28"/>
  <c r="AO701" i="28"/>
  <c r="AO697" i="28"/>
  <c r="AO661" i="28"/>
  <c r="AO627" i="28"/>
  <c r="AO625" i="28"/>
  <c r="AO621" i="28"/>
  <c r="AO619" i="28"/>
  <c r="AO1091" i="28"/>
  <c r="AO1089" i="28"/>
  <c r="AO1079" i="28"/>
  <c r="AO1075" i="28"/>
  <c r="AO1073" i="28"/>
  <c r="AO1071" i="28"/>
  <c r="AO1065" i="28"/>
  <c r="AO1046" i="28"/>
  <c r="AO1044" i="28"/>
  <c r="AO1040" i="28"/>
  <c r="AO1038" i="28"/>
  <c r="AO1032" i="28"/>
  <c r="AO1030" i="28"/>
  <c r="AO1025" i="28"/>
  <c r="AO1015" i="28"/>
  <c r="AO1011" i="28"/>
  <c r="AO1009" i="28"/>
  <c r="AO1007" i="28"/>
  <c r="AO1001" i="28"/>
  <c r="AO994" i="28"/>
  <c r="AO989" i="28"/>
  <c r="AO981" i="28"/>
  <c r="AO979" i="28"/>
  <c r="AO964" i="28"/>
  <c r="AO961" i="28"/>
  <c r="AO959" i="28"/>
  <c r="AO955" i="28"/>
  <c r="AO953" i="28"/>
  <c r="AO944" i="28"/>
  <c r="AO942" i="28"/>
  <c r="AO940" i="28"/>
  <c r="AO932" i="28"/>
  <c r="AO929" i="28"/>
  <c r="AO927" i="28"/>
  <c r="AO923" i="28"/>
  <c r="AO921" i="28"/>
  <c r="AO915" i="28"/>
  <c r="AO905" i="28"/>
  <c r="AO898" i="28"/>
  <c r="AO896" i="28"/>
  <c r="AO878" i="28"/>
  <c r="AO868" i="28"/>
  <c r="AO855" i="28"/>
  <c r="AO853" i="28"/>
  <c r="AO849" i="28"/>
  <c r="AO842" i="28"/>
  <c r="AO838" i="28"/>
  <c r="AO836" i="28"/>
  <c r="AO832" i="28"/>
  <c r="AO816" i="28"/>
  <c r="AO811" i="28"/>
  <c r="AO688" i="28"/>
  <c r="AO686" i="28"/>
  <c r="AO682" i="28"/>
  <c r="AO680" i="28"/>
  <c r="AO679" i="28"/>
  <c r="AO641" i="28"/>
  <c r="AO637" i="28"/>
  <c r="AO633" i="28"/>
  <c r="AO591" i="28"/>
  <c r="AO589" i="28"/>
  <c r="AO587" i="28"/>
  <c r="AO565" i="28"/>
  <c r="AO563" i="28"/>
  <c r="AO561" i="28"/>
  <c r="AO555" i="28"/>
  <c r="AO553" i="28"/>
  <c r="AO551" i="28"/>
  <c r="AO233" i="28"/>
  <c r="AO310" i="28"/>
  <c r="AO332" i="28"/>
  <c r="AO359" i="28"/>
  <c r="AO421" i="28"/>
  <c r="AO506" i="28"/>
  <c r="AO159" i="28"/>
  <c r="AO283" i="28"/>
  <c r="AO364" i="28"/>
  <c r="AO391" i="28"/>
  <c r="AO414" i="28"/>
  <c r="AO435" i="28"/>
  <c r="AO440" i="28"/>
  <c r="AO467" i="28"/>
  <c r="AO472" i="28"/>
  <c r="AO499" i="28"/>
  <c r="AO504" i="28"/>
  <c r="AO515" i="28"/>
  <c r="AO520" i="28"/>
  <c r="AO531" i="28"/>
  <c r="AO533" i="28"/>
  <c r="AO300" i="28"/>
  <c r="AO423" i="28"/>
  <c r="AO428" i="28"/>
  <c r="AO483" i="28"/>
  <c r="AO522" i="28"/>
  <c r="AO538" i="28"/>
  <c r="AO545" i="28"/>
  <c r="AO547" i="28"/>
  <c r="AO549" i="28"/>
  <c r="AO558" i="28"/>
  <c r="AO567" i="28"/>
  <c r="AO569" i="28"/>
  <c r="AO571" i="28"/>
  <c r="AO576" i="28"/>
  <c r="AO578" i="28"/>
  <c r="AO582" i="28"/>
  <c r="AO595" i="28"/>
  <c r="AO601" i="28"/>
  <c r="AO603" i="28"/>
  <c r="AO610" i="28"/>
  <c r="AO614" i="28"/>
  <c r="AO628" i="28"/>
  <c r="AO635" i="28"/>
  <c r="AO642" i="28"/>
  <c r="AO646" i="28"/>
  <c r="AO660" i="28"/>
  <c r="AO667" i="28"/>
  <c r="AO674" i="28"/>
  <c r="AO678" i="28"/>
  <c r="AO692" i="28"/>
  <c r="AO699" i="28"/>
  <c r="AO706" i="28"/>
  <c r="AO713" i="28"/>
  <c r="AO716" i="28"/>
  <c r="AO718" i="28"/>
  <c r="AO723" i="28"/>
  <c r="AO728" i="28"/>
  <c r="AO731" i="28"/>
  <c r="AO732" i="28"/>
  <c r="AO734" i="28"/>
  <c r="AO739" i="28"/>
  <c r="AO744" i="28"/>
  <c r="AO749" i="28"/>
  <c r="AO751" i="28"/>
  <c r="AO754" i="28"/>
  <c r="AO761" i="28"/>
  <c r="AO765" i="28"/>
  <c r="AO767" i="28"/>
  <c r="AO770" i="28"/>
  <c r="AO777" i="28"/>
  <c r="AO780" i="28"/>
  <c r="AO782" i="28"/>
  <c r="AO787" i="28"/>
  <c r="AO792" i="28"/>
  <c r="AO795" i="28"/>
  <c r="AO796" i="28"/>
  <c r="AO798" i="28"/>
  <c r="AO803" i="28"/>
  <c r="AO808" i="28"/>
  <c r="AO813" i="28"/>
  <c r="AO815" i="28"/>
  <c r="AO818" i="28"/>
  <c r="AO825" i="28"/>
  <c r="AO829" i="28"/>
  <c r="AO831" i="28"/>
  <c r="AO834" i="28"/>
  <c r="AO841" i="28"/>
  <c r="AO844" i="28"/>
  <c r="AO846" i="28"/>
  <c r="AO851" i="28"/>
  <c r="AO856" i="28"/>
  <c r="AO859" i="28"/>
  <c r="AO860" i="28"/>
  <c r="AO862" i="28"/>
  <c r="AO867" i="28"/>
  <c r="AO872" i="28"/>
  <c r="AO881" i="28"/>
  <c r="AO884" i="28"/>
  <c r="AO886" i="28"/>
  <c r="AO889" i="28"/>
  <c r="AO890" i="28"/>
  <c r="AO892" i="28"/>
  <c r="AO894" i="28"/>
  <c r="AO901" i="28"/>
  <c r="AO903" i="28"/>
  <c r="AO137" i="28"/>
  <c r="AO327" i="28"/>
  <c r="AO158" i="28"/>
  <c r="AO407" i="28"/>
  <c r="AO412" i="28"/>
  <c r="AO430" i="28"/>
  <c r="AO451" i="28"/>
  <c r="AO513" i="28"/>
  <c r="AO536" i="28"/>
  <c r="AO539" i="28"/>
  <c r="AO544" i="28"/>
  <c r="AO546" i="28"/>
  <c r="AO556" i="28"/>
  <c r="AO568" i="28"/>
  <c r="AO570" i="28"/>
  <c r="AO577" i="28"/>
  <c r="AO579" i="28"/>
  <c r="AO581" i="28"/>
  <c r="AO583" i="28"/>
  <c r="AO592" i="28"/>
  <c r="AO594" i="28"/>
  <c r="AO598" i="28"/>
  <c r="AO600" i="28"/>
  <c r="AO611" i="28"/>
  <c r="AO631" i="28"/>
  <c r="AO634" i="28"/>
  <c r="AO643" i="28"/>
  <c r="AO663" i="28"/>
  <c r="AO666" i="28"/>
  <c r="AO675" i="28"/>
  <c r="AO695" i="28"/>
  <c r="AO698" i="28"/>
  <c r="AO707" i="28"/>
  <c r="AO712" i="28"/>
  <c r="AO717" i="28"/>
  <c r="AO719" i="28"/>
  <c r="AO722" i="28"/>
  <c r="AO729" i="28"/>
  <c r="AO733" i="28"/>
  <c r="AO735" i="28"/>
  <c r="AO738" i="28"/>
  <c r="AO745" i="28"/>
  <c r="AO748" i="28"/>
  <c r="AO750" i="28"/>
  <c r="AO755" i="28"/>
  <c r="AO760" i="28"/>
  <c r="AO763" i="28"/>
  <c r="AO764" i="28"/>
  <c r="AO766" i="28"/>
  <c r="AO771" i="28"/>
  <c r="AO776" i="28"/>
  <c r="AO781" i="28"/>
  <c r="AO783" i="28"/>
  <c r="AO786" i="28"/>
  <c r="AO793" i="28"/>
  <c r="AO797" i="28"/>
  <c r="AO799" i="28"/>
  <c r="AO802" i="28"/>
  <c r="AO809" i="28"/>
  <c r="AO812" i="28"/>
  <c r="AO814" i="28"/>
  <c r="AO819" i="28"/>
  <c r="AO824" i="28"/>
  <c r="AO827" i="28"/>
  <c r="AO828" i="28"/>
  <c r="AO830" i="28"/>
  <c r="AO835" i="28"/>
  <c r="AO840" i="28"/>
  <c r="AO845" i="28"/>
  <c r="AO847" i="28"/>
  <c r="AO850" i="28"/>
  <c r="AO857" i="28"/>
  <c r="AO861" i="28"/>
  <c r="AO863" i="28"/>
  <c r="AO866" i="28"/>
  <c r="AO873" i="28"/>
  <c r="AO880" i="28"/>
  <c r="AO885" i="28"/>
  <c r="AO887" i="28"/>
  <c r="AO891" i="28"/>
  <c r="AO893" i="28"/>
  <c r="AO895" i="28"/>
  <c r="AO900" i="28"/>
  <c r="AO902" i="28"/>
  <c r="AO907" i="28"/>
  <c r="AO909" i="28"/>
  <c r="AO914" i="28"/>
  <c r="AO919" i="28"/>
  <c r="AO922" i="28"/>
  <c r="AO924" i="28"/>
  <c r="AO934" i="28"/>
  <c r="AO939" i="28"/>
  <c r="AO941" i="28"/>
  <c r="AO946" i="28"/>
  <c r="AO951" i="28"/>
  <c r="AO954" i="28"/>
  <c r="AO956" i="28"/>
  <c r="AO966" i="28"/>
  <c r="AO971" i="28"/>
  <c r="AO973" i="28"/>
  <c r="AO978" i="28"/>
  <c r="AO983" i="28"/>
  <c r="AO986" i="28"/>
  <c r="AO988" i="28"/>
  <c r="AO998" i="28"/>
  <c r="AO1003" i="28"/>
  <c r="AO1005" i="28"/>
  <c r="AO1010" i="28"/>
  <c r="AO1012" i="28"/>
  <c r="AO1017" i="28"/>
  <c r="AO1022" i="28"/>
  <c r="AO1024" i="28"/>
  <c r="AO1031" i="28"/>
  <c r="AO1034" i="28"/>
  <c r="AO1036" i="28"/>
  <c r="AO1043" i="28"/>
  <c r="AO1045" i="28"/>
  <c r="AO1048" i="28"/>
  <c r="AO1055" i="28"/>
  <c r="AO1057" i="28"/>
  <c r="AO1062" i="28"/>
  <c r="AO1067" i="28"/>
  <c r="AO1069" i="28"/>
  <c r="AO1074" i="28"/>
  <c r="AO1076" i="28"/>
  <c r="AO1081" i="28"/>
  <c r="AO1086" i="28"/>
  <c r="AO1088" i="28"/>
  <c r="AO936" i="28"/>
  <c r="AO916" i="28"/>
  <c r="AO906" i="28"/>
  <c r="AO888" i="28"/>
  <c r="AO883" i="28"/>
  <c r="AO879" i="28"/>
  <c r="AO877" i="28"/>
  <c r="AO875" i="28"/>
  <c r="AO871" i="28"/>
  <c r="AO869" i="28"/>
  <c r="AO865" i="28"/>
  <c r="AO823" i="28"/>
  <c r="AO821" i="28"/>
  <c r="AO817" i="28"/>
  <c r="AO810" i="28"/>
  <c r="AO806" i="28"/>
  <c r="AO804" i="28"/>
  <c r="AO800" i="28"/>
  <c r="AO762" i="28"/>
  <c r="AO758" i="28"/>
  <c r="AO756" i="28"/>
  <c r="AO752" i="28"/>
  <c r="AO747" i="28"/>
  <c r="AO743" i="28"/>
  <c r="AO741" i="28"/>
  <c r="AO737" i="28"/>
  <c r="AO693" i="28"/>
  <c r="AO676" i="28"/>
  <c r="AO670" i="28"/>
  <c r="AO668" i="28"/>
  <c r="AO664" i="28"/>
  <c r="AO656" i="28"/>
  <c r="AO654" i="28"/>
  <c r="AO650" i="28"/>
  <c r="AO648" i="28"/>
  <c r="AO647" i="28"/>
  <c r="AO609" i="28"/>
  <c r="AO607" i="28"/>
  <c r="AO605" i="28"/>
  <c r="AO572" i="28"/>
  <c r="AO542" i="28"/>
  <c r="AO253" i="28"/>
  <c r="AO746" i="28"/>
  <c r="AO742" i="28"/>
  <c r="AO740" i="28"/>
  <c r="AO736" i="28"/>
  <c r="AO673" i="28"/>
  <c r="AO669" i="28"/>
  <c r="AO665" i="28"/>
  <c r="AO659" i="28"/>
  <c r="AO657" i="28"/>
  <c r="AO653" i="28"/>
  <c r="AO651" i="28"/>
  <c r="AO629" i="28"/>
  <c r="AO612" i="28"/>
  <c r="AO606" i="28"/>
  <c r="AO604" i="28"/>
  <c r="AO596" i="28"/>
  <c r="AO574" i="28"/>
  <c r="AO540" i="28"/>
  <c r="AO456" i="28"/>
  <c r="AO396" i="28"/>
  <c r="AQ354" i="28"/>
  <c r="AQ338" i="28"/>
  <c r="AQ319" i="28"/>
  <c r="AQ305" i="28"/>
  <c r="AQ290" i="28"/>
  <c r="AQ289" i="28"/>
  <c r="AQ231" i="28"/>
  <c r="AQ230" i="28"/>
  <c r="AQ229" i="28"/>
  <c r="AQ201" i="28"/>
  <c r="AQ140" i="28"/>
  <c r="AQ136" i="28"/>
  <c r="AQ126" i="28"/>
  <c r="AQ125" i="28"/>
  <c r="AQ124" i="28"/>
  <c r="AQ105" i="28"/>
  <c r="AQ99" i="28"/>
  <c r="AQ119" i="28"/>
  <c r="AQ120" i="28"/>
  <c r="AQ128" i="28"/>
  <c r="AQ129" i="28"/>
  <c r="AQ133" i="28"/>
  <c r="AQ134" i="28"/>
  <c r="AQ155" i="28"/>
  <c r="AQ161" i="28"/>
  <c r="AQ162" i="28"/>
  <c r="AQ165" i="28"/>
  <c r="AQ169" i="28"/>
  <c r="AQ170" i="28"/>
  <c r="AQ181" i="28"/>
  <c r="AQ182" i="28"/>
  <c r="AQ195" i="28"/>
  <c r="AQ202" i="28"/>
  <c r="AQ208" i="28"/>
  <c r="AQ223" i="28"/>
  <c r="AQ224" i="28"/>
  <c r="AQ234" i="28"/>
  <c r="AQ237" i="28"/>
  <c r="AQ238" i="28"/>
  <c r="AQ243" i="28"/>
  <c r="AQ251" i="28"/>
  <c r="AQ256" i="28"/>
  <c r="AQ257" i="28"/>
  <c r="AQ259" i="28"/>
  <c r="AQ300" i="28"/>
  <c r="AQ304" i="28"/>
  <c r="AQ312" i="28"/>
  <c r="AQ313" i="28"/>
  <c r="AQ320" i="28"/>
  <c r="AQ341" i="28"/>
  <c r="AQ346" i="28"/>
  <c r="AQ357" i="28"/>
  <c r="AQ363" i="28"/>
  <c r="AQ367" i="28"/>
  <c r="AQ376" i="28"/>
  <c r="AQ383" i="28"/>
  <c r="AQ393" i="28"/>
  <c r="AQ397" i="28"/>
  <c r="AQ402" i="28"/>
  <c r="AQ420" i="28"/>
  <c r="AQ430" i="28"/>
  <c r="AQ433" i="28"/>
  <c r="AQ439" i="28"/>
  <c r="AQ441" i="28"/>
  <c r="AQ444" i="28"/>
  <c r="AQ453" i="28"/>
  <c r="AQ459" i="28"/>
  <c r="AQ462" i="28"/>
  <c r="AQ465" i="28"/>
  <c r="AQ471" i="28"/>
  <c r="AQ473" i="28"/>
  <c r="AQ476" i="28"/>
  <c r="AQ485" i="28"/>
  <c r="AQ491" i="28"/>
  <c r="AQ494" i="28"/>
  <c r="AQ497" i="28"/>
  <c r="AQ503" i="28"/>
  <c r="AQ505" i="28"/>
  <c r="AQ511" i="28"/>
  <c r="AQ114" i="28"/>
  <c r="AQ115" i="28"/>
  <c r="AQ141" i="28"/>
  <c r="AQ142" i="28"/>
  <c r="AQ172" i="28"/>
  <c r="AQ173" i="28"/>
  <c r="AQ197" i="28"/>
  <c r="AQ204" i="28"/>
  <c r="AQ205" i="28"/>
  <c r="AQ210" i="28"/>
  <c r="AQ213" i="28"/>
  <c r="AQ226" i="28"/>
  <c r="AQ275" i="28"/>
  <c r="AQ276" i="28"/>
  <c r="AQ280" i="28"/>
  <c r="AQ281" i="28"/>
  <c r="AQ282" i="28"/>
  <c r="AQ288" i="28"/>
  <c r="AQ297" i="28"/>
  <c r="AQ317" i="28"/>
  <c r="AQ322" i="28"/>
  <c r="AQ336" i="28"/>
  <c r="AQ343" i="28"/>
  <c r="AQ352" i="28"/>
  <c r="AQ373" i="28"/>
  <c r="AQ378" i="28"/>
  <c r="AQ389" i="28"/>
  <c r="AQ395" i="28"/>
  <c r="AQ399" i="28"/>
  <c r="AQ409" i="28"/>
  <c r="AQ413" i="28"/>
  <c r="AQ417" i="28"/>
  <c r="AQ425" i="28"/>
  <c r="AQ428" i="28"/>
  <c r="AQ431" i="28"/>
  <c r="AQ434" i="28"/>
  <c r="AQ436" i="28"/>
  <c r="AQ442" i="28"/>
  <c r="AQ445" i="28"/>
  <c r="AQ448" i="28"/>
  <c r="AQ451" i="28"/>
  <c r="AQ454" i="28"/>
  <c r="AQ456" i="28"/>
  <c r="AQ463" i="28"/>
  <c r="AQ466" i="28"/>
  <c r="AQ468" i="28"/>
  <c r="AQ474" i="28"/>
  <c r="AQ477" i="28"/>
  <c r="AQ480" i="28"/>
  <c r="AQ483" i="28"/>
  <c r="AQ486" i="28"/>
  <c r="AQ488" i="28"/>
  <c r="AQ495" i="28"/>
  <c r="AQ498" i="28"/>
  <c r="AQ500" i="28"/>
  <c r="AQ508" i="28"/>
  <c r="AQ514" i="28"/>
  <c r="AQ516" i="28"/>
  <c r="AQ524" i="28"/>
  <c r="AQ530" i="28"/>
  <c r="AQ532" i="28"/>
  <c r="AQ536" i="28"/>
  <c r="AQ540" i="28"/>
  <c r="AQ543" i="28"/>
  <c r="AQ551" i="28"/>
  <c r="AQ556" i="28"/>
  <c r="AQ559" i="28"/>
  <c r="AQ567" i="28"/>
  <c r="AQ572" i="28"/>
  <c r="AQ575" i="28"/>
  <c r="AM237" i="28"/>
  <c r="AM302" i="28"/>
  <c r="AM1087" i="28"/>
  <c r="AM1071" i="28"/>
  <c r="AM1055" i="28"/>
  <c r="AM1039" i="28"/>
  <c r="AM1023" i="28"/>
  <c r="AM1007" i="28"/>
  <c r="AM994" i="28"/>
  <c r="AM993" i="28"/>
  <c r="AM978" i="28"/>
  <c r="AM977" i="28"/>
  <c r="AM962" i="28"/>
  <c r="AM961" i="28"/>
  <c r="AM946" i="28"/>
  <c r="AM945" i="28"/>
  <c r="AM930" i="28"/>
  <c r="AM929" i="28"/>
  <c r="AM914" i="28"/>
  <c r="AM913" i="28"/>
  <c r="AM888" i="28"/>
  <c r="AM887" i="28"/>
  <c r="AM877" i="28"/>
  <c r="AM872" i="28"/>
  <c r="AM871" i="28"/>
  <c r="AM853" i="28"/>
  <c r="AM846" i="28"/>
  <c r="AM840" i="28"/>
  <c r="AM839" i="28"/>
  <c r="AM821" i="28"/>
  <c r="AM814" i="28"/>
  <c r="AM808" i="28"/>
  <c r="AM807" i="28"/>
  <c r="AM789" i="28"/>
  <c r="AM782" i="28"/>
  <c r="AM776" i="28"/>
  <c r="AM775" i="28"/>
  <c r="AM757" i="28"/>
  <c r="AM750" i="28"/>
  <c r="AM744" i="28"/>
  <c r="AM743" i="28"/>
  <c r="AM725" i="28"/>
  <c r="AM718" i="28"/>
  <c r="AM712" i="28"/>
  <c r="AM711" i="28"/>
  <c r="AM703" i="28"/>
  <c r="AM692" i="28"/>
  <c r="AM691" i="28"/>
  <c r="AM678" i="28"/>
  <c r="AM671" i="28"/>
  <c r="AM660" i="28"/>
  <c r="AM659" i="28"/>
  <c r="AM646" i="28"/>
  <c r="AM639" i="28"/>
  <c r="AM628" i="28"/>
  <c r="AM627" i="28"/>
  <c r="AM614" i="28"/>
  <c r="AM596" i="28"/>
  <c r="AM595" i="28"/>
  <c r="AQ112" i="28"/>
  <c r="AQ109" i="28"/>
  <c r="AQ97" i="28"/>
  <c r="AA110" i="28"/>
  <c r="AL89" i="28"/>
  <c r="AA97" i="28" s="1"/>
  <c r="AM1082" i="28"/>
  <c r="AM1081" i="28"/>
  <c r="AM1075" i="28"/>
  <c r="AM1066" i="28"/>
  <c r="AM1065" i="28"/>
  <c r="AM1059" i="28"/>
  <c r="AM1050" i="28"/>
  <c r="AM1049" i="28"/>
  <c r="AM1043" i="28"/>
  <c r="AM1034" i="28"/>
  <c r="AM1033" i="28"/>
  <c r="AM1027" i="28"/>
  <c r="AM1018" i="28"/>
  <c r="AM1017" i="28"/>
  <c r="AM1011" i="28"/>
  <c r="AM864" i="28"/>
  <c r="AM863" i="28"/>
  <c r="AM832" i="28"/>
  <c r="AM831" i="28"/>
  <c r="AM800" i="28"/>
  <c r="AM799" i="28"/>
  <c r="AM768" i="28"/>
  <c r="AM767" i="28"/>
  <c r="AM736" i="28"/>
  <c r="AM735" i="28"/>
  <c r="AM685" i="28"/>
  <c r="AM653" i="28"/>
  <c r="AM621" i="28"/>
  <c r="AM604" i="28"/>
  <c r="AM603" i="28"/>
  <c r="AM589" i="28"/>
  <c r="AM582" i="28"/>
  <c r="AM239" i="28"/>
  <c r="AM1091" i="28"/>
  <c r="AM1086" i="28"/>
  <c r="AM1085" i="28"/>
  <c r="AM1076" i="28"/>
  <c r="AM1070" i="28"/>
  <c r="AM1069" i="28"/>
  <c r="AM1060" i="28"/>
  <c r="AM1054" i="28"/>
  <c r="AM1053" i="28"/>
  <c r="AM1044" i="28"/>
  <c r="AM1038" i="28"/>
  <c r="AM1037" i="28"/>
  <c r="AM1028" i="28"/>
  <c r="AM1022" i="28"/>
  <c r="AM1021" i="28"/>
  <c r="AM1012" i="28"/>
  <c r="AM898" i="28"/>
  <c r="AM870" i="28"/>
  <c r="AM852" i="28"/>
  <c r="AM851" i="28"/>
  <c r="AM845" i="28"/>
  <c r="AM838" i="28"/>
  <c r="AM820" i="28"/>
  <c r="AM819" i="28"/>
  <c r="AM813" i="28"/>
  <c r="AM806" i="28"/>
  <c r="AM788" i="28"/>
  <c r="AM787" i="28"/>
  <c r="AM781" i="28"/>
  <c r="AM774" i="28"/>
  <c r="AM756" i="28"/>
  <c r="AM755" i="28"/>
  <c r="AM749" i="28"/>
  <c r="AM742" i="28"/>
  <c r="AM724" i="28"/>
  <c r="AM723" i="28"/>
  <c r="AM717" i="28"/>
  <c r="AM710" i="28"/>
  <c r="AM700" i="28"/>
  <c r="AM699" i="28"/>
  <c r="AM686" i="28"/>
  <c r="AM668" i="28"/>
  <c r="AM667" i="28"/>
  <c r="AM654" i="28"/>
  <c r="AM636" i="28"/>
  <c r="AM635" i="28"/>
  <c r="AM622" i="28"/>
  <c r="AQ96" i="28"/>
  <c r="AQ100" i="28"/>
  <c r="AQ101" i="28"/>
  <c r="AQ102" i="28"/>
  <c r="AQ103" i="28"/>
  <c r="AQ110" i="28"/>
  <c r="AQ111" i="28"/>
  <c r="AQ116" i="28"/>
  <c r="AQ117" i="28"/>
  <c r="AQ118" i="28"/>
  <c r="AQ127" i="28"/>
  <c r="AQ130" i="28"/>
  <c r="AQ135" i="28"/>
  <c r="AQ139" i="28"/>
  <c r="AQ143" i="28"/>
  <c r="AQ148" i="28"/>
  <c r="AQ151" i="28"/>
  <c r="AQ163" i="28"/>
  <c r="AQ164" i="28"/>
  <c r="AQ166" i="28"/>
  <c r="AQ171" i="28"/>
  <c r="AQ180" i="28"/>
  <c r="AQ184" i="28"/>
  <c r="AQ187" i="28"/>
  <c r="AQ194" i="28"/>
  <c r="AQ199" i="28"/>
  <c r="AQ209" i="28"/>
  <c r="AQ214" i="28"/>
  <c r="AQ218" i="28"/>
  <c r="AQ219" i="28"/>
  <c r="AQ222" i="28"/>
  <c r="AQ227" i="28"/>
  <c r="AQ232" i="28"/>
  <c r="AQ246" i="28"/>
  <c r="AQ249" i="28"/>
  <c r="AQ250" i="28"/>
  <c r="AQ252" i="28"/>
  <c r="AQ254" i="28"/>
  <c r="AQ260" i="28"/>
  <c r="AQ261" i="28"/>
  <c r="AQ262" i="28"/>
  <c r="AQ263" i="28"/>
  <c r="AQ265" i="28"/>
  <c r="AQ268" i="28"/>
  <c r="AQ269" i="28"/>
  <c r="AQ272" i="28"/>
  <c r="AQ278" i="28"/>
  <c r="AQ279" i="28"/>
  <c r="AQ286" i="28"/>
  <c r="AQ287" i="28"/>
  <c r="AQ293" i="28"/>
  <c r="AQ296" i="28"/>
  <c r="AQ308" i="28"/>
  <c r="AQ310" i="28"/>
  <c r="AQ314" i="28"/>
  <c r="AQ318" i="28"/>
  <c r="AQ321" i="28"/>
  <c r="AQ324" i="28"/>
  <c r="AQ327" i="28"/>
  <c r="AQ330" i="28"/>
  <c r="AQ332" i="28"/>
  <c r="AQ339" i="28"/>
  <c r="AQ342" i="28"/>
  <c r="AQ345" i="28"/>
  <c r="AQ348" i="28"/>
  <c r="AQ355" i="28"/>
  <c r="AQ358" i="28"/>
  <c r="AQ360" i="28"/>
  <c r="AQ366" i="28"/>
  <c r="AQ369" i="28"/>
  <c r="AQ372" i="28"/>
  <c r="AQ379" i="28"/>
  <c r="AQ382" i="28"/>
  <c r="AQ385" i="28"/>
  <c r="AQ388" i="28"/>
  <c r="AQ391" i="28"/>
  <c r="AQ394" i="28"/>
  <c r="AQ396" i="28"/>
  <c r="AQ403" i="28"/>
  <c r="AQ406" i="28"/>
  <c r="AQ408" i="28"/>
  <c r="AQ416" i="28"/>
  <c r="AQ422" i="28"/>
  <c r="AQ424" i="28"/>
  <c r="AQ98" i="28"/>
  <c r="AQ106" i="28"/>
  <c r="AQ107" i="28"/>
  <c r="AQ108" i="28"/>
  <c r="AQ113" i="28"/>
  <c r="AQ121" i="28"/>
  <c r="AQ122" i="28"/>
  <c r="AQ123" i="28"/>
  <c r="AQ132" i="28"/>
  <c r="AQ137" i="28"/>
  <c r="AQ145" i="28"/>
  <c r="AQ154" i="28"/>
  <c r="AQ156" i="28"/>
  <c r="AQ158" i="28"/>
  <c r="AQ159" i="28"/>
  <c r="AQ160" i="28"/>
  <c r="AQ168" i="28"/>
  <c r="AQ174" i="28"/>
  <c r="AQ175" i="28"/>
  <c r="AQ176" i="28"/>
  <c r="AQ177" i="28"/>
  <c r="AQ191" i="28"/>
  <c r="AQ196" i="28"/>
  <c r="AQ198" i="28"/>
  <c r="AQ200" i="28"/>
  <c r="AQ203" i="28"/>
  <c r="AQ207" i="28"/>
  <c r="AQ211" i="28"/>
  <c r="AQ212" i="28"/>
  <c r="AQ216" i="28"/>
  <c r="AQ220" i="28"/>
  <c r="AQ221" i="28"/>
  <c r="AQ225" i="28"/>
  <c r="AQ228" i="28"/>
  <c r="AQ235" i="28"/>
  <c r="AQ236" i="28"/>
  <c r="AQ239" i="28"/>
  <c r="AQ244" i="28"/>
  <c r="AQ245" i="28"/>
  <c r="AQ247" i="28"/>
  <c r="AQ253" i="28"/>
  <c r="AQ255" i="28"/>
  <c r="AQ266" i="28"/>
  <c r="AQ273" i="28"/>
  <c r="AQ274" i="28"/>
  <c r="AQ291" i="28"/>
  <c r="AQ292" i="28"/>
  <c r="AQ298" i="28"/>
  <c r="AQ303" i="28"/>
  <c r="AQ306" i="28"/>
  <c r="AQ309" i="28"/>
  <c r="AQ315" i="28"/>
  <c r="AQ316" i="28"/>
  <c r="AQ323" i="28"/>
  <c r="AQ326" i="28"/>
  <c r="AQ328" i="28"/>
  <c r="AQ334" i="28"/>
  <c r="AQ337" i="28"/>
  <c r="AQ340" i="28"/>
  <c r="AQ347" i="28"/>
  <c r="AQ350" i="28"/>
  <c r="AQ353" i="28"/>
  <c r="AQ356" i="28"/>
  <c r="AQ359" i="28"/>
  <c r="AQ362" i="28"/>
  <c r="AQ364" i="28"/>
  <c r="AQ371" i="28"/>
  <c r="AQ374" i="28"/>
  <c r="AQ377" i="28"/>
  <c r="AQ380" i="28"/>
  <c r="AQ387" i="28"/>
  <c r="AQ390" i="28"/>
  <c r="AQ392" i="28"/>
  <c r="AQ398" i="28"/>
  <c r="AQ401" i="28"/>
  <c r="AQ404" i="28"/>
  <c r="AQ407" i="28"/>
  <c r="AQ410" i="28"/>
  <c r="AQ412" i="28"/>
  <c r="AQ415" i="28"/>
  <c r="AQ418" i="28"/>
  <c r="AQ423" i="28"/>
  <c r="AQ426" i="28"/>
  <c r="AO120" i="28"/>
  <c r="AO122" i="28"/>
  <c r="AO130" i="28"/>
  <c r="AO146" i="28"/>
  <c r="AO151" i="28"/>
  <c r="AO153" i="28"/>
  <c r="AO160" i="28"/>
  <c r="AO161" i="28"/>
  <c r="AO179" i="28"/>
  <c r="AO180" i="28"/>
  <c r="AO182" i="28"/>
  <c r="AO190" i="28"/>
  <c r="AO191" i="28"/>
  <c r="AO192" i="28"/>
  <c r="AO219" i="28"/>
  <c r="AO228" i="28"/>
  <c r="AO229" i="28"/>
  <c r="AO238" i="28"/>
  <c r="AO242" i="28"/>
  <c r="AO245" i="28"/>
  <c r="AO259" i="28"/>
  <c r="AO260" i="28"/>
  <c r="AO266" i="28"/>
  <c r="AO267" i="28"/>
  <c r="AO268" i="28"/>
  <c r="AO272" i="28"/>
  <c r="AO274" i="28"/>
  <c r="AO275" i="28"/>
  <c r="AO277" i="28"/>
  <c r="AO281" i="28"/>
  <c r="AO284" i="28"/>
  <c r="AO288" i="28"/>
  <c r="AO290" i="28"/>
  <c r="AO291" i="28"/>
  <c r="AO293" i="28"/>
  <c r="AO305" i="28"/>
  <c r="AO307" i="28"/>
  <c r="AO312" i="28"/>
  <c r="AO320" i="28"/>
  <c r="AO322" i="28"/>
  <c r="AO329" i="28"/>
  <c r="AO331" i="28"/>
  <c r="AO336" i="28"/>
  <c r="AO338" i="28"/>
  <c r="AO345" i="28"/>
  <c r="AO347" i="28"/>
  <c r="AO352" i="28"/>
  <c r="AO354" i="28"/>
  <c r="AO361" i="28"/>
  <c r="AO363" i="28"/>
  <c r="AO368" i="28"/>
  <c r="AO370" i="28"/>
  <c r="AO377" i="28"/>
  <c r="AO379" i="28"/>
  <c r="AO384" i="28"/>
  <c r="AO386" i="28"/>
  <c r="AO393" i="28"/>
  <c r="AO395" i="28"/>
  <c r="AO400" i="28"/>
  <c r="AO402" i="28"/>
  <c r="AO409" i="28"/>
  <c r="AO411" i="28"/>
  <c r="AO416" i="28"/>
  <c r="AO418" i="28"/>
  <c r="AO425" i="28"/>
  <c r="AO427" i="28"/>
  <c r="AO432" i="28"/>
  <c r="AO434" i="28"/>
  <c r="AO441" i="28"/>
  <c r="AO443" i="28"/>
  <c r="AO448" i="28"/>
  <c r="AO450" i="28"/>
  <c r="AO457" i="28"/>
  <c r="AO459" i="28"/>
  <c r="AO464" i="28"/>
  <c r="AO466" i="28"/>
  <c r="AO473" i="28"/>
  <c r="AO475" i="28"/>
  <c r="AO480" i="28"/>
  <c r="AO482" i="28"/>
  <c r="AO489" i="28"/>
  <c r="AO491" i="28"/>
  <c r="AO496" i="28"/>
  <c r="AO498" i="28"/>
  <c r="AO114" i="28"/>
  <c r="AO135" i="28"/>
  <c r="AO144" i="28"/>
  <c r="AO162" i="28"/>
  <c r="AO163" i="28"/>
  <c r="AO169" i="28"/>
  <c r="AO174" i="28"/>
  <c r="AO193" i="28"/>
  <c r="AO194" i="28"/>
  <c r="AO195" i="28"/>
  <c r="AO196" i="28"/>
  <c r="AO209" i="28"/>
  <c r="AO210" i="28"/>
  <c r="AO211" i="28"/>
  <c r="AO213" i="28"/>
  <c r="AO214" i="28"/>
  <c r="AO215" i="28"/>
  <c r="AO222" i="28"/>
  <c r="AO223" i="28"/>
  <c r="AO226" i="28"/>
  <c r="AO227" i="28"/>
  <c r="AO230" i="28"/>
  <c r="AO251" i="28"/>
  <c r="AO252" i="28"/>
  <c r="AO255" i="28"/>
  <c r="AO256" i="28"/>
  <c r="AO258" i="28"/>
  <c r="AO261" i="28"/>
  <c r="AO265" i="28"/>
  <c r="AO269" i="28"/>
  <c r="AO270" i="28"/>
  <c r="AO276" i="28"/>
  <c r="AO282" i="28"/>
  <c r="AO285" i="28"/>
  <c r="AO286" i="28"/>
  <c r="AO292" i="28"/>
  <c r="AO297" i="28"/>
  <c r="AO299" i="28"/>
  <c r="AO302" i="28"/>
  <c r="AO304" i="28"/>
  <c r="AO309" i="28"/>
  <c r="AO311" i="28"/>
  <c r="AO313" i="28"/>
  <c r="AO317" i="28"/>
  <c r="AO319" i="28"/>
  <c r="AO324" i="28"/>
  <c r="AO326" i="28"/>
  <c r="AO333" i="28"/>
  <c r="AO335" i="28"/>
  <c r="AO340" i="28"/>
  <c r="AO342" i="28"/>
  <c r="AO349" i="28"/>
  <c r="AO351" i="28"/>
  <c r="AO356" i="28"/>
  <c r="AO358" i="28"/>
  <c r="AO365" i="28"/>
  <c r="AO367" i="28"/>
  <c r="AO372" i="28"/>
  <c r="AO374" i="28"/>
  <c r="AO381" i="28"/>
  <c r="AO383" i="28"/>
  <c r="AO388" i="28"/>
  <c r="AO390" i="28"/>
  <c r="AO397" i="28"/>
  <c r="AO399" i="28"/>
  <c r="AO404" i="28"/>
  <c r="AO406" i="28"/>
  <c r="AO112" i="28"/>
  <c r="AO128" i="28"/>
  <c r="AO166" i="28"/>
  <c r="AO167" i="28"/>
  <c r="AO170" i="28"/>
  <c r="AO171" i="28"/>
  <c r="AO175" i="28"/>
  <c r="AO198" i="28"/>
  <c r="AO202" i="28"/>
  <c r="AO203" i="28"/>
  <c r="AO204" i="28"/>
  <c r="AO206" i="28"/>
  <c r="AO207" i="28"/>
  <c r="AO224" i="28"/>
  <c r="AO231" i="28"/>
  <c r="AO232" i="28"/>
  <c r="AO234" i="28"/>
  <c r="AO235" i="28"/>
  <c r="AO239" i="28"/>
  <c r="AO240" i="28"/>
  <c r="AO247" i="28"/>
  <c r="AO248" i="28"/>
  <c r="AO249" i="28"/>
  <c r="AO254" i="28"/>
  <c r="AO257" i="28"/>
  <c r="AO262" i="28"/>
  <c r="AO271" i="28"/>
  <c r="AO278" i="28"/>
  <c r="AO287" i="28"/>
  <c r="AO294" i="28"/>
  <c r="AO301" i="28"/>
  <c r="AO306" i="28"/>
  <c r="AO308" i="28"/>
  <c r="AO315" i="28"/>
  <c r="AO321" i="28"/>
  <c r="AO323" i="28"/>
  <c r="AO328" i="28"/>
  <c r="AO330" i="28"/>
  <c r="AO337" i="28"/>
  <c r="AO339" i="28"/>
  <c r="AO344" i="28"/>
  <c r="AO346" i="28"/>
  <c r="AO353" i="28"/>
  <c r="AO355" i="28"/>
  <c r="AO360" i="28"/>
  <c r="AO362" i="28"/>
  <c r="AO369" i="28"/>
  <c r="AO371" i="28"/>
  <c r="AO376" i="28"/>
  <c r="AO378" i="28"/>
  <c r="AO385" i="28"/>
  <c r="AO387" i="28"/>
  <c r="AO392" i="28"/>
  <c r="AO394" i="28"/>
  <c r="AO401" i="28"/>
  <c r="AO403" i="28"/>
  <c r="AO408" i="28"/>
  <c r="AO410" i="28"/>
  <c r="AO417" i="28"/>
  <c r="AO419" i="28"/>
  <c r="AO424" i="28"/>
  <c r="AO426" i="28"/>
  <c r="AO433" i="28"/>
  <c r="AO176" i="28"/>
  <c r="AO178" i="28"/>
  <c r="AO246" i="28"/>
  <c r="AO298" i="28"/>
  <c r="AO314" i="28"/>
  <c r="AO325" i="28"/>
  <c r="AO341" i="28"/>
  <c r="AO357" i="28"/>
  <c r="AO373" i="28"/>
  <c r="AO389" i="28"/>
  <c r="AO405" i="28"/>
  <c r="AO437" i="28"/>
  <c r="AO439" i="28"/>
  <c r="AO445" i="28"/>
  <c r="AO447" i="28"/>
  <c r="AO449" i="28"/>
  <c r="AO453" i="28"/>
  <c r="AO455" i="28"/>
  <c r="AO461" i="28"/>
  <c r="AO463" i="28"/>
  <c r="AO465" i="28"/>
  <c r="AO469" i="28"/>
  <c r="AO471" i="28"/>
  <c r="AO477" i="28"/>
  <c r="AO479" i="28"/>
  <c r="AO481" i="28"/>
  <c r="AO485" i="28"/>
  <c r="AO487" i="28"/>
  <c r="AO493" i="28"/>
  <c r="AO495" i="28"/>
  <c r="AO497" i="28"/>
  <c r="AO501" i="28"/>
  <c r="AO503" i="28"/>
  <c r="AO508" i="28"/>
  <c r="AO510" i="28"/>
  <c r="AO517" i="28"/>
  <c r="AO519" i="28"/>
  <c r="AO524" i="28"/>
  <c r="AO526" i="28"/>
  <c r="AO183" i="28"/>
  <c r="AO184" i="28"/>
  <c r="AO185" i="28"/>
  <c r="AO200" i="28"/>
  <c r="AO201" i="28"/>
  <c r="AO236" i="28"/>
  <c r="AO237" i="28"/>
  <c r="AO243" i="28"/>
  <c r="AO244" i="28"/>
  <c r="AO250" i="28"/>
  <c r="AO279" i="28"/>
  <c r="AO280" i="28"/>
  <c r="AO295" i="28"/>
  <c r="AO296" i="28"/>
  <c r="AO303" i="28"/>
  <c r="AO413" i="28"/>
  <c r="AO415" i="28"/>
  <c r="AO420" i="28"/>
  <c r="AO422" i="28"/>
  <c r="AO429" i="28"/>
  <c r="AO431" i="28"/>
  <c r="AO505" i="28"/>
  <c r="AO507" i="28"/>
  <c r="AO512" i="28"/>
  <c r="AO514" i="28"/>
  <c r="AO521" i="28"/>
  <c r="AO523" i="28"/>
  <c r="AO528" i="28"/>
  <c r="AO530" i="28"/>
  <c r="AO537" i="28"/>
  <c r="AO205" i="28"/>
  <c r="AO218" i="28"/>
  <c r="AO241" i="28"/>
  <c r="AO263" i="28"/>
  <c r="AO264" i="28"/>
  <c r="AO273" i="28"/>
  <c r="AO289" i="28"/>
  <c r="AO318" i="28"/>
  <c r="AO334" i="28"/>
  <c r="AO350" i="28"/>
  <c r="AO366" i="28"/>
  <c r="AO382" i="28"/>
  <c r="AO398" i="28"/>
  <c r="AO436" i="28"/>
  <c r="AO438" i="28"/>
  <c r="AO442" i="28"/>
  <c r="AO444" i="28"/>
  <c r="AO446" i="28"/>
  <c r="AO452" i="28"/>
  <c r="AO454" i="28"/>
  <c r="AO458" i="28"/>
  <c r="AO460" i="28"/>
  <c r="AO462" i="28"/>
  <c r="AO468" i="28"/>
  <c r="AO470" i="28"/>
  <c r="AO474" i="28"/>
  <c r="AO476" i="28"/>
  <c r="AO478" i="28"/>
  <c r="AO484" i="28"/>
  <c r="AO486" i="28"/>
  <c r="AO490" i="28"/>
  <c r="AO492" i="28"/>
  <c r="AO494" i="28"/>
  <c r="AO500" i="28"/>
  <c r="AO502" i="28"/>
  <c r="AO509" i="28"/>
  <c r="AO511" i="28"/>
  <c r="AO516" i="28"/>
  <c r="AO518" i="28"/>
  <c r="AO525" i="28"/>
  <c r="AO527" i="28"/>
  <c r="AO532" i="28"/>
  <c r="AO534" i="28"/>
  <c r="AO541" i="28"/>
  <c r="AO543" i="28"/>
  <c r="AO548" i="28"/>
  <c r="AO550" i="28"/>
  <c r="AO557" i="28"/>
  <c r="AO559" i="28"/>
  <c r="AO564" i="28"/>
  <c r="AO566" i="28"/>
  <c r="AO573" i="28"/>
  <c r="AO575" i="28"/>
  <c r="AO580" i="28"/>
  <c r="AO585" i="28"/>
  <c r="AO588" i="28"/>
  <c r="AO593" i="28"/>
  <c r="AO597" i="28"/>
  <c r="AO599" i="28"/>
  <c r="AO602" i="28"/>
  <c r="AO608" i="28"/>
  <c r="AO613" i="28"/>
  <c r="AO617" i="28"/>
  <c r="AO620" i="28"/>
  <c r="AO623" i="28"/>
  <c r="AO626" i="28"/>
  <c r="AO630" i="28"/>
  <c r="AO639" i="28"/>
  <c r="AO640" i="28"/>
  <c r="AO645" i="28"/>
  <c r="AO649" i="28"/>
  <c r="AO652" i="28"/>
  <c r="AO655" i="28"/>
  <c r="AO658" i="28"/>
  <c r="AO662" i="28"/>
  <c r="AO671" i="28"/>
  <c r="AO672" i="28"/>
  <c r="AO677" i="28"/>
  <c r="AO681" i="28"/>
  <c r="AO684" i="28"/>
  <c r="AO687" i="28"/>
  <c r="AO690" i="28"/>
  <c r="AO694" i="28"/>
  <c r="AO703" i="28"/>
  <c r="AO704" i="28"/>
  <c r="AO380" i="28"/>
  <c r="AO375" i="28"/>
  <c r="AO348" i="28"/>
  <c r="AO343" i="28"/>
  <c r="AO316" i="28"/>
  <c r="AM608" i="28"/>
  <c r="AM590" i="28"/>
  <c r="AM1090" i="28"/>
  <c r="AM1089" i="28"/>
  <c r="AM1084" i="28"/>
  <c r="AM1079" i="28"/>
  <c r="AM1074" i="28"/>
  <c r="AM1073" i="28"/>
  <c r="AM1068" i="28"/>
  <c r="AM1063" i="28"/>
  <c r="AM1058" i="28"/>
  <c r="AM1057" i="28"/>
  <c r="AM1052" i="28"/>
  <c r="AM1047" i="28"/>
  <c r="AM1042" i="28"/>
  <c r="AM1041" i="28"/>
  <c r="AM1036" i="28"/>
  <c r="AM1031" i="28"/>
  <c r="AM1026" i="28"/>
  <c r="AM1025" i="28"/>
  <c r="AM1020" i="28"/>
  <c r="AM1015" i="28"/>
  <c r="AM1010" i="28"/>
  <c r="AM1009" i="28"/>
  <c r="AM1006" i="28"/>
  <c r="AM1005" i="28"/>
  <c r="AM999" i="28"/>
  <c r="AM990" i="28"/>
  <c r="AM989" i="28"/>
  <c r="AM983" i="28"/>
  <c r="AM974" i="28"/>
  <c r="AM973" i="28"/>
  <c r="AM967" i="28"/>
  <c r="AM958" i="28"/>
  <c r="AM957" i="28"/>
  <c r="AM951" i="28"/>
  <c r="AM942" i="28"/>
  <c r="AM941" i="28"/>
  <c r="AM935" i="28"/>
  <c r="AM926" i="28"/>
  <c r="AM925" i="28"/>
  <c r="AM919" i="28"/>
  <c r="AM910" i="28"/>
  <c r="AM909" i="28"/>
  <c r="AM903" i="28"/>
  <c r="AM894" i="28"/>
  <c r="AM884" i="28"/>
  <c r="AM883" i="28"/>
  <c r="AM876" i="28"/>
  <c r="AM858" i="28"/>
  <c r="AM857" i="28"/>
  <c r="AM826" i="28"/>
  <c r="AM825" i="28"/>
  <c r="AM794" i="28"/>
  <c r="AM793" i="28"/>
  <c r="AM762" i="28"/>
  <c r="AM761" i="28"/>
  <c r="AM730" i="28"/>
  <c r="AM729" i="28"/>
  <c r="AM698" i="28"/>
  <c r="AM697" i="28"/>
  <c r="AM666" i="28"/>
  <c r="AM665" i="28"/>
  <c r="AM634" i="28"/>
  <c r="AM633" i="28"/>
  <c r="AM602" i="28"/>
  <c r="AM601" i="28"/>
  <c r="AM572" i="28"/>
  <c r="AM571" i="28"/>
  <c r="AM556" i="28"/>
  <c r="AM555" i="28"/>
  <c r="AM540" i="28"/>
  <c r="AM539" i="28"/>
  <c r="AM524" i="28"/>
  <c r="AM523" i="28"/>
  <c r="AM508" i="28"/>
  <c r="AM507" i="28"/>
  <c r="AM492" i="28"/>
  <c r="AM491" i="28"/>
  <c r="AM476" i="28"/>
  <c r="AM475" i="28"/>
  <c r="AM460" i="28"/>
  <c r="AM459" i="28"/>
  <c r="AM444" i="28"/>
  <c r="AM443" i="28"/>
  <c r="AM428" i="28"/>
  <c r="AM427" i="28"/>
  <c r="AM412" i="28"/>
  <c r="AM411" i="28"/>
  <c r="AM396" i="28"/>
  <c r="AM395" i="28"/>
  <c r="AM380" i="28"/>
  <c r="AM379" i="28"/>
  <c r="AM364" i="28"/>
  <c r="AM363" i="28"/>
  <c r="AM348" i="28"/>
  <c r="AM347" i="28"/>
  <c r="AM332" i="28"/>
  <c r="AM331" i="28"/>
  <c r="AM316" i="28"/>
  <c r="AM312" i="28"/>
  <c r="AM311" i="28"/>
  <c r="AM280" i="28"/>
  <c r="AM259" i="28"/>
  <c r="AM256" i="28"/>
  <c r="AM109" i="28"/>
  <c r="AM117" i="28"/>
  <c r="AM123" i="28"/>
  <c r="AM141" i="28"/>
  <c r="AM172" i="28"/>
  <c r="AM174" i="28"/>
  <c r="AM177" i="28"/>
  <c r="AM182" i="28"/>
  <c r="AM189" i="28"/>
  <c r="AM204" i="28"/>
  <c r="AM209" i="28"/>
  <c r="AM211" i="28"/>
  <c r="AM217" i="28"/>
  <c r="AM220" i="28"/>
  <c r="AM225" i="28"/>
  <c r="AM103" i="28"/>
  <c r="AM104" i="28"/>
  <c r="AM106" i="28"/>
  <c r="AM115" i="28"/>
  <c r="AM132" i="28"/>
  <c r="AM134" i="28"/>
  <c r="AM139" i="28"/>
  <c r="AM142" i="28"/>
  <c r="AM147" i="28"/>
  <c r="AM156" i="28"/>
  <c r="AM164" i="28"/>
  <c r="AM187" i="28"/>
  <c r="AM198" i="28"/>
  <c r="AM201" i="28"/>
  <c r="AM205" i="28"/>
  <c r="AM207" i="28"/>
  <c r="AM212" i="28"/>
  <c r="AM228" i="28"/>
  <c r="AM233" i="28"/>
  <c r="AM126" i="28"/>
  <c r="AM140" i="28"/>
  <c r="AM208" i="28"/>
  <c r="AM216" i="28"/>
  <c r="AM226" i="28"/>
  <c r="AM235" i="28"/>
  <c r="AM245" i="28"/>
  <c r="AM246" i="28"/>
  <c r="AM247" i="28"/>
  <c r="AM252" i="28"/>
  <c r="AM257" i="28"/>
  <c r="AM258" i="28"/>
  <c r="AM264" i="28"/>
  <c r="AM267" i="28"/>
  <c r="AM271" i="28"/>
  <c r="AM276" i="28"/>
  <c r="AM277" i="28"/>
  <c r="AM282" i="28"/>
  <c r="AM287" i="28"/>
  <c r="AM292" i="28"/>
  <c r="AM293" i="28"/>
  <c r="AM105" i="28"/>
  <c r="AM125" i="28"/>
  <c r="AM131" i="28"/>
  <c r="AM150" i="28"/>
  <c r="AM171" i="28"/>
  <c r="AM178" i="28"/>
  <c r="AM181" i="28"/>
  <c r="AM202" i="28"/>
  <c r="AM213" i="28"/>
  <c r="AM229" i="28"/>
  <c r="AM231" i="28"/>
  <c r="AM234" i="28"/>
  <c r="AM240" i="28"/>
  <c r="AM243" i="28"/>
  <c r="AM253" i="28"/>
  <c r="AM254" i="28"/>
  <c r="AM255" i="28"/>
  <c r="AM260" i="28"/>
  <c r="AM265" i="28"/>
  <c r="AM266" i="28"/>
  <c r="AM272" i="28"/>
  <c r="AM273" i="28"/>
  <c r="AM278" i="28"/>
  <c r="AM283" i="28"/>
  <c r="AM288" i="28"/>
  <c r="AM289" i="28"/>
  <c r="AM294" i="28"/>
  <c r="AM170" i="28"/>
  <c r="AM188" i="28"/>
  <c r="AM249" i="28"/>
  <c r="AM261" i="28"/>
  <c r="AM263" i="28"/>
  <c r="AM269" i="28"/>
  <c r="AM285" i="28"/>
  <c r="AM299" i="28"/>
  <c r="AM304" i="28"/>
  <c r="AM305" i="28"/>
  <c r="AM310" i="28"/>
  <c r="AM314" i="28"/>
  <c r="AM315" i="28"/>
  <c r="AM318" i="28"/>
  <c r="AM323" i="28"/>
  <c r="AM324" i="28"/>
  <c r="AM329" i="28"/>
  <c r="AM334" i="28"/>
  <c r="AM339" i="28"/>
  <c r="AM340" i="28"/>
  <c r="AM345" i="28"/>
  <c r="AM350" i="28"/>
  <c r="AM355" i="28"/>
  <c r="AM356" i="28"/>
  <c r="AM361" i="28"/>
  <c r="AM366" i="28"/>
  <c r="AM371" i="28"/>
  <c r="AM372" i="28"/>
  <c r="AM377" i="28"/>
  <c r="AM382" i="28"/>
  <c r="AM387" i="28"/>
  <c r="AM388" i="28"/>
  <c r="AM393" i="28"/>
  <c r="AM398" i="28"/>
  <c r="AM403" i="28"/>
  <c r="AM404" i="28"/>
  <c r="AM409" i="28"/>
  <c r="AM414" i="28"/>
  <c r="AM419" i="28"/>
  <c r="AM420" i="28"/>
  <c r="AM425" i="28"/>
  <c r="AM430" i="28"/>
  <c r="AM435" i="28"/>
  <c r="AM436" i="28"/>
  <c r="AM441" i="28"/>
  <c r="AM446" i="28"/>
  <c r="AM451" i="28"/>
  <c r="AM452" i="28"/>
  <c r="AM457" i="28"/>
  <c r="AM462" i="28"/>
  <c r="AM467" i="28"/>
  <c r="AM468" i="28"/>
  <c r="AM473" i="28"/>
  <c r="AM478" i="28"/>
  <c r="AM483" i="28"/>
  <c r="AM484" i="28"/>
  <c r="AM489" i="28"/>
  <c r="AM494" i="28"/>
  <c r="AM499" i="28"/>
  <c r="AM500" i="28"/>
  <c r="AM505" i="28"/>
  <c r="AM510" i="28"/>
  <c r="AM515" i="28"/>
  <c r="AM516" i="28"/>
  <c r="AM521" i="28"/>
  <c r="AM526" i="28"/>
  <c r="AM531" i="28"/>
  <c r="AM532" i="28"/>
  <c r="AM537" i="28"/>
  <c r="AM542" i="28"/>
  <c r="AM547" i="28"/>
  <c r="AM548" i="28"/>
  <c r="AM553" i="28"/>
  <c r="AM558" i="28"/>
  <c r="AM563" i="28"/>
  <c r="AM564" i="28"/>
  <c r="AM569" i="28"/>
  <c r="AM574" i="28"/>
  <c r="AM173" i="28"/>
  <c r="AM200" i="28"/>
  <c r="AM206" i="28"/>
  <c r="AM232" i="28"/>
  <c r="AM238" i="28"/>
  <c r="AM241" i="28"/>
  <c r="AM251" i="28"/>
  <c r="AM270" i="28"/>
  <c r="AM274" i="28"/>
  <c r="AM281" i="28"/>
  <c r="AM286" i="28"/>
  <c r="AM290" i="28"/>
  <c r="AM298" i="28"/>
  <c r="AM303" i="28"/>
  <c r="AM308" i="28"/>
  <c r="AM309" i="28"/>
  <c r="AM313" i="28"/>
  <c r="AM317" i="28"/>
  <c r="AM322" i="28"/>
  <c r="AM327" i="28"/>
  <c r="AM328" i="28"/>
  <c r="AM333" i="28"/>
  <c r="AM338" i="28"/>
  <c r="AM343" i="28"/>
  <c r="AM344" i="28"/>
  <c r="AM349" i="28"/>
  <c r="AM354" i="28"/>
  <c r="AM359" i="28"/>
  <c r="AM360" i="28"/>
  <c r="AM365" i="28"/>
  <c r="AM370" i="28"/>
  <c r="AM375" i="28"/>
  <c r="AM376" i="28"/>
  <c r="AM381" i="28"/>
  <c r="AM386" i="28"/>
  <c r="AM391" i="28"/>
  <c r="AM392" i="28"/>
  <c r="AM397" i="28"/>
  <c r="AM402" i="28"/>
  <c r="AM407" i="28"/>
  <c r="AM408" i="28"/>
  <c r="AM413" i="28"/>
  <c r="AM418" i="28"/>
  <c r="AM423" i="28"/>
  <c r="AM424" i="28"/>
  <c r="AM429" i="28"/>
  <c r="AM434" i="28"/>
  <c r="AM439" i="28"/>
  <c r="AM440" i="28"/>
  <c r="AM445" i="28"/>
  <c r="AM450" i="28"/>
  <c r="AM455" i="28"/>
  <c r="AM456" i="28"/>
  <c r="AM461" i="28"/>
  <c r="AM466" i="28"/>
  <c r="AM471" i="28"/>
  <c r="AM472" i="28"/>
  <c r="AM477" i="28"/>
  <c r="AM482" i="28"/>
  <c r="AM487" i="28"/>
  <c r="AM488" i="28"/>
  <c r="AM493" i="28"/>
  <c r="AM498" i="28"/>
  <c r="AM503" i="28"/>
  <c r="AM504" i="28"/>
  <c r="AM509" i="28"/>
  <c r="AM514" i="28"/>
  <c r="AM519" i="28"/>
  <c r="AM520" i="28"/>
  <c r="AM525" i="28"/>
  <c r="AM530" i="28"/>
  <c r="AM535" i="28"/>
  <c r="AM536" i="28"/>
  <c r="AM541" i="28"/>
  <c r="AM546" i="28"/>
  <c r="AM551" i="28"/>
  <c r="AM552" i="28"/>
  <c r="AM557" i="28"/>
  <c r="AM562" i="28"/>
  <c r="AM567" i="28"/>
  <c r="AM568" i="28"/>
  <c r="AM573" i="28"/>
  <c r="AM578" i="28"/>
  <c r="AM118" i="28"/>
  <c r="AM148" i="28"/>
  <c r="AM155" i="28"/>
  <c r="AM165" i="28"/>
  <c r="AM221" i="28"/>
  <c r="AM230" i="28"/>
  <c r="AM268" i="28"/>
  <c r="AM284" i="28"/>
  <c r="AM300" i="28"/>
  <c r="AM301" i="28"/>
  <c r="AM307" i="28"/>
  <c r="AM321" i="28"/>
  <c r="AM337" i="28"/>
  <c r="AM353" i="28"/>
  <c r="AM369" i="28"/>
  <c r="AM385" i="28"/>
  <c r="AM401" i="28"/>
  <c r="AM417" i="28"/>
  <c r="AM433" i="28"/>
  <c r="AM449" i="28"/>
  <c r="AM465" i="28"/>
  <c r="AM481" i="28"/>
  <c r="AM497" i="28"/>
  <c r="AM513" i="28"/>
  <c r="AM529" i="28"/>
  <c r="AM545" i="28"/>
  <c r="AM561" i="28"/>
  <c r="AM577" i="28"/>
  <c r="AM581" i="28"/>
  <c r="AM587" i="28"/>
  <c r="AM588" i="28"/>
  <c r="AM593" i="28"/>
  <c r="AM594" i="28"/>
  <c r="AM599" i="28"/>
  <c r="AM600" i="28"/>
  <c r="AM606" i="28"/>
  <c r="AM613" i="28"/>
  <c r="AM619" i="28"/>
  <c r="AM620" i="28"/>
  <c r="AM625" i="28"/>
  <c r="AM626" i="28"/>
  <c r="AM631" i="28"/>
  <c r="AM632" i="28"/>
  <c r="AM638" i="28"/>
  <c r="AM645" i="28"/>
  <c r="AM651" i="28"/>
  <c r="AM652" i="28"/>
  <c r="AM657" i="28"/>
  <c r="AM658" i="28"/>
  <c r="AM663" i="28"/>
  <c r="AM664" i="28"/>
  <c r="AM670" i="28"/>
  <c r="AM677" i="28"/>
  <c r="AM683" i="28"/>
  <c r="AM684" i="28"/>
  <c r="AM689" i="28"/>
  <c r="AM690" i="28"/>
  <c r="AM695" i="28"/>
  <c r="AM696" i="28"/>
  <c r="AM702" i="28"/>
  <c r="AM709" i="28"/>
  <c r="AM715" i="28"/>
  <c r="AM716" i="28"/>
  <c r="AM721" i="28"/>
  <c r="AM722" i="28"/>
  <c r="AM727" i="28"/>
  <c r="AM728" i="28"/>
  <c r="AM734" i="28"/>
  <c r="AM741" i="28"/>
  <c r="AM747" i="28"/>
  <c r="AM748" i="28"/>
  <c r="AM753" i="28"/>
  <c r="AM754" i="28"/>
  <c r="AM759" i="28"/>
  <c r="AM760" i="28"/>
  <c r="AM766" i="28"/>
  <c r="AM773" i="28"/>
  <c r="AM779" i="28"/>
  <c r="AM780" i="28"/>
  <c r="AM785" i="28"/>
  <c r="AM786" i="28"/>
  <c r="AM791" i="28"/>
  <c r="AM792" i="28"/>
  <c r="AM798" i="28"/>
  <c r="AM805" i="28"/>
  <c r="AM811" i="28"/>
  <c r="AM812" i="28"/>
  <c r="AM817" i="28"/>
  <c r="AM818" i="28"/>
  <c r="AM823" i="28"/>
  <c r="AM824" i="28"/>
  <c r="AM830" i="28"/>
  <c r="AM837" i="28"/>
  <c r="AM843" i="28"/>
  <c r="AM844" i="28"/>
  <c r="AM849" i="28"/>
  <c r="AM850" i="28"/>
  <c r="AM855" i="28"/>
  <c r="AM856" i="28"/>
  <c r="AM862" i="28"/>
  <c r="AM869" i="28"/>
  <c r="AM875" i="28"/>
  <c r="AM879" i="28"/>
  <c r="AM880" i="28"/>
  <c r="AM886" i="28"/>
  <c r="AM892" i="28"/>
  <c r="AM897" i="28"/>
  <c r="AM902" i="28"/>
  <c r="AM907" i="28"/>
  <c r="AM912" i="28"/>
  <c r="AM917" i="28"/>
  <c r="AM918" i="28"/>
  <c r="AM923" i="28"/>
  <c r="AM928" i="28"/>
  <c r="AM933" i="28"/>
  <c r="AM934" i="28"/>
  <c r="AM939" i="28"/>
  <c r="AM944" i="28"/>
  <c r="AM949" i="28"/>
  <c r="AM950" i="28"/>
  <c r="AM955" i="28"/>
  <c r="AM960" i="28"/>
  <c r="AM965" i="28"/>
  <c r="AM966" i="28"/>
  <c r="AM971" i="28"/>
  <c r="AM976" i="28"/>
  <c r="AM981" i="28"/>
  <c r="AM982" i="28"/>
  <c r="AM987" i="28"/>
  <c r="AM992" i="28"/>
  <c r="AM997" i="28"/>
  <c r="AM998" i="28"/>
  <c r="AM1003" i="28"/>
  <c r="AM1008" i="28"/>
  <c r="AM157" i="28"/>
  <c r="AM197" i="28"/>
  <c r="AM242" i="28"/>
  <c r="AM244" i="28"/>
  <c r="AM248" i="28"/>
  <c r="AM262" i="28"/>
  <c r="AM275" i="28"/>
  <c r="AM279" i="28"/>
  <c r="AM291" i="28"/>
  <c r="AM295" i="28"/>
  <c r="AM297" i="28"/>
  <c r="AM306" i="28"/>
  <c r="AM319" i="28"/>
  <c r="AM320" i="28"/>
  <c r="AM326" i="28"/>
  <c r="AM335" i="28"/>
  <c r="AM336" i="28"/>
  <c r="AM342" i="28"/>
  <c r="AM351" i="28"/>
  <c r="AM352" i="28"/>
  <c r="AM358" i="28"/>
  <c r="AM367" i="28"/>
  <c r="AM368" i="28"/>
  <c r="AM374" i="28"/>
  <c r="AM383" i="28"/>
  <c r="AM384" i="28"/>
  <c r="AM390" i="28"/>
  <c r="AM399" i="28"/>
  <c r="AM400" i="28"/>
  <c r="AM406" i="28"/>
  <c r="AM415" i="28"/>
  <c r="AM416" i="28"/>
  <c r="AM422" i="28"/>
  <c r="AM431" i="28"/>
  <c r="AM432" i="28"/>
  <c r="AM438" i="28"/>
  <c r="AM447" i="28"/>
  <c r="AM448" i="28"/>
  <c r="AM454" i="28"/>
  <c r="AM463" i="28"/>
  <c r="AM464" i="28"/>
  <c r="AM470" i="28"/>
  <c r="AM479" i="28"/>
  <c r="AM480" i="28"/>
  <c r="AM486" i="28"/>
  <c r="AM495" i="28"/>
  <c r="AM496" i="28"/>
  <c r="AM502" i="28"/>
  <c r="AM511" i="28"/>
  <c r="AM512" i="28"/>
  <c r="AM518" i="28"/>
  <c r="AM527" i="28"/>
  <c r="AM528" i="28"/>
  <c r="AM534" i="28"/>
  <c r="AM543" i="28"/>
  <c r="AM544" i="28"/>
  <c r="AM550" i="28"/>
  <c r="AM559" i="28"/>
  <c r="AM560" i="28"/>
  <c r="AM566" i="28"/>
  <c r="AM575" i="28"/>
  <c r="AM576" i="28"/>
  <c r="AM579" i="28"/>
  <c r="AM580" i="28"/>
  <c r="AM585" i="28"/>
  <c r="AM586" i="28"/>
  <c r="AM591" i="28"/>
  <c r="AM592" i="28"/>
  <c r="AM598" i="28"/>
  <c r="AM605" i="28"/>
  <c r="AM611" i="28"/>
  <c r="AM612" i="28"/>
  <c r="AM617" i="28"/>
  <c r="AM618" i="28"/>
  <c r="AM623" i="28"/>
  <c r="AM624" i="28"/>
  <c r="AM630" i="28"/>
  <c r="AM637" i="28"/>
  <c r="AM643" i="28"/>
  <c r="AM644" i="28"/>
  <c r="AM649" i="28"/>
  <c r="AM650" i="28"/>
  <c r="AM655" i="28"/>
  <c r="AM656" i="28"/>
  <c r="AM662" i="28"/>
  <c r="AM669" i="28"/>
  <c r="AM675" i="28"/>
  <c r="AM676" i="28"/>
  <c r="AM681" i="28"/>
  <c r="AM682" i="28"/>
  <c r="AM687" i="28"/>
  <c r="AM688" i="28"/>
  <c r="AM694" i="28"/>
  <c r="AM701" i="28"/>
  <c r="AM707" i="28"/>
  <c r="AM708" i="28"/>
  <c r="AM713" i="28"/>
  <c r="AM714" i="28"/>
  <c r="AM719" i="28"/>
  <c r="AM720" i="28"/>
  <c r="AM726" i="28"/>
  <c r="AM733" i="28"/>
  <c r="AM739" i="28"/>
  <c r="AM740" i="28"/>
  <c r="AM745" i="28"/>
  <c r="AM746" i="28"/>
  <c r="AM751" i="28"/>
  <c r="AM752" i="28"/>
  <c r="AM758" i="28"/>
  <c r="AM765" i="28"/>
  <c r="AM771" i="28"/>
  <c r="AM772" i="28"/>
  <c r="AM777" i="28"/>
  <c r="AM778" i="28"/>
  <c r="AM783" i="28"/>
  <c r="AM784" i="28"/>
  <c r="AM790" i="28"/>
  <c r="AM797" i="28"/>
  <c r="AM803" i="28"/>
  <c r="AM804" i="28"/>
  <c r="AM809" i="28"/>
  <c r="AM810" i="28"/>
  <c r="AM815" i="28"/>
  <c r="AM816" i="28"/>
  <c r="AM822" i="28"/>
  <c r="AM829" i="28"/>
  <c r="AM835" i="28"/>
  <c r="AM836" i="28"/>
  <c r="AM841" i="28"/>
  <c r="AM842" i="28"/>
  <c r="AM847" i="28"/>
  <c r="AM848" i="28"/>
  <c r="AM854" i="28"/>
  <c r="AM861" i="28"/>
  <c r="AM867" i="28"/>
  <c r="AM868" i="28"/>
  <c r="AM873" i="28"/>
  <c r="AM874" i="28"/>
  <c r="AM878" i="28"/>
  <c r="AM885" i="28"/>
  <c r="AM891" i="28"/>
  <c r="AM895" i="28"/>
  <c r="AM896" i="28"/>
  <c r="AM901" i="28"/>
  <c r="AM905" i="28"/>
  <c r="AM906" i="28"/>
  <c r="AM911" i="28"/>
  <c r="AM916" i="28"/>
  <c r="AM921" i="28"/>
  <c r="AM922" i="28"/>
  <c r="AM927" i="28"/>
  <c r="AM932" i="28"/>
  <c r="AM937" i="28"/>
  <c r="AM938" i="28"/>
  <c r="AM943" i="28"/>
  <c r="AM948" i="28"/>
  <c r="AM953" i="28"/>
  <c r="AM954" i="28"/>
  <c r="AM959" i="28"/>
  <c r="AM964" i="28"/>
  <c r="AM969" i="28"/>
  <c r="AM970" i="28"/>
  <c r="AM975" i="28"/>
  <c r="AM980" i="28"/>
  <c r="AM985" i="28"/>
  <c r="AM986" i="28"/>
  <c r="AM991" i="28"/>
  <c r="AM996" i="28"/>
  <c r="AM1001" i="28"/>
  <c r="AM1002" i="28"/>
  <c r="AM607" i="28"/>
  <c r="AM597" i="28"/>
  <c r="AM584" i="28"/>
  <c r="AM583" i="28"/>
  <c r="AA109" i="28"/>
  <c r="AM1088" i="28"/>
  <c r="AM1083" i="28"/>
  <c r="AM1078" i="28"/>
  <c r="AM1077" i="28"/>
  <c r="AM1072" i="28"/>
  <c r="AM1067" i="28"/>
  <c r="AM1062" i="28"/>
  <c r="AM1061" i="28"/>
  <c r="AM1056" i="28"/>
  <c r="AM1051" i="28"/>
  <c r="AM1046" i="28"/>
  <c r="AM1045" i="28"/>
  <c r="AM1040" i="28"/>
  <c r="AM1035" i="28"/>
  <c r="AM1030" i="28"/>
  <c r="AM1029" i="28"/>
  <c r="AM1024" i="28"/>
  <c r="AM1019" i="28"/>
  <c r="AM1014" i="28"/>
  <c r="AM1013" i="28"/>
  <c r="AM1004" i="28"/>
  <c r="AM988" i="28"/>
  <c r="AM972" i="28"/>
  <c r="AM956" i="28"/>
  <c r="AM940" i="28"/>
  <c r="AM924" i="28"/>
  <c r="AM908" i="28"/>
  <c r="AM900" i="28"/>
  <c r="AM899" i="28"/>
  <c r="AM893" i="28"/>
  <c r="AM882" i="28"/>
  <c r="AM881" i="28"/>
  <c r="AM866" i="28"/>
  <c r="AM865" i="28"/>
  <c r="AM834" i="28"/>
  <c r="AM833" i="28"/>
  <c r="AM802" i="28"/>
  <c r="AM801" i="28"/>
  <c r="AM770" i="28"/>
  <c r="AM769" i="28"/>
  <c r="AM738" i="28"/>
  <c r="AM737" i="28"/>
  <c r="AM706" i="28"/>
  <c r="AM705" i="28"/>
  <c r="AM674" i="28"/>
  <c r="AM673" i="28"/>
  <c r="AM642" i="28"/>
  <c r="AM641" i="28"/>
  <c r="AM610" i="28"/>
  <c r="AM609" i="28"/>
  <c r="AM570" i="28"/>
  <c r="AM565" i="28"/>
  <c r="AM554" i="28"/>
  <c r="AM549" i="28"/>
  <c r="AM538" i="28"/>
  <c r="AM533" i="28"/>
  <c r="AM522" i="28"/>
  <c r="AM517" i="28"/>
  <c r="AM506" i="28"/>
  <c r="AM501" i="28"/>
  <c r="AM490" i="28"/>
  <c r="AM485" i="28"/>
  <c r="AM474" i="28"/>
  <c r="AM469" i="28"/>
  <c r="AM458" i="28"/>
  <c r="AM453" i="28"/>
  <c r="AM442" i="28"/>
  <c r="AM437" i="28"/>
  <c r="AM426" i="28"/>
  <c r="AM421" i="28"/>
  <c r="AM410" i="28"/>
  <c r="AM405" i="28"/>
  <c r="AM394" i="28"/>
  <c r="AM389" i="28"/>
  <c r="AM378" i="28"/>
  <c r="AM373" i="28"/>
  <c r="AM362" i="28"/>
  <c r="AM357" i="28"/>
  <c r="AM346" i="28"/>
  <c r="AM341" i="28"/>
  <c r="AM330" i="28"/>
  <c r="AM325" i="28"/>
  <c r="AM296" i="28"/>
  <c r="AM250" i="28"/>
  <c r="AM227" i="28"/>
  <c r="AJ89" i="28"/>
  <c r="AA96" i="28" s="1"/>
  <c r="AS104" i="28"/>
  <c r="AS107" i="28"/>
  <c r="AS108" i="28"/>
  <c r="AS113" i="28"/>
  <c r="AS115" i="28"/>
  <c r="AS120" i="28"/>
  <c r="AS130" i="28"/>
  <c r="AS132" i="28"/>
  <c r="AS134" i="28"/>
  <c r="AS139" i="28"/>
  <c r="AS142" i="28"/>
  <c r="AS145" i="28"/>
  <c r="AS147" i="28"/>
  <c r="AS151" i="28"/>
  <c r="AS154" i="28"/>
  <c r="AS156" i="28"/>
  <c r="AS158" i="28"/>
  <c r="AS160" i="28"/>
  <c r="AS162" i="28"/>
  <c r="AS164" i="28"/>
  <c r="AS166" i="28"/>
  <c r="AS170" i="28"/>
  <c r="AS178" i="28"/>
  <c r="AS187" i="28"/>
  <c r="AS203" i="28"/>
  <c r="AS212" i="28"/>
  <c r="AS214" i="28"/>
  <c r="AS219" i="28"/>
  <c r="AS222" i="28"/>
  <c r="AS224" i="28"/>
  <c r="AS226" i="28"/>
  <c r="AS229" i="28"/>
  <c r="AS230" i="28"/>
  <c r="AS103" i="28"/>
  <c r="AS105" i="28"/>
  <c r="AS112" i="28"/>
  <c r="AS122" i="28"/>
  <c r="AS127" i="28"/>
  <c r="AS136" i="28"/>
  <c r="AS144" i="28"/>
  <c r="AS149" i="28"/>
  <c r="AS153" i="28"/>
  <c r="AS168" i="28"/>
  <c r="AS171" i="28"/>
  <c r="AS173" i="28"/>
  <c r="AS176" i="28"/>
  <c r="AS179" i="28"/>
  <c r="AS181" i="28"/>
  <c r="AS184" i="28"/>
  <c r="AS190" i="28"/>
  <c r="AS192" i="28"/>
  <c r="AS195" i="28"/>
  <c r="AS200" i="28"/>
  <c r="AS202" i="28"/>
  <c r="AS206" i="28"/>
  <c r="AS208" i="28"/>
  <c r="AS210" i="28"/>
  <c r="AS213" i="28"/>
  <c r="AS216" i="28"/>
  <c r="AS221" i="28"/>
  <c r="AS227" i="28"/>
  <c r="AS110" i="28"/>
  <c r="AS131" i="28"/>
  <c r="AS133" i="28"/>
  <c r="AS137" i="28"/>
  <c r="AS138" i="28"/>
  <c r="AS143" i="28"/>
  <c r="AS150" i="28"/>
  <c r="AS167" i="28"/>
  <c r="AS183" i="28"/>
  <c r="AS198" i="28"/>
  <c r="AS201" i="28"/>
  <c r="AS207" i="28"/>
  <c r="AS225" i="28"/>
  <c r="AS236" i="28"/>
  <c r="AS241" i="28"/>
  <c r="AS242" i="28"/>
  <c r="AS248" i="28"/>
  <c r="AS251" i="28"/>
  <c r="AS261" i="28"/>
  <c r="AS262" i="28"/>
  <c r="AS263" i="28"/>
  <c r="AS268" i="28"/>
  <c r="AS269" i="28"/>
  <c r="AS274" i="28"/>
  <c r="AS279" i="28"/>
  <c r="AS284" i="28"/>
  <c r="AS285" i="28"/>
  <c r="AS290" i="28"/>
  <c r="AS295" i="28"/>
  <c r="AS123" i="28"/>
  <c r="AS141" i="28"/>
  <c r="AS157" i="28"/>
  <c r="AS161" i="28"/>
  <c r="AS174" i="28"/>
  <c r="AS177" i="28"/>
  <c r="AS180" i="28"/>
  <c r="AS188" i="28"/>
  <c r="AS191" i="28"/>
  <c r="AS199" i="28"/>
  <c r="AS205" i="28"/>
  <c r="AS211" i="28"/>
  <c r="AS223" i="28"/>
  <c r="AS228" i="28"/>
  <c r="AS232" i="28"/>
  <c r="AS237" i="28"/>
  <c r="AS238" i="28"/>
  <c r="AS239" i="28"/>
  <c r="AS244" i="28"/>
  <c r="AS249" i="28"/>
  <c r="AS250" i="28"/>
  <c r="AS256" i="28"/>
  <c r="AS259" i="28"/>
  <c r="AS270" i="28"/>
  <c r="AS275" i="28"/>
  <c r="AS280" i="28"/>
  <c r="AS281" i="28"/>
  <c r="AS286" i="28"/>
  <c r="AS291" i="28"/>
  <c r="AS296" i="28"/>
  <c r="AK105" i="28"/>
  <c r="AK112" i="28"/>
  <c r="AK119" i="28"/>
  <c r="AK122" i="28"/>
  <c r="AK129" i="28"/>
  <c r="AK138" i="28"/>
  <c r="AK144" i="28"/>
  <c r="AK153" i="28"/>
  <c r="AK170" i="28"/>
  <c r="AK173" i="28"/>
  <c r="AK176" i="28"/>
  <c r="AK178" i="28"/>
  <c r="AK179" i="28"/>
  <c r="AK181" i="28"/>
  <c r="AK184" i="28"/>
  <c r="AK186" i="28"/>
  <c r="AK190" i="28"/>
  <c r="AK192" i="28"/>
  <c r="AK195" i="28"/>
  <c r="AK208" i="28"/>
  <c r="AK210" i="28"/>
  <c r="AK216" i="28"/>
  <c r="AK221" i="28"/>
  <c r="AK226" i="28"/>
  <c r="AK229" i="28"/>
  <c r="AK230" i="28"/>
  <c r="AK231" i="28"/>
  <c r="AK110" i="28"/>
  <c r="AK114" i="28"/>
  <c r="AK121" i="28"/>
  <c r="AK131" i="28"/>
  <c r="AK133" i="28"/>
  <c r="AK135" i="28"/>
  <c r="AK140" i="28"/>
  <c r="AK143" i="28"/>
  <c r="AK146" i="28"/>
  <c r="AK148" i="28"/>
  <c r="AK150" i="28"/>
  <c r="AK152" i="28"/>
  <c r="AK155" i="28"/>
  <c r="AK157" i="28"/>
  <c r="AK159" i="28"/>
  <c r="AK161" i="28"/>
  <c r="AK163" i="28"/>
  <c r="AK165" i="28"/>
  <c r="AK167" i="28"/>
  <c r="AK171" i="28"/>
  <c r="AK188" i="28"/>
  <c r="AK194" i="28"/>
  <c r="AK197" i="28"/>
  <c r="AK199" i="28"/>
  <c r="AK200" i="28"/>
  <c r="AK202" i="28"/>
  <c r="AK206" i="28"/>
  <c r="AK213" i="28"/>
  <c r="AK215" i="28"/>
  <c r="AK218" i="28"/>
  <c r="AK223" i="28"/>
  <c r="AK227" i="28"/>
  <c r="AK108" i="28"/>
  <c r="AK115" i="28"/>
  <c r="AK120" i="28"/>
  <c r="AK134" i="28"/>
  <c r="AK147" i="28"/>
  <c r="AK154" i="28"/>
  <c r="AK160" i="28"/>
  <c r="AK164" i="28"/>
  <c r="AK174" i="28"/>
  <c r="AK180" i="28"/>
  <c r="AK191" i="28"/>
  <c r="AK205" i="28"/>
  <c r="AK211" i="28"/>
  <c r="AK219" i="28"/>
  <c r="AK220" i="28"/>
  <c r="AK222" i="28"/>
  <c r="AK228" i="28"/>
  <c r="AK236" i="28"/>
  <c r="AK241" i="28"/>
  <c r="AK242" i="28"/>
  <c r="AK248" i="28"/>
  <c r="AK251" i="28"/>
  <c r="AK261" i="28"/>
  <c r="AK262" i="28"/>
  <c r="AK263" i="28"/>
  <c r="AK268" i="28"/>
  <c r="AK269" i="28"/>
  <c r="AK274" i="28"/>
  <c r="AK279" i="28"/>
  <c r="AK284" i="28"/>
  <c r="AK285" i="28"/>
  <c r="AK290" i="28"/>
  <c r="AK295" i="28"/>
  <c r="AK98" i="28"/>
  <c r="AK100" i="28"/>
  <c r="AK113" i="28"/>
  <c r="AK127" i="28"/>
  <c r="AK128" i="28"/>
  <c r="AK132" i="28"/>
  <c r="AK139" i="28"/>
  <c r="AK142" i="28"/>
  <c r="AK145" i="28"/>
  <c r="AK151" i="28"/>
  <c r="AK168" i="28"/>
  <c r="AK169" i="28"/>
  <c r="AK172" i="28"/>
  <c r="AK175" i="28"/>
  <c r="AK185" i="28"/>
  <c r="AK189" i="28"/>
  <c r="AK196" i="28"/>
  <c r="AK209" i="28"/>
  <c r="AK217" i="28"/>
  <c r="AK232" i="28"/>
  <c r="AK237" i="28"/>
  <c r="AK238" i="28"/>
  <c r="AK239" i="28"/>
  <c r="AK244" i="28"/>
  <c r="AK249" i="28"/>
  <c r="AK250" i="28"/>
  <c r="AK256" i="28"/>
  <c r="AK259" i="28"/>
  <c r="AK270" i="28"/>
  <c r="AK275" i="28"/>
  <c r="AK280" i="28"/>
  <c r="AK281" i="28"/>
  <c r="AK286" i="28"/>
  <c r="AK291" i="28"/>
  <c r="AK296" i="28"/>
  <c r="AN89" i="28"/>
  <c r="AA111" i="28" s="1"/>
  <c r="CA45" i="28"/>
  <c r="K6" i="28"/>
  <c r="BR7" i="28" s="1"/>
  <c r="AG1" i="28"/>
  <c r="AL1" i="28" s="1"/>
  <c r="BO39" i="28"/>
  <c r="T8" i="28"/>
  <c r="AW83" i="28" s="1"/>
  <c r="CA44" i="28"/>
  <c r="BH91" i="26"/>
  <c r="BH123" i="26"/>
  <c r="BH152" i="26"/>
  <c r="BF152" i="26"/>
  <c r="AX163" i="26"/>
  <c r="AX171" i="26"/>
  <c r="AX179" i="26"/>
  <c r="AX187" i="26"/>
  <c r="AX195" i="26"/>
  <c r="AX203" i="26"/>
  <c r="AX211" i="26"/>
  <c r="AX37" i="26"/>
  <c r="AX69" i="26"/>
  <c r="AX101" i="26"/>
  <c r="AX191" i="26"/>
  <c r="AX215" i="26"/>
  <c r="AX219" i="26"/>
  <c r="AX247" i="26"/>
  <c r="AX251" i="26"/>
  <c r="AX279" i="26"/>
  <c r="AX283" i="26"/>
  <c r="AX311" i="26"/>
  <c r="AX315" i="26"/>
  <c r="AX343" i="26"/>
  <c r="AX347" i="26"/>
  <c r="AX375" i="26"/>
  <c r="AX379" i="26"/>
  <c r="AX407" i="26"/>
  <c r="AX411" i="26"/>
  <c r="AX53" i="26"/>
  <c r="AX109" i="26"/>
  <c r="AX125" i="26"/>
  <c r="AX133" i="26"/>
  <c r="AU11" i="26"/>
  <c r="AX183" i="26"/>
  <c r="AX239" i="26"/>
  <c r="AX243" i="26"/>
  <c r="AX271" i="26"/>
  <c r="AX275" i="26"/>
  <c r="AX303" i="26"/>
  <c r="AX307" i="26"/>
  <c r="AX335" i="26"/>
  <c r="AX339" i="26"/>
  <c r="AX367" i="26"/>
  <c r="AX371" i="26"/>
  <c r="AX399" i="26"/>
  <c r="AX403" i="26"/>
  <c r="AX29" i="26"/>
  <c r="AX85" i="26"/>
  <c r="AX52" i="26"/>
  <c r="AX84" i="26"/>
  <c r="AX16" i="26"/>
  <c r="AX82" i="26"/>
  <c r="AX24" i="26"/>
  <c r="BE12" i="26"/>
  <c r="BE13" i="26"/>
  <c r="BE14" i="26"/>
  <c r="AU16" i="26"/>
  <c r="AS18" i="26"/>
  <c r="BE19" i="26"/>
  <c r="AT21" i="26"/>
  <c r="AR23" i="26"/>
  <c r="BE24" i="26"/>
  <c r="BE25" i="26"/>
  <c r="BE26" i="26"/>
  <c r="AT28" i="26"/>
  <c r="BE31" i="26"/>
  <c r="BE39" i="26"/>
  <c r="BE47" i="26"/>
  <c r="BE55" i="26"/>
  <c r="BE63" i="26"/>
  <c r="BE71" i="26"/>
  <c r="BE79" i="26"/>
  <c r="BE87" i="26"/>
  <c r="BE95" i="26"/>
  <c r="BE103" i="26"/>
  <c r="BE111" i="26"/>
  <c r="BE116" i="26"/>
  <c r="BE123" i="26"/>
  <c r="BE128" i="26"/>
  <c r="AX136" i="26"/>
  <c r="BE143" i="26"/>
  <c r="BE148" i="26"/>
  <c r="BE155" i="26"/>
  <c r="BE160" i="26"/>
  <c r="AX422" i="26"/>
  <c r="AX426" i="26"/>
  <c r="AX430" i="26"/>
  <c r="AX434" i="26"/>
  <c r="AX438" i="26"/>
  <c r="AX442" i="26"/>
  <c r="AX446" i="26"/>
  <c r="AX450" i="26"/>
  <c r="AX454" i="26"/>
  <c r="AX458" i="26"/>
  <c r="AX462" i="26"/>
  <c r="AX466" i="26"/>
  <c r="AX470" i="26"/>
  <c r="AX474" i="26"/>
  <c r="AX478" i="26"/>
  <c r="AX482" i="26"/>
  <c r="AX486" i="26"/>
  <c r="AX490" i="26"/>
  <c r="AX494" i="26"/>
  <c r="AX498" i="26"/>
  <c r="AX502" i="26"/>
  <c r="AX506" i="26"/>
  <c r="AX15" i="26"/>
  <c r="AX47" i="26"/>
  <c r="AX79" i="26"/>
  <c r="AX111" i="26"/>
  <c r="AX143" i="26"/>
  <c r="AX169" i="26"/>
  <c r="AX185" i="26"/>
  <c r="AX201" i="26"/>
  <c r="AX217" i="26"/>
  <c r="AX233" i="26"/>
  <c r="AX249" i="26"/>
  <c r="AX265" i="26"/>
  <c r="AX281" i="26"/>
  <c r="AX297" i="26"/>
  <c r="AX313" i="26"/>
  <c r="AX329" i="26"/>
  <c r="AX345" i="26"/>
  <c r="AX361" i="26"/>
  <c r="AX377" i="26"/>
  <c r="AX393" i="26"/>
  <c r="AX409" i="26"/>
  <c r="AX25" i="26"/>
  <c r="AX57" i="26"/>
  <c r="AX89" i="26"/>
  <c r="AX121" i="26"/>
  <c r="AX153" i="26"/>
  <c r="AX174" i="26"/>
  <c r="AX190" i="26"/>
  <c r="AX206" i="26"/>
  <c r="AX222" i="26"/>
  <c r="AX238" i="26"/>
  <c r="AX254" i="26"/>
  <c r="AX270" i="26"/>
  <c r="AX286" i="26"/>
  <c r="AX302" i="26"/>
  <c r="AX318" i="26"/>
  <c r="AX334" i="26"/>
  <c r="AX350" i="26"/>
  <c r="AX366" i="26"/>
  <c r="AX382" i="26"/>
  <c r="AX398" i="26"/>
  <c r="AX414" i="26"/>
  <c r="AX11" i="26"/>
  <c r="AX86" i="26"/>
  <c r="AX54" i="26"/>
  <c r="AR12" i="26"/>
  <c r="AS14" i="26"/>
  <c r="BE15" i="26"/>
  <c r="AU17" i="26"/>
  <c r="AX18" i="26"/>
  <c r="AS20" i="26"/>
  <c r="AU21" i="26"/>
  <c r="AS23" i="26"/>
  <c r="AT24" i="26"/>
  <c r="AT26" i="26"/>
  <c r="AS28" i="26"/>
  <c r="AT29" i="26"/>
  <c r="BE36" i="26"/>
  <c r="BE44" i="26"/>
  <c r="AX115" i="26"/>
  <c r="AX131" i="26"/>
  <c r="AX147" i="26"/>
  <c r="AX167" i="26"/>
  <c r="AX199" i="26"/>
  <c r="AX223" i="26"/>
  <c r="AX227" i="26"/>
  <c r="AX255" i="26"/>
  <c r="AX259" i="26"/>
  <c r="AX287" i="26"/>
  <c r="AX291" i="26"/>
  <c r="AX319" i="26"/>
  <c r="AX323" i="26"/>
  <c r="AX351" i="26"/>
  <c r="AX355" i="26"/>
  <c r="AX383" i="26"/>
  <c r="AX387" i="26"/>
  <c r="AX415" i="26"/>
  <c r="AX419" i="26"/>
  <c r="AX77" i="26"/>
  <c r="AX93" i="26"/>
  <c r="AX149" i="26"/>
  <c r="AX164" i="26"/>
  <c r="AX172" i="26"/>
  <c r="AX180" i="26"/>
  <c r="AX188" i="26"/>
  <c r="AX196" i="26"/>
  <c r="AX204" i="26"/>
  <c r="AX212" i="26"/>
  <c r="AX220" i="26"/>
  <c r="AX228" i="26"/>
  <c r="AX236" i="26"/>
  <c r="AX244" i="26"/>
  <c r="AX252" i="26"/>
  <c r="AX260" i="26"/>
  <c r="AX268" i="26"/>
  <c r="AX276" i="26"/>
  <c r="AX284" i="26"/>
  <c r="AX292" i="26"/>
  <c r="AX300" i="26"/>
  <c r="AX308" i="26"/>
  <c r="AX316" i="26"/>
  <c r="AX324" i="26"/>
  <c r="AX332" i="26"/>
  <c r="AX340" i="26"/>
  <c r="AX348" i="26"/>
  <c r="AX356" i="26"/>
  <c r="AX364" i="26"/>
  <c r="AX372" i="26"/>
  <c r="AX380" i="26"/>
  <c r="AX388" i="26"/>
  <c r="AX396" i="26"/>
  <c r="AX404" i="26"/>
  <c r="AX412" i="26"/>
  <c r="AT10" i="26"/>
  <c r="AX36" i="26"/>
  <c r="AX68" i="26"/>
  <c r="AX100" i="26"/>
  <c r="AS10" i="26"/>
  <c r="AT11" i="26"/>
  <c r="AX50" i="26"/>
  <c r="AS12" i="26"/>
  <c r="AT13" i="26"/>
  <c r="AT14" i="26"/>
  <c r="AT15" i="26"/>
  <c r="AR17" i="26"/>
  <c r="AS19" i="26"/>
  <c r="AT20" i="26"/>
  <c r="AU22" i="26"/>
  <c r="AS24" i="26"/>
  <c r="AS25" i="26"/>
  <c r="AS26" i="26"/>
  <c r="AT27" i="26"/>
  <c r="AU29" i="26"/>
  <c r="BE35" i="26"/>
  <c r="BE43" i="26"/>
  <c r="BE51" i="26"/>
  <c r="BE59" i="26"/>
  <c r="BE67" i="26"/>
  <c r="BE75" i="26"/>
  <c r="BE83" i="26"/>
  <c r="BE91" i="26"/>
  <c r="BE99" i="26"/>
  <c r="BE107" i="26"/>
  <c r="BE112" i="26"/>
  <c r="AX120" i="26"/>
  <c r="BE127" i="26"/>
  <c r="BE132" i="26"/>
  <c r="BE139" i="26"/>
  <c r="BE144" i="26"/>
  <c r="AX152" i="26"/>
  <c r="BE159" i="26"/>
  <c r="AX420" i="26"/>
  <c r="AX424" i="26"/>
  <c r="AX428" i="26"/>
  <c r="AX432" i="26"/>
  <c r="AX436" i="26"/>
  <c r="AX440" i="26"/>
  <c r="AX444" i="26"/>
  <c r="AX448" i="26"/>
  <c r="AX452" i="26"/>
  <c r="AX456" i="26"/>
  <c r="AX460" i="26"/>
  <c r="AX464" i="26"/>
  <c r="AX468" i="26"/>
  <c r="AX472" i="26"/>
  <c r="AX476" i="26"/>
  <c r="AX480" i="26"/>
  <c r="AX484" i="26"/>
  <c r="AX488" i="26"/>
  <c r="AX492" i="26"/>
  <c r="AX496" i="26"/>
  <c r="AX500" i="26"/>
  <c r="AX504" i="26"/>
  <c r="AX508" i="26"/>
  <c r="AX31" i="26"/>
  <c r="AX63" i="26"/>
  <c r="AX95" i="26"/>
  <c r="AX127" i="26"/>
  <c r="AX159" i="26"/>
  <c r="AX177" i="26"/>
  <c r="AX193" i="26"/>
  <c r="AX209" i="26"/>
  <c r="AX225" i="26"/>
  <c r="AX241" i="26"/>
  <c r="AX257" i="26"/>
  <c r="AX273" i="26"/>
  <c r="AX289" i="26"/>
  <c r="AX305" i="26"/>
  <c r="AX321" i="26"/>
  <c r="AX337" i="26"/>
  <c r="AX353" i="26"/>
  <c r="AX369" i="26"/>
  <c r="AX385" i="26"/>
  <c r="AX401" i="26"/>
  <c r="AX417" i="26"/>
  <c r="AX41" i="26"/>
  <c r="AX73" i="26"/>
  <c r="AX105" i="26"/>
  <c r="AX137" i="26"/>
  <c r="AX166" i="26"/>
  <c r="AX182" i="26"/>
  <c r="AX198" i="26"/>
  <c r="AX214" i="26"/>
  <c r="AX230" i="26"/>
  <c r="AX246" i="26"/>
  <c r="AX262" i="26"/>
  <c r="AX278" i="26"/>
  <c r="AX294" i="26"/>
  <c r="AX310" i="26"/>
  <c r="AX326" i="26"/>
  <c r="AX342" i="26"/>
  <c r="AX358" i="26"/>
  <c r="AX374" i="26"/>
  <c r="AX390" i="26"/>
  <c r="AX406" i="26"/>
  <c r="AR10" i="26"/>
  <c r="AX102" i="26"/>
  <c r="AX70" i="26"/>
  <c r="AX38" i="26"/>
  <c r="AS13" i="26"/>
  <c r="AS15" i="26"/>
  <c r="AT16" i="26"/>
  <c r="AR18" i="26"/>
  <c r="AR19" i="26"/>
  <c r="BE20" i="26"/>
  <c r="AR22" i="26"/>
  <c r="BE23" i="26"/>
  <c r="AT25" i="26"/>
  <c r="AU27" i="26"/>
  <c r="BE28" i="26"/>
  <c r="BE32" i="26"/>
  <c r="BE40" i="26"/>
  <c r="BE48" i="26"/>
  <c r="BE56" i="26"/>
  <c r="BE64" i="26"/>
  <c r="BE72" i="26"/>
  <c r="BE80" i="26"/>
  <c r="BE88" i="26"/>
  <c r="BE96" i="26"/>
  <c r="BE104" i="26"/>
  <c r="BE113" i="26"/>
  <c r="AX118" i="26"/>
  <c r="BE122" i="26"/>
  <c r="BE129" i="26"/>
  <c r="AX134" i="26"/>
  <c r="BE138" i="26"/>
  <c r="BE145" i="26"/>
  <c r="AX150" i="26"/>
  <c r="BE154" i="26"/>
  <c r="AX162" i="26"/>
  <c r="BE165" i="26"/>
  <c r="BE169" i="26"/>
  <c r="BE173" i="26"/>
  <c r="BE177" i="26"/>
  <c r="BE181" i="26"/>
  <c r="BE185" i="26"/>
  <c r="BE189" i="26"/>
  <c r="BE193" i="26"/>
  <c r="BE197" i="26"/>
  <c r="BE201" i="26"/>
  <c r="BE205" i="26"/>
  <c r="BE209" i="26"/>
  <c r="AX139" i="26"/>
  <c r="AX207" i="26"/>
  <c r="AX45" i="26"/>
  <c r="AX141" i="26"/>
  <c r="AX168" i="26"/>
  <c r="AX200" i="26"/>
  <c r="AX232" i="26"/>
  <c r="AX264" i="26"/>
  <c r="AX296" i="26"/>
  <c r="AX328" i="26"/>
  <c r="AX360" i="26"/>
  <c r="AX392" i="26"/>
  <c r="AX28" i="26"/>
  <c r="AX44" i="26"/>
  <c r="AX60" i="26"/>
  <c r="AX76" i="26"/>
  <c r="AX92" i="26"/>
  <c r="AX108" i="26"/>
  <c r="AX12" i="26"/>
  <c r="AX98" i="26"/>
  <c r="AU12" i="26"/>
  <c r="AX14" i="26"/>
  <c r="AT17" i="26"/>
  <c r="AR21" i="26"/>
  <c r="AU24" i="26"/>
  <c r="AU26" i="26"/>
  <c r="BE29" i="26"/>
  <c r="BE45" i="26"/>
  <c r="BE61" i="26"/>
  <c r="BE77" i="26"/>
  <c r="BE93" i="26"/>
  <c r="BE109" i="26"/>
  <c r="BE120" i="26"/>
  <c r="BE135" i="26"/>
  <c r="BE147" i="26"/>
  <c r="AX160" i="26"/>
  <c r="AX425" i="26"/>
  <c r="AX433" i="26"/>
  <c r="AX441" i="26"/>
  <c r="AX449" i="26"/>
  <c r="AX457" i="26"/>
  <c r="AX465" i="26"/>
  <c r="AX473" i="26"/>
  <c r="AX481" i="26"/>
  <c r="AX489" i="26"/>
  <c r="AX497" i="26"/>
  <c r="AX505" i="26"/>
  <c r="AX39" i="26"/>
  <c r="AX103" i="26"/>
  <c r="AX165" i="26"/>
  <c r="AX197" i="26"/>
  <c r="AX229" i="26"/>
  <c r="AX261" i="26"/>
  <c r="AX293" i="26"/>
  <c r="AX325" i="26"/>
  <c r="AX357" i="26"/>
  <c r="AX389" i="26"/>
  <c r="AX17" i="26"/>
  <c r="AX81" i="26"/>
  <c r="AX145" i="26"/>
  <c r="AX186" i="26"/>
  <c r="AX218" i="26"/>
  <c r="AX250" i="26"/>
  <c r="AX282" i="26"/>
  <c r="AX314" i="26"/>
  <c r="AX346" i="26"/>
  <c r="AX378" i="26"/>
  <c r="AX410" i="26"/>
  <c r="AX94" i="26"/>
  <c r="AX30" i="26"/>
  <c r="AU15" i="26"/>
  <c r="AT18" i="26"/>
  <c r="AS21" i="26"/>
  <c r="AR24" i="26"/>
  <c r="BE27" i="26"/>
  <c r="BE34" i="26"/>
  <c r="BE50" i="26"/>
  <c r="BE60" i="26"/>
  <c r="BE70" i="26"/>
  <c r="BE82" i="26"/>
  <c r="BE92" i="26"/>
  <c r="BE102" i="26"/>
  <c r="AX114" i="26"/>
  <c r="BE121" i="26"/>
  <c r="BE126" i="26"/>
  <c r="BE134" i="26"/>
  <c r="AX142" i="26"/>
  <c r="BE149" i="26"/>
  <c r="BE157" i="26"/>
  <c r="BE163" i="26"/>
  <c r="BE168" i="26"/>
  <c r="BE174" i="26"/>
  <c r="BE179" i="26"/>
  <c r="BE184" i="26"/>
  <c r="BE190" i="26"/>
  <c r="BE195" i="26"/>
  <c r="BE200" i="26"/>
  <c r="BE206" i="26"/>
  <c r="BE211" i="26"/>
  <c r="AX123" i="26"/>
  <c r="AX175" i="26"/>
  <c r="AX192" i="26"/>
  <c r="AX224" i="26"/>
  <c r="AX256" i="26"/>
  <c r="AX288" i="26"/>
  <c r="AX320" i="26"/>
  <c r="AX352" i="26"/>
  <c r="AX384" i="26"/>
  <c r="AX416" i="26"/>
  <c r="AR11" i="26"/>
  <c r="AX66" i="26"/>
  <c r="AR13" i="26"/>
  <c r="AR15" i="26"/>
  <c r="AU18" i="26"/>
  <c r="AS22" i="26"/>
  <c r="AO25" i="26"/>
  <c r="AR27" i="26"/>
  <c r="BE33" i="26"/>
  <c r="BE49" i="26"/>
  <c r="BE65" i="26"/>
  <c r="BE81" i="26"/>
  <c r="BE97" i="26"/>
  <c r="AX112" i="26"/>
  <c r="BE124" i="26"/>
  <c r="BE136" i="26"/>
  <c r="BE151" i="26"/>
  <c r="BE161" i="26"/>
  <c r="AX427" i="26"/>
  <c r="AX435" i="26"/>
  <c r="AX443" i="26"/>
  <c r="AX451" i="26"/>
  <c r="AX459" i="26"/>
  <c r="AX467" i="26"/>
  <c r="AX475" i="26"/>
  <c r="AX483" i="26"/>
  <c r="AX491" i="26"/>
  <c r="AX499" i="26"/>
  <c r="AX507" i="26"/>
  <c r="AX55" i="26"/>
  <c r="AX119" i="26"/>
  <c r="AX173" i="26"/>
  <c r="AX205" i="26"/>
  <c r="AX237" i="26"/>
  <c r="AX269" i="26"/>
  <c r="AX301" i="26"/>
  <c r="AX333" i="26"/>
  <c r="AX365" i="26"/>
  <c r="AX397" i="26"/>
  <c r="AX33" i="26"/>
  <c r="AX97" i="26"/>
  <c r="AX161" i="26"/>
  <c r="AX194" i="26"/>
  <c r="AX226" i="26"/>
  <c r="AX258" i="26"/>
  <c r="AX290" i="26"/>
  <c r="AX322" i="26"/>
  <c r="AX354" i="26"/>
  <c r="AX386" i="26"/>
  <c r="AX418" i="26"/>
  <c r="AX78" i="26"/>
  <c r="AT12" i="26"/>
  <c r="AR16" i="26"/>
  <c r="BE18" i="26"/>
  <c r="BE21" i="26"/>
  <c r="AR25" i="26"/>
  <c r="AU28" i="26"/>
  <c r="BE38" i="26"/>
  <c r="BE52" i="26"/>
  <c r="BE62" i="26"/>
  <c r="BE74" i="26"/>
  <c r="BE84" i="26"/>
  <c r="BE94" i="26"/>
  <c r="BE106" i="26"/>
  <c r="BE114" i="26"/>
  <c r="AX122" i="26"/>
  <c r="AX130" i="26"/>
  <c r="BE137" i="26"/>
  <c r="BE142" i="26"/>
  <c r="BE150" i="26"/>
  <c r="AX158" i="26"/>
  <c r="BE164" i="26"/>
  <c r="BE170" i="26"/>
  <c r="BE175" i="26"/>
  <c r="BE180" i="26"/>
  <c r="BE186" i="26"/>
  <c r="BE191" i="26"/>
  <c r="BE196" i="26"/>
  <c r="BE202" i="26"/>
  <c r="BE207" i="26"/>
  <c r="AX509" i="26"/>
  <c r="AX155" i="26"/>
  <c r="AX231" i="26"/>
  <c r="AX263" i="26"/>
  <c r="AX295" i="26"/>
  <c r="AX327" i="26"/>
  <c r="AX359" i="26"/>
  <c r="AX391" i="26"/>
  <c r="AX117" i="26"/>
  <c r="AX176" i="26"/>
  <c r="AX208" i="26"/>
  <c r="AX240" i="26"/>
  <c r="AX272" i="26"/>
  <c r="AX304" i="26"/>
  <c r="AX336" i="26"/>
  <c r="AX368" i="26"/>
  <c r="AX400" i="26"/>
  <c r="AX26" i="26"/>
  <c r="AX20" i="26"/>
  <c r="BE11" i="26"/>
  <c r="AR14" i="26"/>
  <c r="BE16" i="26"/>
  <c r="AR20" i="26"/>
  <c r="AT23" i="26"/>
  <c r="AO26" i="26"/>
  <c r="AS29" i="26"/>
  <c r="BE41" i="26"/>
  <c r="BE57" i="26"/>
  <c r="BE73" i="26"/>
  <c r="BE89" i="26"/>
  <c r="BE105" i="26"/>
  <c r="BE119" i="26"/>
  <c r="BE131" i="26"/>
  <c r="AX144" i="26"/>
  <c r="BE156" i="26"/>
  <c r="AX423" i="26"/>
  <c r="AX431" i="26"/>
  <c r="AX439" i="26"/>
  <c r="AX447" i="26"/>
  <c r="AX455" i="26"/>
  <c r="AX463" i="26"/>
  <c r="AX471" i="26"/>
  <c r="AX479" i="26"/>
  <c r="AX487" i="26"/>
  <c r="AX495" i="26"/>
  <c r="AX503" i="26"/>
  <c r="AX23" i="26"/>
  <c r="AX87" i="26"/>
  <c r="AX151" i="26"/>
  <c r="AX189" i="26"/>
  <c r="AX221" i="26"/>
  <c r="AX253" i="26"/>
  <c r="AX285" i="26"/>
  <c r="AX317" i="26"/>
  <c r="AX349" i="26"/>
  <c r="AX381" i="26"/>
  <c r="AX413" i="26"/>
  <c r="AX65" i="26"/>
  <c r="AX129" i="26"/>
  <c r="AX178" i="26"/>
  <c r="AX210" i="26"/>
  <c r="AX242" i="26"/>
  <c r="AX274" i="26"/>
  <c r="AX306" i="26"/>
  <c r="AX338" i="26"/>
  <c r="AX370" i="26"/>
  <c r="AX402" i="26"/>
  <c r="AX110" i="26"/>
  <c r="AX46" i="26"/>
  <c r="AU14" i="26"/>
  <c r="BE17" i="26"/>
  <c r="AU20" i="26"/>
  <c r="AU23" i="26"/>
  <c r="AS27" i="26"/>
  <c r="BE30" i="26"/>
  <c r="BE46" i="26"/>
  <c r="BE58" i="26"/>
  <c r="BE68" i="26"/>
  <c r="BE78" i="26"/>
  <c r="BE90" i="26"/>
  <c r="BE100" i="26"/>
  <c r="BE110" i="26"/>
  <c r="BE118" i="26"/>
  <c r="AX126" i="26"/>
  <c r="BE133" i="26"/>
  <c r="BE141" i="26"/>
  <c r="BE146" i="26"/>
  <c r="AX154" i="26"/>
  <c r="BE162" i="26"/>
  <c r="BE167" i="26"/>
  <c r="BE172" i="26"/>
  <c r="BE178" i="26"/>
  <c r="BE183" i="26"/>
  <c r="BE188" i="26"/>
  <c r="BE194" i="26"/>
  <c r="BE199" i="26"/>
  <c r="BE204" i="26"/>
  <c r="BE210" i="26"/>
  <c r="CA47" i="28"/>
  <c r="AP12" i="13"/>
  <c r="AQ12" i="13" s="1"/>
  <c r="AR12" i="13" s="1"/>
  <c r="CA46" i="28"/>
  <c r="BF125" i="26"/>
  <c r="BF157" i="26"/>
  <c r="BH112" i="26"/>
  <c r="BH90" i="26"/>
  <c r="BF103" i="26"/>
  <c r="AH98" i="28"/>
  <c r="AH97" i="28"/>
  <c r="AN13" i="13"/>
  <c r="AK14" i="13"/>
  <c r="X81" i="18"/>
  <c r="W82" i="18" s="1"/>
  <c r="BF100" i="26"/>
  <c r="BZ47" i="28"/>
  <c r="BF84" i="26"/>
  <c r="BF117" i="26"/>
  <c r="BF149" i="26"/>
  <c r="BF144" i="26"/>
  <c r="BH82" i="26"/>
  <c r="BH114" i="26"/>
  <c r="BH146" i="26"/>
  <c r="BH136" i="26"/>
  <c r="BF136" i="26"/>
  <c r="BC110" i="26"/>
  <c r="BC102" i="26"/>
  <c r="BC94" i="26"/>
  <c r="BC86" i="26"/>
  <c r="BC56" i="26"/>
  <c r="BC48" i="26"/>
  <c r="BC40" i="26"/>
  <c r="BC32" i="26"/>
  <c r="BC23" i="26"/>
  <c r="BC17" i="26"/>
  <c r="AH144" i="28"/>
  <c r="AH149" i="28"/>
  <c r="AH119" i="28"/>
  <c r="AH120" i="28"/>
  <c r="AH101" i="28"/>
  <c r="BC156" i="26"/>
  <c r="BC148" i="26"/>
  <c r="BC140" i="26"/>
  <c r="BC132" i="26"/>
  <c r="BC124" i="26"/>
  <c r="BC116" i="26"/>
  <c r="BC109" i="26"/>
  <c r="BC101" i="26"/>
  <c r="BC93" i="26"/>
  <c r="BC85" i="26"/>
  <c r="BC53" i="26"/>
  <c r="BC45" i="26"/>
  <c r="BC37" i="26"/>
  <c r="BC29" i="26"/>
  <c r="BC22" i="26"/>
  <c r="BC13" i="26"/>
  <c r="BC210" i="26"/>
  <c r="BC206" i="26"/>
  <c r="BC202" i="26"/>
  <c r="BC198" i="26"/>
  <c r="BC194" i="26"/>
  <c r="BC190" i="26"/>
  <c r="BC186" i="26"/>
  <c r="BC183" i="26"/>
  <c r="BC181" i="26"/>
  <c r="BC179" i="26"/>
  <c r="BC177" i="26"/>
  <c r="BC175" i="26"/>
  <c r="BC173" i="26"/>
  <c r="BC171" i="26"/>
  <c r="BC169" i="26"/>
  <c r="BC166" i="26"/>
  <c r="BH166" i="26" s="1"/>
  <c r="BC162" i="26"/>
  <c r="BH162" i="26" s="1"/>
  <c r="BC153" i="26"/>
  <c r="BC145" i="26"/>
  <c r="BC137" i="26"/>
  <c r="BC129" i="26"/>
  <c r="BC121" i="26"/>
  <c r="BC113" i="26"/>
  <c r="BC104" i="26"/>
  <c r="BC96" i="26"/>
  <c r="BC88" i="26"/>
  <c r="BC58" i="26"/>
  <c r="BC50" i="26"/>
  <c r="BC42" i="26"/>
  <c r="BC34" i="26"/>
  <c r="BC27" i="26"/>
  <c r="BC18" i="26"/>
  <c r="AH140" i="28"/>
  <c r="AH128" i="28"/>
  <c r="AH127" i="28"/>
  <c r="AH135" i="28"/>
  <c r="AH136" i="28"/>
  <c r="AH99" i="28"/>
  <c r="AH100" i="28"/>
  <c r="AH108" i="28"/>
  <c r="W1" i="18"/>
  <c r="Y1" i="18"/>
  <c r="AI4" i="18"/>
  <c r="U7" i="18"/>
  <c r="U11" i="18"/>
  <c r="U15" i="18"/>
  <c r="U21" i="18"/>
  <c r="AI24" i="18"/>
  <c r="U27" i="18"/>
  <c r="U31" i="18"/>
  <c r="U35" i="18"/>
  <c r="AG1" i="18"/>
  <c r="AI5" i="18"/>
  <c r="U8" i="18"/>
  <c r="U12" i="18"/>
  <c r="AI17" i="18"/>
  <c r="AI19" i="18"/>
  <c r="U22" i="18"/>
  <c r="AI25" i="18"/>
  <c r="U28" i="18"/>
  <c r="U32" i="18"/>
  <c r="U36" i="18"/>
  <c r="AI2" i="18"/>
  <c r="AI6" i="18"/>
  <c r="U9" i="18"/>
  <c r="U13" i="18"/>
  <c r="AI20" i="18"/>
  <c r="U23" i="18"/>
  <c r="U29" i="18"/>
  <c r="U33" i="18"/>
  <c r="AL5" i="13"/>
  <c r="I16" i="13"/>
  <c r="I17" i="13" s="1"/>
  <c r="U26" i="18"/>
  <c r="U16" i="18"/>
  <c r="U10" i="18"/>
  <c r="G37" i="26"/>
  <c r="AF34" i="26"/>
  <c r="G33" i="26"/>
  <c r="AF30" i="26"/>
  <c r="G29" i="26"/>
  <c r="AF26" i="26"/>
  <c r="G25" i="26"/>
  <c r="AF22" i="26"/>
  <c r="S21" i="26"/>
  <c r="S20" i="26"/>
  <c r="AF17" i="26"/>
  <c r="S16" i="26"/>
  <c r="AY112" i="26"/>
  <c r="AY120" i="26"/>
  <c r="AY128" i="26"/>
  <c r="AY136" i="26"/>
  <c r="AY144" i="26"/>
  <c r="AY152" i="26"/>
  <c r="AY160" i="26"/>
  <c r="AQ11" i="26"/>
  <c r="AQ12" i="26" s="1"/>
  <c r="AQ13" i="26" s="1"/>
  <c r="AQ14" i="26" s="1"/>
  <c r="AQ15" i="26" s="1"/>
  <c r="AQ16" i="26" s="1"/>
  <c r="AQ17" i="26" s="1"/>
  <c r="AQ18" i="26" s="1"/>
  <c r="AQ19" i="26" s="1"/>
  <c r="AQ20" i="26" s="1"/>
  <c r="AQ21" i="26" s="1"/>
  <c r="AQ22" i="26" s="1"/>
  <c r="AQ23" i="26" s="1"/>
  <c r="AQ24" i="26" s="1"/>
  <c r="AQ25" i="26" s="1"/>
  <c r="AQ26" i="26" s="1"/>
  <c r="AQ27" i="26" s="1"/>
  <c r="AQ28" i="26" s="1"/>
  <c r="AQ29" i="26" s="1"/>
  <c r="S9" i="26"/>
  <c r="AH1089" i="28"/>
  <c r="AH1088" i="28"/>
  <c r="AH1081" i="28"/>
  <c r="AH1080" i="28"/>
  <c r="AH1073" i="28"/>
  <c r="AH1072" i="28"/>
  <c r="AH1065" i="28"/>
  <c r="AH1064" i="28"/>
  <c r="AH1057" i="28"/>
  <c r="AH1056" i="28"/>
  <c r="AH1049" i="28"/>
  <c r="AH1048" i="28"/>
  <c r="AH1041" i="28"/>
  <c r="AH1040" i="28"/>
  <c r="AH1033" i="28"/>
  <c r="AH1032" i="28"/>
  <c r="AH1025" i="28"/>
  <c r="AH1024" i="28"/>
  <c r="AH1017" i="28"/>
  <c r="AH1016" i="28"/>
  <c r="AH1009" i="28"/>
  <c r="AH1008" i="28"/>
  <c r="AH1001" i="28"/>
  <c r="AH1000" i="28"/>
  <c r="AH993" i="28"/>
  <c r="AH992" i="28"/>
  <c r="AH985" i="28"/>
  <c r="AH984" i="28"/>
  <c r="AH977" i="28"/>
  <c r="AH976" i="28"/>
  <c r="AH969" i="28"/>
  <c r="AH968" i="28"/>
  <c r="AH961" i="28"/>
  <c r="AH960" i="28"/>
  <c r="AH953" i="28"/>
  <c r="AH952" i="28"/>
  <c r="AH945" i="28"/>
  <c r="AH944" i="28"/>
  <c r="AH937" i="28"/>
  <c r="AH936" i="28"/>
  <c r="AH929" i="28"/>
  <c r="AH928" i="28"/>
  <c r="AH921" i="28"/>
  <c r="AH920" i="28"/>
  <c r="AH913" i="28"/>
  <c r="AH912" i="28"/>
  <c r="AH905" i="28"/>
  <c r="AH893" i="28"/>
  <c r="AH894" i="28"/>
  <c r="AH892" i="28"/>
  <c r="AH861" i="28"/>
  <c r="AH862" i="28"/>
  <c r="AH829" i="28"/>
  <c r="AH830" i="28"/>
  <c r="AH797" i="28"/>
  <c r="AH798" i="28"/>
  <c r="AH765" i="28"/>
  <c r="AH766" i="28"/>
  <c r="AH733" i="28"/>
  <c r="AH734" i="28"/>
  <c r="AH701" i="28"/>
  <c r="AH702" i="28"/>
  <c r="AH669" i="28"/>
  <c r="AH670" i="28"/>
  <c r="AH637" i="28"/>
  <c r="AH638" i="28"/>
  <c r="AH605" i="28"/>
  <c r="AH606" i="28"/>
  <c r="AH176" i="28"/>
  <c r="F9" i="13"/>
  <c r="AF10" i="26"/>
  <c r="AH901" i="28"/>
  <c r="AH902" i="28"/>
  <c r="AH869" i="28"/>
  <c r="AH870" i="28"/>
  <c r="AH837" i="28"/>
  <c r="AH838" i="28"/>
  <c r="AH805" i="28"/>
  <c r="AH806" i="28"/>
  <c r="AH773" i="28"/>
  <c r="AH774" i="28"/>
  <c r="AH741" i="28"/>
  <c r="AH742" i="28"/>
  <c r="AH709" i="28"/>
  <c r="AH710" i="28"/>
  <c r="AH677" i="28"/>
  <c r="AH678" i="28"/>
  <c r="AH645" i="28"/>
  <c r="AH646" i="28"/>
  <c r="AH613" i="28"/>
  <c r="AH614" i="28"/>
  <c r="AH581" i="28"/>
  <c r="AH582" i="28"/>
  <c r="AH577" i="28"/>
  <c r="AH578" i="28"/>
  <c r="AH561" i="28"/>
  <c r="AH562" i="28"/>
  <c r="AH545" i="28"/>
  <c r="AH546" i="28"/>
  <c r="AH310" i="28"/>
  <c r="AH311" i="28"/>
  <c r="AH302" i="28"/>
  <c r="AH303" i="28"/>
  <c r="AH294" i="28"/>
  <c r="AH295" i="28"/>
  <c r="AH286" i="28"/>
  <c r="AH287" i="28"/>
  <c r="AH278" i="28"/>
  <c r="AH279" i="28"/>
  <c r="AH270" i="28"/>
  <c r="AH271" i="28"/>
  <c r="M32" i="13"/>
  <c r="J14" i="13"/>
  <c r="Y7" i="13" s="1"/>
  <c r="AF36" i="26"/>
  <c r="G35" i="26"/>
  <c r="AF32" i="26"/>
  <c r="G31" i="26"/>
  <c r="AF28" i="26"/>
  <c r="G27" i="26"/>
  <c r="AF24" i="26"/>
  <c r="G23" i="26"/>
  <c r="AF19" i="26"/>
  <c r="S18" i="26"/>
  <c r="AF15" i="26"/>
  <c r="S14" i="26"/>
  <c r="S13" i="26"/>
  <c r="S12" i="26"/>
  <c r="AY11" i="26"/>
  <c r="AH1085" i="28"/>
  <c r="AH1084" i="28"/>
  <c r="AH1077" i="28"/>
  <c r="AH1076" i="28"/>
  <c r="AH1069" i="28"/>
  <c r="AH1068" i="28"/>
  <c r="AH1061" i="28"/>
  <c r="AH1060" i="28"/>
  <c r="AH1053" i="28"/>
  <c r="AH1052" i="28"/>
  <c r="AH1045" i="28"/>
  <c r="AH1044" i="28"/>
  <c r="AH1037" i="28"/>
  <c r="AH1036" i="28"/>
  <c r="AH1029" i="28"/>
  <c r="AH1028" i="28"/>
  <c r="AH1021" i="28"/>
  <c r="AH1020" i="28"/>
  <c r="AH1013" i="28"/>
  <c r="AH1012" i="28"/>
  <c r="AH1005" i="28"/>
  <c r="AH1004" i="28"/>
  <c r="AH997" i="28"/>
  <c r="AH996" i="28"/>
  <c r="AH989" i="28"/>
  <c r="AH988" i="28"/>
  <c r="AH981" i="28"/>
  <c r="AH980" i="28"/>
  <c r="AH973" i="28"/>
  <c r="AH972" i="28"/>
  <c r="AH965" i="28"/>
  <c r="AH964" i="28"/>
  <c r="AH957" i="28"/>
  <c r="AH956" i="28"/>
  <c r="AH949" i="28"/>
  <c r="AH948" i="28"/>
  <c r="AH941" i="28"/>
  <c r="AH940" i="28"/>
  <c r="AH933" i="28"/>
  <c r="AH932" i="28"/>
  <c r="AH925" i="28"/>
  <c r="AH924" i="28"/>
  <c r="AH917" i="28"/>
  <c r="AH916" i="28"/>
  <c r="AH909" i="28"/>
  <c r="AH908" i="28"/>
  <c r="AH899" i="28"/>
  <c r="AH898" i="28"/>
  <c r="AH877" i="28"/>
  <c r="AH878" i="28"/>
  <c r="AH876" i="28"/>
  <c r="AH845" i="28"/>
  <c r="AH846" i="28"/>
  <c r="AH813" i="28"/>
  <c r="AH814" i="28"/>
  <c r="AH781" i="28"/>
  <c r="AH782" i="28"/>
  <c r="AH749" i="28"/>
  <c r="AH750" i="28"/>
  <c r="AH717" i="28"/>
  <c r="AH718" i="28"/>
  <c r="AH685" i="28"/>
  <c r="AH686" i="28"/>
  <c r="AH653" i="28"/>
  <c r="AH654" i="28"/>
  <c r="AH621" i="28"/>
  <c r="AH622" i="28"/>
  <c r="AH589" i="28"/>
  <c r="AH590" i="28"/>
  <c r="AH885" i="28"/>
  <c r="AH886" i="28"/>
  <c r="AH853" i="28"/>
  <c r="AH854" i="28"/>
  <c r="AH821" i="28"/>
  <c r="AH822" i="28"/>
  <c r="AH789" i="28"/>
  <c r="AH790" i="28"/>
  <c r="AH757" i="28"/>
  <c r="AH758" i="28"/>
  <c r="AH725" i="28"/>
  <c r="AH726" i="28"/>
  <c r="AH693" i="28"/>
  <c r="AH694" i="28"/>
  <c r="AH661" i="28"/>
  <c r="AH662" i="28"/>
  <c r="AH629" i="28"/>
  <c r="AH630" i="28"/>
  <c r="AH597" i="28"/>
  <c r="AH598" i="28"/>
  <c r="AH565" i="28"/>
  <c r="AH566" i="28"/>
  <c r="AH549" i="28"/>
  <c r="AH550" i="28"/>
  <c r="AH533" i="28"/>
  <c r="AH534" i="28"/>
  <c r="AH525" i="28"/>
  <c r="AH526" i="28"/>
  <c r="AH517" i="28"/>
  <c r="AH518" i="28"/>
  <c r="AH509" i="28"/>
  <c r="AH510" i="28"/>
  <c r="AH501" i="28"/>
  <c r="AH502" i="28"/>
  <c r="AH493" i="28"/>
  <c r="AH494" i="28"/>
  <c r="AH485" i="28"/>
  <c r="AH486" i="28"/>
  <c r="AH477" i="28"/>
  <c r="AH478" i="28"/>
  <c r="AH469" i="28"/>
  <c r="AH470" i="28"/>
  <c r="AH461" i="28"/>
  <c r="AH462" i="28"/>
  <c r="AH453" i="28"/>
  <c r="AH454" i="28"/>
  <c r="AH445" i="28"/>
  <c r="AH446" i="28"/>
  <c r="AH437" i="28"/>
  <c r="AH438" i="28"/>
  <c r="AH429" i="28"/>
  <c r="AH430" i="28"/>
  <c r="AH421" i="28"/>
  <c r="AH422" i="28"/>
  <c r="AH413" i="28"/>
  <c r="AH414" i="28"/>
  <c r="AH405" i="28"/>
  <c r="AH406" i="28"/>
  <c r="AH397" i="28"/>
  <c r="AH398" i="28"/>
  <c r="AH389" i="28"/>
  <c r="AH390" i="28"/>
  <c r="AH381" i="28"/>
  <c r="AH382" i="28"/>
  <c r="AH373" i="28"/>
  <c r="AH374" i="28"/>
  <c r="AH365" i="28"/>
  <c r="AH366" i="28"/>
  <c r="AH357" i="28"/>
  <c r="AH358" i="28"/>
  <c r="AH349" i="28"/>
  <c r="AH350" i="28"/>
  <c r="AH341" i="28"/>
  <c r="AH342" i="28"/>
  <c r="AH333" i="28"/>
  <c r="AH334" i="28"/>
  <c r="AH325" i="28"/>
  <c r="AH326" i="28"/>
  <c r="BU16" i="28"/>
  <c r="CB17" i="28"/>
  <c r="CD16" i="28"/>
  <c r="CJ16" i="28" s="1"/>
  <c r="AH569" i="28"/>
  <c r="AH570" i="28"/>
  <c r="AH553" i="28"/>
  <c r="AH554" i="28"/>
  <c r="AH537" i="28"/>
  <c r="AH538" i="28"/>
  <c r="AH903" i="28"/>
  <c r="AH895" i="28"/>
  <c r="AH887" i="28"/>
  <c r="AH879" i="28"/>
  <c r="AH871" i="28"/>
  <c r="AH863" i="28"/>
  <c r="AH855" i="28"/>
  <c r="AH847" i="28"/>
  <c r="AH839" i="28"/>
  <c r="AH831" i="28"/>
  <c r="AH823" i="28"/>
  <c r="AH815" i="28"/>
  <c r="AH807" i="28"/>
  <c r="AH799" i="28"/>
  <c r="AH791" i="28"/>
  <c r="AH783" i="28"/>
  <c r="AH775" i="28"/>
  <c r="AH767" i="28"/>
  <c r="AH759" i="28"/>
  <c r="AH751" i="28"/>
  <c r="AH743" i="28"/>
  <c r="AH735" i="28"/>
  <c r="AH727" i="28"/>
  <c r="AH719" i="28"/>
  <c r="AH711" i="28"/>
  <c r="AH703" i="28"/>
  <c r="AH695" i="28"/>
  <c r="AH687" i="28"/>
  <c r="AH679" i="28"/>
  <c r="AH671" i="28"/>
  <c r="AH663" i="28"/>
  <c r="AH655" i="28"/>
  <c r="AH647" i="28"/>
  <c r="AH639" i="28"/>
  <c r="AH631" i="28"/>
  <c r="AH623" i="28"/>
  <c r="AH615" i="28"/>
  <c r="AH607" i="28"/>
  <c r="AH599" i="28"/>
  <c r="AH591" i="28"/>
  <c r="AH583" i="28"/>
  <c r="AH573" i="28"/>
  <c r="AH574" i="28"/>
  <c r="AH557" i="28"/>
  <c r="AH558" i="28"/>
  <c r="AH541" i="28"/>
  <c r="AH542" i="28"/>
  <c r="AZ34" i="19"/>
  <c r="AT65" i="21"/>
  <c r="M36" i="21" s="1"/>
  <c r="AT66" i="21"/>
  <c r="AD64" i="21"/>
  <c r="AG63" i="21"/>
  <c r="AG122" i="28"/>
  <c r="AG123" i="28"/>
  <c r="AH123" i="28" s="1"/>
  <c r="AG130" i="28"/>
  <c r="AG131" i="28"/>
  <c r="AH131" i="28" s="1"/>
  <c r="AG138" i="28"/>
  <c r="AG139" i="28"/>
  <c r="AH139" i="28" s="1"/>
  <c r="AG146" i="28"/>
  <c r="AG147" i="28"/>
  <c r="AH147" i="28" s="1"/>
  <c r="AG154" i="28"/>
  <c r="AG155" i="28"/>
  <c r="AH155" i="28" s="1"/>
  <c r="AG177" i="28"/>
  <c r="AG181" i="28"/>
  <c r="AH180" i="28" s="1"/>
  <c r="AG185" i="28"/>
  <c r="AH184" i="28" s="1"/>
  <c r="AG189" i="28"/>
  <c r="AH189" i="28" s="1"/>
  <c r="AG193" i="28"/>
  <c r="AG195" i="28"/>
  <c r="AH195" i="28" s="1"/>
  <c r="AG200" i="28"/>
  <c r="AH199" i="28" s="1"/>
  <c r="AG204" i="28"/>
  <c r="AG208" i="28"/>
  <c r="AG134" i="28"/>
  <c r="AH134" i="28" s="1"/>
  <c r="AG150" i="28"/>
  <c r="AH150" i="28" s="1"/>
  <c r="AG175" i="28"/>
  <c r="AG178" i="28"/>
  <c r="AG179" i="28"/>
  <c r="AH179" i="28" s="1"/>
  <c r="AG182" i="28"/>
  <c r="AG183" i="28"/>
  <c r="AG186" i="28"/>
  <c r="AG194" i="28"/>
  <c r="AH194" i="28" s="1"/>
  <c r="AG196" i="28"/>
  <c r="AG203" i="28"/>
  <c r="AH203" i="28" s="1"/>
  <c r="AG211" i="28"/>
  <c r="AG215" i="28"/>
  <c r="AO100" i="28"/>
  <c r="AO101" i="28"/>
  <c r="AO103" i="28"/>
  <c r="AO106" i="28"/>
  <c r="AO109" i="28"/>
  <c r="AO111" i="28"/>
  <c r="AO116" i="28"/>
  <c r="AO117" i="28"/>
  <c r="AO118" i="28"/>
  <c r="AO124" i="28"/>
  <c r="AO125" i="28"/>
  <c r="AO126" i="28"/>
  <c r="AO132" i="28"/>
  <c r="AO133" i="28"/>
  <c r="AO134" i="28"/>
  <c r="AO140" i="28"/>
  <c r="AO141" i="28"/>
  <c r="AO142" i="28"/>
  <c r="AO148" i="28"/>
  <c r="AO149" i="28"/>
  <c r="AO150" i="28"/>
  <c r="AO156" i="28"/>
  <c r="AO157" i="28"/>
  <c r="AO164" i="28"/>
  <c r="AO165" i="28"/>
  <c r="AO172" i="28"/>
  <c r="AO173" i="28"/>
  <c r="AO177" i="28"/>
  <c r="AO181" i="28"/>
  <c r="AO197" i="28"/>
  <c r="AO97" i="28"/>
  <c r="AO98" i="28"/>
  <c r="AO99" i="28"/>
  <c r="AO102" i="28"/>
  <c r="AO104" i="28"/>
  <c r="AO105" i="28"/>
  <c r="AO108" i="28"/>
  <c r="AO115" i="28"/>
  <c r="AO123" i="28"/>
  <c r="AO131" i="28"/>
  <c r="AO139" i="28"/>
  <c r="AO147" i="28"/>
  <c r="AO155" i="28"/>
  <c r="AO107" i="28"/>
  <c r="AO113" i="28"/>
  <c r="AO119" i="28"/>
  <c r="AO121" i="28"/>
  <c r="AO127" i="28"/>
  <c r="AO129" i="28"/>
  <c r="AO136" i="28"/>
  <c r="AO138" i="28"/>
  <c r="AO143" i="28"/>
  <c r="AO145" i="28"/>
  <c r="AO152" i="28"/>
  <c r="AO154" i="28"/>
  <c r="AO168" i="28"/>
  <c r="AO186" i="28"/>
  <c r="AO187" i="28"/>
  <c r="AO188" i="28"/>
  <c r="AO189" i="28"/>
  <c r="AO199" i="28"/>
  <c r="AO208" i="28"/>
  <c r="AO212" i="28"/>
  <c r="AO216" i="28"/>
  <c r="AO217" i="28"/>
  <c r="AO220" i="28"/>
  <c r="AO221" i="28"/>
  <c r="AO225" i="28"/>
  <c r="AO110" i="28"/>
  <c r="AH575" i="28"/>
  <c r="AH567" i="28"/>
  <c r="AH559" i="28"/>
  <c r="AH551" i="28"/>
  <c r="AH543" i="28"/>
  <c r="AH535" i="28"/>
  <c r="AH527" i="28"/>
  <c r="AH519" i="28"/>
  <c r="AH511" i="28"/>
  <c r="AH503" i="28"/>
  <c r="AH495" i="28"/>
  <c r="AH487" i="28"/>
  <c r="AH479" i="28"/>
  <c r="AH471" i="28"/>
  <c r="AH463" i="28"/>
  <c r="AH455" i="28"/>
  <c r="AH447" i="28"/>
  <c r="AH439" i="28"/>
  <c r="AH431" i="28"/>
  <c r="AH423" i="28"/>
  <c r="AH415" i="28"/>
  <c r="AH407" i="28"/>
  <c r="AH399" i="28"/>
  <c r="AH391" i="28"/>
  <c r="AH383" i="28"/>
  <c r="AH375" i="28"/>
  <c r="AH367" i="28"/>
  <c r="AH359" i="28"/>
  <c r="AH351" i="28"/>
  <c r="AH343" i="28"/>
  <c r="AH335" i="28"/>
  <c r="AH327" i="28"/>
  <c r="AH319" i="28"/>
  <c r="AH304" i="28"/>
  <c r="AH296" i="28"/>
  <c r="AH288" i="28"/>
  <c r="AH280" i="28"/>
  <c r="AH272" i="28"/>
  <c r="AG90" i="28"/>
  <c r="AM101" i="28"/>
  <c r="AM114" i="28"/>
  <c r="AM120" i="28"/>
  <c r="AM121" i="28"/>
  <c r="AM122" i="28"/>
  <c r="AM128" i="28"/>
  <c r="AM129" i="28"/>
  <c r="AM130" i="28"/>
  <c r="AM136" i="28"/>
  <c r="AM137" i="28"/>
  <c r="AM138" i="28"/>
  <c r="AM144" i="28"/>
  <c r="AM145" i="28"/>
  <c r="AM146" i="28"/>
  <c r="AM152" i="28"/>
  <c r="AM153" i="28"/>
  <c r="AM154" i="28"/>
  <c r="AM160" i="28"/>
  <c r="AM161" i="28"/>
  <c r="AM168" i="28"/>
  <c r="AM169" i="28"/>
  <c r="AM175" i="28"/>
  <c r="AM179" i="28"/>
  <c r="AM183" i="28"/>
  <c r="AM186" i="28"/>
  <c r="AM190" i="28"/>
  <c r="AM194" i="28"/>
  <c r="AM195" i="28"/>
  <c r="AM196" i="28"/>
  <c r="AM199" i="28"/>
  <c r="AM203" i="28"/>
  <c r="AM98" i="28"/>
  <c r="AM102" i="28"/>
  <c r="AM107" i="28"/>
  <c r="AM110" i="28"/>
  <c r="AM112" i="28"/>
  <c r="AM113" i="28"/>
  <c r="AM119" i="28"/>
  <c r="AM127" i="28"/>
  <c r="AM135" i="28"/>
  <c r="AM143" i="28"/>
  <c r="AM151" i="28"/>
  <c r="AM158" i="28"/>
  <c r="AM159" i="28"/>
  <c r="AM100" i="28"/>
  <c r="AM108" i="28"/>
  <c r="AM111" i="28"/>
  <c r="AM116" i="28"/>
  <c r="AM124" i="28"/>
  <c r="AM133" i="28"/>
  <c r="AM149" i="28"/>
  <c r="AM162" i="28"/>
  <c r="AM163" i="28"/>
  <c r="AM166" i="28"/>
  <c r="AM167" i="28"/>
  <c r="AM176" i="28"/>
  <c r="AM180" i="28"/>
  <c r="AM184" i="28"/>
  <c r="AM185" i="28"/>
  <c r="AM191" i="28"/>
  <c r="AM192" i="28"/>
  <c r="AM193" i="28"/>
  <c r="AM210" i="28"/>
  <c r="AM214" i="28"/>
  <c r="AM215" i="28"/>
  <c r="AM218" i="28"/>
  <c r="AM219" i="28"/>
  <c r="AM222" i="28"/>
  <c r="AM223" i="28"/>
  <c r="AM224" i="28"/>
  <c r="AM99" i="28"/>
  <c r="BZ43" i="28"/>
  <c r="CA43" i="28"/>
  <c r="AH571" i="28"/>
  <c r="AH563" i="28"/>
  <c r="AH555" i="28"/>
  <c r="AH547" i="28"/>
  <c r="AH539" i="28"/>
  <c r="AH531" i="28"/>
  <c r="AH530" i="28"/>
  <c r="AH523" i="28"/>
  <c r="AH522" i="28"/>
  <c r="AH515" i="28"/>
  <c r="AH514" i="28"/>
  <c r="AH507" i="28"/>
  <c r="AH506" i="28"/>
  <c r="AH499" i="28"/>
  <c r="AH498" i="28"/>
  <c r="AH491" i="28"/>
  <c r="AH490" i="28"/>
  <c r="AH483" i="28"/>
  <c r="AH482" i="28"/>
  <c r="AH475" i="28"/>
  <c r="AH474" i="28"/>
  <c r="AH467" i="28"/>
  <c r="AH466" i="28"/>
  <c r="AH459" i="28"/>
  <c r="AH458" i="28"/>
  <c r="AH451" i="28"/>
  <c r="AH450" i="28"/>
  <c r="AH443" i="28"/>
  <c r="AH442" i="28"/>
  <c r="AH435" i="28"/>
  <c r="AH434" i="28"/>
  <c r="AH427" i="28"/>
  <c r="AH426" i="28"/>
  <c r="AH419" i="28"/>
  <c r="AH418" i="28"/>
  <c r="AH411" i="28"/>
  <c r="AH410" i="28"/>
  <c r="AH403" i="28"/>
  <c r="AH402" i="28"/>
  <c r="AH395" i="28"/>
  <c r="AH394" i="28"/>
  <c r="AH387" i="28"/>
  <c r="AH386" i="28"/>
  <c r="AH379" i="28"/>
  <c r="AH378" i="28"/>
  <c r="AH371" i="28"/>
  <c r="AH370" i="28"/>
  <c r="AH363" i="28"/>
  <c r="AH362" i="28"/>
  <c r="AH355" i="28"/>
  <c r="AH354" i="28"/>
  <c r="AH347" i="28"/>
  <c r="AH346" i="28"/>
  <c r="AH339" i="28"/>
  <c r="AH338" i="28"/>
  <c r="AH331" i="28"/>
  <c r="AH330" i="28"/>
  <c r="AH323" i="28"/>
  <c r="AH322" i="28"/>
  <c r="AH308" i="28"/>
  <c r="AH307" i="28"/>
  <c r="AH300" i="28"/>
  <c r="AH299" i="28"/>
  <c r="AH292" i="28"/>
  <c r="AH291" i="28"/>
  <c r="AH284" i="28"/>
  <c r="AH283" i="28"/>
  <c r="AH276" i="28"/>
  <c r="AH275" i="28"/>
  <c r="BZ42" i="28"/>
  <c r="CA42" i="28"/>
  <c r="CA20" i="28"/>
  <c r="CA21" i="28"/>
  <c r="CA22" i="28"/>
  <c r="CA23" i="28"/>
  <c r="CA24" i="28"/>
  <c r="CA25" i="28"/>
  <c r="CA26" i="28"/>
  <c r="CA27" i="28"/>
  <c r="CA28" i="28"/>
  <c r="CA29" i="28"/>
  <c r="CA30" i="28"/>
  <c r="CA31" i="28"/>
  <c r="CA32" i="28"/>
  <c r="CA33" i="28"/>
  <c r="CA34" i="28"/>
  <c r="CA35" i="28"/>
  <c r="CA16" i="28"/>
  <c r="CA36" i="28"/>
  <c r="CA37" i="28"/>
  <c r="CA38" i="28"/>
  <c r="CA39" i="28"/>
  <c r="BT17" i="28"/>
  <c r="BT36" i="28"/>
  <c r="BT37" i="28"/>
  <c r="BT38" i="28"/>
  <c r="BT39" i="28"/>
  <c r="AS126" i="28"/>
  <c r="AK126" i="28"/>
  <c r="AS125" i="28"/>
  <c r="AK125" i="28"/>
  <c r="AS124" i="28"/>
  <c r="AK124" i="28"/>
  <c r="AS118" i="28"/>
  <c r="AK118" i="28"/>
  <c r="AS117" i="28"/>
  <c r="AK117" i="28"/>
  <c r="AS116" i="28"/>
  <c r="AK116" i="28"/>
  <c r="AS111" i="28"/>
  <c r="AK111" i="28"/>
  <c r="AS109" i="28"/>
  <c r="AK109" i="28"/>
  <c r="AS106" i="28"/>
  <c r="AK106" i="28"/>
  <c r="AK103" i="28"/>
  <c r="AS102" i="28"/>
  <c r="O112" i="28"/>
  <c r="O113" i="28" s="1"/>
  <c r="O114" i="28" s="1"/>
  <c r="O115" i="28" s="1"/>
  <c r="O116" i="28" s="1"/>
  <c r="O117" i="28" s="1"/>
  <c r="O118" i="28" s="1"/>
  <c r="O119" i="28" s="1"/>
  <c r="O120" i="28" s="1"/>
  <c r="O121" i="28" s="1"/>
  <c r="O122" i="28" s="1"/>
  <c r="O123" i="28" s="1"/>
  <c r="O124" i="28" s="1"/>
  <c r="O125" i="28" s="1"/>
  <c r="O126" i="28" s="1"/>
  <c r="O127" i="28" s="1"/>
  <c r="O128" i="28" s="1"/>
  <c r="O129" i="28" s="1"/>
  <c r="O130" i="28" s="1"/>
  <c r="O131" i="28" s="1"/>
  <c r="O132" i="28" s="1"/>
  <c r="O133" i="28" s="1"/>
  <c r="O134" i="28" s="1"/>
  <c r="O135" i="28" s="1"/>
  <c r="O136" i="28" s="1"/>
  <c r="O137" i="28" s="1"/>
  <c r="O138" i="28" s="1"/>
  <c r="O139" i="28" s="1"/>
  <c r="O140" i="28" s="1"/>
  <c r="O141" i="28" s="1"/>
  <c r="O142" i="28" s="1"/>
  <c r="O143" i="28" s="1"/>
  <c r="O144" i="28" s="1"/>
  <c r="O145" i="28" s="1"/>
  <c r="O146" i="28" s="1"/>
  <c r="O147" i="28" s="1"/>
  <c r="O148" i="28" s="1"/>
  <c r="O149" i="28" s="1"/>
  <c r="O150" i="28" s="1"/>
  <c r="O151" i="28" s="1"/>
  <c r="O152" i="28" s="1"/>
  <c r="O153" i="28" s="1"/>
  <c r="O154" i="28" s="1"/>
  <c r="O155" i="28" s="1"/>
  <c r="O156" i="28" s="1"/>
  <c r="O157" i="28" s="1"/>
  <c r="O158" i="28" s="1"/>
  <c r="O159" i="28" s="1"/>
  <c r="O160" i="28" s="1"/>
  <c r="O161" i="28" s="1"/>
  <c r="O162" i="28" s="1"/>
  <c r="O163" i="28" s="1"/>
  <c r="O164" i="28" s="1"/>
  <c r="O165" i="28" s="1"/>
  <c r="O166" i="28" s="1"/>
  <c r="O167" i="28" s="1"/>
  <c r="O168" i="28" s="1"/>
  <c r="O169" i="28" s="1"/>
  <c r="O170" i="28" s="1"/>
  <c r="O171" i="28" s="1"/>
  <c r="O172" i="28" s="1"/>
  <c r="O173" i="28" s="1"/>
  <c r="O174" i="28" s="1"/>
  <c r="O175" i="28" s="1"/>
  <c r="O176" i="28" s="1"/>
  <c r="O177" i="28" s="1"/>
  <c r="O178" i="28" s="1"/>
  <c r="O179" i="28" s="1"/>
  <c r="O180" i="28" s="1"/>
  <c r="O181" i="28" s="1"/>
  <c r="O182" i="28" s="1"/>
  <c r="O183" i="28" s="1"/>
  <c r="O184" i="28" s="1"/>
  <c r="O185" i="28" s="1"/>
  <c r="O186" i="28" s="1"/>
  <c r="O187" i="28" s="1"/>
  <c r="O188" i="28" s="1"/>
  <c r="O189" i="28" s="1"/>
  <c r="O190" i="28" s="1"/>
  <c r="O191" i="28" s="1"/>
  <c r="O192" i="28" s="1"/>
  <c r="O193" i="28" s="1"/>
  <c r="O194" i="28" s="1"/>
  <c r="O195" i="28" s="1"/>
  <c r="O196" i="28" s="1"/>
  <c r="O197" i="28" s="1"/>
  <c r="O198" i="28" s="1"/>
  <c r="O199" i="28" s="1"/>
  <c r="O200" i="28" s="1"/>
  <c r="O201" i="28" s="1"/>
  <c r="O202" i="28" s="1"/>
  <c r="O203" i="28" s="1"/>
  <c r="O204" i="28" s="1"/>
  <c r="O205" i="28" s="1"/>
  <c r="O206" i="28" s="1"/>
  <c r="O207" i="28" s="1"/>
  <c r="O208" i="28" s="1"/>
  <c r="O209" i="28" s="1"/>
  <c r="O210" i="28" s="1"/>
  <c r="O211" i="28" s="1"/>
  <c r="O212" i="28" s="1"/>
  <c r="O213" i="28" s="1"/>
  <c r="O214" i="28" s="1"/>
  <c r="O215" i="28" s="1"/>
  <c r="O216" i="28" s="1"/>
  <c r="O217" i="28" s="1"/>
  <c r="O218" i="28" s="1"/>
  <c r="O219" i="28" s="1"/>
  <c r="O220" i="28" s="1"/>
  <c r="O221" i="28" s="1"/>
  <c r="O222" i="28" s="1"/>
  <c r="O223" i="28" s="1"/>
  <c r="O224" i="28" s="1"/>
  <c r="O225" i="28" s="1"/>
  <c r="O226" i="28" s="1"/>
  <c r="O227" i="28" s="1"/>
  <c r="O228" i="28" s="1"/>
  <c r="O229" i="28" s="1"/>
  <c r="O230" i="28" s="1"/>
  <c r="O231" i="28" s="1"/>
  <c r="O232" i="28" s="1"/>
  <c r="O233" i="28" s="1"/>
  <c r="O234" i="28" s="1"/>
  <c r="O235" i="28" s="1"/>
  <c r="O236" i="28" s="1"/>
  <c r="O237" i="28" s="1"/>
  <c r="O238" i="28" s="1"/>
  <c r="O239" i="28" s="1"/>
  <c r="O240" i="28" s="1"/>
  <c r="O241" i="28" s="1"/>
  <c r="O242" i="28" s="1"/>
  <c r="O243" i="28" s="1"/>
  <c r="O244" i="28" s="1"/>
  <c r="O245" i="28" s="1"/>
  <c r="O246" i="28" s="1"/>
  <c r="O247" i="28" s="1"/>
  <c r="O248" i="28" s="1"/>
  <c r="O249" i="28" s="1"/>
  <c r="O250" i="28" s="1"/>
  <c r="O251" i="28" s="1"/>
  <c r="O252" i="28" s="1"/>
  <c r="O253" i="28" s="1"/>
  <c r="O254" i="28" s="1"/>
  <c r="O255" i="28" s="1"/>
  <c r="O256" i="28" s="1"/>
  <c r="O257" i="28" s="1"/>
  <c r="O258" i="28" s="1"/>
  <c r="O259" i="28" s="1"/>
  <c r="O260" i="28" s="1"/>
  <c r="O261" i="28" s="1"/>
  <c r="O262" i="28" s="1"/>
  <c r="O263" i="28" s="1"/>
  <c r="O264" i="28" s="1"/>
  <c r="O265" i="28" s="1"/>
  <c r="O266" i="28" s="1"/>
  <c r="O267" i="28" s="1"/>
  <c r="O268" i="28" s="1"/>
  <c r="O269" i="28" s="1"/>
  <c r="O270" i="28" s="1"/>
  <c r="O271" i="28" s="1"/>
  <c r="O272" i="28" s="1"/>
  <c r="O273" i="28" s="1"/>
  <c r="O274" i="28" s="1"/>
  <c r="O275" i="28" s="1"/>
  <c r="O276" i="28" s="1"/>
  <c r="O277" i="28" s="1"/>
  <c r="O278" i="28" s="1"/>
  <c r="O279" i="28" s="1"/>
  <c r="O280" i="28" s="1"/>
  <c r="O281" i="28" s="1"/>
  <c r="O282" i="28" s="1"/>
  <c r="O283" i="28" s="1"/>
  <c r="O284" i="28" s="1"/>
  <c r="O285" i="28" s="1"/>
  <c r="O286" i="28" s="1"/>
  <c r="O287" i="28" s="1"/>
  <c r="O288" i="28" s="1"/>
  <c r="O289" i="28" s="1"/>
  <c r="O290" i="28" s="1"/>
  <c r="O291" i="28" s="1"/>
  <c r="O292" i="28" s="1"/>
  <c r="O293" i="28" s="1"/>
  <c r="O294" i="28" s="1"/>
  <c r="O295" i="28" s="1"/>
  <c r="O296" i="28" s="1"/>
  <c r="O297" i="28" s="1"/>
  <c r="O298" i="28" s="1"/>
  <c r="O299" i="28" s="1"/>
  <c r="O300" i="28" s="1"/>
  <c r="O301" i="28" s="1"/>
  <c r="O302" i="28" s="1"/>
  <c r="O303" i="28" s="1"/>
  <c r="O304" i="28" s="1"/>
  <c r="O305" i="28" s="1"/>
  <c r="O306" i="28" s="1"/>
  <c r="O307" i="28" s="1"/>
  <c r="O308" i="28" s="1"/>
  <c r="O309" i="28" s="1"/>
  <c r="O310" i="28" s="1"/>
  <c r="O311" i="28" s="1"/>
  <c r="Z69" i="29"/>
  <c r="Z65" i="29"/>
  <c r="P261" i="29"/>
  <c r="P257" i="29"/>
  <c r="C10" i="18"/>
  <c r="T12" i="19"/>
  <c r="AX1" i="19" s="1"/>
  <c r="P113" i="19"/>
  <c r="P109" i="19"/>
  <c r="P105" i="19"/>
  <c r="P101" i="19"/>
  <c r="P95" i="19"/>
  <c r="P86" i="19"/>
  <c r="P76" i="19"/>
  <c r="P64" i="19"/>
  <c r="S115" i="19"/>
  <c r="S105" i="19"/>
  <c r="S93" i="19"/>
  <c r="S83" i="19"/>
  <c r="S73" i="19"/>
  <c r="S61" i="19"/>
  <c r="S51" i="19"/>
  <c r="AJ20" i="27"/>
  <c r="BA33" i="19"/>
  <c r="S16" i="19"/>
  <c r="S39" i="19"/>
  <c r="S47" i="19"/>
  <c r="S55" i="19"/>
  <c r="S63" i="19"/>
  <c r="S71" i="19"/>
  <c r="S79" i="19"/>
  <c r="S87" i="19"/>
  <c r="S95" i="19"/>
  <c r="S103" i="19"/>
  <c r="S111" i="19"/>
  <c r="P58" i="19"/>
  <c r="P66" i="19"/>
  <c r="P74" i="19"/>
  <c r="P82" i="19"/>
  <c r="P90" i="19"/>
  <c r="P96" i="19"/>
  <c r="P100" i="19"/>
  <c r="D16" i="19"/>
  <c r="P114" i="19"/>
  <c r="P110" i="19"/>
  <c r="P106" i="19"/>
  <c r="P102" i="19"/>
  <c r="P97" i="19"/>
  <c r="P88" i="19"/>
  <c r="P78" i="19"/>
  <c r="P68" i="19"/>
  <c r="P56" i="19"/>
  <c r="S107" i="19"/>
  <c r="S97" i="19"/>
  <c r="S85" i="19"/>
  <c r="S75" i="19"/>
  <c r="S65" i="19"/>
  <c r="S53" i="19"/>
  <c r="S43" i="19"/>
  <c r="AJ27" i="27"/>
  <c r="M141" i="30"/>
  <c r="M140" i="30"/>
  <c r="M139" i="30"/>
  <c r="M138" i="30"/>
  <c r="M137" i="30"/>
  <c r="M136" i="30"/>
  <c r="M135" i="30"/>
  <c r="M134" i="30"/>
  <c r="M133" i="30"/>
  <c r="M132" i="30"/>
  <c r="M131" i="30"/>
  <c r="M130" i="30"/>
  <c r="M129" i="30"/>
  <c r="M128" i="30"/>
  <c r="M127" i="30"/>
  <c r="M126" i="30"/>
  <c r="M125" i="30"/>
  <c r="M124" i="30"/>
  <c r="M123" i="30"/>
  <c r="M122" i="30"/>
  <c r="M121" i="30"/>
  <c r="M120" i="30"/>
  <c r="M119" i="30"/>
  <c r="M118" i="30"/>
  <c r="M117" i="30"/>
  <c r="M116" i="30"/>
  <c r="M115" i="30"/>
  <c r="M114" i="30"/>
  <c r="M113" i="30"/>
  <c r="M112" i="30"/>
  <c r="M111" i="30"/>
  <c r="M110" i="30"/>
  <c r="M109" i="30"/>
  <c r="M108" i="30"/>
  <c r="M107" i="30"/>
  <c r="N105" i="30"/>
  <c r="N103" i="30"/>
  <c r="N101" i="30"/>
  <c r="N99" i="30"/>
  <c r="N97" i="30"/>
  <c r="N95" i="30"/>
  <c r="N93" i="30"/>
  <c r="N91" i="30"/>
  <c r="N89" i="30"/>
  <c r="N87" i="30"/>
  <c r="N85" i="30"/>
  <c r="N83" i="30"/>
  <c r="N81" i="30"/>
  <c r="N79" i="30"/>
  <c r="N77" i="30"/>
  <c r="N75" i="30"/>
  <c r="N73" i="30"/>
  <c r="N71" i="30"/>
  <c r="N69" i="30"/>
  <c r="N67" i="30"/>
  <c r="N65" i="30"/>
  <c r="N63" i="30"/>
  <c r="N61" i="30"/>
  <c r="W27" i="30"/>
  <c r="W23" i="30"/>
  <c r="W19" i="30"/>
  <c r="W15" i="30"/>
  <c r="W11" i="30"/>
  <c r="W7" i="30"/>
  <c r="W3" i="30"/>
  <c r="S1" i="30"/>
  <c r="K1" i="30"/>
  <c r="O138" i="30"/>
  <c r="O137" i="30"/>
  <c r="O136" i="30"/>
  <c r="O135" i="30"/>
  <c r="O134" i="30"/>
  <c r="O133" i="30"/>
  <c r="O132" i="30"/>
  <c r="O131" i="30"/>
  <c r="O130" i="30"/>
  <c r="O129" i="30"/>
  <c r="O128" i="30"/>
  <c r="O127" i="30"/>
  <c r="O126" i="30"/>
  <c r="O125" i="30"/>
  <c r="O124" i="30"/>
  <c r="O123" i="30"/>
  <c r="O122" i="30"/>
  <c r="O121" i="30"/>
  <c r="O120" i="30"/>
  <c r="O119" i="30"/>
  <c r="O118" i="30"/>
  <c r="O117" i="30"/>
  <c r="O116" i="30"/>
  <c r="O115" i="30"/>
  <c r="O114" i="30"/>
  <c r="O113" i="30"/>
  <c r="O112" i="30"/>
  <c r="O111" i="30"/>
  <c r="O110" i="30"/>
  <c r="O109" i="30"/>
  <c r="O108" i="30"/>
  <c r="O107" i="30"/>
  <c r="N106" i="30"/>
  <c r="N104" i="30"/>
  <c r="N102" i="30"/>
  <c r="N100" i="30"/>
  <c r="N98" i="30"/>
  <c r="N96" i="30"/>
  <c r="N94" i="30"/>
  <c r="N92" i="30"/>
  <c r="N90" i="30"/>
  <c r="N88" i="30"/>
  <c r="N86" i="30"/>
  <c r="N84" i="30"/>
  <c r="N82" i="30"/>
  <c r="N80" i="30"/>
  <c r="N78" i="30"/>
  <c r="N76" i="30"/>
  <c r="N74" i="30"/>
  <c r="N72" i="30"/>
  <c r="N70" i="30"/>
  <c r="N68" i="30"/>
  <c r="N66" i="30"/>
  <c r="N64" i="30"/>
  <c r="N62" i="30"/>
  <c r="W29" i="30"/>
  <c r="W25" i="30"/>
  <c r="W21" i="30"/>
  <c r="W17" i="30"/>
  <c r="W13" i="30"/>
  <c r="W9" i="30"/>
  <c r="W5" i="30"/>
  <c r="W1" i="30"/>
  <c r="W62" i="18"/>
  <c r="W63" i="18"/>
  <c r="W64" i="18"/>
  <c r="X63" i="18"/>
  <c r="X64" i="18"/>
  <c r="D17" i="21"/>
  <c r="B15" i="29"/>
  <c r="C17" i="21"/>
  <c r="C15" i="29"/>
  <c r="BY49" i="28"/>
  <c r="CA48" i="28"/>
  <c r="BZ48" i="28"/>
  <c r="T9" i="13"/>
  <c r="P12" i="13"/>
  <c r="F14" i="13"/>
  <c r="AA16" i="13"/>
  <c r="P19" i="13"/>
  <c r="F31" i="13"/>
  <c r="F35" i="13"/>
  <c r="F33" i="13"/>
  <c r="F32" i="13"/>
  <c r="F30" i="13"/>
  <c r="F28" i="13"/>
  <c r="F27" i="13"/>
  <c r="F26" i="13"/>
  <c r="F25" i="13"/>
  <c r="F24" i="13"/>
  <c r="AA22" i="13"/>
  <c r="F21" i="13"/>
  <c r="AA19" i="13"/>
  <c r="F18" i="13"/>
  <c r="F17" i="13"/>
  <c r="AA15" i="13"/>
  <c r="P14" i="13"/>
  <c r="AA12" i="13"/>
  <c r="AA11" i="13"/>
  <c r="AA9" i="13"/>
  <c r="W9" i="13"/>
  <c r="S9" i="13"/>
  <c r="O9" i="13"/>
  <c r="K9" i="13"/>
  <c r="J9" i="13"/>
  <c r="R9" i="13"/>
  <c r="Z9" i="13"/>
  <c r="F12" i="13"/>
  <c r="P13" i="13"/>
  <c r="F16" i="13"/>
  <c r="F20" i="13"/>
  <c r="F23" i="13"/>
  <c r="F29" i="13"/>
  <c r="P30" i="13"/>
  <c r="F36" i="13"/>
  <c r="P37" i="13"/>
  <c r="L9" i="13"/>
  <c r="F11" i="13"/>
  <c r="F22" i="13"/>
  <c r="P22" i="13"/>
  <c r="AA24" i="13"/>
  <c r="AA25" i="13"/>
  <c r="AA27" i="13"/>
  <c r="AA37" i="13"/>
  <c r="AA36" i="13"/>
  <c r="AA35" i="13"/>
  <c r="P34" i="13"/>
  <c r="AA33" i="13"/>
  <c r="P32" i="13"/>
  <c r="P31" i="13"/>
  <c r="AA30" i="13"/>
  <c r="P29" i="13"/>
  <c r="AA28" i="13"/>
  <c r="P27" i="13"/>
  <c r="P26" i="13"/>
  <c r="P25" i="13"/>
  <c r="P24" i="13"/>
  <c r="P23" i="13"/>
  <c r="AA21" i="13"/>
  <c r="P20" i="13"/>
  <c r="AA18" i="13"/>
  <c r="P17" i="13"/>
  <c r="P16" i="13"/>
  <c r="F15" i="13"/>
  <c r="AA13" i="13"/>
  <c r="AA10" i="13"/>
  <c r="Y9" i="13"/>
  <c r="U9" i="13"/>
  <c r="Q9" i="13"/>
  <c r="M9" i="13"/>
  <c r="I9" i="13"/>
  <c r="G9" i="13"/>
  <c r="N9" i="13"/>
  <c r="V9" i="13"/>
  <c r="P10" i="13"/>
  <c r="F13" i="13"/>
  <c r="AA14" i="13"/>
  <c r="P18" i="13"/>
  <c r="P21" i="13"/>
  <c r="AA26" i="13"/>
  <c r="AA29" i="13"/>
  <c r="F34" i="13"/>
  <c r="P36" i="13"/>
  <c r="BF51" i="26"/>
  <c r="BF35" i="26"/>
  <c r="BF209" i="26"/>
  <c r="BF14" i="26"/>
  <c r="BF192" i="26"/>
  <c r="BF48" i="26"/>
  <c r="BF32" i="26"/>
  <c r="BF203" i="26"/>
  <c r="BF23" i="26"/>
  <c r="BF194" i="26"/>
  <c r="BF49" i="26"/>
  <c r="BF33" i="26"/>
  <c r="BF205" i="26"/>
  <c r="BF27" i="26"/>
  <c r="BF196" i="26"/>
  <c r="BF50" i="26"/>
  <c r="BF34" i="26"/>
  <c r="BF207" i="26"/>
  <c r="BF28" i="26"/>
  <c r="BF190" i="26"/>
  <c r="BF47" i="26"/>
  <c r="BF31" i="26"/>
  <c r="BF201" i="26"/>
  <c r="BF21" i="26"/>
  <c r="BF184" i="26"/>
  <c r="BF44" i="26"/>
  <c r="BF26" i="26"/>
  <c r="BF195" i="26"/>
  <c r="BF12" i="26"/>
  <c r="BF186" i="26"/>
  <c r="BF61" i="26"/>
  <c r="BF45" i="26"/>
  <c r="BF29" i="26"/>
  <c r="BF197" i="26"/>
  <c r="BF204" i="26"/>
  <c r="BF54" i="26"/>
  <c r="BF38" i="26"/>
  <c r="BF15" i="26"/>
  <c r="BF20" i="26"/>
  <c r="BF198" i="26"/>
  <c r="BF43" i="26"/>
  <c r="BF25" i="26"/>
  <c r="BF193" i="26"/>
  <c r="BF208" i="26"/>
  <c r="BF56" i="26"/>
  <c r="BF40" i="26"/>
  <c r="BF19" i="26"/>
  <c r="BF187" i="26"/>
  <c r="BF210" i="26"/>
  <c r="BF57" i="26"/>
  <c r="BF41" i="26"/>
  <c r="BF22" i="26"/>
  <c r="BF189" i="26"/>
  <c r="BF11" i="26"/>
  <c r="BF58" i="26"/>
  <c r="BF42" i="26"/>
  <c r="BF24" i="26"/>
  <c r="BF191" i="26"/>
  <c r="BF206" i="26"/>
  <c r="BF55" i="26"/>
  <c r="BF39" i="26"/>
  <c r="BF17" i="26"/>
  <c r="BF185" i="26"/>
  <c r="BF200" i="26"/>
  <c r="BF52" i="26"/>
  <c r="BF36" i="26"/>
  <c r="BF211" i="26"/>
  <c r="BF16" i="26"/>
  <c r="BF202" i="26"/>
  <c r="AX19" i="26"/>
  <c r="BA19" i="26"/>
  <c r="AY19" i="26" s="1"/>
  <c r="BA27" i="26"/>
  <c r="AY27" i="26" s="1"/>
  <c r="AX27" i="26"/>
  <c r="AX35" i="26"/>
  <c r="BA35" i="26"/>
  <c r="AY35" i="26" s="1"/>
  <c r="BA42" i="26"/>
  <c r="AY42" i="26" s="1"/>
  <c r="AX42" i="26"/>
  <c r="AX43" i="26"/>
  <c r="BA43" i="26"/>
  <c r="AY43" i="26" s="1"/>
  <c r="AX51" i="26"/>
  <c r="BA51" i="26"/>
  <c r="AY51" i="26" s="1"/>
  <c r="BA58" i="26"/>
  <c r="AY58" i="26" s="1"/>
  <c r="AX58" i="26"/>
  <c r="AX59" i="26"/>
  <c r="BA59" i="26"/>
  <c r="AY59" i="26" s="1"/>
  <c r="AX67" i="26"/>
  <c r="BA67" i="26"/>
  <c r="AY67" i="26" s="1"/>
  <c r="AX74" i="26"/>
  <c r="BA74" i="26"/>
  <c r="AY74" i="26" s="1"/>
  <c r="AX75" i="26"/>
  <c r="BA75" i="26"/>
  <c r="AY75" i="26" s="1"/>
  <c r="AX83" i="26"/>
  <c r="BA83" i="26"/>
  <c r="AY83" i="26" s="1"/>
  <c r="AX90" i="26"/>
  <c r="BA90" i="26"/>
  <c r="AY90" i="26" s="1"/>
  <c r="AX91" i="26"/>
  <c r="BA91" i="26"/>
  <c r="AY91" i="26" s="1"/>
  <c r="AX99" i="26"/>
  <c r="BA99" i="26"/>
  <c r="AY99" i="26" s="1"/>
  <c r="BA106" i="26"/>
  <c r="AY106" i="26" s="1"/>
  <c r="AX106" i="26"/>
  <c r="AX107" i="26"/>
  <c r="BA107" i="26"/>
  <c r="AY107" i="26" s="1"/>
  <c r="BH12" i="26"/>
  <c r="BH20" i="26"/>
  <c r="BH173" i="26"/>
  <c r="BH181" i="26"/>
  <c r="BH189" i="26"/>
  <c r="BH197" i="26"/>
  <c r="BH205" i="26"/>
  <c r="BH11" i="26"/>
  <c r="BH19" i="26"/>
  <c r="BH24" i="26"/>
  <c r="BH29" i="26"/>
  <c r="BH33" i="26"/>
  <c r="BH37" i="26"/>
  <c r="BH41" i="26"/>
  <c r="BH45" i="26"/>
  <c r="BH49" i="26"/>
  <c r="BH53" i="26"/>
  <c r="BH57" i="26"/>
  <c r="BH61" i="26"/>
  <c r="BH65" i="26"/>
  <c r="BH174" i="26"/>
  <c r="BH182" i="26"/>
  <c r="BH190" i="26"/>
  <c r="BH198" i="26"/>
  <c r="BH206" i="26"/>
  <c r="BC75" i="26"/>
  <c r="BH75" i="26" s="1"/>
  <c r="BC67" i="26"/>
  <c r="BH67" i="26" s="1"/>
  <c r="BC59" i="26"/>
  <c r="BF59" i="26" s="1"/>
  <c r="BC78" i="26"/>
  <c r="BC70" i="26"/>
  <c r="BC62" i="26"/>
  <c r="BF62" i="26" s="1"/>
  <c r="BC80" i="26"/>
  <c r="BH80" i="26" s="1"/>
  <c r="BC72" i="26"/>
  <c r="BH72" i="26" s="1"/>
  <c r="BC64" i="26"/>
  <c r="BF64" i="26" s="1"/>
  <c r="BC81" i="26"/>
  <c r="BH81" i="26" s="1"/>
  <c r="BC73" i="26"/>
  <c r="BH73" i="26" s="1"/>
  <c r="BC65" i="26"/>
  <c r="BF65" i="26" s="1"/>
  <c r="BC74" i="26"/>
  <c r="BH74" i="26" s="1"/>
  <c r="BC66" i="26"/>
  <c r="BF66" i="26" s="1"/>
  <c r="BC79" i="26"/>
  <c r="BH79" i="26" s="1"/>
  <c r="BC71" i="26"/>
  <c r="BH71" i="26" s="1"/>
  <c r="BC63" i="26"/>
  <c r="BF63" i="26" s="1"/>
  <c r="BC76" i="26"/>
  <c r="BH76" i="26" s="1"/>
  <c r="BC68" i="26"/>
  <c r="BH68" i="26" s="1"/>
  <c r="BC60" i="26"/>
  <c r="BF60" i="26" s="1"/>
  <c r="BC77" i="26"/>
  <c r="BH77" i="26" s="1"/>
  <c r="H17" i="13"/>
  <c r="J17" i="13" s="1"/>
  <c r="H19" i="13"/>
  <c r="J19" i="13" s="1"/>
  <c r="N28" i="13"/>
  <c r="N29" i="13" s="1"/>
  <c r="BA21" i="26"/>
  <c r="AY21" i="26" s="1"/>
  <c r="AX21" i="26"/>
  <c r="BA32" i="26"/>
  <c r="AY32" i="26" s="1"/>
  <c r="AX32" i="26"/>
  <c r="BA40" i="26"/>
  <c r="AY40" i="26" s="1"/>
  <c r="AX40" i="26"/>
  <c r="BA48" i="26"/>
  <c r="AY48" i="26" s="1"/>
  <c r="AX48" i="26"/>
  <c r="BA56" i="26"/>
  <c r="AY56" i="26" s="1"/>
  <c r="AX56" i="26"/>
  <c r="BA64" i="26"/>
  <c r="AY64" i="26" s="1"/>
  <c r="AX64" i="26"/>
  <c r="BA72" i="26"/>
  <c r="AY72" i="26" s="1"/>
  <c r="AX72" i="26"/>
  <c r="BA80" i="26"/>
  <c r="AY80" i="26" s="1"/>
  <c r="AX80" i="26"/>
  <c r="BA88" i="26"/>
  <c r="AY88" i="26" s="1"/>
  <c r="AX88" i="26"/>
  <c r="BA96" i="26"/>
  <c r="AY96" i="26" s="1"/>
  <c r="AX96" i="26"/>
  <c r="BA104" i="26"/>
  <c r="AY104" i="26" s="1"/>
  <c r="AX104" i="26"/>
  <c r="AX116" i="26"/>
  <c r="BA116" i="26"/>
  <c r="AY116" i="26" s="1"/>
  <c r="AX124" i="26"/>
  <c r="BA124" i="26"/>
  <c r="AY124" i="26" s="1"/>
  <c r="AX132" i="26"/>
  <c r="BA132" i="26"/>
  <c r="AY132" i="26" s="1"/>
  <c r="AX140" i="26"/>
  <c r="BA140" i="26"/>
  <c r="AY140" i="26" s="1"/>
  <c r="AX148" i="26"/>
  <c r="BA148" i="26"/>
  <c r="AY148" i="26" s="1"/>
  <c r="AX156" i="26"/>
  <c r="BA156" i="26"/>
  <c r="AY156" i="26" s="1"/>
  <c r="BC69" i="26"/>
  <c r="BH69" i="26" s="1"/>
  <c r="AH183" i="28"/>
  <c r="AH181" i="28"/>
  <c r="AH177" i="28"/>
  <c r="AH175" i="28"/>
  <c r="AH156" i="28"/>
  <c r="AH148" i="28"/>
  <c r="BH210" i="26"/>
  <c r="BH202" i="26"/>
  <c r="BH194" i="26"/>
  <c r="BH186" i="26"/>
  <c r="BH178" i="26"/>
  <c r="BH170" i="26"/>
  <c r="BH63" i="26"/>
  <c r="BH59" i="26"/>
  <c r="BH55" i="26"/>
  <c r="BH51" i="26"/>
  <c r="BH47" i="26"/>
  <c r="BH43" i="26"/>
  <c r="BH39" i="26"/>
  <c r="BH35" i="26"/>
  <c r="BH31" i="26"/>
  <c r="BH27" i="26"/>
  <c r="BH22" i="26"/>
  <c r="BH15" i="26"/>
  <c r="BH209" i="26"/>
  <c r="BH201" i="26"/>
  <c r="BH193" i="26"/>
  <c r="BH185" i="26"/>
  <c r="BH177" i="26"/>
  <c r="BH169" i="26"/>
  <c r="BH16" i="26"/>
  <c r="AH111" i="28"/>
  <c r="H33" i="13"/>
  <c r="H28" i="13"/>
  <c r="H25" i="13"/>
  <c r="AA36" i="18"/>
  <c r="AA35" i="18"/>
  <c r="AA34" i="18"/>
  <c r="AA33" i="18"/>
  <c r="AA32" i="18"/>
  <c r="AA31" i="18"/>
  <c r="AA30" i="18"/>
  <c r="AA29" i="18"/>
  <c r="AA28" i="18"/>
  <c r="AA27" i="18"/>
  <c r="AA26" i="18"/>
  <c r="Z25" i="18"/>
  <c r="Z24" i="18"/>
  <c r="AA23" i="18"/>
  <c r="AA22" i="18"/>
  <c r="AA21" i="18"/>
  <c r="Z20" i="18"/>
  <c r="Z19" i="18"/>
  <c r="AA18" i="18"/>
  <c r="Z17" i="18"/>
  <c r="AA16" i="18"/>
  <c r="AA15" i="18"/>
  <c r="AA14" i="18"/>
  <c r="AA13" i="18"/>
  <c r="AA12" i="18"/>
  <c r="AA11" i="18"/>
  <c r="AA10" i="18"/>
  <c r="AA9" i="18"/>
  <c r="AA8" i="18"/>
  <c r="AA7" i="18"/>
  <c r="Z6" i="18"/>
  <c r="Z5" i="18"/>
  <c r="Z4" i="18"/>
  <c r="Z3" i="18"/>
  <c r="Z2" i="18"/>
  <c r="AC1" i="18"/>
  <c r="K12" i="13"/>
  <c r="W1" i="29"/>
  <c r="U2" i="29"/>
  <c r="U6" i="29"/>
  <c r="U13" i="29"/>
  <c r="U18" i="29"/>
  <c r="U23" i="29"/>
  <c r="U27" i="29"/>
  <c r="U32" i="29"/>
  <c r="U36" i="29"/>
  <c r="AD8" i="19"/>
  <c r="AG8" i="19"/>
  <c r="AG10" i="19"/>
  <c r="AG229" i="28"/>
  <c r="AH229" i="28" s="1"/>
  <c r="AG225" i="28"/>
  <c r="AG223" i="28"/>
  <c r="AG221" i="28"/>
  <c r="AG219" i="28"/>
  <c r="AG217" i="28"/>
  <c r="AG206" i="28"/>
  <c r="AH206" i="28" s="1"/>
  <c r="AG205" i="28"/>
  <c r="AH205" i="28" s="1"/>
  <c r="AG202" i="28"/>
  <c r="AH202" i="28" s="1"/>
  <c r="AG201" i="28"/>
  <c r="AG197" i="28"/>
  <c r="AG192" i="28"/>
  <c r="AH192" i="28" s="1"/>
  <c r="AG191" i="28"/>
  <c r="AG188" i="28"/>
  <c r="AH188" i="28" s="1"/>
  <c r="AG187" i="28"/>
  <c r="AG174" i="28"/>
  <c r="AG172" i="28"/>
  <c r="AG170" i="28"/>
  <c r="AG168" i="28"/>
  <c r="AG166" i="28"/>
  <c r="AG164" i="28"/>
  <c r="AG162" i="28"/>
  <c r="AG160" i="28"/>
  <c r="AG158" i="28"/>
  <c r="AH158" i="28" s="1"/>
  <c r="AG116" i="28"/>
  <c r="AG113" i="28"/>
  <c r="O95" i="28"/>
  <c r="O96" i="28" s="1"/>
  <c r="O93" i="28"/>
  <c r="AX85" i="28"/>
  <c r="CC35" i="28"/>
  <c r="CC34" i="28"/>
  <c r="CC32" i="28"/>
  <c r="CC30" i="28"/>
  <c r="CC28" i="28"/>
  <c r="CC26" i="28"/>
  <c r="CC24" i="28"/>
  <c r="CC22" i="28"/>
  <c r="AG19" i="28"/>
  <c r="O35" i="18"/>
  <c r="N38" i="18"/>
  <c r="O34" i="18"/>
  <c r="W70" i="18"/>
  <c r="AX34" i="19"/>
  <c r="C9" i="18"/>
  <c r="N17" i="18"/>
  <c r="N17" i="29"/>
  <c r="M60" i="30"/>
  <c r="O60" i="30"/>
  <c r="M61" i="30"/>
  <c r="O61" i="30"/>
  <c r="M62" i="30"/>
  <c r="O62" i="30"/>
  <c r="M63" i="30"/>
  <c r="O63" i="30"/>
  <c r="M64" i="30"/>
  <c r="O64" i="30"/>
  <c r="M65" i="30"/>
  <c r="O65" i="30"/>
  <c r="M66" i="30"/>
  <c r="O66" i="30"/>
  <c r="M67" i="30"/>
  <c r="O67" i="30"/>
  <c r="M68" i="30"/>
  <c r="O68" i="30"/>
  <c r="M69" i="30"/>
  <c r="O69" i="30"/>
  <c r="M70" i="30"/>
  <c r="O70" i="30"/>
  <c r="M71" i="30"/>
  <c r="O71" i="30"/>
  <c r="M72" i="30"/>
  <c r="O72" i="30"/>
  <c r="M73" i="30"/>
  <c r="O73" i="30"/>
  <c r="M74" i="30"/>
  <c r="O74" i="30"/>
  <c r="M75" i="30"/>
  <c r="O75" i="30"/>
  <c r="M76" i="30"/>
  <c r="O76" i="30"/>
  <c r="M77" i="30"/>
  <c r="O77" i="30"/>
  <c r="M78" i="30"/>
  <c r="O78" i="30"/>
  <c r="M79" i="30"/>
  <c r="O79" i="30"/>
  <c r="M80" i="30"/>
  <c r="O80" i="30"/>
  <c r="M81" i="30"/>
  <c r="O81" i="30"/>
  <c r="M82" i="30"/>
  <c r="O82" i="30"/>
  <c r="M83" i="30"/>
  <c r="O83" i="30"/>
  <c r="M84" i="30"/>
  <c r="O84" i="30"/>
  <c r="M85" i="30"/>
  <c r="O85" i="30"/>
  <c r="M86" i="30"/>
  <c r="O86" i="30"/>
  <c r="M87" i="30"/>
  <c r="O87" i="30"/>
  <c r="M88" i="30"/>
  <c r="O88" i="30"/>
  <c r="M89" i="30"/>
  <c r="O89" i="30"/>
  <c r="M90" i="30"/>
  <c r="O90" i="30"/>
  <c r="M91" i="30"/>
  <c r="O91" i="30"/>
  <c r="M92" i="30"/>
  <c r="O92" i="30"/>
  <c r="M93" i="30"/>
  <c r="O93" i="30"/>
  <c r="M94" i="30"/>
  <c r="O94" i="30"/>
  <c r="M95" i="30"/>
  <c r="O95" i="30"/>
  <c r="M96" i="30"/>
  <c r="O96" i="30"/>
  <c r="M97" i="30"/>
  <c r="O97" i="30"/>
  <c r="M98" i="30"/>
  <c r="O98" i="30"/>
  <c r="M99" i="30"/>
  <c r="O99" i="30"/>
  <c r="M100" i="30"/>
  <c r="O100" i="30"/>
  <c r="M101" i="30"/>
  <c r="O101" i="30"/>
  <c r="M102" i="30"/>
  <c r="O102" i="30"/>
  <c r="M103" i="30"/>
  <c r="O103" i="30"/>
  <c r="M104" i="30"/>
  <c r="O104" i="30"/>
  <c r="M105" i="30"/>
  <c r="O105" i="30"/>
  <c r="M106" i="30"/>
  <c r="O106" i="30"/>
  <c r="J1" i="30"/>
  <c r="L1" i="30"/>
  <c r="N1" i="30"/>
  <c r="P1" i="30"/>
  <c r="R1" i="30"/>
  <c r="T1" i="30"/>
  <c r="V1" i="30"/>
  <c r="I2" i="30"/>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M37" i="19"/>
  <c r="P93" i="19"/>
  <c r="P91" i="19"/>
  <c r="P89" i="19"/>
  <c r="P87" i="19"/>
  <c r="P85" i="19"/>
  <c r="P83" i="19"/>
  <c r="P81" i="19"/>
  <c r="P79" i="19"/>
  <c r="P77" i="19"/>
  <c r="P75" i="19"/>
  <c r="P73" i="19"/>
  <c r="P71" i="19"/>
  <c r="P69" i="19"/>
  <c r="P67" i="19"/>
  <c r="P65" i="19"/>
  <c r="P63" i="19"/>
  <c r="P61" i="19"/>
  <c r="P59" i="19"/>
  <c r="P57" i="19"/>
  <c r="S114" i="19"/>
  <c r="S112" i="19"/>
  <c r="S110" i="19"/>
  <c r="S108" i="19"/>
  <c r="S106" i="19"/>
  <c r="S104" i="19"/>
  <c r="S102" i="19"/>
  <c r="S100" i="19"/>
  <c r="S98" i="19"/>
  <c r="S96" i="19"/>
  <c r="S94" i="19"/>
  <c r="S92" i="19"/>
  <c r="S90" i="19"/>
  <c r="S88" i="19"/>
  <c r="S86" i="19"/>
  <c r="S84" i="19"/>
  <c r="S82" i="19"/>
  <c r="S80" i="19"/>
  <c r="S78" i="19"/>
  <c r="S76" i="19"/>
  <c r="S74" i="19"/>
  <c r="S72" i="19"/>
  <c r="S70" i="19"/>
  <c r="S68" i="19"/>
  <c r="S66" i="19"/>
  <c r="S64" i="19"/>
  <c r="S62" i="19"/>
  <c r="S60" i="19"/>
  <c r="S58" i="19"/>
  <c r="S56" i="19"/>
  <c r="S54" i="19"/>
  <c r="S52" i="19"/>
  <c r="S50" i="19"/>
  <c r="S48" i="19"/>
  <c r="S46" i="19"/>
  <c r="S44" i="19"/>
  <c r="S42" i="19"/>
  <c r="S40" i="19"/>
  <c r="S38" i="19"/>
  <c r="S36" i="19"/>
  <c r="AD60" i="19"/>
  <c r="B1" i="21"/>
  <c r="AG20" i="27"/>
  <c r="AH20" i="27" s="1"/>
  <c r="AG27" i="27"/>
  <c r="AH27" i="27" s="1"/>
  <c r="AE20" i="27"/>
  <c r="AF20" i="27" s="1"/>
  <c r="AE27" i="27"/>
  <c r="AF27" i="27" s="1"/>
  <c r="AD65" i="21"/>
  <c r="AG64" i="21"/>
  <c r="AA98" i="28" l="1"/>
  <c r="AA112" i="28"/>
  <c r="AA113" i="28"/>
  <c r="P41" i="28"/>
  <c r="AW84" i="28"/>
  <c r="AW32" i="28"/>
  <c r="AG26" i="28"/>
  <c r="AI610" i="28"/>
  <c r="BP116" i="28"/>
  <c r="BQ116" i="28" s="1"/>
  <c r="BR116" i="28" s="1"/>
  <c r="AI376" i="28"/>
  <c r="AI285" i="28"/>
  <c r="AI516" i="28"/>
  <c r="AI383" i="28"/>
  <c r="AI138" i="28"/>
  <c r="AI107" i="28"/>
  <c r="BP199" i="28"/>
  <c r="BQ199" i="28" s="1"/>
  <c r="BR199" i="28" s="1"/>
  <c r="BP115" i="28"/>
  <c r="BQ115" i="28" s="1"/>
  <c r="BR115" i="28" s="1"/>
  <c r="BP55" i="28"/>
  <c r="BQ55" i="28" s="1"/>
  <c r="BR55" i="28" s="1"/>
  <c r="BU176" i="28"/>
  <c r="BV176" i="28" s="1"/>
  <c r="BW176" i="28" s="1"/>
  <c r="BU92" i="28"/>
  <c r="BV92" i="28" s="1"/>
  <c r="BW92" i="28" s="1"/>
  <c r="BU165" i="28"/>
  <c r="BV165" i="28" s="1"/>
  <c r="BW165" i="28" s="1"/>
  <c r="AI488" i="28"/>
  <c r="AI341" i="28"/>
  <c r="AI572" i="28"/>
  <c r="AI423" i="28"/>
  <c r="AI198" i="28"/>
  <c r="BP179" i="28"/>
  <c r="BQ179" i="28" s="1"/>
  <c r="BR179" i="28" s="1"/>
  <c r="BP93" i="28"/>
  <c r="BQ93" i="28" s="1"/>
  <c r="BR93" i="28" s="1"/>
  <c r="BU240" i="28"/>
  <c r="BV240" i="28" s="1"/>
  <c r="BW240" i="28" s="1"/>
  <c r="BU156" i="28"/>
  <c r="BV156" i="28" s="1"/>
  <c r="BW156" i="28" s="1"/>
  <c r="BP126" i="28"/>
  <c r="BQ126" i="28" s="1"/>
  <c r="BR126" i="28" s="1"/>
  <c r="AI163" i="28"/>
  <c r="AI552" i="28"/>
  <c r="AI404" i="28"/>
  <c r="AI271" i="28"/>
  <c r="AI470" i="28"/>
  <c r="BP243" i="28"/>
  <c r="BQ243" i="28" s="1"/>
  <c r="BR243" i="28" s="1"/>
  <c r="BP157" i="28"/>
  <c r="BQ157" i="28" s="1"/>
  <c r="BR157" i="28" s="1"/>
  <c r="BP76" i="28"/>
  <c r="BQ76" i="28" s="1"/>
  <c r="BR76" i="28" s="1"/>
  <c r="BU220" i="28"/>
  <c r="BV220" i="28" s="1"/>
  <c r="BW220" i="28" s="1"/>
  <c r="BU134" i="28"/>
  <c r="BV134" i="28" s="1"/>
  <c r="BW134" i="28" s="1"/>
  <c r="BP221" i="28"/>
  <c r="BQ221" i="28" s="1"/>
  <c r="BR221" i="28" s="1"/>
  <c r="BP66" i="28"/>
  <c r="BQ66" i="28" s="1"/>
  <c r="BR66" i="28" s="1"/>
  <c r="BU112" i="28"/>
  <c r="BV112" i="28" s="1"/>
  <c r="BW112" i="28" s="1"/>
  <c r="BP138" i="28"/>
  <c r="BQ138" i="28" s="1"/>
  <c r="BR138" i="28" s="1"/>
  <c r="AI258" i="28"/>
  <c r="AI235" i="28"/>
  <c r="AI453" i="28"/>
  <c r="AI326" i="28"/>
  <c r="AI511" i="28"/>
  <c r="BP135" i="28"/>
  <c r="BQ135" i="28" s="1"/>
  <c r="BR135" i="28" s="1"/>
  <c r="BU198" i="28"/>
  <c r="BV198" i="28" s="1"/>
  <c r="BW198" i="28" s="1"/>
  <c r="AI395" i="28"/>
  <c r="BU100" i="28"/>
  <c r="BV100" i="28" s="1"/>
  <c r="BW100" i="28" s="1"/>
  <c r="BU142" i="28"/>
  <c r="BV142" i="28" s="1"/>
  <c r="BW142" i="28" s="1"/>
  <c r="BU164" i="28"/>
  <c r="BV164" i="28" s="1"/>
  <c r="BW164" i="28" s="1"/>
  <c r="BU206" i="28"/>
  <c r="BV206" i="28" s="1"/>
  <c r="BW206" i="28" s="1"/>
  <c r="BU248" i="28"/>
  <c r="BV248" i="28" s="1"/>
  <c r="BW248" i="28" s="1"/>
  <c r="BP70" i="28"/>
  <c r="BQ70" i="28" s="1"/>
  <c r="BR70" i="28" s="1"/>
  <c r="BP101" i="28"/>
  <c r="BQ101" i="28" s="1"/>
  <c r="BR101" i="28" s="1"/>
  <c r="BP143" i="28"/>
  <c r="BQ143" i="28" s="1"/>
  <c r="BR143" i="28" s="1"/>
  <c r="BP187" i="28"/>
  <c r="BQ187" i="28" s="1"/>
  <c r="BR187" i="28" s="1"/>
  <c r="BP229" i="28"/>
  <c r="BQ229" i="28" s="1"/>
  <c r="BR229" i="28" s="1"/>
  <c r="AW37" i="28"/>
  <c r="AI111" i="28"/>
  <c r="AI146" i="28"/>
  <c r="AI193" i="28"/>
  <c r="AI226" i="28"/>
  <c r="AI503" i="28"/>
  <c r="AI422" i="28"/>
  <c r="AI319" i="28"/>
  <c r="AI564" i="28"/>
  <c r="AI452" i="28"/>
  <c r="AI340" i="28"/>
  <c r="AI545" i="28"/>
  <c r="BP248" i="28"/>
  <c r="BQ248" i="28" s="1"/>
  <c r="BR248" i="28" s="1"/>
  <c r="BU225" i="28"/>
  <c r="BV225" i="28" s="1"/>
  <c r="BW225" i="28" s="1"/>
  <c r="BU219" i="28"/>
  <c r="BV219" i="28" s="1"/>
  <c r="BW219" i="28" s="1"/>
  <c r="AI331" i="28"/>
  <c r="AG12" i="28"/>
  <c r="BU88" i="28"/>
  <c r="BV88" i="28" s="1"/>
  <c r="BW88" i="28" s="1"/>
  <c r="BU110" i="28"/>
  <c r="BV110" i="28" s="1"/>
  <c r="BW110" i="28" s="1"/>
  <c r="BU132" i="28"/>
  <c r="BV132" i="28" s="1"/>
  <c r="BW132" i="28" s="1"/>
  <c r="BU152" i="28"/>
  <c r="BV152" i="28" s="1"/>
  <c r="BW152" i="28" s="1"/>
  <c r="BU174" i="28"/>
  <c r="BV174" i="28" s="1"/>
  <c r="BW174" i="28" s="1"/>
  <c r="BU196" i="28"/>
  <c r="BV196" i="28" s="1"/>
  <c r="BW196" i="28" s="1"/>
  <c r="BU216" i="28"/>
  <c r="BV216" i="28" s="1"/>
  <c r="BW216" i="28" s="1"/>
  <c r="BU238" i="28"/>
  <c r="BV238" i="28" s="1"/>
  <c r="BW238" i="28" s="1"/>
  <c r="BP54" i="28"/>
  <c r="BQ54" i="28" s="1"/>
  <c r="BR54" i="28" s="1"/>
  <c r="BP64" i="28"/>
  <c r="BQ64" i="28" s="1"/>
  <c r="BR64" i="28" s="1"/>
  <c r="BP75" i="28"/>
  <c r="BQ75" i="28" s="1"/>
  <c r="BR75" i="28" s="1"/>
  <c r="BP91" i="28"/>
  <c r="BQ91" i="28" s="1"/>
  <c r="BR91" i="28" s="1"/>
  <c r="BP111" i="28"/>
  <c r="BQ111" i="28" s="1"/>
  <c r="BR111" i="28" s="1"/>
  <c r="BP133" i="28"/>
  <c r="BQ133" i="28" s="1"/>
  <c r="BR133" i="28" s="1"/>
  <c r="BP155" i="28"/>
  <c r="BQ155" i="28" s="1"/>
  <c r="BR155" i="28" s="1"/>
  <c r="BP175" i="28"/>
  <c r="BQ175" i="28" s="1"/>
  <c r="BR175" i="28" s="1"/>
  <c r="BP197" i="28"/>
  <c r="BQ197" i="28" s="1"/>
  <c r="BR197" i="28" s="1"/>
  <c r="BP219" i="28"/>
  <c r="BQ219" i="28" s="1"/>
  <c r="BR219" i="28" s="1"/>
  <c r="BP239" i="28"/>
  <c r="BQ239" i="28" s="1"/>
  <c r="BR239" i="28" s="1"/>
  <c r="P18" i="28"/>
  <c r="AG35" i="28"/>
  <c r="AW40" i="28"/>
  <c r="AI135" i="28"/>
  <c r="AI155" i="28"/>
  <c r="AI214" i="28"/>
  <c r="AW18" i="28"/>
  <c r="AI527" i="28"/>
  <c r="AI486" i="28"/>
  <c r="AI439" i="28"/>
  <c r="AI399" i="28"/>
  <c r="AI350" i="28"/>
  <c r="AI288" i="28"/>
  <c r="AI240" i="28"/>
  <c r="AI533" i="28"/>
  <c r="AI476" i="28"/>
  <c r="AI421" i="28"/>
  <c r="AI364" i="28"/>
  <c r="AI309" i="28"/>
  <c r="AI254" i="28"/>
  <c r="AI576" i="28"/>
  <c r="AI513" i="28"/>
  <c r="AI424" i="28"/>
  <c r="AI305" i="28"/>
  <c r="BU157" i="28"/>
  <c r="BV157" i="28" s="1"/>
  <c r="BW157" i="28" s="1"/>
  <c r="AI183" i="28"/>
  <c r="BP220" i="28"/>
  <c r="BQ220" i="28" s="1"/>
  <c r="BR220" i="28" s="1"/>
  <c r="BU71" i="28"/>
  <c r="BV71" i="28" s="1"/>
  <c r="BW71" i="28" s="1"/>
  <c r="BP246" i="28"/>
  <c r="BQ246" i="28" s="1"/>
  <c r="BR246" i="28" s="1"/>
  <c r="AI522" i="28"/>
  <c r="AE15" i="28"/>
  <c r="BU120" i="28"/>
  <c r="BV120" i="28" s="1"/>
  <c r="BW120" i="28" s="1"/>
  <c r="BU184" i="28"/>
  <c r="BV184" i="28" s="1"/>
  <c r="BW184" i="28" s="1"/>
  <c r="BU228" i="28"/>
  <c r="BV228" i="28" s="1"/>
  <c r="BW228" i="28" s="1"/>
  <c r="BP59" i="28"/>
  <c r="BQ59" i="28" s="1"/>
  <c r="BR59" i="28" s="1"/>
  <c r="BP80" i="28"/>
  <c r="BQ80" i="28" s="1"/>
  <c r="BR80" i="28" s="1"/>
  <c r="BP123" i="28"/>
  <c r="BQ123" i="28" s="1"/>
  <c r="BR123" i="28" s="1"/>
  <c r="BP165" i="28"/>
  <c r="BQ165" i="28" s="1"/>
  <c r="BR165" i="28" s="1"/>
  <c r="BP207" i="28"/>
  <c r="BQ207" i="28" s="1"/>
  <c r="BR207" i="28" s="1"/>
  <c r="U15" i="28"/>
  <c r="AW28" i="28"/>
  <c r="AI96" i="28"/>
  <c r="AI123" i="28"/>
  <c r="AI209" i="28"/>
  <c r="AI463" i="28"/>
  <c r="AI374" i="28"/>
  <c r="AI264" i="28"/>
  <c r="AI508" i="28"/>
  <c r="AI389" i="28"/>
  <c r="AI278" i="28"/>
  <c r="AI204" i="28"/>
  <c r="AI472" i="28"/>
  <c r="AI360" i="28"/>
  <c r="AI242" i="28"/>
  <c r="BP234" i="28"/>
  <c r="BQ234" i="28" s="1"/>
  <c r="BR234" i="28" s="1"/>
  <c r="BU247" i="28"/>
  <c r="BV247" i="28" s="1"/>
  <c r="BW247" i="28" s="1"/>
  <c r="BU102" i="28"/>
  <c r="BV102" i="28" s="1"/>
  <c r="BW102" i="28" s="1"/>
  <c r="BU124" i="28"/>
  <c r="BV124" i="28" s="1"/>
  <c r="BW124" i="28" s="1"/>
  <c r="BU144" i="28"/>
  <c r="BV144" i="28" s="1"/>
  <c r="BW144" i="28" s="1"/>
  <c r="BU166" i="28"/>
  <c r="BV166" i="28" s="1"/>
  <c r="BW166" i="28" s="1"/>
  <c r="BU188" i="28"/>
  <c r="BV188" i="28" s="1"/>
  <c r="BW188" i="28" s="1"/>
  <c r="BU208" i="28"/>
  <c r="BV208" i="28" s="1"/>
  <c r="BW208" i="28" s="1"/>
  <c r="BU230" i="28"/>
  <c r="BV230" i="28" s="1"/>
  <c r="BW230" i="28" s="1"/>
  <c r="BP50" i="28"/>
  <c r="BQ50" i="28" s="1"/>
  <c r="BR50" i="28" s="1"/>
  <c r="BP60" i="28"/>
  <c r="BQ60" i="28" s="1"/>
  <c r="BR60" i="28" s="1"/>
  <c r="BP71" i="28"/>
  <c r="BQ71" i="28" s="1"/>
  <c r="BR71" i="28" s="1"/>
  <c r="BP83" i="28"/>
  <c r="BQ83" i="28" s="1"/>
  <c r="BR83" i="28" s="1"/>
  <c r="BP103" i="28"/>
  <c r="BQ103" i="28" s="1"/>
  <c r="BR103" i="28" s="1"/>
  <c r="BP125" i="28"/>
  <c r="BQ125" i="28" s="1"/>
  <c r="BR125" i="28" s="1"/>
  <c r="BP147" i="28"/>
  <c r="BQ147" i="28" s="1"/>
  <c r="BR147" i="28" s="1"/>
  <c r="BP167" i="28"/>
  <c r="BQ167" i="28" s="1"/>
  <c r="BR167" i="28" s="1"/>
  <c r="BP189" i="28"/>
  <c r="BQ189" i="28" s="1"/>
  <c r="BR189" i="28" s="1"/>
  <c r="BP211" i="28"/>
  <c r="BQ211" i="28" s="1"/>
  <c r="BR211" i="28" s="1"/>
  <c r="BP231" i="28"/>
  <c r="BQ231" i="28" s="1"/>
  <c r="BR231" i="28" s="1"/>
  <c r="Y15" i="28"/>
  <c r="AW24" i="28"/>
  <c r="AW38" i="28"/>
  <c r="AI127" i="28"/>
  <c r="AI147" i="28"/>
  <c r="AI194" i="28"/>
  <c r="AI210" i="28"/>
  <c r="AI487" i="28"/>
  <c r="AI447" i="28"/>
  <c r="AI406" i="28"/>
  <c r="AI351" i="28"/>
  <c r="AI303" i="28"/>
  <c r="AI241" i="28"/>
  <c r="AI540" i="28"/>
  <c r="AI485" i="28"/>
  <c r="AI428" i="28"/>
  <c r="AI372" i="28"/>
  <c r="AI316" i="28"/>
  <c r="AI262" i="28"/>
  <c r="AI577" i="28"/>
  <c r="AI528" i="28"/>
  <c r="AI433" i="28"/>
  <c r="AI306" i="28"/>
  <c r="BU60" i="28"/>
  <c r="BV60" i="28" s="1"/>
  <c r="BW60" i="28" s="1"/>
  <c r="BU109" i="28"/>
  <c r="BV109" i="28" s="1"/>
  <c r="BW109" i="28" s="1"/>
  <c r="BU117" i="28"/>
  <c r="BV117" i="28" s="1"/>
  <c r="BW117" i="28" s="1"/>
  <c r="BU105" i="28"/>
  <c r="BV105" i="28" s="1"/>
  <c r="BW105" i="28" s="1"/>
  <c r="BU143" i="28"/>
  <c r="BV143" i="28" s="1"/>
  <c r="BW143" i="28" s="1"/>
  <c r="AI261" i="28"/>
  <c r="AI228" i="28"/>
  <c r="AI363" i="28"/>
  <c r="AI427" i="28"/>
  <c r="AI491" i="28"/>
  <c r="AI579" i="28"/>
  <c r="BU131" i="28"/>
  <c r="BV131" i="28" s="1"/>
  <c r="BW131" i="28" s="1"/>
  <c r="BP86" i="28"/>
  <c r="BQ86" i="28" s="1"/>
  <c r="BR86" i="28" s="1"/>
  <c r="BP150" i="28"/>
  <c r="BQ150" i="28" s="1"/>
  <c r="BR150" i="28" s="1"/>
  <c r="BP214" i="28"/>
  <c r="BQ214" i="28" s="1"/>
  <c r="BR214" i="28" s="1"/>
  <c r="BU111" i="28"/>
  <c r="BV111" i="28" s="1"/>
  <c r="BW111" i="28" s="1"/>
  <c r="BU175" i="28"/>
  <c r="BV175" i="28" s="1"/>
  <c r="BW175" i="28" s="1"/>
  <c r="BU239" i="28"/>
  <c r="BV239" i="28" s="1"/>
  <c r="BW239" i="28" s="1"/>
  <c r="BP130" i="28"/>
  <c r="BQ130" i="28" s="1"/>
  <c r="BR130" i="28" s="1"/>
  <c r="BU61" i="28"/>
  <c r="BV61" i="28" s="1"/>
  <c r="BW61" i="28" s="1"/>
  <c r="BU77" i="28"/>
  <c r="BV77" i="28" s="1"/>
  <c r="BW77" i="28" s="1"/>
  <c r="BU129" i="28"/>
  <c r="BV129" i="28" s="1"/>
  <c r="BW129" i="28" s="1"/>
  <c r="BU193" i="28"/>
  <c r="BV193" i="28" s="1"/>
  <c r="BW193" i="28" s="1"/>
  <c r="BP84" i="28"/>
  <c r="BQ84" i="28" s="1"/>
  <c r="BR84" i="28" s="1"/>
  <c r="BP148" i="28"/>
  <c r="BQ148" i="28" s="1"/>
  <c r="BR148" i="28" s="1"/>
  <c r="BP212" i="28"/>
  <c r="BQ212" i="28" s="1"/>
  <c r="BR212" i="28" s="1"/>
  <c r="BU85" i="28"/>
  <c r="BV85" i="28" s="1"/>
  <c r="BW85" i="28" s="1"/>
  <c r="BP154" i="28"/>
  <c r="BQ154" i="28" s="1"/>
  <c r="BR154" i="28" s="1"/>
  <c r="BU62" i="28"/>
  <c r="BV62" i="28" s="1"/>
  <c r="BW62" i="28" s="1"/>
  <c r="BP112" i="28"/>
  <c r="BQ112" i="28" s="1"/>
  <c r="BR112" i="28" s="1"/>
  <c r="AI161" i="28"/>
  <c r="BU56" i="28"/>
  <c r="BV56" i="28" s="1"/>
  <c r="BW56" i="28" s="1"/>
  <c r="BU237" i="28"/>
  <c r="BV237" i="28" s="1"/>
  <c r="BW237" i="28" s="1"/>
  <c r="BP232" i="28"/>
  <c r="BQ232" i="28" s="1"/>
  <c r="BR232" i="28" s="1"/>
  <c r="BP208" i="28"/>
  <c r="BQ208" i="28" s="1"/>
  <c r="BR208" i="28" s="1"/>
  <c r="AI215" i="28"/>
  <c r="BU76" i="28"/>
  <c r="BV76" i="28" s="1"/>
  <c r="BW76" i="28" s="1"/>
  <c r="AI201" i="28"/>
  <c r="AI255" i="28"/>
  <c r="AI289" i="28"/>
  <c r="AI321" i="28"/>
  <c r="AI353" i="28"/>
  <c r="AI385" i="28"/>
  <c r="AI417" i="28"/>
  <c r="AI449" i="28"/>
  <c r="AI481" i="28"/>
  <c r="AI505" i="28"/>
  <c r="AI521" i="28"/>
  <c r="AI537" i="28"/>
  <c r="AI553" i="28"/>
  <c r="AI569" i="28"/>
  <c r="AI173" i="28"/>
  <c r="AI205" i="28"/>
  <c r="AI243" i="28"/>
  <c r="AI259" i="28"/>
  <c r="AI270" i="28"/>
  <c r="AI286" i="28"/>
  <c r="AI302" i="28"/>
  <c r="AI317" i="28"/>
  <c r="AI333" i="28"/>
  <c r="AI349" i="28"/>
  <c r="AI365" i="28"/>
  <c r="AI381" i="28"/>
  <c r="AI397" i="28"/>
  <c r="AI413" i="28"/>
  <c r="AI429" i="28"/>
  <c r="AI445" i="28"/>
  <c r="AI461" i="28"/>
  <c r="AI477" i="28"/>
  <c r="AI493" i="28"/>
  <c r="AI509" i="28"/>
  <c r="AI525" i="28"/>
  <c r="AI541" i="28"/>
  <c r="AI557" i="28"/>
  <c r="AI573" i="28"/>
  <c r="AI233" i="28"/>
  <c r="AI249" i="28"/>
  <c r="AI265" i="28"/>
  <c r="AI280" i="28"/>
  <c r="AI296" i="28"/>
  <c r="AI315" i="28"/>
  <c r="AI327" i="28"/>
  <c r="AI343" i="28"/>
  <c r="AI359" i="28"/>
  <c r="AI375" i="28"/>
  <c r="AI362" i="28"/>
  <c r="AI458" i="28"/>
  <c r="AI523" i="28"/>
  <c r="BU91" i="28"/>
  <c r="BV91" i="28" s="1"/>
  <c r="BW91" i="28" s="1"/>
  <c r="BP94" i="28"/>
  <c r="BQ94" i="28" s="1"/>
  <c r="BR94" i="28" s="1"/>
  <c r="BP182" i="28"/>
  <c r="BQ182" i="28" s="1"/>
  <c r="BR182" i="28" s="1"/>
  <c r="BU87" i="28"/>
  <c r="BV87" i="28" s="1"/>
  <c r="BW87" i="28" s="1"/>
  <c r="BU183" i="28"/>
  <c r="BV183" i="28" s="1"/>
  <c r="BW183" i="28" s="1"/>
  <c r="BP98" i="28"/>
  <c r="BQ98" i="28" s="1"/>
  <c r="BR98" i="28" s="1"/>
  <c r="BU55" i="28"/>
  <c r="BV55" i="28" s="1"/>
  <c r="BW55" i="28" s="1"/>
  <c r="BU79" i="28"/>
  <c r="BV79" i="28" s="1"/>
  <c r="BW79" i="28" s="1"/>
  <c r="BU161" i="28"/>
  <c r="BV161" i="28" s="1"/>
  <c r="BW161" i="28" s="1"/>
  <c r="BU233" i="28"/>
  <c r="BV233" i="28" s="1"/>
  <c r="BW233" i="28" s="1"/>
  <c r="BP156" i="28"/>
  <c r="BQ156" i="28" s="1"/>
  <c r="BR156" i="28" s="1"/>
  <c r="BP244" i="28"/>
  <c r="BQ244" i="28" s="1"/>
  <c r="BR244" i="28" s="1"/>
  <c r="BU245" i="28"/>
  <c r="BV245" i="28" s="1"/>
  <c r="BW245" i="28" s="1"/>
  <c r="BU70" i="28"/>
  <c r="BV70" i="28" s="1"/>
  <c r="BW70" i="28" s="1"/>
  <c r="BP194" i="28"/>
  <c r="BQ194" i="28" s="1"/>
  <c r="BR194" i="28" s="1"/>
  <c r="AI195" i="28"/>
  <c r="BP88" i="28"/>
  <c r="BQ88" i="28" s="1"/>
  <c r="BR88" i="28" s="1"/>
  <c r="BU52" i="28"/>
  <c r="BV52" i="28" s="1"/>
  <c r="BW52" i="28" s="1"/>
  <c r="AI184" i="28"/>
  <c r="BU189" i="28"/>
  <c r="BV189" i="28" s="1"/>
  <c r="BW189" i="28" s="1"/>
  <c r="AI239" i="28"/>
  <c r="AI274" i="28"/>
  <c r="AI328" i="28"/>
  <c r="AI369" i="28"/>
  <c r="AI408" i="28"/>
  <c r="AI456" i="28"/>
  <c r="AI497" i="28"/>
  <c r="AI520" i="28"/>
  <c r="AI544" i="28"/>
  <c r="AI561" i="28"/>
  <c r="AI157" i="28"/>
  <c r="AI230" i="28"/>
  <c r="AI251" i="28"/>
  <c r="AI269" i="28"/>
  <c r="AI293" i="28"/>
  <c r="AI310" i="28"/>
  <c r="AI332" i="28"/>
  <c r="AI356" i="28"/>
  <c r="AI373" i="28"/>
  <c r="AI396" i="28"/>
  <c r="AI420" i="28"/>
  <c r="AI437" i="28"/>
  <c r="AI460" i="28"/>
  <c r="AI484" i="28"/>
  <c r="AI501" i="28"/>
  <c r="AI524" i="28"/>
  <c r="AI548" i="28"/>
  <c r="AI565" i="28"/>
  <c r="AI232" i="28"/>
  <c r="AI256" i="28"/>
  <c r="AI272" i="28"/>
  <c r="AI295" i="28"/>
  <c r="AI318" i="28"/>
  <c r="AI335" i="28"/>
  <c r="AI358" i="28"/>
  <c r="AI382" i="28"/>
  <c r="AI398" i="28"/>
  <c r="AI414" i="28"/>
  <c r="AI430" i="28"/>
  <c r="AI446" i="28"/>
  <c r="AI462" i="28"/>
  <c r="AI478" i="28"/>
  <c r="AI494" i="28"/>
  <c r="AI510" i="28"/>
  <c r="AI526" i="28"/>
  <c r="AI225" i="28"/>
  <c r="AI220" i="28"/>
  <c r="AI216" i="28"/>
  <c r="AI212" i="28"/>
  <c r="AI208" i="28"/>
  <c r="AI203" i="28"/>
  <c r="AI199" i="28"/>
  <c r="AI190" i="28"/>
  <c r="AI186" i="28"/>
  <c r="AI156" i="28"/>
  <c r="AI150" i="28"/>
  <c r="AI142" i="28"/>
  <c r="AI134" i="28"/>
  <c r="AI126" i="28"/>
  <c r="AI118" i="28"/>
  <c r="AI94" i="28"/>
  <c r="AQ94" i="28" s="1"/>
  <c r="BP249" i="28"/>
  <c r="BQ249" i="28" s="1"/>
  <c r="BR249" i="28" s="1"/>
  <c r="BP241" i="28"/>
  <c r="BQ241" i="28" s="1"/>
  <c r="BR241" i="28" s="1"/>
  <c r="BP233" i="28"/>
  <c r="BQ233" i="28" s="1"/>
  <c r="BR233" i="28" s="1"/>
  <c r="BP225" i="28"/>
  <c r="BQ225" i="28" s="1"/>
  <c r="BR225" i="28" s="1"/>
  <c r="BP217" i="28"/>
  <c r="BQ217" i="28" s="1"/>
  <c r="BR217" i="28" s="1"/>
  <c r="BP209" i="28"/>
  <c r="BQ209" i="28" s="1"/>
  <c r="BR209" i="28" s="1"/>
  <c r="BP201" i="28"/>
  <c r="BQ201" i="28" s="1"/>
  <c r="BR201" i="28" s="1"/>
  <c r="BP193" i="28"/>
  <c r="BQ193" i="28" s="1"/>
  <c r="BR193" i="28" s="1"/>
  <c r="BP185" i="28"/>
  <c r="BQ185" i="28" s="1"/>
  <c r="BR185" i="28" s="1"/>
  <c r="BP177" i="28"/>
  <c r="BQ177" i="28" s="1"/>
  <c r="BR177" i="28" s="1"/>
  <c r="BP169" i="28"/>
  <c r="BQ169" i="28" s="1"/>
  <c r="BR169" i="28" s="1"/>
  <c r="BP161" i="28"/>
  <c r="BQ161" i="28" s="1"/>
  <c r="BR161" i="28" s="1"/>
  <c r="BP153" i="28"/>
  <c r="BQ153" i="28" s="1"/>
  <c r="BR153" i="28" s="1"/>
  <c r="BP145" i="28"/>
  <c r="BQ145" i="28" s="1"/>
  <c r="BR145" i="28" s="1"/>
  <c r="BP137" i="28"/>
  <c r="BQ137" i="28" s="1"/>
  <c r="BR137" i="28" s="1"/>
  <c r="BP129" i="28"/>
  <c r="BQ129" i="28" s="1"/>
  <c r="BR129" i="28" s="1"/>
  <c r="BP121" i="28"/>
  <c r="BQ121" i="28" s="1"/>
  <c r="BR121" i="28" s="1"/>
  <c r="BP113" i="28"/>
  <c r="BQ113" i="28" s="1"/>
  <c r="BR113" i="28" s="1"/>
  <c r="BP105" i="28"/>
  <c r="BQ105" i="28" s="1"/>
  <c r="BR105" i="28" s="1"/>
  <c r="BP97" i="28"/>
  <c r="BQ97" i="28" s="1"/>
  <c r="BR97" i="28" s="1"/>
  <c r="BP89" i="28"/>
  <c r="BQ89" i="28" s="1"/>
  <c r="BR89" i="28" s="1"/>
  <c r="BP81" i="28"/>
  <c r="BQ81" i="28" s="1"/>
  <c r="BR81" i="28" s="1"/>
  <c r="BP77" i="28"/>
  <c r="BQ77" i="28" s="1"/>
  <c r="BR77" i="28" s="1"/>
  <c r="BP73" i="28"/>
  <c r="BQ73" i="28" s="1"/>
  <c r="BR73" i="28" s="1"/>
  <c r="BP69" i="28"/>
  <c r="BQ69" i="28" s="1"/>
  <c r="BR69" i="28" s="1"/>
  <c r="BP65" i="28"/>
  <c r="BQ65" i="28" s="1"/>
  <c r="BR65" i="28" s="1"/>
  <c r="BP61" i="28"/>
  <c r="BQ61" i="28" s="1"/>
  <c r="BR61" i="28" s="1"/>
  <c r="BP57" i="28"/>
  <c r="BQ57" i="28" s="1"/>
  <c r="BR57" i="28" s="1"/>
  <c r="BP53" i="28"/>
  <c r="BQ53" i="28" s="1"/>
  <c r="BR53" i="28" s="1"/>
  <c r="BU242" i="28"/>
  <c r="BV242" i="28" s="1"/>
  <c r="BW242" i="28" s="1"/>
  <c r="BU234" i="28"/>
  <c r="BV234" i="28" s="1"/>
  <c r="BW234" i="28" s="1"/>
  <c r="BU226" i="28"/>
  <c r="BV226" i="28" s="1"/>
  <c r="BW226" i="28" s="1"/>
  <c r="BU218" i="28"/>
  <c r="BV218" i="28" s="1"/>
  <c r="BW218" i="28" s="1"/>
  <c r="BU210" i="28"/>
  <c r="BV210" i="28" s="1"/>
  <c r="BW210" i="28" s="1"/>
  <c r="BU202" i="28"/>
  <c r="BV202" i="28" s="1"/>
  <c r="BW202" i="28" s="1"/>
  <c r="BU194" i="28"/>
  <c r="BV194" i="28" s="1"/>
  <c r="BW194" i="28" s="1"/>
  <c r="BU186" i="28"/>
  <c r="BV186" i="28" s="1"/>
  <c r="BW186" i="28" s="1"/>
  <c r="BU178" i="28"/>
  <c r="BV178" i="28" s="1"/>
  <c r="BW178" i="28" s="1"/>
  <c r="BU170" i="28"/>
  <c r="BV170" i="28" s="1"/>
  <c r="BW170" i="28" s="1"/>
  <c r="BU162" i="28"/>
  <c r="BV162" i="28" s="1"/>
  <c r="BW162" i="28" s="1"/>
  <c r="BU154" i="28"/>
  <c r="BV154" i="28" s="1"/>
  <c r="BW154" i="28" s="1"/>
  <c r="BU146" i="28"/>
  <c r="BV146" i="28" s="1"/>
  <c r="BW146" i="28" s="1"/>
  <c r="BU138" i="28"/>
  <c r="BV138" i="28" s="1"/>
  <c r="BW138" i="28" s="1"/>
  <c r="BU130" i="28"/>
  <c r="BV130" i="28" s="1"/>
  <c r="BW130" i="28" s="1"/>
  <c r="BU122" i="28"/>
  <c r="BV122" i="28" s="1"/>
  <c r="BW122" i="28" s="1"/>
  <c r="BU114" i="28"/>
  <c r="BV114" i="28" s="1"/>
  <c r="BW114" i="28" s="1"/>
  <c r="BU106" i="28"/>
  <c r="BV106" i="28" s="1"/>
  <c r="BW106" i="28" s="1"/>
  <c r="BU98" i="28"/>
  <c r="BV98" i="28" s="1"/>
  <c r="BW98" i="28" s="1"/>
  <c r="BU90" i="28"/>
  <c r="BV90" i="28" s="1"/>
  <c r="BW90" i="28" s="1"/>
  <c r="AI178" i="28"/>
  <c r="AI394" i="28"/>
  <c r="AI459" i="28"/>
  <c r="AI578" i="28"/>
  <c r="BU155" i="28"/>
  <c r="BV155" i="28" s="1"/>
  <c r="BW155" i="28" s="1"/>
  <c r="BP118" i="28"/>
  <c r="BQ118" i="28" s="1"/>
  <c r="BR118" i="28" s="1"/>
  <c r="BP190" i="28"/>
  <c r="BQ190" i="28" s="1"/>
  <c r="BR190" i="28" s="1"/>
  <c r="BU119" i="28"/>
  <c r="BV119" i="28" s="1"/>
  <c r="BW119" i="28" s="1"/>
  <c r="BU207" i="28"/>
  <c r="BV207" i="28" s="1"/>
  <c r="BW207" i="28" s="1"/>
  <c r="BP106" i="28"/>
  <c r="BQ106" i="28" s="1"/>
  <c r="BR106" i="28" s="1"/>
  <c r="BU63" i="28"/>
  <c r="BV63" i="28" s="1"/>
  <c r="BW63" i="28" s="1"/>
  <c r="BU97" i="28"/>
  <c r="BV97" i="28" s="1"/>
  <c r="BW97" i="28" s="1"/>
  <c r="BU169" i="28"/>
  <c r="BV169" i="28" s="1"/>
  <c r="BW169" i="28" s="1"/>
  <c r="BP92" i="28"/>
  <c r="BQ92" i="28" s="1"/>
  <c r="BR92" i="28" s="1"/>
  <c r="BP180" i="28"/>
  <c r="BQ180" i="28" s="1"/>
  <c r="BR180" i="28" s="1"/>
  <c r="BU58" i="28"/>
  <c r="BV58" i="28" s="1"/>
  <c r="BW58" i="28" s="1"/>
  <c r="BP170" i="28"/>
  <c r="BQ170" i="28" s="1"/>
  <c r="BR170" i="28" s="1"/>
  <c r="BU133" i="28"/>
  <c r="BV133" i="28" s="1"/>
  <c r="BW133" i="28" s="1"/>
  <c r="BP210" i="28"/>
  <c r="BQ210" i="28" s="1"/>
  <c r="BR210" i="28" s="1"/>
  <c r="BU64" i="28"/>
  <c r="BV64" i="28" s="1"/>
  <c r="BW64" i="28" s="1"/>
  <c r="BP168" i="28"/>
  <c r="BQ168" i="28" s="1"/>
  <c r="BR168" i="28" s="1"/>
  <c r="BU93" i="28"/>
  <c r="BV93" i="28" s="1"/>
  <c r="BW93" i="28" s="1"/>
  <c r="AI219" i="28"/>
  <c r="P32" i="28"/>
  <c r="AG31" i="28"/>
  <c r="AG13" i="28"/>
  <c r="AD15" i="28"/>
  <c r="AN1" i="28"/>
  <c r="AM1" i="28"/>
  <c r="R15" i="28"/>
  <c r="P28" i="28"/>
  <c r="AW29" i="28"/>
  <c r="AG37" i="28"/>
  <c r="P23" i="28"/>
  <c r="AA15" i="28"/>
  <c r="P40" i="28"/>
  <c r="P38" i="28"/>
  <c r="AW20" i="28"/>
  <c r="AG15" i="28"/>
  <c r="AK1" i="28"/>
  <c r="AW2" i="28"/>
  <c r="AW16" i="28"/>
  <c r="AW1" i="28"/>
  <c r="BU84" i="28"/>
  <c r="BV84" i="28" s="1"/>
  <c r="BW84" i="28" s="1"/>
  <c r="BU94" i="28"/>
  <c r="BV94" i="28" s="1"/>
  <c r="BW94" i="28" s="1"/>
  <c r="BU104" i="28"/>
  <c r="BV104" i="28" s="1"/>
  <c r="BW104" i="28" s="1"/>
  <c r="BU116" i="28"/>
  <c r="BV116" i="28" s="1"/>
  <c r="BW116" i="28" s="1"/>
  <c r="BU126" i="28"/>
  <c r="BV126" i="28" s="1"/>
  <c r="BW126" i="28" s="1"/>
  <c r="BU136" i="28"/>
  <c r="BV136" i="28" s="1"/>
  <c r="BW136" i="28" s="1"/>
  <c r="BU148" i="28"/>
  <c r="BV148" i="28" s="1"/>
  <c r="BW148" i="28" s="1"/>
  <c r="BU158" i="28"/>
  <c r="BV158" i="28" s="1"/>
  <c r="BW158" i="28" s="1"/>
  <c r="BU168" i="28"/>
  <c r="BV168" i="28" s="1"/>
  <c r="BW168" i="28" s="1"/>
  <c r="BU180" i="28"/>
  <c r="BV180" i="28" s="1"/>
  <c r="BW180" i="28" s="1"/>
  <c r="BU190" i="28"/>
  <c r="BV190" i="28" s="1"/>
  <c r="BW190" i="28" s="1"/>
  <c r="BU200" i="28"/>
  <c r="BV200" i="28" s="1"/>
  <c r="BW200" i="28" s="1"/>
  <c r="BU212" i="28"/>
  <c r="BV212" i="28" s="1"/>
  <c r="BW212" i="28" s="1"/>
  <c r="BU222" i="28"/>
  <c r="BV222" i="28" s="1"/>
  <c r="BW222" i="28" s="1"/>
  <c r="BU232" i="28"/>
  <c r="BV232" i="28" s="1"/>
  <c r="BW232" i="28" s="1"/>
  <c r="BU244" i="28"/>
  <c r="BV244" i="28" s="1"/>
  <c r="BW244" i="28" s="1"/>
  <c r="BP51" i="28"/>
  <c r="BQ51" i="28" s="1"/>
  <c r="BR51" i="28" s="1"/>
  <c r="BP56" i="28"/>
  <c r="BQ56" i="28" s="1"/>
  <c r="BR56" i="28" s="1"/>
  <c r="BP62" i="28"/>
  <c r="BQ62" i="28" s="1"/>
  <c r="BR62" i="28" s="1"/>
  <c r="BP67" i="28"/>
  <c r="BQ67" i="28" s="1"/>
  <c r="BR67" i="28" s="1"/>
  <c r="BP72" i="28"/>
  <c r="BQ72" i="28" s="1"/>
  <c r="BR72" i="28" s="1"/>
  <c r="BP78" i="28"/>
  <c r="BQ78" i="28" s="1"/>
  <c r="BR78" i="28" s="1"/>
  <c r="BP85" i="28"/>
  <c r="BQ85" i="28" s="1"/>
  <c r="BR85" i="28" s="1"/>
  <c r="BP95" i="28"/>
  <c r="BQ95" i="28" s="1"/>
  <c r="BR95" i="28" s="1"/>
  <c r="BP107" i="28"/>
  <c r="BQ107" i="28" s="1"/>
  <c r="BR107" i="28" s="1"/>
  <c r="BP117" i="28"/>
  <c r="BQ117" i="28" s="1"/>
  <c r="BR117" i="28" s="1"/>
  <c r="BP127" i="28"/>
  <c r="BQ127" i="28" s="1"/>
  <c r="BR127" i="28" s="1"/>
  <c r="BP139" i="28"/>
  <c r="BQ139" i="28" s="1"/>
  <c r="BR139" i="28" s="1"/>
  <c r="BP149" i="28"/>
  <c r="BQ149" i="28" s="1"/>
  <c r="BR149" i="28" s="1"/>
  <c r="BP159" i="28"/>
  <c r="BQ159" i="28" s="1"/>
  <c r="BR159" i="28" s="1"/>
  <c r="BP171" i="28"/>
  <c r="BQ171" i="28" s="1"/>
  <c r="BR171" i="28" s="1"/>
  <c r="BP181" i="28"/>
  <c r="BQ181" i="28" s="1"/>
  <c r="BR181" i="28" s="1"/>
  <c r="BP191" i="28"/>
  <c r="BQ191" i="28" s="1"/>
  <c r="BR191" i="28" s="1"/>
  <c r="BP203" i="28"/>
  <c r="BQ203" i="28" s="1"/>
  <c r="BR203" i="28" s="1"/>
  <c r="BP213" i="28"/>
  <c r="BQ213" i="28" s="1"/>
  <c r="BR213" i="28" s="1"/>
  <c r="BP223" i="28"/>
  <c r="BQ223" i="28" s="1"/>
  <c r="BR223" i="28" s="1"/>
  <c r="BP235" i="28"/>
  <c r="BQ235" i="28" s="1"/>
  <c r="BR235" i="28" s="1"/>
  <c r="BP245" i="28"/>
  <c r="BQ245" i="28" s="1"/>
  <c r="BR245" i="28" s="1"/>
  <c r="AC15" i="28"/>
  <c r="AW22" i="28"/>
  <c r="AW26" i="28"/>
  <c r="AW30" i="28"/>
  <c r="AW34" i="28"/>
  <c r="AG36" i="28"/>
  <c r="P39" i="28"/>
  <c r="AI93" i="28"/>
  <c r="AK93" i="28" s="1"/>
  <c r="AI119" i="28"/>
  <c r="AI130" i="28"/>
  <c r="AI139" i="28"/>
  <c r="AI151" i="28"/>
  <c r="AI189" i="28"/>
  <c r="AI206" i="28"/>
  <c r="AI211" i="28"/>
  <c r="AI222" i="28"/>
  <c r="AI227" i="28"/>
  <c r="AI519" i="28"/>
  <c r="AI502" i="28"/>
  <c r="AI479" i="28"/>
  <c r="AI455" i="28"/>
  <c r="AI438" i="28"/>
  <c r="AI415" i="28"/>
  <c r="AI391" i="28"/>
  <c r="AI367" i="28"/>
  <c r="AI342" i="28"/>
  <c r="AI311" i="28"/>
  <c r="AI287" i="28"/>
  <c r="AI257" i="28"/>
  <c r="AI221" i="28"/>
  <c r="AI556" i="28"/>
  <c r="AI532" i="28"/>
  <c r="AI500" i="28"/>
  <c r="AI469" i="28"/>
  <c r="AI444" i="28"/>
  <c r="AI412" i="28"/>
  <c r="AI388" i="28"/>
  <c r="AI357" i="28"/>
  <c r="AI325" i="28"/>
  <c r="AI301" i="28"/>
  <c r="AI277" i="28"/>
  <c r="AI246" i="28"/>
  <c r="AI181" i="28"/>
  <c r="AI568" i="28"/>
  <c r="AI536" i="28"/>
  <c r="AI512" i="28"/>
  <c r="AI465" i="28"/>
  <c r="AI401" i="28"/>
  <c r="AI344" i="28"/>
  <c r="AI290" i="28"/>
  <c r="AI217" i="28"/>
  <c r="BU68" i="28"/>
  <c r="BV68" i="28" s="1"/>
  <c r="BW68" i="28" s="1"/>
  <c r="BP184" i="28"/>
  <c r="BQ184" i="28" s="1"/>
  <c r="BR184" i="28" s="1"/>
  <c r="AI169" i="28"/>
  <c r="BP218" i="28"/>
  <c r="BQ218" i="28" s="1"/>
  <c r="BR218" i="28" s="1"/>
  <c r="BP188" i="28"/>
  <c r="BQ188" i="28" s="1"/>
  <c r="BR188" i="28" s="1"/>
  <c r="BU201" i="28"/>
  <c r="BV201" i="28" s="1"/>
  <c r="BW201" i="28" s="1"/>
  <c r="BU69" i="28"/>
  <c r="BV69" i="28" s="1"/>
  <c r="BW69" i="28" s="1"/>
  <c r="BU215" i="28"/>
  <c r="BV215" i="28" s="1"/>
  <c r="BW215" i="28" s="1"/>
  <c r="BP222" i="28"/>
  <c r="BQ222" i="28" s="1"/>
  <c r="BR222" i="28" s="1"/>
  <c r="BU195" i="28"/>
  <c r="BV195" i="28" s="1"/>
  <c r="BW195" i="28" s="1"/>
  <c r="AI490" i="28"/>
  <c r="AI330" i="28"/>
  <c r="AG33" i="28"/>
  <c r="AW21" i="28"/>
  <c r="BU86" i="28"/>
  <c r="BV86" i="28" s="1"/>
  <c r="BW86" i="28" s="1"/>
  <c r="BU96" i="28"/>
  <c r="BV96" i="28" s="1"/>
  <c r="BW96" i="28" s="1"/>
  <c r="BU108" i="28"/>
  <c r="BV108" i="28" s="1"/>
  <c r="BW108" i="28" s="1"/>
  <c r="BU118" i="28"/>
  <c r="BV118" i="28" s="1"/>
  <c r="BW118" i="28" s="1"/>
  <c r="BU128" i="28"/>
  <c r="BV128" i="28" s="1"/>
  <c r="BW128" i="28" s="1"/>
  <c r="BU140" i="28"/>
  <c r="BV140" i="28" s="1"/>
  <c r="BW140" i="28" s="1"/>
  <c r="BU150" i="28"/>
  <c r="BV150" i="28" s="1"/>
  <c r="BW150" i="28" s="1"/>
  <c r="BU160" i="28"/>
  <c r="BV160" i="28" s="1"/>
  <c r="BW160" i="28" s="1"/>
  <c r="BU172" i="28"/>
  <c r="BV172" i="28" s="1"/>
  <c r="BW172" i="28" s="1"/>
  <c r="BU182" i="28"/>
  <c r="BV182" i="28" s="1"/>
  <c r="BW182" i="28" s="1"/>
  <c r="BU192" i="28"/>
  <c r="BV192" i="28" s="1"/>
  <c r="BW192" i="28" s="1"/>
  <c r="BU204" i="28"/>
  <c r="BV204" i="28" s="1"/>
  <c r="BW204" i="28" s="1"/>
  <c r="BU214" i="28"/>
  <c r="BV214" i="28" s="1"/>
  <c r="BW214" i="28" s="1"/>
  <c r="BU224" i="28"/>
  <c r="BV224" i="28" s="1"/>
  <c r="BW224" i="28" s="1"/>
  <c r="BU236" i="28"/>
  <c r="BV236" i="28" s="1"/>
  <c r="BW236" i="28" s="1"/>
  <c r="BU246" i="28"/>
  <c r="BV246" i="28" s="1"/>
  <c r="BW246" i="28" s="1"/>
  <c r="BP52" i="28"/>
  <c r="BQ52" i="28" s="1"/>
  <c r="BR52" i="28" s="1"/>
  <c r="BP58" i="28"/>
  <c r="BQ58" i="28" s="1"/>
  <c r="BR58" i="28" s="1"/>
  <c r="BP63" i="28"/>
  <c r="BQ63" i="28" s="1"/>
  <c r="BR63" i="28" s="1"/>
  <c r="BP68" i="28"/>
  <c r="BQ68" i="28" s="1"/>
  <c r="BR68" i="28" s="1"/>
  <c r="BP74" i="28"/>
  <c r="BQ74" i="28" s="1"/>
  <c r="BR74" i="28" s="1"/>
  <c r="BP79" i="28"/>
  <c r="BQ79" i="28" s="1"/>
  <c r="BR79" i="28" s="1"/>
  <c r="BP87" i="28"/>
  <c r="BQ87" i="28" s="1"/>
  <c r="BR87" i="28" s="1"/>
  <c r="BP99" i="28"/>
  <c r="BQ99" i="28" s="1"/>
  <c r="BR99" i="28" s="1"/>
  <c r="BP109" i="28"/>
  <c r="BQ109" i="28" s="1"/>
  <c r="BR109" i="28" s="1"/>
  <c r="BP119" i="28"/>
  <c r="BQ119" i="28" s="1"/>
  <c r="BR119" i="28" s="1"/>
  <c r="BP131" i="28"/>
  <c r="BQ131" i="28" s="1"/>
  <c r="BR131" i="28" s="1"/>
  <c r="BP141" i="28"/>
  <c r="BQ141" i="28" s="1"/>
  <c r="BR141" i="28" s="1"/>
  <c r="BP151" i="28"/>
  <c r="BQ151" i="28" s="1"/>
  <c r="BR151" i="28" s="1"/>
  <c r="BP163" i="28"/>
  <c r="BQ163" i="28" s="1"/>
  <c r="BR163" i="28" s="1"/>
  <c r="BP173" i="28"/>
  <c r="BQ173" i="28" s="1"/>
  <c r="BR173" i="28" s="1"/>
  <c r="BP183" i="28"/>
  <c r="BQ183" i="28" s="1"/>
  <c r="BR183" i="28" s="1"/>
  <c r="BP195" i="28"/>
  <c r="BQ195" i="28" s="1"/>
  <c r="BR195" i="28" s="1"/>
  <c r="BP205" i="28"/>
  <c r="BQ205" i="28" s="1"/>
  <c r="BR205" i="28" s="1"/>
  <c r="BP215" i="28"/>
  <c r="BQ215" i="28" s="1"/>
  <c r="BR215" i="28" s="1"/>
  <c r="BP227" i="28"/>
  <c r="BQ227" i="28" s="1"/>
  <c r="BR227" i="28" s="1"/>
  <c r="BP237" i="28"/>
  <c r="BQ237" i="28" s="1"/>
  <c r="BR237" i="28" s="1"/>
  <c r="BP247" i="28"/>
  <c r="BQ247" i="28" s="1"/>
  <c r="BR247" i="28" s="1"/>
  <c r="AW17" i="28"/>
  <c r="P37" i="28"/>
  <c r="AW39" i="28"/>
  <c r="AI95" i="28"/>
  <c r="AI106" i="28"/>
  <c r="AI112" i="28"/>
  <c r="AI122" i="28"/>
  <c r="AI131" i="28"/>
  <c r="AI143" i="28"/>
  <c r="AI154" i="28"/>
  <c r="AI185" i="28"/>
  <c r="AI197" i="28"/>
  <c r="AI202" i="28"/>
  <c r="AI207" i="28"/>
  <c r="AI213" i="28"/>
  <c r="AI218" i="28"/>
  <c r="AG16" i="28"/>
  <c r="AI92" i="28"/>
  <c r="AK92" i="28" s="1"/>
  <c r="AI518" i="28"/>
  <c r="AI495" i="28"/>
  <c r="AI471" i="28"/>
  <c r="AI454" i="28"/>
  <c r="AI431" i="28"/>
  <c r="AI407" i="28"/>
  <c r="AI390" i="28"/>
  <c r="AI366" i="28"/>
  <c r="AI334" i="28"/>
  <c r="AI304" i="28"/>
  <c r="AI279" i="28"/>
  <c r="AI248" i="28"/>
  <c r="AI165" i="28"/>
  <c r="AI549" i="28"/>
  <c r="AI517" i="28"/>
  <c r="AI492" i="28"/>
  <c r="AI468" i="28"/>
  <c r="AI436" i="28"/>
  <c r="AI405" i="28"/>
  <c r="AI380" i="28"/>
  <c r="AI348" i="28"/>
  <c r="AI324" i="28"/>
  <c r="AI294" i="28"/>
  <c r="AI267" i="28"/>
  <c r="AI238" i="28"/>
  <c r="AI177" i="28"/>
  <c r="AI560" i="28"/>
  <c r="AI529" i="28"/>
  <c r="AI504" i="28"/>
  <c r="AI440" i="28"/>
  <c r="AI392" i="28"/>
  <c r="AI337" i="28"/>
  <c r="AI273" i="28"/>
  <c r="BP160" i="28"/>
  <c r="BQ160" i="28" s="1"/>
  <c r="BR160" i="28" s="1"/>
  <c r="AI180" i="28"/>
  <c r="BU141" i="28"/>
  <c r="BV141" i="28" s="1"/>
  <c r="BW141" i="28" s="1"/>
  <c r="BP144" i="28"/>
  <c r="BQ144" i="28" s="1"/>
  <c r="BR144" i="28" s="1"/>
  <c r="BU213" i="28"/>
  <c r="BV213" i="28" s="1"/>
  <c r="BW213" i="28" s="1"/>
  <c r="BP124" i="28"/>
  <c r="BQ124" i="28" s="1"/>
  <c r="BR124" i="28" s="1"/>
  <c r="BU137" i="28"/>
  <c r="BV137" i="28" s="1"/>
  <c r="BW137" i="28" s="1"/>
  <c r="BU53" i="28"/>
  <c r="BV53" i="28" s="1"/>
  <c r="BW53" i="28" s="1"/>
  <c r="BU151" i="28"/>
  <c r="BV151" i="28" s="1"/>
  <c r="BW151" i="28" s="1"/>
  <c r="BP158" i="28"/>
  <c r="BQ158" i="28" s="1"/>
  <c r="BR158" i="28" s="1"/>
  <c r="AI611" i="28"/>
  <c r="AI426" i="28"/>
  <c r="P33" i="28"/>
  <c r="AU1" i="28"/>
  <c r="BU227" i="28"/>
  <c r="BV227" i="28" s="1"/>
  <c r="BW227" i="28" s="1"/>
  <c r="BU163" i="28"/>
  <c r="BV163" i="28" s="1"/>
  <c r="BW163" i="28" s="1"/>
  <c r="BU99" i="28"/>
  <c r="BV99" i="28" s="1"/>
  <c r="BW99" i="28" s="1"/>
  <c r="AI622" i="28"/>
  <c r="AI590" i="28"/>
  <c r="AI546" i="28"/>
  <c r="AI506" i="28"/>
  <c r="AI474" i="28"/>
  <c r="AI442" i="28"/>
  <c r="AI410" i="28"/>
  <c r="AI378" i="28"/>
  <c r="AI346" i="28"/>
  <c r="AW8" i="28"/>
  <c r="AG17" i="28"/>
  <c r="S15" i="28"/>
  <c r="AG3" i="28"/>
  <c r="AW3" i="28"/>
  <c r="AW19" i="28"/>
  <c r="AG32" i="28"/>
  <c r="T15" i="28"/>
  <c r="AG2" i="28"/>
  <c r="P35" i="28"/>
  <c r="BU125" i="28"/>
  <c r="BV125" i="28" s="1"/>
  <c r="BW125" i="28" s="1"/>
  <c r="AI244" i="28"/>
  <c r="AI245" i="28"/>
  <c r="AI534" i="28"/>
  <c r="AI535" i="28"/>
  <c r="AI558" i="28"/>
  <c r="AI559" i="28"/>
  <c r="AI566" i="28"/>
  <c r="AI567" i="28"/>
  <c r="AI580" i="28"/>
  <c r="AI581" i="28"/>
  <c r="AI582" i="28"/>
  <c r="AI583" i="28"/>
  <c r="AI592" i="28"/>
  <c r="AI593" i="28"/>
  <c r="AI608" i="28"/>
  <c r="AI609" i="28"/>
  <c r="AI612" i="28"/>
  <c r="AI613" i="28"/>
  <c r="AI614" i="28"/>
  <c r="AI615" i="28"/>
  <c r="AI623" i="28"/>
  <c r="AI632" i="28"/>
  <c r="AI633" i="28"/>
  <c r="AI642" i="28"/>
  <c r="AI643" i="28"/>
  <c r="AI652" i="28"/>
  <c r="AI653" i="28"/>
  <c r="AI654" i="28"/>
  <c r="AI655" i="28"/>
  <c r="AI664" i="28"/>
  <c r="AI665" i="28"/>
  <c r="AI674" i="28"/>
  <c r="AI675" i="28"/>
  <c r="AI684" i="28"/>
  <c r="AI685" i="28"/>
  <c r="AI686" i="28"/>
  <c r="AI687" i="28"/>
  <c r="AI696" i="28"/>
  <c r="AI697" i="28"/>
  <c r="AI706" i="28"/>
  <c r="AI707" i="28"/>
  <c r="AI716" i="28"/>
  <c r="AI717" i="28"/>
  <c r="AI718" i="28"/>
  <c r="AI719" i="28"/>
  <c r="AI728" i="28"/>
  <c r="AI729" i="28"/>
  <c r="AI738" i="28"/>
  <c r="AI739" i="28"/>
  <c r="AI748" i="28"/>
  <c r="AI749" i="28"/>
  <c r="AI750" i="28"/>
  <c r="AI751" i="28"/>
  <c r="AI760" i="28"/>
  <c r="AI761" i="28"/>
  <c r="AI770" i="28"/>
  <c r="AI771" i="28"/>
  <c r="AI780" i="28"/>
  <c r="AI781" i="28"/>
  <c r="AI782" i="28"/>
  <c r="AI783" i="28"/>
  <c r="AI792" i="28"/>
  <c r="AI793" i="28"/>
  <c r="AI200" i="28"/>
  <c r="AI252" i="28"/>
  <c r="AI253" i="28"/>
  <c r="AI268" i="28"/>
  <c r="AI275" i="28"/>
  <c r="AI276" i="28"/>
  <c r="AI283" i="28"/>
  <c r="AI284" i="28"/>
  <c r="AI291" i="28"/>
  <c r="AI292" i="28"/>
  <c r="AI299" i="28"/>
  <c r="AI300" i="28"/>
  <c r="AI307" i="28"/>
  <c r="AI308" i="28"/>
  <c r="AI314" i="28"/>
  <c r="AI554" i="28"/>
  <c r="AI555" i="28"/>
  <c r="AI584" i="28"/>
  <c r="AI585" i="28"/>
  <c r="AI594" i="28"/>
  <c r="AI595" i="28"/>
  <c r="AI616" i="28"/>
  <c r="AI617" i="28"/>
  <c r="AI624" i="28"/>
  <c r="AI625" i="28"/>
  <c r="AI634" i="28"/>
  <c r="AI635" i="28"/>
  <c r="AI644" i="28"/>
  <c r="AI645" i="28"/>
  <c r="AI646" i="28"/>
  <c r="AI647" i="28"/>
  <c r="AI656" i="28"/>
  <c r="AI657" i="28"/>
  <c r="AI666" i="28"/>
  <c r="AI667" i="28"/>
  <c r="AI676" i="28"/>
  <c r="AI677" i="28"/>
  <c r="AI678" i="28"/>
  <c r="AI679" i="28"/>
  <c r="AI688" i="28"/>
  <c r="AI689" i="28"/>
  <c r="AI698" i="28"/>
  <c r="AI699" i="28"/>
  <c r="AI708" i="28"/>
  <c r="AI709" i="28"/>
  <c r="AI710" i="28"/>
  <c r="AI711" i="28"/>
  <c r="AI720" i="28"/>
  <c r="AI721" i="28"/>
  <c r="AI730" i="28"/>
  <c r="AI731" i="28"/>
  <c r="AI740" i="28"/>
  <c r="AI741" i="28"/>
  <c r="AI742" i="28"/>
  <c r="AI743" i="28"/>
  <c r="AI752" i="28"/>
  <c r="AI753" i="28"/>
  <c r="AI762" i="28"/>
  <c r="AI763" i="28"/>
  <c r="AI772" i="28"/>
  <c r="AI773" i="28"/>
  <c r="AI774" i="28"/>
  <c r="AI775" i="28"/>
  <c r="AI784" i="28"/>
  <c r="AI785" i="28"/>
  <c r="AI794" i="28"/>
  <c r="AI795" i="28"/>
  <c r="AI804" i="28"/>
  <c r="AI805" i="28"/>
  <c r="AI806" i="28"/>
  <c r="AI807" i="28"/>
  <c r="AI816" i="28"/>
  <c r="AI817" i="28"/>
  <c r="AI826" i="28"/>
  <c r="AI827" i="28"/>
  <c r="AI836" i="28"/>
  <c r="AI837" i="28"/>
  <c r="AI838" i="28"/>
  <c r="AI839" i="28"/>
  <c r="AI848" i="28"/>
  <c r="AI849" i="28"/>
  <c r="AI858" i="28"/>
  <c r="AI859" i="28"/>
  <c r="AI236" i="28"/>
  <c r="AI237" i="28"/>
  <c r="AI538" i="28"/>
  <c r="AI539" i="28"/>
  <c r="AI570" i="28"/>
  <c r="AI571" i="28"/>
  <c r="AI604" i="28"/>
  <c r="AI605" i="28"/>
  <c r="AI606" i="28"/>
  <c r="AI607" i="28"/>
  <c r="AI628" i="28"/>
  <c r="AI629" i="28"/>
  <c r="AI630" i="28"/>
  <c r="AI631" i="28"/>
  <c r="AI640" i="28"/>
  <c r="AI641" i="28"/>
  <c r="AI650" i="28"/>
  <c r="AI651" i="28"/>
  <c r="AI660" i="28"/>
  <c r="AI661" i="28"/>
  <c r="AI662" i="28"/>
  <c r="AI663" i="28"/>
  <c r="AI672" i="28"/>
  <c r="AI673" i="28"/>
  <c r="AI682" i="28"/>
  <c r="AI683" i="28"/>
  <c r="AI692" i="28"/>
  <c r="AI693" i="28"/>
  <c r="AI694" i="28"/>
  <c r="AI695" i="28"/>
  <c r="AI704" i="28"/>
  <c r="AI705" i="28"/>
  <c r="AI714" i="28"/>
  <c r="AI715" i="28"/>
  <c r="AI724" i="28"/>
  <c r="AI725" i="28"/>
  <c r="AI726" i="28"/>
  <c r="AI727" i="28"/>
  <c r="AI736" i="28"/>
  <c r="AI737" i="28"/>
  <c r="AI746" i="28"/>
  <c r="AI747" i="28"/>
  <c r="AI756" i="28"/>
  <c r="AI757" i="28"/>
  <c r="AI758" i="28"/>
  <c r="AI759" i="28"/>
  <c r="AI768" i="28"/>
  <c r="AI769" i="28"/>
  <c r="AI778" i="28"/>
  <c r="AI779" i="28"/>
  <c r="AI788" i="28"/>
  <c r="AI789" i="28"/>
  <c r="AI790" i="28"/>
  <c r="AI791" i="28"/>
  <c r="AI800" i="28"/>
  <c r="AI801" i="28"/>
  <c r="AI810" i="28"/>
  <c r="AI811" i="28"/>
  <c r="AI820" i="28"/>
  <c r="AI821" i="28"/>
  <c r="AI822" i="28"/>
  <c r="AI823" i="28"/>
  <c r="AI832" i="28"/>
  <c r="AI833" i="28"/>
  <c r="AI842" i="28"/>
  <c r="AI843" i="28"/>
  <c r="AI852" i="28"/>
  <c r="AI853" i="28"/>
  <c r="AI854" i="28"/>
  <c r="AI855" i="28"/>
  <c r="AI864" i="28"/>
  <c r="AI865" i="28"/>
  <c r="AI874" i="28"/>
  <c r="AI875" i="28"/>
  <c r="AI876" i="28"/>
  <c r="AI877" i="28"/>
  <c r="AI878" i="28"/>
  <c r="AI879" i="28"/>
  <c r="AI888" i="28"/>
  <c r="AI889" i="28"/>
  <c r="AI906" i="28"/>
  <c r="AI907" i="28"/>
  <c r="AI542" i="28"/>
  <c r="AI543" i="28"/>
  <c r="AI550" i="28"/>
  <c r="AI551" i="28"/>
  <c r="AI574" i="28"/>
  <c r="AI575" i="28"/>
  <c r="AI808" i="28"/>
  <c r="AI809" i="28"/>
  <c r="AI812" i="28"/>
  <c r="AI813" i="28"/>
  <c r="AI814" i="28"/>
  <c r="AI815" i="28"/>
  <c r="AI818" i="28"/>
  <c r="AI819" i="28"/>
  <c r="AI840" i="28"/>
  <c r="AI841" i="28"/>
  <c r="AI844" i="28"/>
  <c r="AI845" i="28"/>
  <c r="AI846" i="28"/>
  <c r="AI847" i="28"/>
  <c r="AI850" i="28"/>
  <c r="AI851" i="28"/>
  <c r="AI872" i="28"/>
  <c r="AI873" i="28"/>
  <c r="AI880" i="28"/>
  <c r="AI881" i="28"/>
  <c r="AI900" i="28"/>
  <c r="AI901" i="28"/>
  <c r="AI902" i="28"/>
  <c r="AI903" i="28"/>
  <c r="AI904" i="28"/>
  <c r="AI905" i="28"/>
  <c r="AI910" i="28"/>
  <c r="AI911" i="28"/>
  <c r="AI912" i="28"/>
  <c r="AI913" i="28"/>
  <c r="AI926" i="28"/>
  <c r="AI927" i="28"/>
  <c r="AI928" i="28"/>
  <c r="AI929" i="28"/>
  <c r="AI174" i="28"/>
  <c r="AI187" i="28"/>
  <c r="AI626" i="28"/>
  <c r="AI627" i="28"/>
  <c r="AI636" i="28"/>
  <c r="AI637" i="28"/>
  <c r="AI638" i="28"/>
  <c r="AI639" i="28"/>
  <c r="AI648" i="28"/>
  <c r="AI649" i="28"/>
  <c r="AI658" i="28"/>
  <c r="AI659" i="28"/>
  <c r="AI668" i="28"/>
  <c r="AI669" i="28"/>
  <c r="AI670" i="28"/>
  <c r="AI671" i="28"/>
  <c r="AI680" i="28"/>
  <c r="AI681" i="28"/>
  <c r="AI690" i="28"/>
  <c r="AI691" i="28"/>
  <c r="AI700" i="28"/>
  <c r="AI701" i="28"/>
  <c r="AI702" i="28"/>
  <c r="AI703" i="28"/>
  <c r="AI712" i="28"/>
  <c r="AI713" i="28"/>
  <c r="AI722" i="28"/>
  <c r="AI723" i="28"/>
  <c r="AI732" i="28"/>
  <c r="AI733" i="28"/>
  <c r="AI734" i="28"/>
  <c r="AI735" i="28"/>
  <c r="AI744" i="28"/>
  <c r="AI745" i="28"/>
  <c r="AI754" i="28"/>
  <c r="AI755" i="28"/>
  <c r="AI764" i="28"/>
  <c r="AI765" i="28"/>
  <c r="AI766" i="28"/>
  <c r="AI767" i="28"/>
  <c r="AI776" i="28"/>
  <c r="AI777" i="28"/>
  <c r="AI786" i="28"/>
  <c r="AI787" i="28"/>
  <c r="AI796" i="28"/>
  <c r="AI797" i="28"/>
  <c r="AI798" i="28"/>
  <c r="AI799" i="28"/>
  <c r="AI802" i="28"/>
  <c r="AI803" i="28"/>
  <c r="AI824" i="28"/>
  <c r="AI825" i="28"/>
  <c r="AI828" i="28"/>
  <c r="AI829" i="28"/>
  <c r="AI830" i="28"/>
  <c r="AI831" i="28"/>
  <c r="AI834" i="28"/>
  <c r="AI835" i="28"/>
  <c r="AI856" i="28"/>
  <c r="AI857" i="28"/>
  <c r="AI860" i="28"/>
  <c r="AI861" i="28"/>
  <c r="AI862" i="28"/>
  <c r="AI863" i="28"/>
  <c r="AI866" i="28"/>
  <c r="AI867" i="28"/>
  <c r="AI884" i="28"/>
  <c r="AI885" i="28"/>
  <c r="AI886" i="28"/>
  <c r="AI887" i="28"/>
  <c r="AI890" i="28"/>
  <c r="AI891" i="28"/>
  <c r="AI892" i="28"/>
  <c r="AI893" i="28"/>
  <c r="AI894" i="28"/>
  <c r="AI895" i="28"/>
  <c r="AI918" i="28"/>
  <c r="AI919" i="28"/>
  <c r="AI920" i="28"/>
  <c r="AI921" i="28"/>
  <c r="AI934" i="28"/>
  <c r="AI935" i="28"/>
  <c r="AI936" i="28"/>
  <c r="AI586" i="28"/>
  <c r="AI587" i="28"/>
  <c r="AI596" i="28"/>
  <c r="AI597" i="28"/>
  <c r="AI598" i="28"/>
  <c r="AI599" i="28"/>
  <c r="AI602" i="28"/>
  <c r="AI603" i="28"/>
  <c r="AI618" i="28"/>
  <c r="AI619" i="28"/>
  <c r="AI882" i="28"/>
  <c r="AI883" i="28"/>
  <c r="AI896" i="28"/>
  <c r="AI897" i="28"/>
  <c r="AI898" i="28"/>
  <c r="AI899" i="28"/>
  <c r="AI914" i="28"/>
  <c r="AI915" i="28"/>
  <c r="AI916" i="28"/>
  <c r="AI917" i="28"/>
  <c r="AI930" i="28"/>
  <c r="AI931" i="28"/>
  <c r="AI932" i="28"/>
  <c r="AI933" i="28"/>
  <c r="AI942" i="28"/>
  <c r="AI943" i="28"/>
  <c r="AI944" i="28"/>
  <c r="AI945" i="28"/>
  <c r="AI958" i="28"/>
  <c r="AI959" i="28"/>
  <c r="AI960" i="28"/>
  <c r="AI961" i="28"/>
  <c r="AI974" i="28"/>
  <c r="AI975" i="28"/>
  <c r="AI976" i="28"/>
  <c r="AI977" i="28"/>
  <c r="AI990" i="28"/>
  <c r="AI991" i="28"/>
  <c r="AI992" i="28"/>
  <c r="AI993" i="28"/>
  <c r="AI1006" i="28"/>
  <c r="AI1007" i="28"/>
  <c r="AI1008" i="28"/>
  <c r="AI1009" i="28"/>
  <c r="AI1022" i="28"/>
  <c r="AI1023" i="28"/>
  <c r="AI1024" i="28"/>
  <c r="AI1025" i="28"/>
  <c r="AI1038" i="28"/>
  <c r="AI1039" i="28"/>
  <c r="AI1040" i="28"/>
  <c r="AI1041" i="28"/>
  <c r="AI1054" i="28"/>
  <c r="AI1055" i="28"/>
  <c r="AI1056" i="28"/>
  <c r="AI1057" i="28"/>
  <c r="AI1070" i="28"/>
  <c r="AI1071" i="28"/>
  <c r="AI1072" i="28"/>
  <c r="AI1073" i="28"/>
  <c r="AI1086" i="28"/>
  <c r="AI1087" i="28"/>
  <c r="AI1088" i="28"/>
  <c r="AI1089" i="28"/>
  <c r="AI1091" i="28"/>
  <c r="AI114" i="28"/>
  <c r="AA11" i="28"/>
  <c r="AE80" i="28" s="1"/>
  <c r="AI98" i="28"/>
  <c r="AS98" i="28" s="1"/>
  <c r="AI102" i="28"/>
  <c r="AI149" i="28"/>
  <c r="AI145" i="28"/>
  <c r="AI141" i="28"/>
  <c r="AI137" i="28"/>
  <c r="AI133" i="28"/>
  <c r="AI129" i="28"/>
  <c r="AI125" i="28"/>
  <c r="AI117" i="28"/>
  <c r="AI115" i="28"/>
  <c r="AI946" i="28"/>
  <c r="AI947" i="28"/>
  <c r="AI948" i="28"/>
  <c r="AI949" i="28"/>
  <c r="AI962" i="28"/>
  <c r="AI963" i="28"/>
  <c r="AI964" i="28"/>
  <c r="AI965" i="28"/>
  <c r="AI978" i="28"/>
  <c r="AI979" i="28"/>
  <c r="AI980" i="28"/>
  <c r="AI981" i="28"/>
  <c r="AI994" i="28"/>
  <c r="AI995" i="28"/>
  <c r="AI996" i="28"/>
  <c r="AI997" i="28"/>
  <c r="AI1010" i="28"/>
  <c r="AI1011" i="28"/>
  <c r="AI1012" i="28"/>
  <c r="AI1013" i="28"/>
  <c r="AI1026" i="28"/>
  <c r="AI1027" i="28"/>
  <c r="AI1028" i="28"/>
  <c r="AI1029" i="28"/>
  <c r="AI1042" i="28"/>
  <c r="AI1043" i="28"/>
  <c r="AI1044" i="28"/>
  <c r="AI1045" i="28"/>
  <c r="AI1058" i="28"/>
  <c r="AI1059" i="28"/>
  <c r="AI1060" i="28"/>
  <c r="AI1061" i="28"/>
  <c r="AI1074" i="28"/>
  <c r="AI1075" i="28"/>
  <c r="AI1076" i="28"/>
  <c r="AI1077" i="28"/>
  <c r="AI1090" i="28"/>
  <c r="AI108" i="28"/>
  <c r="AI104" i="28"/>
  <c r="AI99" i="28"/>
  <c r="AS99" i="28" s="1"/>
  <c r="AI103" i="28"/>
  <c r="AI170" i="28"/>
  <c r="AI166" i="28"/>
  <c r="AI162" i="28"/>
  <c r="AI158" i="28"/>
  <c r="AI153" i="28"/>
  <c r="AI148" i="28"/>
  <c r="AI144" i="28"/>
  <c r="AI140" i="28"/>
  <c r="AI136" i="28"/>
  <c r="AI132" i="28"/>
  <c r="AI128" i="28"/>
  <c r="AI124" i="28"/>
  <c r="AI121" i="28"/>
  <c r="AI116" i="28"/>
  <c r="AI938" i="28"/>
  <c r="AI939" i="28"/>
  <c r="AI940" i="28"/>
  <c r="AI941" i="28"/>
  <c r="AI954" i="28"/>
  <c r="AI955" i="28"/>
  <c r="AI956" i="28"/>
  <c r="AI957" i="28"/>
  <c r="AI970" i="28"/>
  <c r="AI971" i="28"/>
  <c r="AI972" i="28"/>
  <c r="AI973" i="28"/>
  <c r="AI986" i="28"/>
  <c r="AI987" i="28"/>
  <c r="AI988" i="28"/>
  <c r="AI989" i="28"/>
  <c r="AI1002" i="28"/>
  <c r="AI1003" i="28"/>
  <c r="AI1004" i="28"/>
  <c r="AI1005" i="28"/>
  <c r="AI1018" i="28"/>
  <c r="AI1019" i="28"/>
  <c r="AI1020" i="28"/>
  <c r="AI1021" i="28"/>
  <c r="AI1034" i="28"/>
  <c r="AI1035" i="28"/>
  <c r="AI1036" i="28"/>
  <c r="AI1037" i="28"/>
  <c r="AI1050" i="28"/>
  <c r="AI1051" i="28"/>
  <c r="AI1052" i="28"/>
  <c r="AI1053" i="28"/>
  <c r="AI1066" i="28"/>
  <c r="AI1067" i="28"/>
  <c r="AI1068" i="28"/>
  <c r="AI1069" i="28"/>
  <c r="AI1082" i="28"/>
  <c r="AI1083" i="28"/>
  <c r="AI1084" i="28"/>
  <c r="AI1085" i="28"/>
  <c r="AI109" i="28"/>
  <c r="AI97" i="28"/>
  <c r="AK97" i="28" s="1"/>
  <c r="AI101" i="28"/>
  <c r="AI105" i="28"/>
  <c r="AI172" i="28"/>
  <c r="AI168" i="28"/>
  <c r="AI164" i="28"/>
  <c r="AI160" i="28"/>
  <c r="AI868" i="28"/>
  <c r="AI869" i="28"/>
  <c r="AI870" i="28"/>
  <c r="AI871" i="28"/>
  <c r="AI110" i="28"/>
  <c r="BP10" i="28"/>
  <c r="BP12" i="28" s="1"/>
  <c r="AI909" i="28"/>
  <c r="AI923" i="28"/>
  <c r="AI925" i="28"/>
  <c r="AI937" i="28"/>
  <c r="AI1014" i="28"/>
  <c r="AI1016" i="28"/>
  <c r="AI1030" i="28"/>
  <c r="AI1032" i="28"/>
  <c r="AI1046" i="28"/>
  <c r="AI1048" i="28"/>
  <c r="AI1062" i="28"/>
  <c r="AI1063" i="28"/>
  <c r="AI1064" i="28"/>
  <c r="AI1078" i="28"/>
  <c r="AI1080" i="28"/>
  <c r="AI100" i="28"/>
  <c r="AI120" i="28"/>
  <c r="BR5" i="28"/>
  <c r="AI908" i="28"/>
  <c r="AI922" i="28"/>
  <c r="AI924" i="28"/>
  <c r="AI950" i="28"/>
  <c r="AI951" i="28"/>
  <c r="AI952" i="28"/>
  <c r="AI953" i="28"/>
  <c r="AI966" i="28"/>
  <c r="AI967" i="28"/>
  <c r="AI968" i="28"/>
  <c r="AI969" i="28"/>
  <c r="AI982" i="28"/>
  <c r="AI983" i="28"/>
  <c r="AI984" i="28"/>
  <c r="AI985" i="28"/>
  <c r="AI998" i="28"/>
  <c r="AI999" i="28"/>
  <c r="AI1000" i="28"/>
  <c r="AI1001" i="28"/>
  <c r="AI1015" i="28"/>
  <c r="AI1017" i="28"/>
  <c r="AI1031" i="28"/>
  <c r="AI1033" i="28"/>
  <c r="AI1047" i="28"/>
  <c r="AI1049" i="28"/>
  <c r="AI1065" i="28"/>
  <c r="AI1079" i="28"/>
  <c r="AI1081" i="28"/>
  <c r="AI152" i="28"/>
  <c r="AI229" i="28"/>
  <c r="AI322" i="28"/>
  <c r="AI338" i="28"/>
  <c r="AI354" i="28"/>
  <c r="AI370" i="28"/>
  <c r="AI386" i="28"/>
  <c r="AI402" i="28"/>
  <c r="AI418" i="28"/>
  <c r="AI434" i="28"/>
  <c r="AI450" i="28"/>
  <c r="AI466" i="28"/>
  <c r="AI482" i="28"/>
  <c r="AI498" i="28"/>
  <c r="AI514" i="28"/>
  <c r="AI530" i="28"/>
  <c r="AI562" i="28"/>
  <c r="AI588" i="28"/>
  <c r="AI600" i="28"/>
  <c r="AI620" i="28"/>
  <c r="BP224" i="28"/>
  <c r="BQ224" i="28" s="1"/>
  <c r="BR224" i="28" s="1"/>
  <c r="BU82" i="28"/>
  <c r="BV82" i="28" s="1"/>
  <c r="BW82" i="28" s="1"/>
  <c r="BU107" i="28"/>
  <c r="BV107" i="28" s="1"/>
  <c r="BW107" i="28" s="1"/>
  <c r="BU139" i="28"/>
  <c r="BV139" i="28" s="1"/>
  <c r="BW139" i="28" s="1"/>
  <c r="BU171" i="28"/>
  <c r="BV171" i="28" s="1"/>
  <c r="BW171" i="28" s="1"/>
  <c r="BU203" i="28"/>
  <c r="BV203" i="28" s="1"/>
  <c r="BW203" i="28" s="1"/>
  <c r="BU235" i="28"/>
  <c r="BV235" i="28" s="1"/>
  <c r="BW235" i="28" s="1"/>
  <c r="BP102" i="28"/>
  <c r="BQ102" i="28" s="1"/>
  <c r="BR102" i="28" s="1"/>
  <c r="BP134" i="28"/>
  <c r="BQ134" i="28" s="1"/>
  <c r="BR134" i="28" s="1"/>
  <c r="BP166" i="28"/>
  <c r="BQ166" i="28" s="1"/>
  <c r="BR166" i="28" s="1"/>
  <c r="BP198" i="28"/>
  <c r="BQ198" i="28" s="1"/>
  <c r="BR198" i="28" s="1"/>
  <c r="BP230" i="28"/>
  <c r="BQ230" i="28" s="1"/>
  <c r="BR230" i="28" s="1"/>
  <c r="BU95" i="28"/>
  <c r="BV95" i="28" s="1"/>
  <c r="BW95" i="28" s="1"/>
  <c r="BU127" i="28"/>
  <c r="BV127" i="28" s="1"/>
  <c r="BW127" i="28" s="1"/>
  <c r="BU159" i="28"/>
  <c r="BV159" i="28" s="1"/>
  <c r="BW159" i="28" s="1"/>
  <c r="BU191" i="28"/>
  <c r="BV191" i="28" s="1"/>
  <c r="BW191" i="28" s="1"/>
  <c r="BU223" i="28"/>
  <c r="BV223" i="28" s="1"/>
  <c r="BW223" i="28" s="1"/>
  <c r="BP82" i="28"/>
  <c r="BQ82" i="28" s="1"/>
  <c r="BR82" i="28" s="1"/>
  <c r="BP114" i="28"/>
  <c r="BQ114" i="28" s="1"/>
  <c r="BR114" i="28" s="1"/>
  <c r="BP146" i="28"/>
  <c r="BQ146" i="28" s="1"/>
  <c r="BR146" i="28" s="1"/>
  <c r="BU57" i="28"/>
  <c r="BV57" i="28" s="1"/>
  <c r="BW57" i="28" s="1"/>
  <c r="BU65" i="28"/>
  <c r="BV65" i="28" s="1"/>
  <c r="BW65" i="28" s="1"/>
  <c r="BU73" i="28"/>
  <c r="BV73" i="28" s="1"/>
  <c r="BW73" i="28" s="1"/>
  <c r="BU81" i="28"/>
  <c r="BV81" i="28" s="1"/>
  <c r="BW81" i="28" s="1"/>
  <c r="BU113" i="28"/>
  <c r="BV113" i="28" s="1"/>
  <c r="BW113" i="28" s="1"/>
  <c r="BU145" i="28"/>
  <c r="BV145" i="28" s="1"/>
  <c r="BW145" i="28" s="1"/>
  <c r="BU177" i="28"/>
  <c r="BV177" i="28" s="1"/>
  <c r="BW177" i="28" s="1"/>
  <c r="BU209" i="28"/>
  <c r="BV209" i="28" s="1"/>
  <c r="BW209" i="28" s="1"/>
  <c r="BU241" i="28"/>
  <c r="BV241" i="28" s="1"/>
  <c r="BW241" i="28" s="1"/>
  <c r="BP100" i="28"/>
  <c r="BQ100" i="28" s="1"/>
  <c r="BR100" i="28" s="1"/>
  <c r="BP132" i="28"/>
  <c r="BQ132" i="28" s="1"/>
  <c r="BR132" i="28" s="1"/>
  <c r="BP164" i="28"/>
  <c r="BQ164" i="28" s="1"/>
  <c r="BR164" i="28" s="1"/>
  <c r="BP196" i="28"/>
  <c r="BQ196" i="28" s="1"/>
  <c r="BR196" i="28" s="1"/>
  <c r="BP228" i="28"/>
  <c r="BQ228" i="28" s="1"/>
  <c r="BR228" i="28" s="1"/>
  <c r="BU66" i="28"/>
  <c r="BV66" i="28" s="1"/>
  <c r="BW66" i="28" s="1"/>
  <c r="BU149" i="28"/>
  <c r="BV149" i="28" s="1"/>
  <c r="BW149" i="28" s="1"/>
  <c r="BP96" i="28"/>
  <c r="BQ96" i="28" s="1"/>
  <c r="BR96" i="28" s="1"/>
  <c r="BP186" i="28"/>
  <c r="BQ186" i="28" s="1"/>
  <c r="BR186" i="28" s="1"/>
  <c r="BU78" i="28"/>
  <c r="BV78" i="28" s="1"/>
  <c r="BW78" i="28" s="1"/>
  <c r="BU197" i="28"/>
  <c r="BV197" i="28" s="1"/>
  <c r="BW197" i="28" s="1"/>
  <c r="BP162" i="28"/>
  <c r="BQ162" i="28" s="1"/>
  <c r="BR162" i="28" s="1"/>
  <c r="BP226" i="28"/>
  <c r="BQ226" i="28" s="1"/>
  <c r="BR226" i="28" s="1"/>
  <c r="AI175" i="28"/>
  <c r="AI196" i="28"/>
  <c r="BU72" i="28"/>
  <c r="BV72" i="28" s="1"/>
  <c r="BW72" i="28" s="1"/>
  <c r="BU173" i="28"/>
  <c r="BV173" i="28" s="1"/>
  <c r="BW173" i="28" s="1"/>
  <c r="BP120" i="28"/>
  <c r="BQ120" i="28" s="1"/>
  <c r="BR120" i="28" s="1"/>
  <c r="BP200" i="28"/>
  <c r="BQ200" i="28" s="1"/>
  <c r="BR200" i="28" s="1"/>
  <c r="AI113" i="28"/>
  <c r="BU221" i="28"/>
  <c r="BV221" i="28" s="1"/>
  <c r="BW221" i="28" s="1"/>
  <c r="AI167" i="28"/>
  <c r="AI191" i="28"/>
  <c r="AI223" i="28"/>
  <c r="BP176" i="28"/>
  <c r="BQ176" i="28" s="1"/>
  <c r="BR176" i="28" s="1"/>
  <c r="BP104" i="28"/>
  <c r="BQ104" i="28" s="1"/>
  <c r="BR104" i="28" s="1"/>
  <c r="AI171" i="28"/>
  <c r="AI231" i="28"/>
  <c r="AI247" i="28"/>
  <c r="AI263" i="28"/>
  <c r="AI281" i="28"/>
  <c r="AI297" i="28"/>
  <c r="AI313" i="28"/>
  <c r="AI329" i="28"/>
  <c r="AI345" i="28"/>
  <c r="AI361" i="28"/>
  <c r="AI377" i="28"/>
  <c r="AI393" i="28"/>
  <c r="AI409" i="28"/>
  <c r="AI425" i="28"/>
  <c r="AI441" i="28"/>
  <c r="AI457" i="28"/>
  <c r="AI473" i="28"/>
  <c r="AI489" i="28"/>
  <c r="AI182" i="28"/>
  <c r="AI260" i="28"/>
  <c r="AI323" i="28"/>
  <c r="AI339" i="28"/>
  <c r="AI355" i="28"/>
  <c r="AI371" i="28"/>
  <c r="AI387" i="28"/>
  <c r="AI403" i="28"/>
  <c r="AI419" i="28"/>
  <c r="AI435" i="28"/>
  <c r="AI451" i="28"/>
  <c r="AI467" i="28"/>
  <c r="AI483" i="28"/>
  <c r="AI499" i="28"/>
  <c r="AI515" i="28"/>
  <c r="AI531" i="28"/>
  <c r="AI563" i="28"/>
  <c r="AI589" i="28"/>
  <c r="AI601" i="28"/>
  <c r="AI621" i="28"/>
  <c r="BU83" i="28"/>
  <c r="BV83" i="28" s="1"/>
  <c r="BW83" i="28" s="1"/>
  <c r="BU115" i="28"/>
  <c r="BV115" i="28" s="1"/>
  <c r="BW115" i="28" s="1"/>
  <c r="BU147" i="28"/>
  <c r="BV147" i="28" s="1"/>
  <c r="BW147" i="28" s="1"/>
  <c r="BU179" i="28"/>
  <c r="BV179" i="28" s="1"/>
  <c r="BW179" i="28" s="1"/>
  <c r="BU211" i="28"/>
  <c r="BV211" i="28" s="1"/>
  <c r="BW211" i="28" s="1"/>
  <c r="BU243" i="28"/>
  <c r="BV243" i="28" s="1"/>
  <c r="BW243" i="28" s="1"/>
  <c r="BP110" i="28"/>
  <c r="BQ110" i="28" s="1"/>
  <c r="BR110" i="28" s="1"/>
  <c r="BP142" i="28"/>
  <c r="BQ142" i="28" s="1"/>
  <c r="BR142" i="28" s="1"/>
  <c r="BP174" i="28"/>
  <c r="BQ174" i="28" s="1"/>
  <c r="BR174" i="28" s="1"/>
  <c r="BP206" i="28"/>
  <c r="BQ206" i="28" s="1"/>
  <c r="BR206" i="28" s="1"/>
  <c r="BP238" i="28"/>
  <c r="BQ238" i="28" s="1"/>
  <c r="BR238" i="28" s="1"/>
  <c r="BU103" i="28"/>
  <c r="BV103" i="28" s="1"/>
  <c r="BW103" i="28" s="1"/>
  <c r="BU135" i="28"/>
  <c r="BV135" i="28" s="1"/>
  <c r="BW135" i="28" s="1"/>
  <c r="BU167" i="28"/>
  <c r="BV167" i="28" s="1"/>
  <c r="BW167" i="28" s="1"/>
  <c r="BU199" i="28"/>
  <c r="BV199" i="28" s="1"/>
  <c r="BW199" i="28" s="1"/>
  <c r="BU231" i="28"/>
  <c r="BV231" i="28" s="1"/>
  <c r="BW231" i="28" s="1"/>
  <c r="BP90" i="28"/>
  <c r="BQ90" i="28" s="1"/>
  <c r="BR90" i="28" s="1"/>
  <c r="BP122" i="28"/>
  <c r="BQ122" i="28" s="1"/>
  <c r="BR122" i="28" s="1"/>
  <c r="BU51" i="28"/>
  <c r="BV51" i="28" s="1"/>
  <c r="BW51" i="28" s="1"/>
  <c r="BU59" i="28"/>
  <c r="BV59" i="28" s="1"/>
  <c r="BW59" i="28" s="1"/>
  <c r="BU67" i="28"/>
  <c r="BV67" i="28" s="1"/>
  <c r="BW67" i="28" s="1"/>
  <c r="BU75" i="28"/>
  <c r="BV75" i="28" s="1"/>
  <c r="BW75" i="28" s="1"/>
  <c r="BU89" i="28"/>
  <c r="BV89" i="28" s="1"/>
  <c r="BW89" i="28" s="1"/>
  <c r="BU121" i="28"/>
  <c r="BV121" i="28" s="1"/>
  <c r="BW121" i="28" s="1"/>
  <c r="BU153" i="28"/>
  <c r="BV153" i="28" s="1"/>
  <c r="BW153" i="28" s="1"/>
  <c r="BU185" i="28"/>
  <c r="BV185" i="28" s="1"/>
  <c r="BW185" i="28" s="1"/>
  <c r="BU217" i="28"/>
  <c r="BV217" i="28" s="1"/>
  <c r="BW217" i="28" s="1"/>
  <c r="BU249" i="28"/>
  <c r="BV249" i="28" s="1"/>
  <c r="BW249" i="28" s="1"/>
  <c r="BP108" i="28"/>
  <c r="BQ108" i="28" s="1"/>
  <c r="BR108" i="28" s="1"/>
  <c r="BP140" i="28"/>
  <c r="BQ140" i="28" s="1"/>
  <c r="BR140" i="28" s="1"/>
  <c r="BP172" i="28"/>
  <c r="BQ172" i="28" s="1"/>
  <c r="BR172" i="28" s="1"/>
  <c r="BP204" i="28"/>
  <c r="BQ204" i="28" s="1"/>
  <c r="BR204" i="28" s="1"/>
  <c r="BP236" i="28"/>
  <c r="BQ236" i="28" s="1"/>
  <c r="BR236" i="28" s="1"/>
  <c r="BU74" i="28"/>
  <c r="BV74" i="28" s="1"/>
  <c r="BW74" i="28" s="1"/>
  <c r="BU181" i="28"/>
  <c r="BV181" i="28" s="1"/>
  <c r="BW181" i="28" s="1"/>
  <c r="BP128" i="28"/>
  <c r="BQ128" i="28" s="1"/>
  <c r="BR128" i="28" s="1"/>
  <c r="BP202" i="28"/>
  <c r="BQ202" i="28" s="1"/>
  <c r="BR202" i="28" s="1"/>
  <c r="BU54" i="28"/>
  <c r="BV54" i="28" s="1"/>
  <c r="BW54" i="28" s="1"/>
  <c r="BU101" i="28"/>
  <c r="BV101" i="28" s="1"/>
  <c r="BW101" i="28" s="1"/>
  <c r="BU229" i="28"/>
  <c r="BV229" i="28" s="1"/>
  <c r="BW229" i="28" s="1"/>
  <c r="BP178" i="28"/>
  <c r="BQ178" i="28" s="1"/>
  <c r="BR178" i="28" s="1"/>
  <c r="BP242" i="28"/>
  <c r="BQ242" i="28" s="1"/>
  <c r="BR242" i="28" s="1"/>
  <c r="AI179" i="28"/>
  <c r="BU50" i="28"/>
  <c r="BV50" i="28" s="1"/>
  <c r="BW50" i="28" s="1"/>
  <c r="BU80" i="28"/>
  <c r="BV80" i="28" s="1"/>
  <c r="BW80" i="28" s="1"/>
  <c r="BU205" i="28"/>
  <c r="BV205" i="28" s="1"/>
  <c r="BW205" i="28" s="1"/>
  <c r="BP152" i="28"/>
  <c r="BQ152" i="28" s="1"/>
  <c r="BR152" i="28" s="1"/>
  <c r="BP216" i="28"/>
  <c r="BQ216" i="28" s="1"/>
  <c r="BR216" i="28" s="1"/>
  <c r="AI159" i="28"/>
  <c r="BP136" i="28"/>
  <c r="BQ136" i="28" s="1"/>
  <c r="BR136" i="28" s="1"/>
  <c r="AI176" i="28"/>
  <c r="AI192" i="28"/>
  <c r="AI224" i="28"/>
  <c r="BP240" i="28"/>
  <c r="BQ240" i="28" s="1"/>
  <c r="BR240" i="28" s="1"/>
  <c r="BP192" i="28"/>
  <c r="BQ192" i="28" s="1"/>
  <c r="BR192" i="28" s="1"/>
  <c r="AI188" i="28"/>
  <c r="AI234" i="28"/>
  <c r="AI250" i="28"/>
  <c r="AI266" i="28"/>
  <c r="AI282" i="28"/>
  <c r="AI298" i="28"/>
  <c r="AI320" i="28"/>
  <c r="AI336" i="28"/>
  <c r="AI352" i="28"/>
  <c r="AI368" i="28"/>
  <c r="AI384" i="28"/>
  <c r="AI400" i="28"/>
  <c r="AI416" i="28"/>
  <c r="AI432" i="28"/>
  <c r="AI448" i="28"/>
  <c r="AI464" i="28"/>
  <c r="AI480" i="28"/>
  <c r="AI496" i="28"/>
  <c r="W15" i="28"/>
  <c r="P26" i="28"/>
  <c r="AG29" i="28"/>
  <c r="AG40" i="28"/>
  <c r="AG7" i="28"/>
  <c r="AF15" i="28"/>
  <c r="AW25" i="28"/>
  <c r="AW5" i="28"/>
  <c r="AW12" i="28"/>
  <c r="AG18" i="28"/>
  <c r="P29" i="28"/>
  <c r="P15" i="28"/>
  <c r="P31" i="28"/>
  <c r="Z15" i="28"/>
  <c r="AG34" i="28"/>
  <c r="AG9" i="28"/>
  <c r="AG20" i="28"/>
  <c r="AG4" i="28"/>
  <c r="AW23" i="28"/>
  <c r="AG23" i="28"/>
  <c r="AW36" i="28"/>
  <c r="AW35" i="28"/>
  <c r="AG6" i="28"/>
  <c r="AG5" i="28"/>
  <c r="AB15" i="28"/>
  <c r="AG24" i="28"/>
  <c r="AO1" i="28"/>
  <c r="AW10" i="28"/>
  <c r="P25" i="28"/>
  <c r="AW4" i="28"/>
  <c r="AG21" i="28"/>
  <c r="AG39" i="28"/>
  <c r="AG11" i="28"/>
  <c r="AG22" i="28"/>
  <c r="P17" i="28"/>
  <c r="P36" i="28"/>
  <c r="AW33" i="28"/>
  <c r="X15" i="28"/>
  <c r="AJ1" i="28"/>
  <c r="P21" i="28"/>
  <c r="AW13" i="28"/>
  <c r="AG27" i="28"/>
  <c r="P22" i="28"/>
  <c r="AP1" i="28"/>
  <c r="AG10" i="28"/>
  <c r="AW9" i="28"/>
  <c r="P16" i="28"/>
  <c r="P27" i="28"/>
  <c r="AW7" i="28"/>
  <c r="V15" i="28"/>
  <c r="AG30" i="28"/>
  <c r="AG8" i="28"/>
  <c r="P24" i="28"/>
  <c r="AV1" i="28"/>
  <c r="AW6" i="28"/>
  <c r="AW27" i="28"/>
  <c r="P20" i="28"/>
  <c r="AS1" i="28"/>
  <c r="AG28" i="28"/>
  <c r="AW11" i="28"/>
  <c r="AW15" i="28"/>
  <c r="AH1" i="28"/>
  <c r="AG38" i="28"/>
  <c r="BU187" i="28"/>
  <c r="BV187" i="28" s="1"/>
  <c r="BW187" i="28" s="1"/>
  <c r="BU123" i="28"/>
  <c r="BV123" i="28" s="1"/>
  <c r="BW123" i="28" s="1"/>
  <c r="AI591" i="28"/>
  <c r="AI547" i="28"/>
  <c r="AI507" i="28"/>
  <c r="AI475" i="28"/>
  <c r="AI443" i="28"/>
  <c r="AI411" i="28"/>
  <c r="AI379" i="28"/>
  <c r="AI347" i="28"/>
  <c r="AI312" i="28"/>
  <c r="AR1" i="28"/>
  <c r="AW31" i="28"/>
  <c r="AQ1" i="28"/>
  <c r="P30" i="28"/>
  <c r="AG14" i="28"/>
  <c r="P34" i="28"/>
  <c r="AT1" i="28"/>
  <c r="AI1" i="28"/>
  <c r="P19" i="28"/>
  <c r="AW14" i="28"/>
  <c r="AG25" i="28"/>
  <c r="Q15" i="28"/>
  <c r="AW82" i="28"/>
  <c r="AS83" i="28" s="1"/>
  <c r="AK86" i="28" s="1"/>
  <c r="AK84" i="28" s="1"/>
  <c r="BR11" i="28"/>
  <c r="AB10" i="28" s="1"/>
  <c r="AX93" i="28" s="1"/>
  <c r="AW85" i="28"/>
  <c r="AS87" i="28" s="1"/>
  <c r="AG86" i="28" s="1"/>
  <c r="AG84" i="28" s="1"/>
  <c r="AS85" i="28"/>
  <c r="BF137" i="26"/>
  <c r="BH137" i="26"/>
  <c r="BF101" i="26"/>
  <c r="BH101" i="26"/>
  <c r="AH133" i="28"/>
  <c r="AH210" i="28"/>
  <c r="AH211" i="28"/>
  <c r="AH178" i="28"/>
  <c r="AH207" i="28"/>
  <c r="AH208" i="28"/>
  <c r="AH193" i="28"/>
  <c r="AH146" i="28"/>
  <c r="AH130" i="28"/>
  <c r="AH129" i="28"/>
  <c r="BF113" i="26"/>
  <c r="BH113" i="26"/>
  <c r="BF145" i="26"/>
  <c r="BH145" i="26"/>
  <c r="BF109" i="26"/>
  <c r="BH109" i="26"/>
  <c r="BF140" i="26"/>
  <c r="BH140" i="26"/>
  <c r="BF110" i="26"/>
  <c r="BH110" i="26"/>
  <c r="BF104" i="26"/>
  <c r="BH104" i="26"/>
  <c r="BF132" i="26"/>
  <c r="BH132" i="26"/>
  <c r="BF102" i="26"/>
  <c r="BH102" i="26"/>
  <c r="AG85" i="28"/>
  <c r="AJ85" i="28"/>
  <c r="AI85" i="28"/>
  <c r="AK85" i="28"/>
  <c r="AH85" i="28"/>
  <c r="AL9" i="13"/>
  <c r="AM9" i="13" s="1"/>
  <c r="AL12" i="13"/>
  <c r="AM12" i="13" s="1"/>
  <c r="AL10" i="13"/>
  <c r="AM10" i="13" s="1"/>
  <c r="AL11" i="13"/>
  <c r="AM11" i="13" s="1"/>
  <c r="AL13" i="13"/>
  <c r="AM13" i="13" s="1"/>
  <c r="AL14" i="13"/>
  <c r="AM14" i="13" s="1"/>
  <c r="BH88" i="26"/>
  <c r="BF88" i="26"/>
  <c r="BH121" i="26"/>
  <c r="BF121" i="26"/>
  <c r="BF153" i="26"/>
  <c r="BH153" i="26"/>
  <c r="BF85" i="26"/>
  <c r="BH85" i="26"/>
  <c r="BF116" i="26"/>
  <c r="BH116" i="26"/>
  <c r="BF148" i="26"/>
  <c r="BH148" i="26"/>
  <c r="AH145" i="28"/>
  <c r="BF86" i="26"/>
  <c r="BH86" i="26"/>
  <c r="AN14" i="13"/>
  <c r="AK15" i="13"/>
  <c r="AP14" i="13"/>
  <c r="AQ14" i="13" s="1"/>
  <c r="AR14" i="13" s="1"/>
  <c r="AH215" i="28"/>
  <c r="AH214" i="28"/>
  <c r="AH187" i="28"/>
  <c r="AH204" i="28"/>
  <c r="AH182" i="28"/>
  <c r="AH185" i="28"/>
  <c r="AH154" i="28"/>
  <c r="AH138" i="28"/>
  <c r="AH122" i="28"/>
  <c r="AH121" i="28"/>
  <c r="CD17" i="28"/>
  <c r="CJ17" i="28" s="1"/>
  <c r="CB18" i="28"/>
  <c r="BU17" i="28"/>
  <c r="P35" i="13"/>
  <c r="AA31" i="13"/>
  <c r="F19" i="13"/>
  <c r="F10" i="13"/>
  <c r="AA34" i="13"/>
  <c r="P28" i="13"/>
  <c r="AA17" i="13"/>
  <c r="X9" i="13"/>
  <c r="F37" i="13"/>
  <c r="AA32" i="13"/>
  <c r="AA20" i="13"/>
  <c r="P11" i="13"/>
  <c r="H9" i="13"/>
  <c r="AA23" i="13"/>
  <c r="P15" i="13"/>
  <c r="P9" i="13"/>
  <c r="P33" i="13"/>
  <c r="AH153" i="28"/>
  <c r="BH96" i="26"/>
  <c r="BF96" i="26"/>
  <c r="BH129" i="26"/>
  <c r="BF129" i="26"/>
  <c r="BF93" i="26"/>
  <c r="BH93" i="26"/>
  <c r="BF124" i="26"/>
  <c r="BH124" i="26"/>
  <c r="BF156" i="26"/>
  <c r="BH156" i="26"/>
  <c r="AH137" i="28"/>
  <c r="BH94" i="26"/>
  <c r="BF94" i="26"/>
  <c r="AX35" i="19"/>
  <c r="AX36" i="19"/>
  <c r="AG65" i="21"/>
  <c r="AD66" i="21"/>
  <c r="X60" i="19"/>
  <c r="S18" i="19" s="1"/>
  <c r="AD61" i="19"/>
  <c r="P30" i="29"/>
  <c r="C10" i="29"/>
  <c r="N19" i="29"/>
  <c r="M30" i="29"/>
  <c r="M31" i="29" s="1"/>
  <c r="N18" i="29"/>
  <c r="P29" i="29"/>
  <c r="M29" i="29"/>
  <c r="P31" i="29"/>
  <c r="Y14" i="29" s="1"/>
  <c r="N20" i="29"/>
  <c r="Q30" i="18"/>
  <c r="W71" i="18"/>
  <c r="W72" i="18" s="1"/>
  <c r="AG59" i="18" s="1"/>
  <c r="O30" i="18"/>
  <c r="O31" i="18" s="1"/>
  <c r="O29" i="18"/>
  <c r="O94" i="28"/>
  <c r="R111" i="28"/>
  <c r="R112" i="28" s="1"/>
  <c r="R113" i="28" s="1"/>
  <c r="R114" i="28" s="1"/>
  <c r="R115" i="28" s="1"/>
  <c r="R116" i="28" s="1"/>
  <c r="R117" i="28" s="1"/>
  <c r="R118" i="28" s="1"/>
  <c r="R119" i="28" s="1"/>
  <c r="R120" i="28" s="1"/>
  <c r="R121" i="28" s="1"/>
  <c r="R122" i="28" s="1"/>
  <c r="R123" i="28" s="1"/>
  <c r="R124" i="28" s="1"/>
  <c r="R125" i="28" s="1"/>
  <c r="R126" i="28" s="1"/>
  <c r="R127" i="28" s="1"/>
  <c r="R128" i="28" s="1"/>
  <c r="R129" i="28" s="1"/>
  <c r="R130" i="28" s="1"/>
  <c r="R131" i="28" s="1"/>
  <c r="R132" i="28" s="1"/>
  <c r="R133" i="28" s="1"/>
  <c r="R134" i="28" s="1"/>
  <c r="R135" i="28" s="1"/>
  <c r="R136" i="28" s="1"/>
  <c r="R137" i="28" s="1"/>
  <c r="R138" i="28" s="1"/>
  <c r="R139" i="28" s="1"/>
  <c r="R140" i="28" s="1"/>
  <c r="R141" i="28" s="1"/>
  <c r="R142" i="28" s="1"/>
  <c r="R143" i="28" s="1"/>
  <c r="R144" i="28" s="1"/>
  <c r="R145" i="28" s="1"/>
  <c r="R146" i="28" s="1"/>
  <c r="R147" i="28" s="1"/>
  <c r="R148" i="28" s="1"/>
  <c r="R149" i="28" s="1"/>
  <c r="R150" i="28" s="1"/>
  <c r="R151" i="28" s="1"/>
  <c r="R152" i="28" s="1"/>
  <c r="R153" i="28" s="1"/>
  <c r="R154" i="28" s="1"/>
  <c r="R155" i="28" s="1"/>
  <c r="R156" i="28" s="1"/>
  <c r="R157" i="28" s="1"/>
  <c r="R158" i="28" s="1"/>
  <c r="R159" i="28" s="1"/>
  <c r="R160" i="28" s="1"/>
  <c r="R161" i="28" s="1"/>
  <c r="R162" i="28" s="1"/>
  <c r="R163" i="28" s="1"/>
  <c r="R164" i="28" s="1"/>
  <c r="R165" i="28" s="1"/>
  <c r="R166" i="28" s="1"/>
  <c r="R167" i="28" s="1"/>
  <c r="R168" i="28" s="1"/>
  <c r="R169" i="28" s="1"/>
  <c r="R170" i="28" s="1"/>
  <c r="R171" i="28" s="1"/>
  <c r="R172" i="28" s="1"/>
  <c r="R173" i="28" s="1"/>
  <c r="R174" i="28" s="1"/>
  <c r="R175" i="28" s="1"/>
  <c r="R176" i="28" s="1"/>
  <c r="R177" i="28" s="1"/>
  <c r="R178" i="28" s="1"/>
  <c r="R179" i="28" s="1"/>
  <c r="R180" i="28" s="1"/>
  <c r="R181" i="28" s="1"/>
  <c r="R182" i="28" s="1"/>
  <c r="R183" i="28" s="1"/>
  <c r="R184" i="28" s="1"/>
  <c r="R185" i="28" s="1"/>
  <c r="R186" i="28" s="1"/>
  <c r="R187" i="28" s="1"/>
  <c r="R188" i="28" s="1"/>
  <c r="R189" i="28" s="1"/>
  <c r="R190" i="28" s="1"/>
  <c r="R191" i="28" s="1"/>
  <c r="R192" i="28" s="1"/>
  <c r="R193" i="28" s="1"/>
  <c r="R194" i="28" s="1"/>
  <c r="R195" i="28" s="1"/>
  <c r="R196" i="28" s="1"/>
  <c r="R197" i="28" s="1"/>
  <c r="R198" i="28" s="1"/>
  <c r="R199" i="28" s="1"/>
  <c r="R200" i="28" s="1"/>
  <c r="R201" i="28" s="1"/>
  <c r="R202" i="28" s="1"/>
  <c r="R203" i="28" s="1"/>
  <c r="R204" i="28" s="1"/>
  <c r="R205" i="28" s="1"/>
  <c r="R206" i="28" s="1"/>
  <c r="R207" i="28" s="1"/>
  <c r="R208" i="28" s="1"/>
  <c r="R209" i="28" s="1"/>
  <c r="R210" i="28" s="1"/>
  <c r="R211" i="28" s="1"/>
  <c r="R212" i="28" s="1"/>
  <c r="R213" i="28" s="1"/>
  <c r="R214" i="28" s="1"/>
  <c r="R215" i="28" s="1"/>
  <c r="R216" i="28" s="1"/>
  <c r="R217" i="28" s="1"/>
  <c r="R218" i="28" s="1"/>
  <c r="R219" i="28" s="1"/>
  <c r="R220" i="28" s="1"/>
  <c r="R221" i="28" s="1"/>
  <c r="R222" i="28" s="1"/>
  <c r="R223" i="28" s="1"/>
  <c r="R224" i="28" s="1"/>
  <c r="R225" i="28" s="1"/>
  <c r="R226" i="28" s="1"/>
  <c r="R227" i="28" s="1"/>
  <c r="R228" i="28" s="1"/>
  <c r="R229" i="28" s="1"/>
  <c r="R230" i="28" s="1"/>
  <c r="R231" i="28" s="1"/>
  <c r="R232" i="28" s="1"/>
  <c r="R233" i="28" s="1"/>
  <c r="R234" i="28" s="1"/>
  <c r="R235" i="28" s="1"/>
  <c r="R236" i="28" s="1"/>
  <c r="R237" i="28" s="1"/>
  <c r="R238" i="28" s="1"/>
  <c r="R239" i="28" s="1"/>
  <c r="R240" i="28" s="1"/>
  <c r="R241" i="28" s="1"/>
  <c r="R242" i="28" s="1"/>
  <c r="R243" i="28" s="1"/>
  <c r="R244" i="28" s="1"/>
  <c r="R245" i="28" s="1"/>
  <c r="R246" i="28" s="1"/>
  <c r="R247" i="28" s="1"/>
  <c r="R248" i="28" s="1"/>
  <c r="R249" i="28" s="1"/>
  <c r="R250" i="28" s="1"/>
  <c r="R251" i="28" s="1"/>
  <c r="R252" i="28" s="1"/>
  <c r="R253" i="28" s="1"/>
  <c r="R254" i="28" s="1"/>
  <c r="R255" i="28" s="1"/>
  <c r="R256" i="28" s="1"/>
  <c r="R257" i="28" s="1"/>
  <c r="R258" i="28" s="1"/>
  <c r="R259" i="28" s="1"/>
  <c r="R260" i="28" s="1"/>
  <c r="R261" i="28" s="1"/>
  <c r="R262" i="28" s="1"/>
  <c r="R263" i="28" s="1"/>
  <c r="R264" i="28" s="1"/>
  <c r="R265" i="28" s="1"/>
  <c r="R266" i="28" s="1"/>
  <c r="R267" i="28" s="1"/>
  <c r="R268" i="28" s="1"/>
  <c r="R269" i="28" s="1"/>
  <c r="R270" i="28" s="1"/>
  <c r="R271" i="28" s="1"/>
  <c r="R272" i="28" s="1"/>
  <c r="R273" i="28" s="1"/>
  <c r="R274" i="28" s="1"/>
  <c r="R275" i="28" s="1"/>
  <c r="R276" i="28" s="1"/>
  <c r="R277" i="28" s="1"/>
  <c r="R278" i="28" s="1"/>
  <c r="R279" i="28" s="1"/>
  <c r="R280" i="28" s="1"/>
  <c r="R281" i="28" s="1"/>
  <c r="R282" i="28" s="1"/>
  <c r="R283" i="28" s="1"/>
  <c r="R284" i="28" s="1"/>
  <c r="R285" i="28" s="1"/>
  <c r="R286" i="28" s="1"/>
  <c r="R287" i="28" s="1"/>
  <c r="R288" i="28" s="1"/>
  <c r="R289" i="28" s="1"/>
  <c r="R290" i="28" s="1"/>
  <c r="R291" i="28" s="1"/>
  <c r="R292" i="28" s="1"/>
  <c r="R293" i="28" s="1"/>
  <c r="R294" i="28" s="1"/>
  <c r="R295" i="28" s="1"/>
  <c r="R296" i="28" s="1"/>
  <c r="R297" i="28" s="1"/>
  <c r="R298" i="28" s="1"/>
  <c r="R299" i="28" s="1"/>
  <c r="R300" i="28" s="1"/>
  <c r="R301" i="28" s="1"/>
  <c r="R302" i="28" s="1"/>
  <c r="R303" i="28" s="1"/>
  <c r="R304" i="28" s="1"/>
  <c r="R305" i="28" s="1"/>
  <c r="R306" i="28" s="1"/>
  <c r="R307" i="28" s="1"/>
  <c r="R308" i="28" s="1"/>
  <c r="R309" i="28" s="1"/>
  <c r="R310" i="28" s="1"/>
  <c r="R311" i="28" s="1"/>
  <c r="AH115" i="28"/>
  <c r="AH116" i="28"/>
  <c r="AH162" i="28"/>
  <c r="AH161" i="28"/>
  <c r="AH166" i="28"/>
  <c r="AH165" i="28"/>
  <c r="AH170" i="28"/>
  <c r="AH169" i="28"/>
  <c r="AH174" i="28"/>
  <c r="AH173" i="28"/>
  <c r="AH200" i="28"/>
  <c r="AH201" i="28"/>
  <c r="AH217" i="28"/>
  <c r="AH216" i="28"/>
  <c r="AH219" i="28"/>
  <c r="AH218" i="28"/>
  <c r="AH221" i="28"/>
  <c r="AH220" i="28"/>
  <c r="AH223" i="28"/>
  <c r="AH222" i="28"/>
  <c r="AH225" i="28"/>
  <c r="AH224" i="28"/>
  <c r="BF78" i="26"/>
  <c r="BH78" i="26"/>
  <c r="AF15" i="27"/>
  <c r="AH186" i="28"/>
  <c r="BF75" i="26"/>
  <c r="BF77" i="26"/>
  <c r="BF76" i="26"/>
  <c r="BF79" i="26"/>
  <c r="BF73" i="26"/>
  <c r="BF72" i="26"/>
  <c r="Q21" i="21"/>
  <c r="Q23" i="21"/>
  <c r="Q25" i="21"/>
  <c r="Q27" i="21"/>
  <c r="Q29" i="21"/>
  <c r="Q31" i="21"/>
  <c r="Q33" i="21"/>
  <c r="Q35" i="21"/>
  <c r="Q37" i="21"/>
  <c r="Q39" i="21"/>
  <c r="Q41" i="21"/>
  <c r="Q43" i="21"/>
  <c r="Q45" i="21"/>
  <c r="Q47" i="21"/>
  <c r="Q49" i="21"/>
  <c r="Q51" i="21"/>
  <c r="Q53" i="21"/>
  <c r="Q55" i="21"/>
  <c r="Q57" i="21"/>
  <c r="Q59" i="21"/>
  <c r="Q61" i="21"/>
  <c r="Q63" i="21"/>
  <c r="Q65" i="21"/>
  <c r="Q67" i="21"/>
  <c r="Q69" i="21"/>
  <c r="Q71" i="21"/>
  <c r="Q73" i="21"/>
  <c r="Q75" i="21"/>
  <c r="Q77" i="21"/>
  <c r="Q79" i="21"/>
  <c r="Q81" i="21"/>
  <c r="Q83" i="21"/>
  <c r="Q85" i="21"/>
  <c r="Q87" i="21"/>
  <c r="Q89" i="21"/>
  <c r="Q91" i="21"/>
  <c r="Q93" i="21"/>
  <c r="Q95" i="21"/>
  <c r="Q97" i="21"/>
  <c r="Q99" i="21"/>
  <c r="Q101" i="21"/>
  <c r="Q103" i="21"/>
  <c r="Q105" i="21"/>
  <c r="Q107" i="21"/>
  <c r="Q109" i="21"/>
  <c r="Q111" i="21"/>
  <c r="Q22" i="21"/>
  <c r="Q24" i="21"/>
  <c r="Q26" i="21"/>
  <c r="Q28" i="21"/>
  <c r="Q30" i="21"/>
  <c r="Q32" i="21"/>
  <c r="Q34" i="21"/>
  <c r="Q36" i="21"/>
  <c r="Q38" i="21"/>
  <c r="Q40" i="21"/>
  <c r="Q42" i="21"/>
  <c r="Q44" i="21"/>
  <c r="Q46" i="21"/>
  <c r="Q48" i="21"/>
  <c r="Q50" i="21"/>
  <c r="Q52" i="21"/>
  <c r="Q54" i="21"/>
  <c r="Q56" i="21"/>
  <c r="Q58" i="21"/>
  <c r="Q60" i="21"/>
  <c r="Q62" i="21"/>
  <c r="Q64" i="21"/>
  <c r="Q66" i="21"/>
  <c r="Q68" i="21"/>
  <c r="Q70" i="21"/>
  <c r="Q72" i="21"/>
  <c r="Q74" i="21"/>
  <c r="Q76" i="21"/>
  <c r="Q78" i="21"/>
  <c r="Q80" i="21"/>
  <c r="Q82" i="21"/>
  <c r="Q84" i="21"/>
  <c r="Q86" i="21"/>
  <c r="Q88" i="21"/>
  <c r="Q90" i="21"/>
  <c r="Q92" i="21"/>
  <c r="Q94" i="21"/>
  <c r="Q96" i="21"/>
  <c r="Q98" i="21"/>
  <c r="Q100" i="21"/>
  <c r="Q102" i="21"/>
  <c r="Q104" i="21"/>
  <c r="Q106" i="21"/>
  <c r="Q108" i="21"/>
  <c r="Q110" i="21"/>
  <c r="Q112" i="21"/>
  <c r="AC19" i="21"/>
  <c r="T22" i="21"/>
  <c r="T24" i="21"/>
  <c r="T26" i="21"/>
  <c r="T28" i="21"/>
  <c r="T30" i="21"/>
  <c r="T32" i="21"/>
  <c r="T34" i="21"/>
  <c r="T36" i="21"/>
  <c r="T38" i="21"/>
  <c r="T40" i="21"/>
  <c r="T42" i="21"/>
  <c r="T44" i="21"/>
  <c r="T46" i="21"/>
  <c r="T48" i="21"/>
  <c r="T50" i="21"/>
  <c r="T52" i="21"/>
  <c r="T54" i="21"/>
  <c r="T56" i="21"/>
  <c r="T58" i="21"/>
  <c r="T60" i="21"/>
  <c r="T62" i="21"/>
  <c r="T64" i="21"/>
  <c r="T66" i="21"/>
  <c r="T68" i="21"/>
  <c r="T70" i="21"/>
  <c r="T72" i="21"/>
  <c r="T74" i="21"/>
  <c r="T76" i="21"/>
  <c r="T78" i="21"/>
  <c r="T80" i="21"/>
  <c r="T82" i="21"/>
  <c r="T84" i="21"/>
  <c r="T86" i="21"/>
  <c r="T88" i="21"/>
  <c r="T90" i="21"/>
  <c r="T92" i="21"/>
  <c r="T94" i="21"/>
  <c r="T96" i="21"/>
  <c r="T98" i="21"/>
  <c r="T100" i="21"/>
  <c r="T102" i="21"/>
  <c r="T104" i="21"/>
  <c r="T106" i="21"/>
  <c r="T108" i="21"/>
  <c r="T110" i="21"/>
  <c r="T112" i="21"/>
  <c r="R22" i="21"/>
  <c r="R24" i="21"/>
  <c r="R26" i="21"/>
  <c r="R28" i="21"/>
  <c r="R30" i="21"/>
  <c r="R32" i="21"/>
  <c r="R34" i="21"/>
  <c r="R36" i="21"/>
  <c r="R38" i="21"/>
  <c r="R40" i="21"/>
  <c r="R42" i="21"/>
  <c r="R44" i="21"/>
  <c r="R46" i="21"/>
  <c r="R48" i="21"/>
  <c r="R50" i="21"/>
  <c r="R52" i="21"/>
  <c r="R54" i="21"/>
  <c r="R56" i="21"/>
  <c r="R58" i="21"/>
  <c r="R60" i="21"/>
  <c r="R62" i="21"/>
  <c r="R64" i="21"/>
  <c r="R66" i="21"/>
  <c r="R68" i="21"/>
  <c r="R70" i="21"/>
  <c r="R72" i="21"/>
  <c r="R74" i="21"/>
  <c r="R76" i="21"/>
  <c r="R78" i="21"/>
  <c r="R80" i="21"/>
  <c r="R82" i="21"/>
  <c r="R84" i="21"/>
  <c r="R86" i="21"/>
  <c r="R88" i="21"/>
  <c r="R90" i="21"/>
  <c r="R92" i="21"/>
  <c r="R94" i="21"/>
  <c r="R96" i="21"/>
  <c r="R98" i="21"/>
  <c r="R100" i="21"/>
  <c r="R102" i="21"/>
  <c r="R104" i="21"/>
  <c r="R106" i="21"/>
  <c r="R108" i="21"/>
  <c r="R110" i="21"/>
  <c r="R112" i="21"/>
  <c r="V8" i="21"/>
  <c r="T21" i="21"/>
  <c r="T23" i="21"/>
  <c r="T25" i="21"/>
  <c r="T27" i="21"/>
  <c r="T29" i="21"/>
  <c r="T31" i="21"/>
  <c r="T33" i="21"/>
  <c r="T35" i="21"/>
  <c r="T37" i="21"/>
  <c r="T39" i="21"/>
  <c r="T41" i="21"/>
  <c r="T43" i="21"/>
  <c r="T45" i="21"/>
  <c r="T47" i="21"/>
  <c r="T49" i="21"/>
  <c r="T51" i="21"/>
  <c r="T53" i="21"/>
  <c r="T55" i="21"/>
  <c r="T57" i="21"/>
  <c r="T59" i="21"/>
  <c r="T61" i="21"/>
  <c r="T63" i="21"/>
  <c r="T65" i="21"/>
  <c r="T67" i="21"/>
  <c r="T69" i="21"/>
  <c r="T71" i="21"/>
  <c r="T73" i="21"/>
  <c r="T75" i="21"/>
  <c r="T77" i="21"/>
  <c r="T79" i="21"/>
  <c r="T81" i="21"/>
  <c r="T83" i="21"/>
  <c r="T85" i="21"/>
  <c r="T87" i="21"/>
  <c r="T89" i="21"/>
  <c r="T91" i="21"/>
  <c r="T93" i="21"/>
  <c r="T95" i="21"/>
  <c r="T97" i="21"/>
  <c r="T99" i="21"/>
  <c r="T101" i="21"/>
  <c r="T103" i="21"/>
  <c r="T105" i="21"/>
  <c r="T107" i="21"/>
  <c r="T109" i="21"/>
  <c r="T111" i="21"/>
  <c r="R21" i="21"/>
  <c r="R23" i="21"/>
  <c r="R25" i="21"/>
  <c r="R27" i="21"/>
  <c r="R29" i="21"/>
  <c r="R31" i="21"/>
  <c r="R33" i="21"/>
  <c r="R35" i="21"/>
  <c r="R37" i="21"/>
  <c r="R39" i="21"/>
  <c r="R41" i="21"/>
  <c r="R43" i="21"/>
  <c r="R45" i="21"/>
  <c r="R47" i="21"/>
  <c r="R49" i="21"/>
  <c r="R51" i="21"/>
  <c r="R53" i="21"/>
  <c r="R55" i="21"/>
  <c r="R57" i="21"/>
  <c r="R59" i="21"/>
  <c r="R61" i="21"/>
  <c r="R63" i="21"/>
  <c r="R65" i="21"/>
  <c r="R67" i="21"/>
  <c r="R69" i="21"/>
  <c r="R71" i="21"/>
  <c r="R73" i="21"/>
  <c r="R75" i="21"/>
  <c r="R77" i="21"/>
  <c r="R79" i="21"/>
  <c r="R81" i="21"/>
  <c r="R83" i="21"/>
  <c r="R85" i="21"/>
  <c r="R87" i="21"/>
  <c r="R89" i="21"/>
  <c r="R91" i="21"/>
  <c r="R93" i="21"/>
  <c r="R95" i="21"/>
  <c r="R97" i="21"/>
  <c r="R99" i="21"/>
  <c r="R101" i="21"/>
  <c r="R103" i="21"/>
  <c r="R105" i="21"/>
  <c r="R107" i="21"/>
  <c r="R109" i="21"/>
  <c r="R111" i="21"/>
  <c r="AG8" i="21"/>
  <c r="D14" i="21" s="1"/>
  <c r="AG6" i="21"/>
  <c r="AP67" i="21"/>
  <c r="AO63" i="21"/>
  <c r="AM72" i="21"/>
  <c r="AM74" i="21"/>
  <c r="AB76" i="21"/>
  <c r="AK77" i="21"/>
  <c r="AM78" i="21"/>
  <c r="AB80" i="21"/>
  <c r="AK81" i="21"/>
  <c r="AM82" i="21"/>
  <c r="AK84" i="21"/>
  <c r="AB86" i="21"/>
  <c r="AL87" i="21"/>
  <c r="AA89" i="21"/>
  <c r="AM90" i="21"/>
  <c r="AK92" i="21"/>
  <c r="AB94" i="21"/>
  <c r="AL95" i="21"/>
  <c r="AA97" i="21"/>
  <c r="AM98" i="21"/>
  <c r="AK100" i="21"/>
  <c r="AB102" i="21"/>
  <c r="AL103" i="21"/>
  <c r="AA105" i="21"/>
  <c r="AM106" i="21"/>
  <c r="AK108" i="21"/>
  <c r="AB110" i="21"/>
  <c r="AL111" i="21"/>
  <c r="AA113" i="21"/>
  <c r="AM114" i="21"/>
  <c r="AK116" i="21"/>
  <c r="AB118" i="21"/>
  <c r="AL119" i="21"/>
  <c r="AA121" i="21"/>
  <c r="AM122" i="21"/>
  <c r="AK124" i="21"/>
  <c r="AB126" i="21"/>
  <c r="AL127" i="21"/>
  <c r="AA129" i="21"/>
  <c r="AM130" i="21"/>
  <c r="AK132" i="21"/>
  <c r="AB134" i="21"/>
  <c r="AL135" i="21"/>
  <c r="AA137" i="21"/>
  <c r="AM138" i="21"/>
  <c r="AK140" i="21"/>
  <c r="AB142" i="21"/>
  <c r="AL143" i="21"/>
  <c r="AA145" i="21"/>
  <c r="AM146" i="21"/>
  <c r="AK148" i="21"/>
  <c r="AB150" i="21"/>
  <c r="AL151" i="21"/>
  <c r="AK161" i="21"/>
  <c r="AM159" i="21"/>
  <c r="AA158" i="21"/>
  <c r="AL156" i="21"/>
  <c r="AB155" i="21"/>
  <c r="AK153" i="21"/>
  <c r="AB151" i="21"/>
  <c r="AM147" i="21"/>
  <c r="AK145" i="21"/>
  <c r="AA142" i="21"/>
  <c r="AL138" i="21"/>
  <c r="AB135" i="21"/>
  <c r="AM131" i="21"/>
  <c r="AK129" i="21"/>
  <c r="AA126" i="21"/>
  <c r="AL122" i="21"/>
  <c r="AB119" i="21"/>
  <c r="AM115" i="21"/>
  <c r="AK113" i="21"/>
  <c r="AA110" i="21"/>
  <c r="AL106" i="21"/>
  <c r="AB103" i="21"/>
  <c r="AM99" i="21"/>
  <c r="AK97" i="21"/>
  <c r="AA94" i="21"/>
  <c r="AL90" i="21"/>
  <c r="AB87" i="21"/>
  <c r="AM83" i="21"/>
  <c r="AL80" i="21"/>
  <c r="AL76" i="21"/>
  <c r="AL72" i="21"/>
  <c r="AC16" i="21"/>
  <c r="AP65" i="21"/>
  <c r="AB33" i="21"/>
  <c r="AK72" i="21"/>
  <c r="AK74" i="21"/>
  <c r="AB77" i="21"/>
  <c r="AM79" i="21"/>
  <c r="AK82" i="21"/>
  <c r="AL85" i="21"/>
  <c r="AM88" i="21"/>
  <c r="AB92" i="21"/>
  <c r="AA95" i="21"/>
  <c r="AK98" i="21"/>
  <c r="AL101" i="21"/>
  <c r="AM104" i="21"/>
  <c r="AB108" i="21"/>
  <c r="AA111" i="21"/>
  <c r="AK114" i="21"/>
  <c r="AL117" i="21"/>
  <c r="AM120" i="21"/>
  <c r="AB124" i="21"/>
  <c r="AA127" i="21"/>
  <c r="AK130" i="21"/>
  <c r="AL133" i="21"/>
  <c r="AM136" i="21"/>
  <c r="AB140" i="21"/>
  <c r="AA143" i="21"/>
  <c r="AK146" i="21"/>
  <c r="AL149" i="21"/>
  <c r="AM161" i="21"/>
  <c r="AL158" i="21"/>
  <c r="AK155" i="21"/>
  <c r="AM151" i="21"/>
  <c r="AA146" i="21"/>
  <c r="AB139" i="21"/>
  <c r="AK133" i="21"/>
  <c r="AL126" i="21"/>
  <c r="AM119" i="21"/>
  <c r="AA114" i="21"/>
  <c r="AB107" i="21"/>
  <c r="AK101" i="21"/>
  <c r="AL94" i="21"/>
  <c r="AM87" i="21"/>
  <c r="AA82" i="21"/>
  <c r="AA74" i="21"/>
  <c r="AO69" i="21"/>
  <c r="AN65" i="21"/>
  <c r="AA75" i="21"/>
  <c r="AK83" i="21"/>
  <c r="AB89" i="21"/>
  <c r="AA96" i="21"/>
  <c r="AM101" i="21"/>
  <c r="AL108" i="21"/>
  <c r="AK115" i="21"/>
  <c r="AB121" i="21"/>
  <c r="AA128" i="21"/>
  <c r="AM133" i="21"/>
  <c r="AL140" i="21"/>
  <c r="AK147" i="21"/>
  <c r="AM152" i="21"/>
  <c r="AB156" i="21"/>
  <c r="AA159" i="21"/>
  <c r="AK162" i="21"/>
  <c r="AL71" i="21"/>
  <c r="AL79" i="21"/>
  <c r="AK87" i="21"/>
  <c r="AB93" i="21"/>
  <c r="AA100" i="21"/>
  <c r="AM105" i="21"/>
  <c r="AL112" i="21"/>
  <c r="AK119" i="21"/>
  <c r="AB125" i="21"/>
  <c r="AA132" i="21"/>
  <c r="AM137" i="21"/>
  <c r="AL144" i="21"/>
  <c r="AK151" i="21"/>
  <c r="AM154" i="21"/>
  <c r="AB158" i="21"/>
  <c r="AA161" i="21"/>
  <c r="AB63" i="21"/>
  <c r="AA64" i="21"/>
  <c r="AL65" i="21"/>
  <c r="AL66" i="21"/>
  <c r="AM67" i="21"/>
  <c r="AM68" i="21"/>
  <c r="AA69" i="21"/>
  <c r="AM70" i="21"/>
  <c r="AK63" i="21"/>
  <c r="AK69" i="21"/>
  <c r="AA16" i="21"/>
  <c r="AB71" i="21"/>
  <c r="AB73" i="21"/>
  <c r="AB75" i="21"/>
  <c r="AM77" i="21"/>
  <c r="AK80" i="21"/>
  <c r="AA83" i="21"/>
  <c r="AK86" i="21"/>
  <c r="AL89" i="21"/>
  <c r="AM92" i="21"/>
  <c r="AB96" i="21"/>
  <c r="AA99" i="21"/>
  <c r="AK102" i="21"/>
  <c r="AL105" i="21"/>
  <c r="AM108" i="21"/>
  <c r="AB112" i="21"/>
  <c r="AA115" i="21"/>
  <c r="AK118" i="21"/>
  <c r="AL121" i="21"/>
  <c r="AM124" i="21"/>
  <c r="AB128" i="21"/>
  <c r="AA131" i="21"/>
  <c r="AK134" i="21"/>
  <c r="AL137" i="21"/>
  <c r="AM140" i="21"/>
  <c r="AB144" i="21"/>
  <c r="AA147" i="21"/>
  <c r="AK150" i="21"/>
  <c r="AL162" i="21"/>
  <c r="AK159" i="21"/>
  <c r="AA156" i="21"/>
  <c r="AB153" i="21"/>
  <c r="AB147" i="21"/>
  <c r="AK141" i="21"/>
  <c r="AL134" i="21"/>
  <c r="AM127" i="21"/>
  <c r="AA122" i="21"/>
  <c r="AB115" i="21"/>
  <c r="AK109" i="21"/>
  <c r="AL102" i="21"/>
  <c r="AM95" i="21"/>
  <c r="AA90" i="21"/>
  <c r="AB83" i="21"/>
  <c r="AA76" i="21"/>
  <c r="AO65" i="21"/>
  <c r="AA73" i="21"/>
  <c r="AA81" i="21"/>
  <c r="AA88" i="21"/>
  <c r="AM93" i="21"/>
  <c r="AL100" i="21"/>
  <c r="AK107" i="21"/>
  <c r="AB113" i="21"/>
  <c r="AA120" i="21"/>
  <c r="AM125" i="21"/>
  <c r="AL132" i="21"/>
  <c r="AK139" i="21"/>
  <c r="AB145" i="21"/>
  <c r="AA152" i="21"/>
  <c r="AA155" i="21"/>
  <c r="AK158" i="21"/>
  <c r="AL161" i="21"/>
  <c r="AP63" i="21"/>
  <c r="AL77" i="21"/>
  <c r="AB85" i="21"/>
  <c r="AA92" i="21"/>
  <c r="AM97" i="21"/>
  <c r="AL104" i="21"/>
  <c r="AK111" i="21"/>
  <c r="AB117" i="21"/>
  <c r="AA124" i="21"/>
  <c r="AM129" i="21"/>
  <c r="AL136" i="21"/>
  <c r="AK143" i="21"/>
  <c r="AB149" i="21"/>
  <c r="AB154" i="21"/>
  <c r="AA157" i="21"/>
  <c r="AK160" i="21"/>
  <c r="AA63" i="21"/>
  <c r="AB66" i="21"/>
  <c r="AL67" i="21"/>
  <c r="AL70" i="21"/>
  <c r="AK65" i="21"/>
  <c r="AM64" i="21"/>
  <c r="AM65" i="21"/>
  <c r="AB68" i="21"/>
  <c r="AL69" i="21"/>
  <c r="AK70" i="21"/>
  <c r="AK68" i="21"/>
  <c r="AA15" i="21"/>
  <c r="AM73" i="21"/>
  <c r="AM76" i="21"/>
  <c r="AK79" i="21"/>
  <c r="AB82" i="21"/>
  <c r="AA85" i="21"/>
  <c r="AK88" i="21"/>
  <c r="AL91" i="21"/>
  <c r="AM94" i="21"/>
  <c r="AB98" i="21"/>
  <c r="AA101" i="21"/>
  <c r="AK104" i="21"/>
  <c r="AL107" i="21"/>
  <c r="AM110" i="21"/>
  <c r="AB114" i="21"/>
  <c r="AA117" i="21"/>
  <c r="AK120" i="21"/>
  <c r="AL123" i="21"/>
  <c r="AM126" i="21"/>
  <c r="AB130" i="21"/>
  <c r="AA133" i="21"/>
  <c r="AK136" i="21"/>
  <c r="AL139" i="21"/>
  <c r="AM142" i="21"/>
  <c r="AB146" i="21"/>
  <c r="AA149" i="21"/>
  <c r="AA162" i="21"/>
  <c r="AB159" i="21"/>
  <c r="AM155" i="21"/>
  <c r="AL152" i="21"/>
  <c r="AL146" i="21"/>
  <c r="AM139" i="21"/>
  <c r="AA134" i="21"/>
  <c r="AB127" i="21"/>
  <c r="AK121" i="21"/>
  <c r="AL114" i="21"/>
  <c r="AM107" i="21"/>
  <c r="AA102" i="21"/>
  <c r="AB95" i="21"/>
  <c r="AK89" i="21"/>
  <c r="AL82" i="21"/>
  <c r="AL74" i="21"/>
  <c r="AO67" i="21"/>
  <c r="AK71" i="21"/>
  <c r="AM75" i="21"/>
  <c r="AB81" i="21"/>
  <c r="AA87" i="21"/>
  <c r="AL93" i="21"/>
  <c r="AB100" i="21"/>
  <c r="AK106" i="21"/>
  <c r="AM112" i="21"/>
  <c r="AA119" i="21"/>
  <c r="AL125" i="21"/>
  <c r="AB132" i="21"/>
  <c r="AK138" i="21"/>
  <c r="AM144" i="21"/>
  <c r="AA151" i="21"/>
  <c r="AB157" i="21"/>
  <c r="AK149" i="21"/>
  <c r="AM135" i="21"/>
  <c r="AB123" i="21"/>
  <c r="AL110" i="21"/>
  <c r="AA98" i="21"/>
  <c r="AK85" i="21"/>
  <c r="AA19" i="21"/>
  <c r="AA71" i="21"/>
  <c r="AM85" i="21"/>
  <c r="AK99" i="21"/>
  <c r="AA112" i="21"/>
  <c r="AL124" i="21"/>
  <c r="AB137" i="21"/>
  <c r="AM149" i="21"/>
  <c r="AL157" i="21"/>
  <c r="AA18" i="21"/>
  <c r="AA84" i="21"/>
  <c r="AL96" i="21"/>
  <c r="AB109" i="21"/>
  <c r="AM121" i="21"/>
  <c r="AK135" i="21"/>
  <c r="AA148" i="21"/>
  <c r="AK156" i="21"/>
  <c r="AM162" i="21"/>
  <c r="AB64" i="21"/>
  <c r="AM66" i="21"/>
  <c r="AL68" i="21"/>
  <c r="AA70" i="21"/>
  <c r="AP69" i="21"/>
  <c r="AB72" i="21"/>
  <c r="AK76" i="21"/>
  <c r="AM81" i="21"/>
  <c r="AB88" i="21"/>
  <c r="AK94" i="21"/>
  <c r="AM100" i="21"/>
  <c r="AA107" i="21"/>
  <c r="AL113" i="21"/>
  <c r="AB120" i="21"/>
  <c r="AK126" i="21"/>
  <c r="AM132" i="21"/>
  <c r="AA139" i="21"/>
  <c r="AL145" i="21"/>
  <c r="AB152" i="21"/>
  <c r="AM157" i="21"/>
  <c r="AL150" i="21"/>
  <c r="AA138" i="21"/>
  <c r="AK125" i="21"/>
  <c r="AM111" i="21"/>
  <c r="AB99" i="21"/>
  <c r="AL86" i="21"/>
  <c r="AA72" i="21"/>
  <c r="AA77" i="21"/>
  <c r="AK91" i="21"/>
  <c r="AA104" i="21"/>
  <c r="AL116" i="21"/>
  <c r="AB129" i="21"/>
  <c r="AM141" i="21"/>
  <c r="AL153" i="21"/>
  <c r="AB160" i="21"/>
  <c r="AL73" i="21"/>
  <c r="AL88" i="21"/>
  <c r="AB101" i="21"/>
  <c r="AM113" i="21"/>
  <c r="AK127" i="21"/>
  <c r="AA140" i="21"/>
  <c r="AK152" i="21"/>
  <c r="AM158" i="21"/>
  <c r="AL64" i="21"/>
  <c r="AB69" i="21"/>
  <c r="AM63" i="21"/>
  <c r="AA66" i="21"/>
  <c r="AB70" i="21"/>
  <c r="AM71" i="21"/>
  <c r="AK75" i="21"/>
  <c r="AB78" i="21"/>
  <c r="AM80" i="21"/>
  <c r="AL83" i="21"/>
  <c r="AM86" i="21"/>
  <c r="AB90" i="21"/>
  <c r="AA93" i="21"/>
  <c r="AK96" i="21"/>
  <c r="AL99" i="21"/>
  <c r="AM102" i="21"/>
  <c r="AB106" i="21"/>
  <c r="AA109" i="21"/>
  <c r="AK112" i="21"/>
  <c r="AL115" i="21"/>
  <c r="AM118" i="21"/>
  <c r="AB122" i="21"/>
  <c r="AA125" i="21"/>
  <c r="AK128" i="21"/>
  <c r="AL131" i="21"/>
  <c r="AM134" i="21"/>
  <c r="AB138" i="21"/>
  <c r="AA141" i="21"/>
  <c r="AK144" i="21"/>
  <c r="AL147" i="21"/>
  <c r="AM150" i="21"/>
  <c r="AL160" i="21"/>
  <c r="AK157" i="21"/>
  <c r="AA154" i="21"/>
  <c r="AA150" i="21"/>
  <c r="AB143" i="21"/>
  <c r="AK137" i="21"/>
  <c r="AL130" i="21"/>
  <c r="AM123" i="21"/>
  <c r="AA118" i="21"/>
  <c r="AB111" i="21"/>
  <c r="AK105" i="21"/>
  <c r="AL98" i="21"/>
  <c r="AM91" i="21"/>
  <c r="AA86" i="21"/>
  <c r="AL78" i="21"/>
  <c r="AN63" i="21"/>
  <c r="AK73" i="21"/>
  <c r="AK78" i="21"/>
  <c r="AB84" i="21"/>
  <c r="AK90" i="21"/>
  <c r="AM96" i="21"/>
  <c r="AA103" i="21"/>
  <c r="AL109" i="21"/>
  <c r="AB116" i="21"/>
  <c r="AK122" i="21"/>
  <c r="AM128" i="21"/>
  <c r="AA135" i="21"/>
  <c r="AL141" i="21"/>
  <c r="AB148" i="21"/>
  <c r="AA160" i="21"/>
  <c r="AM153" i="21"/>
  <c r="AL142" i="21"/>
  <c r="AA130" i="21"/>
  <c r="AK117" i="21"/>
  <c r="AM103" i="21"/>
  <c r="AB91" i="21"/>
  <c r="AA78" i="21"/>
  <c r="AN69" i="21"/>
  <c r="AA79" i="21"/>
  <c r="AL92" i="21"/>
  <c r="AB105" i="21"/>
  <c r="AM117" i="21"/>
  <c r="AK131" i="21"/>
  <c r="AA144" i="21"/>
  <c r="AK154" i="21"/>
  <c r="AM160" i="21"/>
  <c r="AL75" i="21"/>
  <c r="AM89" i="21"/>
  <c r="AK103" i="21"/>
  <c r="AA116" i="21"/>
  <c r="AL128" i="21"/>
  <c r="AB141" i="21"/>
  <c r="AA153" i="21"/>
  <c r="AL159" i="21"/>
  <c r="AL63" i="21"/>
  <c r="AB65" i="21"/>
  <c r="AA67" i="21"/>
  <c r="AM69" i="21"/>
  <c r="AK67" i="21"/>
  <c r="Z33" i="21"/>
  <c r="AB74" i="21"/>
  <c r="AB79" i="21"/>
  <c r="AM84" i="21"/>
  <c r="AA91" i="21"/>
  <c r="AL97" i="21"/>
  <c r="AB104" i="21"/>
  <c r="AK110" i="21"/>
  <c r="AM116" i="21"/>
  <c r="AA123" i="21"/>
  <c r="AL129" i="21"/>
  <c r="AB136" i="21"/>
  <c r="AK142" i="21"/>
  <c r="AM148" i="21"/>
  <c r="AB161" i="21"/>
  <c r="AL154" i="21"/>
  <c r="AM143" i="21"/>
  <c r="AB131" i="21"/>
  <c r="AL118" i="21"/>
  <c r="AA106" i="21"/>
  <c r="AK93" i="21"/>
  <c r="AA80" i="21"/>
  <c r="AC15" i="21"/>
  <c r="AL84" i="21"/>
  <c r="AB97" i="21"/>
  <c r="AM109" i="21"/>
  <c r="AK123" i="21"/>
  <c r="AA136" i="21"/>
  <c r="AL148" i="21"/>
  <c r="AM156" i="21"/>
  <c r="AN67" i="21"/>
  <c r="AL81" i="21"/>
  <c r="AK95" i="21"/>
  <c r="AA108" i="21"/>
  <c r="AL120" i="21"/>
  <c r="AB133" i="21"/>
  <c r="AM145" i="21"/>
  <c r="AL155" i="21"/>
  <c r="AB162" i="21"/>
  <c r="AB67" i="21"/>
  <c r="AK64" i="21"/>
  <c r="AA65" i="21"/>
  <c r="AA68" i="21"/>
  <c r="AK66" i="21"/>
  <c r="O25" i="18"/>
  <c r="W59" i="18"/>
  <c r="W61" i="18"/>
  <c r="N22" i="18"/>
  <c r="N21" i="18"/>
  <c r="AF54" i="18"/>
  <c r="AF55" i="18" s="1"/>
  <c r="W60" i="18"/>
  <c r="O24" i="18"/>
  <c r="AG60" i="18"/>
  <c r="W76" i="18"/>
  <c r="N24" i="18"/>
  <c r="AH112" i="28"/>
  <c r="AH113" i="28"/>
  <c r="AH160" i="28"/>
  <c r="AH159" i="28"/>
  <c r="AH164" i="28"/>
  <c r="AH163" i="28"/>
  <c r="AH168" i="28"/>
  <c r="AH167" i="28"/>
  <c r="AH172" i="28"/>
  <c r="AH171" i="28"/>
  <c r="AH190" i="28"/>
  <c r="AH191" i="28"/>
  <c r="AH197" i="28"/>
  <c r="AH196" i="28"/>
  <c r="W7" i="13"/>
  <c r="M27" i="13"/>
  <c r="L7" i="13"/>
  <c r="M26" i="13"/>
  <c r="N10" i="13" s="1"/>
  <c r="BF70" i="26"/>
  <c r="BH70" i="26"/>
  <c r="BZ49" i="28"/>
  <c r="BY50" i="28"/>
  <c r="CA49" i="28"/>
  <c r="AH228" i="28"/>
  <c r="AH157" i="28"/>
  <c r="BF67" i="26"/>
  <c r="BF69" i="26"/>
  <c r="BF68" i="26"/>
  <c r="BF71" i="26"/>
  <c r="BF74" i="26"/>
  <c r="BF81" i="26"/>
  <c r="BF80" i="26"/>
  <c r="BA36" i="19"/>
  <c r="AZ36" i="19"/>
  <c r="AK96" i="28" l="1"/>
  <c r="AO96" i="28"/>
  <c r="AK95" i="28"/>
  <c r="AO95" i="28"/>
  <c r="AM97" i="28"/>
  <c r="AS97" i="28"/>
  <c r="AM96" i="28"/>
  <c r="AS96" i="28"/>
  <c r="AM95" i="28"/>
  <c r="AS95" i="28"/>
  <c r="AO94" i="28"/>
  <c r="AK94" i="28"/>
  <c r="AK89" i="28"/>
  <c r="AB96" i="28" s="1"/>
  <c r="AM93" i="28"/>
  <c r="AQ93" i="28"/>
  <c r="AS94" i="28"/>
  <c r="AM94" i="28"/>
  <c r="AS92" i="28"/>
  <c r="AQ92" i="28"/>
  <c r="AQ89" i="28" s="1"/>
  <c r="AB99" i="28" s="1"/>
  <c r="AO93" i="28"/>
  <c r="AS93" i="28"/>
  <c r="AS89" i="28" s="1"/>
  <c r="AB100" i="28" s="1"/>
  <c r="AO92" i="28"/>
  <c r="AO89" i="28" s="1"/>
  <c r="AB98" i="28" s="1"/>
  <c r="AM92" i="28"/>
  <c r="AM89" i="28" s="1"/>
  <c r="AB97" i="28" s="1"/>
  <c r="BP47" i="28"/>
  <c r="BQ47" i="28" s="1"/>
  <c r="BQ48" i="28"/>
  <c r="BV48" i="28"/>
  <c r="BP48" i="28"/>
  <c r="BU47" i="28"/>
  <c r="BV47" i="28" s="1"/>
  <c r="BU48" i="28"/>
  <c r="BR12" i="28" s="1"/>
  <c r="BR37" i="28" s="1"/>
  <c r="AG81" i="28"/>
  <c r="AG80" i="28" s="1"/>
  <c r="AK81" i="28"/>
  <c r="AK80" i="28" s="1"/>
  <c r="BP6" i="28"/>
  <c r="K2" i="28"/>
  <c r="BR6" i="28" s="1"/>
  <c r="AS86" i="28"/>
  <c r="P98" i="28"/>
  <c r="P101" i="28" s="1"/>
  <c r="AB116" i="28"/>
  <c r="AB117" i="28" s="1"/>
  <c r="AB118" i="28" s="1"/>
  <c r="AB119" i="28" s="1"/>
  <c r="AB120" i="28" s="1"/>
  <c r="AB121" i="28" s="1"/>
  <c r="AB122" i="28" s="1"/>
  <c r="AB123" i="28" s="1"/>
  <c r="AB124" i="28" s="1"/>
  <c r="AB125" i="28" s="1"/>
  <c r="AB126" i="28" s="1"/>
  <c r="AB127" i="28" s="1"/>
  <c r="AB128" i="28" s="1"/>
  <c r="AB129" i="28" s="1"/>
  <c r="AB130" i="28" s="1"/>
  <c r="AB131" i="28" s="1"/>
  <c r="AB132" i="28" s="1"/>
  <c r="AB133" i="28" s="1"/>
  <c r="AB134" i="28" s="1"/>
  <c r="AB135" i="28" s="1"/>
  <c r="AB136" i="28" s="1"/>
  <c r="AB137" i="28" s="1"/>
  <c r="AB138" i="28" s="1"/>
  <c r="AB139" i="28" s="1"/>
  <c r="AB140" i="28" s="1"/>
  <c r="AB141" i="28" s="1"/>
  <c r="AB142" i="28" s="1"/>
  <c r="AB143" i="28" s="1"/>
  <c r="AB144" i="28" s="1"/>
  <c r="AB145" i="28" s="1"/>
  <c r="AB146" i="28" s="1"/>
  <c r="AB147" i="28" s="1"/>
  <c r="AB148" i="28" s="1"/>
  <c r="AB149" i="28" s="1"/>
  <c r="AB150" i="28" s="1"/>
  <c r="AB151" i="28" s="1"/>
  <c r="AB152" i="28" s="1"/>
  <c r="AB153" i="28" s="1"/>
  <c r="AB154" i="28" s="1"/>
  <c r="AB155" i="28" s="1"/>
  <c r="AB156" i="28" s="1"/>
  <c r="AB157" i="28" s="1"/>
  <c r="AB158" i="28" s="1"/>
  <c r="AB159" i="28" s="1"/>
  <c r="AB160" i="28" s="1"/>
  <c r="AB161" i="28" s="1"/>
  <c r="AB162" i="28" s="1"/>
  <c r="AB163" i="28" s="1"/>
  <c r="AB164" i="28" s="1"/>
  <c r="AB165" i="28" s="1"/>
  <c r="AB166" i="28" s="1"/>
  <c r="AB167" i="28" s="1"/>
  <c r="AB168" i="28" s="1"/>
  <c r="AB169" i="28" s="1"/>
  <c r="AB170" i="28" s="1"/>
  <c r="AB171" i="28" s="1"/>
  <c r="AB172" i="28" s="1"/>
  <c r="AB173" i="28" s="1"/>
  <c r="AB174" i="28" s="1"/>
  <c r="AB175" i="28" s="1"/>
  <c r="AB176" i="28" s="1"/>
  <c r="AB177" i="28" s="1"/>
  <c r="AB178" i="28" s="1"/>
  <c r="AB179" i="28" s="1"/>
  <c r="AB180" i="28" s="1"/>
  <c r="AB181" i="28" s="1"/>
  <c r="AB182" i="28" s="1"/>
  <c r="AB183" i="28" s="1"/>
  <c r="AB184" i="28" s="1"/>
  <c r="AB185" i="28" s="1"/>
  <c r="AB186" i="28" s="1"/>
  <c r="AB187" i="28" s="1"/>
  <c r="AB188" i="28" s="1"/>
  <c r="AB189" i="28" s="1"/>
  <c r="AB190" i="28" s="1"/>
  <c r="AB191" i="28" s="1"/>
  <c r="AB192" i="28" s="1"/>
  <c r="AB193" i="28" s="1"/>
  <c r="AB194" i="28" s="1"/>
  <c r="AB195" i="28" s="1"/>
  <c r="AB196" i="28" s="1"/>
  <c r="AB197" i="28" s="1"/>
  <c r="AB198" i="28" s="1"/>
  <c r="AB199" i="28" s="1"/>
  <c r="AB200" i="28" s="1"/>
  <c r="AB201" i="28" s="1"/>
  <c r="AB202" i="28" s="1"/>
  <c r="AB203" i="28" s="1"/>
  <c r="AB204" i="28" s="1"/>
  <c r="AB205" i="28" s="1"/>
  <c r="AB206" i="28" s="1"/>
  <c r="AB207" i="28" s="1"/>
  <c r="AB208" i="28" s="1"/>
  <c r="AB209" i="28" s="1"/>
  <c r="AB210" i="28" s="1"/>
  <c r="AB211" i="28" s="1"/>
  <c r="AB212" i="28" s="1"/>
  <c r="AB213" i="28" s="1"/>
  <c r="AB214" i="28" s="1"/>
  <c r="AB215" i="28" s="1"/>
  <c r="AB216" i="28" s="1"/>
  <c r="AB217" i="28" s="1"/>
  <c r="AB218" i="28" s="1"/>
  <c r="AB219" i="28" s="1"/>
  <c r="AB220" i="28" s="1"/>
  <c r="AB221" i="28" s="1"/>
  <c r="AB222" i="28" s="1"/>
  <c r="AB223" i="28" s="1"/>
  <c r="AB224" i="28" s="1"/>
  <c r="AB225" i="28" s="1"/>
  <c r="AB226" i="28" s="1"/>
  <c r="AB227" i="28" s="1"/>
  <c r="AB228" i="28" s="1"/>
  <c r="AB229" i="28" s="1"/>
  <c r="AB230" i="28" s="1"/>
  <c r="AB231" i="28" s="1"/>
  <c r="AB232" i="28" s="1"/>
  <c r="AB233" i="28" s="1"/>
  <c r="AB234" i="28" s="1"/>
  <c r="AB235" i="28" s="1"/>
  <c r="AB236" i="28" s="1"/>
  <c r="AB237" i="28" s="1"/>
  <c r="AB238" i="28" s="1"/>
  <c r="AB239" i="28" s="1"/>
  <c r="AB240" i="28" s="1"/>
  <c r="AB241" i="28" s="1"/>
  <c r="AB242" i="28" s="1"/>
  <c r="AB243" i="28" s="1"/>
  <c r="AB244" i="28" s="1"/>
  <c r="AB245" i="28" s="1"/>
  <c r="AB246" i="28" s="1"/>
  <c r="AB247" i="28" s="1"/>
  <c r="AB248" i="28" s="1"/>
  <c r="AB249" i="28" s="1"/>
  <c r="AB250" i="28" s="1"/>
  <c r="AB251" i="28" s="1"/>
  <c r="AB252" i="28" s="1"/>
  <c r="AB253" i="28" s="1"/>
  <c r="AB254" i="28" s="1"/>
  <c r="AB255" i="28" s="1"/>
  <c r="AB256" i="28" s="1"/>
  <c r="AB257" i="28" s="1"/>
  <c r="AB258" i="28" s="1"/>
  <c r="AB259" i="28" s="1"/>
  <c r="AB260" i="28" s="1"/>
  <c r="AB261" i="28" s="1"/>
  <c r="AB262" i="28" s="1"/>
  <c r="AB263" i="28" s="1"/>
  <c r="AB264" i="28" s="1"/>
  <c r="AB265" i="28" s="1"/>
  <c r="AB266" i="28" s="1"/>
  <c r="AB267" i="28" s="1"/>
  <c r="AB268" i="28" s="1"/>
  <c r="AB269" i="28" s="1"/>
  <c r="AB270" i="28" s="1"/>
  <c r="AB271" i="28" s="1"/>
  <c r="AB272" i="28" s="1"/>
  <c r="AB273" i="28" s="1"/>
  <c r="AB274" i="28" s="1"/>
  <c r="AB275" i="28" s="1"/>
  <c r="AB276" i="28" s="1"/>
  <c r="AB277" i="28" s="1"/>
  <c r="AB278" i="28" s="1"/>
  <c r="AB279" i="28" s="1"/>
  <c r="AB280" i="28" s="1"/>
  <c r="AB281" i="28" s="1"/>
  <c r="AB282" i="28" s="1"/>
  <c r="AB283" i="28" s="1"/>
  <c r="AB284" i="28" s="1"/>
  <c r="AB285" i="28" s="1"/>
  <c r="AB286" i="28" s="1"/>
  <c r="AB287" i="28" s="1"/>
  <c r="AB288" i="28" s="1"/>
  <c r="AB289" i="28" s="1"/>
  <c r="AB290" i="28" s="1"/>
  <c r="AB291" i="28" s="1"/>
  <c r="AB292" i="28" s="1"/>
  <c r="AB293" i="28" s="1"/>
  <c r="AB294" i="28" s="1"/>
  <c r="AB295" i="28" s="1"/>
  <c r="AB296" i="28" s="1"/>
  <c r="AB297" i="28" s="1"/>
  <c r="AB298" i="28" s="1"/>
  <c r="AB299" i="28" s="1"/>
  <c r="AB300" i="28" s="1"/>
  <c r="AB301" i="28" s="1"/>
  <c r="AB302" i="28" s="1"/>
  <c r="AB303" i="28" s="1"/>
  <c r="AB304" i="28" s="1"/>
  <c r="AB305" i="28" s="1"/>
  <c r="AB306" i="28" s="1"/>
  <c r="AB307" i="28" s="1"/>
  <c r="AB308" i="28" s="1"/>
  <c r="AB309" i="28" s="1"/>
  <c r="AB310" i="28" s="1"/>
  <c r="AB311" i="28" s="1"/>
  <c r="AB312" i="28" s="1"/>
  <c r="AB313" i="28" s="1"/>
  <c r="AB314" i="28" s="1"/>
  <c r="AB315" i="28" s="1"/>
  <c r="AB316" i="28" s="1"/>
  <c r="AY89" i="28"/>
  <c r="AY81" i="28"/>
  <c r="P84" i="28"/>
  <c r="P87" i="28" s="1"/>
  <c r="P103" i="28"/>
  <c r="P106" i="28" s="1"/>
  <c r="P88" i="28"/>
  <c r="P91" i="28" s="1"/>
  <c r="P93" i="28"/>
  <c r="P96" i="28" s="1"/>
  <c r="AS84" i="28"/>
  <c r="AY87" i="28" s="1"/>
  <c r="AI86" i="28"/>
  <c r="AI84" i="28" s="1"/>
  <c r="AY85" i="28"/>
  <c r="AK16" i="13"/>
  <c r="AN15" i="13"/>
  <c r="AL15" i="13"/>
  <c r="AM15" i="13" s="1"/>
  <c r="AP15" i="13"/>
  <c r="AQ15" i="13" s="1"/>
  <c r="AR15" i="13" s="1"/>
  <c r="BU18" i="28"/>
  <c r="CB19" i="28"/>
  <c r="CD18" i="28"/>
  <c r="CJ18" i="28" s="1"/>
  <c r="C18" i="18"/>
  <c r="C19" i="18" s="1"/>
  <c r="C20" i="18" s="1"/>
  <c r="B18" i="18"/>
  <c r="B19" i="18" s="1"/>
  <c r="B20" i="18" s="1"/>
  <c r="P21" i="29"/>
  <c r="N21" i="29"/>
  <c r="Y2" i="29"/>
  <c r="AA3" i="29" s="1"/>
  <c r="AA6" i="29"/>
  <c r="AA5" i="29"/>
  <c r="O34" i="29"/>
  <c r="AA4" i="29"/>
  <c r="AA7" i="29"/>
  <c r="N22" i="29"/>
  <c r="B19" i="29"/>
  <c r="C19" i="29"/>
  <c r="M34" i="19"/>
  <c r="AE54" i="18"/>
  <c r="AE59" i="18"/>
  <c r="AE64" i="18"/>
  <c r="AE65" i="18" s="1"/>
  <c r="AE66" i="18" s="1"/>
  <c r="AE67" i="18" s="1"/>
  <c r="AE68" i="18" s="1"/>
  <c r="AE69" i="18" s="1"/>
  <c r="AE70" i="18" s="1"/>
  <c r="AE71" i="18" s="1"/>
  <c r="AE72" i="18" s="1"/>
  <c r="AE73" i="18" s="1"/>
  <c r="AE74" i="18" s="1"/>
  <c r="AE75" i="18" s="1"/>
  <c r="AE76" i="18" s="1"/>
  <c r="AE77" i="18" s="1"/>
  <c r="AE78" i="18" s="1"/>
  <c r="AE79" i="18" s="1"/>
  <c r="AE80" i="18" s="1"/>
  <c r="AE81" i="18" s="1"/>
  <c r="AE82" i="18" s="1"/>
  <c r="AE83" i="18" s="1"/>
  <c r="AE84" i="18" s="1"/>
  <c r="AE56" i="18"/>
  <c r="W66" i="18"/>
  <c r="AC54" i="18" s="1"/>
  <c r="AC55" i="18" s="1"/>
  <c r="AC56" i="18" s="1"/>
  <c r="X66" i="18"/>
  <c r="AG16" i="21"/>
  <c r="AE60" i="21"/>
  <c r="AV64" i="21"/>
  <c r="CA50" i="28"/>
  <c r="BY51" i="28"/>
  <c r="BZ50" i="28"/>
  <c r="W79" i="18"/>
  <c r="W78" i="18"/>
  <c r="W65" i="18"/>
  <c r="AC58" i="18" s="1"/>
  <c r="X65" i="18"/>
  <c r="AJ10" i="21"/>
  <c r="AJ12" i="21"/>
  <c r="AG10" i="21"/>
  <c r="AB36" i="21"/>
  <c r="AD36" i="21"/>
  <c r="C11" i="18"/>
  <c r="W52" i="18"/>
  <c r="B15" i="18"/>
  <c r="Y17" i="29"/>
  <c r="X14" i="29"/>
  <c r="Y18" i="29"/>
  <c r="X61" i="19"/>
  <c r="S19" i="19" s="1"/>
  <c r="AD62" i="19"/>
  <c r="AD67" i="21"/>
  <c r="AG66" i="21"/>
  <c r="Y3" i="29"/>
  <c r="N32" i="29" s="1"/>
  <c r="C17" i="18"/>
  <c r="B17" i="18"/>
  <c r="BR38" i="28" l="1"/>
  <c r="BR39" i="28"/>
  <c r="BV38" i="28"/>
  <c r="BX38" i="28" s="1"/>
  <c r="CG38" i="28" s="1"/>
  <c r="BV39" i="28"/>
  <c r="BX39" i="28" s="1"/>
  <c r="BR32" i="28"/>
  <c r="BR33" i="28"/>
  <c r="BR34" i="28"/>
  <c r="BV36" i="28"/>
  <c r="BX36" i="28" s="1"/>
  <c r="CE36" i="28" s="1"/>
  <c r="BV37" i="28"/>
  <c r="BX37" i="28" s="1"/>
  <c r="BR36" i="28"/>
  <c r="BR35" i="28"/>
  <c r="BR29" i="28"/>
  <c r="BV35" i="28"/>
  <c r="BX35" i="28" s="1"/>
  <c r="BV33" i="28"/>
  <c r="BX33" i="28" s="1"/>
  <c r="CE33" i="28" s="1"/>
  <c r="BV34" i="28"/>
  <c r="BX34" i="28" s="1"/>
  <c r="BR31" i="28"/>
  <c r="BV32" i="28"/>
  <c r="BX32" i="28" s="1"/>
  <c r="BV30" i="28"/>
  <c r="BX30" i="28" s="1"/>
  <c r="BV31" i="28"/>
  <c r="BX31" i="28" s="1"/>
  <c r="BR25" i="28"/>
  <c r="BR23" i="28"/>
  <c r="BR26" i="28"/>
  <c r="BR30" i="28"/>
  <c r="BV28" i="28"/>
  <c r="BX28" i="28" s="1"/>
  <c r="BV29" i="28"/>
  <c r="BX29" i="28" s="1"/>
  <c r="BR27" i="28"/>
  <c r="BR28" i="28"/>
  <c r="AZ95" i="28"/>
  <c r="BV27" i="28"/>
  <c r="BX27" i="28" s="1"/>
  <c r="BV25" i="28"/>
  <c r="BX25" i="28" s="1"/>
  <c r="BV26" i="28"/>
  <c r="BX26" i="28" s="1"/>
  <c r="BR22" i="28"/>
  <c r="BR24" i="28"/>
  <c r="BV23" i="28"/>
  <c r="BX23" i="28" s="1"/>
  <c r="BV24" i="28"/>
  <c r="BX24" i="28" s="1"/>
  <c r="AZ164" i="28"/>
  <c r="BV22" i="28"/>
  <c r="BX22" i="28" s="1"/>
  <c r="AZ108" i="28"/>
  <c r="BP24" i="28"/>
  <c r="BP34" i="28"/>
  <c r="BP28" i="28"/>
  <c r="AZ165" i="28"/>
  <c r="BR18" i="28"/>
  <c r="BV20" i="28"/>
  <c r="BX20" i="28" s="1"/>
  <c r="CE20" i="28" s="1"/>
  <c r="BV21" i="28"/>
  <c r="BX21" i="28" s="1"/>
  <c r="AZ102" i="28"/>
  <c r="AZ161" i="28"/>
  <c r="AZ101" i="28"/>
  <c r="BR21" i="28"/>
  <c r="AZ121" i="28"/>
  <c r="AZ182" i="28"/>
  <c r="AZ175" i="28"/>
  <c r="BT41" i="28"/>
  <c r="BT42" i="28"/>
  <c r="AZ143" i="28"/>
  <c r="AZ147" i="28"/>
  <c r="AZ158" i="28"/>
  <c r="AZ132" i="28"/>
  <c r="AZ133" i="28"/>
  <c r="AZ126" i="28"/>
  <c r="BP22" i="28"/>
  <c r="BR19" i="28"/>
  <c r="AZ155" i="28"/>
  <c r="BP25" i="28"/>
  <c r="BR17" i="28"/>
  <c r="AZ135" i="28"/>
  <c r="BR20" i="28"/>
  <c r="BR15" i="28"/>
  <c r="BR16" i="28"/>
  <c r="AZ180" i="28"/>
  <c r="AZ185" i="28"/>
  <c r="BV18" i="28"/>
  <c r="BX18" i="28" s="1"/>
  <c r="BV19" i="28"/>
  <c r="BX19" i="28" s="1"/>
  <c r="BV16" i="28"/>
  <c r="BX16" i="28" s="1"/>
  <c r="CH16" i="28" s="1"/>
  <c r="BV17" i="28"/>
  <c r="BX17" i="28" s="1"/>
  <c r="AZ106" i="28"/>
  <c r="AZ157" i="28"/>
  <c r="AZ118" i="28"/>
  <c r="AZ177" i="28"/>
  <c r="AZ171" i="28"/>
  <c r="BP35" i="28"/>
  <c r="AZ94" i="28"/>
  <c r="AZ183" i="28"/>
  <c r="AZ187" i="28"/>
  <c r="AZ179" i="28"/>
  <c r="AZ162" i="28"/>
  <c r="AZ107" i="28"/>
  <c r="AZ144" i="28"/>
  <c r="AZ163" i="28"/>
  <c r="AZ128" i="28"/>
  <c r="AZ156" i="28"/>
  <c r="AZ166" i="28"/>
  <c r="BP27" i="28"/>
  <c r="AZ172" i="28"/>
  <c r="AZ176" i="28"/>
  <c r="AZ130" i="28"/>
  <c r="AZ154" i="28"/>
  <c r="AZ169" i="28"/>
  <c r="BP14" i="28"/>
  <c r="AZ184" i="28"/>
  <c r="AZ146" i="28"/>
  <c r="BP36" i="28"/>
  <c r="AZ136" i="28"/>
  <c r="AZ125" i="28"/>
  <c r="AZ192" i="28"/>
  <c r="AZ109" i="28"/>
  <c r="BP45" i="28"/>
  <c r="BP31" i="28"/>
  <c r="AZ173" i="28"/>
  <c r="AZ99" i="28"/>
  <c r="AZ110" i="28"/>
  <c r="BP44" i="28"/>
  <c r="BP21" i="28"/>
  <c r="AZ139" i="28"/>
  <c r="AZ159" i="28"/>
  <c r="AZ97" i="28"/>
  <c r="BV15" i="28"/>
  <c r="BX15" i="28" s="1"/>
  <c r="AZ124" i="28"/>
  <c r="AZ93" i="28"/>
  <c r="BP17" i="28"/>
  <c r="AZ153" i="28"/>
  <c r="AZ92" i="28"/>
  <c r="AZ120" i="28"/>
  <c r="AZ189" i="28"/>
  <c r="AZ160" i="28"/>
  <c r="AZ127" i="28"/>
  <c r="AZ117" i="28"/>
  <c r="AZ111" i="28"/>
  <c r="BP26" i="28"/>
  <c r="AZ140" i="28"/>
  <c r="BP23" i="28"/>
  <c r="AZ105" i="28"/>
  <c r="AZ188" i="28"/>
  <c r="AZ137" i="28"/>
  <c r="AZ181" i="28"/>
  <c r="BP19" i="28"/>
  <c r="AZ152" i="28"/>
  <c r="BP32" i="28"/>
  <c r="BP18" i="28"/>
  <c r="AZ115" i="28"/>
  <c r="AZ100" i="28"/>
  <c r="AZ112" i="28"/>
  <c r="AZ134" i="28"/>
  <c r="AZ174" i="28"/>
  <c r="AZ103" i="28"/>
  <c r="AZ116" i="28"/>
  <c r="BP29" i="28"/>
  <c r="AZ178" i="28"/>
  <c r="AZ114" i="28"/>
  <c r="AZ122" i="28"/>
  <c r="AZ151" i="28"/>
  <c r="AZ150" i="28"/>
  <c r="AZ138" i="28"/>
  <c r="BP30" i="28"/>
  <c r="AZ119" i="28"/>
  <c r="AZ148" i="28"/>
  <c r="AZ141" i="28"/>
  <c r="AZ96" i="28"/>
  <c r="AZ190" i="28"/>
  <c r="AZ186" i="28"/>
  <c r="AZ131" i="28"/>
  <c r="BP16" i="28"/>
  <c r="AZ129" i="28"/>
  <c r="AZ142" i="28"/>
  <c r="AZ104" i="28"/>
  <c r="AZ168" i="28"/>
  <c r="BP33" i="28"/>
  <c r="AZ98" i="28"/>
  <c r="AZ113" i="28"/>
  <c r="AZ149" i="28"/>
  <c r="AZ191" i="28"/>
  <c r="AZ145" i="28"/>
  <c r="BP15" i="28"/>
  <c r="BP20" i="28"/>
  <c r="AZ167" i="28"/>
  <c r="AZ123" i="28"/>
  <c r="AZ170" i="28"/>
  <c r="BR14" i="28"/>
  <c r="AJ86" i="28"/>
  <c r="AJ84" i="28" s="1"/>
  <c r="AY83" i="28"/>
  <c r="AH86" i="28"/>
  <c r="AY82" i="28"/>
  <c r="O109" i="28"/>
  <c r="P85" i="28"/>
  <c r="P86" i="28" s="1"/>
  <c r="AA114" i="28"/>
  <c r="P104" i="28"/>
  <c r="P105" i="28" s="1"/>
  <c r="AY90" i="28"/>
  <c r="AY86" i="28"/>
  <c r="R109" i="28"/>
  <c r="P94" i="28"/>
  <c r="P95" i="28" s="1"/>
  <c r="AI81" i="28"/>
  <c r="AI80" i="28" s="1"/>
  <c r="P99" i="28"/>
  <c r="P100" i="28" s="1"/>
  <c r="Z114" i="28"/>
  <c r="AY88" i="28"/>
  <c r="AA8" i="29"/>
  <c r="X16" i="29"/>
  <c r="N23" i="29"/>
  <c r="CB20" i="28"/>
  <c r="CD19" i="28"/>
  <c r="CJ19" i="28" s="1"/>
  <c r="BU19" i="28"/>
  <c r="AK17" i="13"/>
  <c r="AP16" i="13"/>
  <c r="AQ16" i="13" s="1"/>
  <c r="AR16" i="13" s="1"/>
  <c r="AN16" i="13"/>
  <c r="AL16" i="13"/>
  <c r="AM16" i="13" s="1"/>
  <c r="C14" i="18"/>
  <c r="B14" i="18"/>
  <c r="M39" i="21"/>
  <c r="M37" i="21"/>
  <c r="Q64" i="29"/>
  <c r="Y10" i="29"/>
  <c r="V19" i="29"/>
  <c r="X19" i="29"/>
  <c r="AA67" i="29"/>
  <c r="AF68" i="29"/>
  <c r="Q72" i="29"/>
  <c r="AA71" i="29"/>
  <c r="AF72" i="29"/>
  <c r="Q80" i="29"/>
  <c r="AF74" i="29"/>
  <c r="Q84" i="29"/>
  <c r="AF76" i="29"/>
  <c r="Q88" i="29"/>
  <c r="AF78" i="29"/>
  <c r="Q92" i="29"/>
  <c r="AF80" i="29"/>
  <c r="Q96" i="29"/>
  <c r="AF82" i="29"/>
  <c r="Q100" i="29"/>
  <c r="Q146" i="29"/>
  <c r="Q148" i="29"/>
  <c r="Q150" i="29"/>
  <c r="Q152" i="29"/>
  <c r="Q154" i="29"/>
  <c r="Q156" i="29"/>
  <c r="Q158" i="29"/>
  <c r="Q160" i="29"/>
  <c r="Q162" i="29"/>
  <c r="Q164" i="29"/>
  <c r="Q166" i="29"/>
  <c r="Q168" i="29"/>
  <c r="Q170" i="29"/>
  <c r="Q172" i="29"/>
  <c r="Q174" i="29"/>
  <c r="Q176" i="29"/>
  <c r="Q178" i="29"/>
  <c r="Q180" i="29"/>
  <c r="Q182" i="29"/>
  <c r="Q184" i="29"/>
  <c r="Q186" i="29"/>
  <c r="Q188" i="29"/>
  <c r="Q190" i="29"/>
  <c r="Q192" i="29"/>
  <c r="Q194" i="29"/>
  <c r="Q196" i="29"/>
  <c r="Q198" i="29"/>
  <c r="Q200" i="29"/>
  <c r="Q202" i="29"/>
  <c r="Q204" i="29"/>
  <c r="Q206" i="29"/>
  <c r="Q208" i="29"/>
  <c r="Q210" i="29"/>
  <c r="Q212" i="29"/>
  <c r="Q214" i="29"/>
  <c r="Q216" i="29"/>
  <c r="Q218" i="29"/>
  <c r="Q220" i="29"/>
  <c r="Q222" i="29"/>
  <c r="Q224" i="29"/>
  <c r="Q226" i="29"/>
  <c r="Q228" i="29"/>
  <c r="Q230" i="29"/>
  <c r="Q232" i="29"/>
  <c r="Q234" i="29"/>
  <c r="Q236" i="29"/>
  <c r="Q238" i="29"/>
  <c r="Q240" i="29"/>
  <c r="Q242" i="29"/>
  <c r="Q244" i="29"/>
  <c r="Q246" i="29"/>
  <c r="Q248" i="29"/>
  <c r="Q250" i="29"/>
  <c r="Q252" i="29"/>
  <c r="Q254" i="29"/>
  <c r="Q256" i="29"/>
  <c r="Q258" i="29"/>
  <c r="Q260" i="29"/>
  <c r="Q262" i="29"/>
  <c r="AF67" i="29"/>
  <c r="Q70" i="29"/>
  <c r="AA70" i="29"/>
  <c r="Q73" i="29"/>
  <c r="V71" i="29"/>
  <c r="Q82" i="29"/>
  <c r="AF75" i="29"/>
  <c r="Q86" i="29"/>
  <c r="AF77" i="29"/>
  <c r="Q90" i="29"/>
  <c r="AF79" i="29"/>
  <c r="Q94" i="29"/>
  <c r="AF81" i="29"/>
  <c r="Q98" i="29"/>
  <c r="AF83" i="29"/>
  <c r="Q102" i="29"/>
  <c r="Q108" i="29"/>
  <c r="Q110" i="29"/>
  <c r="Q116" i="29"/>
  <c r="Q118" i="29"/>
  <c r="Q124" i="29"/>
  <c r="Q126" i="29"/>
  <c r="Q132" i="29"/>
  <c r="Q134" i="29"/>
  <c r="Q140" i="29"/>
  <c r="Q142" i="29"/>
  <c r="V106" i="29"/>
  <c r="V107" i="29"/>
  <c r="Q149" i="29"/>
  <c r="Q151" i="29"/>
  <c r="V110" i="29"/>
  <c r="V111" i="29"/>
  <c r="Q157" i="29"/>
  <c r="Q159" i="29"/>
  <c r="V114" i="29"/>
  <c r="V115" i="29"/>
  <c r="Q165" i="29"/>
  <c r="Q167" i="29"/>
  <c r="V118" i="29"/>
  <c r="V119" i="29"/>
  <c r="Q173" i="29"/>
  <c r="Q175" i="29"/>
  <c r="V122" i="29"/>
  <c r="V123" i="29"/>
  <c r="Q181" i="29"/>
  <c r="Q183" i="29"/>
  <c r="V126" i="29"/>
  <c r="V127" i="29"/>
  <c r="Q189" i="29"/>
  <c r="Q191" i="29"/>
  <c r="V130" i="29"/>
  <c r="V131" i="29"/>
  <c r="Q197" i="29"/>
  <c r="Q199" i="29"/>
  <c r="V134" i="29"/>
  <c r="V135" i="29"/>
  <c r="Q205" i="29"/>
  <c r="Q207" i="29"/>
  <c r="V138" i="29"/>
  <c r="V139" i="29"/>
  <c r="Q213" i="29"/>
  <c r="Q215" i="29"/>
  <c r="V142" i="29"/>
  <c r="V143" i="29"/>
  <c r="Q221" i="29"/>
  <c r="Q223" i="29"/>
  <c r="V146" i="29"/>
  <c r="V147" i="29"/>
  <c r="Q229" i="29"/>
  <c r="Q231" i="29"/>
  <c r="V150" i="29"/>
  <c r="V151" i="29"/>
  <c r="Q237" i="29"/>
  <c r="Q239" i="29"/>
  <c r="V154" i="29"/>
  <c r="V155" i="29"/>
  <c r="Q245" i="29"/>
  <c r="Q247" i="29"/>
  <c r="V158" i="29"/>
  <c r="V159" i="29"/>
  <c r="Q253" i="29"/>
  <c r="Q255" i="29"/>
  <c r="V162" i="29"/>
  <c r="V163" i="29"/>
  <c r="Q261" i="29"/>
  <c r="AF64" i="29"/>
  <c r="Y65" i="29"/>
  <c r="V66" i="29"/>
  <c r="Q67" i="29"/>
  <c r="AF71" i="29"/>
  <c r="Q78" i="29"/>
  <c r="AF73" i="29"/>
  <c r="Q104" i="29"/>
  <c r="Q106" i="29"/>
  <c r="Q112" i="29"/>
  <c r="Q114" i="29"/>
  <c r="Q120" i="29"/>
  <c r="Q122" i="29"/>
  <c r="Q128" i="29"/>
  <c r="Q130" i="29"/>
  <c r="Q136" i="29"/>
  <c r="Q138" i="29"/>
  <c r="Q144" i="29"/>
  <c r="Q145" i="29"/>
  <c r="Q147" i="29"/>
  <c r="V108" i="29"/>
  <c r="V109" i="29"/>
  <c r="Q153" i="29"/>
  <c r="Q155" i="29"/>
  <c r="V112" i="29"/>
  <c r="V113" i="29"/>
  <c r="Q161" i="29"/>
  <c r="Q163" i="29"/>
  <c r="V116" i="29"/>
  <c r="V117" i="29"/>
  <c r="Q169" i="29"/>
  <c r="Q171" i="29"/>
  <c r="V120" i="29"/>
  <c r="V121" i="29"/>
  <c r="Q177" i="29"/>
  <c r="Q179" i="29"/>
  <c r="V124" i="29"/>
  <c r="V125" i="29"/>
  <c r="Q185" i="29"/>
  <c r="Q187" i="29"/>
  <c r="V128" i="29"/>
  <c r="V129" i="29"/>
  <c r="Q193" i="29"/>
  <c r="Q195" i="29"/>
  <c r="V132" i="29"/>
  <c r="V133" i="29"/>
  <c r="Q201" i="29"/>
  <c r="Q203" i="29"/>
  <c r="V136" i="29"/>
  <c r="V137" i="29"/>
  <c r="Q209" i="29"/>
  <c r="Q211" i="29"/>
  <c r="V140" i="29"/>
  <c r="V141" i="29"/>
  <c r="Q217" i="29"/>
  <c r="Q219" i="29"/>
  <c r="V144" i="29"/>
  <c r="V145" i="29"/>
  <c r="Q225" i="29"/>
  <c r="Q227" i="29"/>
  <c r="V148" i="29"/>
  <c r="V149" i="29"/>
  <c r="Q233" i="29"/>
  <c r="Q235" i="29"/>
  <c r="V152" i="29"/>
  <c r="V153" i="29"/>
  <c r="Q241" i="29"/>
  <c r="Q243" i="29"/>
  <c r="V156" i="29"/>
  <c r="V157" i="29"/>
  <c r="Q249" i="29"/>
  <c r="Q251" i="29"/>
  <c r="V160" i="29"/>
  <c r="V161" i="29"/>
  <c r="Q257" i="29"/>
  <c r="Q259" i="29"/>
  <c r="V164" i="29"/>
  <c r="V70" i="29"/>
  <c r="V67" i="29"/>
  <c r="AA66" i="29"/>
  <c r="Q63" i="29"/>
  <c r="AF63" i="29"/>
  <c r="AA65" i="29"/>
  <c r="Q66" i="29"/>
  <c r="Q68" i="29"/>
  <c r="AA68" i="29"/>
  <c r="V68" i="29"/>
  <c r="V69" i="29"/>
  <c r="AF69" i="29"/>
  <c r="AF70" i="29"/>
  <c r="Y71" i="29"/>
  <c r="Q77" i="29"/>
  <c r="Q79" i="29"/>
  <c r="Q81" i="29"/>
  <c r="Q83" i="29"/>
  <c r="Q85" i="29"/>
  <c r="Q87" i="29"/>
  <c r="Q89" i="29"/>
  <c r="Q91" i="29"/>
  <c r="Q93" i="29"/>
  <c r="Q95" i="29"/>
  <c r="Q97" i="29"/>
  <c r="Q99" i="29"/>
  <c r="Q101" i="29"/>
  <c r="Q103" i="29"/>
  <c r="Q105" i="29"/>
  <c r="Q107" i="29"/>
  <c r="Q109" i="29"/>
  <c r="Q111" i="29"/>
  <c r="Q113" i="29"/>
  <c r="Q115" i="29"/>
  <c r="Q117" i="29"/>
  <c r="Q119" i="29"/>
  <c r="Q121" i="29"/>
  <c r="Q123" i="29"/>
  <c r="Q125" i="29"/>
  <c r="Q127" i="29"/>
  <c r="Q129" i="29"/>
  <c r="Q131" i="29"/>
  <c r="Q133" i="29"/>
  <c r="Q135" i="29"/>
  <c r="Q137" i="29"/>
  <c r="Q139" i="29"/>
  <c r="Q141" i="29"/>
  <c r="Q143" i="29"/>
  <c r="Q75" i="29"/>
  <c r="Y69" i="29"/>
  <c r="Q65" i="29"/>
  <c r="Y11" i="29"/>
  <c r="V65" i="29"/>
  <c r="AF65" i="29"/>
  <c r="AF66" i="29"/>
  <c r="Y67" i="29"/>
  <c r="Q69" i="29"/>
  <c r="Q71" i="29"/>
  <c r="AA69" i="29"/>
  <c r="Q74" i="29"/>
  <c r="Q76" i="29"/>
  <c r="AA72" i="29"/>
  <c r="V72" i="29"/>
  <c r="V73" i="29"/>
  <c r="V74" i="29"/>
  <c r="V75" i="29"/>
  <c r="V76" i="29"/>
  <c r="V77" i="29"/>
  <c r="V78" i="29"/>
  <c r="V79" i="29"/>
  <c r="V80" i="29"/>
  <c r="V81" i="29"/>
  <c r="V82" i="29"/>
  <c r="V83" i="29"/>
  <c r="V84" i="29"/>
  <c r="V85" i="29"/>
  <c r="V86" i="29"/>
  <c r="V87" i="29"/>
  <c r="V88" i="29"/>
  <c r="V89" i="29"/>
  <c r="V90" i="29"/>
  <c r="V91" i="29"/>
  <c r="V92" i="29"/>
  <c r="V93" i="29"/>
  <c r="V94" i="29"/>
  <c r="V95" i="29"/>
  <c r="V96" i="29"/>
  <c r="V97" i="29"/>
  <c r="V98" i="29"/>
  <c r="V99" i="29"/>
  <c r="V100" i="29"/>
  <c r="V101" i="29"/>
  <c r="V102" i="29"/>
  <c r="V103" i="29"/>
  <c r="V104" i="29"/>
  <c r="V105" i="29"/>
  <c r="AE55" i="18"/>
  <c r="AE57" i="18"/>
  <c r="AG67" i="21"/>
  <c r="AD68" i="21"/>
  <c r="R36" i="18"/>
  <c r="R38" i="18"/>
  <c r="P36" i="18"/>
  <c r="Q23" i="29"/>
  <c r="B16" i="29" s="1"/>
  <c r="C12" i="29"/>
  <c r="C20" i="29" s="1"/>
  <c r="C21" i="29" s="1"/>
  <c r="Y12" i="29"/>
  <c r="Y13" i="29"/>
  <c r="N35" i="29"/>
  <c r="X62" i="19"/>
  <c r="S20" i="19" s="1"/>
  <c r="AD63" i="19"/>
  <c r="AA17" i="29"/>
  <c r="Z10" i="29" s="1"/>
  <c r="AA18" i="29"/>
  <c r="AC59" i="18"/>
  <c r="BY52" i="28"/>
  <c r="BZ51" i="28"/>
  <c r="CA51" i="28"/>
  <c r="N24" i="29"/>
  <c r="W81" i="18"/>
  <c r="Z16" i="29"/>
  <c r="AW66" i="21"/>
  <c r="AV66" i="21"/>
  <c r="CG36" i="28" l="1"/>
  <c r="CF38" i="28"/>
  <c r="CH38" i="28"/>
  <c r="CI39" i="28"/>
  <c r="CF39" i="28"/>
  <c r="BZ39" i="28"/>
  <c r="BY39" i="28" s="1"/>
  <c r="CS39" i="28" s="1"/>
  <c r="CG39" i="28"/>
  <c r="CH39" i="28"/>
  <c r="CE39" i="28"/>
  <c r="CE38" i="28"/>
  <c r="CI38" i="28"/>
  <c r="BZ38" i="28"/>
  <c r="BY38" i="28" s="1"/>
  <c r="CE37" i="28"/>
  <c r="CF37" i="28"/>
  <c r="CH37" i="28"/>
  <c r="CG37" i="28"/>
  <c r="BZ37" i="28"/>
  <c r="BY37" i="28" s="1"/>
  <c r="CS37" i="28" s="1"/>
  <c r="CI37" i="28"/>
  <c r="BZ36" i="28"/>
  <c r="BY36" i="28" s="1"/>
  <c r="CF36" i="28"/>
  <c r="CH36" i="28"/>
  <c r="CI36" i="28"/>
  <c r="BZ33" i="28"/>
  <c r="BY33" i="28" s="1"/>
  <c r="CK33" i="28" s="1"/>
  <c r="CF33" i="28"/>
  <c r="CG33" i="28"/>
  <c r="CG35" i="28"/>
  <c r="CI35" i="28"/>
  <c r="CE35" i="28"/>
  <c r="BZ35" i="28"/>
  <c r="BY35" i="28" s="1"/>
  <c r="CF35" i="28"/>
  <c r="CH35" i="28"/>
  <c r="BZ34" i="28"/>
  <c r="BY34" i="28" s="1"/>
  <c r="CO34" i="28" s="1"/>
  <c r="CE34" i="28"/>
  <c r="CI34" i="28"/>
  <c r="CH34" i="28"/>
  <c r="CG34" i="28"/>
  <c r="CF34" i="28"/>
  <c r="CH33" i="28"/>
  <c r="CI33" i="28"/>
  <c r="BZ32" i="28"/>
  <c r="BY32" i="28" s="1"/>
  <c r="CI32" i="28"/>
  <c r="CH32" i="28"/>
  <c r="CF32" i="28"/>
  <c r="CG32" i="28"/>
  <c r="CE32" i="28"/>
  <c r="CE31" i="28"/>
  <c r="CF31" i="28"/>
  <c r="CI31" i="28"/>
  <c r="CG31" i="28"/>
  <c r="BZ31" i="28"/>
  <c r="BY31" i="28" s="1"/>
  <c r="CK31" i="28" s="1"/>
  <c r="CH31" i="28"/>
  <c r="CE30" i="28"/>
  <c r="CI30" i="28"/>
  <c r="BZ30" i="28"/>
  <c r="BY30" i="28" s="1"/>
  <c r="CF30" i="28"/>
  <c r="CH30" i="28"/>
  <c r="CG30" i="28"/>
  <c r="CF29" i="28"/>
  <c r="BZ29" i="28"/>
  <c r="BY29" i="28" s="1"/>
  <c r="CI29" i="28"/>
  <c r="CG29" i="28"/>
  <c r="CE29" i="28"/>
  <c r="CH29" i="28"/>
  <c r="CG28" i="28"/>
  <c r="CE28" i="28"/>
  <c r="BZ28" i="28"/>
  <c r="BY28" i="28" s="1"/>
  <c r="CF28" i="28"/>
  <c r="CI28" i="28"/>
  <c r="CH28" i="28"/>
  <c r="BZ27" i="28"/>
  <c r="BY27" i="28" s="1"/>
  <c r="CS27" i="28" s="1"/>
  <c r="CE27" i="28"/>
  <c r="CH27" i="28"/>
  <c r="CG27" i="28"/>
  <c r="CI27" i="28"/>
  <c r="CF27" i="28"/>
  <c r="CE25" i="28"/>
  <c r="CG26" i="28"/>
  <c r="CF26" i="28"/>
  <c r="CE26" i="28"/>
  <c r="BZ26" i="28"/>
  <c r="BY26" i="28" s="1"/>
  <c r="CH26" i="28"/>
  <c r="CI26" i="28"/>
  <c r="CG25" i="28"/>
  <c r="CF25" i="28"/>
  <c r="CH25" i="28"/>
  <c r="CI25" i="28"/>
  <c r="BZ25" i="28"/>
  <c r="BY25" i="28" s="1"/>
  <c r="CO25" i="28" s="1"/>
  <c r="CH24" i="28"/>
  <c r="CG24" i="28"/>
  <c r="CF24" i="28"/>
  <c r="CE24" i="28"/>
  <c r="CI24" i="28"/>
  <c r="BZ24" i="28"/>
  <c r="BY24" i="28" s="1"/>
  <c r="CQ24" i="28" s="1"/>
  <c r="CG23" i="28"/>
  <c r="CI23" i="28"/>
  <c r="BZ23" i="28"/>
  <c r="BY23" i="28" s="1"/>
  <c r="CH23" i="28"/>
  <c r="CF23" i="28"/>
  <c r="CE23" i="28"/>
  <c r="BZ20" i="28"/>
  <c r="BY20" i="28" s="1"/>
  <c r="CQ20" i="28" s="1"/>
  <c r="BZ22" i="28"/>
  <c r="BY22" i="28" s="1"/>
  <c r="CQ22" i="28" s="1"/>
  <c r="CI22" i="28"/>
  <c r="CH22" i="28"/>
  <c r="CE22" i="28"/>
  <c r="CF22" i="28"/>
  <c r="CG22" i="28"/>
  <c r="CH21" i="28"/>
  <c r="CE21" i="28"/>
  <c r="CI21" i="28"/>
  <c r="BZ21" i="28"/>
  <c r="BY21" i="28" s="1"/>
  <c r="CQ21" i="28" s="1"/>
  <c r="CG21" i="28"/>
  <c r="CF21" i="28"/>
  <c r="CH20" i="28"/>
  <c r="CG20" i="28"/>
  <c r="CI20" i="28"/>
  <c r="CF20" i="28"/>
  <c r="CE19" i="28"/>
  <c r="CH19" i="28"/>
  <c r="CG19" i="28"/>
  <c r="BZ19" i="28"/>
  <c r="BY19" i="28" s="1"/>
  <c r="CF19" i="28"/>
  <c r="CI19" i="28"/>
  <c r="CH18" i="28"/>
  <c r="CI18" i="28"/>
  <c r="BZ18" i="28"/>
  <c r="BY18" i="28" s="1"/>
  <c r="CM18" i="28" s="1"/>
  <c r="CE18" i="28"/>
  <c r="CF18" i="28"/>
  <c r="CG18" i="28"/>
  <c r="CF17" i="28"/>
  <c r="CE17" i="28"/>
  <c r="CG17" i="28"/>
  <c r="CH17" i="28"/>
  <c r="BZ17" i="28"/>
  <c r="BY17" i="28" s="1"/>
  <c r="CK17" i="28" s="1"/>
  <c r="CI17" i="28"/>
  <c r="CI16" i="28"/>
  <c r="BZ16" i="28"/>
  <c r="BY16" i="28" s="1"/>
  <c r="CG16" i="28"/>
  <c r="CF16" i="28"/>
  <c r="CE16" i="28"/>
  <c r="BY12" i="28"/>
  <c r="AE12" i="28" s="1"/>
  <c r="CF15" i="28"/>
  <c r="BV7" i="28"/>
  <c r="CI15" i="28"/>
  <c r="BV5" i="28"/>
  <c r="BV8" i="28"/>
  <c r="CE15" i="28"/>
  <c r="BV6" i="28"/>
  <c r="BV9" i="28"/>
  <c r="CG15" i="28"/>
  <c r="BZ15" i="28"/>
  <c r="BY15" i="28" s="1"/>
  <c r="CS15" i="28" s="1"/>
  <c r="CH15" i="28"/>
  <c r="G3" i="28"/>
  <c r="BS14" i="28"/>
  <c r="H3" i="28" s="1"/>
  <c r="AJ81" i="28"/>
  <c r="AJ80" i="28" s="1"/>
  <c r="AH84" i="28"/>
  <c r="AM80" i="28" s="1"/>
  <c r="AH81" i="28"/>
  <c r="AH80" i="28" s="1"/>
  <c r="AG87" i="28"/>
  <c r="P89" i="28"/>
  <c r="P90" i="28" s="1"/>
  <c r="AY84" i="28"/>
  <c r="P109" i="28"/>
  <c r="CD20" i="28"/>
  <c r="CJ20" i="28" s="1"/>
  <c r="BU20" i="28"/>
  <c r="CB21" i="28"/>
  <c r="AL17" i="13"/>
  <c r="AM17" i="13" s="1"/>
  <c r="AN17" i="13"/>
  <c r="AK18" i="13"/>
  <c r="AP17" i="13"/>
  <c r="AQ17" i="13" s="1"/>
  <c r="AR17" i="13" s="1"/>
  <c r="B20" i="29"/>
  <c r="B21" i="29" s="1"/>
  <c r="W20" i="29"/>
  <c r="W21" i="29" s="1"/>
  <c r="Y20" i="29" s="1"/>
  <c r="BY53" i="28"/>
  <c r="CA52" i="28"/>
  <c r="BZ52" i="28"/>
  <c r="X63" i="19"/>
  <c r="S21" i="19" s="1"/>
  <c r="AD64" i="19"/>
  <c r="U62" i="29"/>
  <c r="N38" i="29" s="1"/>
  <c r="C11" i="29" s="1"/>
  <c r="AD69" i="21"/>
  <c r="AG68" i="21"/>
  <c r="AC60" i="18"/>
  <c r="AC61" i="18" s="1"/>
  <c r="AC62" i="18" s="1"/>
  <c r="AA10" i="29"/>
  <c r="N34" i="29"/>
  <c r="CM38" i="28" l="1"/>
  <c r="CQ38" i="28"/>
  <c r="CO38" i="28"/>
  <c r="CK38" i="28"/>
  <c r="CS38" i="28"/>
  <c r="CM39" i="28"/>
  <c r="CQ39" i="28"/>
  <c r="CO39" i="28"/>
  <c r="CK39" i="28"/>
  <c r="CO33" i="28"/>
  <c r="CQ36" i="28"/>
  <c r="CK36" i="28"/>
  <c r="CS36" i="28"/>
  <c r="CM36" i="28"/>
  <c r="CO36" i="28"/>
  <c r="CM33" i="28"/>
  <c r="CS33" i="28"/>
  <c r="CQ33" i="28"/>
  <c r="CK37" i="28"/>
  <c r="CM37" i="28"/>
  <c r="CQ37" i="28"/>
  <c r="CO37" i="28"/>
  <c r="CQ35" i="28"/>
  <c r="CK35" i="28"/>
  <c r="CS35" i="28"/>
  <c r="CO35" i="28"/>
  <c r="CM35" i="28"/>
  <c r="CQ34" i="28"/>
  <c r="CK34" i="28"/>
  <c r="CS34" i="28"/>
  <c r="CM34" i="28"/>
  <c r="CO32" i="28"/>
  <c r="CK32" i="28"/>
  <c r="CQ32" i="28"/>
  <c r="CM32" i="28"/>
  <c r="CS32" i="28"/>
  <c r="CK30" i="28"/>
  <c r="CS30" i="28"/>
  <c r="CM30" i="28"/>
  <c r="CO31" i="28"/>
  <c r="CQ30" i="28"/>
  <c r="CM31" i="28"/>
  <c r="CS31" i="28"/>
  <c r="CQ31" i="28"/>
  <c r="CO30" i="28"/>
  <c r="CK28" i="28"/>
  <c r="CO28" i="28"/>
  <c r="CS28" i="28"/>
  <c r="CQ28" i="28"/>
  <c r="CM29" i="28"/>
  <c r="CO29" i="28"/>
  <c r="CQ29" i="28"/>
  <c r="CM28" i="28"/>
  <c r="CS29" i="28"/>
  <c r="CK29" i="28"/>
  <c r="CO27" i="28"/>
  <c r="CK27" i="28"/>
  <c r="CM27" i="28"/>
  <c r="CQ27" i="28"/>
  <c r="CQ26" i="28"/>
  <c r="CO26" i="28"/>
  <c r="CK26" i="28"/>
  <c r="CS26" i="28"/>
  <c r="CM26" i="28"/>
  <c r="CM25" i="28"/>
  <c r="CS25" i="28"/>
  <c r="CQ25" i="28"/>
  <c r="CK25" i="28"/>
  <c r="CM23" i="28"/>
  <c r="CS23" i="28"/>
  <c r="CK23" i="28"/>
  <c r="CQ23" i="28"/>
  <c r="CO23" i="28"/>
  <c r="CM24" i="28"/>
  <c r="CO24" i="28"/>
  <c r="CS24" i="28"/>
  <c r="CK24" i="28"/>
  <c r="CM20" i="28"/>
  <c r="CS20" i="28"/>
  <c r="CO20" i="28"/>
  <c r="CK20" i="28"/>
  <c r="CS22" i="28"/>
  <c r="CO22" i="28"/>
  <c r="CK22" i="28"/>
  <c r="CM22" i="28"/>
  <c r="CO21" i="28"/>
  <c r="CK21" i="28"/>
  <c r="CS21" i="28"/>
  <c r="CM21" i="28"/>
  <c r="CQ19" i="28"/>
  <c r="CS19" i="28"/>
  <c r="CK19" i="28"/>
  <c r="CO19" i="28"/>
  <c r="CM19" i="28"/>
  <c r="CK18" i="28"/>
  <c r="CO18" i="28"/>
  <c r="CS18" i="28"/>
  <c r="CQ18" i="28"/>
  <c r="CM17" i="28"/>
  <c r="CQ17" i="28"/>
  <c r="CO16" i="28"/>
  <c r="CM16" i="28"/>
  <c r="CQ16" i="28"/>
  <c r="CS16" i="28"/>
  <c r="CS17" i="28"/>
  <c r="CK16" i="28"/>
  <c r="CO17" i="28"/>
  <c r="CK15" i="28"/>
  <c r="CO15" i="28"/>
  <c r="CQ15" i="28"/>
  <c r="CM15" i="28"/>
  <c r="B3" i="28"/>
  <c r="C3" i="28"/>
  <c r="E3" i="28"/>
  <c r="F3" i="28"/>
  <c r="D3" i="28"/>
  <c r="AF88" i="28"/>
  <c r="AH87" i="28"/>
  <c r="AM82" i="28" s="1"/>
  <c r="AK19" i="13"/>
  <c r="AN18" i="13"/>
  <c r="AL18" i="13"/>
  <c r="AM18" i="13" s="1"/>
  <c r="AP18" i="13"/>
  <c r="AQ18" i="13" s="1"/>
  <c r="AR18" i="13" s="1"/>
  <c r="CB22" i="28"/>
  <c r="CD21" i="28"/>
  <c r="CJ21" i="28" s="1"/>
  <c r="BU21" i="28"/>
  <c r="AC64" i="18"/>
  <c r="AC81" i="18"/>
  <c r="AC80" i="18"/>
  <c r="AC74" i="18"/>
  <c r="AC78" i="18"/>
  <c r="AC72" i="18"/>
  <c r="AC71" i="18"/>
  <c r="AC65" i="18"/>
  <c r="AC77" i="18"/>
  <c r="AC69" i="18"/>
  <c r="AC82" i="18"/>
  <c r="AC75" i="18"/>
  <c r="AC67" i="18"/>
  <c r="AC84" i="18"/>
  <c r="AC70" i="18"/>
  <c r="AC79" i="18"/>
  <c r="AC73" i="18"/>
  <c r="AC68" i="18"/>
  <c r="AC76" i="18"/>
  <c r="AC83" i="18"/>
  <c r="AC66" i="18"/>
  <c r="AD79" i="18"/>
  <c r="AF79" i="18" s="1"/>
  <c r="AD76" i="18"/>
  <c r="AF76" i="18" s="1"/>
  <c r="AD69" i="18"/>
  <c r="AF69" i="18" s="1"/>
  <c r="AD78" i="18"/>
  <c r="AF78" i="18" s="1"/>
  <c r="AD75" i="18"/>
  <c r="AF75" i="18" s="1"/>
  <c r="AD72" i="18"/>
  <c r="AF72" i="18" s="1"/>
  <c r="AD68" i="18"/>
  <c r="AF68" i="18" s="1"/>
  <c r="AD81" i="18"/>
  <c r="AF81" i="18" s="1"/>
  <c r="AD71" i="18"/>
  <c r="AF71" i="18" s="1"/>
  <c r="AD84" i="18"/>
  <c r="AF84" i="18" s="1"/>
  <c r="AD77" i="18"/>
  <c r="AF77" i="18" s="1"/>
  <c r="AD74" i="18"/>
  <c r="AF74" i="18" s="1"/>
  <c r="AD64" i="18"/>
  <c r="AF64" i="18" s="1"/>
  <c r="AD82" i="18"/>
  <c r="AF82" i="18" s="1"/>
  <c r="AD65" i="18"/>
  <c r="AF65" i="18" s="1"/>
  <c r="AD83" i="18"/>
  <c r="AF83" i="18" s="1"/>
  <c r="AD66" i="18"/>
  <c r="AF66" i="18" s="1"/>
  <c r="AD73" i="18"/>
  <c r="AF73" i="18" s="1"/>
  <c r="AD80" i="18"/>
  <c r="AF80" i="18" s="1"/>
  <c r="AD67" i="18"/>
  <c r="AF67" i="18" s="1"/>
  <c r="AD70" i="18"/>
  <c r="AF70" i="18" s="1"/>
  <c r="S35" i="29"/>
  <c r="S37" i="29"/>
  <c r="Q35" i="29"/>
  <c r="AG69" i="21"/>
  <c r="AD70" i="21"/>
  <c r="X64" i="19"/>
  <c r="S22" i="19" s="1"/>
  <c r="AD65" i="19"/>
  <c r="CA53" i="28"/>
  <c r="BZ53" i="28"/>
  <c r="BY54" i="28"/>
  <c r="Y21" i="29"/>
  <c r="CB23" i="28" l="1"/>
  <c r="CD22" i="28"/>
  <c r="CJ22" i="28" s="1"/>
  <c r="BU22" i="28"/>
  <c r="AK20" i="13"/>
  <c r="AP19" i="13"/>
  <c r="AQ19" i="13" s="1"/>
  <c r="AR19" i="13" s="1"/>
  <c r="AN19" i="13"/>
  <c r="AL19" i="13"/>
  <c r="AM19" i="13" s="1"/>
  <c r="X65" i="19"/>
  <c r="S23" i="19" s="1"/>
  <c r="AD66" i="19"/>
  <c r="AD71" i="21"/>
  <c r="AG70" i="21"/>
  <c r="AD65" i="29"/>
  <c r="AD69" i="29"/>
  <c r="AD71" i="29"/>
  <c r="AD73" i="29"/>
  <c r="AD75" i="29"/>
  <c r="AD77" i="29"/>
  <c r="AD79" i="29"/>
  <c r="AD81" i="29"/>
  <c r="AD83" i="29"/>
  <c r="AD67" i="29"/>
  <c r="AD63" i="29"/>
  <c r="AD66" i="29"/>
  <c r="AD70" i="29"/>
  <c r="AD72" i="29"/>
  <c r="AD74" i="29"/>
  <c r="AD76" i="29"/>
  <c r="AD78" i="29"/>
  <c r="AD80" i="29"/>
  <c r="AD82" i="29"/>
  <c r="AD64" i="29"/>
  <c r="AD68" i="29"/>
  <c r="AE64" i="29"/>
  <c r="AG64" i="29" s="1"/>
  <c r="AE68" i="29"/>
  <c r="AG68" i="29" s="1"/>
  <c r="AE72" i="29"/>
  <c r="AG72" i="29" s="1"/>
  <c r="AE74" i="29"/>
  <c r="AG74" i="29" s="1"/>
  <c r="AE76" i="29"/>
  <c r="AG76" i="29" s="1"/>
  <c r="AE78" i="29"/>
  <c r="AG78" i="29" s="1"/>
  <c r="AE80" i="29"/>
  <c r="AG80" i="29" s="1"/>
  <c r="AE82" i="29"/>
  <c r="AG82" i="29" s="1"/>
  <c r="AE63" i="29"/>
  <c r="AG63" i="29" s="1"/>
  <c r="AE70" i="29"/>
  <c r="AG70" i="29" s="1"/>
  <c r="AE69" i="29"/>
  <c r="AG69" i="29" s="1"/>
  <c r="AE67" i="29"/>
  <c r="AG67" i="29" s="1"/>
  <c r="AE71" i="29"/>
  <c r="AG71" i="29" s="1"/>
  <c r="AE73" i="29"/>
  <c r="AG73" i="29" s="1"/>
  <c r="AE75" i="29"/>
  <c r="AG75" i="29" s="1"/>
  <c r="AE77" i="29"/>
  <c r="AG77" i="29" s="1"/>
  <c r="AE79" i="29"/>
  <c r="AG79" i="29" s="1"/>
  <c r="AE81" i="29"/>
  <c r="AG81" i="29" s="1"/>
  <c r="AE83" i="29"/>
  <c r="AG83" i="29" s="1"/>
  <c r="AE65" i="29"/>
  <c r="AG65" i="29" s="1"/>
  <c r="AE66" i="29"/>
  <c r="AG66" i="29" s="1"/>
  <c r="BY55" i="28"/>
  <c r="BZ54" i="28"/>
  <c r="CA54" i="28"/>
  <c r="AN20" i="13" l="1"/>
  <c r="AP20" i="13"/>
  <c r="AQ20" i="13" s="1"/>
  <c r="AR20" i="13" s="1"/>
  <c r="AK21" i="13"/>
  <c r="AL20" i="13"/>
  <c r="AM20" i="13" s="1"/>
  <c r="BU23" i="28"/>
  <c r="CB24" i="28"/>
  <c r="CD23" i="28"/>
  <c r="CJ23" i="28" s="1"/>
  <c r="CA55" i="28"/>
  <c r="BY56" i="28"/>
  <c r="BZ55" i="28"/>
  <c r="X66" i="19"/>
  <c r="S24" i="19" s="1"/>
  <c r="AD67" i="19"/>
  <c r="AD72" i="21"/>
  <c r="AG71" i="21"/>
  <c r="CD24" i="28" l="1"/>
  <c r="CJ24" i="28" s="1"/>
  <c r="BU24" i="28"/>
  <c r="CB25" i="28"/>
  <c r="AK22" i="13"/>
  <c r="AN21" i="13"/>
  <c r="AP21" i="13"/>
  <c r="AQ21" i="13" s="1"/>
  <c r="AR21" i="13" s="1"/>
  <c r="AL21" i="13"/>
  <c r="AM21" i="13" s="1"/>
  <c r="X67" i="19"/>
  <c r="S25" i="19" s="1"/>
  <c r="AD68" i="19"/>
  <c r="AD73" i="21"/>
  <c r="AG72" i="21"/>
  <c r="CA56" i="28"/>
  <c r="BY57" i="28"/>
  <c r="BZ56" i="28"/>
  <c r="AL22" i="13" l="1"/>
  <c r="AM22" i="13" s="1"/>
  <c r="AN22" i="13"/>
  <c r="AK23" i="13"/>
  <c r="AP22" i="13"/>
  <c r="AQ22" i="13" s="1"/>
  <c r="AR22" i="13" s="1"/>
  <c r="CD25" i="28"/>
  <c r="CJ25" i="28" s="1"/>
  <c r="CB26" i="28"/>
  <c r="BU25" i="28"/>
  <c r="BZ57" i="28"/>
  <c r="BY58" i="28"/>
  <c r="CA57" i="28"/>
  <c r="AD74" i="21"/>
  <c r="AG73" i="21"/>
  <c r="X68" i="19"/>
  <c r="S26" i="19" s="1"/>
  <c r="AD69" i="19"/>
  <c r="BU26" i="28" l="1"/>
  <c r="CD26" i="28"/>
  <c r="CJ26" i="28" s="1"/>
  <c r="CB27" i="28"/>
  <c r="AP23" i="13"/>
  <c r="AQ23" i="13" s="1"/>
  <c r="AR23" i="13" s="1"/>
  <c r="AN23" i="13"/>
  <c r="AK24" i="13"/>
  <c r="AL23" i="13"/>
  <c r="AM23" i="13" s="1"/>
  <c r="X69" i="19"/>
  <c r="S27" i="19" s="1"/>
  <c r="AD70" i="19"/>
  <c r="AD75" i="21"/>
  <c r="AG74" i="21"/>
  <c r="BY59" i="28"/>
  <c r="CA58" i="28"/>
  <c r="BZ58" i="28"/>
  <c r="CD27" i="28" l="1"/>
  <c r="CJ27" i="28" s="1"/>
  <c r="CB28" i="28"/>
  <c r="BU27" i="28"/>
  <c r="AL24" i="13"/>
  <c r="AM24" i="13" s="1"/>
  <c r="AP24" i="13"/>
  <c r="AQ24" i="13" s="1"/>
  <c r="AR24" i="13" s="1"/>
  <c r="AK25" i="13"/>
  <c r="AN24" i="13"/>
  <c r="BY60" i="28"/>
  <c r="BZ59" i="28"/>
  <c r="CA59" i="28"/>
  <c r="AD76" i="21"/>
  <c r="AG75" i="21"/>
  <c r="X70" i="19"/>
  <c r="S28" i="19" s="1"/>
  <c r="AD71" i="19"/>
  <c r="AK26" i="13" l="1"/>
  <c r="AP25" i="13"/>
  <c r="AQ25" i="13" s="1"/>
  <c r="AR25" i="13" s="1"/>
  <c r="AL25" i="13"/>
  <c r="AM25" i="13" s="1"/>
  <c r="AN25" i="13"/>
  <c r="CB29" i="28"/>
  <c r="BU28" i="28"/>
  <c r="CD28" i="28"/>
  <c r="CJ28" i="28" s="1"/>
  <c r="BY61" i="28"/>
  <c r="CA60" i="28"/>
  <c r="BZ60" i="28"/>
  <c r="X71" i="19"/>
  <c r="S29" i="19" s="1"/>
  <c r="AD72" i="19"/>
  <c r="AD77" i="21"/>
  <c r="AG76" i="21"/>
  <c r="CD29" i="28" l="1"/>
  <c r="CJ29" i="28" s="1"/>
  <c r="CB30" i="28"/>
  <c r="BU29" i="28"/>
  <c r="AP26" i="13"/>
  <c r="AQ26" i="13" s="1"/>
  <c r="AR26" i="13" s="1"/>
  <c r="AN26" i="13"/>
  <c r="AL26" i="13"/>
  <c r="AM26" i="13" s="1"/>
  <c r="AK27" i="13"/>
  <c r="X72" i="19"/>
  <c r="S30" i="19" s="1"/>
  <c r="AD73" i="19"/>
  <c r="BZ61" i="28"/>
  <c r="BY62" i="28"/>
  <c r="CA61" i="28"/>
  <c r="AD78" i="21"/>
  <c r="AG77" i="21"/>
  <c r="AL27" i="13" l="1"/>
  <c r="AM27" i="13" s="1"/>
  <c r="AN27" i="13"/>
  <c r="AP27" i="13"/>
  <c r="AQ27" i="13" s="1"/>
  <c r="AR27" i="13" s="1"/>
  <c r="AK28" i="13"/>
  <c r="CB31" i="28"/>
  <c r="BU30" i="28"/>
  <c r="CD30" i="28"/>
  <c r="CJ30" i="28" s="1"/>
  <c r="AD79" i="21"/>
  <c r="AG78" i="21"/>
  <c r="BZ62" i="28"/>
  <c r="CA62" i="28"/>
  <c r="BY63" i="28"/>
  <c r="X73" i="19"/>
  <c r="S31" i="19" s="1"/>
  <c r="AD74" i="19"/>
  <c r="AP28" i="13" l="1"/>
  <c r="AQ28" i="13" s="1"/>
  <c r="AR28" i="13" s="1"/>
  <c r="AN28" i="13"/>
  <c r="AL28" i="13"/>
  <c r="AM28" i="13" s="1"/>
  <c r="AK29" i="13"/>
  <c r="BU31" i="28"/>
  <c r="CD31" i="28"/>
  <c r="CJ31" i="28" s="1"/>
  <c r="CB32" i="28"/>
  <c r="X74" i="19"/>
  <c r="S32" i="19" s="1"/>
  <c r="AD75" i="19"/>
  <c r="BZ63" i="28"/>
  <c r="CA63" i="28"/>
  <c r="BY64" i="28"/>
  <c r="AD80" i="21"/>
  <c r="AG79" i="21"/>
  <c r="CB33" i="28" l="1"/>
  <c r="BU32" i="28"/>
  <c r="CD32" i="28"/>
  <c r="CJ32" i="28" s="1"/>
  <c r="AN29" i="13"/>
  <c r="AP29" i="13"/>
  <c r="AQ29" i="13" s="1"/>
  <c r="AR29" i="13" s="1"/>
  <c r="AL29" i="13"/>
  <c r="AM29" i="13" s="1"/>
  <c r="AK30" i="13"/>
  <c r="CA64" i="28"/>
  <c r="BY65" i="28"/>
  <c r="BZ64" i="28"/>
  <c r="AD81" i="21"/>
  <c r="AG80" i="21"/>
  <c r="X75" i="19"/>
  <c r="S33" i="19" s="1"/>
  <c r="AD76" i="19"/>
  <c r="AP30" i="13" l="1"/>
  <c r="AQ30" i="13" s="1"/>
  <c r="AR30" i="13" s="1"/>
  <c r="AL30" i="13"/>
  <c r="AM30" i="13" s="1"/>
  <c r="AN30" i="13"/>
  <c r="AK31" i="13"/>
  <c r="BU33" i="28"/>
  <c r="CB34" i="28"/>
  <c r="CD33" i="28"/>
  <c r="CJ33" i="28" s="1"/>
  <c r="AD82" i="21"/>
  <c r="AG81" i="21"/>
  <c r="CA65" i="28"/>
  <c r="BZ65" i="28"/>
  <c r="BY66" i="28"/>
  <c r="X76" i="19"/>
  <c r="S34" i="19" s="1"/>
  <c r="AD77" i="19"/>
  <c r="CD34" i="28" l="1"/>
  <c r="CJ34" i="28" s="1"/>
  <c r="CB35" i="28"/>
  <c r="BU34" i="28"/>
  <c r="AL31" i="13"/>
  <c r="AM31" i="13" s="1"/>
  <c r="AN31" i="13"/>
  <c r="AK32" i="13"/>
  <c r="AP31" i="13"/>
  <c r="AQ31" i="13" s="1"/>
  <c r="AR31" i="13" s="1"/>
  <c r="AD78" i="19"/>
  <c r="X77" i="19"/>
  <c r="S35" i="19" s="1"/>
  <c r="BZ66" i="28"/>
  <c r="BY67" i="28"/>
  <c r="CA66" i="28"/>
  <c r="AD83" i="21"/>
  <c r="AG82" i="21"/>
  <c r="AK33" i="13" l="1"/>
  <c r="AN32" i="13"/>
  <c r="AL32" i="13"/>
  <c r="AM32" i="13" s="1"/>
  <c r="AP32" i="13"/>
  <c r="AQ32" i="13" s="1"/>
  <c r="AR32" i="13" s="1"/>
  <c r="CB36" i="28"/>
  <c r="BU35" i="28"/>
  <c r="CD35" i="28"/>
  <c r="CJ35" i="28" s="1"/>
  <c r="S5" i="19"/>
  <c r="S6" i="19" s="1"/>
  <c r="AZ7" i="19" s="1"/>
  <c r="S4" i="19"/>
  <c r="AD84" i="21"/>
  <c r="AG83" i="21"/>
  <c r="BY68" i="28"/>
  <c r="BZ67" i="28"/>
  <c r="CA67" i="28"/>
  <c r="AD79" i="19"/>
  <c r="X78" i="19"/>
  <c r="CD36" i="28" l="1"/>
  <c r="CJ36" i="28" s="1"/>
  <c r="CB37" i="28"/>
  <c r="BU36" i="28"/>
  <c r="AP33" i="13"/>
  <c r="AQ33" i="13" s="1"/>
  <c r="AR33" i="13" s="1"/>
  <c r="AL33" i="13"/>
  <c r="AM33" i="13" s="1"/>
  <c r="AN33" i="13"/>
  <c r="AK34" i="13"/>
  <c r="AD80" i="19"/>
  <c r="X79" i="19"/>
  <c r="BZ68" i="28"/>
  <c r="BY69" i="28"/>
  <c r="CA68" i="28"/>
  <c r="AD85" i="21"/>
  <c r="AG84" i="21"/>
  <c r="AZ6" i="19"/>
  <c r="AZ4" i="19"/>
  <c r="AK35" i="13" l="1"/>
  <c r="AP34" i="13"/>
  <c r="AQ34" i="13" s="1"/>
  <c r="AR34" i="13" s="1"/>
  <c r="AL34" i="13"/>
  <c r="AM34" i="13" s="1"/>
  <c r="AN34" i="13"/>
  <c r="BU37" i="28"/>
  <c r="CB38" i="28"/>
  <c r="CD37" i="28"/>
  <c r="CJ37" i="28" s="1"/>
  <c r="AD86" i="21"/>
  <c r="AG85" i="21"/>
  <c r="BY70" i="28"/>
  <c r="CA69" i="28"/>
  <c r="BZ69" i="28"/>
  <c r="AD81" i="19"/>
  <c r="X80" i="19"/>
  <c r="CD38" i="28" l="1"/>
  <c r="CJ38" i="28" s="1"/>
  <c r="CB39" i="28"/>
  <c r="BU38" i="28"/>
  <c r="AL35" i="13"/>
  <c r="AM35" i="13" s="1"/>
  <c r="AK36" i="13"/>
  <c r="AP35" i="13"/>
  <c r="AQ35" i="13" s="1"/>
  <c r="AR35" i="13" s="1"/>
  <c r="AN35" i="13"/>
  <c r="AD82" i="19"/>
  <c r="X81" i="19"/>
  <c r="BY71" i="28"/>
  <c r="CA70" i="28"/>
  <c r="BZ70" i="28"/>
  <c r="AD87" i="21"/>
  <c r="AG86" i="21"/>
  <c r="AN36" i="13" l="1"/>
  <c r="AK37" i="13"/>
  <c r="AP36" i="13"/>
  <c r="AQ36" i="13" s="1"/>
  <c r="AR36" i="13" s="1"/>
  <c r="AL36" i="13"/>
  <c r="AM36" i="13" s="1"/>
  <c r="CD39" i="28"/>
  <c r="CJ39" i="28" s="1"/>
  <c r="BU39" i="28"/>
  <c r="BY72" i="28"/>
  <c r="CA71" i="28"/>
  <c r="BZ71" i="28"/>
  <c r="AD83" i="19"/>
  <c r="X82" i="19"/>
  <c r="AD88" i="21"/>
  <c r="AG87" i="21"/>
  <c r="AK38" i="13" l="1"/>
  <c r="AL37" i="13"/>
  <c r="AM37" i="13" s="1"/>
  <c r="AN37" i="13"/>
  <c r="AP37" i="13"/>
  <c r="AQ37" i="13" s="1"/>
  <c r="AR37" i="13" s="1"/>
  <c r="AD89" i="21"/>
  <c r="AG88" i="21"/>
  <c r="CA72" i="28"/>
  <c r="BY73" i="28"/>
  <c r="BZ72" i="28"/>
  <c r="AD84" i="19"/>
  <c r="X83" i="19"/>
  <c r="AL38" i="13" l="1"/>
  <c r="AM38" i="13" s="1"/>
  <c r="AP38" i="13"/>
  <c r="AQ38" i="13" s="1"/>
  <c r="AR38" i="13" s="1"/>
  <c r="AK39" i="13"/>
  <c r="AN38" i="13"/>
  <c r="AD85" i="19"/>
  <c r="X84" i="19"/>
  <c r="AD90" i="21"/>
  <c r="AG89" i="21"/>
  <c r="BY74" i="28"/>
  <c r="CA73" i="28"/>
  <c r="BZ73" i="28"/>
  <c r="AK40" i="13" l="1"/>
  <c r="AN39" i="13"/>
  <c r="AP39" i="13"/>
  <c r="AQ39" i="13" s="1"/>
  <c r="AR39" i="13" s="1"/>
  <c r="AL39" i="13"/>
  <c r="AM39" i="13" s="1"/>
  <c r="AD86" i="19"/>
  <c r="X85" i="19"/>
  <c r="BY75" i="28"/>
  <c r="CA74" i="28"/>
  <c r="BZ74" i="28"/>
  <c r="AD91" i="21"/>
  <c r="AG90" i="21"/>
  <c r="AN40" i="13" l="1"/>
  <c r="AP40" i="13"/>
  <c r="AQ40" i="13" s="1"/>
  <c r="AR40" i="13" s="1"/>
  <c r="AK41" i="13"/>
  <c r="AL40" i="13"/>
  <c r="AM40" i="13" s="1"/>
  <c r="BZ75" i="28"/>
  <c r="CA75" i="28"/>
  <c r="BY76" i="28"/>
  <c r="AD92" i="21"/>
  <c r="AG91" i="21"/>
  <c r="AD87" i="19"/>
  <c r="X86" i="19"/>
  <c r="AL41" i="13" l="1"/>
  <c r="AM41" i="13" s="1"/>
  <c r="AN41" i="13"/>
  <c r="AK42" i="13"/>
  <c r="AP41" i="13"/>
  <c r="AQ41" i="13" s="1"/>
  <c r="AR41" i="13" s="1"/>
  <c r="AD88" i="19"/>
  <c r="X87" i="19"/>
  <c r="AD93" i="21"/>
  <c r="AG92" i="21"/>
  <c r="CA76" i="28"/>
  <c r="BZ76" i="28"/>
  <c r="BY77" i="28"/>
  <c r="AK43" i="13" l="1"/>
  <c r="AP42" i="13"/>
  <c r="AQ42" i="13" s="1"/>
  <c r="AR42" i="13" s="1"/>
  <c r="AL42" i="13"/>
  <c r="AM42" i="13" s="1"/>
  <c r="AN42" i="13"/>
  <c r="CA77" i="28"/>
  <c r="BZ77" i="28"/>
  <c r="BY78" i="28"/>
  <c r="AD94" i="21"/>
  <c r="AG93" i="21"/>
  <c r="AD89" i="19"/>
  <c r="X88" i="19"/>
  <c r="AL43" i="13" l="1"/>
  <c r="AM43" i="13" s="1"/>
  <c r="AN43" i="13"/>
  <c r="AP43" i="13"/>
  <c r="AQ43" i="13" s="1"/>
  <c r="AR43" i="13" s="1"/>
  <c r="AK44" i="13"/>
  <c r="BY79" i="28"/>
  <c r="CA78" i="28"/>
  <c r="BZ78" i="28"/>
  <c r="AD90" i="19"/>
  <c r="X89" i="19"/>
  <c r="AD95" i="21"/>
  <c r="AG94" i="21"/>
  <c r="AL44" i="13" l="1"/>
  <c r="AM44" i="13" s="1"/>
  <c r="AP44" i="13"/>
  <c r="AQ44" i="13" s="1"/>
  <c r="AR44" i="13" s="1"/>
  <c r="AK45" i="13"/>
  <c r="AN44" i="13"/>
  <c r="BZ79" i="28"/>
  <c r="CA79" i="28"/>
  <c r="BY80" i="28"/>
  <c r="AD96" i="21"/>
  <c r="AG95" i="21"/>
  <c r="AD91" i="19"/>
  <c r="X90" i="19"/>
  <c r="AK46" i="13" l="1"/>
  <c r="AN45" i="13"/>
  <c r="AL45" i="13"/>
  <c r="AM45" i="13" s="1"/>
  <c r="AP45" i="13"/>
  <c r="AQ45" i="13" s="1"/>
  <c r="AR45" i="13" s="1"/>
  <c r="AD92" i="19"/>
  <c r="X91" i="19"/>
  <c r="AD97" i="21"/>
  <c r="AG96" i="21"/>
  <c r="BZ80" i="28"/>
  <c r="BY81" i="28"/>
  <c r="CA80" i="28"/>
  <c r="AN46" i="13" l="1"/>
  <c r="AP46" i="13"/>
  <c r="AQ46" i="13" s="1"/>
  <c r="AR46" i="13" s="1"/>
  <c r="AL46" i="13"/>
  <c r="AM46" i="13" s="1"/>
  <c r="AK47" i="13"/>
  <c r="AD98" i="21"/>
  <c r="AG97" i="21"/>
  <c r="AD93" i="19"/>
  <c r="X92" i="19"/>
  <c r="CA81" i="28"/>
  <c r="BY82" i="28"/>
  <c r="BZ81" i="28"/>
  <c r="AL47" i="13" l="1"/>
  <c r="AM47" i="13" s="1"/>
  <c r="AK48" i="13"/>
  <c r="AP47" i="13"/>
  <c r="AQ47" i="13" s="1"/>
  <c r="AR47" i="13" s="1"/>
  <c r="AN47" i="13"/>
  <c r="BY83" i="28"/>
  <c r="CA82" i="28"/>
  <c r="BZ82" i="28"/>
  <c r="AD94" i="19"/>
  <c r="X93" i="19"/>
  <c r="AD99" i="21"/>
  <c r="AG98" i="21"/>
  <c r="AN48" i="13" l="1"/>
  <c r="AK49" i="13"/>
  <c r="AP48" i="13"/>
  <c r="AQ48" i="13" s="1"/>
  <c r="AR48" i="13" s="1"/>
  <c r="AL48" i="13"/>
  <c r="AM48" i="13" s="1"/>
  <c r="AD100" i="21"/>
  <c r="AG99" i="21"/>
  <c r="AD95" i="19"/>
  <c r="X94" i="19"/>
  <c r="BY84" i="28"/>
  <c r="BZ83" i="28"/>
  <c r="CA83" i="28"/>
  <c r="AK50" i="13" l="1"/>
  <c r="AN49" i="13"/>
  <c r="AP49" i="13"/>
  <c r="AQ49" i="13" s="1"/>
  <c r="AR49" i="13" s="1"/>
  <c r="AL49" i="13"/>
  <c r="AM49" i="13" s="1"/>
  <c r="BY85" i="28"/>
  <c r="BZ84" i="28"/>
  <c r="CA84" i="28"/>
  <c r="AD96" i="19"/>
  <c r="X95" i="19"/>
  <c r="AD101" i="21"/>
  <c r="AG100" i="21"/>
  <c r="AN50" i="13" l="1"/>
  <c r="AK51" i="13"/>
  <c r="AP50" i="13"/>
  <c r="AQ50" i="13" s="1"/>
  <c r="AR50" i="13" s="1"/>
  <c r="AL50" i="13"/>
  <c r="AM50" i="13" s="1"/>
  <c r="CA85" i="28"/>
  <c r="BY86" i="28"/>
  <c r="BZ85" i="28"/>
  <c r="AD102" i="21"/>
  <c r="AG101" i="21"/>
  <c r="AD97" i="19"/>
  <c r="X96" i="19"/>
  <c r="AK52" i="13" l="1"/>
  <c r="AN51" i="13"/>
  <c r="AL51" i="13"/>
  <c r="AM51" i="13" s="1"/>
  <c r="AP51" i="13"/>
  <c r="AQ51" i="13" s="1"/>
  <c r="AR51" i="13" s="1"/>
  <c r="AD98" i="19"/>
  <c r="X97" i="19"/>
  <c r="AD103" i="21"/>
  <c r="AG102" i="21"/>
  <c r="BZ86" i="28"/>
  <c r="BY87" i="28"/>
  <c r="CA86" i="28"/>
  <c r="AK53" i="13" l="1"/>
  <c r="AP52" i="13"/>
  <c r="AQ52" i="13" s="1"/>
  <c r="AR52" i="13" s="1"/>
  <c r="AL52" i="13"/>
  <c r="AM52" i="13" s="1"/>
  <c r="AN52" i="13"/>
  <c r="BZ87" i="28"/>
  <c r="BY88" i="28"/>
  <c r="CA87" i="28"/>
  <c r="AD104" i="21"/>
  <c r="AG103" i="21"/>
  <c r="AD99" i="19"/>
  <c r="X98" i="19"/>
  <c r="AP53" i="13" l="1"/>
  <c r="AQ53" i="13" s="1"/>
  <c r="AR53" i="13" s="1"/>
  <c r="AN53" i="13"/>
  <c r="AL53" i="13"/>
  <c r="AM53" i="13" s="1"/>
  <c r="AK54" i="13"/>
  <c r="AD100" i="19"/>
  <c r="X99" i="19"/>
  <c r="AD105" i="21"/>
  <c r="AG104" i="21"/>
  <c r="BY89" i="28"/>
  <c r="CA88" i="28"/>
  <c r="BZ88" i="28"/>
  <c r="AP54" i="13" l="1"/>
  <c r="AQ54" i="13" s="1"/>
  <c r="AR54" i="13" s="1"/>
  <c r="AL54" i="13"/>
  <c r="AM54" i="13" s="1"/>
  <c r="AK55" i="13"/>
  <c r="AN54" i="13"/>
  <c r="AD106" i="21"/>
  <c r="AG105" i="21"/>
  <c r="AD101" i="19"/>
  <c r="X100" i="19"/>
  <c r="BZ89" i="28"/>
  <c r="BY90" i="28"/>
  <c r="CA89" i="28"/>
  <c r="AN55" i="13" l="1"/>
  <c r="AK56" i="13"/>
  <c r="AP55" i="13"/>
  <c r="AQ55" i="13" s="1"/>
  <c r="AR55" i="13" s="1"/>
  <c r="AL55" i="13"/>
  <c r="AM55" i="13" s="1"/>
  <c r="BY91" i="28"/>
  <c r="BZ90" i="28"/>
  <c r="CA90" i="28"/>
  <c r="AD102" i="19"/>
  <c r="X101" i="19"/>
  <c r="AD107" i="21"/>
  <c r="AG106" i="21"/>
  <c r="AL56" i="13" l="1"/>
  <c r="AM56" i="13" s="1"/>
  <c r="AP56" i="13"/>
  <c r="AQ56" i="13" s="1"/>
  <c r="AR56" i="13" s="1"/>
  <c r="AN56" i="13"/>
  <c r="AK57" i="13"/>
  <c r="BZ91" i="28"/>
  <c r="BY92" i="28"/>
  <c r="CA91" i="28"/>
  <c r="AD108" i="21"/>
  <c r="AG107" i="21"/>
  <c r="AD103" i="19"/>
  <c r="X102" i="19"/>
  <c r="AK58" i="13" l="1"/>
  <c r="AN57" i="13"/>
  <c r="AL57" i="13"/>
  <c r="AM57" i="13" s="1"/>
  <c r="AP57" i="13"/>
  <c r="AQ57" i="13" s="1"/>
  <c r="AR57" i="13" s="1"/>
  <c r="AD104" i="19"/>
  <c r="X103" i="19"/>
  <c r="AD109" i="21"/>
  <c r="AG108" i="21"/>
  <c r="BY93" i="28"/>
  <c r="BZ92" i="28"/>
  <c r="CA92" i="28"/>
  <c r="AP58" i="13" l="1"/>
  <c r="AQ58" i="13" s="1"/>
  <c r="AR58" i="13" s="1"/>
  <c r="AN58" i="13"/>
  <c r="AL58" i="13"/>
  <c r="AM58" i="13" s="1"/>
  <c r="AK59" i="13"/>
  <c r="BY94" i="28"/>
  <c r="BZ93" i="28"/>
  <c r="CA93" i="28"/>
  <c r="AD110" i="21"/>
  <c r="AG109" i="21"/>
  <c r="AD105" i="19"/>
  <c r="X104" i="19"/>
  <c r="AL59" i="13" l="1"/>
  <c r="AM59" i="13" s="1"/>
  <c r="AK60" i="13"/>
  <c r="AP59" i="13"/>
  <c r="AQ59" i="13" s="1"/>
  <c r="AR59" i="13" s="1"/>
  <c r="AN59" i="13"/>
  <c r="AD106" i="19"/>
  <c r="X105" i="19"/>
  <c r="AD111" i="21"/>
  <c r="AG110" i="21"/>
  <c r="BY95" i="28"/>
  <c r="BZ94" i="28"/>
  <c r="CA94" i="28"/>
  <c r="AK61" i="13" l="1"/>
  <c r="AN60" i="13"/>
  <c r="AP60" i="13"/>
  <c r="AQ60" i="13" s="1"/>
  <c r="AR60" i="13" s="1"/>
  <c r="AL60" i="13"/>
  <c r="AM60" i="13" s="1"/>
  <c r="AD112" i="21"/>
  <c r="AG111" i="21"/>
  <c r="AD107" i="19"/>
  <c r="X106" i="19"/>
  <c r="BZ95" i="28"/>
  <c r="CA95" i="28"/>
  <c r="BY96" i="28"/>
  <c r="AN61" i="13" l="1"/>
  <c r="AP61" i="13"/>
  <c r="AQ61" i="13" s="1"/>
  <c r="AR61" i="13" s="1"/>
  <c r="AK62" i="13"/>
  <c r="AL61" i="13"/>
  <c r="AM61" i="13" s="1"/>
  <c r="BZ96" i="28"/>
  <c r="BY97" i="28"/>
  <c r="CA96" i="28"/>
  <c r="AD108" i="19"/>
  <c r="X107" i="19"/>
  <c r="AD113" i="21"/>
  <c r="AG112" i="21"/>
  <c r="AN62" i="13" l="1"/>
  <c r="AP62" i="13"/>
  <c r="AQ62" i="13" s="1"/>
  <c r="AR62" i="13" s="1"/>
  <c r="AL62" i="13"/>
  <c r="AM62" i="13" s="1"/>
  <c r="AK63" i="13"/>
  <c r="AD114" i="21"/>
  <c r="AG113" i="21"/>
  <c r="AD109" i="19"/>
  <c r="X108" i="19"/>
  <c r="CA97" i="28"/>
  <c r="BZ97" i="28"/>
  <c r="BY98" i="28"/>
  <c r="AP63" i="13" l="1"/>
  <c r="AQ63" i="13" s="1"/>
  <c r="AR63" i="13" s="1"/>
  <c r="AN63" i="13"/>
  <c r="AK64" i="13"/>
  <c r="AL63" i="13"/>
  <c r="AM63" i="13" s="1"/>
  <c r="CA98" i="28"/>
  <c r="BY99" i="28"/>
  <c r="BZ98" i="28"/>
  <c r="AD110" i="19"/>
  <c r="X109" i="19"/>
  <c r="AD115" i="21"/>
  <c r="AG114" i="21"/>
  <c r="AN64" i="13" l="1"/>
  <c r="AP64" i="13"/>
  <c r="AQ64" i="13" s="1"/>
  <c r="AR64" i="13" s="1"/>
  <c r="AL64" i="13"/>
  <c r="AM64" i="13" s="1"/>
  <c r="AK65" i="13"/>
  <c r="AD116" i="21"/>
  <c r="AG115" i="21"/>
  <c r="AD111" i="19"/>
  <c r="X110" i="19"/>
  <c r="BY100" i="28"/>
  <c r="CA99" i="28"/>
  <c r="BZ99" i="28"/>
  <c r="AN65" i="13" l="1"/>
  <c r="AP65" i="13"/>
  <c r="AQ65" i="13" s="1"/>
  <c r="AR65" i="13" s="1"/>
  <c r="AK66" i="13"/>
  <c r="AL65" i="13"/>
  <c r="AM65" i="13" s="1"/>
  <c r="BY101" i="28"/>
  <c r="BZ100" i="28"/>
  <c r="CA100" i="28"/>
  <c r="AD112" i="19"/>
  <c r="X111" i="19"/>
  <c r="AD117" i="21"/>
  <c r="AG116" i="21"/>
  <c r="AL66" i="13" l="1"/>
  <c r="AM66" i="13" s="1"/>
  <c r="AK67" i="13"/>
  <c r="AP66" i="13"/>
  <c r="AQ66" i="13" s="1"/>
  <c r="AR66" i="13" s="1"/>
  <c r="AN66" i="13"/>
  <c r="AD118" i="21"/>
  <c r="AG117" i="21"/>
  <c r="AD113" i="19"/>
  <c r="X112" i="19"/>
  <c r="BZ101" i="28"/>
  <c r="BY102" i="28"/>
  <c r="CA101" i="28"/>
  <c r="AK68" i="13" l="1"/>
  <c r="AN67" i="13"/>
  <c r="AL67" i="13"/>
  <c r="AM67" i="13" s="1"/>
  <c r="AP67" i="13"/>
  <c r="AQ67" i="13" s="1"/>
  <c r="AR67" i="13" s="1"/>
  <c r="BY103" i="28"/>
  <c r="BZ102" i="28"/>
  <c r="CA102" i="28"/>
  <c r="AD114" i="19"/>
  <c r="X113" i="19"/>
  <c r="AD119" i="21"/>
  <c r="AG118" i="21"/>
  <c r="AP68" i="13" l="1"/>
  <c r="AQ68" i="13" s="1"/>
  <c r="AR68" i="13" s="1"/>
  <c r="AL68" i="13"/>
  <c r="AM68" i="13" s="1"/>
  <c r="AK69" i="13"/>
  <c r="AN68" i="13"/>
  <c r="AD120" i="21"/>
  <c r="AG119" i="21"/>
  <c r="AD115" i="19"/>
  <c r="X114" i="19"/>
  <c r="BZ103" i="28"/>
  <c r="CA103" i="28"/>
  <c r="BY104" i="28"/>
  <c r="AN69" i="13" l="1"/>
  <c r="AP69" i="13"/>
  <c r="AQ69" i="13" s="1"/>
  <c r="AR69" i="13" s="1"/>
  <c r="AK70" i="13"/>
  <c r="AL69" i="13"/>
  <c r="AM69" i="13" s="1"/>
  <c r="AD116" i="19"/>
  <c r="X115" i="19"/>
  <c r="AD121" i="21"/>
  <c r="AG120" i="21"/>
  <c r="CA104" i="28"/>
  <c r="BZ104" i="28"/>
  <c r="BY105" i="28"/>
  <c r="AL70" i="13" l="1"/>
  <c r="AM70" i="13" s="1"/>
  <c r="AN70" i="13"/>
  <c r="AP70" i="13"/>
  <c r="AQ70" i="13" s="1"/>
  <c r="AR70" i="13" s="1"/>
  <c r="AK71" i="13"/>
  <c r="AD122" i="21"/>
  <c r="AG121" i="21"/>
  <c r="AD117" i="19"/>
  <c r="X116" i="19"/>
  <c r="BZ105" i="28"/>
  <c r="BY106" i="28"/>
  <c r="CA105" i="28"/>
  <c r="AK72" i="13" l="1"/>
  <c r="AN71" i="13"/>
  <c r="AP71" i="13"/>
  <c r="AQ71" i="13" s="1"/>
  <c r="AR71" i="13" s="1"/>
  <c r="AL71" i="13"/>
  <c r="AM71" i="13" s="1"/>
  <c r="AD118" i="19"/>
  <c r="X117" i="19"/>
  <c r="AD123" i="21"/>
  <c r="AG122" i="21"/>
  <c r="CA106" i="28"/>
  <c r="BY107" i="28"/>
  <c r="BZ106" i="28"/>
  <c r="AK73" i="13" l="1"/>
  <c r="AN72" i="13"/>
  <c r="AP72" i="13"/>
  <c r="AQ72" i="13" s="1"/>
  <c r="AR72" i="13" s="1"/>
  <c r="AL72" i="13"/>
  <c r="AM72" i="13" s="1"/>
  <c r="AD124" i="21"/>
  <c r="AG123" i="21"/>
  <c r="AD119" i="19"/>
  <c r="X118" i="19"/>
  <c r="BZ107" i="28"/>
  <c r="CA107" i="28"/>
  <c r="BY108" i="28"/>
  <c r="AK74" i="13" l="1"/>
  <c r="AN73" i="13"/>
  <c r="AL73" i="13"/>
  <c r="AM73" i="13" s="1"/>
  <c r="AP73" i="13"/>
  <c r="AQ73" i="13" s="1"/>
  <c r="AR73" i="13" s="1"/>
  <c r="CA108" i="28"/>
  <c r="BZ108" i="28"/>
  <c r="BY109" i="28"/>
  <c r="AD120" i="19"/>
  <c r="X119" i="19"/>
  <c r="AD125" i="21"/>
  <c r="AG124" i="21"/>
  <c r="AK75" i="13" l="1"/>
  <c r="AP74" i="13"/>
  <c r="AQ74" i="13" s="1"/>
  <c r="AR74" i="13" s="1"/>
  <c r="AN74" i="13"/>
  <c r="AL74" i="13"/>
  <c r="AM74" i="13" s="1"/>
  <c r="AD126" i="21"/>
  <c r="AG125" i="21"/>
  <c r="AD121" i="19"/>
  <c r="X120" i="19"/>
  <c r="BZ109" i="28"/>
  <c r="BY110" i="28"/>
  <c r="CA109" i="28"/>
  <c r="AP75" i="13" l="1"/>
  <c r="AQ75" i="13" s="1"/>
  <c r="AR75" i="13" s="1"/>
  <c r="AL75" i="13"/>
  <c r="AM75" i="13" s="1"/>
  <c r="AK76" i="13"/>
  <c r="AN75" i="13"/>
  <c r="BZ110" i="28"/>
  <c r="BY111" i="28"/>
  <c r="CA110" i="28"/>
  <c r="AD122" i="19"/>
  <c r="X121" i="19"/>
  <c r="AD127" i="21"/>
  <c r="AG126" i="21"/>
  <c r="AL76" i="13" l="1"/>
  <c r="AM76" i="13" s="1"/>
  <c r="AK77" i="13"/>
  <c r="AN76" i="13"/>
  <c r="AP76" i="13"/>
  <c r="AQ76" i="13" s="1"/>
  <c r="AR76" i="13" s="1"/>
  <c r="AD128" i="21"/>
  <c r="AG127" i="21"/>
  <c r="AD123" i="19"/>
  <c r="X122" i="19"/>
  <c r="CA111" i="28"/>
  <c r="BZ111" i="28"/>
  <c r="BY112" i="28"/>
  <c r="AK78" i="13" l="1"/>
  <c r="AL77" i="13"/>
  <c r="AM77" i="13" s="1"/>
  <c r="AP77" i="13"/>
  <c r="AQ77" i="13" s="1"/>
  <c r="AR77" i="13" s="1"/>
  <c r="AN77" i="13"/>
  <c r="BZ112" i="28"/>
  <c r="CA112" i="28"/>
  <c r="BY113" i="28"/>
  <c r="AD124" i="19"/>
  <c r="X123" i="19"/>
  <c r="AD129" i="21"/>
  <c r="AG128" i="21"/>
  <c r="AK79" i="13" l="1"/>
  <c r="AP78" i="13"/>
  <c r="AQ78" i="13" s="1"/>
  <c r="AR78" i="13" s="1"/>
  <c r="AL78" i="13"/>
  <c r="AM78" i="13" s="1"/>
  <c r="AN78" i="13"/>
  <c r="CA113" i="28"/>
  <c r="BZ113" i="28"/>
  <c r="BY114" i="28"/>
  <c r="AD130" i="21"/>
  <c r="AG129" i="21"/>
  <c r="AD125" i="19"/>
  <c r="X124" i="19"/>
  <c r="AK80" i="13" l="1"/>
  <c r="AN79" i="13"/>
  <c r="AP79" i="13"/>
  <c r="AQ79" i="13" s="1"/>
  <c r="AR79" i="13" s="1"/>
  <c r="AL79" i="13"/>
  <c r="AM79" i="13" s="1"/>
  <c r="AD126" i="19"/>
  <c r="X125" i="19"/>
  <c r="AD131" i="21"/>
  <c r="AG130" i="21"/>
  <c r="BY115" i="28"/>
  <c r="BZ114" i="28"/>
  <c r="CA114" i="28"/>
  <c r="AP80" i="13" l="1"/>
  <c r="AQ80" i="13" s="1"/>
  <c r="AR80" i="13" s="1"/>
  <c r="AK81" i="13"/>
  <c r="AN80" i="13"/>
  <c r="AL80" i="13"/>
  <c r="AM80" i="13" s="1"/>
  <c r="CA115" i="28"/>
  <c r="BZ115" i="28"/>
  <c r="BY116" i="28"/>
  <c r="AD132" i="21"/>
  <c r="AG131" i="21"/>
  <c r="AD127" i="19"/>
  <c r="X126" i="19"/>
  <c r="AL81" i="13" l="1"/>
  <c r="AM81" i="13" s="1"/>
  <c r="AN81" i="13"/>
  <c r="AK82" i="13"/>
  <c r="AP81" i="13"/>
  <c r="AQ81" i="13" s="1"/>
  <c r="AR81" i="13" s="1"/>
  <c r="AD128" i="19"/>
  <c r="X127" i="19"/>
  <c r="AD133" i="21"/>
  <c r="AG132" i="21"/>
  <c r="BY117" i="28"/>
  <c r="BZ116" i="28"/>
  <c r="CA116" i="28"/>
  <c r="AK83" i="13" l="1"/>
  <c r="AN82" i="13"/>
  <c r="AL82" i="13"/>
  <c r="AM82" i="13" s="1"/>
  <c r="AP82" i="13"/>
  <c r="AQ82" i="13" s="1"/>
  <c r="AR82" i="13" s="1"/>
  <c r="BZ117" i="28"/>
  <c r="BY118" i="28"/>
  <c r="CA117" i="28"/>
  <c r="AD134" i="21"/>
  <c r="AG133" i="21"/>
  <c r="AD129" i="19"/>
  <c r="X128" i="19"/>
  <c r="AP83" i="13" l="1"/>
  <c r="AQ83" i="13" s="1"/>
  <c r="AR83" i="13" s="1"/>
  <c r="AK84" i="13"/>
  <c r="AN83" i="13"/>
  <c r="AL83" i="13"/>
  <c r="AM83" i="13" s="1"/>
  <c r="AD130" i="19"/>
  <c r="X129" i="19"/>
  <c r="AD135" i="21"/>
  <c r="AG134" i="21"/>
  <c r="CA118" i="28"/>
  <c r="BZ118" i="28"/>
  <c r="BY119" i="28"/>
  <c r="AN84" i="13" l="1"/>
  <c r="AK85" i="13"/>
  <c r="AP84" i="13"/>
  <c r="AQ84" i="13" s="1"/>
  <c r="AR84" i="13" s="1"/>
  <c r="AL84" i="13"/>
  <c r="AM84" i="13" s="1"/>
  <c r="CA119" i="28"/>
  <c r="BZ119" i="28"/>
  <c r="BY120" i="28"/>
  <c r="AD136" i="21"/>
  <c r="AG135" i="21"/>
  <c r="AD131" i="19"/>
  <c r="X130" i="19"/>
  <c r="AL85" i="13" l="1"/>
  <c r="AM85" i="13" s="1"/>
  <c r="AR85" i="13"/>
  <c r="AK86" i="13"/>
  <c r="AP85" i="13"/>
  <c r="AQ85" i="13" s="1"/>
  <c r="AN85" i="13"/>
  <c r="BY121" i="28"/>
  <c r="BZ120" i="28"/>
  <c r="CA120" i="28"/>
  <c r="AD132" i="19"/>
  <c r="X131" i="19"/>
  <c r="AD137" i="21"/>
  <c r="AG136" i="21"/>
  <c r="AP86" i="13" l="1"/>
  <c r="AQ86" i="13" s="1"/>
  <c r="AR86" i="13" s="1"/>
  <c r="AN86" i="13"/>
  <c r="AK87" i="13"/>
  <c r="AL86" i="13"/>
  <c r="AM86" i="13" s="1"/>
  <c r="AD138" i="21"/>
  <c r="AG137" i="21"/>
  <c r="AD133" i="19"/>
  <c r="X132" i="19"/>
  <c r="CA121" i="28"/>
  <c r="BZ121" i="28"/>
  <c r="BY122" i="28"/>
  <c r="AK88" i="13" l="1"/>
  <c r="AL87" i="13"/>
  <c r="AM87" i="13" s="1"/>
  <c r="AP87" i="13"/>
  <c r="AQ87" i="13" s="1"/>
  <c r="AR87" i="13" s="1"/>
  <c r="AN87" i="13"/>
  <c r="CA122" i="28"/>
  <c r="BZ122" i="28"/>
  <c r="BY123" i="28"/>
  <c r="AD134" i="19"/>
  <c r="X133" i="19"/>
  <c r="AD139" i="21"/>
  <c r="AG138" i="21"/>
  <c r="AK89" i="13" l="1"/>
  <c r="AP88" i="13"/>
  <c r="AQ88" i="13" s="1"/>
  <c r="AR88" i="13" s="1"/>
  <c r="AN88" i="13"/>
  <c r="AL88" i="13"/>
  <c r="AM88" i="13" s="1"/>
  <c r="BZ123" i="28"/>
  <c r="BY124" i="28"/>
  <c r="CA123" i="28"/>
  <c r="AD140" i="21"/>
  <c r="AG139" i="21"/>
  <c r="AD135" i="19"/>
  <c r="X134" i="19"/>
  <c r="AL89" i="13" l="1"/>
  <c r="AM89" i="13" s="1"/>
  <c r="AK90" i="13"/>
  <c r="AP89" i="13"/>
  <c r="AQ89" i="13" s="1"/>
  <c r="AR89" i="13" s="1"/>
  <c r="AN89" i="13"/>
  <c r="AD136" i="19"/>
  <c r="X135" i="19"/>
  <c r="AD141" i="21"/>
  <c r="AG140" i="21"/>
  <c r="BZ124" i="28"/>
  <c r="BY125" i="28"/>
  <c r="CA124" i="28"/>
  <c r="AK91" i="13" l="1"/>
  <c r="AL90" i="13"/>
  <c r="AM90" i="13" s="1"/>
  <c r="AN90" i="13"/>
  <c r="AP90" i="13"/>
  <c r="AQ90" i="13" s="1"/>
  <c r="AR90" i="13" s="1"/>
  <c r="CA125" i="28"/>
  <c r="BZ125" i="28"/>
  <c r="BY126" i="28"/>
  <c r="AD142" i="21"/>
  <c r="AG141" i="21"/>
  <c r="AD137" i="19"/>
  <c r="X136" i="19"/>
  <c r="AL91" i="13" l="1"/>
  <c r="AM91" i="13" s="1"/>
  <c r="AN91" i="13"/>
  <c r="AP91" i="13"/>
  <c r="AQ91" i="13" s="1"/>
  <c r="AR91" i="13" s="1"/>
  <c r="AK92" i="13"/>
  <c r="AD138" i="19"/>
  <c r="X137" i="19"/>
  <c r="AD143" i="21"/>
  <c r="AG142" i="21"/>
  <c r="CA126" i="28"/>
  <c r="BZ126" i="28"/>
  <c r="BY127" i="28"/>
  <c r="AL92" i="13" l="1"/>
  <c r="AM92" i="13" s="1"/>
  <c r="AN92" i="13"/>
  <c r="AP92" i="13"/>
  <c r="AQ92" i="13" s="1"/>
  <c r="AR92" i="13" s="1"/>
  <c r="AK93" i="13"/>
  <c r="BY128" i="28"/>
  <c r="CA127" i="28"/>
  <c r="BZ127" i="28"/>
  <c r="AD144" i="21"/>
  <c r="AG143" i="21"/>
  <c r="AD139" i="19"/>
  <c r="X138" i="19"/>
  <c r="AK94" i="13" l="1"/>
  <c r="AL93" i="13"/>
  <c r="AM93" i="13" s="1"/>
  <c r="AP93" i="13"/>
  <c r="AQ93" i="13" s="1"/>
  <c r="AR93" i="13" s="1"/>
  <c r="AN93" i="13"/>
  <c r="AD140" i="19"/>
  <c r="X139" i="19"/>
  <c r="AD145" i="21"/>
  <c r="AG144" i="21"/>
  <c r="CA128" i="28"/>
  <c r="BY129" i="28"/>
  <c r="BZ128" i="28"/>
  <c r="AN94" i="13" l="1"/>
  <c r="AL94" i="13"/>
  <c r="AM94" i="13" s="1"/>
  <c r="AP94" i="13"/>
  <c r="AQ94" i="13" s="1"/>
  <c r="AR94" i="13" s="1"/>
  <c r="AK95" i="13"/>
  <c r="CA129" i="28"/>
  <c r="BY130" i="28"/>
  <c r="BZ129" i="28"/>
  <c r="AD146" i="21"/>
  <c r="AG145" i="21"/>
  <c r="AD141" i="19"/>
  <c r="X140" i="19"/>
  <c r="AP95" i="13" l="1"/>
  <c r="AQ95" i="13" s="1"/>
  <c r="AR95" i="13" s="1"/>
  <c r="AN95" i="13"/>
  <c r="AK96" i="13"/>
  <c r="AL95" i="13"/>
  <c r="AM95" i="13" s="1"/>
  <c r="AD142" i="19"/>
  <c r="X141" i="19"/>
  <c r="AD147" i="21"/>
  <c r="AG146" i="21"/>
  <c r="BY131" i="28"/>
  <c r="BZ130" i="28"/>
  <c r="CA130" i="28"/>
  <c r="AL96" i="13" l="1"/>
  <c r="AM96" i="13" s="1"/>
  <c r="AN96" i="13"/>
  <c r="AK97" i="13"/>
  <c r="AP96" i="13"/>
  <c r="AQ96" i="13" s="1"/>
  <c r="AR96" i="13" s="1"/>
  <c r="CA131" i="28"/>
  <c r="BZ131" i="28"/>
  <c r="BY132" i="28"/>
  <c r="AD148" i="21"/>
  <c r="AG147" i="21"/>
  <c r="AD143" i="19"/>
  <c r="X142" i="19"/>
  <c r="AP97" i="13" l="1"/>
  <c r="AQ97" i="13" s="1"/>
  <c r="AR97" i="13" s="1"/>
  <c r="AK98" i="13"/>
  <c r="AL97" i="13"/>
  <c r="AM97" i="13" s="1"/>
  <c r="AN97" i="13"/>
  <c r="CA132" i="28"/>
  <c r="BY133" i="28"/>
  <c r="BZ132" i="28"/>
  <c r="AD144" i="19"/>
  <c r="X143" i="19"/>
  <c r="AD149" i="21"/>
  <c r="AG148" i="21"/>
  <c r="AK99" i="13" l="1"/>
  <c r="AL98" i="13"/>
  <c r="AM98" i="13" s="1"/>
  <c r="AP98" i="13"/>
  <c r="AQ98" i="13" s="1"/>
  <c r="AR98" i="13" s="1"/>
  <c r="AN98" i="13"/>
  <c r="AD145" i="19"/>
  <c r="X144" i="19"/>
  <c r="CA133" i="28"/>
  <c r="BZ133" i="28"/>
  <c r="BY134" i="28"/>
  <c r="AD150" i="21"/>
  <c r="AG149" i="21"/>
  <c r="AK100" i="13" l="1"/>
  <c r="AL99" i="13"/>
  <c r="AM99" i="13" s="1"/>
  <c r="AN99" i="13"/>
  <c r="AP99" i="13"/>
  <c r="AQ99" i="13" s="1"/>
  <c r="AR99" i="13" s="1"/>
  <c r="CA134" i="28"/>
  <c r="BY135" i="28"/>
  <c r="BZ134" i="28"/>
  <c r="AD146" i="19"/>
  <c r="X145" i="19"/>
  <c r="AD151" i="21"/>
  <c r="AG150" i="21"/>
  <c r="AL100" i="13" l="1"/>
  <c r="AM100" i="13" s="1"/>
  <c r="AP100" i="13"/>
  <c r="AQ100" i="13" s="1"/>
  <c r="AR100" i="13" s="1"/>
  <c r="AN100" i="13"/>
  <c r="AK101" i="13"/>
  <c r="AD147" i="19"/>
  <c r="X146" i="19"/>
  <c r="CA135" i="28"/>
  <c r="BZ135" i="28"/>
  <c r="BY136" i="28"/>
  <c r="AD152" i="21"/>
  <c r="AG151" i="21"/>
  <c r="AP101" i="13" l="1"/>
  <c r="AQ101" i="13" s="1"/>
  <c r="AR101" i="13" s="1"/>
  <c r="AL101" i="13"/>
  <c r="AM101" i="13" s="1"/>
  <c r="AK102" i="13"/>
  <c r="AN101" i="13"/>
  <c r="AD153" i="21"/>
  <c r="AG152" i="21"/>
  <c r="BZ136" i="28"/>
  <c r="BY137" i="28"/>
  <c r="CA136" i="28"/>
  <c r="AD148" i="19"/>
  <c r="X147" i="19"/>
  <c r="AP102" i="13" l="1"/>
  <c r="AQ102" i="13" s="1"/>
  <c r="AR102" i="13" s="1"/>
  <c r="AL102" i="13"/>
  <c r="AM102" i="13" s="1"/>
  <c r="AK103" i="13"/>
  <c r="AN102" i="13"/>
  <c r="AD149" i="19"/>
  <c r="X148" i="19"/>
  <c r="CA137" i="28"/>
  <c r="BZ137" i="28"/>
  <c r="BY138" i="28"/>
  <c r="AD154" i="21"/>
  <c r="AG153" i="21"/>
  <c r="AP103" i="13" l="1"/>
  <c r="AQ103" i="13" s="1"/>
  <c r="AR103" i="13" s="1"/>
  <c r="AL103" i="13"/>
  <c r="AM103" i="13" s="1"/>
  <c r="AK104" i="13"/>
  <c r="AN103" i="13"/>
  <c r="AD155" i="21"/>
  <c r="AG154" i="21"/>
  <c r="CA138" i="28"/>
  <c r="BZ138" i="28"/>
  <c r="BY139" i="28"/>
  <c r="AD150" i="19"/>
  <c r="X149" i="19"/>
  <c r="AK105" i="13" l="1"/>
  <c r="AP104" i="13"/>
  <c r="AQ104" i="13" s="1"/>
  <c r="AR104" i="13" s="1"/>
  <c r="AN104" i="13"/>
  <c r="AL104" i="13"/>
  <c r="AM104" i="13" s="1"/>
  <c r="CA139" i="28"/>
  <c r="BZ139" i="28"/>
  <c r="BY140" i="28"/>
  <c r="AD151" i="19"/>
  <c r="X150" i="19"/>
  <c r="AD156" i="21"/>
  <c r="AG155" i="21"/>
  <c r="AP105" i="13" l="1"/>
  <c r="AQ105" i="13" s="1"/>
  <c r="AR105" i="13" s="1"/>
  <c r="AK106" i="13"/>
  <c r="AN105" i="13"/>
  <c r="AL105" i="13"/>
  <c r="AM105" i="13" s="1"/>
  <c r="CA140" i="28"/>
  <c r="BY141" i="28"/>
  <c r="BZ140" i="28"/>
  <c r="AD157" i="21"/>
  <c r="AG156" i="21"/>
  <c r="AD152" i="19"/>
  <c r="X151" i="19"/>
  <c r="AK107" i="13" l="1"/>
  <c r="AP106" i="13"/>
  <c r="AQ106" i="13" s="1"/>
  <c r="AR106" i="13" s="1"/>
  <c r="AL106" i="13"/>
  <c r="AM106" i="13" s="1"/>
  <c r="AN106" i="13"/>
  <c r="BY142" i="28"/>
  <c r="BZ141" i="28"/>
  <c r="CA141" i="28"/>
  <c r="AD153" i="19"/>
  <c r="X152" i="19"/>
  <c r="AD158" i="21"/>
  <c r="AG157" i="21"/>
  <c r="AP107" i="13" l="1"/>
  <c r="AQ107" i="13" s="1"/>
  <c r="AR107" i="13" s="1"/>
  <c r="AL107" i="13"/>
  <c r="AM107" i="13" s="1"/>
  <c r="AK108" i="13"/>
  <c r="AN107" i="13"/>
  <c r="AD159" i="21"/>
  <c r="AG158" i="21"/>
  <c r="AD154" i="19"/>
  <c r="X153" i="19"/>
  <c r="CA142" i="28"/>
  <c r="BY143" i="28"/>
  <c r="BZ142" i="28"/>
  <c r="AL108" i="13" l="1"/>
  <c r="AM108" i="13" s="1"/>
  <c r="AN108" i="13"/>
  <c r="AP108" i="13"/>
  <c r="AQ108" i="13" s="1"/>
  <c r="AR108" i="13" s="1"/>
  <c r="AK109" i="13"/>
  <c r="CA143" i="28"/>
  <c r="BZ143" i="28"/>
  <c r="BY144" i="28"/>
  <c r="AD155" i="19"/>
  <c r="X154" i="19"/>
  <c r="AD160" i="21"/>
  <c r="AG159" i="21"/>
  <c r="AN109" i="13" l="1"/>
  <c r="AP109" i="13"/>
  <c r="AQ109" i="13" s="1"/>
  <c r="AR109" i="13" s="1"/>
  <c r="AL109" i="13"/>
  <c r="AM109" i="13" s="1"/>
  <c r="AK110" i="13"/>
  <c r="AD161" i="21"/>
  <c r="AG160" i="21"/>
  <c r="AD156" i="19"/>
  <c r="X155" i="19"/>
  <c r="BZ144" i="28"/>
  <c r="BY145" i="28"/>
  <c r="CA144" i="28"/>
  <c r="AL110" i="13" l="1"/>
  <c r="AM110" i="13" s="1"/>
  <c r="AN110" i="13"/>
  <c r="AK111" i="13"/>
  <c r="AP110" i="13"/>
  <c r="AQ110" i="13" s="1"/>
  <c r="AR110" i="13" s="1"/>
  <c r="CA145" i="28"/>
  <c r="BZ145" i="28"/>
  <c r="BY146" i="28"/>
  <c r="AD157" i="19"/>
  <c r="X156" i="19"/>
  <c r="AD162" i="21"/>
  <c r="AG161" i="21"/>
  <c r="AL111" i="13" l="1"/>
  <c r="AM111" i="13" s="1"/>
  <c r="AP111" i="13"/>
  <c r="AQ111" i="13" s="1"/>
  <c r="AR111" i="13" s="1"/>
  <c r="AK112" i="13"/>
  <c r="AN111" i="13"/>
  <c r="BZ146" i="28"/>
  <c r="CA146" i="28"/>
  <c r="BY147" i="28"/>
  <c r="AC63" i="21"/>
  <c r="AG162" i="21"/>
  <c r="AC58" i="19"/>
  <c r="X157" i="19"/>
  <c r="AN112" i="13" l="1"/>
  <c r="AK113" i="13"/>
  <c r="AL112" i="13"/>
  <c r="AM112" i="13" s="1"/>
  <c r="AP112" i="13"/>
  <c r="AQ112" i="13" s="1"/>
  <c r="AR112" i="13" s="1"/>
  <c r="W58" i="19"/>
  <c r="P16" i="19" s="1"/>
  <c r="AC59" i="19"/>
  <c r="AE63" i="21"/>
  <c r="AC64" i="21"/>
  <c r="CA147" i="28"/>
  <c r="BZ147" i="28"/>
  <c r="BY148" i="28"/>
  <c r="AP113" i="13" l="1"/>
  <c r="AQ113" i="13" s="1"/>
  <c r="AR113" i="13" s="1"/>
  <c r="AL113" i="13"/>
  <c r="AM113" i="13" s="1"/>
  <c r="AK114" i="13"/>
  <c r="AN113" i="13"/>
  <c r="CA148" i="28"/>
  <c r="BZ148" i="28"/>
  <c r="BY149" i="28"/>
  <c r="AE64" i="21"/>
  <c r="AC65" i="21"/>
  <c r="W59" i="19"/>
  <c r="P17" i="19" s="1"/>
  <c r="AC60" i="19"/>
  <c r="Y63" i="21"/>
  <c r="Q13" i="21" s="1"/>
  <c r="Z63" i="21"/>
  <c r="AF63" i="21"/>
  <c r="AP114" i="13" l="1"/>
  <c r="AQ114" i="13" s="1"/>
  <c r="AR114" i="13" s="1"/>
  <c r="AL114" i="13"/>
  <c r="AM114" i="13" s="1"/>
  <c r="AN114" i="13"/>
  <c r="AK115" i="13"/>
  <c r="AI63" i="21"/>
  <c r="R13" i="21"/>
  <c r="W60" i="19"/>
  <c r="P18" i="19" s="1"/>
  <c r="AC61" i="19"/>
  <c r="AE65" i="21"/>
  <c r="AC66" i="21"/>
  <c r="BY150" i="28"/>
  <c r="BZ149" i="28"/>
  <c r="CA149" i="28"/>
  <c r="Y64" i="21"/>
  <c r="Q14" i="21" s="1"/>
  <c r="Z64" i="21"/>
  <c r="AF64" i="21"/>
  <c r="AP115" i="13" l="1"/>
  <c r="AQ115" i="13" s="1"/>
  <c r="AR115" i="13" s="1"/>
  <c r="AK116" i="13"/>
  <c r="AL115" i="13"/>
  <c r="AM115" i="13" s="1"/>
  <c r="AN115" i="13"/>
  <c r="AE66" i="21"/>
  <c r="AC67" i="21"/>
  <c r="W61" i="19"/>
  <c r="P19" i="19" s="1"/>
  <c r="AC62" i="19"/>
  <c r="T13" i="21"/>
  <c r="AI64" i="21"/>
  <c r="R14" i="21"/>
  <c r="T14" i="21" s="1"/>
  <c r="BY151" i="28"/>
  <c r="BZ150" i="28"/>
  <c r="CA150" i="28"/>
  <c r="Y65" i="21"/>
  <c r="Q15" i="21" s="1"/>
  <c r="Z65" i="21"/>
  <c r="AF65" i="21"/>
  <c r="AN116" i="13" l="1"/>
  <c r="AP116" i="13"/>
  <c r="AQ116" i="13" s="1"/>
  <c r="AR116" i="13" s="1"/>
  <c r="AL116" i="13"/>
  <c r="AM116" i="13" s="1"/>
  <c r="AK117" i="13"/>
  <c r="AI65" i="21"/>
  <c r="R15" i="21"/>
  <c r="T15" i="21" s="1"/>
  <c r="BZ151" i="28"/>
  <c r="CA151" i="28"/>
  <c r="BY152" i="28"/>
  <c r="W62" i="19"/>
  <c r="P20" i="19" s="1"/>
  <c r="AC63" i="19"/>
  <c r="AE67" i="21"/>
  <c r="AC68" i="21"/>
  <c r="Y66" i="21"/>
  <c r="Q16" i="21" s="1"/>
  <c r="Z66" i="21"/>
  <c r="AF66" i="21"/>
  <c r="AN117" i="13" l="1"/>
  <c r="AP117" i="13"/>
  <c r="AQ117" i="13" s="1"/>
  <c r="AR117" i="13" s="1"/>
  <c r="AL117" i="13"/>
  <c r="AM117" i="13" s="1"/>
  <c r="AK118" i="13"/>
  <c r="Y67" i="21"/>
  <c r="Q17" i="21" s="1"/>
  <c r="Z67" i="21"/>
  <c r="AF67" i="21"/>
  <c r="AI66" i="21"/>
  <c r="R16" i="21"/>
  <c r="AE68" i="21"/>
  <c r="AC69" i="21"/>
  <c r="W63" i="19"/>
  <c r="P21" i="19" s="1"/>
  <c r="AC64" i="19"/>
  <c r="CA152" i="28"/>
  <c r="BZ152" i="28"/>
  <c r="BY153" i="28"/>
  <c r="AK119" i="13" l="1"/>
  <c r="AP118" i="13"/>
  <c r="AQ118" i="13" s="1"/>
  <c r="AR118" i="13" s="1"/>
  <c r="AN118" i="13"/>
  <c r="AL118" i="13"/>
  <c r="AM118" i="13" s="1"/>
  <c r="BZ153" i="28"/>
  <c r="BY154" i="28"/>
  <c r="CA153" i="28"/>
  <c r="W64" i="19"/>
  <c r="P22" i="19" s="1"/>
  <c r="AC65" i="19"/>
  <c r="AE69" i="21"/>
  <c r="AC70" i="21"/>
  <c r="T16" i="21"/>
  <c r="Y68" i="21"/>
  <c r="Q18" i="21" s="1"/>
  <c r="Z68" i="21"/>
  <c r="AF68" i="21"/>
  <c r="AI67" i="21"/>
  <c r="R17" i="21"/>
  <c r="T17" i="21" s="1"/>
  <c r="AL119" i="13" l="1"/>
  <c r="AM119" i="13" s="1"/>
  <c r="AN119" i="13"/>
  <c r="AK120" i="13"/>
  <c r="AP119" i="13"/>
  <c r="AQ119" i="13" s="1"/>
  <c r="AR119" i="13" s="1"/>
  <c r="Y69" i="21"/>
  <c r="Q19" i="21" s="1"/>
  <c r="Z69" i="21"/>
  <c r="AF69" i="21"/>
  <c r="AE70" i="21"/>
  <c r="AC71" i="21"/>
  <c r="W65" i="19"/>
  <c r="P23" i="19" s="1"/>
  <c r="AC66" i="19"/>
  <c r="AI68" i="21"/>
  <c r="R18" i="21"/>
  <c r="T18" i="21" s="1"/>
  <c r="BY155" i="28"/>
  <c r="BZ154" i="28"/>
  <c r="CA154" i="28"/>
  <c r="AK121" i="13" l="1"/>
  <c r="AN120" i="13"/>
  <c r="AL120" i="13"/>
  <c r="AM120" i="13" s="1"/>
  <c r="AP120" i="13"/>
  <c r="AQ120" i="13" s="1"/>
  <c r="AR120" i="13" s="1"/>
  <c r="BZ155" i="28"/>
  <c r="CA155" i="28"/>
  <c r="BY156" i="28"/>
  <c r="Y70" i="21"/>
  <c r="Q20" i="21" s="1"/>
  <c r="Z70" i="21"/>
  <c r="AF70" i="21"/>
  <c r="W66" i="19"/>
  <c r="P24" i="19" s="1"/>
  <c r="AC67" i="19"/>
  <c r="AE71" i="21"/>
  <c r="AC72" i="21"/>
  <c r="AI69" i="21"/>
  <c r="R19" i="21"/>
  <c r="T19" i="21" s="1"/>
  <c r="AK122" i="13" l="1"/>
  <c r="AL121" i="13"/>
  <c r="AM121" i="13" s="1"/>
  <c r="AP121" i="13"/>
  <c r="AQ121" i="13" s="1"/>
  <c r="AR121" i="13" s="1"/>
  <c r="AN121" i="13"/>
  <c r="AI70" i="21"/>
  <c r="R20" i="21"/>
  <c r="CA156" i="28"/>
  <c r="BZ156" i="28"/>
  <c r="BY157" i="28"/>
  <c r="Z71" i="21"/>
  <c r="AI71" i="21" s="1"/>
  <c r="Y71" i="21"/>
  <c r="AE72" i="21"/>
  <c r="AC73" i="21"/>
  <c r="W67" i="19"/>
  <c r="P25" i="19" s="1"/>
  <c r="AC68" i="19"/>
  <c r="Q4" i="21"/>
  <c r="Q5" i="21"/>
  <c r="AK123" i="13" l="1"/>
  <c r="AN122" i="13"/>
  <c r="AP122" i="13"/>
  <c r="AQ122" i="13" s="1"/>
  <c r="AR122" i="13" s="1"/>
  <c r="AL122" i="13"/>
  <c r="AM122" i="13" s="1"/>
  <c r="AC28" i="21"/>
  <c r="AC24" i="21"/>
  <c r="AC29" i="21"/>
  <c r="AC25" i="21"/>
  <c r="AC32" i="21"/>
  <c r="AA29" i="21"/>
  <c r="AC26" i="21"/>
  <c r="AC31" i="21"/>
  <c r="AC27" i="21"/>
  <c r="AC30" i="21"/>
  <c r="AA30" i="21"/>
  <c r="AC12" i="21"/>
  <c r="AC10" i="21"/>
  <c r="Y72" i="21"/>
  <c r="Z72" i="21"/>
  <c r="CA157" i="28"/>
  <c r="BY158" i="28"/>
  <c r="BZ157" i="28"/>
  <c r="Q6" i="21"/>
  <c r="AB14" i="21" s="1"/>
  <c r="W68" i="19"/>
  <c r="P26" i="19" s="1"/>
  <c r="AC69" i="19"/>
  <c r="AE73" i="21"/>
  <c r="AC74" i="21"/>
  <c r="T20" i="21"/>
  <c r="Q7" i="21"/>
  <c r="AW63" i="21" s="1"/>
  <c r="R5" i="21"/>
  <c r="R6" i="21" s="1"/>
  <c r="AC14" i="21" s="1"/>
  <c r="R4" i="21"/>
  <c r="AP123" i="13" l="1"/>
  <c r="AQ123" i="13" s="1"/>
  <c r="AR123" i="13" s="1"/>
  <c r="AL123" i="13"/>
  <c r="AM123" i="13" s="1"/>
  <c r="AN123" i="13"/>
  <c r="AK124" i="13"/>
  <c r="T4" i="21"/>
  <c r="T5" i="21"/>
  <c r="T6" i="21" s="1"/>
  <c r="AD23" i="21" s="1"/>
  <c r="Z73" i="21"/>
  <c r="Y73" i="21"/>
  <c r="BZ158" i="28"/>
  <c r="BY159" i="28"/>
  <c r="CA158" i="28"/>
  <c r="D13" i="21"/>
  <c r="AI72" i="21"/>
  <c r="AC13" i="21"/>
  <c r="AC11" i="21"/>
  <c r="AE74" i="21"/>
  <c r="AC75" i="21"/>
  <c r="W69" i="19"/>
  <c r="P27" i="19" s="1"/>
  <c r="AC70" i="19"/>
  <c r="AN124" i="13" l="1"/>
  <c r="AK125" i="13"/>
  <c r="AL124" i="13"/>
  <c r="AM124" i="13" s="1"/>
  <c r="AP124" i="13"/>
  <c r="AQ124" i="13" s="1"/>
  <c r="AR124" i="13" s="1"/>
  <c r="W70" i="19"/>
  <c r="P28" i="19" s="1"/>
  <c r="AC71" i="19"/>
  <c r="AE75" i="21"/>
  <c r="AC76" i="21"/>
  <c r="BY160" i="28"/>
  <c r="CA159" i="28"/>
  <c r="BZ159" i="28"/>
  <c r="Y74" i="21"/>
  <c r="Z74" i="21"/>
  <c r="D21" i="21"/>
  <c r="D22" i="21" s="1"/>
  <c r="D23" i="21" s="1"/>
  <c r="AA27" i="21"/>
  <c r="AA25" i="21"/>
  <c r="AA28" i="21"/>
  <c r="C21" i="21"/>
  <c r="C22" i="21" s="1"/>
  <c r="C23" i="21" s="1"/>
  <c r="AB23" i="21"/>
  <c r="AA26" i="21"/>
  <c r="T8" i="21"/>
  <c r="T9" i="21" s="1"/>
  <c r="T7" i="21"/>
  <c r="AI73" i="21"/>
  <c r="AK126" i="13" l="1"/>
  <c r="AL125" i="13"/>
  <c r="AM125" i="13" s="1"/>
  <c r="AN125" i="13"/>
  <c r="AP125" i="13"/>
  <c r="AQ125" i="13" s="1"/>
  <c r="AR125" i="13" s="1"/>
  <c r="AI74" i="21"/>
  <c r="Z75" i="21"/>
  <c r="Y75" i="21"/>
  <c r="CA160" i="28"/>
  <c r="BY161" i="28"/>
  <c r="BZ160" i="28"/>
  <c r="AE76" i="21"/>
  <c r="AC77" i="21"/>
  <c r="W71" i="19"/>
  <c r="P29" i="19" s="1"/>
  <c r="AC72" i="19"/>
  <c r="AP126" i="13" l="1"/>
  <c r="AQ126" i="13" s="1"/>
  <c r="AR126" i="13" s="1"/>
  <c r="AL126" i="13"/>
  <c r="AM126" i="13" s="1"/>
  <c r="AK127" i="13"/>
  <c r="AN126" i="13"/>
  <c r="AI75" i="21"/>
  <c r="Z76" i="21"/>
  <c r="Y76" i="21"/>
  <c r="BZ161" i="28"/>
  <c r="CA161" i="28"/>
  <c r="BY162" i="28"/>
  <c r="W72" i="19"/>
  <c r="P30" i="19" s="1"/>
  <c r="AC73" i="19"/>
  <c r="AE77" i="21"/>
  <c r="AC78" i="21"/>
  <c r="AI76" i="21" l="1"/>
  <c r="AL127" i="13"/>
  <c r="AM127" i="13" s="1"/>
  <c r="AN127" i="13"/>
  <c r="AK128" i="13"/>
  <c r="AP127" i="13"/>
  <c r="AQ127" i="13" s="1"/>
  <c r="AR127" i="13" s="1"/>
  <c r="Y77" i="21"/>
  <c r="Z77" i="21"/>
  <c r="AE78" i="21"/>
  <c r="AC79" i="21"/>
  <c r="W73" i="19"/>
  <c r="P31" i="19" s="1"/>
  <c r="AC74" i="19"/>
  <c r="BZ162" i="28"/>
  <c r="CA162" i="28"/>
  <c r="BY163" i="28"/>
  <c r="AK129" i="13" l="1"/>
  <c r="AP128" i="13"/>
  <c r="AQ128" i="13" s="1"/>
  <c r="AR128" i="13" s="1"/>
  <c r="AL128" i="13"/>
  <c r="AM128" i="13" s="1"/>
  <c r="AN128" i="13"/>
  <c r="BY164" i="28"/>
  <c r="CA163" i="28"/>
  <c r="BZ163" i="28"/>
  <c r="Z78" i="21"/>
  <c r="Y78" i="21"/>
  <c r="W74" i="19"/>
  <c r="P32" i="19" s="1"/>
  <c r="AC75" i="19"/>
  <c r="AE79" i="21"/>
  <c r="AC80" i="21"/>
  <c r="AI77" i="21"/>
  <c r="AI78" i="21" l="1"/>
  <c r="AK130" i="13"/>
  <c r="AP129" i="13"/>
  <c r="AQ129" i="13" s="1"/>
  <c r="AR129" i="13" s="1"/>
  <c r="AL129" i="13"/>
  <c r="AM129" i="13" s="1"/>
  <c r="AN129" i="13"/>
  <c r="AE80" i="21"/>
  <c r="AC81" i="21"/>
  <c r="W75" i="19"/>
  <c r="P33" i="19" s="1"/>
  <c r="AC76" i="19"/>
  <c r="CA164" i="28"/>
  <c r="BY165" i="28"/>
  <c r="BZ164" i="28"/>
  <c r="Y79" i="21"/>
  <c r="Z79" i="21"/>
  <c r="AL130" i="13" l="1"/>
  <c r="AM130" i="13" s="1"/>
  <c r="AK131" i="13"/>
  <c r="AP130" i="13"/>
  <c r="AQ130" i="13" s="1"/>
  <c r="AR130" i="13" s="1"/>
  <c r="AN130" i="13"/>
  <c r="Z80" i="21"/>
  <c r="Y80" i="21"/>
  <c r="BY166" i="28"/>
  <c r="CA165" i="28"/>
  <c r="BZ165" i="28"/>
  <c r="W76" i="19"/>
  <c r="P34" i="19" s="1"/>
  <c r="AC77" i="19"/>
  <c r="AE81" i="21"/>
  <c r="AC82" i="21"/>
  <c r="AI79" i="21"/>
  <c r="AP131" i="13" l="1"/>
  <c r="AQ131" i="13" s="1"/>
  <c r="AR131" i="13" s="1"/>
  <c r="AK132" i="13"/>
  <c r="AN131" i="13"/>
  <c r="AL131" i="13"/>
  <c r="AM131" i="13" s="1"/>
  <c r="AE82" i="21"/>
  <c r="AC83" i="21"/>
  <c r="W77" i="19"/>
  <c r="P35" i="19" s="1"/>
  <c r="AC78" i="19"/>
  <c r="BY167" i="28"/>
  <c r="CA166" i="28"/>
  <c r="BZ166" i="28"/>
  <c r="AI80" i="21"/>
  <c r="Y81" i="21"/>
  <c r="Z81" i="21"/>
  <c r="AI81" i="21" l="1"/>
  <c r="AP132" i="13"/>
  <c r="AQ132" i="13" s="1"/>
  <c r="AR132" i="13" s="1"/>
  <c r="AK133" i="13"/>
  <c r="AN132" i="13"/>
  <c r="AL132" i="13"/>
  <c r="AM132" i="13" s="1"/>
  <c r="W78" i="19"/>
  <c r="P36" i="19" s="1"/>
  <c r="AC79" i="19"/>
  <c r="AE83" i="21"/>
  <c r="AC84" i="21"/>
  <c r="BY168" i="28"/>
  <c r="BZ167" i="28"/>
  <c r="CA167" i="28"/>
  <c r="Z82" i="21"/>
  <c r="AI82" i="21" s="1"/>
  <c r="Y82" i="21"/>
  <c r="AL133" i="13" l="1"/>
  <c r="AM133" i="13" s="1"/>
  <c r="AK134" i="13"/>
  <c r="AP133" i="13"/>
  <c r="AQ133" i="13" s="1"/>
  <c r="AR133" i="13" s="1"/>
  <c r="AN133" i="13"/>
  <c r="Y83" i="21"/>
  <c r="Z83" i="21"/>
  <c r="CA168" i="28"/>
  <c r="BY169" i="28"/>
  <c r="BZ168" i="28"/>
  <c r="AE84" i="21"/>
  <c r="AC85" i="21"/>
  <c r="W79" i="19"/>
  <c r="P37" i="19" s="1"/>
  <c r="AC80" i="19"/>
  <c r="AL134" i="13" l="1"/>
  <c r="AM134" i="13" s="1"/>
  <c r="AK135" i="13"/>
  <c r="AN134" i="13"/>
  <c r="AP134" i="13"/>
  <c r="AQ134" i="13" s="1"/>
  <c r="AR134" i="13" s="1"/>
  <c r="Z84" i="21"/>
  <c r="Y84" i="21"/>
  <c r="W80" i="19"/>
  <c r="P38" i="19" s="1"/>
  <c r="AC81" i="19"/>
  <c r="AE85" i="21"/>
  <c r="AC86" i="21"/>
  <c r="BY170" i="28"/>
  <c r="BZ169" i="28"/>
  <c r="CA169" i="28"/>
  <c r="AI83" i="21"/>
  <c r="AL135" i="13" l="1"/>
  <c r="AM135" i="13" s="1"/>
  <c r="AP135" i="13"/>
  <c r="AQ135" i="13" s="1"/>
  <c r="AR135" i="13" s="1"/>
  <c r="AN135" i="13"/>
  <c r="AK136" i="13"/>
  <c r="BZ170" i="28"/>
  <c r="CA170" i="28"/>
  <c r="BY171" i="28"/>
  <c r="AI84" i="21"/>
  <c r="Y85" i="21"/>
  <c r="Z85" i="21"/>
  <c r="AE86" i="21"/>
  <c r="AC87" i="21"/>
  <c r="W81" i="19"/>
  <c r="P39" i="19" s="1"/>
  <c r="AC82" i="19"/>
  <c r="AP136" i="13" l="1"/>
  <c r="AQ136" i="13" s="1"/>
  <c r="AR136" i="13" s="1"/>
  <c r="AK137" i="13"/>
  <c r="AL136" i="13"/>
  <c r="AM136" i="13" s="1"/>
  <c r="AN136" i="13"/>
  <c r="Z86" i="21"/>
  <c r="Y86" i="21"/>
  <c r="CA171" i="28"/>
  <c r="BZ171" i="28"/>
  <c r="BY172" i="28"/>
  <c r="AI85" i="21"/>
  <c r="W82" i="19"/>
  <c r="P40" i="19" s="1"/>
  <c r="AC83" i="19"/>
  <c r="AE87" i="21"/>
  <c r="AC88" i="21"/>
  <c r="AK138" i="13" l="1"/>
  <c r="AN137" i="13"/>
  <c r="AP137" i="13"/>
  <c r="AQ137" i="13" s="1"/>
  <c r="AR137" i="13" s="1"/>
  <c r="AL137" i="13"/>
  <c r="AM137" i="13" s="1"/>
  <c r="BZ172" i="28"/>
  <c r="BY173" i="28"/>
  <c r="CA172" i="28"/>
  <c r="AE88" i="21"/>
  <c r="AC89" i="21"/>
  <c r="W83" i="19"/>
  <c r="P41" i="19" s="1"/>
  <c r="AC84" i="19"/>
  <c r="AI86" i="21"/>
  <c r="Y87" i="21"/>
  <c r="Z87" i="21"/>
  <c r="AI87" i="21" s="1"/>
  <c r="AP138" i="13" l="1"/>
  <c r="AQ138" i="13" s="1"/>
  <c r="AR138" i="13" s="1"/>
  <c r="AN138" i="13"/>
  <c r="AL138" i="13"/>
  <c r="AM138" i="13" s="1"/>
  <c r="AK139" i="13"/>
  <c r="W84" i="19"/>
  <c r="P42" i="19" s="1"/>
  <c r="AC85" i="19"/>
  <c r="AE89" i="21"/>
  <c r="AC90" i="21"/>
  <c r="Z88" i="21"/>
  <c r="Y88" i="21"/>
  <c r="BY174" i="28"/>
  <c r="CA173" i="28"/>
  <c r="BZ173" i="28"/>
  <c r="AK140" i="13" l="1"/>
  <c r="AP139" i="13"/>
  <c r="AQ139" i="13" s="1"/>
  <c r="AR139" i="13" s="1"/>
  <c r="AL139" i="13"/>
  <c r="AM139" i="13" s="1"/>
  <c r="AN139" i="13"/>
  <c r="AI88" i="21"/>
  <c r="CA174" i="28"/>
  <c r="BY175" i="28"/>
  <c r="BZ174" i="28"/>
  <c r="Y89" i="21"/>
  <c r="Z89" i="21"/>
  <c r="AI89" i="21" s="1"/>
  <c r="AE90" i="21"/>
  <c r="AC91" i="21"/>
  <c r="W85" i="19"/>
  <c r="P43" i="19" s="1"/>
  <c r="AC86" i="19"/>
  <c r="AL140" i="13" l="1"/>
  <c r="AM140" i="13" s="1"/>
  <c r="AP140" i="13"/>
  <c r="AQ140" i="13" s="1"/>
  <c r="AR140" i="13" s="1"/>
  <c r="AN140" i="13"/>
  <c r="AK141" i="13"/>
  <c r="Z90" i="21"/>
  <c r="Y90" i="21"/>
  <c r="CA175" i="28"/>
  <c r="BZ175" i="28"/>
  <c r="BY176" i="28"/>
  <c r="W86" i="19"/>
  <c r="P44" i="19" s="1"/>
  <c r="AC87" i="19"/>
  <c r="AE91" i="21"/>
  <c r="AC92" i="21"/>
  <c r="AK142" i="13" l="1"/>
  <c r="AL141" i="13"/>
  <c r="AM141" i="13" s="1"/>
  <c r="AP141" i="13"/>
  <c r="AQ141" i="13" s="1"/>
  <c r="AR141" i="13" s="1"/>
  <c r="AN141" i="13"/>
  <c r="AE92" i="21"/>
  <c r="AC93" i="21"/>
  <c r="W87" i="19"/>
  <c r="P45" i="19" s="1"/>
  <c r="AC88" i="19"/>
  <c r="BZ176" i="28"/>
  <c r="CA176" i="28"/>
  <c r="BY177" i="28"/>
  <c r="AI90" i="21"/>
  <c r="Y91" i="21"/>
  <c r="Z91" i="21"/>
  <c r="AI91" i="21" s="1"/>
  <c r="AL142" i="13" l="1"/>
  <c r="AM142" i="13" s="1"/>
  <c r="AK143" i="13"/>
  <c r="AN142" i="13"/>
  <c r="AP142" i="13"/>
  <c r="AQ142" i="13" s="1"/>
  <c r="AR142" i="13" s="1"/>
  <c r="BY178" i="28"/>
  <c r="CA177" i="28"/>
  <c r="BZ177" i="28"/>
  <c r="Z92" i="21"/>
  <c r="Y92" i="21"/>
  <c r="W88" i="19"/>
  <c r="P46" i="19" s="1"/>
  <c r="AC89" i="19"/>
  <c r="AE93" i="21"/>
  <c r="AC94" i="21"/>
  <c r="AI92" i="21" l="1"/>
  <c r="AN143" i="13"/>
  <c r="AL143" i="13"/>
  <c r="AM143" i="13" s="1"/>
  <c r="AK144" i="13"/>
  <c r="AP143" i="13"/>
  <c r="AQ143" i="13" s="1"/>
  <c r="AR143" i="13" s="1"/>
  <c r="Y93" i="21"/>
  <c r="Z93" i="21"/>
  <c r="AI93" i="21" s="1"/>
  <c r="AE94" i="21"/>
  <c r="AC95" i="21"/>
  <c r="W89" i="19"/>
  <c r="P47" i="19" s="1"/>
  <c r="AC90" i="19"/>
  <c r="BZ178" i="28"/>
  <c r="BY179" i="28"/>
  <c r="CA178" i="28"/>
  <c r="AP144" i="13" l="1"/>
  <c r="AQ144" i="13" s="1"/>
  <c r="AR144" i="13" s="1"/>
  <c r="AN144" i="13"/>
  <c r="AK145" i="13"/>
  <c r="AL144" i="13"/>
  <c r="AM144" i="13" s="1"/>
  <c r="Z94" i="21"/>
  <c r="Y94" i="21"/>
  <c r="CA179" i="28"/>
  <c r="BZ179" i="28"/>
  <c r="BY180" i="28"/>
  <c r="W90" i="19"/>
  <c r="P48" i="19" s="1"/>
  <c r="AC91" i="19"/>
  <c r="AE95" i="21"/>
  <c r="AC96" i="21"/>
  <c r="AN145" i="13" l="1"/>
  <c r="AK146" i="13"/>
  <c r="AL145" i="13"/>
  <c r="AM145" i="13" s="1"/>
  <c r="AP145" i="13"/>
  <c r="AQ145" i="13" s="1"/>
  <c r="AR145" i="13" s="1"/>
  <c r="Y95" i="21"/>
  <c r="Z95" i="21"/>
  <c r="AI94" i="21"/>
  <c r="AE96" i="21"/>
  <c r="AC97" i="21"/>
  <c r="W91" i="19"/>
  <c r="P49" i="19" s="1"/>
  <c r="AC92" i="19"/>
  <c r="CA180" i="28"/>
  <c r="BY181" i="28"/>
  <c r="BZ180" i="28"/>
  <c r="AI95" i="21" l="1"/>
  <c r="AL146" i="13"/>
  <c r="AM146" i="13" s="1"/>
  <c r="AN146" i="13"/>
  <c r="AK147" i="13"/>
  <c r="AP146" i="13"/>
  <c r="AQ146" i="13" s="1"/>
  <c r="AR146" i="13" s="1"/>
  <c r="Z96" i="21"/>
  <c r="Y96" i="21"/>
  <c r="CA181" i="28"/>
  <c r="BY182" i="28"/>
  <c r="BZ181" i="28"/>
  <c r="W92" i="19"/>
  <c r="P50" i="19" s="1"/>
  <c r="AC93" i="19"/>
  <c r="AE97" i="21"/>
  <c r="AC98" i="21"/>
  <c r="AN147" i="13" l="1"/>
  <c r="AP147" i="13"/>
  <c r="AQ147" i="13" s="1"/>
  <c r="AR147" i="13" s="1"/>
  <c r="AK148" i="13"/>
  <c r="AL147" i="13"/>
  <c r="AM147" i="13" s="1"/>
  <c r="Y97" i="21"/>
  <c r="Z97" i="21"/>
  <c r="AE98" i="21"/>
  <c r="AC99" i="21"/>
  <c r="W93" i="19"/>
  <c r="P51" i="19" s="1"/>
  <c r="AC94" i="19"/>
  <c r="AI96" i="21"/>
  <c r="BY183" i="28"/>
  <c r="BZ182" i="28"/>
  <c r="CA182" i="28"/>
  <c r="AI97" i="21" l="1"/>
  <c r="AL148" i="13"/>
  <c r="AM148" i="13" s="1"/>
  <c r="AK149" i="13"/>
  <c r="AP148" i="13"/>
  <c r="AQ148" i="13" s="1"/>
  <c r="AR148" i="13" s="1"/>
  <c r="AN148" i="13"/>
  <c r="W94" i="19"/>
  <c r="P52" i="19" s="1"/>
  <c r="AC95" i="19"/>
  <c r="AE99" i="21"/>
  <c r="AC100" i="21"/>
  <c r="CA183" i="28"/>
  <c r="BZ183" i="28"/>
  <c r="BY184" i="28"/>
  <c r="Z98" i="21"/>
  <c r="AI98" i="21" s="1"/>
  <c r="Y98" i="21"/>
  <c r="AN149" i="13" l="1"/>
  <c r="AL149" i="13"/>
  <c r="AM149" i="13" s="1"/>
  <c r="AK150" i="13"/>
  <c r="AP149" i="13"/>
  <c r="AQ149" i="13" s="1"/>
  <c r="AR149" i="13" s="1"/>
  <c r="Y99" i="21"/>
  <c r="Z99" i="21"/>
  <c r="BY185" i="28"/>
  <c r="CA184" i="28"/>
  <c r="BZ184" i="28"/>
  <c r="AE100" i="21"/>
  <c r="AC101" i="21"/>
  <c r="W95" i="19"/>
  <c r="P53" i="19" s="1"/>
  <c r="AC96" i="19"/>
  <c r="AK151" i="13" l="1"/>
  <c r="AN150" i="13"/>
  <c r="AP150" i="13"/>
  <c r="AQ150" i="13" s="1"/>
  <c r="AR150" i="13" s="1"/>
  <c r="AL150" i="13"/>
  <c r="AM150" i="13" s="1"/>
  <c r="Z100" i="21"/>
  <c r="Y100" i="21"/>
  <c r="W96" i="19"/>
  <c r="P54" i="19" s="1"/>
  <c r="AC97" i="19"/>
  <c r="AE101" i="21"/>
  <c r="AC102" i="21"/>
  <c r="BY186" i="28"/>
  <c r="CA185" i="28"/>
  <c r="BZ185" i="28"/>
  <c r="AI99" i="21"/>
  <c r="AK152" i="13" l="1"/>
  <c r="AL151" i="13"/>
  <c r="AM151" i="13" s="1"/>
  <c r="AN151" i="13"/>
  <c r="AP151" i="13"/>
  <c r="AQ151" i="13" s="1"/>
  <c r="AR151" i="13" s="1"/>
  <c r="BY187" i="28"/>
  <c r="BZ186" i="28"/>
  <c r="CA186" i="28"/>
  <c r="AI100" i="21"/>
  <c r="Y101" i="21"/>
  <c r="Z101" i="21"/>
  <c r="AE102" i="21"/>
  <c r="AC103" i="21"/>
  <c r="W97" i="19"/>
  <c r="P55" i="19" s="1"/>
  <c r="AC98" i="19"/>
  <c r="AK153" i="13" l="1"/>
  <c r="AN152" i="13"/>
  <c r="AL152" i="13"/>
  <c r="AM152" i="13" s="1"/>
  <c r="AP152" i="13"/>
  <c r="AQ152" i="13" s="1"/>
  <c r="AR152" i="13" s="1"/>
  <c r="Z102" i="21"/>
  <c r="Y102" i="21"/>
  <c r="W98" i="19"/>
  <c r="AC99" i="19"/>
  <c r="AE103" i="21"/>
  <c r="AC104" i="21"/>
  <c r="CA187" i="28"/>
  <c r="BZ187" i="28"/>
  <c r="BY188" i="28"/>
  <c r="AI101" i="21"/>
  <c r="P5" i="19"/>
  <c r="P4" i="19"/>
  <c r="AP153" i="13" l="1"/>
  <c r="AQ153" i="13" s="1"/>
  <c r="AR153" i="13" s="1"/>
  <c r="AL153" i="13"/>
  <c r="AM153" i="13" s="1"/>
  <c r="AK154" i="13"/>
  <c r="AN153" i="13"/>
  <c r="AX2" i="19"/>
  <c r="Q10" i="19" s="1"/>
  <c r="P6" i="19"/>
  <c r="AI102" i="21"/>
  <c r="Y103" i="21"/>
  <c r="Z103" i="21"/>
  <c r="AY6" i="19"/>
  <c r="AY4" i="19"/>
  <c r="Q9" i="19"/>
  <c r="BY189" i="28"/>
  <c r="CA188" i="28"/>
  <c r="BZ188" i="28"/>
  <c r="AC105" i="21"/>
  <c r="AE104" i="21"/>
  <c r="AC100" i="19"/>
  <c r="W99" i="19"/>
  <c r="AL154" i="13" l="1"/>
  <c r="AM154" i="13" s="1"/>
  <c r="AN154" i="13"/>
  <c r="AP154" i="13"/>
  <c r="AQ154" i="13" s="1"/>
  <c r="AR154" i="13" s="1"/>
  <c r="AK155" i="13"/>
  <c r="W100" i="19"/>
  <c r="AC101" i="19"/>
  <c r="AE105" i="21"/>
  <c r="AC106" i="21"/>
  <c r="Q11" i="19"/>
  <c r="C23" i="19"/>
  <c r="C24" i="19" s="1"/>
  <c r="C25" i="19" s="1"/>
  <c r="D23" i="19"/>
  <c r="D24" i="19" s="1"/>
  <c r="D25" i="19" s="1"/>
  <c r="Z104" i="21"/>
  <c r="Y104" i="21"/>
  <c r="BZ189" i="28"/>
  <c r="CA189" i="28"/>
  <c r="BY190" i="28"/>
  <c r="AI103" i="21"/>
  <c r="Q7" i="19"/>
  <c r="P8" i="19" s="1"/>
  <c r="AY7" i="19"/>
  <c r="C22" i="19"/>
  <c r="D22" i="19"/>
  <c r="Q8" i="19" l="1"/>
  <c r="AL155" i="13"/>
  <c r="AM155" i="13" s="1"/>
  <c r="AK156" i="13"/>
  <c r="AN155" i="13"/>
  <c r="AP155" i="13"/>
  <c r="AQ155" i="13" s="1"/>
  <c r="AR155" i="13" s="1"/>
  <c r="D19" i="19"/>
  <c r="C19" i="19"/>
  <c r="Q12" i="19"/>
  <c r="BZ190" i="28"/>
  <c r="BY191" i="28"/>
  <c r="CA190" i="28"/>
  <c r="AE106" i="21"/>
  <c r="AC107" i="21"/>
  <c r="W101" i="19"/>
  <c r="AC102" i="19"/>
  <c r="AI104" i="21"/>
  <c r="Z105" i="21"/>
  <c r="Y105" i="21"/>
  <c r="AI105" i="21" l="1"/>
  <c r="AP156" i="13"/>
  <c r="AQ156" i="13" s="1"/>
  <c r="AR156" i="13" s="1"/>
  <c r="AN156" i="13"/>
  <c r="AK157" i="13"/>
  <c r="AL156" i="13"/>
  <c r="AM156" i="13" s="1"/>
  <c r="Z106" i="21"/>
  <c r="Y106" i="21"/>
  <c r="BZ191" i="28"/>
  <c r="CA191" i="28"/>
  <c r="BY192" i="28"/>
  <c r="AC103" i="19"/>
  <c r="W102" i="19"/>
  <c r="AC108" i="21"/>
  <c r="AE107" i="21"/>
  <c r="AL157" i="13" l="1"/>
  <c r="AM157" i="13" s="1"/>
  <c r="AK158" i="13"/>
  <c r="AN157" i="13"/>
  <c r="AP157" i="13"/>
  <c r="AQ157" i="13" s="1"/>
  <c r="AR157" i="13" s="1"/>
  <c r="AE108" i="21"/>
  <c r="AC109" i="21"/>
  <c r="W103" i="19"/>
  <c r="AC104" i="19"/>
  <c r="BY193" i="28"/>
  <c r="CA192" i="28"/>
  <c r="BZ192" i="28"/>
  <c r="AI106" i="21"/>
  <c r="Z107" i="21"/>
  <c r="Y107" i="21"/>
  <c r="AI107" i="21" l="1"/>
  <c r="AP158" i="13"/>
  <c r="AQ158" i="13" s="1"/>
  <c r="AR158" i="13" s="1"/>
  <c r="AL158" i="13"/>
  <c r="AM158" i="13" s="1"/>
  <c r="AK159" i="13"/>
  <c r="AN158" i="13"/>
  <c r="W104" i="19"/>
  <c r="AC105" i="19"/>
  <c r="AE109" i="21"/>
  <c r="AC110" i="21"/>
  <c r="CA193" i="28"/>
  <c r="BZ193" i="28"/>
  <c r="BY194" i="28"/>
  <c r="Y108" i="21"/>
  <c r="Z108" i="21"/>
  <c r="AI108" i="21" s="1"/>
  <c r="AP159" i="13" l="1"/>
  <c r="AQ159" i="13" s="1"/>
  <c r="AR159" i="13" s="1"/>
  <c r="AK160" i="13"/>
  <c r="AN159" i="13"/>
  <c r="AL159" i="13"/>
  <c r="AM159" i="13" s="1"/>
  <c r="BY195" i="28"/>
  <c r="CA194" i="28"/>
  <c r="BZ194" i="28"/>
  <c r="Z109" i="21"/>
  <c r="Y109" i="21"/>
  <c r="AE110" i="21"/>
  <c r="AC111" i="21"/>
  <c r="W105" i="19"/>
  <c r="AC106" i="19"/>
  <c r="AL160" i="13" l="1"/>
  <c r="AM160" i="13" s="1"/>
  <c r="AK161" i="13"/>
  <c r="AP160" i="13"/>
  <c r="AQ160" i="13" s="1"/>
  <c r="AR160" i="13" s="1"/>
  <c r="AN160" i="13"/>
  <c r="Z110" i="21"/>
  <c r="Y110" i="21"/>
  <c r="AC107" i="19"/>
  <c r="W106" i="19"/>
  <c r="AC112" i="21"/>
  <c r="AE111" i="21"/>
  <c r="BZ195" i="28"/>
  <c r="BY196" i="28"/>
  <c r="CA195" i="28"/>
  <c r="AI109" i="21"/>
  <c r="AK162" i="13" l="1"/>
  <c r="AL161" i="13"/>
  <c r="AM161" i="13" s="1"/>
  <c r="AN161" i="13"/>
  <c r="AP161" i="13"/>
  <c r="AQ161" i="13" s="1"/>
  <c r="AR161" i="13" s="1"/>
  <c r="CA196" i="28"/>
  <c r="BZ196" i="28"/>
  <c r="BY197" i="28"/>
  <c r="AI110" i="21"/>
  <c r="Z111" i="21"/>
  <c r="AI111" i="21" s="1"/>
  <c r="Y111" i="21"/>
  <c r="AE112" i="21"/>
  <c r="AC113" i="21"/>
  <c r="W107" i="19"/>
  <c r="AC108" i="19"/>
  <c r="AN162" i="13" l="1"/>
  <c r="AP162" i="13"/>
  <c r="AQ162" i="13" s="1"/>
  <c r="AR162" i="13" s="1"/>
  <c r="AL162" i="13"/>
  <c r="AM162" i="13" s="1"/>
  <c r="AK163" i="13"/>
  <c r="CA197" i="28"/>
  <c r="BZ197" i="28"/>
  <c r="BY198" i="28"/>
  <c r="Z112" i="21"/>
  <c r="Y112" i="21"/>
  <c r="AC109" i="19"/>
  <c r="W108" i="19"/>
  <c r="AC114" i="21"/>
  <c r="AE113" i="21"/>
  <c r="AI112" i="21" l="1"/>
  <c r="AP163" i="13"/>
  <c r="AQ163" i="13" s="1"/>
  <c r="AR163" i="13" s="1"/>
  <c r="AL163" i="13"/>
  <c r="AM163" i="13" s="1"/>
  <c r="AK164" i="13"/>
  <c r="AN163" i="13"/>
  <c r="BY199" i="28"/>
  <c r="CA198" i="28"/>
  <c r="BZ198" i="28"/>
  <c r="Y113" i="21"/>
  <c r="Z113" i="21"/>
  <c r="AI113" i="21" s="1"/>
  <c r="AE114" i="21"/>
  <c r="AC115" i="21"/>
  <c r="W109" i="19"/>
  <c r="AC110" i="19"/>
  <c r="AK165" i="13" l="1"/>
  <c r="AN164" i="13"/>
  <c r="AP164" i="13"/>
  <c r="AQ164" i="13" s="1"/>
  <c r="AR164" i="13" s="1"/>
  <c r="AL164" i="13"/>
  <c r="AM164" i="13" s="1"/>
  <c r="W110" i="19"/>
  <c r="AC111" i="19"/>
  <c r="AE115" i="21"/>
  <c r="AC116" i="21"/>
  <c r="CA199" i="28"/>
  <c r="BZ199" i="28"/>
  <c r="BY200" i="28"/>
  <c r="Z114" i="21"/>
  <c r="Y114" i="21"/>
  <c r="AN165" i="13" l="1"/>
  <c r="AL165" i="13"/>
  <c r="AM165" i="13" s="1"/>
  <c r="AP165" i="13"/>
  <c r="AQ165" i="13" s="1"/>
  <c r="AR165" i="13" s="1"/>
  <c r="AK166" i="13"/>
  <c r="AI114" i="21"/>
  <c r="BY201" i="28"/>
  <c r="CA200" i="28"/>
  <c r="BZ200" i="28"/>
  <c r="Y115" i="21"/>
  <c r="Z115" i="21"/>
  <c r="AE116" i="21"/>
  <c r="AC117" i="21"/>
  <c r="W111" i="19"/>
  <c r="AC112" i="19"/>
  <c r="AP166" i="13" l="1"/>
  <c r="AQ166" i="13" s="1"/>
  <c r="AR166" i="13" s="1"/>
  <c r="AK167" i="13"/>
  <c r="AN166" i="13"/>
  <c r="AL166" i="13"/>
  <c r="AM166" i="13" s="1"/>
  <c r="Z116" i="21"/>
  <c r="Y116" i="21"/>
  <c r="CA201" i="28"/>
  <c r="BZ201" i="28"/>
  <c r="BY202" i="28"/>
  <c r="AI115" i="21"/>
  <c r="W112" i="19"/>
  <c r="AC113" i="19"/>
  <c r="AE117" i="21"/>
  <c r="AC118" i="21"/>
  <c r="AN167" i="13" l="1"/>
  <c r="AP167" i="13"/>
  <c r="AQ167" i="13" s="1"/>
  <c r="AR167" i="13" s="1"/>
  <c r="AK168" i="13"/>
  <c r="AL167" i="13"/>
  <c r="AM167" i="13" s="1"/>
  <c r="Z117" i="21"/>
  <c r="Y117" i="21"/>
  <c r="AE118" i="21"/>
  <c r="AC119" i="21"/>
  <c r="W113" i="19"/>
  <c r="AC114" i="19"/>
  <c r="BZ202" i="28"/>
  <c r="BY203" i="28"/>
  <c r="CA202" i="28"/>
  <c r="AI116" i="21"/>
  <c r="AN168" i="13" l="1"/>
  <c r="AK169" i="13"/>
  <c r="AL168" i="13"/>
  <c r="AM168" i="13" s="1"/>
  <c r="AP168" i="13"/>
  <c r="AQ168" i="13" s="1"/>
  <c r="AR168" i="13" s="1"/>
  <c r="CA203" i="28"/>
  <c r="BZ203" i="28"/>
  <c r="BY204" i="28"/>
  <c r="AC115" i="19"/>
  <c r="W114" i="19"/>
  <c r="AC120" i="21"/>
  <c r="AE119" i="21"/>
  <c r="Z118" i="21"/>
  <c r="Y118" i="21"/>
  <c r="AI117" i="21"/>
  <c r="AN169" i="13" l="1"/>
  <c r="AK170" i="13"/>
  <c r="AL169" i="13"/>
  <c r="AM169" i="13" s="1"/>
  <c r="AP169" i="13"/>
  <c r="AQ169" i="13" s="1"/>
  <c r="AR169" i="13" s="1"/>
  <c r="AI118" i="21"/>
  <c r="CA204" i="28"/>
  <c r="BZ204" i="28"/>
  <c r="BY205" i="28"/>
  <c r="Y119" i="21"/>
  <c r="Z119" i="21"/>
  <c r="AC121" i="21"/>
  <c r="AE120" i="21"/>
  <c r="AC116" i="19"/>
  <c r="W115" i="19"/>
  <c r="AK171" i="13" l="1"/>
  <c r="AN170" i="13"/>
  <c r="AP170" i="13"/>
  <c r="AQ170" i="13" s="1"/>
  <c r="AR170" i="13" s="1"/>
  <c r="AL170" i="13"/>
  <c r="AM170" i="13" s="1"/>
  <c r="AC117" i="19"/>
  <c r="W116" i="19"/>
  <c r="AC122" i="21"/>
  <c r="AE121" i="21"/>
  <c r="Z120" i="21"/>
  <c r="Y120" i="21"/>
  <c r="CA205" i="28"/>
  <c r="BZ205" i="28"/>
  <c r="BY206" i="28"/>
  <c r="AI119" i="21"/>
  <c r="AI120" i="21" l="1"/>
  <c r="AN171" i="13"/>
  <c r="AP171" i="13"/>
  <c r="AQ171" i="13" s="1"/>
  <c r="AR171" i="13" s="1"/>
  <c r="AK172" i="13"/>
  <c r="AL171" i="13"/>
  <c r="AM171" i="13" s="1"/>
  <c r="BZ206" i="28"/>
  <c r="BY207" i="28"/>
  <c r="CA206" i="28"/>
  <c r="AC123" i="21"/>
  <c r="AE122" i="21"/>
  <c r="AC118" i="19"/>
  <c r="W117" i="19"/>
  <c r="Z121" i="21"/>
  <c r="Y121" i="21"/>
  <c r="AN172" i="13" l="1"/>
  <c r="AP172" i="13"/>
  <c r="AQ172" i="13" s="1"/>
  <c r="AR172" i="13" s="1"/>
  <c r="AL172" i="13"/>
  <c r="AM172" i="13" s="1"/>
  <c r="AK173" i="13"/>
  <c r="AI121" i="21"/>
  <c r="W118" i="19"/>
  <c r="AC119" i="19"/>
  <c r="AE123" i="21"/>
  <c r="AC124" i="21"/>
  <c r="Y122" i="21"/>
  <c r="Z122" i="21"/>
  <c r="BZ207" i="28"/>
  <c r="BY208" i="28"/>
  <c r="CA207" i="28"/>
  <c r="AN173" i="13" l="1"/>
  <c r="AL173" i="13"/>
  <c r="AM173" i="13" s="1"/>
  <c r="AP173" i="13"/>
  <c r="AQ173" i="13" s="1"/>
  <c r="AR173" i="13" s="1"/>
  <c r="AK174" i="13"/>
  <c r="BY209" i="28"/>
  <c r="CA208" i="28"/>
  <c r="BZ208" i="28"/>
  <c r="Y123" i="21"/>
  <c r="Z123" i="21"/>
  <c r="AE124" i="21"/>
  <c r="AC125" i="21"/>
  <c r="W119" i="19"/>
  <c r="AC120" i="19"/>
  <c r="AI122" i="21"/>
  <c r="AP174" i="13" l="1"/>
  <c r="AQ174" i="13" s="1"/>
  <c r="AR174" i="13" s="1"/>
  <c r="AK175" i="13"/>
  <c r="AL174" i="13"/>
  <c r="AM174" i="13" s="1"/>
  <c r="AN174" i="13"/>
  <c r="Y124" i="21"/>
  <c r="Z124" i="21"/>
  <c r="AI124" i="21" s="1"/>
  <c r="AC121" i="19"/>
  <c r="W120" i="19"/>
  <c r="AC126" i="21"/>
  <c r="AE125" i="21"/>
  <c r="BZ209" i="28"/>
  <c r="BY210" i="28"/>
  <c r="CA209" i="28"/>
  <c r="AI123" i="21"/>
  <c r="AP175" i="13" l="1"/>
  <c r="AQ175" i="13" s="1"/>
  <c r="AR175" i="13" s="1"/>
  <c r="AL175" i="13"/>
  <c r="AM175" i="13" s="1"/>
  <c r="AN175" i="13"/>
  <c r="AK176" i="13"/>
  <c r="Y125" i="21"/>
  <c r="Z125" i="21"/>
  <c r="BY211" i="28"/>
  <c r="CA210" i="28"/>
  <c r="BZ210" i="28"/>
  <c r="AC127" i="21"/>
  <c r="AE126" i="21"/>
  <c r="AC122" i="19"/>
  <c r="W121" i="19"/>
  <c r="AL176" i="13" l="1"/>
  <c r="AM176" i="13" s="1"/>
  <c r="AK177" i="13"/>
  <c r="AN176" i="13"/>
  <c r="AP176" i="13"/>
  <c r="AQ176" i="13" s="1"/>
  <c r="AR176" i="13" s="1"/>
  <c r="AI125" i="21"/>
  <c r="Z126" i="21"/>
  <c r="Y126" i="21"/>
  <c r="BZ211" i="28"/>
  <c r="BY212" i="28"/>
  <c r="CA211" i="28"/>
  <c r="AC123" i="19"/>
  <c r="W122" i="19"/>
  <c r="AC128" i="21"/>
  <c r="AE127" i="21"/>
  <c r="AL177" i="13" l="1"/>
  <c r="AM177" i="13" s="1"/>
  <c r="AK178" i="13"/>
  <c r="AN177" i="13"/>
  <c r="AP177" i="13"/>
  <c r="AQ177" i="13" s="1"/>
  <c r="AR177" i="13" s="1"/>
  <c r="AI126" i="21"/>
  <c r="Y127" i="21"/>
  <c r="Z127" i="21"/>
  <c r="AE128" i="21"/>
  <c r="AC129" i="21"/>
  <c r="W123" i="19"/>
  <c r="AC124" i="19"/>
  <c r="BY213" i="28"/>
  <c r="CA212" i="28"/>
  <c r="BZ212" i="28"/>
  <c r="AK179" i="13" l="1"/>
  <c r="AN178" i="13"/>
  <c r="AP178" i="13"/>
  <c r="AQ178" i="13" s="1"/>
  <c r="AR178" i="13" s="1"/>
  <c r="AL178" i="13"/>
  <c r="AM178" i="13" s="1"/>
  <c r="Z128" i="21"/>
  <c r="Y128" i="21"/>
  <c r="AC125" i="19"/>
  <c r="W124" i="19"/>
  <c r="AC130" i="21"/>
  <c r="AE129" i="21"/>
  <c r="AI127" i="21"/>
  <c r="BY214" i="28"/>
  <c r="CA213" i="28"/>
  <c r="BZ213" i="28"/>
  <c r="AP179" i="13" l="1"/>
  <c r="AQ179" i="13" s="1"/>
  <c r="AR179" i="13" s="1"/>
  <c r="AN179" i="13"/>
  <c r="AK180" i="13"/>
  <c r="AL179" i="13"/>
  <c r="AM179" i="13" s="1"/>
  <c r="BY215" i="28"/>
  <c r="CA214" i="28"/>
  <c r="BZ214" i="28"/>
  <c r="AC131" i="21"/>
  <c r="AE130" i="21"/>
  <c r="AC126" i="19"/>
  <c r="W125" i="19"/>
  <c r="AI128" i="21"/>
  <c r="Z129" i="21"/>
  <c r="Y129" i="21"/>
  <c r="AK181" i="13" l="1"/>
  <c r="AP180" i="13"/>
  <c r="AQ180" i="13" s="1"/>
  <c r="AR180" i="13" s="1"/>
  <c r="AL180" i="13"/>
  <c r="AM180" i="13" s="1"/>
  <c r="AN180" i="13"/>
  <c r="Y130" i="21"/>
  <c r="Z130" i="21"/>
  <c r="AI130" i="21" s="1"/>
  <c r="AC127" i="19"/>
  <c r="W126" i="19"/>
  <c r="AC132" i="21"/>
  <c r="AE131" i="21"/>
  <c r="CA215" i="28"/>
  <c r="BZ215" i="28"/>
  <c r="BY216" i="28"/>
  <c r="AI129" i="21"/>
  <c r="AL181" i="13" l="1"/>
  <c r="AM181" i="13" s="1"/>
  <c r="AN181" i="13"/>
  <c r="AK182" i="13"/>
  <c r="AP181" i="13"/>
  <c r="AQ181" i="13" s="1"/>
  <c r="AR181" i="13" s="1"/>
  <c r="Z131" i="21"/>
  <c r="Y131" i="21"/>
  <c r="AC133" i="21"/>
  <c r="AE132" i="21"/>
  <c r="AC128" i="19"/>
  <c r="W127" i="19"/>
  <c r="BZ216" i="28"/>
  <c r="BY217" i="28"/>
  <c r="CA216" i="28"/>
  <c r="AN182" i="13" l="1"/>
  <c r="AL182" i="13"/>
  <c r="AM182" i="13" s="1"/>
  <c r="AP182" i="13"/>
  <c r="AQ182" i="13" s="1"/>
  <c r="AR182" i="13" s="1"/>
  <c r="AK183" i="13"/>
  <c r="BZ217" i="28"/>
  <c r="BY218" i="28"/>
  <c r="CA217" i="28"/>
  <c r="Z132" i="21"/>
  <c r="AI132" i="21" s="1"/>
  <c r="Y132" i="21"/>
  <c r="AI131" i="21"/>
  <c r="AC129" i="19"/>
  <c r="W128" i="19"/>
  <c r="AC134" i="21"/>
  <c r="AE133" i="21"/>
  <c r="AP183" i="13" l="1"/>
  <c r="AQ183" i="13" s="1"/>
  <c r="AR183" i="13" s="1"/>
  <c r="AK184" i="13"/>
  <c r="AN183" i="13"/>
  <c r="AL183" i="13"/>
  <c r="AM183" i="13" s="1"/>
  <c r="Y133" i="21"/>
  <c r="Z133" i="21"/>
  <c r="AE134" i="21"/>
  <c r="AC135" i="21"/>
  <c r="W129" i="19"/>
  <c r="AC130" i="19"/>
  <c r="CA218" i="28"/>
  <c r="BZ218" i="28"/>
  <c r="BY219" i="28"/>
  <c r="AP184" i="13" l="1"/>
  <c r="AQ184" i="13" s="1"/>
  <c r="AR184" i="13" s="1"/>
  <c r="AL184" i="13"/>
  <c r="AM184" i="13" s="1"/>
  <c r="AK185" i="13"/>
  <c r="AN184" i="13"/>
  <c r="BY220" i="28"/>
  <c r="CA219" i="28"/>
  <c r="BZ219" i="28"/>
  <c r="AC131" i="19"/>
  <c r="W130" i="19"/>
  <c r="AC136" i="21"/>
  <c r="AE135" i="21"/>
  <c r="AI133" i="21"/>
  <c r="Y134" i="21"/>
  <c r="Z134" i="21"/>
  <c r="AN185" i="13" l="1"/>
  <c r="AK186" i="13"/>
  <c r="AP185" i="13"/>
  <c r="AQ185" i="13" s="1"/>
  <c r="AR185" i="13" s="1"/>
  <c r="AL185" i="13"/>
  <c r="AM185" i="13" s="1"/>
  <c r="AC137" i="21"/>
  <c r="AE136" i="21"/>
  <c r="AC132" i="19"/>
  <c r="W131" i="19"/>
  <c r="BY221" i="28"/>
  <c r="CA220" i="28"/>
  <c r="BZ220" i="28"/>
  <c r="AI134" i="21"/>
  <c r="Z135" i="21"/>
  <c r="Y135" i="21"/>
  <c r="AP186" i="13" l="1"/>
  <c r="AQ186" i="13" s="1"/>
  <c r="AR186" i="13" s="1"/>
  <c r="AN186" i="13"/>
  <c r="AL186" i="13"/>
  <c r="AM186" i="13" s="1"/>
  <c r="AK187" i="13"/>
  <c r="W132" i="19"/>
  <c r="AC133" i="19"/>
  <c r="AE137" i="21"/>
  <c r="AC138" i="21"/>
  <c r="AI135" i="21"/>
  <c r="BZ221" i="28"/>
  <c r="BY222" i="28"/>
  <c r="CA221" i="28"/>
  <c r="Y136" i="21"/>
  <c r="Z136" i="21"/>
  <c r="AP187" i="13" l="1"/>
  <c r="AQ187" i="13" s="1"/>
  <c r="AR187" i="13" s="1"/>
  <c r="AN187" i="13"/>
  <c r="AK188" i="13"/>
  <c r="AL187" i="13"/>
  <c r="AM187" i="13" s="1"/>
  <c r="BZ222" i="28"/>
  <c r="BY223" i="28"/>
  <c r="CA222" i="28"/>
  <c r="Z137" i="21"/>
  <c r="AI137" i="21" s="1"/>
  <c r="Y137" i="21"/>
  <c r="AE138" i="21"/>
  <c r="AC139" i="21"/>
  <c r="W133" i="19"/>
  <c r="AC134" i="19"/>
  <c r="AI136" i="21"/>
  <c r="AK189" i="13" l="1"/>
  <c r="AP188" i="13"/>
  <c r="AQ188" i="13" s="1"/>
  <c r="AR188" i="13" s="1"/>
  <c r="AL188" i="13"/>
  <c r="AM188" i="13" s="1"/>
  <c r="AN188" i="13"/>
  <c r="AC135" i="19"/>
  <c r="W134" i="19"/>
  <c r="AC140" i="21"/>
  <c r="AE139" i="21"/>
  <c r="Y138" i="21"/>
  <c r="Z138" i="21"/>
  <c r="AI138" i="21" s="1"/>
  <c r="BY224" i="28"/>
  <c r="CA223" i="28"/>
  <c r="BZ223" i="28"/>
  <c r="AL189" i="13" l="1"/>
  <c r="AM189" i="13" s="1"/>
  <c r="AP189" i="13"/>
  <c r="AQ189" i="13" s="1"/>
  <c r="AR189" i="13"/>
  <c r="AN189" i="13"/>
  <c r="AK190" i="13"/>
  <c r="BY225" i="28"/>
  <c r="CA224" i="28"/>
  <c r="BZ224" i="28"/>
  <c r="AE140" i="21"/>
  <c r="AC141" i="21"/>
  <c r="W135" i="19"/>
  <c r="AC136" i="19"/>
  <c r="Z139" i="21"/>
  <c r="Y139" i="21"/>
  <c r="AN190" i="13" l="1"/>
  <c r="AL190" i="13"/>
  <c r="AM190" i="13" s="1"/>
  <c r="AP190" i="13"/>
  <c r="AQ190" i="13" s="1"/>
  <c r="AR190" i="13" s="1"/>
  <c r="AK191" i="13"/>
  <c r="Z140" i="21"/>
  <c r="Y140" i="21"/>
  <c r="BY226" i="28"/>
  <c r="CA225" i="28"/>
  <c r="BZ225" i="28"/>
  <c r="W136" i="19"/>
  <c r="AC137" i="19"/>
  <c r="AE141" i="21"/>
  <c r="AC142" i="21"/>
  <c r="AI139" i="21"/>
  <c r="AN191" i="13" l="1"/>
  <c r="AL191" i="13"/>
  <c r="AM191" i="13" s="1"/>
  <c r="AK192" i="13"/>
  <c r="AP191" i="13"/>
  <c r="AQ191" i="13" s="1"/>
  <c r="AR191" i="13" s="1"/>
  <c r="AC143" i="21"/>
  <c r="AE142" i="21"/>
  <c r="AC138" i="19"/>
  <c r="W137" i="19"/>
  <c r="BZ226" i="28"/>
  <c r="BY227" i="28"/>
  <c r="CA226" i="28"/>
  <c r="AI140" i="21"/>
  <c r="Y141" i="21"/>
  <c r="Z141" i="21"/>
  <c r="AI141" i="21" s="1"/>
  <c r="AN192" i="13" l="1"/>
  <c r="AK193" i="13"/>
  <c r="AP192" i="13"/>
  <c r="AQ192" i="13" s="1"/>
  <c r="AR192" i="13"/>
  <c r="AL192" i="13"/>
  <c r="AM192" i="13" s="1"/>
  <c r="BY228" i="28"/>
  <c r="CA227" i="28"/>
  <c r="BZ227" i="28"/>
  <c r="Y142" i="21"/>
  <c r="Z142" i="21"/>
  <c r="AC139" i="19"/>
  <c r="W138" i="19"/>
  <c r="AC144" i="21"/>
  <c r="AE143" i="21"/>
  <c r="AK194" i="13" l="1"/>
  <c r="AN193" i="13"/>
  <c r="AL193" i="13"/>
  <c r="AM193" i="13" s="1"/>
  <c r="AP193" i="13"/>
  <c r="AQ193" i="13" s="1"/>
  <c r="AR193" i="13" s="1"/>
  <c r="AE144" i="21"/>
  <c r="AC145" i="21"/>
  <c r="W139" i="19"/>
  <c r="AC140" i="19"/>
  <c r="BZ228" i="28"/>
  <c r="CA228" i="28"/>
  <c r="BY229" i="28"/>
  <c r="AI142" i="21"/>
  <c r="Y143" i="21"/>
  <c r="Z143" i="21"/>
  <c r="AI143" i="21" s="1"/>
  <c r="AL194" i="13" l="1"/>
  <c r="AM194" i="13" s="1"/>
  <c r="AK195" i="13"/>
  <c r="AN194" i="13"/>
  <c r="AP194" i="13"/>
  <c r="AQ194" i="13" s="1"/>
  <c r="AR194" i="13" s="1"/>
  <c r="AC141" i="19"/>
  <c r="W140" i="19"/>
  <c r="AC146" i="21"/>
  <c r="AE145" i="21"/>
  <c r="CA229" i="28"/>
  <c r="BZ229" i="28"/>
  <c r="BY230" i="28"/>
  <c r="Z144" i="21"/>
  <c r="Y144" i="21"/>
  <c r="AP195" i="13" l="1"/>
  <c r="AQ195" i="13" s="1"/>
  <c r="AR195" i="13" s="1"/>
  <c r="AN195" i="13"/>
  <c r="AL195" i="13"/>
  <c r="AM195" i="13" s="1"/>
  <c r="AK196" i="13"/>
  <c r="Y145" i="21"/>
  <c r="Z145" i="21"/>
  <c r="AI145" i="21" s="1"/>
  <c r="AC147" i="21"/>
  <c r="AE146" i="21"/>
  <c r="AC142" i="19"/>
  <c r="W141" i="19"/>
  <c r="AI144" i="21"/>
  <c r="CA230" i="28"/>
  <c r="BZ230" i="28"/>
  <c r="BY231" i="28"/>
  <c r="AN196" i="13" l="1"/>
  <c r="AP196" i="13"/>
  <c r="AQ196" i="13" s="1"/>
  <c r="AR196" i="13" s="1"/>
  <c r="AK197" i="13"/>
  <c r="AL196" i="13"/>
  <c r="AM196" i="13" s="1"/>
  <c r="Y146" i="21"/>
  <c r="Z146" i="21"/>
  <c r="AI146" i="21" s="1"/>
  <c r="CA231" i="28"/>
  <c r="BZ231" i="28"/>
  <c r="BY232" i="28"/>
  <c r="AC143" i="19"/>
  <c r="W142" i="19"/>
  <c r="AC148" i="21"/>
  <c r="AE147" i="21"/>
  <c r="AK198" i="13" l="1"/>
  <c r="AN197" i="13"/>
  <c r="AP197" i="13"/>
  <c r="AQ197" i="13" s="1"/>
  <c r="AR197" i="13" s="1"/>
  <c r="AL197" i="13"/>
  <c r="AM197" i="13" s="1"/>
  <c r="Y147" i="21"/>
  <c r="Z147" i="21"/>
  <c r="AI147" i="21" s="1"/>
  <c r="AC149" i="21"/>
  <c r="AE148" i="21"/>
  <c r="AC144" i="19"/>
  <c r="W143" i="19"/>
  <c r="BY233" i="28"/>
  <c r="CA232" i="28"/>
  <c r="BZ232" i="28"/>
  <c r="AP198" i="13" l="1"/>
  <c r="AQ198" i="13" s="1"/>
  <c r="AR198" i="13" s="1"/>
  <c r="AN198" i="13"/>
  <c r="AL198" i="13"/>
  <c r="AM198" i="13" s="1"/>
  <c r="AK199" i="13"/>
  <c r="BZ233" i="28"/>
  <c r="BY234" i="28"/>
  <c r="CA233" i="28"/>
  <c r="AC145" i="19"/>
  <c r="W144" i="19"/>
  <c r="AC150" i="21"/>
  <c r="AE149" i="21"/>
  <c r="Y148" i="21"/>
  <c r="Z148" i="21"/>
  <c r="AN199" i="13" l="1"/>
  <c r="AK200" i="13"/>
  <c r="AL199" i="13"/>
  <c r="AM199" i="13" s="1"/>
  <c r="AP199" i="13"/>
  <c r="AQ199" i="13" s="1"/>
  <c r="AR199" i="13" s="1"/>
  <c r="AI148" i="21"/>
  <c r="Z149" i="21"/>
  <c r="Y149" i="21"/>
  <c r="AC151" i="21"/>
  <c r="AE150" i="21"/>
  <c r="AC146" i="19"/>
  <c r="W145" i="19"/>
  <c r="BZ234" i="28"/>
  <c r="BY235" i="28"/>
  <c r="CA234" i="28"/>
  <c r="AL200" i="13" l="1"/>
  <c r="AM200" i="13" s="1"/>
  <c r="AK201" i="13"/>
  <c r="AN200" i="13"/>
  <c r="AP200" i="13"/>
  <c r="AQ200" i="13" s="1"/>
  <c r="AR200" i="13" s="1"/>
  <c r="CA235" i="28"/>
  <c r="BZ235" i="28"/>
  <c r="BY236" i="28"/>
  <c r="Z150" i="21"/>
  <c r="AI150" i="21" s="1"/>
  <c r="Y150" i="21"/>
  <c r="AI149" i="21"/>
  <c r="W146" i="19"/>
  <c r="AC147" i="19"/>
  <c r="AE151" i="21"/>
  <c r="AC152" i="21"/>
  <c r="AP201" i="13" l="1"/>
  <c r="AQ201" i="13" s="1"/>
  <c r="AN201" i="13"/>
  <c r="AL201" i="13"/>
  <c r="AM201" i="13" s="1"/>
  <c r="AR201" i="13"/>
  <c r="AK202" i="13"/>
  <c r="AE152" i="21"/>
  <c r="AC153" i="21"/>
  <c r="W147" i="19"/>
  <c r="AC148" i="19"/>
  <c r="BY237" i="28"/>
  <c r="CA236" i="28"/>
  <c r="BZ236" i="28"/>
  <c r="Y151" i="21"/>
  <c r="Z151" i="21"/>
  <c r="AI151" i="21" s="1"/>
  <c r="AN202" i="13" l="1"/>
  <c r="AL202" i="13"/>
  <c r="AM202" i="13" s="1"/>
  <c r="AK203" i="13"/>
  <c r="AP202" i="13"/>
  <c r="AQ202" i="13" s="1"/>
  <c r="AR202" i="13" s="1"/>
  <c r="W148" i="19"/>
  <c r="AC149" i="19"/>
  <c r="AE153" i="21"/>
  <c r="AC154" i="21"/>
  <c r="BZ237" i="28"/>
  <c r="BY238" i="28"/>
  <c r="CA237" i="28"/>
  <c r="Z152" i="21"/>
  <c r="AI152" i="21" s="1"/>
  <c r="Y152" i="21"/>
  <c r="AK204" i="13" l="1"/>
  <c r="AN203" i="13"/>
  <c r="AP203" i="13"/>
  <c r="AQ203" i="13" s="1"/>
  <c r="AR203" i="13" s="1"/>
  <c r="AL203" i="13"/>
  <c r="AM203" i="13" s="1"/>
  <c r="BZ238" i="28"/>
  <c r="CA238" i="28"/>
  <c r="BY239" i="28"/>
  <c r="Y153" i="21"/>
  <c r="Z153" i="21"/>
  <c r="AI153" i="21" s="1"/>
  <c r="AC155" i="21"/>
  <c r="AE154" i="21"/>
  <c r="AC150" i="19"/>
  <c r="W149" i="19"/>
  <c r="AP204" i="13" l="1"/>
  <c r="AQ204" i="13" s="1"/>
  <c r="AR204" i="13" s="1"/>
  <c r="AL204" i="13"/>
  <c r="AM204" i="13" s="1"/>
  <c r="AK205" i="13"/>
  <c r="AN204" i="13"/>
  <c r="Z154" i="21"/>
  <c r="Y154" i="21"/>
  <c r="BY240" i="28"/>
  <c r="BZ239" i="28"/>
  <c r="CA239" i="28"/>
  <c r="W150" i="19"/>
  <c r="AC151" i="19"/>
  <c r="AE155" i="21"/>
  <c r="AC156" i="21"/>
  <c r="AP205" i="13" l="1"/>
  <c r="AQ205" i="13" s="1"/>
  <c r="AR205" i="13" s="1"/>
  <c r="AN205" i="13"/>
  <c r="AL205" i="13"/>
  <c r="AM205" i="13" s="1"/>
  <c r="AK206" i="13"/>
  <c r="Z155" i="21"/>
  <c r="Y155" i="21"/>
  <c r="AE156" i="21"/>
  <c r="AC157" i="21"/>
  <c r="W151" i="19"/>
  <c r="AC152" i="19"/>
  <c r="AI154" i="21"/>
  <c r="BZ240" i="28"/>
  <c r="CA240" i="28"/>
  <c r="BY241" i="28"/>
  <c r="AP206" i="13" l="1"/>
  <c r="AQ206" i="13" s="1"/>
  <c r="AR206" i="13" s="1"/>
  <c r="AN206" i="13"/>
  <c r="AK207" i="13"/>
  <c r="AL206" i="13"/>
  <c r="AM206" i="13" s="1"/>
  <c r="Y156" i="21"/>
  <c r="Z156" i="21"/>
  <c r="AI156" i="21" s="1"/>
  <c r="AI155" i="21"/>
  <c r="CA241" i="28"/>
  <c r="BZ241" i="28"/>
  <c r="BY242" i="28"/>
  <c r="W152" i="19"/>
  <c r="AC153" i="19"/>
  <c r="AE157" i="21"/>
  <c r="AC158" i="21"/>
  <c r="AK208" i="13" l="1"/>
  <c r="AP207" i="13"/>
  <c r="AQ207" i="13" s="1"/>
  <c r="AR207" i="13" s="1"/>
  <c r="AN207" i="13"/>
  <c r="AL207" i="13"/>
  <c r="AM207" i="13" s="1"/>
  <c r="Y157" i="21"/>
  <c r="Z157" i="21"/>
  <c r="AC159" i="21"/>
  <c r="AE158" i="21"/>
  <c r="AC154" i="19"/>
  <c r="W153" i="19"/>
  <c r="BZ242" i="28"/>
  <c r="CA242" i="28"/>
  <c r="AK209" i="13" l="1"/>
  <c r="AL208" i="13"/>
  <c r="AM208" i="13" s="1"/>
  <c r="AN208" i="13"/>
  <c r="AP208" i="13"/>
  <c r="AQ208" i="13" s="1"/>
  <c r="AR208" i="13" s="1"/>
  <c r="Y158" i="21"/>
  <c r="Z158" i="21"/>
  <c r="AI158" i="21" s="1"/>
  <c r="AI157" i="21"/>
  <c r="AC155" i="19"/>
  <c r="W154" i="19"/>
  <c r="AC160" i="21"/>
  <c r="AE159" i="21"/>
  <c r="AL209" i="13" l="1"/>
  <c r="AM209" i="13" s="1"/>
  <c r="AK210" i="13"/>
  <c r="AN209" i="13"/>
  <c r="AP209" i="13"/>
  <c r="AQ209" i="13" s="1"/>
  <c r="AR209" i="13" s="1"/>
  <c r="Y159" i="21"/>
  <c r="Z159" i="21"/>
  <c r="AC161" i="21"/>
  <c r="AE160" i="21"/>
  <c r="AC156" i="19"/>
  <c r="W155" i="19"/>
  <c r="AI159" i="21" l="1"/>
  <c r="AL210" i="13"/>
  <c r="AM210" i="13" s="1"/>
  <c r="AK211" i="13"/>
  <c r="AN210" i="13"/>
  <c r="AP210" i="13"/>
  <c r="AQ210" i="13" s="1"/>
  <c r="AR210" i="13" s="1"/>
  <c r="W156" i="19"/>
  <c r="AC157" i="19"/>
  <c r="W157" i="19" s="1"/>
  <c r="AC162" i="21"/>
  <c r="AE162" i="21" s="1"/>
  <c r="AE161" i="21"/>
  <c r="Y160" i="21"/>
  <c r="Z160" i="21"/>
  <c r="AI160" i="21" s="1"/>
  <c r="AL211" i="13" l="1"/>
  <c r="AM211" i="13" s="1"/>
  <c r="AK212" i="13"/>
  <c r="AN211" i="13"/>
  <c r="AP211" i="13"/>
  <c r="AQ211" i="13" s="1"/>
  <c r="AR211" i="13" s="1"/>
  <c r="Y162" i="21"/>
  <c r="Z162" i="21"/>
  <c r="Y161" i="21"/>
  <c r="Z161" i="21"/>
  <c r="AI161" i="21" l="1"/>
  <c r="AK213" i="13"/>
  <c r="AN212" i="13"/>
  <c r="AL212" i="13"/>
  <c r="AM212" i="13" s="1"/>
  <c r="AP212" i="13"/>
  <c r="AQ212" i="13" s="1"/>
  <c r="AR212" i="13" s="1"/>
  <c r="AI162" i="21"/>
  <c r="AP213" i="13" l="1"/>
  <c r="AQ213" i="13" s="1"/>
  <c r="AK214" i="13"/>
  <c r="AL213" i="13"/>
  <c r="AM213" i="13" s="1"/>
  <c r="AN213" i="13"/>
  <c r="AR213" i="13"/>
  <c r="AN214" i="13" l="1"/>
  <c r="AK215" i="13"/>
  <c r="AL214" i="13"/>
  <c r="AM214" i="13" s="1"/>
  <c r="AP214" i="13"/>
  <c r="AQ214" i="13" s="1"/>
  <c r="AR214" i="13" s="1"/>
  <c r="AL215" i="13" l="1"/>
  <c r="AM215" i="13" s="1"/>
  <c r="AK216" i="13"/>
  <c r="AN215" i="13"/>
  <c r="AP215" i="13"/>
  <c r="AQ215" i="13" s="1"/>
  <c r="AR215" i="13" s="1"/>
  <c r="AL216" i="13" l="1"/>
  <c r="AM216" i="13" s="1"/>
  <c r="AN216" i="13"/>
  <c r="AK217" i="13"/>
  <c r="AP216" i="13"/>
  <c r="AQ216" i="13" s="1"/>
  <c r="AR216" i="13" s="1"/>
  <c r="AK218" i="13" l="1"/>
  <c r="AL217" i="13"/>
  <c r="AM217" i="13" s="1"/>
  <c r="AP217" i="13"/>
  <c r="AQ217" i="13" s="1"/>
  <c r="AR217" i="13" s="1"/>
  <c r="AN217" i="13"/>
  <c r="AP218" i="13" l="1"/>
  <c r="AQ218" i="13" s="1"/>
  <c r="AR218" i="13" s="1"/>
  <c r="AN218" i="13"/>
  <c r="AL218" i="13"/>
  <c r="AM218" i="13" s="1"/>
  <c r="AK219" i="13"/>
  <c r="AP219" i="13" l="1"/>
  <c r="AQ219" i="13" s="1"/>
  <c r="AR219" i="13" s="1"/>
  <c r="AL219" i="13"/>
  <c r="AM219" i="13" s="1"/>
  <c r="AK220" i="13"/>
  <c r="AN219" i="13"/>
  <c r="AK221" i="13" l="1"/>
  <c r="AL220" i="13"/>
  <c r="AM220" i="13" s="1"/>
  <c r="AN220" i="13"/>
  <c r="AP220" i="13"/>
  <c r="AQ220" i="13" s="1"/>
  <c r="AR220" i="13" s="1"/>
  <c r="AK222" i="13" l="1"/>
  <c r="AN221" i="13"/>
  <c r="AL221" i="13"/>
  <c r="AM221" i="13" s="1"/>
  <c r="AP221" i="13"/>
  <c r="AQ221" i="13" s="1"/>
  <c r="AR221" i="13" s="1"/>
  <c r="AK223" i="13" l="1"/>
  <c r="AL222" i="13"/>
  <c r="AM222" i="13" s="1"/>
  <c r="AP222" i="13"/>
  <c r="AQ222" i="13" s="1"/>
  <c r="AR222" i="13" s="1"/>
  <c r="AN222" i="13"/>
  <c r="AL223" i="13" l="1"/>
  <c r="AM223" i="13" s="1"/>
  <c r="AK224" i="13"/>
  <c r="AN223" i="13"/>
  <c r="AP223" i="13"/>
  <c r="AQ223" i="13" s="1"/>
  <c r="AR223" i="13" s="1"/>
  <c r="AK225" i="13" l="1"/>
  <c r="AP224" i="13"/>
  <c r="AQ224" i="13" s="1"/>
  <c r="AR224" i="13" s="1"/>
  <c r="AN224" i="13"/>
  <c r="AL224" i="13"/>
  <c r="AM224" i="13" s="1"/>
  <c r="AK226" i="13" l="1"/>
  <c r="AN225" i="13"/>
  <c r="AL225" i="13"/>
  <c r="AM225" i="13" s="1"/>
  <c r="AP225" i="13"/>
  <c r="AQ225" i="13" s="1"/>
  <c r="AR225" i="13" s="1"/>
  <c r="AN226" i="13" l="1"/>
  <c r="AP226" i="13"/>
  <c r="AQ226" i="13" s="1"/>
  <c r="AR226" i="13" s="1"/>
  <c r="AK227" i="13"/>
  <c r="AL226" i="13"/>
  <c r="AM226" i="13" s="1"/>
  <c r="AL227" i="13" l="1"/>
  <c r="AM227" i="13" s="1"/>
  <c r="AK228" i="13"/>
  <c r="AN227" i="13"/>
  <c r="AP227" i="13"/>
  <c r="AQ227" i="13" s="1"/>
  <c r="AR227" i="13" s="1"/>
  <c r="AN228" i="13" l="1"/>
  <c r="AK229" i="13"/>
  <c r="AP228" i="13"/>
  <c r="AQ228" i="13" s="1"/>
  <c r="AR228" i="13" s="1"/>
  <c r="AL228" i="13"/>
  <c r="AM228" i="13" s="1"/>
  <c r="AL229" i="13" l="1"/>
  <c r="AM229" i="13" s="1"/>
  <c r="AK230" i="13"/>
  <c r="AN229" i="13"/>
  <c r="AP229" i="13"/>
  <c r="AQ229" i="13" s="1"/>
  <c r="AR229" i="13" s="1"/>
  <c r="AN230" i="13" l="1"/>
  <c r="AL230" i="13"/>
  <c r="AM230" i="13" s="1"/>
  <c r="AK231" i="13"/>
  <c r="AP230" i="13"/>
  <c r="AQ230" i="13" s="1"/>
  <c r="AR230" i="13" s="1"/>
  <c r="AN231" i="13" l="1"/>
  <c r="AL231" i="13"/>
  <c r="AM231" i="13" s="1"/>
  <c r="AK232" i="13"/>
  <c r="AP231" i="13"/>
  <c r="AQ231" i="13" s="1"/>
  <c r="AR231" i="13" s="1"/>
  <c r="AL232" i="13" l="1"/>
  <c r="AM232" i="13" s="1"/>
  <c r="AN232" i="13"/>
  <c r="AK233" i="13"/>
  <c r="AP232" i="13"/>
  <c r="AQ232" i="13" s="1"/>
  <c r="AR232" i="13"/>
  <c r="AL233" i="13" l="1"/>
  <c r="AM233" i="13" s="1"/>
  <c r="AR233" i="13"/>
  <c r="AP233" i="13"/>
  <c r="AQ233" i="13" s="1"/>
  <c r="AK234" i="13"/>
  <c r="AN233" i="13"/>
  <c r="AK235" i="13" l="1"/>
  <c r="AP234" i="13"/>
  <c r="AQ234" i="13" s="1"/>
  <c r="AR234" i="13" s="1"/>
  <c r="AL234" i="13"/>
  <c r="AM234" i="13" s="1"/>
  <c r="AN234" i="13"/>
  <c r="AK236" i="13" l="1"/>
  <c r="AN235" i="13"/>
  <c r="AL235" i="13"/>
  <c r="AM235" i="13" s="1"/>
  <c r="AP235" i="13"/>
  <c r="AQ235" i="13" s="1"/>
  <c r="AR235" i="13" s="1"/>
  <c r="AN236" i="13" l="1"/>
  <c r="AL236" i="13"/>
  <c r="AM236" i="13" s="1"/>
  <c r="AP236" i="13"/>
  <c r="AQ236" i="13" s="1"/>
  <c r="AR236" i="13" s="1"/>
  <c r="AK237" i="13"/>
  <c r="AN237" i="13" l="1"/>
  <c r="AK238" i="13"/>
  <c r="AP237" i="13"/>
  <c r="AQ237" i="13" s="1"/>
  <c r="AR237" i="13" s="1"/>
  <c r="AL237" i="13"/>
  <c r="AM237" i="13" s="1"/>
  <c r="AP238" i="13" l="1"/>
  <c r="AQ238" i="13" s="1"/>
  <c r="AR238" i="13" s="1"/>
  <c r="AK239" i="13"/>
  <c r="AN238" i="13"/>
  <c r="AL238" i="13"/>
  <c r="AM238" i="13" s="1"/>
  <c r="AP239" i="13" l="1"/>
  <c r="AQ239" i="13" s="1"/>
  <c r="AR239" i="13" s="1"/>
  <c r="AL239" i="13"/>
  <c r="AM239" i="13" s="1"/>
  <c r="AK240" i="13"/>
  <c r="AN239" i="13"/>
  <c r="AL240" i="13" l="1"/>
  <c r="AM240" i="13" s="1"/>
  <c r="AP240" i="13"/>
  <c r="AQ240" i="13" s="1"/>
  <c r="AR240" i="13" s="1"/>
  <c r="AK241" i="13"/>
  <c r="AN240" i="13"/>
  <c r="AK242" i="13" l="1"/>
  <c r="AL241" i="13"/>
  <c r="AM241" i="13" s="1"/>
  <c r="AP241" i="13"/>
  <c r="AQ241" i="13" s="1"/>
  <c r="AR241" i="13" s="1"/>
  <c r="AN241" i="13"/>
  <c r="AP242" i="13" l="1"/>
  <c r="AQ242" i="13" s="1"/>
  <c r="AR242" i="13" s="1"/>
  <c r="AL242" i="13"/>
  <c r="AM242" i="13" s="1"/>
  <c r="AN242" i="13"/>
  <c r="AK243" i="13"/>
  <c r="AP243" i="13" l="1"/>
  <c r="AQ243" i="13" s="1"/>
  <c r="AR243" i="13" s="1"/>
  <c r="AL243" i="13"/>
  <c r="AM243" i="13" s="1"/>
  <c r="AK244" i="13"/>
  <c r="AN243" i="13"/>
  <c r="AP244" i="13" l="1"/>
  <c r="AQ244" i="13" s="1"/>
  <c r="AL244" i="13"/>
  <c r="AM244" i="13" s="1"/>
  <c r="AN244" i="13"/>
  <c r="AK245" i="13"/>
  <c r="AR244" i="13"/>
  <c r="AL245" i="13" l="1"/>
  <c r="AM245" i="13" s="1"/>
  <c r="AN245" i="13"/>
  <c r="AP245" i="13"/>
  <c r="AQ245" i="13" s="1"/>
  <c r="AR245" i="13" s="1"/>
  <c r="AK246" i="13"/>
  <c r="AP246" i="13" l="1"/>
  <c r="AQ246" i="13" s="1"/>
  <c r="AR246" i="13" s="1"/>
  <c r="AL246" i="13"/>
  <c r="AM246" i="13" s="1"/>
  <c r="AN246" i="13"/>
  <c r="AK247" i="13"/>
  <c r="AN247" i="13" l="1"/>
  <c r="AK248" i="13"/>
  <c r="AP247" i="13"/>
  <c r="AQ247" i="13" s="1"/>
  <c r="AR247" i="13" s="1"/>
  <c r="AL247" i="13"/>
  <c r="AM247" i="13" s="1"/>
  <c r="AP248" i="13" l="1"/>
  <c r="AQ248" i="13" s="1"/>
  <c r="AR248" i="13" s="1"/>
  <c r="AK249" i="13"/>
  <c r="AN248" i="13"/>
  <c r="AL248" i="13"/>
  <c r="AM248" i="13" s="1"/>
  <c r="AK250" i="13" l="1"/>
  <c r="AN249" i="13"/>
  <c r="AL249" i="13"/>
  <c r="AM249" i="13" s="1"/>
  <c r="AP249" i="13"/>
  <c r="AQ249" i="13" s="1"/>
  <c r="AR249" i="13" s="1"/>
  <c r="AK251" i="13" l="1"/>
  <c r="AL250" i="13"/>
  <c r="AM250" i="13" s="1"/>
  <c r="AP250" i="13"/>
  <c r="AQ250" i="13" s="1"/>
  <c r="AR250" i="13" s="1"/>
  <c r="AN250" i="13"/>
  <c r="AN251" i="13" l="1"/>
  <c r="AP251" i="13"/>
  <c r="AQ251" i="13" s="1"/>
  <c r="AR251" i="13" s="1"/>
  <c r="AL251" i="13"/>
  <c r="AM251" i="13" s="1"/>
  <c r="AK252" i="13"/>
  <c r="AL252" i="13" l="1"/>
  <c r="AM252" i="13" s="1"/>
  <c r="AK253" i="13"/>
  <c r="AN252" i="13"/>
  <c r="AP252" i="13"/>
  <c r="AQ252" i="13" s="1"/>
  <c r="AR252" i="13" s="1"/>
  <c r="AL253" i="13" l="1"/>
  <c r="AM253" i="13" s="1"/>
  <c r="AN253" i="13"/>
  <c r="AK254" i="13"/>
  <c r="AP253" i="13"/>
  <c r="AQ253" i="13" s="1"/>
  <c r="AR253" i="13" s="1"/>
  <c r="AK255" i="13" l="1"/>
  <c r="AL254" i="13"/>
  <c r="AM254" i="13" s="1"/>
  <c r="AP254" i="13"/>
  <c r="AQ254" i="13" s="1"/>
  <c r="AR254" i="13" s="1"/>
  <c r="AN254" i="13"/>
  <c r="AN255" i="13" l="1"/>
  <c r="AP255" i="13"/>
  <c r="AQ255" i="13" s="1"/>
  <c r="AR255" i="13" s="1"/>
  <c r="AK256" i="13"/>
  <c r="AL255" i="13"/>
  <c r="AM255" i="13" s="1"/>
  <c r="AN256" i="13" l="1"/>
  <c r="AP256" i="13"/>
  <c r="AQ256" i="13" s="1"/>
  <c r="AR256" i="13" s="1"/>
  <c r="AL256" i="13"/>
  <c r="AM256" i="13" s="1"/>
  <c r="AK257" i="13"/>
  <c r="AN257" i="13" l="1"/>
  <c r="AK258" i="13"/>
  <c r="AL257" i="13"/>
  <c r="AM257" i="13" s="1"/>
  <c r="AP257" i="13"/>
  <c r="AQ257" i="13" s="1"/>
  <c r="AR257" i="13" s="1"/>
  <c r="AN258" i="13" l="1"/>
  <c r="AL258" i="13"/>
  <c r="AM258" i="13" s="1"/>
  <c r="AP258" i="13"/>
  <c r="AQ258" i="13" s="1"/>
  <c r="AR258" i="13" s="1"/>
  <c r="AK259" i="13"/>
  <c r="AL259" i="13" l="1"/>
  <c r="AM259" i="13" s="1"/>
  <c r="AN259" i="13"/>
  <c r="AP259" i="13"/>
  <c r="AQ259" i="13" s="1"/>
  <c r="AR259" i="13" s="1"/>
  <c r="AK260" i="13"/>
  <c r="AL260" i="13" l="1"/>
  <c r="AM260" i="13" s="1"/>
  <c r="AP260" i="13"/>
  <c r="AQ260" i="13" s="1"/>
  <c r="AR260" i="13" s="1"/>
  <c r="AK261" i="13"/>
  <c r="AN260" i="13"/>
  <c r="AK262" i="13" l="1"/>
  <c r="AL261" i="13"/>
  <c r="AM261" i="13" s="1"/>
  <c r="AN261" i="13"/>
  <c r="AP261" i="13"/>
  <c r="AQ261" i="13" s="1"/>
  <c r="AR261" i="13" s="1"/>
  <c r="AL262" i="13" l="1"/>
  <c r="AM262" i="13" s="1"/>
  <c r="AP262" i="13"/>
  <c r="AQ262" i="13" s="1"/>
  <c r="AR262" i="13" s="1"/>
  <c r="AN262" i="13"/>
  <c r="AK263" i="13"/>
  <c r="AL263" i="13" l="1"/>
  <c r="AM263" i="13" s="1"/>
  <c r="AK264" i="13"/>
  <c r="AN263" i="13"/>
  <c r="AP263" i="13"/>
  <c r="AQ263" i="13" s="1"/>
  <c r="AR263" i="13" s="1"/>
  <c r="AK265" i="13" l="1"/>
  <c r="AL264" i="13"/>
  <c r="AM264" i="13" s="1"/>
  <c r="AP264" i="13"/>
  <c r="AQ264" i="13" s="1"/>
  <c r="AR264" i="13" s="1"/>
  <c r="AN264" i="13"/>
  <c r="AK266" i="13" l="1"/>
  <c r="AN265" i="13"/>
  <c r="AL265" i="13"/>
  <c r="AM265" i="13" s="1"/>
  <c r="AP265" i="13"/>
  <c r="AQ265" i="13" s="1"/>
  <c r="AR265" i="13" s="1"/>
  <c r="AL266" i="13" l="1"/>
  <c r="AM266" i="13" s="1"/>
  <c r="AP266" i="13"/>
  <c r="AQ266" i="13" s="1"/>
  <c r="AR266" i="13" s="1"/>
  <c r="AN266" i="13"/>
  <c r="AK267" i="13"/>
  <c r="AP267" i="13" l="1"/>
  <c r="AQ267" i="13" s="1"/>
  <c r="AL267" i="13"/>
  <c r="AM267" i="13" s="1"/>
  <c r="AK268" i="13"/>
  <c r="AN267" i="13"/>
  <c r="AR267" i="13"/>
  <c r="AK269" i="13" l="1"/>
  <c r="AN268" i="13"/>
  <c r="AP268" i="13"/>
  <c r="AQ268" i="13" s="1"/>
  <c r="AL268" i="13"/>
  <c r="AM268" i="13" s="1"/>
  <c r="AR268" i="13"/>
  <c r="AK270" i="13" l="1"/>
  <c r="AL269" i="13"/>
  <c r="AM269" i="13" s="1"/>
  <c r="AN269" i="13"/>
  <c r="AP269" i="13"/>
  <c r="AQ269" i="13" s="1"/>
  <c r="AR269" i="13"/>
  <c r="AL270" i="13" l="1"/>
  <c r="AM270" i="13" s="1"/>
  <c r="AK271" i="13"/>
  <c r="AN270" i="13"/>
  <c r="AP270" i="13"/>
  <c r="AQ270" i="13" s="1"/>
  <c r="AR270" i="13" s="1"/>
  <c r="AL271" i="13" l="1"/>
  <c r="AM271" i="13" s="1"/>
  <c r="AK272" i="13"/>
  <c r="AP271" i="13"/>
  <c r="AQ271" i="13" s="1"/>
  <c r="AR271" i="13" s="1"/>
  <c r="AN271" i="13"/>
  <c r="AN272" i="13" l="1"/>
  <c r="AP272" i="13"/>
  <c r="AQ272" i="13" s="1"/>
  <c r="AR272" i="13" s="1"/>
  <c r="AK273" i="13"/>
  <c r="AL272" i="13"/>
  <c r="AM272" i="13" s="1"/>
  <c r="AK274" i="13" l="1"/>
  <c r="AN273" i="13"/>
  <c r="AL273" i="13"/>
  <c r="AM273" i="13" s="1"/>
  <c r="AP273" i="13"/>
  <c r="AQ273" i="13" s="1"/>
  <c r="AR273" i="13"/>
  <c r="AK275" i="13" l="1"/>
  <c r="AP274" i="13"/>
  <c r="AQ274" i="13" s="1"/>
  <c r="AR274" i="13"/>
  <c r="AN274" i="13"/>
  <c r="AL274" i="13"/>
  <c r="AM274" i="13" s="1"/>
  <c r="AP275" i="13" l="1"/>
  <c r="AQ275" i="13" s="1"/>
  <c r="AR275" i="13" s="1"/>
  <c r="AL275" i="13"/>
  <c r="AM275" i="13" s="1"/>
  <c r="AK276" i="13"/>
  <c r="AN275" i="13"/>
  <c r="AL276" i="13" l="1"/>
  <c r="AM276" i="13" s="1"/>
  <c r="AK277" i="13"/>
  <c r="AN276" i="13"/>
  <c r="AP276" i="13"/>
  <c r="AQ276" i="13" s="1"/>
  <c r="AR276" i="13" s="1"/>
  <c r="AN277" i="13" l="1"/>
  <c r="AK278" i="13"/>
  <c r="AL277" i="13"/>
  <c r="AM277" i="13" s="1"/>
  <c r="AP277" i="13"/>
  <c r="AQ277" i="13" s="1"/>
  <c r="AR277" i="13" s="1"/>
  <c r="AN278" i="13" l="1"/>
  <c r="AK279" i="13"/>
  <c r="AL278" i="13"/>
  <c r="AM278" i="13" s="1"/>
  <c r="AP278" i="13"/>
  <c r="AQ278" i="13" s="1"/>
  <c r="AR278" i="13" s="1"/>
  <c r="AL279" i="13" l="1"/>
  <c r="AM279" i="13" s="1"/>
  <c r="AN279" i="13"/>
  <c r="AP279" i="13"/>
  <c r="AQ279" i="13" s="1"/>
  <c r="AR279" i="13" s="1"/>
  <c r="AK280" i="13"/>
  <c r="AL280" i="13" l="1"/>
  <c r="AM280" i="13" s="1"/>
  <c r="AP280" i="13"/>
  <c r="AQ280" i="13" s="1"/>
  <c r="AR280" i="13" s="1"/>
  <c r="AK281" i="13"/>
  <c r="AN280" i="13"/>
  <c r="AL281" i="13" l="1"/>
  <c r="AM281" i="13" s="1"/>
  <c r="AP281" i="13"/>
  <c r="AQ281" i="13" s="1"/>
  <c r="AR281" i="13" s="1"/>
  <c r="AK282" i="13"/>
  <c r="AN281" i="13"/>
  <c r="AN282" i="13" l="1"/>
  <c r="AK283" i="13"/>
  <c r="AP282" i="13"/>
  <c r="AQ282" i="13" s="1"/>
  <c r="AR282" i="13" s="1"/>
  <c r="AL282" i="13"/>
  <c r="AM282" i="13" s="1"/>
  <c r="AP283" i="13" l="1"/>
  <c r="AQ283" i="13" s="1"/>
  <c r="AR283" i="13" s="1"/>
  <c r="AL283" i="13"/>
  <c r="AM283" i="13" s="1"/>
  <c r="AK284" i="13"/>
  <c r="AN283" i="13"/>
  <c r="AK285" i="13" l="1"/>
  <c r="AL284" i="13"/>
  <c r="AM284" i="13" s="1"/>
  <c r="AN284" i="13"/>
  <c r="AP284" i="13"/>
  <c r="AQ284" i="13" s="1"/>
  <c r="AR284" i="13" s="1"/>
  <c r="AL285" i="13" l="1"/>
  <c r="AM285" i="13" s="1"/>
  <c r="AP285" i="13"/>
  <c r="AQ285" i="13" s="1"/>
  <c r="AR285" i="13" s="1"/>
  <c r="AK286" i="13"/>
  <c r="AN285" i="13"/>
  <c r="AL286" i="13" l="1"/>
  <c r="AM286" i="13" s="1"/>
  <c r="AN286" i="13"/>
  <c r="AK287" i="13"/>
  <c r="AP286" i="13"/>
  <c r="AQ286" i="13" s="1"/>
  <c r="AR286" i="13"/>
  <c r="AP287" i="13" l="1"/>
  <c r="AQ287" i="13" s="1"/>
  <c r="AR287" i="13" s="1"/>
  <c r="AL287" i="13"/>
  <c r="AM287" i="13" s="1"/>
  <c r="AK288" i="13"/>
  <c r="AN287" i="13"/>
  <c r="AP288" i="13" l="1"/>
  <c r="AQ288" i="13" s="1"/>
  <c r="AR288" i="13" s="1"/>
  <c r="AL288" i="13"/>
  <c r="AM288" i="13" s="1"/>
  <c r="AN288" i="13"/>
  <c r="AK289" i="13"/>
  <c r="AP289" i="13" l="1"/>
  <c r="AQ289" i="13" s="1"/>
  <c r="AR289" i="13" s="1"/>
  <c r="AK290" i="13"/>
  <c r="AN289" i="13"/>
  <c r="AL289" i="13"/>
  <c r="AM289" i="13" s="1"/>
  <c r="AL290" i="13" l="1"/>
  <c r="AM290" i="13" s="1"/>
  <c r="AK291" i="13"/>
  <c r="AN290" i="13"/>
  <c r="AP290" i="13"/>
  <c r="AQ290" i="13" s="1"/>
  <c r="AR290" i="13" s="1"/>
  <c r="AP291" i="13" l="1"/>
  <c r="AQ291" i="13" s="1"/>
  <c r="AR291" i="13" s="1"/>
  <c r="AN291" i="13"/>
  <c r="AL291" i="13"/>
  <c r="AM291" i="13" s="1"/>
  <c r="AK292" i="13"/>
  <c r="AN292" i="13" l="1"/>
  <c r="AP292" i="13"/>
  <c r="AQ292" i="13" s="1"/>
  <c r="AR292" i="13" s="1"/>
  <c r="AK293" i="13"/>
  <c r="AL292" i="13"/>
  <c r="AM292" i="13" s="1"/>
  <c r="AL293" i="13" l="1"/>
  <c r="AM293" i="13" s="1"/>
  <c r="AK294" i="13"/>
  <c r="AN293" i="13"/>
  <c r="AP293" i="13"/>
  <c r="AQ293" i="13" s="1"/>
  <c r="AR293" i="13" s="1"/>
  <c r="AN294" i="13" l="1"/>
  <c r="AL294" i="13"/>
  <c r="AM294" i="13" s="1"/>
  <c r="AK295" i="13"/>
  <c r="AP294" i="13"/>
  <c r="AQ294" i="13" s="1"/>
  <c r="AR294" i="13" s="1"/>
  <c r="AP295" i="13" l="1"/>
  <c r="AQ295" i="13" s="1"/>
  <c r="AR295" i="13" s="1"/>
  <c r="AL295" i="13"/>
  <c r="AM295" i="13" s="1"/>
  <c r="AK296" i="13"/>
  <c r="AN295" i="13"/>
  <c r="AL296" i="13" l="1"/>
  <c r="AM296" i="13" s="1"/>
  <c r="AK297" i="13"/>
  <c r="AN296" i="13"/>
  <c r="AP296" i="13"/>
  <c r="AQ296" i="13" s="1"/>
  <c r="AR296" i="13" s="1"/>
  <c r="AP297" i="13" l="1"/>
  <c r="AQ297" i="13" s="1"/>
  <c r="AR297" i="13" s="1"/>
  <c r="AL297" i="13"/>
  <c r="AM297" i="13" s="1"/>
  <c r="AN297" i="13"/>
  <c r="AK298" i="13"/>
  <c r="AL298" i="13" l="1"/>
  <c r="AM298" i="13" s="1"/>
  <c r="AN298" i="13"/>
  <c r="AK299" i="13"/>
  <c r="AP298" i="13"/>
  <c r="AQ298" i="13" s="1"/>
  <c r="AR298" i="13" s="1"/>
  <c r="AL299" i="13" l="1"/>
  <c r="AM299" i="13" s="1"/>
  <c r="AK300" i="13"/>
  <c r="AP299" i="13"/>
  <c r="AQ299" i="13" s="1"/>
  <c r="AR299" i="13" s="1"/>
  <c r="AN299" i="13"/>
  <c r="AK301" i="13" l="1"/>
  <c r="AL300" i="13"/>
  <c r="AM300" i="13" s="1"/>
  <c r="AP300" i="13"/>
  <c r="AQ300" i="13" s="1"/>
  <c r="AR300" i="13" s="1"/>
  <c r="AN300" i="13"/>
  <c r="AN301" i="13" l="1"/>
  <c r="AK302" i="13"/>
  <c r="AL301" i="13"/>
  <c r="AM301" i="13" s="1"/>
  <c r="AP301" i="13"/>
  <c r="AQ301" i="13" s="1"/>
  <c r="AR301" i="13" s="1"/>
  <c r="AN302" i="13" l="1"/>
  <c r="AP302" i="13"/>
  <c r="AQ302" i="13" s="1"/>
  <c r="AR302" i="13" s="1"/>
  <c r="AL302" i="13"/>
  <c r="AM302" i="13" s="1"/>
  <c r="AK303" i="13"/>
  <c r="AK304" i="13" l="1"/>
  <c r="AP303" i="13"/>
  <c r="AQ303" i="13" s="1"/>
  <c r="AR303" i="13" s="1"/>
  <c r="AL303" i="13"/>
  <c r="AM303" i="13" s="1"/>
  <c r="AN303" i="13"/>
  <c r="AP304" i="13" l="1"/>
  <c r="AQ304" i="13" s="1"/>
  <c r="AR304" i="13" s="1"/>
  <c r="AL304" i="13"/>
  <c r="AM304" i="13" s="1"/>
  <c r="AK305" i="13"/>
  <c r="AN304" i="13"/>
  <c r="AK306" i="13" l="1"/>
  <c r="AN305" i="13"/>
  <c r="AL305" i="13"/>
  <c r="AM305" i="13" s="1"/>
  <c r="AP305" i="13"/>
  <c r="AQ305" i="13" s="1"/>
  <c r="AR305" i="13" s="1"/>
  <c r="AN306" i="13" l="1"/>
  <c r="AK307" i="13"/>
  <c r="AL306" i="13"/>
  <c r="AM306" i="13" s="1"/>
  <c r="AP306" i="13"/>
  <c r="AQ306" i="13" s="1"/>
  <c r="AR306" i="13" s="1"/>
  <c r="AN307" i="13" l="1"/>
  <c r="AP307" i="13"/>
  <c r="AQ307" i="13" s="1"/>
  <c r="AR307" i="13" s="1"/>
  <c r="AL307" i="13"/>
  <c r="AM307" i="13" s="1"/>
  <c r="AK308" i="13"/>
  <c r="AK309" i="13" l="1"/>
  <c r="AN308" i="13"/>
  <c r="AP308" i="13"/>
  <c r="AQ308" i="13" s="1"/>
  <c r="AR308" i="13" s="1"/>
  <c r="AL308" i="13"/>
  <c r="AM308" i="13" s="1"/>
  <c r="AN309" i="13" l="1"/>
  <c r="AK310" i="13"/>
  <c r="AP309" i="13"/>
  <c r="AQ309" i="13" s="1"/>
  <c r="AR309" i="13" s="1"/>
  <c r="AL309" i="13"/>
  <c r="AM309" i="13" s="1"/>
  <c r="AP310" i="13" l="1"/>
  <c r="AQ310" i="13" s="1"/>
  <c r="AR310" i="13" s="1"/>
  <c r="AN310" i="13"/>
  <c r="AK311" i="13"/>
  <c r="AL310" i="13"/>
  <c r="AM310" i="13" s="1"/>
  <c r="AP311" i="13" l="1"/>
  <c r="AQ311" i="13" s="1"/>
  <c r="AR311" i="13" s="1"/>
  <c r="AL311" i="13"/>
  <c r="AM311" i="13" s="1"/>
  <c r="AN311" i="13"/>
  <c r="AK312" i="13"/>
  <c r="AL312" i="13" l="1"/>
  <c r="AM312" i="13" s="1"/>
  <c r="AP312" i="13"/>
  <c r="AQ312" i="13" s="1"/>
  <c r="AR312" i="13" s="1"/>
  <c r="AN312" i="13"/>
  <c r="AK313" i="13"/>
  <c r="AK314" i="13" l="1"/>
  <c r="AN313" i="13"/>
  <c r="AP313" i="13"/>
  <c r="AQ313" i="13" s="1"/>
  <c r="AR313" i="13" s="1"/>
  <c r="AL313" i="13"/>
  <c r="AM313" i="13" s="1"/>
  <c r="AL314" i="13" l="1"/>
  <c r="AM314" i="13" s="1"/>
  <c r="AN314" i="13"/>
  <c r="AK315" i="13"/>
  <c r="AP314" i="13"/>
  <c r="AQ314" i="13" s="1"/>
  <c r="AR314" i="13" s="1"/>
  <c r="AP315" i="13" l="1"/>
  <c r="AQ315" i="13" s="1"/>
  <c r="AR315" i="13" s="1"/>
  <c r="AL315" i="13"/>
  <c r="AM315" i="13" s="1"/>
  <c r="AK316" i="13"/>
  <c r="AN315" i="13"/>
  <c r="AN316" i="13" l="1"/>
  <c r="AP316" i="13"/>
  <c r="AQ316" i="13" s="1"/>
  <c r="AR316" i="13" s="1"/>
  <c r="AL316" i="13"/>
  <c r="AM316" i="13" s="1"/>
  <c r="AK317" i="13"/>
  <c r="AN317" i="13" l="1"/>
  <c r="AP317" i="13"/>
  <c r="AQ317" i="13" s="1"/>
  <c r="AR317" i="13" s="1"/>
  <c r="AL317" i="13"/>
  <c r="AM317" i="13" s="1"/>
  <c r="AK318" i="13"/>
  <c r="AN318" i="13" l="1"/>
  <c r="AK319" i="13"/>
  <c r="AP318" i="13"/>
  <c r="AQ318" i="13" s="1"/>
  <c r="AR318" i="13" s="1"/>
  <c r="AL318" i="13"/>
  <c r="AM318" i="13" s="1"/>
  <c r="AP319" i="13" l="1"/>
  <c r="AQ319" i="13" s="1"/>
  <c r="AR319" i="13" s="1"/>
  <c r="AL319" i="13"/>
  <c r="AM319" i="13" s="1"/>
  <c r="AN319" i="13"/>
  <c r="AK320" i="13"/>
  <c r="AL320" i="13" l="1"/>
  <c r="AM320" i="13" s="1"/>
  <c r="AK321" i="13"/>
  <c r="AP320" i="13"/>
  <c r="AQ320" i="13" s="1"/>
  <c r="AR320" i="13" s="1"/>
  <c r="AN320" i="13"/>
  <c r="AN321" i="13" l="1"/>
  <c r="AP321" i="13"/>
  <c r="AQ321" i="13" s="1"/>
  <c r="AR321" i="13" s="1"/>
  <c r="AL321" i="13"/>
  <c r="AM321" i="13" s="1"/>
  <c r="AK322" i="13"/>
  <c r="AL322" i="13" l="1"/>
  <c r="AM322" i="13" s="1"/>
  <c r="AN322" i="13"/>
  <c r="AK323" i="13"/>
  <c r="AP322" i="13"/>
  <c r="AQ322" i="13" s="1"/>
  <c r="AR322" i="13" s="1"/>
  <c r="AP323" i="13" l="1"/>
  <c r="AQ323" i="13" s="1"/>
  <c r="AR323" i="13" s="1"/>
  <c r="AK324" i="13"/>
  <c r="AL323" i="13"/>
  <c r="AM323" i="13" s="1"/>
  <c r="AN323" i="13"/>
  <c r="AL324" i="13" l="1"/>
  <c r="AM324" i="13" s="1"/>
  <c r="AN324" i="13"/>
  <c r="AP324" i="13"/>
  <c r="AQ324" i="13" s="1"/>
  <c r="AR324" i="13" s="1"/>
  <c r="AK325" i="13"/>
  <c r="AP325" i="13" l="1"/>
  <c r="AQ325" i="13" s="1"/>
  <c r="AR325" i="13" s="1"/>
  <c r="AL325" i="13"/>
  <c r="AM325" i="13" s="1"/>
  <c r="AK326" i="13"/>
  <c r="AN325" i="13"/>
  <c r="AK327" i="13" l="1"/>
  <c r="AN326" i="13"/>
  <c r="AL326" i="13"/>
  <c r="AM326" i="13" s="1"/>
  <c r="AP326" i="13"/>
  <c r="AQ326" i="13" s="1"/>
  <c r="AR326" i="13" s="1"/>
  <c r="AK328" i="13" l="1"/>
  <c r="AP327" i="13"/>
  <c r="AQ327" i="13" s="1"/>
  <c r="AR327" i="13" s="1"/>
  <c r="AL327" i="13"/>
  <c r="AM327" i="13" s="1"/>
  <c r="AN327" i="13"/>
  <c r="AK329" i="13" l="1"/>
  <c r="AN328" i="13"/>
  <c r="AP328" i="13"/>
  <c r="AQ328" i="13" s="1"/>
  <c r="AR328" i="13" s="1"/>
  <c r="AL328" i="13"/>
  <c r="AM328" i="13" s="1"/>
  <c r="AN329" i="13" l="1"/>
  <c r="AP329" i="13"/>
  <c r="AQ329" i="13" s="1"/>
  <c r="AR329" i="13" s="1"/>
  <c r="AK330" i="13"/>
  <c r="AL329" i="13"/>
  <c r="AM329" i="13" s="1"/>
  <c r="AL330" i="13" l="1"/>
  <c r="AM330" i="13" s="1"/>
  <c r="AN330" i="13"/>
  <c r="AK331" i="13"/>
  <c r="AP330" i="13"/>
  <c r="AQ330" i="13" s="1"/>
  <c r="AR330" i="13" s="1"/>
  <c r="AL331" i="13" l="1"/>
  <c r="AM331" i="13" s="1"/>
  <c r="AP331" i="13"/>
  <c r="AQ331" i="13" s="1"/>
  <c r="AR331" i="13" s="1"/>
  <c r="AN331" i="13"/>
  <c r="AK332" i="13"/>
  <c r="AL332" i="13" l="1"/>
  <c r="AM332" i="13" s="1"/>
  <c r="AK333" i="13"/>
  <c r="AP332" i="13"/>
  <c r="AQ332" i="13" s="1"/>
  <c r="AR332" i="13" s="1"/>
  <c r="AN332" i="13"/>
  <c r="AN333" i="13" l="1"/>
  <c r="AK334" i="13"/>
  <c r="AL333" i="13"/>
  <c r="AM333" i="13" s="1"/>
  <c r="AP333" i="13"/>
  <c r="AQ333" i="13" s="1"/>
  <c r="AR333" i="13" s="1"/>
  <c r="AL334" i="13" l="1"/>
  <c r="AM334" i="13" s="1"/>
  <c r="AK335" i="13"/>
  <c r="AP334" i="13"/>
  <c r="AQ334" i="13" s="1"/>
  <c r="AR334" i="13" s="1"/>
  <c r="AN334" i="13"/>
  <c r="AL335" i="13" l="1"/>
  <c r="AM335" i="13" s="1"/>
  <c r="AK336" i="13"/>
  <c r="AN335" i="13"/>
  <c r="AP335" i="13"/>
  <c r="AQ335" i="13" s="1"/>
  <c r="AR335" i="13" s="1"/>
  <c r="AP336" i="13" l="1"/>
  <c r="AQ336" i="13" s="1"/>
  <c r="AR336" i="13" s="1"/>
  <c r="AK337" i="13"/>
  <c r="AN336" i="13"/>
  <c r="AL336" i="13"/>
  <c r="AM336" i="13" s="1"/>
  <c r="AK338" i="13" l="1"/>
  <c r="AN337" i="13"/>
  <c r="AL337" i="13"/>
  <c r="AM337" i="13" s="1"/>
  <c r="AP337" i="13"/>
  <c r="AQ337" i="13" s="1"/>
  <c r="AR337" i="13" s="1"/>
  <c r="AK339" i="13" l="1"/>
  <c r="AL338" i="13"/>
  <c r="AM338" i="13" s="1"/>
  <c r="AN338" i="13"/>
  <c r="AP338" i="13"/>
  <c r="AQ338" i="13" s="1"/>
  <c r="AR338" i="13" s="1"/>
  <c r="AL339" i="13" l="1"/>
  <c r="AM339" i="13" s="1"/>
  <c r="AK340" i="13"/>
  <c r="AN339" i="13"/>
  <c r="AP339" i="13"/>
  <c r="AQ339" i="13" s="1"/>
  <c r="AR339" i="13" s="1"/>
  <c r="AP340" i="13" l="1"/>
  <c r="AQ340" i="13" s="1"/>
  <c r="AR340" i="13" s="1"/>
  <c r="AK341" i="13"/>
  <c r="AN340" i="13"/>
  <c r="AL340" i="13"/>
  <c r="AM340" i="13" s="1"/>
  <c r="AK342" i="13" l="1"/>
  <c r="AN341" i="13"/>
  <c r="AL341" i="13"/>
  <c r="AM341" i="13" s="1"/>
  <c r="AP341" i="13"/>
  <c r="AQ341" i="13" s="1"/>
  <c r="AR341" i="13" s="1"/>
  <c r="AL342" i="13" l="1"/>
  <c r="AM342" i="13" s="1"/>
  <c r="AN342" i="13"/>
  <c r="AP342" i="13"/>
  <c r="AQ342" i="13" s="1"/>
  <c r="AR342" i="13" s="1"/>
  <c r="AK343" i="13"/>
  <c r="AL343" i="13" l="1"/>
  <c r="AM343" i="13" s="1"/>
  <c r="AN343" i="13" s="1"/>
  <c r="AP343" i="13"/>
  <c r="AQ343" i="13" s="1"/>
  <c r="AR343" i="13" s="1"/>
  <c r="AK344" i="13"/>
  <c r="AL344" i="13" l="1"/>
  <c r="AM344" i="13" s="1"/>
  <c r="AN344" i="13" s="1"/>
  <c r="AK345" i="13"/>
  <c r="AP344" i="13"/>
  <c r="AQ344" i="13" s="1"/>
  <c r="AR344" i="13" s="1"/>
  <c r="AL345" i="13" l="1"/>
  <c r="AM345" i="13" s="1"/>
  <c r="AN345" i="13" s="1"/>
  <c r="AP345" i="13"/>
  <c r="AQ345" i="13" s="1"/>
  <c r="AR345" i="13" s="1"/>
  <c r="AK346" i="13"/>
  <c r="AP346" i="13" l="1"/>
  <c r="AQ346" i="13" s="1"/>
  <c r="AR346" i="13" s="1"/>
  <c r="AK347" i="13"/>
  <c r="AL346" i="13"/>
  <c r="AM346" i="13" s="1"/>
  <c r="AN346" i="13" s="1"/>
  <c r="AL347" i="13" l="1"/>
  <c r="AM347" i="13" s="1"/>
  <c r="AN347" i="13" s="1"/>
  <c r="AP347" i="13"/>
  <c r="AQ347" i="13" s="1"/>
  <c r="AR347" i="13" s="1"/>
  <c r="AK348" i="13"/>
  <c r="AL348" i="13" l="1"/>
  <c r="AM348" i="13" s="1"/>
  <c r="AN348" i="13" s="1"/>
  <c r="AK349" i="13"/>
  <c r="AP348" i="13"/>
  <c r="AQ348" i="13" s="1"/>
  <c r="AR348" i="13" s="1"/>
  <c r="AL349" i="13" l="1"/>
  <c r="AM349" i="13" s="1"/>
  <c r="AN349" i="13" s="1"/>
  <c r="AK350" i="13"/>
  <c r="AP349" i="13"/>
  <c r="AQ349" i="13" s="1"/>
  <c r="AR349" i="13" s="1"/>
  <c r="AP350" i="13" l="1"/>
  <c r="AQ350" i="13" s="1"/>
  <c r="AR350" i="13" s="1"/>
  <c r="AK351" i="13"/>
  <c r="AL350" i="13"/>
  <c r="AM350" i="13" s="1"/>
  <c r="AN350" i="13" s="1"/>
  <c r="AK352" i="13" l="1"/>
  <c r="AL351" i="13"/>
  <c r="AM351" i="13" s="1"/>
  <c r="AN351" i="13" s="1"/>
  <c r="AP351" i="13"/>
  <c r="AQ351" i="13" s="1"/>
  <c r="AR351" i="13" s="1"/>
  <c r="AK353" i="13" l="1"/>
  <c r="AL352" i="13"/>
  <c r="AM352" i="13" s="1"/>
  <c r="AN352" i="13" s="1"/>
  <c r="AP352" i="13"/>
  <c r="AQ352" i="13" s="1"/>
  <c r="AR352" i="13" s="1"/>
  <c r="AP353" i="13" l="1"/>
  <c r="AQ353" i="13" s="1"/>
  <c r="AR353" i="13" s="1"/>
  <c r="AL353" i="13"/>
  <c r="AM353" i="13" s="1"/>
  <c r="AN353" i="13" s="1"/>
  <c r="AK354" i="13"/>
  <c r="AL354" i="13" l="1"/>
  <c r="AM354" i="13" s="1"/>
  <c r="AN354" i="13" s="1"/>
  <c r="AK355" i="13"/>
  <c r="AP354" i="13"/>
  <c r="AQ354" i="13" s="1"/>
  <c r="AR354" i="13" s="1"/>
  <c r="AK356" i="13" l="1"/>
  <c r="AL355" i="13"/>
  <c r="AM355" i="13" s="1"/>
  <c r="AN355" i="13" s="1"/>
  <c r="AP355" i="13"/>
  <c r="AQ355" i="13" s="1"/>
  <c r="AR355" i="13" s="1"/>
  <c r="AK357" i="13" l="1"/>
  <c r="AP356" i="13"/>
  <c r="AQ356" i="13" s="1"/>
  <c r="AR356" i="13" s="1"/>
  <c r="AL356" i="13"/>
  <c r="AM356" i="13" s="1"/>
  <c r="AN356" i="13" s="1"/>
  <c r="AP357" i="13" l="1"/>
  <c r="AQ357" i="13" s="1"/>
  <c r="AR357" i="13" s="1"/>
  <c r="AL357" i="13"/>
  <c r="AM357" i="13" s="1"/>
  <c r="AN357" i="13" s="1"/>
  <c r="AK358" i="13"/>
  <c r="AK359" i="13" l="1"/>
  <c r="AL358" i="13"/>
  <c r="AM358" i="13" s="1"/>
  <c r="AN358" i="13" s="1"/>
  <c r="AP358" i="13"/>
  <c r="AQ358" i="13" s="1"/>
  <c r="AR358" i="13" s="1"/>
  <c r="AL359" i="13" l="1"/>
  <c r="AM359" i="13" s="1"/>
  <c r="AN359" i="13" s="1"/>
  <c r="AP359" i="13"/>
  <c r="AQ359" i="13" s="1"/>
  <c r="AR359" i="13" s="1"/>
  <c r="AK360" i="13"/>
  <c r="AP360" i="13" l="1"/>
  <c r="AQ360" i="13" s="1"/>
  <c r="AR360" i="13" s="1"/>
  <c r="AL360" i="13"/>
  <c r="AM360" i="13" s="1"/>
  <c r="AN360" i="13" s="1"/>
  <c r="AK361" i="13"/>
  <c r="AK362" i="13" l="1"/>
  <c r="AL361" i="13"/>
  <c r="AM361" i="13" s="1"/>
  <c r="AN361" i="13" s="1"/>
  <c r="AP361" i="13"/>
  <c r="AQ361" i="13" s="1"/>
  <c r="AR361" i="13" s="1"/>
  <c r="AK363" i="13" l="1"/>
  <c r="AL362" i="13"/>
  <c r="AM362" i="13" s="1"/>
  <c r="AN362" i="13" s="1"/>
  <c r="AP362" i="13"/>
  <c r="AQ362" i="13" s="1"/>
  <c r="AR362" i="13" s="1"/>
  <c r="AK364" i="13" l="1"/>
  <c r="AL363" i="13"/>
  <c r="AM363" i="13" s="1"/>
  <c r="AN363" i="13" s="1"/>
  <c r="AP363" i="13"/>
  <c r="AQ363" i="13" s="1"/>
  <c r="AR363" i="13" s="1"/>
  <c r="AP364" i="13" l="1"/>
  <c r="AQ364" i="13" s="1"/>
  <c r="AR364" i="13" s="1"/>
  <c r="AK365" i="13"/>
  <c r="AL364" i="13"/>
  <c r="AM364" i="13" s="1"/>
  <c r="AN364" i="13" s="1"/>
  <c r="AP365" i="13" l="1"/>
  <c r="AQ365" i="13" s="1"/>
  <c r="AR365" i="13" s="1"/>
  <c r="AK366" i="13"/>
  <c r="AL365" i="13"/>
  <c r="AM365" i="13" s="1"/>
  <c r="AN365" i="13" s="1"/>
  <c r="AL366" i="13" l="1"/>
  <c r="AM366" i="13" s="1"/>
  <c r="AN366" i="13" s="1"/>
  <c r="AP366" i="13"/>
  <c r="AQ366" i="13" s="1"/>
  <c r="AR366" i="13" s="1"/>
  <c r="AK367" i="13"/>
  <c r="AL367" i="13" l="1"/>
  <c r="AM367" i="13" s="1"/>
  <c r="AN367" i="13" s="1"/>
  <c r="AP367" i="13"/>
  <c r="AQ367" i="13" s="1"/>
  <c r="AR367" i="13" s="1"/>
  <c r="AK368" i="13"/>
  <c r="AK369" i="13" l="1"/>
  <c r="AL368" i="13"/>
  <c r="AM368" i="13" s="1"/>
  <c r="AN368" i="13" s="1"/>
  <c r="AP368" i="13"/>
  <c r="AQ368" i="13" s="1"/>
  <c r="AR368" i="13" s="1"/>
  <c r="AK370" i="13" l="1"/>
  <c r="AL369" i="13"/>
  <c r="AM369" i="13" s="1"/>
  <c r="AN369" i="13" s="1"/>
  <c r="AP369" i="13"/>
  <c r="AQ369" i="13" s="1"/>
  <c r="AR369" i="13" s="1"/>
  <c r="AP370" i="13" l="1"/>
  <c r="AQ370" i="13" s="1"/>
  <c r="AR370" i="13" s="1"/>
  <c r="AK371" i="13"/>
  <c r="AL370" i="13"/>
  <c r="AM370" i="13" s="1"/>
  <c r="AN370" i="13" s="1"/>
  <c r="AL371" i="13" l="1"/>
  <c r="AM371" i="13" s="1"/>
  <c r="AN371" i="13" s="1"/>
  <c r="AP371" i="13"/>
  <c r="AQ371" i="13" s="1"/>
  <c r="AR371" i="13" s="1"/>
  <c r="AK372" i="13"/>
  <c r="AL372" i="13" l="1"/>
  <c r="AM372" i="13" s="1"/>
  <c r="AN372" i="13" s="1"/>
  <c r="AK373" i="13"/>
  <c r="AP372" i="13"/>
  <c r="AQ372" i="13" s="1"/>
  <c r="AR372" i="13" s="1"/>
  <c r="AP373" i="13" l="1"/>
  <c r="AQ373" i="13" s="1"/>
  <c r="AR373" i="13" s="1"/>
  <c r="AL373" i="13"/>
  <c r="AM373" i="13" s="1"/>
  <c r="AN373" i="13" s="1"/>
  <c r="AK374" i="13"/>
  <c r="AL374" i="13" l="1"/>
  <c r="AM374" i="13" s="1"/>
  <c r="AN374" i="13" s="1"/>
  <c r="AK375" i="13"/>
  <c r="AP374" i="13"/>
  <c r="AQ374" i="13" s="1"/>
  <c r="AR374" i="13" s="1"/>
  <c r="AL375" i="13" l="1"/>
  <c r="AM375" i="13" s="1"/>
  <c r="AN375" i="13" s="1"/>
  <c r="AK376" i="13"/>
  <c r="AP375" i="13"/>
  <c r="AQ375" i="13" s="1"/>
  <c r="AR375" i="13" s="1"/>
  <c r="AP376" i="13" l="1"/>
  <c r="AQ376" i="13" s="1"/>
  <c r="AR376" i="13" s="1"/>
  <c r="AL376" i="13"/>
  <c r="AM376" i="13" s="1"/>
  <c r="AN376" i="13" s="1"/>
  <c r="AK377" i="13"/>
  <c r="AL377" i="13" l="1"/>
  <c r="AM377" i="13" s="1"/>
  <c r="AN377" i="13" s="1"/>
  <c r="AP377" i="13"/>
  <c r="AQ377" i="13" s="1"/>
  <c r="AR377" i="13" s="1"/>
  <c r="AK378" i="13"/>
  <c r="AL378" i="13" l="1"/>
  <c r="AM378" i="13" s="1"/>
  <c r="AN378" i="13" s="1"/>
  <c r="AK379" i="13"/>
  <c r="AP378" i="13"/>
  <c r="AQ378" i="13" s="1"/>
  <c r="AR378" i="13" s="1"/>
  <c r="AP379" i="13" l="1"/>
  <c r="AQ379" i="13" s="1"/>
  <c r="AR379" i="13" s="1"/>
  <c r="AK380" i="13"/>
  <c r="AL379" i="13"/>
  <c r="AM379" i="13" s="1"/>
  <c r="AN379" i="13" s="1"/>
  <c r="AK381" i="13" l="1"/>
  <c r="AL380" i="13"/>
  <c r="AM380" i="13" s="1"/>
  <c r="AN380" i="13" s="1"/>
  <c r="AP380" i="13"/>
  <c r="AQ380" i="13" s="1"/>
  <c r="AR380" i="13" s="1"/>
  <c r="AK382" i="13" l="1"/>
  <c r="AL381" i="13"/>
  <c r="AM381" i="13" s="1"/>
  <c r="AN381" i="13" s="1"/>
  <c r="AP381" i="13"/>
  <c r="AQ381" i="13" s="1"/>
  <c r="AR381" i="13" s="1"/>
  <c r="AK383" i="13" l="1"/>
  <c r="AL382" i="13"/>
  <c r="AM382" i="13" s="1"/>
  <c r="AN382" i="13" s="1"/>
  <c r="AP382" i="13"/>
  <c r="AQ382" i="13" s="1"/>
  <c r="AR382" i="13" s="1"/>
  <c r="AK384" i="13" l="1"/>
  <c r="AL383" i="13"/>
  <c r="AM383" i="13" s="1"/>
  <c r="AN383" i="13" s="1"/>
  <c r="AP383" i="13"/>
  <c r="AQ383" i="13" s="1"/>
  <c r="AR383" i="13" s="1"/>
  <c r="AL384" i="13" l="1"/>
  <c r="AM384" i="13" s="1"/>
  <c r="AN384" i="13" s="1"/>
  <c r="AP384" i="13"/>
  <c r="AQ384" i="13" s="1"/>
  <c r="AR384" i="13" s="1"/>
  <c r="AK385" i="13"/>
  <c r="AK386" i="13" l="1"/>
  <c r="AL385" i="13"/>
  <c r="AM385" i="13" s="1"/>
  <c r="AN385" i="13" s="1"/>
  <c r="AP385" i="13"/>
  <c r="AQ385" i="13" s="1"/>
  <c r="AR385" i="13" s="1"/>
  <c r="AP386" i="13" l="1"/>
  <c r="AQ386" i="13" s="1"/>
  <c r="AR386" i="13" s="1"/>
  <c r="AK387" i="13"/>
  <c r="AL386" i="13"/>
  <c r="AM386" i="13" s="1"/>
  <c r="AN386" i="13" s="1"/>
  <c r="AK388" i="13" l="1"/>
  <c r="AL387" i="13"/>
  <c r="AM387" i="13" s="1"/>
  <c r="AN387" i="13" s="1"/>
  <c r="AP387" i="13"/>
  <c r="AQ387" i="13" s="1"/>
  <c r="AR387" i="13" s="1"/>
  <c r="AK389" i="13" l="1"/>
  <c r="AP388" i="13"/>
  <c r="AQ388" i="13" s="1"/>
  <c r="AR388" i="13" s="1"/>
  <c r="AL388" i="13"/>
  <c r="AM388" i="13" s="1"/>
  <c r="AN388" i="13" s="1"/>
  <c r="AL389" i="13" l="1"/>
  <c r="AM389" i="13" s="1"/>
  <c r="AN389" i="13" s="1"/>
  <c r="AK390" i="13"/>
  <c r="AP389" i="13"/>
  <c r="AQ389" i="13" s="1"/>
  <c r="AR389" i="13" s="1"/>
  <c r="AL390" i="13" l="1"/>
  <c r="AM390" i="13" s="1"/>
  <c r="AN390" i="13" s="1"/>
  <c r="AK391" i="13"/>
  <c r="AP390" i="13"/>
  <c r="AQ390" i="13" s="1"/>
  <c r="AR390" i="13" s="1"/>
  <c r="AP391" i="13" l="1"/>
  <c r="AQ391" i="13" s="1"/>
  <c r="AR391" i="13" s="1"/>
  <c r="AL391" i="13"/>
  <c r="AM391" i="13" s="1"/>
  <c r="AN391" i="13" s="1"/>
  <c r="AK392" i="13"/>
  <c r="AK393" i="13" l="1"/>
  <c r="AP392" i="13"/>
  <c r="AQ392" i="13" s="1"/>
  <c r="AR392" i="13" s="1"/>
  <c r="AL392" i="13"/>
  <c r="AM392" i="13" s="1"/>
  <c r="AN392" i="13" s="1"/>
  <c r="AK394" i="13" l="1"/>
  <c r="AP393" i="13"/>
  <c r="AQ393" i="13" s="1"/>
  <c r="AR393" i="13" s="1"/>
  <c r="AL393" i="13"/>
  <c r="AM393" i="13" s="1"/>
  <c r="AN393" i="13" s="1"/>
  <c r="AK395" i="13" l="1"/>
  <c r="AL394" i="13"/>
  <c r="AM394" i="13" s="1"/>
  <c r="AN394" i="13" s="1"/>
  <c r="AP394" i="13"/>
  <c r="AQ394" i="13" s="1"/>
  <c r="AR394" i="13" s="1"/>
  <c r="AL395" i="13" l="1"/>
  <c r="AM395" i="13" s="1"/>
  <c r="AK396" i="13"/>
  <c r="AP395" i="13"/>
  <c r="AQ395" i="13" s="1"/>
  <c r="AR395" i="13" s="1"/>
  <c r="AN395" i="13"/>
  <c r="AL396" i="13" l="1"/>
  <c r="AM396" i="13" s="1"/>
  <c r="AN396" i="13" s="1"/>
  <c r="AK397" i="13"/>
  <c r="AP396" i="13"/>
  <c r="AQ396" i="13" s="1"/>
  <c r="AR396" i="13" s="1"/>
  <c r="AK398" i="13" l="1"/>
  <c r="AL397" i="13"/>
  <c r="AM397" i="13" s="1"/>
  <c r="AN397" i="13" s="1"/>
  <c r="AP397" i="13"/>
  <c r="AQ397" i="13" s="1"/>
  <c r="AR397" i="13" s="1"/>
  <c r="AP398" i="13" l="1"/>
  <c r="AQ398" i="13" s="1"/>
  <c r="AR398" i="13" s="1"/>
  <c r="AL398" i="13"/>
  <c r="AM398" i="13" s="1"/>
  <c r="AN398" i="13" s="1"/>
  <c r="AK399" i="13"/>
  <c r="AL399" i="13" l="1"/>
  <c r="AM399" i="13" s="1"/>
  <c r="AN399" i="13" s="1"/>
  <c r="AP399" i="13"/>
  <c r="AQ399" i="13" s="1"/>
  <c r="AR399" i="13" s="1"/>
  <c r="AK400" i="13"/>
  <c r="AP400" i="13" l="1"/>
  <c r="AQ400" i="13" s="1"/>
  <c r="AR400" i="13" s="1"/>
  <c r="AL400" i="13"/>
  <c r="AM400" i="13" s="1"/>
  <c r="AN400" i="13" s="1"/>
  <c r="AK401" i="13"/>
  <c r="AP401" i="13" l="1"/>
  <c r="AQ401" i="13" s="1"/>
  <c r="AR401" i="13" s="1"/>
  <c r="AL401" i="13"/>
  <c r="AM401" i="13" s="1"/>
  <c r="AN401" i="13" s="1"/>
  <c r="AK402" i="13"/>
  <c r="AK403" i="13" l="1"/>
  <c r="AL402" i="13"/>
  <c r="AM402" i="13" s="1"/>
  <c r="AN402" i="13" s="1"/>
  <c r="AP402" i="13"/>
  <c r="AQ402" i="13" s="1"/>
  <c r="AR402" i="13" s="1"/>
  <c r="AP403" i="13" l="1"/>
  <c r="AQ403" i="13" s="1"/>
  <c r="AR403" i="13" s="1"/>
  <c r="AK404" i="13"/>
  <c r="AL403" i="13"/>
  <c r="AM403" i="13" s="1"/>
  <c r="AN403" i="13" s="1"/>
  <c r="AP404" i="13" l="1"/>
  <c r="AQ404" i="13" s="1"/>
  <c r="AR404" i="13" s="1"/>
  <c r="AL404" i="13"/>
  <c r="AM404" i="13" s="1"/>
  <c r="AN404" i="13" s="1"/>
  <c r="AK405" i="13"/>
  <c r="AP405" i="13" l="1"/>
  <c r="AQ405" i="13" s="1"/>
  <c r="AR405" i="13" s="1"/>
  <c r="AK406" i="13"/>
  <c r="AL405" i="13"/>
  <c r="AM405" i="13" s="1"/>
  <c r="AN405" i="13" s="1"/>
  <c r="AP406" i="13" l="1"/>
  <c r="AQ406" i="13" s="1"/>
  <c r="AR406" i="13" s="1"/>
  <c r="AK407" i="13"/>
  <c r="AL406" i="13"/>
  <c r="AM406" i="13" s="1"/>
  <c r="AN406" i="13" s="1"/>
  <c r="AK408" i="13" l="1"/>
  <c r="AL407" i="13"/>
  <c r="AM407" i="13" s="1"/>
  <c r="AP407" i="13"/>
  <c r="AQ407" i="13" s="1"/>
  <c r="AR407" i="13" s="1"/>
  <c r="AN407" i="13"/>
  <c r="AK409" i="13" l="1"/>
  <c r="AP408" i="13"/>
  <c r="AQ408" i="13" s="1"/>
  <c r="AR408" i="13" s="1"/>
  <c r="AL408" i="13"/>
  <c r="AM408" i="13" s="1"/>
  <c r="AN408" i="13" s="1"/>
  <c r="AK410" i="13" l="1"/>
  <c r="AL409" i="13"/>
  <c r="AM409" i="13" s="1"/>
  <c r="AN409" i="13" s="1"/>
  <c r="AP409" i="13"/>
  <c r="AQ409" i="13" s="1"/>
  <c r="AR409" i="13" s="1"/>
  <c r="AL410" i="13" l="1"/>
  <c r="AM410" i="13" s="1"/>
  <c r="AN410" i="13" s="1"/>
  <c r="AP410" i="13"/>
  <c r="AQ410" i="13" s="1"/>
  <c r="AR410" i="13" s="1"/>
  <c r="AK411" i="13"/>
  <c r="AK412" i="13" l="1"/>
  <c r="AP411" i="13"/>
  <c r="AQ411" i="13" s="1"/>
  <c r="AR411" i="13" s="1"/>
  <c r="AL411" i="13"/>
  <c r="AM411" i="13" s="1"/>
  <c r="AN411" i="13" s="1"/>
  <c r="AK413" i="13" l="1"/>
  <c r="AL412" i="13"/>
  <c r="AM412" i="13" s="1"/>
  <c r="AN412" i="13" s="1"/>
  <c r="AP412" i="13"/>
  <c r="AQ412" i="13" s="1"/>
  <c r="AR412" i="13" s="1"/>
  <c r="AK414" i="13" l="1"/>
  <c r="AL413" i="13"/>
  <c r="AM413" i="13" s="1"/>
  <c r="AN413" i="13" s="1"/>
  <c r="AP413" i="13"/>
  <c r="AQ413" i="13" s="1"/>
  <c r="AR413" i="13" s="1"/>
  <c r="AK415" i="13" l="1"/>
  <c r="AL414" i="13"/>
  <c r="AM414" i="13" s="1"/>
  <c r="AN414" i="13" s="1"/>
  <c r="AP414" i="13"/>
  <c r="AQ414" i="13" s="1"/>
  <c r="AR414" i="13" s="1"/>
  <c r="AL415" i="13" l="1"/>
  <c r="AM415" i="13" s="1"/>
  <c r="AN415" i="13" s="1"/>
  <c r="AK416" i="13"/>
  <c r="AP415" i="13"/>
  <c r="AQ415" i="13" s="1"/>
  <c r="AR415" i="13" s="1"/>
  <c r="AL416" i="13" l="1"/>
  <c r="AM416" i="13" s="1"/>
  <c r="AN416" i="13" s="1"/>
  <c r="AK417" i="13"/>
  <c r="AP416" i="13"/>
  <c r="AQ416" i="13" s="1"/>
  <c r="AR416" i="13" s="1"/>
  <c r="AL417" i="13" l="1"/>
  <c r="AM417" i="13" s="1"/>
  <c r="AN417" i="13" s="1"/>
  <c r="AK418" i="13"/>
  <c r="AP417" i="13"/>
  <c r="AQ417" i="13" s="1"/>
  <c r="AR417" i="13" s="1"/>
  <c r="AL418" i="13" l="1"/>
  <c r="AM418" i="13" s="1"/>
  <c r="AN418" i="13" s="1"/>
  <c r="AP418" i="13"/>
  <c r="AQ418" i="13" s="1"/>
  <c r="AR418" i="13" s="1"/>
  <c r="AK419" i="13"/>
  <c r="AL419" i="13" l="1"/>
  <c r="AM419" i="13" s="1"/>
  <c r="AN419" i="13" s="1"/>
  <c r="AK420" i="13"/>
  <c r="AP419" i="13"/>
  <c r="AQ419" i="13" s="1"/>
  <c r="AR419" i="13" s="1"/>
  <c r="AK421" i="13" l="1"/>
  <c r="AL420" i="13"/>
  <c r="AM420" i="13" s="1"/>
  <c r="AN420" i="13" s="1"/>
  <c r="AP420" i="13"/>
  <c r="AQ420" i="13" s="1"/>
  <c r="AR420" i="13" s="1"/>
  <c r="AK422" i="13" l="1"/>
  <c r="AL421" i="13"/>
  <c r="AM421" i="13" s="1"/>
  <c r="AN421" i="13" s="1"/>
  <c r="AP421" i="13"/>
  <c r="AQ421" i="13" s="1"/>
  <c r="AR421" i="13" s="1"/>
  <c r="AK423" i="13" l="1"/>
  <c r="AL422" i="13"/>
  <c r="AM422" i="13" s="1"/>
  <c r="AN422" i="13" s="1"/>
  <c r="AP422" i="13"/>
  <c r="AQ422" i="13" s="1"/>
  <c r="AR422" i="13" s="1"/>
  <c r="AK424" i="13" l="1"/>
  <c r="AL423" i="13"/>
  <c r="AM423" i="13" s="1"/>
  <c r="AN423" i="13" s="1"/>
  <c r="AP423" i="13"/>
  <c r="AQ423" i="13" s="1"/>
  <c r="AR423" i="13" s="1"/>
  <c r="AK425" i="13" l="1"/>
  <c r="AL424" i="13"/>
  <c r="AM424" i="13" s="1"/>
  <c r="AN424" i="13" s="1"/>
  <c r="AP424" i="13"/>
  <c r="AQ424" i="13" s="1"/>
  <c r="AR424" i="13" s="1"/>
  <c r="AK426" i="13" l="1"/>
  <c r="AP425" i="13"/>
  <c r="AQ425" i="13" s="1"/>
  <c r="AR425" i="13" s="1"/>
  <c r="AL425" i="13"/>
  <c r="AM425" i="13" s="1"/>
  <c r="AN425" i="13" s="1"/>
  <c r="AP426" i="13" l="1"/>
  <c r="AQ426" i="13" s="1"/>
  <c r="AR426" i="13" s="1"/>
  <c r="AL426" i="13"/>
  <c r="AM426" i="13" s="1"/>
  <c r="AN426" i="13" s="1"/>
  <c r="AK427" i="13"/>
  <c r="AP427" i="13" l="1"/>
  <c r="AQ427" i="13" s="1"/>
  <c r="AR427" i="13" s="1"/>
  <c r="AL427" i="13"/>
  <c r="AM427" i="13" s="1"/>
  <c r="AN427" i="13" s="1"/>
  <c r="AK428" i="13"/>
  <c r="AL428" i="13" l="1"/>
  <c r="AM428" i="13" s="1"/>
  <c r="AN428" i="13" s="1"/>
  <c r="AK429" i="13"/>
  <c r="AP428" i="13"/>
  <c r="AQ428" i="13" s="1"/>
  <c r="AR428" i="13" s="1"/>
  <c r="AK430" i="13" l="1"/>
  <c r="AL429" i="13"/>
  <c r="AM429" i="13" s="1"/>
  <c r="AN429" i="13" s="1"/>
  <c r="AP429" i="13"/>
  <c r="AQ429" i="13" s="1"/>
  <c r="AR429" i="13" s="1"/>
  <c r="AL430" i="13" l="1"/>
  <c r="AM430" i="13" s="1"/>
  <c r="AN430" i="13" s="1"/>
  <c r="AK431" i="13"/>
  <c r="AP430" i="13"/>
  <c r="AQ430" i="13" s="1"/>
  <c r="AR430" i="13" s="1"/>
  <c r="AL431" i="13" l="1"/>
  <c r="AM431" i="13" s="1"/>
  <c r="AN431" i="13" s="1"/>
  <c r="AK432" i="13"/>
  <c r="AP431" i="13"/>
  <c r="AQ431" i="13" s="1"/>
  <c r="AR431" i="13" s="1"/>
  <c r="AL432" i="13" l="1"/>
  <c r="AM432" i="13" s="1"/>
  <c r="AN432" i="13" s="1"/>
  <c r="AK433" i="13"/>
  <c r="AP432" i="13"/>
  <c r="AQ432" i="13" s="1"/>
  <c r="AR432" i="13" s="1"/>
  <c r="AK434" i="13" l="1"/>
  <c r="AL433" i="13"/>
  <c r="AM433" i="13" s="1"/>
  <c r="AN433" i="13" s="1"/>
  <c r="AP433" i="13"/>
  <c r="AQ433" i="13" s="1"/>
  <c r="AR433" i="13" s="1"/>
  <c r="AP434" i="13" l="1"/>
  <c r="AQ434" i="13" s="1"/>
  <c r="AR434" i="13" s="1"/>
  <c r="AL434" i="13"/>
  <c r="AM434" i="13" s="1"/>
  <c r="AN434" i="13" s="1"/>
  <c r="AK435" i="13"/>
  <c r="AL435" i="13" l="1"/>
  <c r="AM435" i="13" s="1"/>
  <c r="AN435" i="13" s="1"/>
  <c r="AP435" i="13"/>
  <c r="AQ435" i="13" s="1"/>
  <c r="AR435" i="13" s="1"/>
  <c r="AK436" i="13"/>
  <c r="AL436" i="13" l="1"/>
  <c r="AM436" i="13" s="1"/>
  <c r="AN436" i="13" s="1"/>
  <c r="AP436" i="13"/>
  <c r="AQ436" i="13" s="1"/>
  <c r="AR436" i="13" s="1"/>
  <c r="AK437" i="13"/>
  <c r="AK438" i="13" l="1"/>
  <c r="AL437" i="13"/>
  <c r="AM437" i="13" s="1"/>
  <c r="AN437" i="13" s="1"/>
  <c r="AP437" i="13"/>
  <c r="AQ437" i="13" s="1"/>
  <c r="AR437" i="13" s="1"/>
  <c r="AK439" i="13" l="1"/>
  <c r="AL438" i="13"/>
  <c r="AM438" i="13" s="1"/>
  <c r="AN438" i="13" s="1"/>
  <c r="AP438" i="13"/>
  <c r="AQ438" i="13" s="1"/>
  <c r="AR438" i="13" s="1"/>
  <c r="AP439" i="13" l="1"/>
  <c r="AQ439" i="13" s="1"/>
  <c r="AR439" i="13" s="1"/>
  <c r="AK440" i="13"/>
  <c r="AN439" i="13"/>
  <c r="AL439" i="13"/>
  <c r="AM439" i="13" s="1"/>
  <c r="AP440" i="13" l="1"/>
  <c r="AQ440" i="13" s="1"/>
  <c r="AR440" i="13" s="1"/>
  <c r="AL440" i="13"/>
  <c r="AM440" i="13" s="1"/>
  <c r="AN440" i="13" s="1"/>
  <c r="AK441" i="13"/>
  <c r="AL441" i="13" l="1"/>
  <c r="AM441" i="13" s="1"/>
  <c r="AK442" i="13"/>
  <c r="AP441" i="13"/>
  <c r="AQ441" i="13" s="1"/>
  <c r="AR441" i="13" s="1"/>
  <c r="AN441" i="13"/>
  <c r="AL442" i="13" l="1"/>
  <c r="AM442" i="13" s="1"/>
  <c r="AN442" i="13" s="1"/>
  <c r="AP442" i="13"/>
  <c r="AQ442" i="13" s="1"/>
  <c r="AR442" i="13" s="1"/>
  <c r="AK443" i="13"/>
  <c r="AK444" i="13" l="1"/>
  <c r="AP443" i="13"/>
  <c r="AQ443" i="13" s="1"/>
  <c r="AR443" i="13" s="1"/>
  <c r="AL443" i="13"/>
  <c r="AM443" i="13" s="1"/>
  <c r="AN443" i="13" s="1"/>
  <c r="AK445" i="13" l="1"/>
  <c r="AL444" i="13"/>
  <c r="AM444" i="13" s="1"/>
  <c r="AN444" i="13" s="1"/>
  <c r="AP444" i="13"/>
  <c r="AQ444" i="13" s="1"/>
  <c r="AR444" i="13" s="1"/>
  <c r="AL445" i="13" l="1"/>
  <c r="AM445" i="13" s="1"/>
  <c r="AN445" i="13" s="1"/>
  <c r="AP445" i="13"/>
  <c r="AQ445" i="13" s="1"/>
  <c r="AR445" i="13" s="1"/>
  <c r="AK446" i="13"/>
  <c r="AP446" i="13" l="1"/>
  <c r="AQ446" i="13" s="1"/>
  <c r="AR446" i="13"/>
  <c r="AL446" i="13"/>
  <c r="AM446" i="13" s="1"/>
  <c r="AK447" i="13"/>
  <c r="AN446" i="13"/>
  <c r="AK448" i="13" l="1"/>
  <c r="AP447" i="13"/>
  <c r="AQ447" i="13" s="1"/>
  <c r="AR447" i="13" s="1"/>
  <c r="AL447" i="13"/>
  <c r="AM447" i="13" s="1"/>
  <c r="AN447" i="13" s="1"/>
  <c r="AL448" i="13" l="1"/>
  <c r="AM448" i="13" s="1"/>
  <c r="AN448" i="13" s="1"/>
  <c r="AK449" i="13"/>
  <c r="AP448" i="13"/>
  <c r="AQ448" i="13" s="1"/>
  <c r="AR448" i="13" s="1"/>
  <c r="AK450" i="13" l="1"/>
  <c r="AL449" i="13"/>
  <c r="AM449" i="13" s="1"/>
  <c r="AN449" i="13" s="1"/>
  <c r="AP449" i="13"/>
  <c r="AQ449" i="13" s="1"/>
  <c r="AR449" i="13" s="1"/>
  <c r="AL450" i="13" l="1"/>
  <c r="AM450" i="13" s="1"/>
  <c r="AN450" i="13"/>
  <c r="AK451" i="13"/>
  <c r="AP450" i="13"/>
  <c r="AQ450" i="13" s="1"/>
  <c r="AR450" i="13"/>
  <c r="AP451" i="13" l="1"/>
  <c r="AQ451" i="13" s="1"/>
  <c r="AR451" i="13" s="1"/>
  <c r="AK452" i="13"/>
  <c r="AL451" i="13"/>
  <c r="AM451" i="13" s="1"/>
  <c r="AN451" i="13" s="1"/>
  <c r="AP452" i="13" l="1"/>
  <c r="AQ452" i="13" s="1"/>
  <c r="AR452" i="13" s="1"/>
  <c r="AK453" i="13"/>
  <c r="AL452" i="13"/>
  <c r="AM452" i="13" s="1"/>
  <c r="AN452" i="13" s="1"/>
  <c r="AN453" i="13" l="1"/>
  <c r="AK454" i="13"/>
  <c r="AL453" i="13"/>
  <c r="AM453" i="13" s="1"/>
  <c r="AP453" i="13"/>
  <c r="AQ453" i="13" s="1"/>
  <c r="AR453" i="13"/>
  <c r="AP454" i="13" l="1"/>
  <c r="AQ454" i="13" s="1"/>
  <c r="AK455" i="13"/>
  <c r="AL454" i="13"/>
  <c r="AM454" i="13" s="1"/>
  <c r="AN454" i="13" s="1"/>
  <c r="AR454" i="13"/>
  <c r="AP455" i="13" l="1"/>
  <c r="AQ455" i="13" s="1"/>
  <c r="AR455" i="13" s="1"/>
  <c r="AK456" i="13"/>
  <c r="AL455" i="13"/>
  <c r="AM455" i="13" s="1"/>
  <c r="AN455" i="13" s="1"/>
  <c r="AK457" i="13" l="1"/>
  <c r="AL456" i="13"/>
  <c r="AM456" i="13" s="1"/>
  <c r="AN456" i="13" s="1"/>
  <c r="AP456" i="13"/>
  <c r="AQ456" i="13" s="1"/>
  <c r="AR456" i="13" s="1"/>
  <c r="AK458" i="13" l="1"/>
  <c r="AP457" i="13"/>
  <c r="AQ457" i="13" s="1"/>
  <c r="AR457" i="13" s="1"/>
  <c r="AL457" i="13"/>
  <c r="AM457" i="13" s="1"/>
  <c r="AN457" i="13" s="1"/>
  <c r="AK459" i="13" l="1"/>
  <c r="AP458" i="13"/>
  <c r="AQ458" i="13" s="1"/>
  <c r="AR458" i="13" s="1"/>
  <c r="AL458" i="13"/>
  <c r="AM458" i="13" s="1"/>
  <c r="AN458" i="13"/>
  <c r="AK460" i="13" l="1"/>
  <c r="AP459" i="13"/>
  <c r="AQ459" i="13" s="1"/>
  <c r="AR459" i="13" s="1"/>
  <c r="AL459" i="13"/>
  <c r="AM459" i="13" s="1"/>
  <c r="AN459" i="13" s="1"/>
  <c r="AL460" i="13" l="1"/>
  <c r="AM460" i="13" s="1"/>
  <c r="AN460" i="13" s="1"/>
  <c r="AP460" i="13"/>
  <c r="AQ460" i="13" s="1"/>
  <c r="AR460" i="13" s="1"/>
  <c r="AK461" i="13"/>
  <c r="AP461" i="13" l="1"/>
  <c r="AQ461" i="13" s="1"/>
  <c r="AR461" i="13" s="1"/>
  <c r="AK462" i="13"/>
  <c r="AL461" i="13"/>
  <c r="AM461" i="13" s="1"/>
  <c r="AN461" i="13" s="1"/>
  <c r="AK463" i="13" l="1"/>
  <c r="AL462" i="13"/>
  <c r="AM462" i="13" s="1"/>
  <c r="AN462" i="13"/>
  <c r="AP462" i="13"/>
  <c r="AQ462" i="13" s="1"/>
  <c r="AR462" i="13" s="1"/>
  <c r="AL463" i="13" l="1"/>
  <c r="AM463" i="13" s="1"/>
  <c r="AN463" i="13" s="1"/>
  <c r="AP463" i="13"/>
  <c r="AQ463" i="13" s="1"/>
  <c r="AR463" i="13" s="1"/>
  <c r="AK464" i="13"/>
  <c r="AL464" i="13" l="1"/>
  <c r="AM464" i="13" s="1"/>
  <c r="AN464" i="13" s="1"/>
  <c r="AK465" i="13"/>
  <c r="AP464" i="13"/>
  <c r="AQ464" i="13" s="1"/>
  <c r="AR464" i="13" s="1"/>
  <c r="AN465" i="13" l="1"/>
  <c r="AK466" i="13"/>
  <c r="AL465" i="13"/>
  <c r="AM465" i="13" s="1"/>
  <c r="AP465" i="13"/>
  <c r="AQ465" i="13" s="1"/>
  <c r="AR465" i="13"/>
  <c r="AP466" i="13" l="1"/>
  <c r="AQ466" i="13" s="1"/>
  <c r="AR466" i="13" s="1"/>
  <c r="AK467" i="13"/>
  <c r="AL466" i="13"/>
  <c r="AM466" i="13" s="1"/>
  <c r="AN466" i="13" s="1"/>
  <c r="AL467" i="13" l="1"/>
  <c r="AM467" i="13" s="1"/>
  <c r="AN467" i="13" s="1"/>
  <c r="AK468" i="13"/>
  <c r="AP467" i="13"/>
  <c r="AQ467" i="13" s="1"/>
  <c r="AR467" i="13" s="1"/>
  <c r="AL468" i="13" l="1"/>
  <c r="AM468" i="13" s="1"/>
  <c r="AN468" i="13" s="1"/>
  <c r="AP468" i="13"/>
  <c r="AQ468" i="13" s="1"/>
  <c r="AK469" i="13"/>
  <c r="AR468" i="13"/>
  <c r="AL469" i="13" l="1"/>
  <c r="AM469" i="13" s="1"/>
  <c r="AN469" i="13" s="1"/>
  <c r="AP469" i="13"/>
  <c r="AQ469" i="13" s="1"/>
  <c r="AR469" i="13" s="1"/>
  <c r="AK470" i="13"/>
  <c r="AK471" i="13" l="1"/>
  <c r="AP470" i="13"/>
  <c r="AQ470" i="13" s="1"/>
  <c r="AR470" i="13" s="1"/>
  <c r="AL470" i="13"/>
  <c r="AM470" i="13" s="1"/>
  <c r="AN470" i="13" s="1"/>
  <c r="AL471" i="13" l="1"/>
  <c r="AM471" i="13" s="1"/>
  <c r="AK472" i="13"/>
  <c r="AP471" i="13"/>
  <c r="AQ471" i="13" s="1"/>
  <c r="AR471" i="13"/>
  <c r="AN471" i="13"/>
  <c r="AL472" i="13" l="1"/>
  <c r="AM472" i="13" s="1"/>
  <c r="AP472" i="13"/>
  <c r="AQ472" i="13" s="1"/>
  <c r="AK473" i="13"/>
  <c r="AR472" i="13"/>
  <c r="AN472" i="13"/>
  <c r="AK474" i="13" l="1"/>
  <c r="AP473" i="13"/>
  <c r="AQ473" i="13" s="1"/>
  <c r="AR473" i="13" s="1"/>
  <c r="AL473" i="13"/>
  <c r="AM473" i="13" s="1"/>
  <c r="AN473" i="13" s="1"/>
  <c r="AN474" i="13" l="1"/>
  <c r="AP474" i="13"/>
  <c r="AQ474" i="13" s="1"/>
  <c r="AK475" i="13"/>
  <c r="AL474" i="13"/>
  <c r="AM474" i="13" s="1"/>
  <c r="AR474" i="13"/>
  <c r="AP475" i="13" l="1"/>
  <c r="AQ475" i="13" s="1"/>
  <c r="AR475" i="13" s="1"/>
  <c r="AL475" i="13"/>
  <c r="AM475" i="13" s="1"/>
  <c r="AN475" i="13" s="1"/>
  <c r="AK476" i="13"/>
  <c r="AP476" i="13" l="1"/>
  <c r="AQ476" i="13" s="1"/>
  <c r="AR476" i="13" s="1"/>
  <c r="AL476" i="13"/>
  <c r="AM476" i="13" s="1"/>
  <c r="AN476" i="13" s="1"/>
  <c r="AK477" i="13"/>
  <c r="AL477" i="13" l="1"/>
  <c r="AM477" i="13" s="1"/>
  <c r="AN477" i="13" s="1"/>
  <c r="AK478" i="13"/>
  <c r="AP477" i="13"/>
  <c r="AQ477" i="13" s="1"/>
  <c r="AR477" i="13"/>
  <c r="AP478" i="13" l="1"/>
  <c r="AQ478" i="13" s="1"/>
  <c r="AR478" i="13" s="1"/>
  <c r="AL478" i="13"/>
  <c r="AM478" i="13" s="1"/>
  <c r="AN478" i="13" s="1"/>
  <c r="AK479" i="13"/>
  <c r="AK480" i="13" l="1"/>
  <c r="AP479" i="13"/>
  <c r="AQ479" i="13" s="1"/>
  <c r="AL479" i="13"/>
  <c r="AM479" i="13" s="1"/>
  <c r="AN479" i="13" s="1"/>
  <c r="AR479" i="13"/>
  <c r="AL480" i="13" l="1"/>
  <c r="AM480" i="13" s="1"/>
  <c r="AN480" i="13" s="1"/>
  <c r="AK481" i="13"/>
  <c r="AP480" i="13"/>
  <c r="AQ480" i="13" s="1"/>
  <c r="AR480" i="13" s="1"/>
  <c r="AP481" i="13" l="1"/>
  <c r="AQ481" i="13" s="1"/>
  <c r="AR481" i="13" s="1"/>
  <c r="AL481" i="13"/>
  <c r="AM481" i="13" s="1"/>
  <c r="AN481" i="13" s="1"/>
  <c r="AK482" i="13"/>
  <c r="AK483" i="13" l="1"/>
  <c r="AP482" i="13"/>
  <c r="AQ482" i="13" s="1"/>
  <c r="AL482" i="13"/>
  <c r="AM482" i="13" s="1"/>
  <c r="AN482" i="13" s="1"/>
  <c r="AR482" i="13"/>
  <c r="AL483" i="13" l="1"/>
  <c r="AM483" i="13" s="1"/>
  <c r="AN483" i="13" s="1"/>
  <c r="AK484" i="13"/>
  <c r="AP483" i="13"/>
  <c r="AQ483" i="13" s="1"/>
  <c r="AR483" i="13" s="1"/>
  <c r="AK485" i="13" l="1"/>
  <c r="AP484" i="13"/>
  <c r="AQ484" i="13" s="1"/>
  <c r="AR484" i="13" s="1"/>
  <c r="AL484" i="13"/>
  <c r="AM484" i="13" s="1"/>
  <c r="AN484" i="13" s="1"/>
  <c r="AK486" i="13" l="1"/>
  <c r="AL485" i="13"/>
  <c r="AM485" i="13" s="1"/>
  <c r="AN485" i="13" s="1"/>
  <c r="AP485" i="13"/>
  <c r="AQ485" i="13" s="1"/>
  <c r="AR485" i="13"/>
  <c r="AL486" i="13" l="1"/>
  <c r="AM486" i="13" s="1"/>
  <c r="AN486" i="13" s="1"/>
  <c r="AP486" i="13"/>
  <c r="AQ486" i="13" s="1"/>
  <c r="AR486" i="13" s="1"/>
  <c r="AK487" i="13"/>
  <c r="AL487" i="13" l="1"/>
  <c r="AM487" i="13" s="1"/>
  <c r="AP487" i="13"/>
  <c r="AQ487" i="13" s="1"/>
  <c r="AR487" i="13" s="1"/>
  <c r="AK488" i="13"/>
  <c r="AN487" i="13"/>
  <c r="AK489" i="13" l="1"/>
  <c r="AL488" i="13"/>
  <c r="AM488" i="13" s="1"/>
  <c r="AN488" i="13" s="1"/>
  <c r="AP488" i="13"/>
  <c r="AQ488" i="13" s="1"/>
  <c r="AR488" i="13" s="1"/>
  <c r="AP489" i="13" l="1"/>
  <c r="AQ489" i="13" s="1"/>
  <c r="AR489" i="13" s="1"/>
  <c r="AL489" i="13"/>
  <c r="AM489" i="13" s="1"/>
  <c r="AN489" i="13" s="1"/>
  <c r="AK490" i="13"/>
  <c r="AP490" i="13" l="1"/>
  <c r="AQ490" i="13" s="1"/>
  <c r="AR490" i="13" s="1"/>
  <c r="AL490" i="13"/>
  <c r="AM490" i="13" s="1"/>
  <c r="AN490" i="13" s="1"/>
  <c r="AK491" i="13"/>
  <c r="AK492" i="13" l="1"/>
  <c r="AL491" i="13"/>
  <c r="AM491" i="13" s="1"/>
  <c r="AN491" i="13" s="1"/>
  <c r="AP491" i="13"/>
  <c r="AQ491" i="13" s="1"/>
  <c r="AR491" i="13" s="1"/>
  <c r="AP492" i="13" l="1"/>
  <c r="AQ492" i="13" s="1"/>
  <c r="AR492" i="13" s="1"/>
  <c r="AN492" i="13"/>
  <c r="AK493" i="13"/>
  <c r="AL492" i="13"/>
  <c r="AM492" i="13" s="1"/>
  <c r="AK494" i="13" l="1"/>
  <c r="AL493" i="13"/>
  <c r="AM493" i="13" s="1"/>
  <c r="AN493" i="13"/>
  <c r="AP493" i="13"/>
  <c r="AQ493" i="13" s="1"/>
  <c r="AR493" i="13" s="1"/>
  <c r="AK495" i="13" l="1"/>
  <c r="AP494" i="13"/>
  <c r="AQ494" i="13" s="1"/>
  <c r="AL494" i="13"/>
  <c r="AM494" i="13" s="1"/>
  <c r="AN494" i="13" s="1"/>
  <c r="AR494" i="13"/>
  <c r="AK496" i="13" l="1"/>
  <c r="AL495" i="13"/>
  <c r="AM495" i="13" s="1"/>
  <c r="AN495" i="13" s="1"/>
  <c r="AP495" i="13"/>
  <c r="AQ495" i="13" s="1"/>
  <c r="AR495" i="13" s="1"/>
  <c r="AL496" i="13" l="1"/>
  <c r="AM496" i="13" s="1"/>
  <c r="AN496" i="13" s="1"/>
  <c r="AK497" i="13"/>
  <c r="AP496" i="13"/>
  <c r="AQ496" i="13" s="1"/>
  <c r="AR496" i="13" s="1"/>
  <c r="AK498" i="13" l="1"/>
  <c r="AL497" i="13"/>
  <c r="AM497" i="13" s="1"/>
  <c r="AP497" i="13"/>
  <c r="AQ497" i="13" s="1"/>
  <c r="AR497" i="13" s="1"/>
  <c r="AN497" i="13"/>
  <c r="AP498" i="13" l="1"/>
  <c r="AQ498" i="13" s="1"/>
  <c r="AR498" i="13" s="1"/>
  <c r="AK499" i="13"/>
  <c r="AL498" i="13"/>
  <c r="AM498" i="13" s="1"/>
  <c r="AN498" i="13" s="1"/>
  <c r="AK500" i="13" l="1"/>
  <c r="AL499" i="13"/>
  <c r="AM499" i="13" s="1"/>
  <c r="AN499" i="13"/>
  <c r="AP499" i="13"/>
  <c r="AQ499" i="13" s="1"/>
  <c r="AR499" i="13" s="1"/>
  <c r="AL500" i="13" l="1"/>
  <c r="AM500" i="13" s="1"/>
  <c r="AN500" i="13" s="1"/>
  <c r="AP500" i="13"/>
  <c r="AQ500" i="13" s="1"/>
  <c r="AR500" i="13" s="1"/>
  <c r="AK501" i="13"/>
  <c r="AP501" i="13" l="1"/>
  <c r="AQ501" i="13" s="1"/>
  <c r="AR501" i="13" s="1"/>
  <c r="AL501" i="13"/>
  <c r="AM501" i="13" s="1"/>
  <c r="AN501" i="13" s="1"/>
  <c r="AK502" i="13"/>
  <c r="AK503" i="13" l="1"/>
  <c r="AP502" i="13"/>
  <c r="AQ502" i="13" s="1"/>
  <c r="AR502" i="13" s="1"/>
  <c r="AL502" i="13"/>
  <c r="AM502" i="13" s="1"/>
  <c r="AN502" i="13" s="1"/>
  <c r="AK504" i="13" l="1"/>
  <c r="AP503" i="13"/>
  <c r="AQ503" i="13" s="1"/>
  <c r="AR503" i="13" s="1"/>
  <c r="AL503" i="13"/>
  <c r="AM503" i="13" s="1"/>
  <c r="AN503" i="13" s="1"/>
  <c r="AK505" i="13" l="1"/>
  <c r="AP504" i="13"/>
  <c r="AQ504" i="13" s="1"/>
  <c r="AR504" i="13" s="1"/>
  <c r="AL504" i="13"/>
  <c r="AM504" i="13" s="1"/>
  <c r="AN504" i="13" s="1"/>
  <c r="AK506" i="13" l="1"/>
  <c r="AL505" i="13"/>
  <c r="AM505" i="13" s="1"/>
  <c r="AN505" i="13" s="1"/>
  <c r="AP505" i="13"/>
  <c r="AQ505" i="13" s="1"/>
  <c r="AR505" i="13"/>
  <c r="AL506" i="13" l="1"/>
  <c r="AM506" i="13" s="1"/>
  <c r="AK507" i="13"/>
  <c r="AN506" i="13"/>
  <c r="AP506" i="13"/>
  <c r="AQ506" i="13" s="1"/>
  <c r="AR506" i="13" s="1"/>
  <c r="AK508" i="13" l="1"/>
  <c r="AP507" i="13"/>
  <c r="AQ507" i="13" s="1"/>
  <c r="AR507" i="13" s="1"/>
  <c r="AL507" i="13"/>
  <c r="AM507" i="13" s="1"/>
  <c r="AN507" i="13" s="1"/>
  <c r="AL508" i="13" l="1"/>
  <c r="AM508" i="13" s="1"/>
  <c r="AK509" i="13"/>
  <c r="AP508" i="13"/>
  <c r="AQ508" i="13" s="1"/>
  <c r="AR508" i="13" s="1"/>
  <c r="AN508" i="13"/>
  <c r="AL509" i="13" l="1"/>
  <c r="AM509" i="13" s="1"/>
  <c r="AN509" i="13" s="1"/>
  <c r="AK510" i="13"/>
  <c r="AP509" i="13"/>
  <c r="AQ509" i="13" s="1"/>
  <c r="AR509" i="13" s="1"/>
  <c r="AL510" i="13" l="1"/>
  <c r="AM510" i="13" s="1"/>
  <c r="AN510" i="13" s="1"/>
  <c r="AP510" i="13"/>
  <c r="AQ510" i="13" s="1"/>
  <c r="AR510" i="13" s="1"/>
  <c r="AK511" i="13"/>
  <c r="AP511" i="13" l="1"/>
  <c r="AQ511" i="13" s="1"/>
  <c r="AR511" i="13" s="1"/>
  <c r="AL511" i="13"/>
  <c r="AM511" i="13" s="1"/>
  <c r="AN511" i="13" s="1"/>
  <c r="AK512" i="13"/>
  <c r="AP512" i="13" l="1"/>
  <c r="AQ512" i="13" s="1"/>
  <c r="AL512" i="13"/>
  <c r="AM512" i="13" s="1"/>
  <c r="AN512" i="13"/>
  <c r="AK513" i="13"/>
  <c r="AR512" i="13"/>
  <c r="AL513" i="13" l="1"/>
  <c r="AM513" i="13" s="1"/>
  <c r="AP513" i="13"/>
  <c r="AQ513" i="13" s="1"/>
  <c r="AR513" i="13" s="1"/>
  <c r="AN513" i="13"/>
  <c r="AK514" i="13"/>
  <c r="AL514" i="13" l="1"/>
  <c r="AM514" i="13" s="1"/>
  <c r="AN514" i="13" s="1"/>
  <c r="AK515" i="13"/>
  <c r="AP514" i="13"/>
  <c r="AQ514" i="13" s="1"/>
  <c r="AR514" i="13" s="1"/>
  <c r="AK516" i="13" l="1"/>
  <c r="AP515" i="13"/>
  <c r="AQ515" i="13" s="1"/>
  <c r="AR515" i="13" s="1"/>
  <c r="AL515" i="13"/>
  <c r="AM515" i="13" s="1"/>
  <c r="AN515" i="13" s="1"/>
  <c r="AK517" i="13" l="1"/>
  <c r="AP516" i="13"/>
  <c r="AQ516" i="13" s="1"/>
  <c r="AR516" i="13" s="1"/>
  <c r="AL516" i="13"/>
  <c r="AM516" i="13" s="1"/>
  <c r="AN516" i="13" s="1"/>
  <c r="AK518" i="13" l="1"/>
  <c r="AP517" i="13"/>
  <c r="AQ517" i="13" s="1"/>
  <c r="AR517" i="13"/>
  <c r="AL517" i="13"/>
  <c r="AM517" i="13" s="1"/>
  <c r="AN517" i="13" s="1"/>
  <c r="AP518" i="13" l="1"/>
  <c r="AQ518" i="13" s="1"/>
  <c r="AR518" i="13" s="1"/>
  <c r="AL518" i="13"/>
  <c r="AM518" i="13" s="1"/>
  <c r="AK519" i="13"/>
  <c r="AN518" i="13"/>
  <c r="AK520" i="13" l="1"/>
  <c r="AL519" i="13"/>
  <c r="AM519" i="13" s="1"/>
  <c r="AN519" i="13" s="1"/>
  <c r="AP519" i="13"/>
  <c r="AQ519" i="13" s="1"/>
  <c r="AR519" i="13" s="1"/>
  <c r="AK521" i="13" l="1"/>
  <c r="AL520" i="13"/>
  <c r="AM520" i="13" s="1"/>
  <c r="AN520" i="13" s="1"/>
  <c r="AP520" i="13"/>
  <c r="AQ520" i="13" s="1"/>
  <c r="AR520" i="13" s="1"/>
  <c r="AK522" i="13" l="1"/>
  <c r="AL521" i="13"/>
  <c r="AM521" i="13" s="1"/>
  <c r="AN521" i="13" s="1"/>
  <c r="AP521" i="13"/>
  <c r="AQ521" i="13" s="1"/>
  <c r="AR521" i="13"/>
  <c r="AK523" i="13" l="1"/>
  <c r="AP522" i="13"/>
  <c r="AQ522" i="13" s="1"/>
  <c r="AR522" i="13"/>
  <c r="AL522" i="13"/>
  <c r="AM522" i="13" s="1"/>
  <c r="AN522" i="13"/>
  <c r="AL523" i="13" l="1"/>
  <c r="AM523" i="13" s="1"/>
  <c r="AN523" i="13" s="1"/>
  <c r="AP523" i="13"/>
  <c r="AQ523" i="13" s="1"/>
  <c r="AR523" i="13" s="1"/>
  <c r="AK524" i="13"/>
  <c r="AL524" i="13" l="1"/>
  <c r="AM524" i="13" s="1"/>
  <c r="AN524" i="13" s="1"/>
  <c r="AK525" i="13"/>
  <c r="AP524" i="13"/>
  <c r="AQ524" i="13" s="1"/>
  <c r="AR524" i="13" s="1"/>
  <c r="AP525" i="13" l="1"/>
  <c r="AQ525" i="13" s="1"/>
  <c r="AR525" i="13" s="1"/>
  <c r="AL525" i="13"/>
  <c r="AM525" i="13" s="1"/>
  <c r="AN525" i="13" s="1"/>
  <c r="AK526" i="13"/>
  <c r="AK527" i="13" l="1"/>
  <c r="AP526" i="13"/>
  <c r="AQ526" i="13" s="1"/>
  <c r="AR526" i="13" s="1"/>
  <c r="AL526" i="13"/>
  <c r="AM526" i="13" s="1"/>
  <c r="AN526" i="13" s="1"/>
  <c r="AK528" i="13" l="1"/>
  <c r="AL527" i="13"/>
  <c r="AM527" i="13" s="1"/>
  <c r="AN527" i="13" s="1"/>
  <c r="AP527" i="13"/>
  <c r="AQ527" i="13" s="1"/>
  <c r="AR527" i="13" s="1"/>
  <c r="AP528" i="13" l="1"/>
  <c r="AQ528" i="13" s="1"/>
  <c r="AK529" i="13"/>
  <c r="AL528" i="13"/>
  <c r="AM528" i="13" s="1"/>
  <c r="AN528" i="13" s="1"/>
  <c r="AR528" i="13"/>
  <c r="AK530" i="13" l="1"/>
  <c r="AP529" i="13"/>
  <c r="AQ529" i="13" s="1"/>
  <c r="AR529" i="13" s="1"/>
  <c r="AL529" i="13"/>
  <c r="AM529" i="13" s="1"/>
  <c r="AN529" i="13" s="1"/>
  <c r="AP530" i="13" l="1"/>
  <c r="AQ530" i="13" s="1"/>
  <c r="AR530" i="13" s="1"/>
  <c r="AK531" i="13"/>
  <c r="AL530" i="13"/>
  <c r="AM530" i="13" s="1"/>
  <c r="AN530" i="13" s="1"/>
  <c r="AL531" i="13" l="1"/>
  <c r="AM531" i="13" s="1"/>
  <c r="AN531" i="13" s="1"/>
  <c r="AP531" i="13"/>
  <c r="AQ531" i="13" s="1"/>
  <c r="AR531" i="13" s="1"/>
  <c r="AK532" i="13"/>
  <c r="AP532" i="13" l="1"/>
  <c r="AQ532" i="13" s="1"/>
  <c r="AR532" i="13" s="1"/>
  <c r="AK533" i="13"/>
  <c r="AL532" i="13"/>
  <c r="AM532" i="13" s="1"/>
  <c r="AN532" i="13" s="1"/>
  <c r="AL533" i="13" l="1"/>
  <c r="AM533" i="13" s="1"/>
  <c r="AN533" i="13" s="1"/>
  <c r="AK534" i="13"/>
  <c r="AP533" i="13"/>
  <c r="AQ533" i="13" s="1"/>
  <c r="AR533" i="13" s="1"/>
  <c r="AK535" i="13" l="1"/>
  <c r="AP534" i="13"/>
  <c r="AQ534" i="13" s="1"/>
  <c r="AR534" i="13" s="1"/>
  <c r="AL534" i="13"/>
  <c r="AM534" i="13" s="1"/>
  <c r="AN534" i="13" s="1"/>
  <c r="AL535" i="13" l="1"/>
  <c r="AM535" i="13" s="1"/>
  <c r="AN535" i="13" s="1"/>
  <c r="AP535" i="13"/>
  <c r="AQ535" i="13" s="1"/>
  <c r="AR535" i="13" s="1"/>
  <c r="AK536" i="13"/>
  <c r="AK537" i="13" l="1"/>
  <c r="AP536" i="13"/>
  <c r="AQ536" i="13" s="1"/>
  <c r="AR536" i="13" s="1"/>
  <c r="AL536" i="13"/>
  <c r="AM536" i="13" s="1"/>
  <c r="AN536" i="13" s="1"/>
  <c r="AL537" i="13" l="1"/>
  <c r="AM537" i="13" s="1"/>
  <c r="AN537" i="13" s="1"/>
  <c r="AP537" i="13"/>
  <c r="AQ537" i="13" s="1"/>
  <c r="AR537" i="13" s="1"/>
  <c r="AK538" i="13"/>
  <c r="AL538" i="13" l="1"/>
  <c r="AM538" i="13" s="1"/>
  <c r="AN538" i="13" s="1"/>
  <c r="AK539" i="13"/>
  <c r="AP538" i="13"/>
  <c r="AQ538" i="13" s="1"/>
  <c r="AR538" i="13" s="1"/>
  <c r="AK540" i="13" l="1"/>
  <c r="AP539" i="13"/>
  <c r="AQ539" i="13" s="1"/>
  <c r="AR539" i="13" s="1"/>
  <c r="AL539" i="13"/>
  <c r="AM539" i="13" s="1"/>
  <c r="AN539" i="13" s="1"/>
  <c r="AK541" i="13" l="1"/>
  <c r="AL540" i="13"/>
  <c r="AM540" i="13" s="1"/>
  <c r="AP540" i="13"/>
  <c r="AQ540" i="13" s="1"/>
  <c r="AR540" i="13" s="1"/>
  <c r="AN540" i="13"/>
  <c r="AK542" i="13" l="1"/>
  <c r="AL541" i="13"/>
  <c r="AM541" i="13" s="1"/>
  <c r="AN541" i="13" s="1"/>
  <c r="AP541" i="13"/>
  <c r="AQ541" i="13" s="1"/>
  <c r="AR541" i="13" s="1"/>
  <c r="AL542" i="13" l="1"/>
  <c r="AM542" i="13" s="1"/>
  <c r="AK543" i="13"/>
  <c r="AP542" i="13"/>
  <c r="AQ542" i="13" s="1"/>
  <c r="AR542" i="13" s="1"/>
  <c r="AN542" i="13"/>
  <c r="AP543" i="13" l="1"/>
  <c r="AQ543" i="13" s="1"/>
  <c r="AR543" i="13" s="1"/>
  <c r="AL543" i="13"/>
  <c r="AM543" i="13" s="1"/>
  <c r="AN543" i="13" s="1"/>
  <c r="AK544" i="13"/>
  <c r="AK545" i="13" l="1"/>
  <c r="AL544" i="13"/>
  <c r="AM544" i="13" s="1"/>
  <c r="AN544" i="13" s="1"/>
  <c r="AP544" i="13"/>
  <c r="AQ544" i="13" s="1"/>
  <c r="AR544" i="13" s="1"/>
  <c r="AL545" i="13" l="1"/>
  <c r="AM545" i="13" s="1"/>
  <c r="AN545" i="13" s="1"/>
  <c r="AP545" i="13"/>
  <c r="AQ545" i="13" s="1"/>
  <c r="AR545" i="13" s="1"/>
  <c r="AK546" i="13"/>
  <c r="AP546" i="13" l="1"/>
  <c r="AQ546" i="13" s="1"/>
  <c r="AR546" i="13" s="1"/>
  <c r="AL546" i="13"/>
  <c r="AM546" i="13" s="1"/>
  <c r="AN546" i="13" s="1"/>
  <c r="AK547" i="13"/>
  <c r="AL547" i="13" l="1"/>
  <c r="AM547" i="13" s="1"/>
  <c r="AN547" i="13" s="1"/>
  <c r="AK548" i="13"/>
  <c r="AP547" i="13"/>
  <c r="AQ547" i="13" s="1"/>
  <c r="AR547" i="13" s="1"/>
  <c r="AK549" i="13" l="1"/>
  <c r="AL548" i="13"/>
  <c r="AM548" i="13" s="1"/>
  <c r="AN548" i="13" s="1"/>
  <c r="AP548" i="13"/>
  <c r="AQ548" i="13" s="1"/>
  <c r="AR548" i="13" s="1"/>
  <c r="AL549" i="13" l="1"/>
  <c r="AM549" i="13" s="1"/>
  <c r="AN549" i="13" s="1"/>
  <c r="AP549" i="13"/>
  <c r="AQ549" i="13" s="1"/>
  <c r="AR549" i="13" s="1"/>
  <c r="AK550" i="13"/>
  <c r="AL550" i="13" l="1"/>
  <c r="AM550" i="13" s="1"/>
  <c r="AN550" i="13" s="1"/>
  <c r="AP550" i="13"/>
  <c r="AQ550" i="13" s="1"/>
  <c r="AR550" i="13" s="1"/>
  <c r="AK551" i="13"/>
  <c r="AL551" i="13" l="1"/>
  <c r="AM551" i="13" s="1"/>
  <c r="AN551" i="13" s="1"/>
  <c r="AK552" i="13"/>
  <c r="AP551" i="13"/>
  <c r="AQ551" i="13" s="1"/>
  <c r="AR551" i="13" s="1"/>
  <c r="AP552" i="13" l="1"/>
  <c r="AQ552" i="13" s="1"/>
  <c r="AR552" i="13" s="1"/>
  <c r="AL552" i="13"/>
  <c r="AM552" i="13" s="1"/>
  <c r="AN552" i="13" s="1"/>
  <c r="AK553" i="13"/>
  <c r="AL553" i="13" l="1"/>
  <c r="AM553" i="13" s="1"/>
  <c r="AN553" i="13" s="1"/>
  <c r="AK554" i="13"/>
  <c r="AP553" i="13"/>
  <c r="AQ553" i="13" s="1"/>
  <c r="AR553" i="13" s="1"/>
  <c r="AK555" i="13" l="1"/>
  <c r="AL554" i="13"/>
  <c r="AM554" i="13" s="1"/>
  <c r="AN554" i="13" s="1"/>
  <c r="AP554" i="13"/>
  <c r="AQ554" i="13" s="1"/>
  <c r="AR554" i="13" s="1"/>
  <c r="AP555" i="13" l="1"/>
  <c r="AQ555" i="13" s="1"/>
  <c r="AR555" i="13" s="1"/>
  <c r="AL555" i="13"/>
  <c r="AM555" i="13" s="1"/>
  <c r="AN555" i="13" s="1"/>
  <c r="AK556" i="13"/>
  <c r="AL556" i="13" l="1"/>
  <c r="AM556" i="13" s="1"/>
  <c r="AN556" i="13" s="1"/>
  <c r="AK557" i="13"/>
  <c r="AP556" i="13"/>
  <c r="AQ556" i="13" s="1"/>
  <c r="AR556" i="13" s="1"/>
  <c r="AP557" i="13" l="1"/>
  <c r="AQ557" i="13" s="1"/>
  <c r="AR557" i="13" s="1"/>
  <c r="AL557" i="13"/>
  <c r="AM557" i="13" s="1"/>
  <c r="AN557" i="13" s="1"/>
  <c r="AK558" i="13"/>
  <c r="AK559" i="13" l="1"/>
  <c r="AL558" i="13"/>
  <c r="AM558" i="13" s="1"/>
  <c r="AN558" i="13" s="1"/>
  <c r="AP558" i="13"/>
  <c r="AQ558" i="13" s="1"/>
  <c r="AR558" i="13" s="1"/>
  <c r="AK560" i="13" l="1"/>
  <c r="AL559" i="13"/>
  <c r="AM559" i="13" s="1"/>
  <c r="AN559" i="13" s="1"/>
  <c r="AP559" i="13"/>
  <c r="AQ559" i="13" s="1"/>
  <c r="AR559" i="13" s="1"/>
  <c r="AK561" i="13" l="1"/>
  <c r="AL560" i="13"/>
  <c r="AM560" i="13" s="1"/>
  <c r="AN560" i="13" s="1"/>
  <c r="AP560" i="13"/>
  <c r="AQ560" i="13" s="1"/>
  <c r="AR560" i="13" s="1"/>
  <c r="AL561" i="13" l="1"/>
  <c r="AM561" i="13" s="1"/>
  <c r="AN561" i="13" s="1"/>
  <c r="AP561" i="13"/>
  <c r="AQ561" i="13" s="1"/>
  <c r="AR561" i="13" s="1"/>
  <c r="AK562" i="13"/>
  <c r="AK563" i="13" l="1"/>
  <c r="AP562" i="13"/>
  <c r="AQ562" i="13" s="1"/>
  <c r="AR562" i="13" s="1"/>
  <c r="AL562" i="13"/>
  <c r="AM562" i="13" s="1"/>
  <c r="AN562" i="13" s="1"/>
  <c r="AP563" i="13" l="1"/>
  <c r="AQ563" i="13" s="1"/>
  <c r="AR563" i="13" s="1"/>
  <c r="AL563" i="13"/>
  <c r="AM563" i="13" s="1"/>
  <c r="AN563" i="13" s="1"/>
  <c r="AK564" i="13"/>
  <c r="AK565" i="13" l="1"/>
  <c r="AL564" i="13"/>
  <c r="AM564" i="13" s="1"/>
  <c r="AN564" i="13" s="1"/>
  <c r="AP564" i="13"/>
  <c r="AQ564" i="13" s="1"/>
  <c r="AR564" i="13" s="1"/>
  <c r="AP565" i="13" l="1"/>
  <c r="AQ565" i="13" s="1"/>
  <c r="AR565" i="13" s="1"/>
  <c r="AL565" i="13"/>
  <c r="AM565" i="13" s="1"/>
  <c r="AN565" i="13" s="1"/>
  <c r="AK566" i="13"/>
  <c r="AK567" i="13" l="1"/>
  <c r="AP566" i="13"/>
  <c r="AQ566" i="13" s="1"/>
  <c r="AR566" i="13" s="1"/>
  <c r="AL566" i="13"/>
  <c r="AM566" i="13" s="1"/>
  <c r="AN566" i="13" s="1"/>
  <c r="AP567" i="13" l="1"/>
  <c r="AQ567" i="13" s="1"/>
  <c r="AR567" i="13" s="1"/>
  <c r="AL567" i="13"/>
  <c r="AM567" i="13" s="1"/>
  <c r="AN567" i="13" s="1"/>
  <c r="AK568" i="13"/>
  <c r="AK569" i="13" l="1"/>
  <c r="AL568" i="13"/>
  <c r="AM568" i="13" s="1"/>
  <c r="AN568" i="13" s="1"/>
  <c r="AP568" i="13"/>
  <c r="AQ568" i="13" s="1"/>
  <c r="AR568" i="13" s="1"/>
  <c r="AL569" i="13" l="1"/>
  <c r="AM569" i="13" s="1"/>
  <c r="AN569" i="13" s="1"/>
  <c r="AK570" i="13"/>
  <c r="AP569" i="13"/>
  <c r="AQ569" i="13" s="1"/>
  <c r="AR569" i="13" s="1"/>
  <c r="AL570" i="13" l="1"/>
  <c r="AM570" i="13" s="1"/>
  <c r="AN570" i="13" s="1"/>
  <c r="AP570" i="13"/>
  <c r="AQ570" i="13" s="1"/>
  <c r="AR570" i="13" s="1"/>
  <c r="AK571" i="13"/>
  <c r="AL571" i="13" l="1"/>
  <c r="AM571" i="13" s="1"/>
  <c r="AN571" i="13" s="1"/>
  <c r="AP571" i="13"/>
  <c r="AQ571" i="13" s="1"/>
  <c r="AR571" i="13" s="1"/>
  <c r="AK572" i="13"/>
  <c r="AK573" i="13" l="1"/>
  <c r="AP572" i="13"/>
  <c r="AQ572" i="13" s="1"/>
  <c r="AR572" i="13" s="1"/>
  <c r="AL572" i="13"/>
  <c r="AM572" i="13" s="1"/>
  <c r="AN572" i="13" s="1"/>
  <c r="AL573" i="13" l="1"/>
  <c r="AM573" i="13" s="1"/>
  <c r="AN573" i="13" s="1"/>
  <c r="AP573" i="13"/>
  <c r="AQ573" i="13" s="1"/>
  <c r="AR573" i="13" s="1"/>
  <c r="AK574" i="13"/>
  <c r="AP574" i="13" l="1"/>
  <c r="AQ574" i="13" s="1"/>
  <c r="AR574" i="13" s="1"/>
  <c r="AK575" i="13"/>
  <c r="AL574" i="13"/>
  <c r="AM574" i="13" s="1"/>
  <c r="AN574" i="13" s="1"/>
  <c r="AP575" i="13" l="1"/>
  <c r="AQ575" i="13" s="1"/>
  <c r="AR575" i="13" s="1"/>
  <c r="AK576" i="13"/>
  <c r="AL575" i="13"/>
  <c r="AM575" i="13" s="1"/>
  <c r="AN575" i="13" s="1"/>
  <c r="AK577" i="13" l="1"/>
  <c r="AL576" i="13"/>
  <c r="AM576" i="13" s="1"/>
  <c r="AN576" i="13" s="1"/>
  <c r="AP576" i="13"/>
  <c r="AQ576" i="13" s="1"/>
  <c r="AR576" i="13" s="1"/>
  <c r="AL577" i="13" l="1"/>
  <c r="AM577" i="13" s="1"/>
  <c r="AN577" i="13" s="1"/>
  <c r="AK578" i="13"/>
  <c r="AP577" i="13"/>
  <c r="AQ577" i="13" s="1"/>
  <c r="AR577" i="13" s="1"/>
  <c r="AP578" i="13" l="1"/>
  <c r="AQ578" i="13" s="1"/>
  <c r="AR578" i="13" s="1"/>
  <c r="AL578" i="13"/>
  <c r="AM578" i="13" s="1"/>
  <c r="AN578" i="13" s="1"/>
  <c r="AK579" i="13"/>
  <c r="AL579" i="13" l="1"/>
  <c r="AM579" i="13" s="1"/>
  <c r="AN579" i="13" s="1"/>
  <c r="AK580" i="13"/>
  <c r="AP579" i="13"/>
  <c r="AQ579" i="13" s="1"/>
  <c r="AR579" i="13" s="1"/>
  <c r="AK581" i="13" l="1"/>
  <c r="AP580" i="13"/>
  <c r="AQ580" i="13" s="1"/>
  <c r="AR580" i="13" s="1"/>
  <c r="AL580" i="13"/>
  <c r="AM580" i="13" s="1"/>
  <c r="AN580" i="13" s="1"/>
  <c r="AK582" i="13" l="1"/>
  <c r="AP581" i="13"/>
  <c r="AQ581" i="13" s="1"/>
  <c r="AR581" i="13" s="1"/>
  <c r="AL581" i="13"/>
  <c r="AM581" i="13" s="1"/>
  <c r="AN581" i="13" s="1"/>
  <c r="AL582" i="13" l="1"/>
  <c r="AM582" i="13" s="1"/>
  <c r="AN582" i="13" s="1"/>
  <c r="AP582" i="13"/>
  <c r="AQ582" i="13" s="1"/>
  <c r="AR582" i="13" s="1"/>
  <c r="AK583" i="13"/>
  <c r="AK584" i="13" l="1"/>
  <c r="AP583" i="13"/>
  <c r="AQ583" i="13" s="1"/>
  <c r="AR583" i="13" s="1"/>
  <c r="AL583" i="13"/>
  <c r="AM583" i="13" s="1"/>
  <c r="AN583" i="13" s="1"/>
  <c r="AK585" i="13" l="1"/>
  <c r="AP584" i="13"/>
  <c r="AQ584" i="13" s="1"/>
  <c r="AR584" i="13" s="1"/>
  <c r="AL584" i="13"/>
  <c r="AM584" i="13" s="1"/>
  <c r="AN584" i="13" s="1"/>
  <c r="AK586" i="13" l="1"/>
  <c r="AP585" i="13"/>
  <c r="AQ585" i="13" s="1"/>
  <c r="AR585" i="13" s="1"/>
  <c r="AL585" i="13"/>
  <c r="AM585" i="13" s="1"/>
  <c r="AN585" i="13" s="1"/>
  <c r="AP586" i="13" l="1"/>
  <c r="AQ586" i="13" s="1"/>
  <c r="AR586" i="13" s="1"/>
  <c r="AK587" i="13"/>
  <c r="AL586" i="13"/>
  <c r="AM586" i="13" s="1"/>
  <c r="AN586" i="13" s="1"/>
  <c r="AP587" i="13" l="1"/>
  <c r="AQ587" i="13" s="1"/>
  <c r="AR587" i="13" s="1"/>
  <c r="AL587" i="13"/>
  <c r="AM587" i="13" s="1"/>
  <c r="AN587" i="13" s="1"/>
  <c r="AK588" i="13"/>
  <c r="AK589" i="13" l="1"/>
  <c r="AP588" i="13"/>
  <c r="AQ588" i="13" s="1"/>
  <c r="AR588" i="13" s="1"/>
  <c r="AL588" i="13"/>
  <c r="AM588" i="13" s="1"/>
  <c r="AN588" i="13" s="1"/>
  <c r="AL589" i="13" l="1"/>
  <c r="AM589" i="13" s="1"/>
  <c r="AN589" i="13" s="1"/>
  <c r="AP589" i="13"/>
  <c r="AQ589" i="13" s="1"/>
  <c r="AR589" i="13" s="1"/>
  <c r="AK590" i="13"/>
  <c r="AK591" i="13" l="1"/>
  <c r="AP590" i="13"/>
  <c r="AQ590" i="13" s="1"/>
  <c r="AR590" i="13" s="1"/>
  <c r="AL590" i="13"/>
  <c r="AM590" i="13" s="1"/>
  <c r="AN590" i="13" s="1"/>
  <c r="AL591" i="13" l="1"/>
  <c r="AM591" i="13" s="1"/>
  <c r="AN591" i="13" s="1"/>
  <c r="AK592" i="13"/>
  <c r="AP591" i="13"/>
  <c r="AQ591" i="13" s="1"/>
  <c r="AR591" i="13" s="1"/>
  <c r="AK593" i="13" l="1"/>
  <c r="AL592" i="13"/>
  <c r="AM592" i="13" s="1"/>
  <c r="AN592" i="13" s="1"/>
  <c r="AP592" i="13"/>
  <c r="AQ592" i="13" s="1"/>
  <c r="AR592" i="13" s="1"/>
  <c r="AK594" i="13" l="1"/>
  <c r="AP593" i="13"/>
  <c r="AQ593" i="13" s="1"/>
  <c r="AR593" i="13" s="1"/>
  <c r="AL593" i="13"/>
  <c r="AM593" i="13" s="1"/>
  <c r="AN593" i="13" s="1"/>
  <c r="AL594" i="13" l="1"/>
  <c r="AM594" i="13" s="1"/>
  <c r="AN594" i="13" s="1"/>
  <c r="AK595" i="13"/>
  <c r="AP594" i="13"/>
  <c r="AQ594" i="13" s="1"/>
  <c r="AR594" i="13" s="1"/>
  <c r="AL595" i="13" l="1"/>
  <c r="AM595" i="13" s="1"/>
  <c r="AN595" i="13" s="1"/>
  <c r="AK596" i="13"/>
  <c r="AP595" i="13"/>
  <c r="AQ595" i="13" s="1"/>
  <c r="AR595" i="13" s="1"/>
  <c r="AK597" i="13" l="1"/>
  <c r="AP596" i="13"/>
  <c r="AQ596" i="13" s="1"/>
  <c r="AR596" i="13" s="1"/>
  <c r="AL596" i="13"/>
  <c r="AM596" i="13" s="1"/>
  <c r="AN596" i="13" s="1"/>
  <c r="AL597" i="13" l="1"/>
  <c r="AM597" i="13" s="1"/>
  <c r="AN597" i="13" s="1"/>
  <c r="AP597" i="13"/>
  <c r="AQ597" i="13" s="1"/>
  <c r="AR597" i="13" s="1"/>
  <c r="AK598" i="13"/>
  <c r="AL598" i="13" l="1"/>
  <c r="AM598" i="13" s="1"/>
  <c r="AP598" i="13"/>
  <c r="AQ598" i="13" s="1"/>
  <c r="AR598" i="13" s="1"/>
  <c r="AK599" i="13"/>
  <c r="AN598" i="13"/>
  <c r="AL599" i="13" l="1"/>
  <c r="AM599" i="13" s="1"/>
  <c r="AN599" i="13" s="1"/>
  <c r="AK600" i="13"/>
  <c r="AP599" i="13"/>
  <c r="AQ599" i="13" s="1"/>
  <c r="AR599" i="13" s="1"/>
  <c r="AK601" i="13" l="1"/>
  <c r="AP600" i="13"/>
  <c r="AQ600" i="13" s="1"/>
  <c r="AR600" i="13" s="1"/>
  <c r="AL600" i="13"/>
  <c r="AM600" i="13" s="1"/>
  <c r="AN600" i="13" s="1"/>
  <c r="AL601" i="13" l="1"/>
  <c r="AM601" i="13" s="1"/>
  <c r="AN601" i="13" s="1"/>
  <c r="AP601" i="13"/>
  <c r="AQ601" i="13" s="1"/>
  <c r="AR601" i="13" s="1"/>
  <c r="AK602" i="13"/>
  <c r="AL602" i="13" l="1"/>
  <c r="AM602" i="13" s="1"/>
  <c r="AN602" i="13" s="1"/>
  <c r="AP602" i="13"/>
  <c r="AQ602" i="13" s="1"/>
  <c r="AK603" i="13"/>
  <c r="AR602" i="13"/>
  <c r="AK604" i="13" l="1"/>
  <c r="AP603" i="13"/>
  <c r="AQ603" i="13" s="1"/>
  <c r="AR603" i="13" s="1"/>
  <c r="AL603" i="13"/>
  <c r="AM603" i="13" s="1"/>
  <c r="AN603" i="13" s="1"/>
  <c r="AK605" i="13" l="1"/>
  <c r="AP604" i="13"/>
  <c r="AQ604" i="13" s="1"/>
  <c r="AR604" i="13" s="1"/>
  <c r="AL604" i="13"/>
  <c r="AM604" i="13" s="1"/>
  <c r="AN604" i="13" s="1"/>
  <c r="AP605" i="13" l="1"/>
  <c r="AQ605" i="13" s="1"/>
  <c r="AR605" i="13" s="1"/>
  <c r="AK606" i="13"/>
  <c r="AL605" i="13"/>
  <c r="AM605" i="13" s="1"/>
  <c r="AN605" i="13" s="1"/>
  <c r="AK607" i="13" l="1"/>
  <c r="AL606" i="13"/>
  <c r="AM606" i="13" s="1"/>
  <c r="AN606" i="13" s="1"/>
  <c r="AP606" i="13"/>
  <c r="AQ606" i="13" s="1"/>
  <c r="AR606" i="13"/>
  <c r="AL607" i="13" l="1"/>
  <c r="AM607" i="13" s="1"/>
  <c r="AN607" i="13" s="1"/>
  <c r="AK608" i="13"/>
  <c r="AP607" i="13"/>
  <c r="AQ607" i="13" s="1"/>
  <c r="AR607" i="13" s="1"/>
  <c r="AL608" i="13" l="1"/>
  <c r="AM608" i="13" s="1"/>
  <c r="AN608" i="13" s="1"/>
  <c r="AP608" i="13"/>
  <c r="AQ608" i="13" s="1"/>
  <c r="AR608" i="13"/>
  <c r="AK609" i="13"/>
  <c r="AK610" i="13" l="1"/>
  <c r="AP609" i="13"/>
  <c r="AQ609" i="13" s="1"/>
  <c r="AR609" i="13" s="1"/>
  <c r="AL609" i="13"/>
  <c r="AM609" i="13" s="1"/>
  <c r="AN609" i="13" s="1"/>
  <c r="AL610" i="13" l="1"/>
  <c r="AM610" i="13" s="1"/>
  <c r="AP610" i="13"/>
  <c r="AQ610" i="13" s="1"/>
  <c r="AR610" i="13" s="1"/>
  <c r="AN610" i="13"/>
  <c r="AK611" i="13"/>
  <c r="AK612" i="13" l="1"/>
  <c r="AP611" i="13"/>
  <c r="AQ611" i="13" s="1"/>
  <c r="AR611" i="13" s="1"/>
  <c r="AL611" i="13"/>
  <c r="AM611" i="13" s="1"/>
  <c r="AN611" i="13" s="1"/>
  <c r="AK613" i="13" l="1"/>
  <c r="AL612" i="13"/>
  <c r="AM612" i="13" s="1"/>
  <c r="AN612" i="13" s="1"/>
  <c r="AP612" i="13"/>
  <c r="AQ612" i="13" s="1"/>
  <c r="AR612" i="13"/>
  <c r="AK614" i="13" l="1"/>
  <c r="AP613" i="13"/>
  <c r="AQ613" i="13" s="1"/>
  <c r="AR613" i="13" s="1"/>
  <c r="AL613" i="13"/>
  <c r="AM613" i="13" s="1"/>
  <c r="AN613" i="13"/>
  <c r="AL614" i="13" l="1"/>
  <c r="AM614" i="13" s="1"/>
  <c r="AN614" i="13" s="1"/>
  <c r="AP614" i="13"/>
  <c r="AQ614" i="13" s="1"/>
  <c r="AR614" i="13" s="1"/>
  <c r="AK615" i="13"/>
  <c r="AL615" i="13" l="1"/>
  <c r="AM615" i="13" s="1"/>
  <c r="AP615" i="13"/>
  <c r="AQ615" i="13" s="1"/>
  <c r="AK616" i="13"/>
  <c r="AN615" i="13"/>
  <c r="AR615" i="13"/>
  <c r="AK617" i="13" l="1"/>
  <c r="AL616" i="13"/>
  <c r="AM616" i="13" s="1"/>
  <c r="AN616" i="13" s="1"/>
  <c r="AP616" i="13"/>
  <c r="AQ616" i="13" s="1"/>
  <c r="AR616" i="13" s="1"/>
  <c r="AP617" i="13" l="1"/>
  <c r="AQ617" i="13" s="1"/>
  <c r="AR617" i="13" s="1"/>
  <c r="AL617" i="13"/>
  <c r="AM617" i="13" s="1"/>
  <c r="AN617" i="13" s="1"/>
  <c r="AK618" i="13"/>
  <c r="AK619" i="13" l="1"/>
  <c r="AP618" i="13"/>
  <c r="AQ618" i="13" s="1"/>
  <c r="AL618" i="13"/>
  <c r="AM618" i="13" s="1"/>
  <c r="AN618" i="13" s="1"/>
  <c r="AR618" i="13"/>
  <c r="AL619" i="13" l="1"/>
  <c r="AM619" i="13" s="1"/>
  <c r="AP619" i="13"/>
  <c r="AQ619" i="13" s="1"/>
  <c r="AR619" i="13" s="1"/>
  <c r="AN619" i="13"/>
  <c r="AK620" i="13"/>
  <c r="AP620" i="13" l="1"/>
  <c r="AQ620" i="13" s="1"/>
  <c r="AR620" i="13" s="1"/>
  <c r="AK621" i="13"/>
  <c r="AL620" i="13"/>
  <c r="AM620" i="13" s="1"/>
  <c r="AN620" i="13" s="1"/>
  <c r="AL621" i="13" l="1"/>
  <c r="AM621" i="13" s="1"/>
  <c r="AN621" i="13" s="1"/>
  <c r="AK622" i="13"/>
  <c r="AP621" i="13"/>
  <c r="AQ621" i="13" s="1"/>
  <c r="AR621" i="13" s="1"/>
  <c r="AP622" i="13" l="1"/>
  <c r="AQ622" i="13" s="1"/>
  <c r="AR622" i="13" s="1"/>
  <c r="AL622" i="13"/>
  <c r="AM622" i="13" s="1"/>
  <c r="AN622" i="13" s="1"/>
  <c r="AK623" i="13"/>
  <c r="AL623" i="13" l="1"/>
  <c r="AM623" i="13" s="1"/>
  <c r="AN623" i="13" s="1"/>
  <c r="AP623" i="13"/>
  <c r="AQ623" i="13" s="1"/>
  <c r="AR623" i="13" s="1"/>
  <c r="AK624" i="13"/>
  <c r="AL624" i="13" l="1"/>
  <c r="AM624" i="13" s="1"/>
  <c r="AN624" i="13" s="1"/>
  <c r="AK625" i="13"/>
  <c r="AP624" i="13"/>
  <c r="AQ624" i="13" s="1"/>
  <c r="AR624" i="13" s="1"/>
  <c r="AL625" i="13" l="1"/>
  <c r="AM625" i="13" s="1"/>
  <c r="AN625" i="13" s="1"/>
  <c r="AP625" i="13"/>
  <c r="AQ625" i="13" s="1"/>
  <c r="AR625" i="13" s="1"/>
  <c r="AK626" i="13"/>
  <c r="AP626" i="13" l="1"/>
  <c r="AQ626" i="13" s="1"/>
  <c r="AR626" i="13" s="1"/>
  <c r="AK627" i="13"/>
  <c r="AL626" i="13"/>
  <c r="AM626" i="13" s="1"/>
  <c r="AN626" i="13" s="1"/>
  <c r="AK628" i="13" l="1"/>
  <c r="AP627" i="13"/>
  <c r="AQ627" i="13" s="1"/>
  <c r="AL627" i="13"/>
  <c r="AM627" i="13" s="1"/>
  <c r="AN627" i="13" s="1"/>
  <c r="AR627" i="13"/>
  <c r="AP628" i="13" l="1"/>
  <c r="AQ628" i="13" s="1"/>
  <c r="AR628" i="13" s="1"/>
  <c r="AK629" i="13"/>
  <c r="AL628" i="13"/>
  <c r="AM628" i="13" s="1"/>
  <c r="AN628" i="13" s="1"/>
  <c r="AL629" i="13" l="1"/>
  <c r="AM629" i="13" s="1"/>
  <c r="AN629" i="13" s="1"/>
  <c r="AK630" i="13"/>
  <c r="AP629" i="13"/>
  <c r="AQ629" i="13" s="1"/>
  <c r="AR629" i="13" s="1"/>
  <c r="AP630" i="13" l="1"/>
  <c r="AQ630" i="13" s="1"/>
  <c r="AR630" i="13" s="1"/>
  <c r="AK631" i="13"/>
  <c r="AL630" i="13"/>
  <c r="AM630" i="13" s="1"/>
  <c r="AN630" i="13" s="1"/>
  <c r="AL631" i="13" l="1"/>
  <c r="AM631" i="13" s="1"/>
  <c r="AN631" i="13" s="1"/>
  <c r="AK632" i="13"/>
  <c r="AP631" i="13"/>
  <c r="AQ631" i="13" s="1"/>
  <c r="AR631" i="13" s="1"/>
  <c r="AL632" i="13" l="1"/>
  <c r="AM632" i="13" s="1"/>
  <c r="AN632" i="13" s="1"/>
  <c r="AK633" i="13"/>
  <c r="AP632" i="13"/>
  <c r="AQ632" i="13" s="1"/>
  <c r="AR632" i="13" s="1"/>
  <c r="AK634" i="13" l="1"/>
  <c r="AP633" i="13"/>
  <c r="AQ633" i="13" s="1"/>
  <c r="AR633" i="13" s="1"/>
  <c r="AL633" i="13"/>
  <c r="AM633" i="13" s="1"/>
  <c r="AN633" i="13" s="1"/>
  <c r="AL634" i="13" l="1"/>
  <c r="AM634" i="13" s="1"/>
  <c r="AN634" i="13" s="1"/>
  <c r="AK635" i="13"/>
  <c r="AP634" i="13"/>
  <c r="AQ634" i="13" s="1"/>
  <c r="AR634" i="13" s="1"/>
  <c r="AK636" i="13" l="1"/>
  <c r="AP635" i="13"/>
  <c r="AQ635" i="13" s="1"/>
  <c r="AR635" i="13" s="1"/>
  <c r="AL635" i="13"/>
  <c r="AM635" i="13" s="1"/>
  <c r="AN635" i="13" s="1"/>
  <c r="AK637" i="13" l="1"/>
  <c r="AP636" i="13"/>
  <c r="AQ636" i="13" s="1"/>
  <c r="AR636" i="13" s="1"/>
  <c r="AL636" i="13"/>
  <c r="AM636" i="13" s="1"/>
  <c r="AN636" i="13" s="1"/>
  <c r="AP637" i="13" l="1"/>
  <c r="AQ637" i="13" s="1"/>
  <c r="AR637" i="13" s="1"/>
  <c r="AL637" i="13"/>
  <c r="AM637" i="13" s="1"/>
  <c r="AN637" i="13" s="1"/>
  <c r="AK638" i="13"/>
  <c r="AK639" i="13" l="1"/>
  <c r="AL638" i="13"/>
  <c r="AM638" i="13" s="1"/>
  <c r="AN638" i="13" s="1"/>
  <c r="AP638" i="13"/>
  <c r="AQ638" i="13" s="1"/>
  <c r="AR638" i="13" s="1"/>
  <c r="AL639" i="13" l="1"/>
  <c r="AM639" i="13" s="1"/>
  <c r="AN639" i="13" s="1"/>
  <c r="AP639" i="13"/>
  <c r="AQ639" i="13" s="1"/>
  <c r="AR639" i="13" s="1"/>
  <c r="AK640" i="13"/>
  <c r="AK641" i="13" l="1"/>
  <c r="AL640" i="13"/>
  <c r="AM640" i="13" s="1"/>
  <c r="AN640" i="13" s="1"/>
  <c r="AP640" i="13"/>
  <c r="AQ640" i="13" s="1"/>
  <c r="AR640" i="13" s="1"/>
  <c r="AL641" i="13" l="1"/>
  <c r="AM641" i="13" s="1"/>
  <c r="AN641" i="13" s="1"/>
  <c r="AK642" i="13"/>
  <c r="AP641" i="13"/>
  <c r="AQ641" i="13" s="1"/>
  <c r="AR641" i="13" s="1"/>
  <c r="AK643" i="13" l="1"/>
  <c r="AL642" i="13"/>
  <c r="AM642" i="13" s="1"/>
  <c r="AN642" i="13" s="1"/>
  <c r="AP642" i="13"/>
  <c r="AQ642" i="13" s="1"/>
  <c r="AR642" i="13" s="1"/>
  <c r="AK644" i="13" l="1"/>
  <c r="AL643" i="13"/>
  <c r="AM643" i="13" s="1"/>
  <c r="AN643" i="13" s="1"/>
  <c r="AP643" i="13"/>
  <c r="AQ643" i="13" s="1"/>
  <c r="AR643" i="13" s="1"/>
  <c r="AP644" i="13" l="1"/>
  <c r="AQ644" i="13" s="1"/>
  <c r="AR644" i="13" s="1"/>
  <c r="AK645" i="13"/>
  <c r="AL644" i="13"/>
  <c r="AM644" i="13" s="1"/>
  <c r="AN644" i="13" s="1"/>
  <c r="AP645" i="13" l="1"/>
  <c r="AQ645" i="13" s="1"/>
  <c r="AR645" i="13" s="1"/>
  <c r="AL645" i="13"/>
  <c r="AM645" i="13" s="1"/>
  <c r="AN645" i="13" s="1"/>
  <c r="AK646" i="13"/>
  <c r="AL646" i="13" l="1"/>
  <c r="AM646" i="13" s="1"/>
  <c r="AN646" i="13" s="1"/>
  <c r="AK647" i="13"/>
  <c r="AP646" i="13"/>
  <c r="AQ646" i="13" s="1"/>
  <c r="AR646" i="13" s="1"/>
  <c r="AP647" i="13" l="1"/>
  <c r="AQ647" i="13" s="1"/>
  <c r="AR647" i="13" s="1"/>
  <c r="AL647" i="13"/>
  <c r="AM647" i="13" s="1"/>
  <c r="AN647" i="13" s="1"/>
  <c r="AK648" i="13"/>
  <c r="AL648" i="13" l="1"/>
  <c r="AM648" i="13" s="1"/>
  <c r="AN648" i="13" s="1"/>
  <c r="AK649" i="13"/>
  <c r="AP648" i="13"/>
  <c r="AQ648" i="13" s="1"/>
  <c r="AR648" i="13" s="1"/>
  <c r="AL649" i="13" l="1"/>
  <c r="AM649" i="13" s="1"/>
  <c r="AN649" i="13" s="1"/>
  <c r="AK650" i="13"/>
  <c r="AP649" i="13"/>
  <c r="AQ649" i="13" s="1"/>
  <c r="AR649" i="13" s="1"/>
  <c r="AK651" i="13" l="1"/>
  <c r="AL650" i="13"/>
  <c r="AM650" i="13" s="1"/>
  <c r="AN650" i="13" s="1"/>
  <c r="AP650" i="13"/>
  <c r="AQ650" i="13" s="1"/>
  <c r="AR650" i="13" s="1"/>
  <c r="AL651" i="13" l="1"/>
  <c r="AM651" i="13" s="1"/>
  <c r="AN651" i="13" s="1"/>
  <c r="AP651" i="13"/>
  <c r="AQ651" i="13" s="1"/>
  <c r="AR651" i="13" s="1"/>
  <c r="AK652" i="13"/>
  <c r="AK653" i="13" l="1"/>
  <c r="AL652" i="13"/>
  <c r="AM652" i="13" s="1"/>
  <c r="AN652" i="13" s="1"/>
  <c r="AP652" i="13"/>
  <c r="AQ652" i="13" s="1"/>
  <c r="AR652" i="13" s="1"/>
  <c r="AL653" i="13" l="1"/>
  <c r="AM653" i="13" s="1"/>
  <c r="AN653" i="13" s="1"/>
  <c r="AK654" i="13"/>
  <c r="AP653" i="13"/>
  <c r="AQ653" i="13" s="1"/>
  <c r="AR653" i="13" s="1"/>
  <c r="AK655" i="13" l="1"/>
  <c r="AL654" i="13"/>
  <c r="AM654" i="13" s="1"/>
  <c r="AN654" i="13" s="1"/>
  <c r="AP654" i="13"/>
  <c r="AQ654" i="13" s="1"/>
  <c r="AR654" i="13" s="1"/>
  <c r="AL655" i="13" l="1"/>
  <c r="AM655" i="13" s="1"/>
  <c r="AN655" i="13" s="1"/>
  <c r="AK656" i="13"/>
  <c r="AP655" i="13"/>
  <c r="AQ655" i="13" s="1"/>
  <c r="AR655" i="13" s="1"/>
  <c r="AL656" i="13" l="1"/>
  <c r="AM656" i="13" s="1"/>
  <c r="AN656" i="13" s="1"/>
  <c r="AK657" i="13"/>
  <c r="AP656" i="13"/>
  <c r="AQ656" i="13" s="1"/>
  <c r="AR656" i="13" s="1"/>
  <c r="AK658" i="13" l="1"/>
  <c r="AP657" i="13"/>
  <c r="AQ657" i="13" s="1"/>
  <c r="AR657" i="13" s="1"/>
  <c r="AL657" i="13"/>
  <c r="AM657" i="13" s="1"/>
  <c r="AN657" i="13" s="1"/>
  <c r="AL658" i="13" l="1"/>
  <c r="AM658" i="13" s="1"/>
  <c r="AN658" i="13" s="1"/>
  <c r="AP658" i="13"/>
  <c r="AQ658" i="13" s="1"/>
  <c r="AR658" i="13" s="1"/>
  <c r="AK659" i="13"/>
  <c r="AK660" i="13" l="1"/>
  <c r="AL659" i="13"/>
  <c r="AM659" i="13" s="1"/>
  <c r="AN659" i="13" s="1"/>
  <c r="AP659" i="13"/>
  <c r="AQ659" i="13" s="1"/>
  <c r="AR659" i="13" s="1"/>
  <c r="AL660" i="13" l="1"/>
  <c r="AM660" i="13" s="1"/>
  <c r="AN660" i="13" s="1"/>
  <c r="AP660" i="13"/>
  <c r="AQ660" i="13" s="1"/>
  <c r="AR660" i="13" s="1"/>
  <c r="AK661" i="13"/>
  <c r="AP661" i="13" l="1"/>
  <c r="AQ661" i="13" s="1"/>
  <c r="AR661" i="13" s="1"/>
  <c r="AL661" i="13"/>
  <c r="AM661" i="13" s="1"/>
  <c r="AN661" i="13" s="1"/>
  <c r="AK662" i="13"/>
  <c r="AL662" i="13" l="1"/>
  <c r="AM662" i="13" s="1"/>
  <c r="AN662" i="13" s="1"/>
  <c r="AP662" i="13"/>
  <c r="AQ662" i="13" s="1"/>
  <c r="AR662" i="13" s="1"/>
  <c r="AK663" i="13"/>
  <c r="AP663" i="13" l="1"/>
  <c r="AQ663" i="13" s="1"/>
  <c r="AR663" i="13" s="1"/>
  <c r="AL663" i="13"/>
  <c r="AM663" i="13" s="1"/>
  <c r="AN663" i="13" s="1"/>
  <c r="AK664" i="13"/>
  <c r="AL664" i="13" l="1"/>
  <c r="AM664" i="13" s="1"/>
  <c r="AN664" i="13" s="1"/>
  <c r="AP664" i="13"/>
  <c r="AQ664" i="13" s="1"/>
  <c r="AR664" i="13" s="1"/>
  <c r="AK665" i="13"/>
  <c r="AL665" i="13" l="1"/>
  <c r="AM665" i="13" s="1"/>
  <c r="AN665" i="13" s="1"/>
  <c r="AK666" i="13"/>
  <c r="AP665" i="13"/>
  <c r="AQ665" i="13" s="1"/>
  <c r="AR665" i="13" s="1"/>
  <c r="AL666" i="13" l="1"/>
  <c r="AM666" i="13" s="1"/>
  <c r="AN666" i="13" s="1"/>
  <c r="AK667" i="13"/>
  <c r="AP666" i="13"/>
  <c r="AQ666" i="13" s="1"/>
  <c r="AR666" i="13" s="1"/>
  <c r="AL667" i="13" l="1"/>
  <c r="AM667" i="13" s="1"/>
  <c r="AN667" i="13" s="1"/>
  <c r="AK668" i="13"/>
  <c r="AP667" i="13"/>
  <c r="AQ667" i="13" s="1"/>
  <c r="AR667" i="13" s="1"/>
  <c r="AP668" i="13" l="1"/>
  <c r="AQ668" i="13" s="1"/>
  <c r="AR668" i="13" s="1"/>
  <c r="AL668" i="13"/>
  <c r="AM668" i="13" s="1"/>
  <c r="AN668" i="13" s="1"/>
  <c r="AK669" i="13"/>
  <c r="AL669" i="13" l="1"/>
  <c r="AM669" i="13" s="1"/>
  <c r="AN669" i="13" s="1"/>
  <c r="AK670" i="13"/>
  <c r="AP669" i="13"/>
  <c r="AQ669" i="13" s="1"/>
  <c r="AR669" i="13" s="1"/>
  <c r="AK671" i="13" l="1"/>
  <c r="AP670" i="13"/>
  <c r="AQ670" i="13" s="1"/>
  <c r="AR670" i="13" s="1"/>
  <c r="AL670" i="13"/>
  <c r="AM670" i="13" s="1"/>
  <c r="AN670" i="13" s="1"/>
  <c r="AP671" i="13" l="1"/>
  <c r="AQ671" i="13" s="1"/>
  <c r="AL671" i="13"/>
  <c r="AM671" i="13" s="1"/>
  <c r="AN671" i="13" s="1"/>
  <c r="AK672" i="13"/>
  <c r="AR671" i="13"/>
  <c r="AL672" i="13" l="1"/>
  <c r="AM672" i="13" s="1"/>
  <c r="AN672" i="13" s="1"/>
  <c r="AP672" i="13"/>
  <c r="AQ672" i="13" s="1"/>
  <c r="AR672" i="13" s="1"/>
  <c r="AK673" i="13"/>
  <c r="AL673" i="13" l="1"/>
  <c r="AM673" i="13" s="1"/>
  <c r="AN673" i="13" s="1"/>
  <c r="AK674" i="13"/>
  <c r="AP673" i="13"/>
  <c r="AQ673" i="13" s="1"/>
  <c r="AR673" i="13" s="1"/>
  <c r="AK675" i="13" l="1"/>
  <c r="AL674" i="13"/>
  <c r="AM674" i="13" s="1"/>
  <c r="AN674" i="13" s="1"/>
  <c r="AP674" i="13"/>
  <c r="AQ674" i="13" s="1"/>
  <c r="AR674" i="13" s="1"/>
  <c r="AL675" i="13" l="1"/>
  <c r="AM675" i="13" s="1"/>
  <c r="AN675" i="13" s="1"/>
  <c r="AP675" i="13"/>
  <c r="AQ675" i="13" s="1"/>
  <c r="AR675" i="13" s="1"/>
  <c r="AK676" i="13"/>
  <c r="AP676" i="13" l="1"/>
  <c r="AQ676" i="13" s="1"/>
  <c r="AR676" i="13" s="1"/>
  <c r="AK677" i="13"/>
  <c r="AL676" i="13"/>
  <c r="AM676" i="13" s="1"/>
  <c r="AN676" i="13" s="1"/>
  <c r="AL677" i="13" l="1"/>
  <c r="AM677" i="13" s="1"/>
  <c r="AN677" i="13" s="1"/>
  <c r="AK678" i="13"/>
  <c r="AP677" i="13"/>
  <c r="AQ677" i="13" s="1"/>
  <c r="AR677" i="13" s="1"/>
  <c r="AP678" i="13" l="1"/>
  <c r="AQ678" i="13" s="1"/>
  <c r="AR678" i="13" s="1"/>
  <c r="AL678" i="13"/>
  <c r="AM678" i="13" s="1"/>
  <c r="AN678" i="13" s="1"/>
  <c r="AK679" i="13"/>
  <c r="AL679" i="13" l="1"/>
  <c r="AM679" i="13" s="1"/>
  <c r="AN679" i="13" s="1"/>
  <c r="AP679" i="13"/>
  <c r="AQ679" i="13" s="1"/>
  <c r="AR679" i="13" s="1"/>
  <c r="AK680" i="13"/>
  <c r="AL680" i="13" l="1"/>
  <c r="AM680" i="13" s="1"/>
  <c r="AN680" i="13" s="1"/>
  <c r="AP680" i="13"/>
  <c r="AQ680" i="13" s="1"/>
  <c r="AR680" i="13" s="1"/>
  <c r="AK681" i="13"/>
  <c r="AP681" i="13" l="1"/>
  <c r="AQ681" i="13" s="1"/>
  <c r="AR681" i="13" s="1"/>
  <c r="AL681" i="13"/>
  <c r="AM681" i="13" s="1"/>
  <c r="AN681" i="13" s="1"/>
  <c r="AK682" i="13"/>
  <c r="AL682" i="13" l="1"/>
  <c r="AM682" i="13" s="1"/>
  <c r="AN682" i="13" s="1"/>
  <c r="AP682" i="13"/>
  <c r="AQ682" i="13" s="1"/>
  <c r="AR682" i="13" s="1"/>
  <c r="AK683" i="13"/>
  <c r="AL683" i="13" l="1"/>
  <c r="AM683" i="13" s="1"/>
  <c r="AN683" i="13" s="1"/>
  <c r="AK684" i="13"/>
  <c r="AP683" i="13"/>
  <c r="AQ683" i="13" s="1"/>
  <c r="AR683" i="13" s="1"/>
  <c r="AK685" i="13" l="1"/>
  <c r="AL684" i="13"/>
  <c r="AM684" i="13" s="1"/>
  <c r="AN684" i="13" s="1"/>
  <c r="AP684" i="13"/>
  <c r="AQ684" i="13" s="1"/>
  <c r="AR684" i="13" s="1"/>
  <c r="AL685" i="13" l="1"/>
  <c r="AM685" i="13" s="1"/>
  <c r="AN685" i="13" s="1"/>
  <c r="AK686" i="13"/>
  <c r="AP685" i="13"/>
  <c r="AQ685" i="13" s="1"/>
  <c r="AR685" i="13" s="1"/>
  <c r="AK687" i="13" l="1"/>
  <c r="AP686" i="13"/>
  <c r="AQ686" i="13" s="1"/>
  <c r="AR686" i="13" s="1"/>
  <c r="AL686" i="13"/>
  <c r="AM686" i="13" s="1"/>
  <c r="AN686" i="13" s="1"/>
  <c r="AL687" i="13" l="1"/>
  <c r="AM687" i="13" s="1"/>
  <c r="AN687" i="13" s="1"/>
  <c r="AP687" i="13"/>
  <c r="AQ687" i="13" s="1"/>
  <c r="AR687" i="13" s="1"/>
  <c r="AK688" i="13"/>
  <c r="AK689" i="13" l="1"/>
  <c r="AP688" i="13"/>
  <c r="AQ688" i="13" s="1"/>
  <c r="AR688" i="13" s="1"/>
  <c r="AL688" i="13"/>
  <c r="AM688" i="13" s="1"/>
  <c r="AN688" i="13" s="1"/>
  <c r="AP689" i="13" l="1"/>
  <c r="AQ689" i="13" s="1"/>
  <c r="AR689" i="13" s="1"/>
  <c r="AK690" i="13"/>
  <c r="AL689" i="13"/>
  <c r="AM689" i="13" s="1"/>
  <c r="AN689" i="13" s="1"/>
  <c r="AK691" i="13" l="1"/>
  <c r="AL690" i="13"/>
  <c r="AM690" i="13" s="1"/>
  <c r="AN690" i="13" s="1"/>
  <c r="AP690" i="13"/>
  <c r="AQ690" i="13" s="1"/>
  <c r="AR690" i="13" s="1"/>
  <c r="AK692" i="13" l="1"/>
  <c r="AL691" i="13"/>
  <c r="AM691" i="13" s="1"/>
  <c r="AN691" i="13" s="1"/>
  <c r="AP691" i="13"/>
  <c r="AQ691" i="13" s="1"/>
  <c r="AR691" i="13" s="1"/>
  <c r="AL692" i="13" l="1"/>
  <c r="AM692" i="13" s="1"/>
  <c r="AN692" i="13" s="1"/>
  <c r="AK693" i="13"/>
  <c r="AP692" i="13"/>
  <c r="AQ692" i="13" s="1"/>
  <c r="AR692" i="13" s="1"/>
  <c r="AK694" i="13" l="1"/>
  <c r="AP693" i="13"/>
  <c r="AQ693" i="13" s="1"/>
  <c r="AR693" i="13" s="1"/>
  <c r="AL693" i="13"/>
  <c r="AM693" i="13" s="1"/>
  <c r="AN693" i="13" s="1"/>
  <c r="AK695" i="13" l="1"/>
  <c r="AL694" i="13"/>
  <c r="AM694" i="13" s="1"/>
  <c r="AN694" i="13" s="1"/>
  <c r="AP694" i="13"/>
  <c r="AQ694" i="13" s="1"/>
  <c r="AR694" i="13"/>
  <c r="AL695" i="13" l="1"/>
  <c r="AM695" i="13" s="1"/>
  <c r="AN695" i="13" s="1"/>
  <c r="AP695" i="13"/>
  <c r="AQ695" i="13" s="1"/>
  <c r="AR695" i="13" s="1"/>
  <c r="AK696" i="13"/>
  <c r="AL696" i="13" l="1"/>
  <c r="AM696" i="13" s="1"/>
  <c r="AN696" i="13" s="1"/>
  <c r="AK697" i="13"/>
  <c r="AP696" i="13"/>
  <c r="AQ696" i="13" s="1"/>
  <c r="AR696" i="13" s="1"/>
  <c r="AP697" i="13" l="1"/>
  <c r="AQ697" i="13" s="1"/>
  <c r="AR697" i="13" s="1"/>
  <c r="AL697" i="13"/>
  <c r="AM697" i="13" s="1"/>
  <c r="AN697" i="13" s="1"/>
  <c r="AK698" i="13"/>
  <c r="AK699" i="13" l="1"/>
  <c r="AL698" i="13"/>
  <c r="AM698" i="13" s="1"/>
  <c r="AN698" i="13" s="1"/>
  <c r="AP698" i="13"/>
  <c r="AQ698" i="13" s="1"/>
  <c r="AR698" i="13" s="1"/>
  <c r="AL699" i="13" l="1"/>
  <c r="AM699" i="13" s="1"/>
  <c r="AN699" i="13" s="1"/>
  <c r="AK700" i="13"/>
  <c r="AP699" i="13"/>
  <c r="AQ699" i="13" s="1"/>
  <c r="AR699" i="13" s="1"/>
  <c r="AK701" i="13" l="1"/>
  <c r="AL700" i="13"/>
  <c r="AM700" i="13" s="1"/>
  <c r="AN700" i="13" s="1"/>
  <c r="AP700" i="13"/>
  <c r="AQ700" i="13" s="1"/>
  <c r="AR700" i="13" s="1"/>
  <c r="AP701" i="13" l="1"/>
  <c r="AQ701" i="13" s="1"/>
  <c r="AR701" i="13" s="1"/>
  <c r="AL701" i="13"/>
  <c r="AM701" i="13" s="1"/>
  <c r="AN701" i="13" s="1"/>
  <c r="AK702" i="13"/>
  <c r="AL702" i="13" l="1"/>
  <c r="AM702" i="13" s="1"/>
  <c r="AN702" i="13" s="1"/>
  <c r="AK703" i="13"/>
  <c r="AP702" i="13"/>
  <c r="AQ702" i="13" s="1"/>
  <c r="AR702" i="13" s="1"/>
  <c r="AL703" i="13" l="1"/>
  <c r="AM703" i="13" s="1"/>
  <c r="AN703" i="13" s="1"/>
  <c r="AK704" i="13"/>
  <c r="AP703" i="13"/>
  <c r="AQ703" i="13" s="1"/>
  <c r="AR703" i="13"/>
  <c r="AR704" i="13" l="1"/>
  <c r="AK705" i="13"/>
  <c r="AP704" i="13"/>
  <c r="AQ704" i="13" s="1"/>
  <c r="AL704" i="13"/>
  <c r="AM704" i="13" s="1"/>
  <c r="AN704" i="13" s="1"/>
  <c r="AL705" i="13" l="1"/>
  <c r="AM705" i="13" s="1"/>
  <c r="AN705" i="13" s="1"/>
  <c r="AK706" i="13"/>
  <c r="AP705" i="13"/>
  <c r="AQ705" i="13" s="1"/>
  <c r="AR705" i="13"/>
  <c r="AK707" i="13" l="1"/>
  <c r="AL706" i="13"/>
  <c r="AM706" i="13" s="1"/>
  <c r="AN706" i="13" s="1"/>
  <c r="AR706" i="13"/>
  <c r="AP706" i="13"/>
  <c r="AQ706" i="13" s="1"/>
  <c r="AK708" i="13" l="1"/>
  <c r="AL707" i="13"/>
  <c r="AM707" i="13" s="1"/>
  <c r="AN707" i="13" s="1"/>
  <c r="AR707" i="13"/>
  <c r="AP707" i="13"/>
  <c r="AQ707" i="13" s="1"/>
  <c r="AR708" i="13" l="1"/>
  <c r="AP708" i="13"/>
  <c r="AQ708" i="13" s="1"/>
  <c r="AL708" i="13"/>
  <c r="AM708" i="13" s="1"/>
  <c r="AN708" i="13" s="1"/>
  <c r="AK709" i="13"/>
  <c r="AL709" i="13" l="1"/>
  <c r="AM709" i="13" s="1"/>
  <c r="AN709" i="13" s="1"/>
  <c r="AR709" i="13"/>
  <c r="AP709" i="13"/>
  <c r="AQ709" i="13" s="1"/>
  <c r="AK710" i="13"/>
  <c r="AP710" i="13" l="1"/>
  <c r="AQ710" i="13" s="1"/>
  <c r="AR710" i="13"/>
  <c r="AK711" i="13"/>
  <c r="AL710" i="13"/>
  <c r="AM710" i="13" s="1"/>
  <c r="AN710" i="13" s="1"/>
  <c r="AL711" i="13" l="1"/>
  <c r="AM711" i="13" s="1"/>
  <c r="AN711" i="13" s="1"/>
  <c r="AR711" i="13"/>
  <c r="AK712" i="13"/>
  <c r="AP711" i="13"/>
  <c r="AQ711" i="13" s="1"/>
  <c r="AK713" i="13" l="1"/>
  <c r="AR712" i="13"/>
  <c r="AP712" i="13"/>
  <c r="AQ712" i="13" s="1"/>
  <c r="AL712" i="13"/>
  <c r="AM712" i="13" s="1"/>
  <c r="AN712" i="13" s="1"/>
  <c r="AR713" i="13" l="1"/>
  <c r="AP713" i="13"/>
  <c r="AQ713" i="13" s="1"/>
  <c r="AK714" i="13"/>
  <c r="AL713" i="13"/>
  <c r="AM713" i="13" s="1"/>
  <c r="AN713" i="13" s="1"/>
  <c r="AR714" i="13" l="1"/>
  <c r="AK715" i="13"/>
  <c r="AP714" i="13"/>
  <c r="AQ714" i="13" s="1"/>
  <c r="AL714" i="13"/>
  <c r="AM714" i="13" s="1"/>
  <c r="AN714" i="13" s="1"/>
  <c r="AL715" i="13" l="1"/>
  <c r="AM715" i="13" s="1"/>
  <c r="AN715" i="13" s="1"/>
  <c r="AR715" i="13"/>
  <c r="AP715" i="13"/>
  <c r="AQ715" i="13" s="1"/>
  <c r="AK716" i="13"/>
  <c r="AL716" i="13" l="1"/>
  <c r="AM716" i="13" s="1"/>
  <c r="AN716" i="13" s="1"/>
  <c r="AR716" i="13"/>
  <c r="AK717" i="13"/>
  <c r="AP716" i="13"/>
  <c r="AQ716" i="13" s="1"/>
  <c r="AK718" i="13" l="1"/>
  <c r="AR717" i="13"/>
  <c r="AL717" i="13"/>
  <c r="AM717" i="13" s="1"/>
  <c r="AN717" i="13" s="1"/>
  <c r="AP717" i="13"/>
  <c r="AQ717" i="13" s="1"/>
  <c r="AR718" i="13" l="1"/>
  <c r="AP718" i="13"/>
  <c r="AQ718" i="13" s="1"/>
  <c r="AK719" i="13"/>
  <c r="AL718" i="13"/>
  <c r="AM718" i="13" s="1"/>
  <c r="AN718" i="13" s="1"/>
  <c r="AR719" i="13" l="1"/>
  <c r="AL719" i="13"/>
  <c r="AM719" i="13" s="1"/>
  <c r="AN719" i="13" s="1"/>
  <c r="AP719" i="13"/>
  <c r="AQ719" i="13" s="1"/>
  <c r="AK720" i="13"/>
  <c r="AL720" i="13" l="1"/>
  <c r="AM720" i="13" s="1"/>
  <c r="AN720" i="13" s="1"/>
  <c r="AP720" i="13"/>
  <c r="AQ720" i="13" s="1"/>
  <c r="AK721" i="13"/>
  <c r="AR720" i="13"/>
  <c r="AP721" i="13" l="1"/>
  <c r="AQ721" i="13" s="1"/>
  <c r="AK722" i="13"/>
  <c r="AR721" i="13"/>
  <c r="AL721" i="13"/>
  <c r="AM721" i="13" s="1"/>
  <c r="AN721" i="13" s="1"/>
  <c r="AP722" i="13" l="1"/>
  <c r="AQ722" i="13" s="1"/>
  <c r="AL722" i="13"/>
  <c r="AM722" i="13" s="1"/>
  <c r="AN722" i="13" s="1"/>
  <c r="AK723" i="13"/>
  <c r="AR722" i="13"/>
  <c r="AK724" i="13" l="1"/>
  <c r="AL723" i="13"/>
  <c r="AM723" i="13" s="1"/>
  <c r="AN723" i="13" s="1"/>
  <c r="AR723" i="13"/>
  <c r="AP723" i="13"/>
  <c r="AQ723" i="13" s="1"/>
  <c r="AR724" i="13" l="1"/>
  <c r="AK725" i="13"/>
  <c r="AL724" i="13"/>
  <c r="AM724" i="13" s="1"/>
  <c r="AN724" i="13" s="1"/>
  <c r="AP724" i="13"/>
  <c r="AQ724" i="13" s="1"/>
  <c r="AR725" i="13" l="1"/>
  <c r="AP725" i="13"/>
  <c r="AQ725" i="13" s="1"/>
  <c r="AK726" i="13"/>
  <c r="AL725" i="13"/>
  <c r="AM725" i="13" s="1"/>
  <c r="AN725" i="13" s="1"/>
  <c r="AK727" i="13" l="1"/>
  <c r="AL726" i="13"/>
  <c r="AM726" i="13" s="1"/>
  <c r="AN726" i="13" s="1"/>
  <c r="AP726" i="13"/>
  <c r="AQ726" i="13" s="1"/>
  <c r="AR726" i="13"/>
  <c r="AP727" i="13" l="1"/>
  <c r="AQ727" i="13" s="1"/>
  <c r="AR727" i="13"/>
  <c r="AK728" i="13"/>
  <c r="AL727" i="13"/>
  <c r="AM727" i="13" s="1"/>
  <c r="AN727" i="13" s="1"/>
  <c r="AP728" i="13" l="1"/>
  <c r="AQ728" i="13" s="1"/>
  <c r="AR728" i="13"/>
  <c r="AL728" i="13"/>
  <c r="AM728" i="13" s="1"/>
  <c r="AN728" i="13" s="1"/>
  <c r="AK729" i="13"/>
  <c r="AP729" i="13" l="1"/>
  <c r="AQ729" i="13" s="1"/>
  <c r="AK730" i="13"/>
  <c r="AR729" i="13"/>
  <c r="AL729" i="13"/>
  <c r="AM729" i="13" s="1"/>
  <c r="AN729" i="13" s="1"/>
  <c r="AR730" i="13" l="1"/>
  <c r="AP730" i="13"/>
  <c r="AQ730" i="13" s="1"/>
  <c r="AK731" i="13"/>
  <c r="AL730" i="13"/>
  <c r="AM730" i="13" s="1"/>
  <c r="AN730" i="13" s="1"/>
  <c r="AK732" i="13" l="1"/>
  <c r="AL731" i="13"/>
  <c r="AM731" i="13" s="1"/>
  <c r="AN731" i="13" s="1"/>
  <c r="AR731" i="13"/>
  <c r="AP731" i="13"/>
  <c r="AQ731" i="13" s="1"/>
  <c r="AL732" i="13" l="1"/>
  <c r="AM732" i="13" s="1"/>
  <c r="AN732" i="13" s="1"/>
  <c r="AR732" i="13"/>
  <c r="AP732" i="13"/>
  <c r="AQ732" i="13" s="1"/>
  <c r="AK733" i="13"/>
  <c r="AP733" i="13" l="1"/>
  <c r="AQ733" i="13" s="1"/>
  <c r="AK734" i="13"/>
  <c r="AL733" i="13"/>
  <c r="AM733" i="13" s="1"/>
  <c r="AN733" i="13" s="1"/>
  <c r="AR733" i="13"/>
  <c r="AP734" i="13" l="1"/>
  <c r="AQ734" i="13" s="1"/>
  <c r="AR734" i="13"/>
  <c r="AL734" i="13"/>
  <c r="AM734" i="13" s="1"/>
  <c r="AN734" i="13" s="1"/>
  <c r="AK735" i="13"/>
  <c r="AR735" i="13" l="1"/>
  <c r="AK736" i="13"/>
  <c r="AP735" i="13"/>
  <c r="AQ735" i="13" s="1"/>
  <c r="AL735" i="13"/>
  <c r="AM735" i="13" s="1"/>
  <c r="AN735" i="13" s="1"/>
  <c r="AR736" i="13" l="1"/>
  <c r="AP736" i="13"/>
  <c r="AQ736" i="13" s="1"/>
  <c r="AK737" i="13"/>
  <c r="AL736" i="13"/>
  <c r="AM736" i="13" s="1"/>
  <c r="AN736" i="13" s="1"/>
  <c r="AP737" i="13" l="1"/>
  <c r="AQ737" i="13" s="1"/>
  <c r="AR737" i="13"/>
  <c r="AL737" i="13"/>
  <c r="AM737" i="13" s="1"/>
  <c r="AN737" i="13" s="1"/>
  <c r="AK738" i="13"/>
  <c r="AK739" i="13" l="1"/>
  <c r="AL738" i="13"/>
  <c r="AM738" i="13" s="1"/>
  <c r="AN738" i="13" s="1"/>
  <c r="AP738" i="13"/>
  <c r="AQ738" i="13" s="1"/>
  <c r="AR738" i="13"/>
  <c r="AP739" i="13" l="1"/>
  <c r="AQ739" i="13" s="1"/>
  <c r="AL739" i="13"/>
  <c r="AM739" i="13" s="1"/>
  <c r="AN739" i="13" s="1"/>
  <c r="AR739" i="13"/>
  <c r="AK740" i="13"/>
  <c r="AK741" i="13" l="1"/>
  <c r="AR740" i="13"/>
  <c r="AP740" i="13"/>
  <c r="AQ740" i="13" s="1"/>
  <c r="AL740" i="13"/>
  <c r="AM740" i="13" s="1"/>
  <c r="AN740" i="13" s="1"/>
  <c r="AK742" i="13" l="1"/>
  <c r="AP741" i="13"/>
  <c r="AQ741" i="13" s="1"/>
  <c r="AR741" i="13"/>
  <c r="AL741" i="13"/>
  <c r="AM741" i="13" s="1"/>
  <c r="AN741" i="13" s="1"/>
  <c r="AL742" i="13" l="1"/>
  <c r="AM742" i="13" s="1"/>
  <c r="AN742" i="13" s="1"/>
  <c r="AR742" i="13"/>
  <c r="AP742" i="13"/>
  <c r="AQ742" i="13" s="1"/>
  <c r="AK743" i="13"/>
  <c r="AP743" i="13" l="1"/>
  <c r="AQ743" i="13" s="1"/>
  <c r="AK744" i="13"/>
  <c r="AR743" i="13"/>
  <c r="AL743" i="13"/>
  <c r="AM743" i="13" s="1"/>
  <c r="AN743" i="13" s="1"/>
  <c r="AP744" i="13" l="1"/>
  <c r="AQ744" i="13" s="1"/>
  <c r="AK745" i="13"/>
  <c r="AL744" i="13"/>
  <c r="AM744" i="13" s="1"/>
  <c r="AN744" i="13" s="1"/>
  <c r="AR744" i="13"/>
  <c r="AR745" i="13" l="1"/>
  <c r="AP745" i="13"/>
  <c r="AQ745" i="13" s="1"/>
  <c r="AK746" i="13"/>
  <c r="AL745" i="13"/>
  <c r="AM745" i="13" s="1"/>
  <c r="AN745" i="13" s="1"/>
  <c r="AP746" i="13" l="1"/>
  <c r="AQ746" i="13" s="1"/>
  <c r="AR746" i="13"/>
  <c r="AK747" i="13"/>
  <c r="AL746" i="13"/>
  <c r="AM746" i="13" s="1"/>
  <c r="AN746" i="13" s="1"/>
  <c r="AP747" i="13" l="1"/>
  <c r="AQ747" i="13" s="1"/>
  <c r="AR747" i="13"/>
  <c r="AK748" i="13"/>
  <c r="AL747" i="13"/>
  <c r="AM747" i="13" s="1"/>
  <c r="AN747" i="13" s="1"/>
  <c r="AP748" i="13" l="1"/>
  <c r="AQ748" i="13" s="1"/>
  <c r="AK749" i="13"/>
  <c r="AL748" i="13"/>
  <c r="AM748" i="13" s="1"/>
  <c r="AN748" i="13" s="1"/>
  <c r="AR748" i="13"/>
  <c r="AP749" i="13" l="1"/>
  <c r="AQ749" i="13" s="1"/>
  <c r="AK750" i="13"/>
  <c r="AR749" i="13"/>
  <c r="AL749" i="13"/>
  <c r="AM749" i="13" s="1"/>
  <c r="AN749" i="13" s="1"/>
  <c r="AP750" i="13" l="1"/>
  <c r="AQ750" i="13" s="1"/>
  <c r="AR750" i="13"/>
  <c r="AL750" i="13"/>
  <c r="AM750" i="13" s="1"/>
  <c r="AN750" i="13" s="1"/>
  <c r="AK751" i="13"/>
  <c r="AL751" i="13" l="1"/>
  <c r="AM751" i="13" s="1"/>
  <c r="AN751" i="13" s="1"/>
  <c r="AP751" i="13"/>
  <c r="AQ751" i="13" s="1"/>
  <c r="AK752" i="13"/>
  <c r="AR751" i="13"/>
  <c r="AL752" i="13" l="1"/>
  <c r="AM752" i="13" s="1"/>
  <c r="AN752" i="13" s="1"/>
  <c r="AR752" i="13"/>
  <c r="AP752" i="13"/>
  <c r="AQ752" i="13" s="1"/>
  <c r="AK753" i="13"/>
  <c r="AP753" i="13" l="1"/>
  <c r="AQ753" i="13" s="1"/>
  <c r="AL753" i="13"/>
  <c r="AM753" i="13" s="1"/>
  <c r="AN753" i="13" s="1"/>
  <c r="AR753" i="13"/>
  <c r="AK754" i="13"/>
  <c r="AL754" i="13" l="1"/>
  <c r="AM754" i="13" s="1"/>
  <c r="AN754" i="13" s="1"/>
  <c r="AR754" i="13"/>
  <c r="AP754" i="13"/>
  <c r="AQ754" i="13" s="1"/>
  <c r="AK755" i="13"/>
  <c r="AL755" i="13" l="1"/>
  <c r="AM755" i="13" s="1"/>
  <c r="AN755" i="13" s="1"/>
  <c r="AR755" i="13"/>
  <c r="AP755" i="13"/>
  <c r="AQ755" i="13" s="1"/>
  <c r="AK756" i="13"/>
  <c r="AP756" i="13" l="1"/>
  <c r="AQ756" i="13" s="1"/>
  <c r="AL756" i="13"/>
  <c r="AM756" i="13" s="1"/>
  <c r="AN756" i="13" s="1"/>
  <c r="AR756" i="13"/>
  <c r="AK757" i="13"/>
  <c r="AR757" i="13" l="1"/>
  <c r="AP757" i="13"/>
  <c r="AQ757" i="13" s="1"/>
  <c r="AK758" i="13"/>
  <c r="AL757" i="13"/>
  <c r="AM757" i="13" s="1"/>
  <c r="AN757" i="13" s="1"/>
  <c r="AR758" i="13" l="1"/>
  <c r="AK759" i="13"/>
  <c r="AL758" i="13"/>
  <c r="AM758" i="13" s="1"/>
  <c r="AN758" i="13" s="1"/>
  <c r="AP758" i="13"/>
  <c r="AQ758" i="13" s="1"/>
  <c r="AL759" i="13" l="1"/>
  <c r="AM759" i="13" s="1"/>
  <c r="AN759" i="13" s="1"/>
  <c r="AP759" i="13"/>
  <c r="AQ759" i="13" s="1"/>
  <c r="AK760" i="13"/>
  <c r="AR759" i="13"/>
  <c r="AK761" i="13" l="1"/>
  <c r="AP760" i="13"/>
  <c r="AQ760" i="13" s="1"/>
  <c r="AL760" i="13"/>
  <c r="AM760" i="13" s="1"/>
  <c r="AN760" i="13" s="1"/>
  <c r="AR760" i="13"/>
  <c r="AL761" i="13" l="1"/>
  <c r="AM761" i="13" s="1"/>
  <c r="AN761" i="13" s="1"/>
  <c r="AP761" i="13"/>
  <c r="AQ761" i="13" s="1"/>
  <c r="AK762" i="13"/>
  <c r="AR761" i="13"/>
  <c r="AK763" i="13" l="1"/>
  <c r="AL762" i="13"/>
  <c r="AM762" i="13" s="1"/>
  <c r="AN762" i="13" s="1"/>
  <c r="AR762" i="13"/>
  <c r="AP762" i="13"/>
  <c r="AQ762" i="13" s="1"/>
  <c r="AP763" i="13" l="1"/>
  <c r="AQ763" i="13" s="1"/>
  <c r="AK764" i="13"/>
  <c r="AL763" i="13"/>
  <c r="AM763" i="13" s="1"/>
  <c r="AN763" i="13" s="1"/>
  <c r="AR763" i="13"/>
  <c r="AP764" i="13" l="1"/>
  <c r="AQ764" i="13" s="1"/>
  <c r="AL764" i="13"/>
  <c r="AM764" i="13" s="1"/>
  <c r="AN764" i="13" s="1"/>
  <c r="AR764" i="13"/>
  <c r="AK765" i="13"/>
  <c r="AP765" i="13" l="1"/>
  <c r="AQ765" i="13" s="1"/>
  <c r="AL765" i="13"/>
  <c r="AM765" i="13" s="1"/>
  <c r="AN765" i="13" s="1"/>
  <c r="AR765" i="13"/>
  <c r="AK766" i="13"/>
  <c r="AK767" i="13" l="1"/>
  <c r="AR766" i="13"/>
  <c r="AP766" i="13"/>
  <c r="AQ766" i="13" s="1"/>
  <c r="AL766" i="13"/>
  <c r="AM766" i="13" s="1"/>
  <c r="AN766" i="13" s="1"/>
  <c r="AP767" i="13" l="1"/>
  <c r="AQ767" i="13" s="1"/>
  <c r="AR767" i="13"/>
  <c r="AL767" i="13"/>
  <c r="AM767" i="13" s="1"/>
  <c r="AN767" i="13" s="1"/>
  <c r="AK768" i="13"/>
  <c r="AL768" i="13" l="1"/>
  <c r="AM768" i="13" s="1"/>
  <c r="AN768" i="13" s="1"/>
  <c r="AP768" i="13"/>
  <c r="AQ768" i="13" s="1"/>
  <c r="AR768" i="13"/>
  <c r="AK769" i="13"/>
  <c r="AK770" i="13" l="1"/>
  <c r="AR769" i="13"/>
  <c r="AL769" i="13"/>
  <c r="AM769" i="13" s="1"/>
  <c r="AN769" i="13" s="1"/>
  <c r="AP769" i="13"/>
  <c r="AQ769" i="13" s="1"/>
  <c r="AK771" i="13" l="1"/>
  <c r="AL770" i="13"/>
  <c r="AM770" i="13" s="1"/>
  <c r="AN770" i="13" s="1"/>
  <c r="AR770" i="13"/>
  <c r="AP770" i="13"/>
  <c r="AQ770" i="13" s="1"/>
  <c r="AP771" i="13" l="1"/>
  <c r="AQ771" i="13" s="1"/>
  <c r="AK772" i="13"/>
  <c r="AL771" i="13"/>
  <c r="AM771" i="13" s="1"/>
  <c r="AN771" i="13" s="1"/>
  <c r="AR771" i="13"/>
  <c r="AP772" i="13" l="1"/>
  <c r="AQ772" i="13" s="1"/>
  <c r="AK773" i="13"/>
  <c r="AL772" i="13"/>
  <c r="AM772" i="13" s="1"/>
  <c r="AN772" i="13" s="1"/>
  <c r="AR772" i="13"/>
  <c r="AP773" i="13" l="1"/>
  <c r="AQ773" i="13" s="1"/>
  <c r="AL773" i="13"/>
  <c r="AM773" i="13" s="1"/>
  <c r="AN773" i="13" s="1"/>
  <c r="AR773" i="13"/>
  <c r="AK774" i="13"/>
  <c r="AL774" i="13" l="1"/>
  <c r="AM774" i="13" s="1"/>
  <c r="AN774" i="13" s="1"/>
  <c r="AP774" i="13"/>
  <c r="AQ774" i="13" s="1"/>
  <c r="AR774" i="13"/>
  <c r="AK775" i="13"/>
  <c r="AP775" i="13" l="1"/>
  <c r="AQ775" i="13" s="1"/>
  <c r="AR775" i="13"/>
  <c r="AL775" i="13"/>
  <c r="AM775" i="13" s="1"/>
  <c r="AN775" i="13" s="1"/>
  <c r="AK776" i="13"/>
  <c r="AP776" i="13" l="1"/>
  <c r="AQ776" i="13" s="1"/>
  <c r="AR776" i="13"/>
  <c r="AL776" i="13"/>
  <c r="AM776" i="13" s="1"/>
  <c r="AN776" i="13" s="1"/>
  <c r="AK777" i="13"/>
  <c r="AL777" i="13" l="1"/>
  <c r="AM777" i="13" s="1"/>
  <c r="AN777" i="13" s="1"/>
  <c r="AR777" i="13"/>
  <c r="AK778" i="13"/>
  <c r="AP777" i="13"/>
  <c r="AQ777" i="13" s="1"/>
  <c r="AP778" i="13" l="1"/>
  <c r="AQ778" i="13" s="1"/>
  <c r="AK779" i="13"/>
  <c r="AL778" i="13"/>
  <c r="AM778" i="13" s="1"/>
  <c r="AN778" i="13" s="1"/>
  <c r="AR778" i="13"/>
  <c r="AK780" i="13" l="1"/>
  <c r="AL779" i="13"/>
  <c r="AM779" i="13" s="1"/>
  <c r="AN779" i="13" s="1"/>
  <c r="AP779" i="13"/>
  <c r="AQ779" i="13" s="1"/>
  <c r="AR779" i="13"/>
  <c r="AL780" i="13" l="1"/>
  <c r="AM780" i="13" s="1"/>
  <c r="AN780" i="13" s="1"/>
  <c r="AK781" i="13"/>
  <c r="AP780" i="13"/>
  <c r="AQ780" i="13" s="1"/>
  <c r="AR780" i="13"/>
  <c r="AR781" i="13" l="1"/>
  <c r="AL781" i="13"/>
  <c r="AM781" i="13" s="1"/>
  <c r="AN781" i="13" s="1"/>
  <c r="AP781" i="13"/>
  <c r="AQ781" i="13" s="1"/>
  <c r="AK782" i="13"/>
  <c r="AP782" i="13" l="1"/>
  <c r="AQ782" i="13" s="1"/>
  <c r="AK783" i="13"/>
  <c r="AR782" i="13"/>
  <c r="AL782" i="13"/>
  <c r="AM782" i="13" s="1"/>
  <c r="AN782" i="13" s="1"/>
  <c r="AR783" i="13" l="1"/>
  <c r="AP783" i="13"/>
  <c r="AQ783" i="13" s="1"/>
  <c r="AL783" i="13"/>
  <c r="AM783" i="13" s="1"/>
  <c r="AN783" i="13" s="1"/>
  <c r="AK784" i="13"/>
  <c r="AR784" i="13" l="1"/>
  <c r="AK785" i="13"/>
  <c r="AN784" i="13"/>
  <c r="AP784" i="13"/>
  <c r="AQ784" i="13" s="1"/>
  <c r="AL784" i="13"/>
  <c r="AM784" i="13" s="1"/>
  <c r="AK786" i="13" l="1"/>
  <c r="AR785" i="13"/>
  <c r="AP785" i="13"/>
  <c r="AQ785" i="13" s="1"/>
  <c r="AL785" i="13"/>
  <c r="AM785" i="13" s="1"/>
  <c r="AN785" i="13" s="1"/>
  <c r="AK787" i="13" l="1"/>
  <c r="AL786" i="13"/>
  <c r="AM786" i="13" s="1"/>
  <c r="AN786" i="13" s="1"/>
  <c r="AP786" i="13"/>
  <c r="AQ786" i="13" s="1"/>
  <c r="AR786" i="13"/>
  <c r="AR787" i="13" l="1"/>
  <c r="AL787" i="13"/>
  <c r="AM787" i="13" s="1"/>
  <c r="AN787" i="13" s="1"/>
  <c r="AP787" i="13"/>
  <c r="AQ787" i="13" s="1"/>
  <c r="AK788" i="13"/>
  <c r="AP788" i="13" l="1"/>
  <c r="AQ788" i="13" s="1"/>
  <c r="AR788" i="13"/>
  <c r="AK789" i="13"/>
  <c r="AL788" i="13"/>
  <c r="AM788" i="13" s="1"/>
  <c r="AN788" i="13" s="1"/>
  <c r="AK790" i="13" l="1"/>
  <c r="AR789" i="13"/>
  <c r="AP789" i="13"/>
  <c r="AQ789" i="13" s="1"/>
  <c r="AL789" i="13"/>
  <c r="AM789" i="13" s="1"/>
  <c r="AN789" i="13" s="1"/>
  <c r="AL790" i="13" l="1"/>
  <c r="AM790" i="13" s="1"/>
  <c r="AN790" i="13" s="1"/>
  <c r="AR790" i="13"/>
  <c r="AP790" i="13"/>
  <c r="AQ790" i="13" s="1"/>
  <c r="AK791" i="13"/>
  <c r="AP791" i="13" l="1"/>
  <c r="AQ791" i="13" s="1"/>
  <c r="AK792" i="13"/>
  <c r="AR791" i="13"/>
  <c r="AL791" i="13"/>
  <c r="AM791" i="13" s="1"/>
  <c r="AN791" i="13" s="1"/>
  <c r="AR792" i="13" l="1"/>
  <c r="AK793" i="13"/>
  <c r="AP792" i="13"/>
  <c r="AQ792" i="13" s="1"/>
  <c r="AL792" i="13"/>
  <c r="AM792" i="13" s="1"/>
  <c r="AN792" i="13" s="1"/>
  <c r="AK794" i="13" l="1"/>
  <c r="AL793" i="13"/>
  <c r="AM793" i="13" s="1"/>
  <c r="AN793" i="13" s="1"/>
  <c r="AR793" i="13"/>
  <c r="AP793" i="13"/>
  <c r="AQ793" i="13" s="1"/>
  <c r="AR794" i="13" l="1"/>
  <c r="AK795" i="13"/>
  <c r="AL794" i="13"/>
  <c r="AM794" i="13" s="1"/>
  <c r="AN794" i="13" s="1"/>
  <c r="AP794" i="13"/>
  <c r="AQ794" i="13" s="1"/>
  <c r="AL795" i="13" l="1"/>
  <c r="AM795" i="13" s="1"/>
  <c r="AN795" i="13" s="1"/>
  <c r="AP795" i="13"/>
  <c r="AQ795" i="13" s="1"/>
  <c r="AK796" i="13"/>
  <c r="AR795" i="13"/>
  <c r="AR796" i="13" l="1"/>
  <c r="AK797" i="13"/>
  <c r="AP796" i="13"/>
  <c r="AQ796" i="13" s="1"/>
  <c r="AL796" i="13"/>
  <c r="AM796" i="13" s="1"/>
  <c r="AN796" i="13" s="1"/>
  <c r="AR797" i="13" l="1"/>
  <c r="AP797" i="13"/>
  <c r="AQ797" i="13" s="1"/>
  <c r="AL797" i="13"/>
  <c r="AM797" i="13" s="1"/>
  <c r="AN797" i="13" s="1"/>
  <c r="AK798" i="13"/>
  <c r="AP798" i="13" l="1"/>
  <c r="AQ798" i="13" s="1"/>
  <c r="AR798" i="13"/>
  <c r="AL798" i="13"/>
  <c r="AM798" i="13" s="1"/>
  <c r="AN798" i="13" s="1"/>
  <c r="AK799" i="13"/>
  <c r="AR799" i="13" l="1"/>
  <c r="AK800" i="13"/>
  <c r="AP799" i="13"/>
  <c r="AQ799" i="13" s="1"/>
  <c r="AL799" i="13"/>
  <c r="AM799" i="13" s="1"/>
  <c r="AN799" i="13" s="1"/>
  <c r="AP800" i="13" l="1"/>
  <c r="AQ800" i="13" s="1"/>
  <c r="AL800" i="13"/>
  <c r="AM800" i="13" s="1"/>
  <c r="AN800" i="13" s="1"/>
  <c r="AR800" i="13"/>
  <c r="AK801" i="13"/>
  <c r="AL801" i="13" l="1"/>
  <c r="AM801" i="13" s="1"/>
  <c r="AN801" i="13" s="1"/>
  <c r="AK802" i="13"/>
  <c r="AP801" i="13"/>
  <c r="AQ801" i="13" s="1"/>
  <c r="AR801" i="13"/>
  <c r="AR802" i="13" l="1"/>
  <c r="AP802" i="13"/>
  <c r="AQ802" i="13" s="1"/>
  <c r="AL802" i="13"/>
  <c r="AM802" i="13" s="1"/>
  <c r="AN802" i="13" s="1"/>
  <c r="AK803" i="13"/>
  <c r="AK804" i="13" l="1"/>
  <c r="AP803" i="13"/>
  <c r="AQ803" i="13" s="1"/>
  <c r="AR803" i="13"/>
  <c r="AL803" i="13"/>
  <c r="AM803" i="13" s="1"/>
  <c r="AN803" i="13" s="1"/>
  <c r="AR804" i="13" l="1"/>
  <c r="AL804" i="13"/>
  <c r="AM804" i="13" s="1"/>
  <c r="AN804" i="13" s="1"/>
  <c r="AP804" i="13"/>
  <c r="AQ804" i="13" s="1"/>
  <c r="AK805" i="13"/>
  <c r="AL805" i="13" l="1"/>
  <c r="AM805" i="13" s="1"/>
  <c r="AN805" i="13" s="1"/>
  <c r="AR805" i="13"/>
  <c r="AK806" i="13"/>
  <c r="AP805" i="13"/>
  <c r="AQ805" i="13" s="1"/>
  <c r="AK807" i="13" l="1"/>
  <c r="AL806" i="13"/>
  <c r="AM806" i="13" s="1"/>
  <c r="AN806" i="13" s="1"/>
  <c r="AP806" i="13"/>
  <c r="AQ806" i="13" s="1"/>
  <c r="AR806" i="13"/>
  <c r="AK808" i="13" l="1"/>
  <c r="AL807" i="13"/>
  <c r="AM807" i="13" s="1"/>
  <c r="AN807" i="13" s="1"/>
  <c r="AR807" i="13"/>
  <c r="AP807" i="13"/>
  <c r="AQ807" i="13" s="1"/>
  <c r="AP808" i="13" l="1"/>
  <c r="AQ808" i="13" s="1"/>
  <c r="AR808" i="13"/>
  <c r="AK809" i="13"/>
  <c r="AL808" i="13"/>
  <c r="AM808" i="13" s="1"/>
  <c r="AN808" i="13" s="1"/>
  <c r="AR809" i="13" l="1"/>
  <c r="AL809" i="13"/>
  <c r="AM809" i="13" s="1"/>
  <c r="AN809" i="13" s="1"/>
  <c r="AK810" i="13"/>
  <c r="AP809" i="13"/>
  <c r="AQ809" i="13" s="1"/>
  <c r="AK811" i="13" l="1"/>
  <c r="AL810" i="13"/>
  <c r="AM810" i="13" s="1"/>
  <c r="AN810" i="13" s="1"/>
  <c r="AR810" i="13"/>
  <c r="AP810" i="13"/>
  <c r="AQ810" i="13" s="1"/>
  <c r="AK812" i="13" l="1"/>
  <c r="AL811" i="13"/>
  <c r="AM811" i="13" s="1"/>
  <c r="AN811" i="13" s="1"/>
  <c r="AR811" i="13"/>
  <c r="AP811" i="13"/>
  <c r="AQ811" i="13" s="1"/>
  <c r="AP812" i="13" l="1"/>
  <c r="AQ812" i="13" s="1"/>
  <c r="AK813" i="13"/>
  <c r="AL812" i="13"/>
  <c r="AM812" i="13" s="1"/>
  <c r="AN812" i="13" s="1"/>
  <c r="AR812" i="13"/>
  <c r="AL813" i="13" l="1"/>
  <c r="AM813" i="13" s="1"/>
  <c r="AN813" i="13" s="1"/>
  <c r="AR813" i="13"/>
  <c r="AK814" i="13"/>
  <c r="AP813" i="13"/>
  <c r="AQ813" i="13" s="1"/>
  <c r="AP814" i="13" l="1"/>
  <c r="AQ814" i="13" s="1"/>
  <c r="AK815" i="13"/>
  <c r="AL814" i="13"/>
  <c r="AM814" i="13" s="1"/>
  <c r="AN814" i="13" s="1"/>
  <c r="AR814" i="13"/>
  <c r="AL815" i="13" l="1"/>
  <c r="AM815" i="13" s="1"/>
  <c r="AN815" i="13" s="1"/>
  <c r="AP815" i="13"/>
  <c r="AQ815" i="13" s="1"/>
  <c r="AR815" i="13"/>
  <c r="AK816" i="13"/>
  <c r="AP816" i="13" l="1"/>
  <c r="AQ816" i="13" s="1"/>
  <c r="AK817" i="13"/>
  <c r="AL816" i="13"/>
  <c r="AM816" i="13" s="1"/>
  <c r="AN816" i="13" s="1"/>
  <c r="AR816" i="13"/>
  <c r="AK818" i="13" l="1"/>
  <c r="AL817" i="13"/>
  <c r="AM817" i="13" s="1"/>
  <c r="AN817" i="13" s="1"/>
  <c r="AP817" i="13"/>
  <c r="AQ817" i="13" s="1"/>
  <c r="AR817" i="13"/>
  <c r="AR818" i="13" l="1"/>
  <c r="AP818" i="13"/>
  <c r="AQ818" i="13" s="1"/>
  <c r="AK819" i="13"/>
  <c r="AL818" i="13"/>
  <c r="AM818" i="13" s="1"/>
  <c r="AN818" i="13" s="1"/>
  <c r="AL819" i="13" l="1"/>
  <c r="AM819" i="13" s="1"/>
  <c r="AN819" i="13" s="1"/>
  <c r="AP819" i="13"/>
  <c r="AQ819" i="13" s="1"/>
  <c r="AK820" i="13"/>
  <c r="AR819" i="13"/>
  <c r="AK821" i="13" l="1"/>
  <c r="AP820" i="13"/>
  <c r="AQ820" i="13" s="1"/>
  <c r="AR820" i="13"/>
  <c r="AL820" i="13"/>
  <c r="AM820" i="13" s="1"/>
  <c r="AN820" i="13" s="1"/>
  <c r="AR821" i="13" l="1"/>
  <c r="AL821" i="13"/>
  <c r="AM821" i="13" s="1"/>
  <c r="AN821" i="13" s="1"/>
  <c r="AP821" i="13"/>
  <c r="AQ821" i="13" s="1"/>
  <c r="AK822" i="13"/>
  <c r="AP822" i="13" l="1"/>
  <c r="AQ822" i="13" s="1"/>
  <c r="AL822" i="13"/>
  <c r="AM822" i="13" s="1"/>
  <c r="AR822" i="13"/>
  <c r="AK823" i="13"/>
  <c r="AN822" i="13"/>
  <c r="AK824" i="13" l="1"/>
  <c r="AR823" i="13"/>
  <c r="AP823" i="13"/>
  <c r="AQ823" i="13" s="1"/>
  <c r="AL823" i="13"/>
  <c r="AM823" i="13" s="1"/>
  <c r="AN823" i="13" s="1"/>
  <c r="AK825" i="13" l="1"/>
  <c r="AP824" i="13"/>
  <c r="AQ824" i="13" s="1"/>
  <c r="AL824" i="13"/>
  <c r="AM824" i="13" s="1"/>
  <c r="AN824" i="13" s="1"/>
  <c r="AR824" i="13"/>
  <c r="AP825" i="13" l="1"/>
  <c r="AQ825" i="13" s="1"/>
  <c r="AK826" i="13"/>
  <c r="AL825" i="13"/>
  <c r="AM825" i="13" s="1"/>
  <c r="AN825" i="13" s="1"/>
  <c r="AR825" i="13"/>
  <c r="AK827" i="13" l="1"/>
  <c r="AL826" i="13"/>
  <c r="AM826" i="13" s="1"/>
  <c r="AN826" i="13" s="1"/>
  <c r="AP826" i="13"/>
  <c r="AQ826" i="13" s="1"/>
  <c r="AR826" i="13"/>
  <c r="AR827" i="13" l="1"/>
  <c r="AL827" i="13"/>
  <c r="AM827" i="13" s="1"/>
  <c r="AN827" i="13" s="1"/>
  <c r="AK828" i="13"/>
  <c r="AP827" i="13"/>
  <c r="AQ827" i="13" s="1"/>
  <c r="AL828" i="13" l="1"/>
  <c r="AM828" i="13" s="1"/>
  <c r="AN828" i="13" s="1"/>
  <c r="AP828" i="13"/>
  <c r="AQ828" i="13" s="1"/>
  <c r="AR828" i="13"/>
  <c r="AK829" i="13"/>
  <c r="AL829" i="13" l="1"/>
  <c r="AM829" i="13" s="1"/>
  <c r="AN829" i="13" s="1"/>
  <c r="AK830" i="13"/>
  <c r="AP829" i="13"/>
  <c r="AQ829" i="13" s="1"/>
  <c r="AR829" i="13"/>
  <c r="AP830" i="13" l="1"/>
  <c r="AQ830" i="13" s="1"/>
  <c r="AL830" i="13"/>
  <c r="AM830" i="13" s="1"/>
  <c r="AN830" i="13" s="1"/>
  <c r="AR830" i="13"/>
  <c r="AK831" i="13"/>
  <c r="AR831" i="13" l="1"/>
  <c r="AP831" i="13"/>
  <c r="AQ831" i="13" s="1"/>
  <c r="AL831" i="13"/>
  <c r="AM831" i="13" s="1"/>
  <c r="AN831" i="13" s="1"/>
  <c r="AK832" i="13"/>
  <c r="AK833" i="13" l="1"/>
  <c r="AP832" i="13"/>
  <c r="AQ832" i="13" s="1"/>
  <c r="AL832" i="13"/>
  <c r="AM832" i="13" s="1"/>
  <c r="AN832" i="13" s="1"/>
  <c r="AR832" i="13"/>
  <c r="AP833" i="13" l="1"/>
  <c r="AQ833" i="13" s="1"/>
  <c r="AR833" i="13"/>
  <c r="AK834" i="13"/>
  <c r="AL833" i="13"/>
  <c r="AM833" i="13" s="1"/>
  <c r="AN833" i="13" s="1"/>
  <c r="AR834" i="13" l="1"/>
  <c r="AP834" i="13"/>
  <c r="AQ834" i="13" s="1"/>
  <c r="AK835" i="13"/>
  <c r="AL834" i="13"/>
  <c r="AM834" i="13" s="1"/>
  <c r="AN834" i="13" s="1"/>
  <c r="AK836" i="13" l="1"/>
  <c r="AL835" i="13"/>
  <c r="AM835" i="13" s="1"/>
  <c r="AN835" i="13" s="1"/>
  <c r="AP835" i="13"/>
  <c r="AQ835" i="13" s="1"/>
  <c r="AR835" i="13"/>
  <c r="AL836" i="13" l="1"/>
  <c r="AM836" i="13" s="1"/>
  <c r="AN836" i="13" s="1"/>
  <c r="AP836" i="13"/>
  <c r="AQ836" i="13" s="1"/>
  <c r="AK837" i="13"/>
  <c r="AR836" i="13"/>
  <c r="AR837" i="13" l="1"/>
  <c r="AK838" i="13"/>
  <c r="AP837" i="13"/>
  <c r="AQ837" i="13" s="1"/>
  <c r="AL837" i="13"/>
  <c r="AM837" i="13" s="1"/>
  <c r="AN837" i="13" s="1"/>
  <c r="AP838" i="13" l="1"/>
  <c r="AQ838" i="13" s="1"/>
  <c r="AL838" i="13"/>
  <c r="AM838" i="13" s="1"/>
  <c r="AN838" i="13" s="1"/>
  <c r="AR838" i="13"/>
  <c r="AK839" i="13"/>
  <c r="AR839" i="13" l="1"/>
  <c r="AP839" i="13"/>
  <c r="AQ839" i="13" s="1"/>
  <c r="AL839" i="13"/>
  <c r="AM839" i="13" s="1"/>
  <c r="AN839" i="13" s="1"/>
  <c r="AK840" i="13"/>
  <c r="AK841" i="13" l="1"/>
  <c r="AP840" i="13"/>
  <c r="AQ840" i="13" s="1"/>
  <c r="AR840" i="13"/>
  <c r="AL840" i="13"/>
  <c r="AM840" i="13" s="1"/>
  <c r="AN840" i="13" s="1"/>
  <c r="AK842" i="13" l="1"/>
  <c r="AR841" i="13"/>
  <c r="AL841" i="13"/>
  <c r="AM841" i="13" s="1"/>
  <c r="AN841" i="13" s="1"/>
  <c r="AP841" i="13"/>
  <c r="AQ841" i="13" s="1"/>
  <c r="AP842" i="13" l="1"/>
  <c r="AQ842" i="13" s="1"/>
  <c r="AL842" i="13"/>
  <c r="AM842" i="13" s="1"/>
  <c r="AN842" i="13" s="1"/>
  <c r="AK843" i="13"/>
  <c r="AR842" i="13"/>
  <c r="AL843" i="13" l="1"/>
  <c r="AM843" i="13" s="1"/>
  <c r="AN843" i="13" s="1"/>
  <c r="AR843" i="13"/>
  <c r="AP843" i="13"/>
  <c r="AQ843" i="13" s="1"/>
  <c r="AK844" i="13"/>
  <c r="AK845" i="13" l="1"/>
  <c r="AR844" i="13"/>
  <c r="AL844" i="13"/>
  <c r="AM844" i="13" s="1"/>
  <c r="AN844" i="13" s="1"/>
  <c r="AP844" i="13"/>
  <c r="AQ844" i="13" s="1"/>
  <c r="AK846" i="13" l="1"/>
  <c r="AP845" i="13"/>
  <c r="AQ845" i="13" s="1"/>
  <c r="AR845" i="13"/>
  <c r="AL845" i="13"/>
  <c r="AM845" i="13" s="1"/>
  <c r="AN845" i="13" s="1"/>
  <c r="AL846" i="13" l="1"/>
  <c r="AM846" i="13" s="1"/>
  <c r="AN846" i="13" s="1"/>
  <c r="AP846" i="13"/>
  <c r="AQ846" i="13" s="1"/>
  <c r="AK847" i="13"/>
  <c r="AR846" i="13"/>
  <c r="AK848" i="13" l="1"/>
  <c r="AL847" i="13"/>
  <c r="AM847" i="13" s="1"/>
  <c r="AN847" i="13" s="1"/>
  <c r="AR847" i="13"/>
  <c r="AP847" i="13"/>
  <c r="AQ847" i="13" s="1"/>
  <c r="AP848" i="13" l="1"/>
  <c r="AQ848" i="13" s="1"/>
  <c r="AK849" i="13"/>
  <c r="AL848" i="13"/>
  <c r="AM848" i="13" s="1"/>
  <c r="AN848" i="13" s="1"/>
  <c r="AR848" i="13"/>
  <c r="AP849" i="13" l="1"/>
  <c r="AQ849" i="13" s="1"/>
  <c r="AR849" i="13"/>
  <c r="AK850" i="13"/>
  <c r="AL849" i="13"/>
  <c r="AM849" i="13" s="1"/>
  <c r="AN849" i="13" s="1"/>
  <c r="AL850" i="13" l="1"/>
  <c r="AM850" i="13" s="1"/>
  <c r="AN850" i="13" s="1"/>
  <c r="AP850" i="13"/>
  <c r="AQ850" i="13" s="1"/>
  <c r="AK851" i="13"/>
  <c r="AR850" i="13"/>
  <c r="AR851" i="13" l="1"/>
  <c r="AP851" i="13"/>
  <c r="AQ851" i="13" s="1"/>
  <c r="AK852" i="13"/>
  <c r="AL851" i="13"/>
  <c r="AM851" i="13" s="1"/>
  <c r="AN851" i="13" s="1"/>
  <c r="AK853" i="13" l="1"/>
  <c r="AL852" i="13"/>
  <c r="AM852" i="13" s="1"/>
  <c r="AN852" i="13" s="1"/>
  <c r="AR852" i="13"/>
  <c r="AP852" i="13"/>
  <c r="AQ852" i="13" s="1"/>
  <c r="AR853" i="13" l="1"/>
  <c r="AL853" i="13"/>
  <c r="AM853" i="13" s="1"/>
  <c r="AN853" i="13" s="1"/>
  <c r="AP853" i="13"/>
  <c r="AQ853" i="13" s="1"/>
  <c r="AK854" i="13"/>
  <c r="AK855" i="13" l="1"/>
  <c r="AL854" i="13"/>
  <c r="AM854" i="13" s="1"/>
  <c r="AN854" i="13" s="1"/>
  <c r="AR854" i="13"/>
  <c r="AP854" i="13"/>
  <c r="AQ854" i="13" s="1"/>
  <c r="AL855" i="13" l="1"/>
  <c r="AM855" i="13" s="1"/>
  <c r="AR855" i="13"/>
  <c r="AN855" i="13"/>
  <c r="AK856" i="13"/>
  <c r="AP855" i="13"/>
  <c r="AQ855" i="13" s="1"/>
  <c r="AP856" i="13" l="1"/>
  <c r="AQ856" i="13" s="1"/>
  <c r="AR856" i="13"/>
  <c r="AL856" i="13"/>
  <c r="AM856" i="13" s="1"/>
  <c r="AN856" i="13" s="1"/>
  <c r="AK857" i="13"/>
  <c r="AK858" i="13" l="1"/>
  <c r="AR857" i="13"/>
  <c r="AL857" i="13"/>
  <c r="AM857" i="13" s="1"/>
  <c r="AN857" i="13" s="1"/>
  <c r="AP857" i="13"/>
  <c r="AQ857" i="13" s="1"/>
  <c r="AR858" i="13" l="1"/>
  <c r="AL858" i="13"/>
  <c r="AM858" i="13" s="1"/>
  <c r="AN858" i="13" s="1"/>
  <c r="AP858" i="13"/>
  <c r="AQ858" i="13" s="1"/>
  <c r="AK859" i="13"/>
  <c r="AP859" i="13" l="1"/>
  <c r="AQ859" i="13" s="1"/>
  <c r="AL859" i="13"/>
  <c r="AM859" i="13" s="1"/>
  <c r="AN859" i="13" s="1"/>
  <c r="AK860" i="13"/>
  <c r="AR859" i="13"/>
  <c r="AP860" i="13" l="1"/>
  <c r="AQ860" i="13" s="1"/>
  <c r="AR860" i="13"/>
  <c r="AK861" i="13"/>
  <c r="AL860" i="13"/>
  <c r="AM860" i="13" s="1"/>
  <c r="AN860" i="13" s="1"/>
  <c r="AL861" i="13" l="1"/>
  <c r="AM861" i="13" s="1"/>
  <c r="AN861" i="13" s="1"/>
  <c r="AR861" i="13"/>
  <c r="AP861" i="13"/>
  <c r="AQ861" i="13" s="1"/>
  <c r="AK862" i="13"/>
  <c r="AR862" i="13" l="1"/>
  <c r="AL862" i="13"/>
  <c r="AM862" i="13" s="1"/>
  <c r="AK863" i="13"/>
  <c r="AP862" i="13"/>
  <c r="AQ862" i="13" s="1"/>
  <c r="AN862" i="13"/>
  <c r="AR863" i="13" l="1"/>
  <c r="AP863" i="13"/>
  <c r="AQ863" i="13" s="1"/>
  <c r="AK864" i="13"/>
  <c r="AL863" i="13"/>
  <c r="AM863" i="13" s="1"/>
  <c r="AN863" i="13" s="1"/>
  <c r="AR864" i="13" l="1"/>
  <c r="AL864" i="13"/>
  <c r="AM864" i="13" s="1"/>
  <c r="AN864" i="13" s="1"/>
  <c r="AK865" i="13"/>
  <c r="AP864" i="13"/>
  <c r="AQ864" i="13" s="1"/>
  <c r="AL865" i="13" l="1"/>
  <c r="AM865" i="13" s="1"/>
  <c r="AN865" i="13" s="1"/>
  <c r="AP865" i="13"/>
  <c r="AQ865" i="13" s="1"/>
  <c r="AK866" i="13"/>
  <c r="AR865" i="13"/>
  <c r="AR866" i="13" l="1"/>
  <c r="AL866" i="13"/>
  <c r="AM866" i="13" s="1"/>
  <c r="AN866" i="13" s="1"/>
  <c r="AP866" i="13"/>
  <c r="AQ866" i="13" s="1"/>
  <c r="AK867" i="13"/>
  <c r="AP867" i="13" l="1"/>
  <c r="AQ867" i="13" s="1"/>
  <c r="AK868" i="13"/>
  <c r="AR867" i="13"/>
  <c r="AL867" i="13"/>
  <c r="AM867" i="13" s="1"/>
  <c r="AN867" i="13" s="1"/>
  <c r="AR868" i="13" l="1"/>
  <c r="AL868" i="13"/>
  <c r="AM868" i="13" s="1"/>
  <c r="AK869" i="13"/>
  <c r="AP868" i="13"/>
  <c r="AQ868" i="13" s="1"/>
  <c r="AN868" i="13"/>
  <c r="AR869" i="13" l="1"/>
  <c r="AP869" i="13"/>
  <c r="AQ869" i="13" s="1"/>
  <c r="AK870" i="13"/>
  <c r="AL869" i="13"/>
  <c r="AM869" i="13" s="1"/>
  <c r="AN869" i="13" s="1"/>
  <c r="AR870" i="13" l="1"/>
  <c r="AL870" i="13"/>
  <c r="AM870" i="13" s="1"/>
  <c r="AK871" i="13"/>
  <c r="AP870" i="13"/>
  <c r="AQ870" i="13" s="1"/>
  <c r="AN870" i="13"/>
  <c r="AK872" i="13" l="1"/>
  <c r="AR871" i="13"/>
  <c r="AP871" i="13"/>
  <c r="AQ871" i="13" s="1"/>
  <c r="AL871" i="13"/>
  <c r="AM871" i="13" s="1"/>
  <c r="AN871" i="13" s="1"/>
  <c r="AR872" i="13" l="1"/>
  <c r="AK873" i="13"/>
  <c r="AP872" i="13"/>
  <c r="AQ872" i="13" s="1"/>
  <c r="AL872" i="13"/>
  <c r="AM872" i="13" s="1"/>
  <c r="AN872" i="13"/>
  <c r="AL873" i="13" l="1"/>
  <c r="AM873" i="13" s="1"/>
  <c r="AN873" i="13" s="1"/>
  <c r="AK874" i="13"/>
  <c r="AP873" i="13"/>
  <c r="AQ873" i="13" s="1"/>
  <c r="AR873" i="13"/>
  <c r="AK875" i="13" l="1"/>
  <c r="AR874" i="13"/>
  <c r="AL874" i="13"/>
  <c r="AM874" i="13" s="1"/>
  <c r="AN874" i="13" s="1"/>
  <c r="AP874" i="13"/>
  <c r="AQ874" i="13" s="1"/>
  <c r="AK876" i="13" l="1"/>
  <c r="AL875" i="13"/>
  <c r="AM875" i="13" s="1"/>
  <c r="AN875" i="13" s="1"/>
  <c r="AR875" i="13"/>
  <c r="AP875" i="13"/>
  <c r="AQ875" i="13" s="1"/>
  <c r="AR876" i="13" l="1"/>
  <c r="AP876" i="13"/>
  <c r="AQ876" i="13" s="1"/>
  <c r="AK877" i="13"/>
  <c r="AL876" i="13"/>
  <c r="AM876" i="13" s="1"/>
  <c r="AN876" i="13" s="1"/>
  <c r="AL877" i="13" l="1"/>
  <c r="AM877" i="13" s="1"/>
  <c r="AN877" i="13" s="1"/>
  <c r="AP877" i="13"/>
  <c r="AQ877" i="13" s="1"/>
  <c r="AK878" i="13"/>
  <c r="AR877" i="13"/>
  <c r="AP878" i="13" l="1"/>
  <c r="AQ878" i="13" s="1"/>
  <c r="AK879" i="13"/>
  <c r="AR878" i="13"/>
  <c r="AL878" i="13"/>
  <c r="AM878" i="13" s="1"/>
  <c r="AN878" i="13"/>
  <c r="AP879" i="13" l="1"/>
  <c r="AQ879" i="13" s="1"/>
  <c r="AK880" i="13"/>
  <c r="AR879" i="13"/>
  <c r="AL879" i="13"/>
  <c r="AM879" i="13" s="1"/>
  <c r="AN879" i="13" s="1"/>
  <c r="AK881" i="13" l="1"/>
  <c r="AR880" i="13"/>
  <c r="AP880" i="13"/>
  <c r="AQ880" i="13" s="1"/>
  <c r="AL880" i="13"/>
  <c r="AM880" i="13" s="1"/>
  <c r="AN880" i="13"/>
  <c r="AL881" i="13" l="1"/>
  <c r="AM881" i="13" s="1"/>
  <c r="AN881" i="13" s="1"/>
  <c r="AR881" i="13"/>
  <c r="AP881" i="13"/>
  <c r="AQ881" i="13" s="1"/>
  <c r="AK882" i="13"/>
  <c r="AL882" i="13" l="1"/>
  <c r="AM882" i="13" s="1"/>
  <c r="AN882" i="13" s="1"/>
  <c r="AR882" i="13"/>
  <c r="AK883" i="13"/>
  <c r="AP882" i="13"/>
  <c r="AQ882" i="13" s="1"/>
  <c r="AL883" i="13" l="1"/>
  <c r="AM883" i="13" s="1"/>
  <c r="AN883" i="13" s="1"/>
  <c r="AK884" i="13"/>
  <c r="AR883" i="13"/>
  <c r="AP883" i="13"/>
  <c r="AQ883" i="13" s="1"/>
  <c r="AK885" i="13" l="1"/>
  <c r="AR884" i="13"/>
  <c r="AP884" i="13"/>
  <c r="AQ884" i="13" s="1"/>
  <c r="AL884" i="13"/>
  <c r="AM884" i="13" s="1"/>
  <c r="AN884" i="13"/>
  <c r="AL885" i="13" l="1"/>
  <c r="AM885" i="13" s="1"/>
  <c r="AN885" i="13" s="1"/>
  <c r="AR885" i="13"/>
  <c r="AK886" i="13"/>
  <c r="AP885" i="13"/>
  <c r="AQ885" i="13" s="1"/>
  <c r="AL886" i="13" l="1"/>
  <c r="AM886" i="13" s="1"/>
  <c r="AN886" i="13" s="1"/>
  <c r="AR886" i="13"/>
  <c r="AK887" i="13"/>
  <c r="AP886" i="13"/>
  <c r="AQ886" i="13" s="1"/>
  <c r="AL887" i="13" l="1"/>
  <c r="AM887" i="13" s="1"/>
  <c r="AN887" i="13" s="1"/>
  <c r="AK888" i="13"/>
  <c r="AR887" i="13"/>
  <c r="AP887" i="13"/>
  <c r="AQ887" i="13" s="1"/>
  <c r="AR888" i="13" l="1"/>
  <c r="AL888" i="13"/>
  <c r="AM888" i="13" s="1"/>
  <c r="AN888" i="13" s="1"/>
  <c r="AP888" i="13"/>
  <c r="AQ888" i="13" s="1"/>
  <c r="AK889" i="13"/>
  <c r="AK890" i="13" l="1"/>
  <c r="AR889" i="13"/>
  <c r="AP889" i="13"/>
  <c r="AQ889" i="13" s="1"/>
  <c r="AL889" i="13"/>
  <c r="AM889" i="13" s="1"/>
  <c r="AN889" i="13" s="1"/>
  <c r="AP890" i="13" l="1"/>
  <c r="AQ890" i="13" s="1"/>
  <c r="AL890" i="13"/>
  <c r="AM890" i="13" s="1"/>
  <c r="AR890" i="13"/>
  <c r="AK891" i="13"/>
  <c r="AN890" i="13"/>
  <c r="AR891" i="13" l="1"/>
  <c r="AL891" i="13"/>
  <c r="AM891" i="13" s="1"/>
  <c r="AN891" i="13" s="1"/>
  <c r="AP891" i="13"/>
  <c r="AQ891" i="13" s="1"/>
  <c r="AK892" i="13"/>
  <c r="AP892" i="13" l="1"/>
  <c r="AQ892" i="13" s="1"/>
  <c r="AK893" i="13"/>
  <c r="AR892" i="13"/>
  <c r="AL892" i="13"/>
  <c r="AM892" i="13" s="1"/>
  <c r="AN892" i="13"/>
  <c r="AR893" i="13" l="1"/>
  <c r="AK894" i="13"/>
  <c r="AL893" i="13"/>
  <c r="AM893" i="13" s="1"/>
  <c r="AN893" i="13" s="1"/>
  <c r="AP893" i="13"/>
  <c r="AQ893" i="13" s="1"/>
  <c r="AP894" i="13" l="1"/>
  <c r="AQ894" i="13" s="1"/>
  <c r="AK895" i="13"/>
  <c r="AR894" i="13"/>
  <c r="AL894" i="13"/>
  <c r="AM894" i="13" s="1"/>
  <c r="AN894" i="13"/>
  <c r="AK896" i="13" l="1"/>
  <c r="AR895" i="13"/>
  <c r="AL895" i="13"/>
  <c r="AM895" i="13" s="1"/>
  <c r="AN895" i="13" s="1"/>
  <c r="AP895" i="13"/>
  <c r="AQ895" i="13" s="1"/>
  <c r="AK897" i="13" l="1"/>
  <c r="AP896" i="13"/>
  <c r="AQ896" i="13" s="1"/>
  <c r="AL896" i="13"/>
  <c r="AM896" i="13" s="1"/>
  <c r="AN896" i="13" s="1"/>
  <c r="AR896" i="13"/>
  <c r="AK898" i="13" l="1"/>
  <c r="AL897" i="13"/>
  <c r="AM897" i="13" s="1"/>
  <c r="AR897" i="13"/>
  <c r="AP897" i="13"/>
  <c r="AQ897" i="13" s="1"/>
  <c r="AN897" i="13"/>
  <c r="AR898" i="13" l="1"/>
  <c r="AK899" i="13"/>
  <c r="AL898" i="13"/>
  <c r="AM898" i="13" s="1"/>
  <c r="AN898" i="13" s="1"/>
  <c r="AP898" i="13"/>
  <c r="AQ898" i="13" s="1"/>
  <c r="AL899" i="13" l="1"/>
  <c r="AM899" i="13" s="1"/>
  <c r="AN899" i="13" s="1"/>
  <c r="AK900" i="13"/>
  <c r="AP899" i="13"/>
  <c r="AQ899" i="13" s="1"/>
  <c r="AR899" i="13"/>
  <c r="AK901" i="13" l="1"/>
  <c r="AL900" i="13"/>
  <c r="AM900" i="13" s="1"/>
  <c r="AN900" i="13" s="1"/>
  <c r="AR900" i="13"/>
  <c r="AP900" i="13"/>
  <c r="AQ900" i="13" s="1"/>
  <c r="AL901" i="13" l="1"/>
  <c r="AM901" i="13" s="1"/>
  <c r="AN901" i="13" s="1"/>
  <c r="AP901" i="13"/>
  <c r="AQ901" i="13" s="1"/>
  <c r="AR901" i="13"/>
  <c r="AK902" i="13"/>
  <c r="AR902" i="13" l="1"/>
  <c r="AP902" i="13"/>
  <c r="AQ902" i="13" s="1"/>
  <c r="AK903" i="13"/>
  <c r="AL902" i="13"/>
  <c r="AM902" i="13" s="1"/>
  <c r="AN902" i="13" s="1"/>
  <c r="AR903" i="13" l="1"/>
  <c r="AK904" i="13"/>
  <c r="AL903" i="13"/>
  <c r="AM903" i="13" s="1"/>
  <c r="AN903" i="13" s="1"/>
  <c r="AP903" i="13"/>
  <c r="AQ903" i="13" s="1"/>
  <c r="AP904" i="13" l="1"/>
  <c r="AQ904" i="13" s="1"/>
  <c r="AL904" i="13"/>
  <c r="AM904" i="13" s="1"/>
  <c r="AN904" i="13" s="1"/>
  <c r="AR904" i="13"/>
  <c r="AK905" i="13"/>
  <c r="AL905" i="13" l="1"/>
  <c r="AM905" i="13" s="1"/>
  <c r="AN905" i="13" s="1"/>
  <c r="AR905" i="13"/>
  <c r="AP905" i="13"/>
  <c r="AQ905" i="13" s="1"/>
  <c r="AK906" i="13"/>
  <c r="AK907" i="13" l="1"/>
  <c r="AP906" i="13"/>
  <c r="AQ906" i="13" s="1"/>
  <c r="AL906" i="13"/>
  <c r="AM906" i="13" s="1"/>
  <c r="AN906" i="13" s="1"/>
  <c r="AR906" i="13"/>
  <c r="AP907" i="13" l="1"/>
  <c r="AQ907" i="13" s="1"/>
  <c r="AK908" i="13"/>
  <c r="AL907" i="13"/>
  <c r="AM907" i="13" s="1"/>
  <c r="AN907" i="13" s="1"/>
  <c r="AR907" i="13"/>
  <c r="AR908" i="13" l="1"/>
  <c r="AL908" i="13"/>
  <c r="AM908" i="13" s="1"/>
  <c r="AN908" i="13" s="1"/>
  <c r="AP908" i="13"/>
  <c r="AQ908" i="13" s="1"/>
  <c r="AK909" i="13"/>
  <c r="AP909" i="13" l="1"/>
  <c r="AQ909" i="13" s="1"/>
  <c r="AL909" i="13"/>
  <c r="AM909" i="13" s="1"/>
  <c r="AN909" i="13" s="1"/>
  <c r="AR909" i="13"/>
  <c r="AK910" i="13"/>
  <c r="AK911" i="13" l="1"/>
  <c r="AR910" i="13"/>
  <c r="AP910" i="13"/>
  <c r="AQ910" i="13" s="1"/>
  <c r="AL910" i="13"/>
  <c r="AM910" i="13" s="1"/>
  <c r="AN910" i="13" s="1"/>
  <c r="AR911" i="13" l="1"/>
  <c r="AP911" i="13"/>
  <c r="AQ911" i="13" s="1"/>
  <c r="AK912" i="13"/>
  <c r="AL911" i="13"/>
  <c r="AM911" i="13" s="1"/>
  <c r="AN911" i="13" s="1"/>
  <c r="AP912" i="13" l="1"/>
  <c r="AQ912" i="13" s="1"/>
  <c r="AL912" i="13"/>
  <c r="AM912" i="13" s="1"/>
  <c r="AN912" i="13" s="1"/>
  <c r="AR912" i="13"/>
  <c r="AK913" i="13"/>
  <c r="AP913" i="13" l="1"/>
  <c r="AQ913" i="13" s="1"/>
  <c r="AL913" i="13"/>
  <c r="AM913" i="13" s="1"/>
  <c r="AN913" i="13" s="1"/>
  <c r="AK914" i="13"/>
  <c r="AR913" i="13"/>
  <c r="AL914" i="13" l="1"/>
  <c r="AM914" i="13" s="1"/>
  <c r="AR914" i="13"/>
  <c r="AP914" i="13"/>
  <c r="AQ914" i="13" s="1"/>
  <c r="AK915" i="13"/>
  <c r="AN914" i="13"/>
  <c r="AP915" i="13" l="1"/>
  <c r="AQ915" i="13" s="1"/>
  <c r="AL915" i="13"/>
  <c r="AM915" i="13" s="1"/>
  <c r="AN915" i="13" s="1"/>
  <c r="AR915" i="13"/>
  <c r="AK916" i="13"/>
  <c r="AR916" i="13" l="1"/>
  <c r="AP916" i="13"/>
  <c r="AQ916" i="13" s="1"/>
  <c r="AL916" i="13"/>
  <c r="AM916" i="13" s="1"/>
  <c r="AN916" i="13" s="1"/>
  <c r="AK917" i="13"/>
  <c r="AR917" i="13" l="1"/>
  <c r="AP917" i="13"/>
  <c r="AQ917" i="13" s="1"/>
  <c r="AL917" i="13"/>
  <c r="AM917" i="13" s="1"/>
  <c r="AN917" i="13" s="1"/>
  <c r="AK918" i="13"/>
  <c r="AL918" i="13" l="1"/>
  <c r="AM918" i="13" s="1"/>
  <c r="AN918" i="13" s="1"/>
  <c r="AP918" i="13"/>
  <c r="AQ918" i="13" s="1"/>
  <c r="AK919" i="13"/>
  <c r="AR918" i="13"/>
  <c r="AR919" i="13" l="1"/>
  <c r="AL919" i="13"/>
  <c r="AM919" i="13" s="1"/>
  <c r="AN919" i="13" s="1"/>
  <c r="AK920" i="13"/>
  <c r="AP919" i="13"/>
  <c r="AQ919" i="13" s="1"/>
  <c r="AK921" i="13" l="1"/>
  <c r="AR920" i="13"/>
  <c r="AP920" i="13"/>
  <c r="AQ920" i="13" s="1"/>
  <c r="AL920" i="13"/>
  <c r="AM920" i="13" s="1"/>
  <c r="AN920" i="13" s="1"/>
  <c r="AR921" i="13" l="1"/>
  <c r="AK922" i="13"/>
  <c r="AL921" i="13"/>
  <c r="AM921" i="13" s="1"/>
  <c r="AN921" i="13" s="1"/>
  <c r="AP921" i="13"/>
  <c r="AQ921" i="13" s="1"/>
  <c r="AP922" i="13" l="1"/>
  <c r="AQ922" i="13" s="1"/>
  <c r="AL922" i="13"/>
  <c r="AM922" i="13" s="1"/>
  <c r="AN922" i="13" s="1"/>
  <c r="AR922" i="13"/>
  <c r="AK923" i="13"/>
  <c r="AP923" i="13" l="1"/>
  <c r="AQ923" i="13" s="1"/>
  <c r="AL923" i="13"/>
  <c r="AM923" i="13" s="1"/>
  <c r="AN923" i="13" s="1"/>
  <c r="AK924" i="13"/>
  <c r="AR923" i="13"/>
  <c r="AP924" i="13" l="1"/>
  <c r="AQ924" i="13" s="1"/>
  <c r="AR924" i="13"/>
  <c r="AL924" i="13"/>
  <c r="AM924" i="13" s="1"/>
  <c r="AN924" i="13" s="1"/>
  <c r="AK925" i="13"/>
  <c r="AR925" i="13" l="1"/>
  <c r="AP925" i="13"/>
  <c r="AQ925" i="13" s="1"/>
  <c r="AK926" i="13"/>
  <c r="AL925" i="13"/>
  <c r="AM925" i="13" s="1"/>
  <c r="AN925" i="13" s="1"/>
  <c r="AP926" i="13" l="1"/>
  <c r="AQ926" i="13" s="1"/>
  <c r="AK927" i="13"/>
  <c r="AR926" i="13"/>
  <c r="AL926" i="13"/>
  <c r="AM926" i="13" s="1"/>
  <c r="AN926" i="13" s="1"/>
  <c r="AL927" i="13" l="1"/>
  <c r="AM927" i="13" s="1"/>
  <c r="AN927" i="13" s="1"/>
  <c r="AR927" i="13"/>
  <c r="AK928" i="13"/>
  <c r="AP927" i="13"/>
  <c r="AQ927" i="13" s="1"/>
  <c r="AP928" i="13" l="1"/>
  <c r="AQ928" i="13" s="1"/>
  <c r="AL928" i="13"/>
  <c r="AM928" i="13" s="1"/>
  <c r="AN928" i="13" s="1"/>
  <c r="AR928" i="13"/>
  <c r="AK929" i="13"/>
  <c r="AP929" i="13" l="1"/>
  <c r="AQ929" i="13" s="1"/>
  <c r="AL929" i="13"/>
  <c r="AM929" i="13" s="1"/>
  <c r="AN929" i="13" s="1"/>
  <c r="AK930" i="13"/>
  <c r="AR929" i="13"/>
  <c r="AP930" i="13" l="1"/>
  <c r="AQ930" i="13" s="1"/>
  <c r="AR930" i="13"/>
  <c r="AL930" i="13"/>
  <c r="AM930" i="13" s="1"/>
  <c r="AN930" i="13" s="1"/>
  <c r="AK931" i="13"/>
  <c r="AR931" i="13" l="1"/>
  <c r="AP931" i="13"/>
  <c r="AQ931" i="13" s="1"/>
  <c r="AK932" i="13"/>
  <c r="AL931" i="13"/>
  <c r="AM931" i="13" s="1"/>
  <c r="AN931" i="13" s="1"/>
  <c r="AP932" i="13" l="1"/>
  <c r="AQ932" i="13" s="1"/>
  <c r="AR932" i="13"/>
  <c r="AK933" i="13"/>
  <c r="AL932" i="13"/>
  <c r="AM932" i="13" s="1"/>
  <c r="AN932" i="13" s="1"/>
  <c r="AK934" i="13" l="1"/>
  <c r="AR933" i="13"/>
  <c r="AP933" i="13"/>
  <c r="AQ933" i="13" s="1"/>
  <c r="AL933" i="13"/>
  <c r="AM933" i="13" s="1"/>
  <c r="AN933" i="13" s="1"/>
  <c r="AK935" i="13" l="1"/>
  <c r="AR934" i="13"/>
  <c r="AP934" i="13"/>
  <c r="AQ934" i="13" s="1"/>
  <c r="AL934" i="13"/>
  <c r="AM934" i="13" s="1"/>
  <c r="AN934" i="13" s="1"/>
  <c r="AK936" i="13" l="1"/>
  <c r="AL935" i="13"/>
  <c r="AM935" i="13" s="1"/>
  <c r="AN935" i="13" s="1"/>
  <c r="AR935" i="13"/>
  <c r="AP935" i="13"/>
  <c r="AQ935" i="13" s="1"/>
  <c r="AL936" i="13" l="1"/>
  <c r="AM936" i="13" s="1"/>
  <c r="AN936" i="13" s="1"/>
  <c r="AR936" i="13"/>
  <c r="AK937" i="13"/>
  <c r="AP936" i="13"/>
  <c r="AQ936" i="13" s="1"/>
  <c r="AP937" i="13" l="1"/>
  <c r="AQ937" i="13" s="1"/>
  <c r="AL937" i="13"/>
  <c r="AM937" i="13" s="1"/>
  <c r="AN937" i="13" s="1"/>
  <c r="AK938" i="13"/>
  <c r="AR937" i="13"/>
  <c r="AP938" i="13" l="1"/>
  <c r="AQ938" i="13" s="1"/>
  <c r="AR938" i="13"/>
  <c r="AL938" i="13"/>
  <c r="AM938" i="13" s="1"/>
  <c r="AN938" i="13" s="1"/>
  <c r="AK939" i="13"/>
  <c r="AR939" i="13" l="1"/>
  <c r="AK940" i="13"/>
  <c r="AP939" i="13"/>
  <c r="AQ939" i="13" s="1"/>
  <c r="AL939" i="13"/>
  <c r="AM939" i="13" s="1"/>
  <c r="AN939" i="13" s="1"/>
  <c r="AL940" i="13" l="1"/>
  <c r="AM940" i="13" s="1"/>
  <c r="AN940" i="13" s="1"/>
  <c r="AP940" i="13"/>
  <c r="AQ940" i="13" s="1"/>
  <c r="AR940" i="13"/>
  <c r="AK941" i="13"/>
  <c r="AK942" i="13" l="1"/>
  <c r="AL941" i="13"/>
  <c r="AM941" i="13" s="1"/>
  <c r="AN941" i="13" s="1"/>
  <c r="AP941" i="13"/>
  <c r="AQ941" i="13" s="1"/>
  <c r="AR941" i="13"/>
  <c r="AR942" i="13" l="1"/>
  <c r="AL942" i="13"/>
  <c r="AM942" i="13" s="1"/>
  <c r="AN942" i="13" s="1"/>
  <c r="AK943" i="13"/>
  <c r="AP942" i="13"/>
  <c r="AQ942" i="13" s="1"/>
  <c r="AP943" i="13" l="1"/>
  <c r="AQ943" i="13" s="1"/>
  <c r="AL943" i="13"/>
  <c r="AM943" i="13" s="1"/>
  <c r="AN943" i="13" s="1"/>
  <c r="AK944" i="13"/>
  <c r="AR943" i="13"/>
  <c r="AK945" i="13" l="1"/>
  <c r="AP944" i="13"/>
  <c r="AQ944" i="13" s="1"/>
  <c r="AR944" i="13"/>
  <c r="AL944" i="13"/>
  <c r="AM944" i="13" s="1"/>
  <c r="AN944" i="13" s="1"/>
  <c r="AP945" i="13" l="1"/>
  <c r="AQ945" i="13" s="1"/>
  <c r="AK946" i="13"/>
  <c r="AL945" i="13"/>
  <c r="AM945" i="13" s="1"/>
  <c r="AN945" i="13" s="1"/>
  <c r="AR945" i="13"/>
  <c r="AL946" i="13" l="1"/>
  <c r="AM946" i="13" s="1"/>
  <c r="AN946" i="13" s="1"/>
  <c r="AK947" i="13"/>
  <c r="AR946" i="13"/>
  <c r="AP946" i="13"/>
  <c r="AQ946" i="13" s="1"/>
  <c r="AP947" i="13" l="1"/>
  <c r="AQ947" i="13" s="1"/>
  <c r="AK948" i="13"/>
  <c r="AL947" i="13"/>
  <c r="AM947" i="13" s="1"/>
  <c r="AN947" i="13" s="1"/>
  <c r="AR947" i="13"/>
  <c r="AL948" i="13" l="1"/>
  <c r="AM948" i="13" s="1"/>
  <c r="AN948" i="13" s="1"/>
  <c r="AK949" i="13"/>
  <c r="AR948" i="13"/>
  <c r="AP948" i="13"/>
  <c r="AQ948" i="13" s="1"/>
  <c r="AP949" i="13" l="1"/>
  <c r="AQ949" i="13" s="1"/>
  <c r="AK950" i="13"/>
  <c r="AL949" i="13"/>
  <c r="AM949" i="13" s="1"/>
  <c r="AN949" i="13" s="1"/>
  <c r="AR949" i="13"/>
  <c r="AL950" i="13" l="1"/>
  <c r="AM950" i="13" s="1"/>
  <c r="AN950" i="13" s="1"/>
  <c r="AR950" i="13"/>
  <c r="AK951" i="13"/>
  <c r="AP950" i="13"/>
  <c r="AQ950" i="13" s="1"/>
  <c r="AP951" i="13" l="1"/>
  <c r="AQ951" i="13" s="1"/>
  <c r="AL951" i="13"/>
  <c r="AM951" i="13" s="1"/>
  <c r="AN951" i="13" s="1"/>
  <c r="AR951" i="13"/>
  <c r="AK952" i="13"/>
  <c r="AL952" i="13" l="1"/>
  <c r="AM952" i="13" s="1"/>
  <c r="AN952" i="13" s="1"/>
  <c r="AK953" i="13"/>
  <c r="AR952" i="13"/>
  <c r="AP952" i="13"/>
  <c r="AQ952" i="13" s="1"/>
  <c r="AK954" i="13" l="1"/>
  <c r="AL953" i="13"/>
  <c r="AM953" i="13" s="1"/>
  <c r="AN953" i="13" s="1"/>
  <c r="AR953" i="13"/>
  <c r="AP953" i="13"/>
  <c r="AQ953" i="13" s="1"/>
  <c r="AR954" i="13" l="1"/>
  <c r="AL954" i="13"/>
  <c r="AM954" i="13" s="1"/>
  <c r="AN954" i="13" s="1"/>
  <c r="AK955" i="13"/>
  <c r="AP954" i="13"/>
  <c r="AQ954" i="13" s="1"/>
  <c r="AK956" i="13" l="1"/>
  <c r="AL955" i="13"/>
  <c r="AM955" i="13" s="1"/>
  <c r="AN955" i="13" s="1"/>
  <c r="AR955" i="13"/>
  <c r="AP955" i="13"/>
  <c r="AQ955" i="13" s="1"/>
  <c r="AR956" i="13" l="1"/>
  <c r="AL956" i="13"/>
  <c r="AM956" i="13" s="1"/>
  <c r="AN956" i="13" s="1"/>
  <c r="AK957" i="13"/>
  <c r="AP956" i="13"/>
  <c r="AQ956" i="13" s="1"/>
  <c r="AK958" i="13" l="1"/>
  <c r="AL957" i="13"/>
  <c r="AM957" i="13" s="1"/>
  <c r="AN957" i="13" s="1"/>
  <c r="AR957" i="13"/>
  <c r="AP957" i="13"/>
  <c r="AQ957" i="13" s="1"/>
  <c r="AR958" i="13" l="1"/>
  <c r="AL958" i="13"/>
  <c r="AM958" i="13" s="1"/>
  <c r="AN958" i="13" s="1"/>
  <c r="AK959" i="13"/>
  <c r="AP958" i="13"/>
  <c r="AQ958" i="13" s="1"/>
  <c r="AK960" i="13" l="1"/>
  <c r="AL959" i="13"/>
  <c r="AM959" i="13" s="1"/>
  <c r="AN959" i="13" s="1"/>
  <c r="AR959" i="13"/>
  <c r="AP959" i="13"/>
  <c r="AQ959" i="13" s="1"/>
  <c r="AR960" i="13" l="1"/>
  <c r="AL960" i="13"/>
  <c r="AM960" i="13" s="1"/>
  <c r="AN960" i="13" s="1"/>
  <c r="AK961" i="13"/>
  <c r="AP960" i="13"/>
  <c r="AQ960" i="13" s="1"/>
  <c r="AK962" i="13" l="1"/>
  <c r="AL961" i="13"/>
  <c r="AM961" i="13" s="1"/>
  <c r="AN961" i="13" s="1"/>
  <c r="AR961" i="13"/>
  <c r="AP961" i="13"/>
  <c r="AQ961" i="13" s="1"/>
  <c r="AR962" i="13" l="1"/>
  <c r="AL962" i="13"/>
  <c r="AM962" i="13" s="1"/>
  <c r="AN962" i="13" s="1"/>
  <c r="AK963" i="13"/>
  <c r="AP962" i="13"/>
  <c r="AQ962" i="13" s="1"/>
  <c r="AK964" i="13" l="1"/>
  <c r="AL963" i="13"/>
  <c r="AM963" i="13" s="1"/>
  <c r="AN963" i="13" s="1"/>
  <c r="AR963" i="13"/>
  <c r="AP963" i="13"/>
  <c r="AQ963" i="13" s="1"/>
  <c r="AR964" i="13" l="1"/>
  <c r="AL964" i="13"/>
  <c r="AM964" i="13" s="1"/>
  <c r="AN964" i="13" s="1"/>
  <c r="AK965" i="13"/>
  <c r="AP964" i="13"/>
  <c r="AQ964" i="13" s="1"/>
  <c r="AK966" i="13" l="1"/>
  <c r="AL965" i="13"/>
  <c r="AM965" i="13" s="1"/>
  <c r="AN965" i="13" s="1"/>
  <c r="AR965" i="13"/>
  <c r="AP965" i="13"/>
  <c r="AQ965" i="13" s="1"/>
  <c r="AR966" i="13" l="1"/>
  <c r="AL966" i="13"/>
  <c r="AM966" i="13" s="1"/>
  <c r="AN966" i="13" s="1"/>
  <c r="AK967" i="13"/>
  <c r="AP966" i="13"/>
  <c r="AQ966" i="13" s="1"/>
  <c r="AR967" i="13" l="1"/>
  <c r="AP967" i="13"/>
  <c r="AQ967" i="13" s="1"/>
  <c r="AK968" i="13"/>
  <c r="AL967" i="13"/>
  <c r="AM967" i="13" s="1"/>
  <c r="AN967" i="13" s="1"/>
  <c r="AK969" i="13" l="1"/>
  <c r="AL968" i="13"/>
  <c r="AM968" i="13" s="1"/>
  <c r="AN968" i="13" s="1"/>
  <c r="AR968" i="13"/>
  <c r="AP968" i="13"/>
  <c r="AQ968" i="13" s="1"/>
  <c r="AP969" i="13" l="1"/>
  <c r="AQ969" i="13" s="1"/>
  <c r="AK970" i="13"/>
  <c r="AR969" i="13"/>
  <c r="AL969" i="13"/>
  <c r="AM969" i="13" s="1"/>
  <c r="AN969" i="13" s="1"/>
  <c r="AP970" i="13" l="1"/>
  <c r="AQ970" i="13" s="1"/>
  <c r="AR970" i="13"/>
  <c r="AL970" i="13"/>
  <c r="AM970" i="13" s="1"/>
  <c r="AN970" i="13" s="1"/>
  <c r="AK971" i="13"/>
  <c r="AP971" i="13" l="1"/>
  <c r="AQ971" i="13" s="1"/>
  <c r="AK972" i="13"/>
  <c r="AL971" i="13"/>
  <c r="AM971" i="13" s="1"/>
  <c r="AN971" i="13" s="1"/>
  <c r="AR971" i="13"/>
  <c r="AL972" i="13" l="1"/>
  <c r="AM972" i="13" s="1"/>
  <c r="AN972" i="13" s="1"/>
  <c r="AK973" i="13"/>
  <c r="AP972" i="13"/>
  <c r="AQ972" i="13" s="1"/>
  <c r="AR972" i="13"/>
  <c r="AK974" i="13" l="1"/>
  <c r="AL973" i="13"/>
  <c r="AM973" i="13" s="1"/>
  <c r="AN973" i="13" s="1"/>
  <c r="AP973" i="13"/>
  <c r="AQ973" i="13" s="1"/>
  <c r="AR973" i="13"/>
  <c r="AL974" i="13" l="1"/>
  <c r="AM974" i="13" s="1"/>
  <c r="AN974" i="13" s="1"/>
  <c r="AK975" i="13"/>
  <c r="AR974" i="13"/>
  <c r="AP974" i="13"/>
  <c r="AQ974" i="13" s="1"/>
  <c r="AK976" i="13" l="1"/>
  <c r="AL975" i="13"/>
  <c r="AM975" i="13" s="1"/>
  <c r="AN975" i="13" s="1"/>
  <c r="AR975" i="13"/>
  <c r="AP975" i="13"/>
  <c r="AQ975" i="13" s="1"/>
  <c r="AK977" i="13" l="1"/>
  <c r="AP976" i="13"/>
  <c r="AQ976" i="13" s="1"/>
  <c r="AR976" i="13"/>
  <c r="AL976" i="13"/>
  <c r="AM976" i="13" s="1"/>
  <c r="AN976" i="13" s="1"/>
  <c r="AP977" i="13" l="1"/>
  <c r="AQ977" i="13" s="1"/>
  <c r="AK978" i="13"/>
  <c r="AL977" i="13"/>
  <c r="AM977" i="13" s="1"/>
  <c r="AN977" i="13" s="1"/>
  <c r="AR977" i="13"/>
  <c r="AR978" i="13" l="1"/>
  <c r="AL978" i="13"/>
  <c r="AM978" i="13" s="1"/>
  <c r="AN978" i="13" s="1"/>
  <c r="AK979" i="13"/>
  <c r="AP978" i="13"/>
  <c r="AQ978" i="13" s="1"/>
  <c r="AP979" i="13" l="1"/>
  <c r="AQ979" i="13" s="1"/>
  <c r="AK980" i="13"/>
  <c r="AL979" i="13"/>
  <c r="AM979" i="13" s="1"/>
  <c r="AN979" i="13" s="1"/>
  <c r="AR979" i="13"/>
  <c r="AL980" i="13" l="1"/>
  <c r="AM980" i="13" s="1"/>
  <c r="AN980" i="13" s="1"/>
  <c r="AK981" i="13"/>
  <c r="AR980" i="13"/>
  <c r="AP980" i="13"/>
  <c r="AQ980" i="13" s="1"/>
  <c r="AP981" i="13" l="1"/>
  <c r="AQ981" i="13" s="1"/>
  <c r="AK982" i="13"/>
  <c r="AL981" i="13"/>
  <c r="AM981" i="13" s="1"/>
  <c r="AN981" i="13" s="1"/>
  <c r="AR981" i="13"/>
  <c r="AL982" i="13" l="1"/>
  <c r="AM982" i="13" s="1"/>
  <c r="AN982" i="13" s="1"/>
  <c r="AK983" i="13"/>
  <c r="AR982" i="13"/>
  <c r="AP982" i="13"/>
  <c r="AQ982" i="13" s="1"/>
  <c r="AP983" i="13" l="1"/>
  <c r="AQ983" i="13" s="1"/>
  <c r="AK984" i="13"/>
  <c r="AL983" i="13"/>
  <c r="AM983" i="13" s="1"/>
  <c r="AN983" i="13" s="1"/>
  <c r="AR983" i="13"/>
  <c r="AL984" i="13" l="1"/>
  <c r="AM984" i="13" s="1"/>
  <c r="AN984" i="13" s="1"/>
  <c r="AK985" i="13"/>
  <c r="AR984" i="13"/>
  <c r="AP984" i="13"/>
  <c r="AQ984" i="13" s="1"/>
  <c r="AP985" i="13" l="1"/>
  <c r="AQ985" i="13" s="1"/>
  <c r="AK986" i="13"/>
  <c r="AL985" i="13"/>
  <c r="AM985" i="13" s="1"/>
  <c r="AN985" i="13" s="1"/>
  <c r="AR985" i="13"/>
  <c r="AL986" i="13" l="1"/>
  <c r="AM986" i="13" s="1"/>
  <c r="AN986" i="13" s="1"/>
  <c r="AK987" i="13"/>
  <c r="AR986" i="13"/>
  <c r="AP986" i="13"/>
  <c r="AQ986" i="13" s="1"/>
  <c r="AR987" i="13" l="1"/>
  <c r="AL987" i="13"/>
  <c r="AM987" i="13" s="1"/>
  <c r="AN987" i="13" s="1"/>
  <c r="AP987" i="13"/>
  <c r="AQ987" i="13" s="1"/>
  <c r="AK988" i="13"/>
  <c r="AR988" i="13" l="1"/>
  <c r="AL988" i="13"/>
  <c r="AM988" i="13" s="1"/>
  <c r="AN988" i="13" s="1"/>
  <c r="AP988" i="13"/>
  <c r="AQ988" i="13" s="1"/>
  <c r="AK989" i="13"/>
  <c r="AP989" i="13" l="1"/>
  <c r="AQ989" i="13" s="1"/>
  <c r="AK990" i="13"/>
  <c r="AL989" i="13"/>
  <c r="AM989" i="13" s="1"/>
  <c r="AN989" i="13" s="1"/>
  <c r="AR989" i="13"/>
  <c r="AK991" i="13" l="1"/>
  <c r="AP990" i="13"/>
  <c r="AQ990" i="13" s="1"/>
  <c r="AR990" i="13"/>
  <c r="AL990" i="13"/>
  <c r="AM990" i="13" s="1"/>
  <c r="AN990" i="13" s="1"/>
  <c r="AR991" i="13" l="1"/>
  <c r="AP991" i="13"/>
  <c r="AQ991" i="13" s="1"/>
  <c r="AK992" i="13"/>
  <c r="AL991" i="13"/>
  <c r="AM991" i="13" s="1"/>
  <c r="AN991" i="13" s="1"/>
  <c r="AR992" i="13" l="1"/>
  <c r="AK993" i="13"/>
  <c r="AL992" i="13"/>
  <c r="AM992" i="13" s="1"/>
  <c r="AN992" i="13" s="1"/>
  <c r="AP992" i="13"/>
  <c r="AQ992" i="13" s="1"/>
  <c r="AR993" i="13" l="1"/>
  <c r="AL993" i="13"/>
  <c r="AM993" i="13" s="1"/>
  <c r="AN993" i="13" s="1"/>
  <c r="AK994" i="13"/>
  <c r="AP993" i="13"/>
  <c r="AQ993" i="13" s="1"/>
  <c r="AR994" i="13" l="1"/>
  <c r="AL994" i="13"/>
  <c r="AM994" i="13" s="1"/>
  <c r="AN994" i="13" s="1"/>
  <c r="AP994" i="13"/>
  <c r="AQ994" i="13" s="1"/>
  <c r="AK995" i="13"/>
  <c r="AL995" i="13" l="1"/>
  <c r="AM995" i="13" s="1"/>
  <c r="AN995" i="13" s="1"/>
  <c r="AP995" i="13"/>
  <c r="AQ995" i="13" s="1"/>
  <c r="AR995" i="13"/>
  <c r="AK996" i="13"/>
  <c r="AP996" i="13" l="1"/>
  <c r="AQ996" i="13" s="1"/>
  <c r="AK997" i="13"/>
  <c r="AL996" i="13"/>
  <c r="AM996" i="13" s="1"/>
  <c r="AN996" i="13" s="1"/>
  <c r="AR996" i="13"/>
  <c r="AP997" i="13" l="1"/>
  <c r="AQ997" i="13" s="1"/>
  <c r="AR997" i="13"/>
  <c r="AL997" i="13"/>
  <c r="AM997" i="13" s="1"/>
  <c r="AN997" i="13" s="1"/>
  <c r="AK998" i="13"/>
  <c r="AL998" i="13" l="1"/>
  <c r="AM998" i="13" s="1"/>
  <c r="AN998" i="13" s="1"/>
  <c r="AK999" i="13"/>
  <c r="AP998" i="13"/>
  <c r="AQ998" i="13" s="1"/>
  <c r="AR998" i="13"/>
  <c r="AK1000" i="13" l="1"/>
  <c r="AR999" i="13"/>
  <c r="AP999" i="13"/>
  <c r="AQ999" i="13" s="1"/>
  <c r="AL999" i="13"/>
  <c r="AM999" i="13" s="1"/>
  <c r="AN999" i="13" s="1"/>
  <c r="AL1000" i="13" l="1"/>
  <c r="AM1000" i="13" s="1"/>
  <c r="AN1000" i="13" s="1"/>
  <c r="AR1000" i="13"/>
  <c r="AP1000" i="13"/>
  <c r="AQ1000" i="13" s="1"/>
  <c r="AK1001" i="13"/>
  <c r="AL1001" i="13" l="1"/>
  <c r="AM1001" i="13" s="1"/>
  <c r="AN1001" i="13" s="1"/>
  <c r="AR1001" i="13"/>
  <c r="AK1002" i="13"/>
  <c r="AP1001" i="13"/>
  <c r="AQ1001" i="13" s="1"/>
  <c r="AK1003" i="13" l="1"/>
  <c r="AP1002" i="13"/>
  <c r="AQ1002" i="13" s="1"/>
  <c r="AR1002" i="13"/>
  <c r="AL1002" i="13"/>
  <c r="AM1002" i="13" s="1"/>
  <c r="AN1002" i="13" s="1"/>
  <c r="AR1003" i="13" l="1"/>
  <c r="AL1003" i="13"/>
  <c r="AM1003" i="13" s="1"/>
  <c r="AN1003" i="13" s="1"/>
  <c r="AK1004" i="13"/>
  <c r="AP1003" i="13"/>
  <c r="AQ1003" i="13" s="1"/>
  <c r="AK1005" i="13" l="1"/>
  <c r="AP1004" i="13"/>
  <c r="AQ1004" i="13" s="1"/>
  <c r="AL1004" i="13"/>
  <c r="AM1004" i="13" s="1"/>
  <c r="AN1004" i="13" s="1"/>
  <c r="AR1004" i="13"/>
  <c r="AK1006" i="13" l="1"/>
  <c r="AP1005" i="13"/>
  <c r="AQ1005" i="13" s="1"/>
  <c r="AR1005" i="13"/>
  <c r="AL1005" i="13"/>
  <c r="AM1005" i="13" s="1"/>
  <c r="AN1005" i="13" s="1"/>
  <c r="AP1006" i="13" l="1"/>
  <c r="AQ1006" i="13" s="1"/>
  <c r="AK1007" i="13"/>
  <c r="AL1006" i="13"/>
  <c r="AM1006" i="13" s="1"/>
  <c r="AN1006" i="13" s="1"/>
  <c r="AR1006" i="13"/>
  <c r="AK1008" i="13" l="1"/>
  <c r="AP1007" i="13"/>
  <c r="AQ1007" i="13" s="1"/>
  <c r="AL1007" i="13"/>
  <c r="AM1007" i="13" s="1"/>
  <c r="AN1007" i="13" s="1"/>
  <c r="AR1007" i="13"/>
  <c r="AK1009" i="13" l="1"/>
  <c r="AL1008" i="13"/>
  <c r="AM1008" i="13" s="1"/>
  <c r="AN1008" i="13" s="1"/>
  <c r="AR1008" i="13"/>
  <c r="AP1008" i="13"/>
  <c r="AQ1008" i="13" s="1"/>
  <c r="AL1009" i="13" l="1"/>
  <c r="AM1009" i="13" s="1"/>
  <c r="AN1009" i="13" s="1"/>
  <c r="AN7" i="13" s="1"/>
  <c r="AR1009" i="13"/>
  <c r="AR7" i="13" s="1"/>
  <c r="AP1009" i="13"/>
  <c r="AQ1009" i="13" s="1"/>
  <c r="AO3" i="13" l="1"/>
  <c r="AO10" i="13"/>
  <c r="AO16" i="13"/>
  <c r="AO20" i="13"/>
  <c r="AO24" i="13"/>
  <c r="AO28" i="13"/>
  <c r="AO32" i="13"/>
  <c r="AO36" i="13"/>
  <c r="AO40" i="13"/>
  <c r="AO44" i="13"/>
  <c r="AO48" i="13"/>
  <c r="AO52" i="13"/>
  <c r="AO56" i="13"/>
  <c r="AO60" i="13"/>
  <c r="AO64" i="13"/>
  <c r="AO68" i="13"/>
  <c r="AO72" i="13"/>
  <c r="AO76" i="13"/>
  <c r="AO80" i="13"/>
  <c r="AO84" i="13"/>
  <c r="AO88" i="13"/>
  <c r="AO92" i="13"/>
  <c r="AO96" i="13"/>
  <c r="AO100" i="13"/>
  <c r="AO104" i="13"/>
  <c r="AO108" i="13"/>
  <c r="AO112" i="13"/>
  <c r="AO116" i="13"/>
  <c r="AO120" i="13"/>
  <c r="AO124" i="13"/>
  <c r="AO128" i="13"/>
  <c r="AO132" i="13"/>
  <c r="AO136" i="13"/>
  <c r="AO140" i="13"/>
  <c r="AO144" i="13"/>
  <c r="AO148" i="13"/>
  <c r="AO152" i="13"/>
  <c r="AO156" i="13"/>
  <c r="AO160" i="13"/>
  <c r="AO164" i="13"/>
  <c r="AO168" i="13"/>
  <c r="AO172" i="13"/>
  <c r="AO176" i="13"/>
  <c r="AO180" i="13"/>
  <c r="AO184" i="13"/>
  <c r="AO188" i="13"/>
  <c r="AO192" i="13"/>
  <c r="AO196" i="13"/>
  <c r="AO200" i="13"/>
  <c r="AO204" i="13"/>
  <c r="AO208" i="13"/>
  <c r="AO212" i="13"/>
  <c r="AO216" i="13"/>
  <c r="AO220" i="13"/>
  <c r="AO224" i="13"/>
  <c r="AO228" i="13"/>
  <c r="AO232" i="13"/>
  <c r="AO236" i="13"/>
  <c r="AO240" i="13"/>
  <c r="AO244" i="13"/>
  <c r="AO248" i="13"/>
  <c r="AO252" i="13"/>
  <c r="AO256" i="13"/>
  <c r="AO260" i="13"/>
  <c r="AO264" i="13"/>
  <c r="AO268" i="13"/>
  <c r="AO272" i="13"/>
  <c r="AO276" i="13"/>
  <c r="AO9" i="13"/>
  <c r="AO11" i="13"/>
  <c r="AO17" i="13"/>
  <c r="AO21" i="13"/>
  <c r="AO25" i="13"/>
  <c r="AO29" i="13"/>
  <c r="AO33" i="13"/>
  <c r="AO37" i="13"/>
  <c r="AO41" i="13"/>
  <c r="AO45" i="13"/>
  <c r="AO49" i="13"/>
  <c r="AO53" i="13"/>
  <c r="AO57" i="13"/>
  <c r="AO61" i="13"/>
  <c r="AO65" i="13"/>
  <c r="AO69" i="13"/>
  <c r="AO73" i="13"/>
  <c r="AO77" i="13"/>
  <c r="AO81" i="13"/>
  <c r="AO85" i="13"/>
  <c r="AO89" i="13"/>
  <c r="AO93" i="13"/>
  <c r="AO97" i="13"/>
  <c r="AO101" i="13"/>
  <c r="AO105" i="13"/>
  <c r="AO109" i="13"/>
  <c r="AO113" i="13"/>
  <c r="AO117" i="13"/>
  <c r="AO121" i="13"/>
  <c r="AO125" i="13"/>
  <c r="AO129" i="13"/>
  <c r="AO133" i="13"/>
  <c r="AO137" i="13"/>
  <c r="AO141" i="13"/>
  <c r="AO145" i="13"/>
  <c r="AO149" i="13"/>
  <c r="AO153" i="13"/>
  <c r="AO157" i="13"/>
  <c r="AO161" i="13"/>
  <c r="AO165" i="13"/>
  <c r="AO169" i="13"/>
  <c r="AO173" i="13"/>
  <c r="AO177" i="13"/>
  <c r="AO181" i="13"/>
  <c r="AO185" i="13"/>
  <c r="AO189" i="13"/>
  <c r="AO193" i="13"/>
  <c r="AO197" i="13"/>
  <c r="AO201" i="13"/>
  <c r="AO205" i="13"/>
  <c r="AO209" i="13"/>
  <c r="AO213" i="13"/>
  <c r="AO217" i="13"/>
  <c r="AO221" i="13"/>
  <c r="AO225" i="13"/>
  <c r="AO229" i="13"/>
  <c r="AO233" i="13"/>
  <c r="AO237" i="13"/>
  <c r="AO241" i="13"/>
  <c r="AO245" i="13"/>
  <c r="AO249" i="13"/>
  <c r="AO253" i="13"/>
  <c r="AO257" i="13"/>
  <c r="AO261" i="13"/>
  <c r="AO265" i="13"/>
  <c r="AO269" i="13"/>
  <c r="AO273" i="13"/>
  <c r="AO277" i="13"/>
  <c r="AO281" i="13"/>
  <c r="AO285" i="13"/>
  <c r="AO289" i="13"/>
  <c r="AO293" i="13"/>
  <c r="AO297" i="13"/>
  <c r="AO301" i="13"/>
  <c r="AO305" i="13"/>
  <c r="AO309" i="13"/>
  <c r="AO313" i="13"/>
  <c r="AO317" i="13"/>
  <c r="AO321" i="13"/>
  <c r="AO325" i="13"/>
  <c r="AO329" i="13"/>
  <c r="AO333" i="13"/>
  <c r="AO337" i="13"/>
  <c r="AO341" i="13"/>
  <c r="AO345" i="13"/>
  <c r="AO349" i="13"/>
  <c r="AO353" i="13"/>
  <c r="AO357" i="13"/>
  <c r="AO361" i="13"/>
  <c r="AO365" i="13"/>
  <c r="AO369" i="13"/>
  <c r="AO373" i="13"/>
  <c r="AO377" i="13"/>
  <c r="AO381" i="13"/>
  <c r="AO385" i="13"/>
  <c r="AO389" i="13"/>
  <c r="AO393" i="13"/>
  <c r="AO397" i="13"/>
  <c r="AO401" i="13"/>
  <c r="AO405" i="13"/>
  <c r="AO409" i="13"/>
  <c r="AO413" i="13"/>
  <c r="AO417" i="13"/>
  <c r="AO421" i="13"/>
  <c r="AO425" i="13"/>
  <c r="AO429" i="13"/>
  <c r="AO433" i="13"/>
  <c r="AO437" i="13"/>
  <c r="AO441" i="13"/>
  <c r="AO445" i="13"/>
  <c r="AO449" i="13"/>
  <c r="AO453" i="13"/>
  <c r="AO457" i="13"/>
  <c r="AO461" i="13"/>
  <c r="AO465" i="13"/>
  <c r="AO469" i="13"/>
  <c r="AO473" i="13"/>
  <c r="AO477" i="13"/>
  <c r="AO481" i="13"/>
  <c r="AO485" i="13"/>
  <c r="AO489" i="13"/>
  <c r="AO493" i="13"/>
  <c r="AO497" i="13"/>
  <c r="AO501" i="13"/>
  <c r="AO505" i="13"/>
  <c r="AO509" i="13"/>
  <c r="AO513" i="13"/>
  <c r="AO517" i="13"/>
  <c r="AO521" i="13"/>
  <c r="AO525" i="13"/>
  <c r="AO529" i="13"/>
  <c r="AO533" i="13"/>
  <c r="AO537" i="13"/>
  <c r="AO541" i="13"/>
  <c r="AO545" i="13"/>
  <c r="AO549" i="13"/>
  <c r="AO553" i="13"/>
  <c r="AO557" i="13"/>
  <c r="AO561" i="13"/>
  <c r="AO565" i="13"/>
  <c r="AO569" i="13"/>
  <c r="AO573" i="13"/>
  <c r="AO577" i="13"/>
  <c r="AO581" i="13"/>
  <c r="AO585" i="13"/>
  <c r="AO589" i="13"/>
  <c r="AO593" i="13"/>
  <c r="AO597" i="13"/>
  <c r="AO601" i="13"/>
  <c r="AO605" i="13"/>
  <c r="AO609" i="13"/>
  <c r="AO613" i="13"/>
  <c r="AO617" i="13"/>
  <c r="AO621" i="13"/>
  <c r="AO625" i="13"/>
  <c r="AO629" i="13"/>
  <c r="AO633" i="13"/>
  <c r="AO637" i="13"/>
  <c r="AO641" i="13"/>
  <c r="AO645" i="13"/>
  <c r="AO649" i="13"/>
  <c r="AO653" i="13"/>
  <c r="AO657" i="13"/>
  <c r="AO661" i="13"/>
  <c r="AO665" i="13"/>
  <c r="AO669" i="13"/>
  <c r="AO673" i="13"/>
  <c r="AO677" i="13"/>
  <c r="AO681" i="13"/>
  <c r="AO685" i="13"/>
  <c r="AO689" i="13"/>
  <c r="AO693" i="13"/>
  <c r="AO697" i="13"/>
  <c r="AO701" i="13"/>
  <c r="AO705" i="13"/>
  <c r="AO709" i="13"/>
  <c r="AO713" i="13"/>
  <c r="AO717" i="13"/>
  <c r="AO721" i="13"/>
  <c r="AO725" i="13"/>
  <c r="AO729" i="13"/>
  <c r="AO733" i="13"/>
  <c r="AO737" i="13"/>
  <c r="AO741" i="13"/>
  <c r="AO745" i="13"/>
  <c r="AO749" i="13"/>
  <c r="AO753" i="13"/>
  <c r="AO757" i="13"/>
  <c r="AO761" i="13"/>
  <c r="AO765" i="13"/>
  <c r="AO769" i="13"/>
  <c r="AO773" i="13"/>
  <c r="AO777" i="13"/>
  <c r="AO781" i="13"/>
  <c r="AO785" i="13"/>
  <c r="AO789" i="13"/>
  <c r="AO793" i="13"/>
  <c r="AO797" i="13"/>
  <c r="AO801" i="13"/>
  <c r="AO805" i="13"/>
  <c r="AO809" i="13"/>
  <c r="AO813" i="13"/>
  <c r="AO817" i="13"/>
  <c r="AO821" i="13"/>
  <c r="AO825" i="13"/>
  <c r="AO829" i="13"/>
  <c r="AO833" i="13"/>
  <c r="AO837" i="13"/>
  <c r="AO841" i="13"/>
  <c r="AO845" i="13"/>
  <c r="AO849" i="13"/>
  <c r="AO853" i="13"/>
  <c r="AO857" i="13"/>
  <c r="AO861" i="13"/>
  <c r="AO865" i="13"/>
  <c r="AO869" i="13"/>
  <c r="AO873" i="13"/>
  <c r="AO877" i="13"/>
  <c r="AO881" i="13"/>
  <c r="AO885" i="13"/>
  <c r="AO889" i="13"/>
  <c r="AO893" i="13"/>
  <c r="AO897" i="13"/>
  <c r="AO901" i="13"/>
  <c r="AO905" i="13"/>
  <c r="AO909" i="13"/>
  <c r="AO913" i="13"/>
  <c r="AO917" i="13"/>
  <c r="AO921" i="13"/>
  <c r="AO925" i="13"/>
  <c r="AO929" i="13"/>
  <c r="AO933" i="13"/>
  <c r="AO937" i="13"/>
  <c r="AO941" i="13"/>
  <c r="AO945" i="13"/>
  <c r="AO949" i="13"/>
  <c r="AO953" i="13"/>
  <c r="AO957" i="13"/>
  <c r="AO961" i="13"/>
  <c r="AO965" i="13"/>
  <c r="AO969" i="13"/>
  <c r="AO973" i="13"/>
  <c r="AO977" i="13"/>
  <c r="AO981" i="13"/>
  <c r="AO985" i="13"/>
  <c r="AO989" i="13"/>
  <c r="AO993" i="13"/>
  <c r="AO997" i="13"/>
  <c r="AO1001" i="13"/>
  <c r="AO1005" i="13"/>
  <c r="AO986" i="13"/>
  <c r="AO994" i="13"/>
  <c r="AO1002" i="13"/>
  <c r="AO14" i="13"/>
  <c r="AO19" i="13"/>
  <c r="AO27" i="13"/>
  <c r="AO35" i="13"/>
  <c r="AO47" i="13"/>
  <c r="AO55" i="13"/>
  <c r="AO63" i="13"/>
  <c r="AO67" i="13"/>
  <c r="AO75" i="13"/>
  <c r="AO87" i="13"/>
  <c r="AO95" i="13"/>
  <c r="AO99" i="13"/>
  <c r="AO111" i="13"/>
  <c r="AO119" i="13"/>
  <c r="AO123" i="13"/>
  <c r="AO131" i="13"/>
  <c r="AO139" i="13"/>
  <c r="AO147" i="13"/>
  <c r="AO155" i="13"/>
  <c r="AO163" i="13"/>
  <c r="AO171" i="13"/>
  <c r="AO175" i="13"/>
  <c r="AO183" i="13"/>
  <c r="AO191" i="13"/>
  <c r="AO199" i="13"/>
  <c r="AO207" i="13"/>
  <c r="AO215" i="13"/>
  <c r="AO223" i="13"/>
  <c r="AO227" i="13"/>
  <c r="AO235" i="13"/>
  <c r="AO243" i="13"/>
  <c r="AO251" i="13"/>
  <c r="AO259" i="13"/>
  <c r="AO267" i="13"/>
  <c r="AO275" i="13"/>
  <c r="AO287" i="13"/>
  <c r="AO295" i="13"/>
  <c r="AO303" i="13"/>
  <c r="AO311" i="13"/>
  <c r="AO319" i="13"/>
  <c r="AO327" i="13"/>
  <c r="AO335" i="13"/>
  <c r="AO343" i="13"/>
  <c r="AO351" i="13"/>
  <c r="AO359" i="13"/>
  <c r="AO367" i="13"/>
  <c r="AO375" i="13"/>
  <c r="AO379" i="13"/>
  <c r="AO387" i="13"/>
  <c r="AO395" i="13"/>
  <c r="AO403" i="13"/>
  <c r="AO411" i="13"/>
  <c r="AO419" i="13"/>
  <c r="AO427" i="13"/>
  <c r="AO435" i="13"/>
  <c r="AO443" i="13"/>
  <c r="AO451" i="13"/>
  <c r="AO459" i="13"/>
  <c r="AO467" i="13"/>
  <c r="AO475" i="13"/>
  <c r="AO483" i="13"/>
  <c r="AO491" i="13"/>
  <c r="AO499" i="13"/>
  <c r="AO507" i="13"/>
  <c r="AO515" i="13"/>
  <c r="AO527" i="13"/>
  <c r="AO535" i="13"/>
  <c r="AO543" i="13"/>
  <c r="AO551" i="13"/>
  <c r="AO559" i="13"/>
  <c r="AO567" i="13"/>
  <c r="AO575" i="13"/>
  <c r="AO583" i="13"/>
  <c r="AO591" i="13"/>
  <c r="AO599" i="13"/>
  <c r="AO603" i="13"/>
  <c r="AO611" i="13"/>
  <c r="AO619" i="13"/>
  <c r="AO631" i="13"/>
  <c r="AO639" i="13"/>
  <c r="AO647" i="13"/>
  <c r="AO655" i="13"/>
  <c r="AO663" i="13"/>
  <c r="AO671" i="13"/>
  <c r="AO679" i="13"/>
  <c r="AO687" i="13"/>
  <c r="AO12" i="13"/>
  <c r="AO13" i="13"/>
  <c r="AO18" i="13"/>
  <c r="AO22" i="13"/>
  <c r="AO26" i="13"/>
  <c r="AO30" i="13"/>
  <c r="AO34" i="13"/>
  <c r="AO38" i="13"/>
  <c r="AO42" i="13"/>
  <c r="AO46" i="13"/>
  <c r="AO50" i="13"/>
  <c r="AO54" i="13"/>
  <c r="AO58" i="13"/>
  <c r="AO62" i="13"/>
  <c r="AO66" i="13"/>
  <c r="AO70" i="13"/>
  <c r="AO74" i="13"/>
  <c r="AO78" i="13"/>
  <c r="AO82" i="13"/>
  <c r="AO86" i="13"/>
  <c r="AO90" i="13"/>
  <c r="AO94" i="13"/>
  <c r="AO98" i="13"/>
  <c r="AO102" i="13"/>
  <c r="AO106" i="13"/>
  <c r="AO110" i="13"/>
  <c r="AO114" i="13"/>
  <c r="AO118" i="13"/>
  <c r="AO122" i="13"/>
  <c r="AO126" i="13"/>
  <c r="AO130" i="13"/>
  <c r="AO134" i="13"/>
  <c r="AO138" i="13"/>
  <c r="AO142" i="13"/>
  <c r="AO146" i="13"/>
  <c r="AO150" i="13"/>
  <c r="AO154" i="13"/>
  <c r="AO158" i="13"/>
  <c r="AO162" i="13"/>
  <c r="AO166" i="13"/>
  <c r="AO170" i="13"/>
  <c r="AO174" i="13"/>
  <c r="AO178" i="13"/>
  <c r="AO182" i="13"/>
  <c r="AO186" i="13"/>
  <c r="AO190" i="13"/>
  <c r="AO194" i="13"/>
  <c r="AO198" i="13"/>
  <c r="AO202" i="13"/>
  <c r="AO206" i="13"/>
  <c r="AO210" i="13"/>
  <c r="AO214" i="13"/>
  <c r="AO218" i="13"/>
  <c r="AO222" i="13"/>
  <c r="AO226" i="13"/>
  <c r="AO230" i="13"/>
  <c r="AO234" i="13"/>
  <c r="AO238" i="13"/>
  <c r="AO242" i="13"/>
  <c r="AO246" i="13"/>
  <c r="AO250" i="13"/>
  <c r="AO254" i="13"/>
  <c r="AO258" i="13"/>
  <c r="AO262" i="13"/>
  <c r="AO266" i="13"/>
  <c r="AO270" i="13"/>
  <c r="AO274" i="13"/>
  <c r="AO278" i="13"/>
  <c r="AO282" i="13"/>
  <c r="AO286" i="13"/>
  <c r="AO290" i="13"/>
  <c r="AO294" i="13"/>
  <c r="AO298" i="13"/>
  <c r="AO302" i="13"/>
  <c r="AO306" i="13"/>
  <c r="AO310" i="13"/>
  <c r="AO314" i="13"/>
  <c r="AO318" i="13"/>
  <c r="AO322" i="13"/>
  <c r="AO326" i="13"/>
  <c r="AO330" i="13"/>
  <c r="AO334" i="13"/>
  <c r="AO338" i="13"/>
  <c r="AO342" i="13"/>
  <c r="AO346" i="13"/>
  <c r="AO350" i="13"/>
  <c r="AO354" i="13"/>
  <c r="AO358" i="13"/>
  <c r="AO362" i="13"/>
  <c r="AO366" i="13"/>
  <c r="AO370" i="13"/>
  <c r="AO374" i="13"/>
  <c r="AO378" i="13"/>
  <c r="AO382" i="13"/>
  <c r="AO386" i="13"/>
  <c r="AO390" i="13"/>
  <c r="AO394" i="13"/>
  <c r="AO398" i="13"/>
  <c r="AO402" i="13"/>
  <c r="AO406" i="13"/>
  <c r="AO410" i="13"/>
  <c r="AO414" i="13"/>
  <c r="AO418" i="13"/>
  <c r="AO422" i="13"/>
  <c r="AO426" i="13"/>
  <c r="AO430" i="13"/>
  <c r="AO434" i="13"/>
  <c r="AO438" i="13"/>
  <c r="AO442" i="13"/>
  <c r="AO446" i="13"/>
  <c r="AO450" i="13"/>
  <c r="AO454" i="13"/>
  <c r="AO458" i="13"/>
  <c r="AO462" i="13"/>
  <c r="AO466" i="13"/>
  <c r="AO470" i="13"/>
  <c r="AO474" i="13"/>
  <c r="AO478" i="13"/>
  <c r="AO482" i="13"/>
  <c r="AO486" i="13"/>
  <c r="AO490" i="13"/>
  <c r="AO494" i="13"/>
  <c r="AO498" i="13"/>
  <c r="AO502" i="13"/>
  <c r="AO506" i="13"/>
  <c r="AO510" i="13"/>
  <c r="AO514" i="13"/>
  <c r="AO518" i="13"/>
  <c r="AO522" i="13"/>
  <c r="AO526" i="13"/>
  <c r="AO530" i="13"/>
  <c r="AO534" i="13"/>
  <c r="AO538" i="13"/>
  <c r="AO542" i="13"/>
  <c r="AO546" i="13"/>
  <c r="AO550" i="13"/>
  <c r="AO554" i="13"/>
  <c r="AO558" i="13"/>
  <c r="AO562" i="13"/>
  <c r="AO566" i="13"/>
  <c r="AO570" i="13"/>
  <c r="AO574" i="13"/>
  <c r="AO578" i="13"/>
  <c r="AO582" i="13"/>
  <c r="AO586" i="13"/>
  <c r="AO590" i="13"/>
  <c r="AO594" i="13"/>
  <c r="AO598" i="13"/>
  <c r="AO602" i="13"/>
  <c r="AO606" i="13"/>
  <c r="AO610" i="13"/>
  <c r="AO614" i="13"/>
  <c r="AO618" i="13"/>
  <c r="AO622" i="13"/>
  <c r="AO626" i="13"/>
  <c r="AO630" i="13"/>
  <c r="AO634" i="13"/>
  <c r="AO638" i="13"/>
  <c r="AO642" i="13"/>
  <c r="AO646" i="13"/>
  <c r="AO650" i="13"/>
  <c r="AO654" i="13"/>
  <c r="AO658" i="13"/>
  <c r="AO662" i="13"/>
  <c r="AO666" i="13"/>
  <c r="AO670" i="13"/>
  <c r="AO674" i="13"/>
  <c r="AO678" i="13"/>
  <c r="AO682" i="13"/>
  <c r="AO686" i="13"/>
  <c r="AO690" i="13"/>
  <c r="AO694" i="13"/>
  <c r="AO698" i="13"/>
  <c r="AO702" i="13"/>
  <c r="AO706" i="13"/>
  <c r="AO710" i="13"/>
  <c r="AO714" i="13"/>
  <c r="AO718" i="13"/>
  <c r="AO722" i="13"/>
  <c r="AO726" i="13"/>
  <c r="AO730" i="13"/>
  <c r="AO734" i="13"/>
  <c r="AO738" i="13"/>
  <c r="AO742" i="13"/>
  <c r="AO746" i="13"/>
  <c r="AO750" i="13"/>
  <c r="AO754" i="13"/>
  <c r="AO758" i="13"/>
  <c r="AO762" i="13"/>
  <c r="AO766" i="13"/>
  <c r="AO770" i="13"/>
  <c r="AO774" i="13"/>
  <c r="AO778" i="13"/>
  <c r="AO782" i="13"/>
  <c r="AO786" i="13"/>
  <c r="AO790" i="13"/>
  <c r="AO794" i="13"/>
  <c r="AO798" i="13"/>
  <c r="AO802" i="13"/>
  <c r="AO806" i="13"/>
  <c r="AO810" i="13"/>
  <c r="AO814" i="13"/>
  <c r="AO818" i="13"/>
  <c r="AO822" i="13"/>
  <c r="AO826" i="13"/>
  <c r="AO830" i="13"/>
  <c r="AO834" i="13"/>
  <c r="AO838" i="13"/>
  <c r="AO842" i="13"/>
  <c r="AO846" i="13"/>
  <c r="AO850" i="13"/>
  <c r="AO854" i="13"/>
  <c r="AO858" i="13"/>
  <c r="AO862" i="13"/>
  <c r="AO866" i="13"/>
  <c r="AO870" i="13"/>
  <c r="AO874" i="13"/>
  <c r="AO878" i="13"/>
  <c r="AO882" i="13"/>
  <c r="AO886" i="13"/>
  <c r="AO890" i="13"/>
  <c r="AO894" i="13"/>
  <c r="AO898" i="13"/>
  <c r="AO902" i="13"/>
  <c r="AO906" i="13"/>
  <c r="AO910" i="13"/>
  <c r="AO914" i="13"/>
  <c r="AO918" i="13"/>
  <c r="AO922" i="13"/>
  <c r="AO926" i="13"/>
  <c r="AO930" i="13"/>
  <c r="AO934" i="13"/>
  <c r="AO938" i="13"/>
  <c r="AO942" i="13"/>
  <c r="AO946" i="13"/>
  <c r="AO950" i="13"/>
  <c r="AO954" i="13"/>
  <c r="AO958" i="13"/>
  <c r="AO962" i="13"/>
  <c r="AO966" i="13"/>
  <c r="AO970" i="13"/>
  <c r="AO974" i="13"/>
  <c r="AO978" i="13"/>
  <c r="AO982" i="13"/>
  <c r="AO990" i="13"/>
  <c r="AO998" i="13"/>
  <c r="AO1006" i="13"/>
  <c r="AO15" i="13"/>
  <c r="AO23" i="13"/>
  <c r="AO31" i="13"/>
  <c r="AO39" i="13"/>
  <c r="AO43" i="13"/>
  <c r="AO51" i="13"/>
  <c r="AO59" i="13"/>
  <c r="AO71" i="13"/>
  <c r="AO79" i="13"/>
  <c r="AO83" i="13"/>
  <c r="AO91" i="13"/>
  <c r="AO103" i="13"/>
  <c r="AO107" i="13"/>
  <c r="AO115" i="13"/>
  <c r="AO127" i="13"/>
  <c r="AO135" i="13"/>
  <c r="AO143" i="13"/>
  <c r="AO151" i="13"/>
  <c r="AO159" i="13"/>
  <c r="AO167" i="13"/>
  <c r="AO179" i="13"/>
  <c r="AO187" i="13"/>
  <c r="AO195" i="13"/>
  <c r="AO203" i="13"/>
  <c r="AO211" i="13"/>
  <c r="AO219" i="13"/>
  <c r="AO231" i="13"/>
  <c r="AO239" i="13"/>
  <c r="AO247" i="13"/>
  <c r="AO255" i="13"/>
  <c r="AO263" i="13"/>
  <c r="AO271" i="13"/>
  <c r="AO279" i="13"/>
  <c r="AO283" i="13"/>
  <c r="AO291" i="13"/>
  <c r="AO299" i="13"/>
  <c r="AO307" i="13"/>
  <c r="AO315" i="13"/>
  <c r="AO323" i="13"/>
  <c r="AO331" i="13"/>
  <c r="AO339" i="13"/>
  <c r="AO347" i="13"/>
  <c r="AO355" i="13"/>
  <c r="AO363" i="13"/>
  <c r="AO371" i="13"/>
  <c r="AO383" i="13"/>
  <c r="AO391" i="13"/>
  <c r="AO399" i="13"/>
  <c r="AO407" i="13"/>
  <c r="AO415" i="13"/>
  <c r="AO423" i="13"/>
  <c r="AO431" i="13"/>
  <c r="AO439" i="13"/>
  <c r="AO447" i="13"/>
  <c r="AO455" i="13"/>
  <c r="AO463" i="13"/>
  <c r="AO471" i="13"/>
  <c r="AO479" i="13"/>
  <c r="AO487" i="13"/>
  <c r="AO495" i="13"/>
  <c r="AO503" i="13"/>
  <c r="AO511" i="13"/>
  <c r="AO519" i="13"/>
  <c r="AO523" i="13"/>
  <c r="AO531" i="13"/>
  <c r="AO539" i="13"/>
  <c r="AO547" i="13"/>
  <c r="AO555" i="13"/>
  <c r="AO563" i="13"/>
  <c r="AO571" i="13"/>
  <c r="AO579" i="13"/>
  <c r="AO587" i="13"/>
  <c r="AO595" i="13"/>
  <c r="AO607" i="13"/>
  <c r="AO615" i="13"/>
  <c r="AO623" i="13"/>
  <c r="AO627" i="13"/>
  <c r="AO635" i="13"/>
  <c r="AO643" i="13"/>
  <c r="AO651" i="13"/>
  <c r="AO659" i="13"/>
  <c r="AO667" i="13"/>
  <c r="AO675" i="13"/>
  <c r="AO683" i="13"/>
  <c r="AO691" i="13"/>
  <c r="AO280" i="13"/>
  <c r="AO296" i="13"/>
  <c r="AO312" i="13"/>
  <c r="AO328" i="13"/>
  <c r="AO344" i="13"/>
  <c r="AO360" i="13"/>
  <c r="AO376" i="13"/>
  <c r="AO392" i="13"/>
  <c r="AO408" i="13"/>
  <c r="AO424" i="13"/>
  <c r="AO440" i="13"/>
  <c r="AO456" i="13"/>
  <c r="AO472" i="13"/>
  <c r="AO488" i="13"/>
  <c r="AO504" i="13"/>
  <c r="AO520" i="13"/>
  <c r="AO536" i="13"/>
  <c r="AO552" i="13"/>
  <c r="AO568" i="13"/>
  <c r="AO584" i="13"/>
  <c r="AO600" i="13"/>
  <c r="AO616" i="13"/>
  <c r="AO632" i="13"/>
  <c r="AO648" i="13"/>
  <c r="AO664" i="13"/>
  <c r="AO680" i="13"/>
  <c r="AO695" i="13"/>
  <c r="AO703" i="13"/>
  <c r="AO711" i="13"/>
  <c r="AO719" i="13"/>
  <c r="AO727" i="13"/>
  <c r="AO735" i="13"/>
  <c r="AO743" i="13"/>
  <c r="AO751" i="13"/>
  <c r="AO759" i="13"/>
  <c r="AO767" i="13"/>
  <c r="AO775" i="13"/>
  <c r="AO783" i="13"/>
  <c r="AO791" i="13"/>
  <c r="AO799" i="13"/>
  <c r="AO807" i="13"/>
  <c r="AO815" i="13"/>
  <c r="AO823" i="13"/>
  <c r="AO831" i="13"/>
  <c r="AO839" i="13"/>
  <c r="AO847" i="13"/>
  <c r="AO855" i="13"/>
  <c r="AO863" i="13"/>
  <c r="AO871" i="13"/>
  <c r="AO879" i="13"/>
  <c r="AO887" i="13"/>
  <c r="AO895" i="13"/>
  <c r="AO903" i="13"/>
  <c r="AO911" i="13"/>
  <c r="AO919" i="13"/>
  <c r="AO927" i="13"/>
  <c r="AO935" i="13"/>
  <c r="AO943" i="13"/>
  <c r="AO951" i="13"/>
  <c r="AO959" i="13"/>
  <c r="AO967" i="13"/>
  <c r="AO975" i="13"/>
  <c r="AO983" i="13"/>
  <c r="AO991" i="13"/>
  <c r="AO999" i="13"/>
  <c r="AO1007" i="13"/>
  <c r="AO284" i="13"/>
  <c r="AO300" i="13"/>
  <c r="AO316" i="13"/>
  <c r="AO332" i="13"/>
  <c r="AO348" i="13"/>
  <c r="AO364" i="13"/>
  <c r="AO380" i="13"/>
  <c r="AO396" i="13"/>
  <c r="AO412" i="13"/>
  <c r="AO444" i="13"/>
  <c r="AO460" i="13"/>
  <c r="AO492" i="13"/>
  <c r="AO524" i="13"/>
  <c r="AO540" i="13"/>
  <c r="AO572" i="13"/>
  <c r="AO604" i="13"/>
  <c r="AO636" i="13"/>
  <c r="AO668" i="13"/>
  <c r="AO684" i="13"/>
  <c r="AO704" i="13"/>
  <c r="AO720" i="13"/>
  <c r="AO736" i="13"/>
  <c r="AO752" i="13"/>
  <c r="AO372" i="13"/>
  <c r="AO500" i="13"/>
  <c r="AO548" i="13"/>
  <c r="AO596" i="13"/>
  <c r="AO644" i="13"/>
  <c r="AO692" i="13"/>
  <c r="AO700" i="13"/>
  <c r="AO724" i="13"/>
  <c r="AO748" i="13"/>
  <c r="AO764" i="13"/>
  <c r="AO780" i="13"/>
  <c r="AO804" i="13"/>
  <c r="AO820" i="13"/>
  <c r="AO836" i="13"/>
  <c r="AO852" i="13"/>
  <c r="AO876" i="13"/>
  <c r="AO900" i="13"/>
  <c r="AO916" i="13"/>
  <c r="AO940" i="13"/>
  <c r="AO956" i="13"/>
  <c r="AO980" i="13"/>
  <c r="AO1004" i="13"/>
  <c r="AO428" i="13"/>
  <c r="AO476" i="13"/>
  <c r="AO508" i="13"/>
  <c r="AO556" i="13"/>
  <c r="AO588" i="13"/>
  <c r="AO620" i="13"/>
  <c r="AO652" i="13"/>
  <c r="AO696" i="13"/>
  <c r="AO712" i="13"/>
  <c r="AO728" i="13"/>
  <c r="AO744" i="13"/>
  <c r="AO760" i="13"/>
  <c r="AO768" i="13"/>
  <c r="AO776" i="13"/>
  <c r="AO784" i="13"/>
  <c r="AO792" i="13"/>
  <c r="AO800" i="13"/>
  <c r="AO808" i="13"/>
  <c r="AO816" i="13"/>
  <c r="AO824" i="13"/>
  <c r="AO832" i="13"/>
  <c r="AO840" i="13"/>
  <c r="AO848" i="13"/>
  <c r="AO856" i="13"/>
  <c r="AO864" i="13"/>
  <c r="AO872" i="13"/>
  <c r="AO880" i="13"/>
  <c r="AO888" i="13"/>
  <c r="AO896" i="13"/>
  <c r="AO904" i="13"/>
  <c r="AO912" i="13"/>
  <c r="AO920" i="13"/>
  <c r="AO928" i="13"/>
  <c r="AO936" i="13"/>
  <c r="AO944" i="13"/>
  <c r="AO952" i="13"/>
  <c r="AO960" i="13"/>
  <c r="AO968" i="13"/>
  <c r="AO976" i="13"/>
  <c r="AO984" i="13"/>
  <c r="AO992" i="13"/>
  <c r="AO1000" i="13"/>
  <c r="AO1008" i="13"/>
  <c r="AO336" i="13"/>
  <c r="AO400" i="13"/>
  <c r="AO432" i="13"/>
  <c r="AO464" i="13"/>
  <c r="AO480" i="13"/>
  <c r="AO496" i="13"/>
  <c r="AO528" i="13"/>
  <c r="AO544" i="13"/>
  <c r="AO560" i="13"/>
  <c r="AO576" i="13"/>
  <c r="AO608" i="13"/>
  <c r="AO624" i="13"/>
  <c r="AO640" i="13"/>
  <c r="AO656" i="13"/>
  <c r="AO688" i="13"/>
  <c r="AO699" i="13"/>
  <c r="AO707" i="13"/>
  <c r="AO715" i="13"/>
  <c r="AO731" i="13"/>
  <c r="AO739" i="13"/>
  <c r="AO747" i="13"/>
  <c r="AO763" i="13"/>
  <c r="AO771" i="13"/>
  <c r="AO779" i="13"/>
  <c r="AO795" i="13"/>
  <c r="AO803" i="13"/>
  <c r="AO811" i="13"/>
  <c r="AO827" i="13"/>
  <c r="AO843" i="13"/>
  <c r="AO859" i="13"/>
  <c r="AO867" i="13"/>
  <c r="AO883" i="13"/>
  <c r="AO891" i="13"/>
  <c r="AO907" i="13"/>
  <c r="AO915" i="13"/>
  <c r="AO923" i="13"/>
  <c r="AO939" i="13"/>
  <c r="AO947" i="13"/>
  <c r="AO955" i="13"/>
  <c r="AO963" i="13"/>
  <c r="AO979" i="13"/>
  <c r="AO987" i="13"/>
  <c r="AO995" i="13"/>
  <c r="AO308" i="13"/>
  <c r="AO324" i="13"/>
  <c r="AO340" i="13"/>
  <c r="AO356" i="13"/>
  <c r="AO404" i="13"/>
  <c r="AO436" i="13"/>
  <c r="AO452" i="13"/>
  <c r="AO484" i="13"/>
  <c r="AO532" i="13"/>
  <c r="AO580" i="13"/>
  <c r="AO628" i="13"/>
  <c r="AO676" i="13"/>
  <c r="AO716" i="13"/>
  <c r="AO740" i="13"/>
  <c r="AO772" i="13"/>
  <c r="AO788" i="13"/>
  <c r="AO812" i="13"/>
  <c r="AO844" i="13"/>
  <c r="AO868" i="13"/>
  <c r="AO884" i="13"/>
  <c r="AO908" i="13"/>
  <c r="AO932" i="13"/>
  <c r="AO964" i="13"/>
  <c r="AO988" i="13"/>
  <c r="AO288" i="13"/>
  <c r="AO304" i="13"/>
  <c r="AO320" i="13"/>
  <c r="AO352" i="13"/>
  <c r="AO368" i="13"/>
  <c r="AO384" i="13"/>
  <c r="AO416" i="13"/>
  <c r="AO448" i="13"/>
  <c r="AO512" i="13"/>
  <c r="AO592" i="13"/>
  <c r="AO672" i="13"/>
  <c r="AO723" i="13"/>
  <c r="AO755" i="13"/>
  <c r="AO787" i="13"/>
  <c r="AO819" i="13"/>
  <c r="AO835" i="13"/>
  <c r="AO851" i="13"/>
  <c r="AO875" i="13"/>
  <c r="AO899" i="13"/>
  <c r="AO931" i="13"/>
  <c r="AO971" i="13"/>
  <c r="AO1003" i="13"/>
  <c r="AO292" i="13"/>
  <c r="AO388" i="13"/>
  <c r="AO420" i="13"/>
  <c r="AO468" i="13"/>
  <c r="AO516" i="13"/>
  <c r="AO564" i="13"/>
  <c r="AO612" i="13"/>
  <c r="AO660" i="13"/>
  <c r="AO708" i="13"/>
  <c r="AO732" i="13"/>
  <c r="AO756" i="13"/>
  <c r="AO796" i="13"/>
  <c r="AO828" i="13"/>
  <c r="AO860" i="13"/>
  <c r="AO892" i="13"/>
  <c r="AO924" i="13"/>
  <c r="AO948" i="13"/>
  <c r="AO972" i="13"/>
  <c r="AO996" i="13"/>
  <c r="AS1009" i="13"/>
  <c r="AS14" i="13"/>
  <c r="AS16" i="13"/>
  <c r="AS19" i="13"/>
  <c r="AS23" i="13"/>
  <c r="AS27" i="13"/>
  <c r="AS31" i="13"/>
  <c r="AS35" i="13"/>
  <c r="AS39" i="13"/>
  <c r="AS43" i="13"/>
  <c r="AS47" i="13"/>
  <c r="AS51" i="13"/>
  <c r="AS55" i="13"/>
  <c r="AS59" i="13"/>
  <c r="AS63" i="13"/>
  <c r="AS67" i="13"/>
  <c r="AS71" i="13"/>
  <c r="AS75" i="13"/>
  <c r="AS79" i="13"/>
  <c r="AS83" i="13"/>
  <c r="AS87" i="13"/>
  <c r="AS91" i="13"/>
  <c r="AS95" i="13"/>
  <c r="AS99" i="13"/>
  <c r="AS103" i="13"/>
  <c r="AS107" i="13"/>
  <c r="AS111" i="13"/>
  <c r="AS115" i="13"/>
  <c r="AS119" i="13"/>
  <c r="AS123" i="13"/>
  <c r="AS127" i="13"/>
  <c r="AS131" i="13"/>
  <c r="AS135" i="13"/>
  <c r="AS139" i="13"/>
  <c r="AS143" i="13"/>
  <c r="AS147" i="13"/>
  <c r="AS151" i="13"/>
  <c r="AS155" i="13"/>
  <c r="AS159" i="13"/>
  <c r="AS163" i="13"/>
  <c r="AS167" i="13"/>
  <c r="AS171" i="13"/>
  <c r="AS175" i="13"/>
  <c r="AS179" i="13"/>
  <c r="AS183" i="13"/>
  <c r="AS187" i="13"/>
  <c r="AS191" i="13"/>
  <c r="AS195" i="13"/>
  <c r="AS199" i="13"/>
  <c r="AS203" i="13"/>
  <c r="AS207" i="13"/>
  <c r="AS211" i="13"/>
  <c r="AS215" i="13"/>
  <c r="AS219" i="13"/>
  <c r="AS223" i="13"/>
  <c r="AS227" i="13"/>
  <c r="AS231" i="13"/>
  <c r="AS235" i="13"/>
  <c r="AS239" i="13"/>
  <c r="AS243" i="13"/>
  <c r="AS247" i="13"/>
  <c r="AS251" i="13"/>
  <c r="AS255" i="13"/>
  <c r="AS259" i="13"/>
  <c r="AS263" i="13"/>
  <c r="AS267" i="13"/>
  <c r="AS271" i="13"/>
  <c r="AS275" i="13"/>
  <c r="AS279" i="13"/>
  <c r="AS283" i="13"/>
  <c r="AS287" i="13"/>
  <c r="AS291" i="13"/>
  <c r="AS295" i="13"/>
  <c r="AS299" i="13"/>
  <c r="AS303" i="13"/>
  <c r="AS307" i="13"/>
  <c r="AS311" i="13"/>
  <c r="AS315" i="13"/>
  <c r="AS319" i="13"/>
  <c r="AS323" i="13"/>
  <c r="AS327" i="13"/>
  <c r="AS331" i="13"/>
  <c r="AS335" i="13"/>
  <c r="AS339" i="13"/>
  <c r="AS343" i="13"/>
  <c r="AS347" i="13"/>
  <c r="AS351" i="13"/>
  <c r="AS355" i="13"/>
  <c r="AS359" i="13"/>
  <c r="AS363" i="13"/>
  <c r="AS367" i="13"/>
  <c r="AS371" i="13"/>
  <c r="AS375" i="13"/>
  <c r="AS379" i="13"/>
  <c r="AS383" i="13"/>
  <c r="AS387" i="13"/>
  <c r="AS391" i="13"/>
  <c r="AS395" i="13"/>
  <c r="AS399" i="13"/>
  <c r="AS403" i="13"/>
  <c r="AS407" i="13"/>
  <c r="AS411" i="13"/>
  <c r="AS415" i="13"/>
  <c r="AS419" i="13"/>
  <c r="AS423" i="13"/>
  <c r="AS427" i="13"/>
  <c r="AS431" i="13"/>
  <c r="AS435" i="13"/>
  <c r="AS439" i="13"/>
  <c r="AS443" i="13"/>
  <c r="AS447" i="13"/>
  <c r="AS451" i="13"/>
  <c r="AS455" i="13"/>
  <c r="AS459" i="13"/>
  <c r="AS463" i="13"/>
  <c r="AS467" i="13"/>
  <c r="AS471" i="13"/>
  <c r="AS475" i="13"/>
  <c r="AS479" i="13"/>
  <c r="AS483" i="13"/>
  <c r="AS487" i="13"/>
  <c r="AS491" i="13"/>
  <c r="AS495" i="13"/>
  <c r="AS499" i="13"/>
  <c r="AS503" i="13"/>
  <c r="AS507" i="13"/>
  <c r="AS511" i="13"/>
  <c r="AS515" i="13"/>
  <c r="AS519" i="13"/>
  <c r="AS523" i="13"/>
  <c r="AS527" i="13"/>
  <c r="AS531" i="13"/>
  <c r="AS535" i="13"/>
  <c r="AS539" i="13"/>
  <c r="AS543" i="13"/>
  <c r="AS547" i="13"/>
  <c r="AS551" i="13"/>
  <c r="AS555" i="13"/>
  <c r="AS559" i="13"/>
  <c r="AS563" i="13"/>
  <c r="AS567" i="13"/>
  <c r="AS571" i="13"/>
  <c r="AS575" i="13"/>
  <c r="AS579" i="13"/>
  <c r="AS583" i="13"/>
  <c r="AS587" i="13"/>
  <c r="AS591" i="13"/>
  <c r="AS595" i="13"/>
  <c r="AS599" i="13"/>
  <c r="AS603" i="13"/>
  <c r="AS607" i="13"/>
  <c r="AS611" i="13"/>
  <c r="AS615" i="13"/>
  <c r="AS619" i="13"/>
  <c r="AS623" i="13"/>
  <c r="AS627" i="13"/>
  <c r="AS631" i="13"/>
  <c r="AS635" i="13"/>
  <c r="AS639" i="13"/>
  <c r="AS643" i="13"/>
  <c r="AS647" i="13"/>
  <c r="AS651" i="13"/>
  <c r="AS655" i="13"/>
  <c r="AS659" i="13"/>
  <c r="AS663" i="13"/>
  <c r="AS667" i="13"/>
  <c r="AS671" i="13"/>
  <c r="AS675" i="13"/>
  <c r="AS679" i="13"/>
  <c r="AS683" i="13"/>
  <c r="AS687" i="13"/>
  <c r="AS691" i="13"/>
  <c r="AS695" i="13"/>
  <c r="AS699" i="13"/>
  <c r="AS703" i="13"/>
  <c r="AS707" i="13"/>
  <c r="AS711" i="13"/>
  <c r="AS715" i="13"/>
  <c r="AS719" i="13"/>
  <c r="AS723" i="13"/>
  <c r="AS727" i="13"/>
  <c r="AS731" i="13"/>
  <c r="AS735" i="13"/>
  <c r="AS739" i="13"/>
  <c r="AS743" i="13"/>
  <c r="AS747" i="13"/>
  <c r="AS751" i="13"/>
  <c r="AS755" i="13"/>
  <c r="AS759" i="13"/>
  <c r="AS763" i="13"/>
  <c r="AS767" i="13"/>
  <c r="AS771" i="13"/>
  <c r="AS775" i="13"/>
  <c r="AS779" i="13"/>
  <c r="AS783" i="13"/>
  <c r="AS787" i="13"/>
  <c r="AS791" i="13"/>
  <c r="AS795" i="13"/>
  <c r="AS799" i="13"/>
  <c r="AS803" i="13"/>
  <c r="AS807" i="13"/>
  <c r="AS811" i="13"/>
  <c r="AS815" i="13"/>
  <c r="AS819" i="13"/>
  <c r="AS823" i="13"/>
  <c r="AS827" i="13"/>
  <c r="AS831" i="13"/>
  <c r="AS835" i="13"/>
  <c r="AS839" i="13"/>
  <c r="AS843" i="13"/>
  <c r="AS847" i="13"/>
  <c r="AS851" i="13"/>
  <c r="AS855" i="13"/>
  <c r="AS859" i="13"/>
  <c r="AS863" i="13"/>
  <c r="AS867" i="13"/>
  <c r="AS871" i="13"/>
  <c r="AS875" i="13"/>
  <c r="AS879" i="13"/>
  <c r="AS883" i="13"/>
  <c r="AS887" i="13"/>
  <c r="AS891" i="13"/>
  <c r="AS895" i="13"/>
  <c r="AS899" i="13"/>
  <c r="AS903" i="13"/>
  <c r="AS907" i="13"/>
  <c r="AS911" i="13"/>
  <c r="AS915" i="13"/>
  <c r="AS919" i="13"/>
  <c r="AS923" i="13"/>
  <c r="AS927" i="13"/>
  <c r="AS931" i="13"/>
  <c r="AS935" i="13"/>
  <c r="AS939" i="13"/>
  <c r="AS943" i="13"/>
  <c r="AS947" i="13"/>
  <c r="AS951" i="13"/>
  <c r="AS955" i="13"/>
  <c r="AS959" i="13"/>
  <c r="AS963" i="13"/>
  <c r="AS971" i="13"/>
  <c r="AS983" i="13"/>
  <c r="AS995" i="13"/>
  <c r="AS1007" i="13"/>
  <c r="AS508" i="13"/>
  <c r="AS584" i="13"/>
  <c r="AS596" i="13"/>
  <c r="AS612" i="13"/>
  <c r="AS624" i="13"/>
  <c r="AS636" i="13"/>
  <c r="AS648" i="13"/>
  <c r="AS664" i="13"/>
  <c r="AS680" i="13"/>
  <c r="AS696" i="13"/>
  <c r="AS708" i="13"/>
  <c r="AS724" i="13"/>
  <c r="AS736" i="13"/>
  <c r="AS748" i="13"/>
  <c r="AS764" i="13"/>
  <c r="AS780" i="13"/>
  <c r="AS796" i="13"/>
  <c r="AS808" i="13"/>
  <c r="AS820" i="13"/>
  <c r="AS832" i="13"/>
  <c r="AS844" i="13"/>
  <c r="AS856" i="13"/>
  <c r="AS872" i="13"/>
  <c r="AS884" i="13"/>
  <c r="AS900" i="13"/>
  <c r="AS912" i="13"/>
  <c r="AS924" i="13"/>
  <c r="AS940" i="13"/>
  <c r="AS952" i="13"/>
  <c r="AS972" i="13"/>
  <c r="AS984" i="13"/>
  <c r="AS1000" i="13"/>
  <c r="AS9" i="13"/>
  <c r="AS49" i="13"/>
  <c r="AS61" i="13"/>
  <c r="AS69" i="13"/>
  <c r="AS77" i="13"/>
  <c r="AS85" i="13"/>
  <c r="AS93" i="13"/>
  <c r="AS101" i="13"/>
  <c r="AS113" i="13"/>
  <c r="AS121" i="13"/>
  <c r="AS129" i="13"/>
  <c r="AS133" i="13"/>
  <c r="AS141" i="13"/>
  <c r="AS153" i="13"/>
  <c r="AS161" i="13"/>
  <c r="AS169" i="13"/>
  <c r="AS177" i="13"/>
  <c r="AS185" i="13"/>
  <c r="AS197" i="13"/>
  <c r="AS205" i="13"/>
  <c r="AS213" i="13"/>
  <c r="AS217" i="13"/>
  <c r="AS229" i="13"/>
  <c r="AS237" i="13"/>
  <c r="AS245" i="13"/>
  <c r="AS261" i="13"/>
  <c r="AS11" i="13"/>
  <c r="AS15" i="13"/>
  <c r="AS20" i="13"/>
  <c r="AS24" i="13"/>
  <c r="AS28" i="13"/>
  <c r="AS32" i="13"/>
  <c r="AS36" i="13"/>
  <c r="AS40" i="13"/>
  <c r="AS44" i="13"/>
  <c r="AS48" i="13"/>
  <c r="AS52" i="13"/>
  <c r="AS56" i="13"/>
  <c r="AS60" i="13"/>
  <c r="AS64" i="13"/>
  <c r="AS68" i="13"/>
  <c r="AS72" i="13"/>
  <c r="AS76" i="13"/>
  <c r="AS80" i="13"/>
  <c r="AS84" i="13"/>
  <c r="AS88" i="13"/>
  <c r="AS92" i="13"/>
  <c r="AS96" i="13"/>
  <c r="AS100" i="13"/>
  <c r="AS104" i="13"/>
  <c r="AS108" i="13"/>
  <c r="AS112" i="13"/>
  <c r="AS116" i="13"/>
  <c r="AS120" i="13"/>
  <c r="AS124" i="13"/>
  <c r="AS128" i="13"/>
  <c r="AS132" i="13"/>
  <c r="AS136" i="13"/>
  <c r="AS140" i="13"/>
  <c r="AS144" i="13"/>
  <c r="AS148" i="13"/>
  <c r="AS152" i="13"/>
  <c r="AS156" i="13"/>
  <c r="AS160" i="13"/>
  <c r="AS164" i="13"/>
  <c r="AS168" i="13"/>
  <c r="AS172" i="13"/>
  <c r="AS176" i="13"/>
  <c r="AS180" i="13"/>
  <c r="AS184" i="13"/>
  <c r="AS188" i="13"/>
  <c r="AS192" i="13"/>
  <c r="AS196" i="13"/>
  <c r="AS200" i="13"/>
  <c r="AS204" i="13"/>
  <c r="AS208" i="13"/>
  <c r="AS212" i="13"/>
  <c r="AS216" i="13"/>
  <c r="AS220" i="13"/>
  <c r="AS224" i="13"/>
  <c r="AS228" i="13"/>
  <c r="AS232" i="13"/>
  <c r="AS236" i="13"/>
  <c r="AS240" i="13"/>
  <c r="AS244" i="13"/>
  <c r="AS248" i="13"/>
  <c r="AS252" i="13"/>
  <c r="AS256" i="13"/>
  <c r="AS260" i="13"/>
  <c r="AS264" i="13"/>
  <c r="AS268" i="13"/>
  <c r="AS272" i="13"/>
  <c r="AS276" i="13"/>
  <c r="AS280" i="13"/>
  <c r="AS284" i="13"/>
  <c r="AS288" i="13"/>
  <c r="AS292" i="13"/>
  <c r="AS296" i="13"/>
  <c r="AS300" i="13"/>
  <c r="AS304" i="13"/>
  <c r="AS308" i="13"/>
  <c r="AS312" i="13"/>
  <c r="AS316" i="13"/>
  <c r="AS320" i="13"/>
  <c r="AS324" i="13"/>
  <c r="AS328" i="13"/>
  <c r="AS332" i="13"/>
  <c r="AS336" i="13"/>
  <c r="AS340" i="13"/>
  <c r="AS344" i="13"/>
  <c r="AS348" i="13"/>
  <c r="AS352" i="13"/>
  <c r="AS356" i="13"/>
  <c r="AS360" i="13"/>
  <c r="AS364" i="13"/>
  <c r="AS368" i="13"/>
  <c r="AS372" i="13"/>
  <c r="AS376" i="13"/>
  <c r="AS380" i="13"/>
  <c r="AS384" i="13"/>
  <c r="AS388" i="13"/>
  <c r="AS392" i="13"/>
  <c r="AS396" i="13"/>
  <c r="AS400" i="13"/>
  <c r="AS404" i="13"/>
  <c r="AS408" i="13"/>
  <c r="AS412" i="13"/>
  <c r="AS416" i="13"/>
  <c r="AS420" i="13"/>
  <c r="AS424" i="13"/>
  <c r="AS428" i="13"/>
  <c r="AS432" i="13"/>
  <c r="AS436" i="13"/>
  <c r="AS440" i="13"/>
  <c r="AS444" i="13"/>
  <c r="AS448" i="13"/>
  <c r="AS452" i="13"/>
  <c r="AS456" i="13"/>
  <c r="AS460" i="13"/>
  <c r="AS464" i="13"/>
  <c r="AS468" i="13"/>
  <c r="AS472" i="13"/>
  <c r="AS476" i="13"/>
  <c r="AS480" i="13"/>
  <c r="AS484" i="13"/>
  <c r="AS488" i="13"/>
  <c r="AS492" i="13"/>
  <c r="AS496" i="13"/>
  <c r="AS504" i="13"/>
  <c r="AS512" i="13"/>
  <c r="AS516" i="13"/>
  <c r="AS520" i="13"/>
  <c r="AS524" i="13"/>
  <c r="AS528" i="13"/>
  <c r="AS532" i="13"/>
  <c r="AS536" i="13"/>
  <c r="AS544" i="13"/>
  <c r="AS548" i="13"/>
  <c r="AS556" i="13"/>
  <c r="AS560" i="13"/>
  <c r="AS568" i="13"/>
  <c r="AS576" i="13"/>
  <c r="AS588" i="13"/>
  <c r="AS604" i="13"/>
  <c r="AS616" i="13"/>
  <c r="AS628" i="13"/>
  <c r="AS640" i="13"/>
  <c r="AS656" i="13"/>
  <c r="AS668" i="13"/>
  <c r="AS676" i="13"/>
  <c r="AS692" i="13"/>
  <c r="AS704" i="13"/>
  <c r="AS716" i="13"/>
  <c r="AS728" i="13"/>
  <c r="AS744" i="13"/>
  <c r="AS756" i="13"/>
  <c r="AS768" i="13"/>
  <c r="AS776" i="13"/>
  <c r="AS788" i="13"/>
  <c r="AS804" i="13"/>
  <c r="AS816" i="13"/>
  <c r="AS828" i="13"/>
  <c r="AS836" i="13"/>
  <c r="AS852" i="13"/>
  <c r="AS864" i="13"/>
  <c r="AS876" i="13"/>
  <c r="AS892" i="13"/>
  <c r="AS904" i="13"/>
  <c r="AS920" i="13"/>
  <c r="AS932" i="13"/>
  <c r="AS944" i="13"/>
  <c r="AS960" i="13"/>
  <c r="AS968" i="13"/>
  <c r="AS980" i="13"/>
  <c r="AS992" i="13"/>
  <c r="AS225" i="13"/>
  <c r="AS253" i="13"/>
  <c r="AS265" i="13"/>
  <c r="AS12" i="13"/>
  <c r="AS13" i="13"/>
  <c r="AS18" i="13"/>
  <c r="AS22" i="13"/>
  <c r="AS26" i="13"/>
  <c r="AS30" i="13"/>
  <c r="AS34" i="13"/>
  <c r="AS38" i="13"/>
  <c r="AS42" i="13"/>
  <c r="AS46" i="13"/>
  <c r="AS50" i="13"/>
  <c r="AS54" i="13"/>
  <c r="AS58" i="13"/>
  <c r="AS62" i="13"/>
  <c r="AS66" i="13"/>
  <c r="AS70" i="13"/>
  <c r="AS74" i="13"/>
  <c r="AS78" i="13"/>
  <c r="AS82" i="13"/>
  <c r="AS86" i="13"/>
  <c r="AS90" i="13"/>
  <c r="AS94" i="13"/>
  <c r="AS98" i="13"/>
  <c r="AS102" i="13"/>
  <c r="AS106" i="13"/>
  <c r="AS110" i="13"/>
  <c r="AS114" i="13"/>
  <c r="AS118" i="13"/>
  <c r="AS122" i="13"/>
  <c r="AS126" i="13"/>
  <c r="AS130" i="13"/>
  <c r="AS134" i="13"/>
  <c r="AS138" i="13"/>
  <c r="AS142" i="13"/>
  <c r="AS146" i="13"/>
  <c r="AS150" i="13"/>
  <c r="AS154" i="13"/>
  <c r="AS158" i="13"/>
  <c r="AS162" i="13"/>
  <c r="AS166" i="13"/>
  <c r="AS170" i="13"/>
  <c r="AS174" i="13"/>
  <c r="AS178" i="13"/>
  <c r="AS182" i="13"/>
  <c r="AS186" i="13"/>
  <c r="AS190" i="13"/>
  <c r="AS194" i="13"/>
  <c r="AS198" i="13"/>
  <c r="AS202" i="13"/>
  <c r="AS206" i="13"/>
  <c r="AS210" i="13"/>
  <c r="AS214" i="13"/>
  <c r="AS218" i="13"/>
  <c r="AS222" i="13"/>
  <c r="AS226" i="13"/>
  <c r="AS230" i="13"/>
  <c r="AS234" i="13"/>
  <c r="AS238" i="13"/>
  <c r="AS242" i="13"/>
  <c r="AS246" i="13"/>
  <c r="AS250" i="13"/>
  <c r="AS254" i="13"/>
  <c r="AS258" i="13"/>
  <c r="AS262" i="13"/>
  <c r="AS266" i="13"/>
  <c r="AS270" i="13"/>
  <c r="AS274" i="13"/>
  <c r="AS278" i="13"/>
  <c r="AS282" i="13"/>
  <c r="AS286" i="13"/>
  <c r="AS290" i="13"/>
  <c r="AS294" i="13"/>
  <c r="AS298" i="13"/>
  <c r="AS302" i="13"/>
  <c r="AS306" i="13"/>
  <c r="AS310" i="13"/>
  <c r="AS314" i="13"/>
  <c r="AS318" i="13"/>
  <c r="AS322" i="13"/>
  <c r="AS326" i="13"/>
  <c r="AS330" i="13"/>
  <c r="AS334" i="13"/>
  <c r="AS338" i="13"/>
  <c r="AS342" i="13"/>
  <c r="AS346" i="13"/>
  <c r="AS350" i="13"/>
  <c r="AS354" i="13"/>
  <c r="AS358" i="13"/>
  <c r="AS362" i="13"/>
  <c r="AS366" i="13"/>
  <c r="AS370" i="13"/>
  <c r="AS374" i="13"/>
  <c r="AS378" i="13"/>
  <c r="AS382" i="13"/>
  <c r="AS386" i="13"/>
  <c r="AS390" i="13"/>
  <c r="AS394" i="13"/>
  <c r="AS398" i="13"/>
  <c r="AS402" i="13"/>
  <c r="AS406" i="13"/>
  <c r="AS410" i="13"/>
  <c r="AS414" i="13"/>
  <c r="AS418" i="13"/>
  <c r="AS422" i="13"/>
  <c r="AS426" i="13"/>
  <c r="AS430" i="13"/>
  <c r="AS434" i="13"/>
  <c r="AS438" i="13"/>
  <c r="AS442" i="13"/>
  <c r="AS446" i="13"/>
  <c r="AS450" i="13"/>
  <c r="AS454" i="13"/>
  <c r="AS458" i="13"/>
  <c r="AS462" i="13"/>
  <c r="AS466" i="13"/>
  <c r="AS470" i="13"/>
  <c r="AS474" i="13"/>
  <c r="AS478" i="13"/>
  <c r="AS482" i="13"/>
  <c r="AS486" i="13"/>
  <c r="AS490" i="13"/>
  <c r="AS494" i="13"/>
  <c r="AS498" i="13"/>
  <c r="AS502" i="13"/>
  <c r="AS506" i="13"/>
  <c r="AS510" i="13"/>
  <c r="AS514" i="13"/>
  <c r="AS518" i="13"/>
  <c r="AS522" i="13"/>
  <c r="AS526" i="13"/>
  <c r="AS530" i="13"/>
  <c r="AS534" i="13"/>
  <c r="AS538" i="13"/>
  <c r="AS542" i="13"/>
  <c r="AS546" i="13"/>
  <c r="AS550" i="13"/>
  <c r="AS554" i="13"/>
  <c r="AS558" i="13"/>
  <c r="AS562" i="13"/>
  <c r="AS566" i="13"/>
  <c r="AS570" i="13"/>
  <c r="AS574" i="13"/>
  <c r="AS578" i="13"/>
  <c r="AS582" i="13"/>
  <c r="AS586" i="13"/>
  <c r="AS590" i="13"/>
  <c r="AS594" i="13"/>
  <c r="AS598" i="13"/>
  <c r="AS602" i="13"/>
  <c r="AS606" i="13"/>
  <c r="AS610" i="13"/>
  <c r="AS614" i="13"/>
  <c r="AS618" i="13"/>
  <c r="AS622" i="13"/>
  <c r="AS626" i="13"/>
  <c r="AS630" i="13"/>
  <c r="AS634" i="13"/>
  <c r="AS638" i="13"/>
  <c r="AS642" i="13"/>
  <c r="AS646" i="13"/>
  <c r="AS650" i="13"/>
  <c r="AS654" i="13"/>
  <c r="AS658" i="13"/>
  <c r="AS662" i="13"/>
  <c r="AS666" i="13"/>
  <c r="AS670" i="13"/>
  <c r="AS674" i="13"/>
  <c r="AS678" i="13"/>
  <c r="AS682" i="13"/>
  <c r="AS686" i="13"/>
  <c r="AS690" i="13"/>
  <c r="AS694" i="13"/>
  <c r="AS698" i="13"/>
  <c r="AS702" i="13"/>
  <c r="AS706" i="13"/>
  <c r="AS710" i="13"/>
  <c r="AS714" i="13"/>
  <c r="AS718" i="13"/>
  <c r="AS722" i="13"/>
  <c r="AS726" i="13"/>
  <c r="AS730" i="13"/>
  <c r="AS734" i="13"/>
  <c r="AS738" i="13"/>
  <c r="AS742" i="13"/>
  <c r="AS746" i="13"/>
  <c r="AS750" i="13"/>
  <c r="AS754" i="13"/>
  <c r="AS758" i="13"/>
  <c r="AS762" i="13"/>
  <c r="AS766" i="13"/>
  <c r="AS770" i="13"/>
  <c r="AS774" i="13"/>
  <c r="AS778" i="13"/>
  <c r="AS782" i="13"/>
  <c r="AS786" i="13"/>
  <c r="AS790" i="13"/>
  <c r="AS794" i="13"/>
  <c r="AS798" i="13"/>
  <c r="AS802" i="13"/>
  <c r="AS806" i="13"/>
  <c r="AS810" i="13"/>
  <c r="AS814" i="13"/>
  <c r="AS818" i="13"/>
  <c r="AS822" i="13"/>
  <c r="AS826" i="13"/>
  <c r="AS830" i="13"/>
  <c r="AS834" i="13"/>
  <c r="AS838" i="13"/>
  <c r="AS842" i="13"/>
  <c r="AS846" i="13"/>
  <c r="AS850" i="13"/>
  <c r="AS854" i="13"/>
  <c r="AS858" i="13"/>
  <c r="AS862" i="13"/>
  <c r="AS866" i="13"/>
  <c r="AS870" i="13"/>
  <c r="AS874" i="13"/>
  <c r="AS878" i="13"/>
  <c r="AS882" i="13"/>
  <c r="AS886" i="13"/>
  <c r="AS890" i="13"/>
  <c r="AS894" i="13"/>
  <c r="AS898" i="13"/>
  <c r="AS902" i="13"/>
  <c r="AS906" i="13"/>
  <c r="AS910" i="13"/>
  <c r="AS914" i="13"/>
  <c r="AS918" i="13"/>
  <c r="AS922" i="13"/>
  <c r="AS926" i="13"/>
  <c r="AS930" i="13"/>
  <c r="AS934" i="13"/>
  <c r="AS938" i="13"/>
  <c r="AS942" i="13"/>
  <c r="AS946" i="13"/>
  <c r="AS950" i="13"/>
  <c r="AS954" i="13"/>
  <c r="AS958" i="13"/>
  <c r="AS962" i="13"/>
  <c r="AS966" i="13"/>
  <c r="AS970" i="13"/>
  <c r="AS974" i="13"/>
  <c r="AS978" i="13"/>
  <c r="AS982" i="13"/>
  <c r="AS986" i="13"/>
  <c r="AS990" i="13"/>
  <c r="AS994" i="13"/>
  <c r="AS998" i="13"/>
  <c r="AS1002" i="13"/>
  <c r="AS1006" i="13"/>
  <c r="AS967" i="13"/>
  <c r="AS975" i="13"/>
  <c r="AS979" i="13"/>
  <c r="AS987" i="13"/>
  <c r="AS991" i="13"/>
  <c r="AS999" i="13"/>
  <c r="AS1003" i="13"/>
  <c r="AS500" i="13"/>
  <c r="AS540" i="13"/>
  <c r="AS552" i="13"/>
  <c r="AS564" i="13"/>
  <c r="AS572" i="13"/>
  <c r="AS580" i="13"/>
  <c r="AS592" i="13"/>
  <c r="AS600" i="13"/>
  <c r="AS608" i="13"/>
  <c r="AS620" i="13"/>
  <c r="AS632" i="13"/>
  <c r="AS644" i="13"/>
  <c r="AS652" i="13"/>
  <c r="AS660" i="13"/>
  <c r="AS672" i="13"/>
  <c r="AS684" i="13"/>
  <c r="AS688" i="13"/>
  <c r="AS700" i="13"/>
  <c r="AS712" i="13"/>
  <c r="AS720" i="13"/>
  <c r="AS732" i="13"/>
  <c r="AS740" i="13"/>
  <c r="AS752" i="13"/>
  <c r="AS760" i="13"/>
  <c r="AS772" i="13"/>
  <c r="AS784" i="13"/>
  <c r="AS792" i="13"/>
  <c r="AS800" i="13"/>
  <c r="AS812" i="13"/>
  <c r="AS824" i="13"/>
  <c r="AS840" i="13"/>
  <c r="AS848" i="13"/>
  <c r="AS860" i="13"/>
  <c r="AS868" i="13"/>
  <c r="AS880" i="13"/>
  <c r="AS888" i="13"/>
  <c r="AS896" i="13"/>
  <c r="AS908" i="13"/>
  <c r="AS916" i="13"/>
  <c r="AS928" i="13"/>
  <c r="AS936" i="13"/>
  <c r="AS948" i="13"/>
  <c r="AS956" i="13"/>
  <c r="AS964" i="13"/>
  <c r="AS976" i="13"/>
  <c r="AS988" i="13"/>
  <c r="AS996" i="13"/>
  <c r="AS1004" i="13"/>
  <c r="AS10" i="13"/>
  <c r="AS17" i="13"/>
  <c r="AS21" i="13"/>
  <c r="AS25" i="13"/>
  <c r="AS29" i="13"/>
  <c r="AS33" i="13"/>
  <c r="AS37" i="13"/>
  <c r="AS41" i="13"/>
  <c r="AS45" i="13"/>
  <c r="AS53" i="13"/>
  <c r="AS57" i="13"/>
  <c r="AS65" i="13"/>
  <c r="AS73" i="13"/>
  <c r="AS81" i="13"/>
  <c r="AS89" i="13"/>
  <c r="AS97" i="13"/>
  <c r="AS105" i="13"/>
  <c r="AS109" i="13"/>
  <c r="AS117" i="13"/>
  <c r="AS125" i="13"/>
  <c r="AS137" i="13"/>
  <c r="AS145" i="13"/>
  <c r="AS149" i="13"/>
  <c r="AS157" i="13"/>
  <c r="AS165" i="13"/>
  <c r="AS173" i="13"/>
  <c r="AS181" i="13"/>
  <c r="AS189" i="13"/>
  <c r="AS193" i="13"/>
  <c r="AS201" i="13"/>
  <c r="AS209" i="13"/>
  <c r="AS221" i="13"/>
  <c r="AS233" i="13"/>
  <c r="AS241" i="13"/>
  <c r="AS249" i="13"/>
  <c r="AS257" i="13"/>
  <c r="AS269" i="13"/>
  <c r="AS285" i="13"/>
  <c r="AS301" i="13"/>
  <c r="AS317" i="13"/>
  <c r="AS333" i="13"/>
  <c r="AS349" i="13"/>
  <c r="AS365" i="13"/>
  <c r="AS381" i="13"/>
  <c r="AS397" i="13"/>
  <c r="AS413" i="13"/>
  <c r="AS429" i="13"/>
  <c r="AS445" i="13"/>
  <c r="AS461" i="13"/>
  <c r="AS477" i="13"/>
  <c r="AS493" i="13"/>
  <c r="AS509" i="13"/>
  <c r="AS525" i="13"/>
  <c r="AS541" i="13"/>
  <c r="AS557" i="13"/>
  <c r="AS573" i="13"/>
  <c r="AS589" i="13"/>
  <c r="AS605" i="13"/>
  <c r="AS621" i="13"/>
  <c r="AS637" i="13"/>
  <c r="AS653" i="13"/>
  <c r="AS669" i="13"/>
  <c r="AS685" i="13"/>
  <c r="AS701" i="13"/>
  <c r="AS717" i="13"/>
  <c r="AS733" i="13"/>
  <c r="AS749" i="13"/>
  <c r="AS765" i="13"/>
  <c r="AS781" i="13"/>
  <c r="AS797" i="13"/>
  <c r="AS813" i="13"/>
  <c r="AS829" i="13"/>
  <c r="AS845" i="13"/>
  <c r="AS861" i="13"/>
  <c r="AS877" i="13"/>
  <c r="AS893" i="13"/>
  <c r="AS909" i="13"/>
  <c r="AS925" i="13"/>
  <c r="AS941" i="13"/>
  <c r="AS957" i="13"/>
  <c r="AS973" i="13"/>
  <c r="AS989" i="13"/>
  <c r="AS1005" i="13"/>
  <c r="AS501" i="13"/>
  <c r="AS597" i="13"/>
  <c r="AS629" i="13"/>
  <c r="AS661" i="13"/>
  <c r="AS693" i="13"/>
  <c r="AS741" i="13"/>
  <c r="AS773" i="13"/>
  <c r="AS805" i="13"/>
  <c r="AS837" i="13"/>
  <c r="AS869" i="13"/>
  <c r="AS901" i="13"/>
  <c r="AS917" i="13"/>
  <c r="AS949" i="13"/>
  <c r="AS981" i="13"/>
  <c r="AS297" i="13"/>
  <c r="AS313" i="13"/>
  <c r="AS345" i="13"/>
  <c r="AS377" i="13"/>
  <c r="AS409" i="13"/>
  <c r="AS441" i="13"/>
  <c r="AS473" i="13"/>
  <c r="AS505" i="13"/>
  <c r="AS537" i="13"/>
  <c r="AS569" i="13"/>
  <c r="AS617" i="13"/>
  <c r="AS665" i="13"/>
  <c r="AS713" i="13"/>
  <c r="AS761" i="13"/>
  <c r="AS825" i="13"/>
  <c r="AS889" i="13"/>
  <c r="AS953" i="13"/>
  <c r="AS1001" i="13"/>
  <c r="AS273" i="13"/>
  <c r="AS289" i="13"/>
  <c r="AS305" i="13"/>
  <c r="AS321" i="13"/>
  <c r="AS337" i="13"/>
  <c r="AS353" i="13"/>
  <c r="AS369" i="13"/>
  <c r="AS385" i="13"/>
  <c r="AS401" i="13"/>
  <c r="AS417" i="13"/>
  <c r="AS433" i="13"/>
  <c r="AS449" i="13"/>
  <c r="AS465" i="13"/>
  <c r="AS481" i="13"/>
  <c r="AS497" i="13"/>
  <c r="AS513" i="13"/>
  <c r="AS529" i="13"/>
  <c r="AS545" i="13"/>
  <c r="AS561" i="13"/>
  <c r="AS577" i="13"/>
  <c r="AS593" i="13"/>
  <c r="AS609" i="13"/>
  <c r="AS625" i="13"/>
  <c r="AS641" i="13"/>
  <c r="AS657" i="13"/>
  <c r="AS673" i="13"/>
  <c r="AS689" i="13"/>
  <c r="AS705" i="13"/>
  <c r="AS721" i="13"/>
  <c r="AS737" i="13"/>
  <c r="AS753" i="13"/>
  <c r="AS769" i="13"/>
  <c r="AS785" i="13"/>
  <c r="AS801" i="13"/>
  <c r="AS817" i="13"/>
  <c r="AS833" i="13"/>
  <c r="AS849" i="13"/>
  <c r="AS865" i="13"/>
  <c r="AS881" i="13"/>
  <c r="AS897" i="13"/>
  <c r="AS913" i="13"/>
  <c r="AS929" i="13"/>
  <c r="AS945" i="13"/>
  <c r="AS961" i="13"/>
  <c r="AS977" i="13"/>
  <c r="AS993" i="13"/>
  <c r="AS277" i="13"/>
  <c r="AS293" i="13"/>
  <c r="AS309" i="13"/>
  <c r="AS325" i="13"/>
  <c r="AS341" i="13"/>
  <c r="AS357" i="13"/>
  <c r="AS373" i="13"/>
  <c r="AS389" i="13"/>
  <c r="AS405" i="13"/>
  <c r="AS421" i="13"/>
  <c r="AS437" i="13"/>
  <c r="AS453" i="13"/>
  <c r="AS469" i="13"/>
  <c r="AS485" i="13"/>
  <c r="AS517" i="13"/>
  <c r="AS533" i="13"/>
  <c r="AS549" i="13"/>
  <c r="AS565" i="13"/>
  <c r="AS581" i="13"/>
  <c r="AS613" i="13"/>
  <c r="AS645" i="13"/>
  <c r="AS677" i="13"/>
  <c r="AS709" i="13"/>
  <c r="AS725" i="13"/>
  <c r="AS757" i="13"/>
  <c r="AS789" i="13"/>
  <c r="AS821" i="13"/>
  <c r="AS853" i="13"/>
  <c r="AS885" i="13"/>
  <c r="AS933" i="13"/>
  <c r="AS965" i="13"/>
  <c r="AS997" i="13"/>
  <c r="AS281" i="13"/>
  <c r="AS329" i="13"/>
  <c r="AS361" i="13"/>
  <c r="AS393" i="13"/>
  <c r="AS425" i="13"/>
  <c r="AS457" i="13"/>
  <c r="AS489" i="13"/>
  <c r="AS521" i="13"/>
  <c r="AS553" i="13"/>
  <c r="AS601" i="13"/>
  <c r="AS649" i="13"/>
  <c r="AS697" i="13"/>
  <c r="AS745" i="13"/>
  <c r="AS793" i="13"/>
  <c r="AS841" i="13"/>
  <c r="AS873" i="13"/>
  <c r="AS921" i="13"/>
  <c r="AS969" i="13"/>
  <c r="AS585" i="13"/>
  <c r="AS633" i="13"/>
  <c r="AS681" i="13"/>
  <c r="AS729" i="13"/>
  <c r="AS777" i="13"/>
  <c r="AS809" i="13"/>
  <c r="AS857" i="13"/>
  <c r="AS905" i="13"/>
  <c r="AS937" i="13"/>
  <c r="AS985" i="13"/>
  <c r="AS1008" i="13"/>
  <c r="AO1009" i="13"/>
  <c r="AS5" i="13" l="1"/>
  <c r="AS7" i="13"/>
  <c r="AO7" i="13"/>
  <c r="AO5" i="13"/>
</calcChain>
</file>

<file path=xl/comments1.xml><?xml version="1.0" encoding="utf-8"?>
<comments xmlns="http://schemas.openxmlformats.org/spreadsheetml/2006/main">
  <authors>
    <author>Geoff Cumming</author>
  </authors>
  <commentList>
    <comment ref="J3" authorId="0" shapeId="0">
      <text>
        <r>
          <rPr>
            <sz val="8"/>
            <color indexed="81"/>
            <rFont val="Tahoma"/>
            <family val="2"/>
          </rPr>
          <t>ESCI to accompany "The New Statistics" book</t>
        </r>
      </text>
    </comment>
  </commentList>
</comments>
</file>

<file path=xl/comments2.xml><?xml version="1.0" encoding="utf-8"?>
<comments xmlns="http://schemas.openxmlformats.org/spreadsheetml/2006/main">
  <authors>
    <author>Geoff Cumming</author>
  </authors>
  <commentList>
    <comment ref="F5" authorId="0" shapeId="0">
      <text>
        <r>
          <rPr>
            <sz val="8"/>
            <color indexed="81"/>
            <rFont val="Tahoma"/>
            <family val="2"/>
          </rPr>
          <t>The underlying population is assumed normally distributed.</t>
        </r>
        <r>
          <rPr>
            <sz val="8"/>
            <color indexed="81"/>
            <rFont val="Tahoma"/>
            <family val="2"/>
          </rPr>
          <t xml:space="preserve">
</t>
        </r>
      </text>
    </comment>
    <comment ref="H6" authorId="0" shapeId="0">
      <text>
        <r>
          <rPr>
            <sz val="8"/>
            <color indexed="81"/>
            <rFont val="Tahoma"/>
            <family val="2"/>
          </rPr>
          <t>Use the spinner or type in a value for the population mean.  
Min 0, max 100.</t>
        </r>
        <r>
          <rPr>
            <sz val="8"/>
            <color indexed="81"/>
            <rFont val="Tahoma"/>
            <family val="2"/>
          </rPr>
          <t xml:space="preserve">
</t>
        </r>
      </text>
    </comment>
    <comment ref="M6" authorId="0" shapeId="0">
      <text>
        <r>
          <rPr>
            <sz val="8"/>
            <color indexed="81"/>
            <rFont val="Tahoma"/>
            <family val="2"/>
          </rPr>
          <t>Use the spinner or type in a value for the population SD.  
Min 0, max 50.</t>
        </r>
        <r>
          <rPr>
            <sz val="8"/>
            <color indexed="81"/>
            <rFont val="Tahoma"/>
            <family val="2"/>
          </rPr>
          <t xml:space="preserve">
</t>
        </r>
      </text>
    </comment>
    <comment ref="M8" authorId="0" shapeId="0">
      <text>
        <r>
          <rPr>
            <sz val="8"/>
            <color indexed="81"/>
            <rFont val="Tahoma"/>
            <family val="2"/>
          </rPr>
          <t xml:space="preserve">Click to display the population mean, indicated by a horizontal red line, and the population SD, represented by shaded red vertical bars, above and below </t>
        </r>
        <r>
          <rPr>
            <sz val="10"/>
            <color indexed="81"/>
            <rFont val="Symbol"/>
            <family val="1"/>
            <charset val="2"/>
          </rPr>
          <t>m</t>
        </r>
        <r>
          <rPr>
            <sz val="8"/>
            <color indexed="81"/>
            <rFont val="Tahoma"/>
            <family val="2"/>
          </rPr>
          <t>.</t>
        </r>
        <r>
          <rPr>
            <sz val="8"/>
            <color indexed="81"/>
            <rFont val="Tahoma"/>
            <family val="2"/>
          </rPr>
          <t xml:space="preserve">
</t>
        </r>
      </text>
    </comment>
    <comment ref="O8" authorId="0" shapeId="0">
      <text>
        <r>
          <rPr>
            <sz val="8"/>
            <color indexed="81"/>
            <rFont val="Tahoma"/>
            <family val="2"/>
          </rPr>
          <t>Standard error, which is the SD of the sampling distribution of means</t>
        </r>
        <r>
          <rPr>
            <sz val="10"/>
            <color indexed="81"/>
            <rFont val="Tahoma"/>
            <family val="2"/>
          </rPr>
          <t xml:space="preserve">
</t>
        </r>
      </text>
    </comment>
    <comment ref="F9" authorId="0" shapeId="0">
      <text>
        <r>
          <rPr>
            <sz val="8"/>
            <color indexed="81"/>
            <rFont val="Tahoma"/>
            <family val="2"/>
          </rPr>
          <t xml:space="preserve">Each experiment is a single random sample, size </t>
        </r>
        <r>
          <rPr>
            <i/>
            <sz val="8"/>
            <color indexed="81"/>
            <rFont val="Tahoma"/>
            <family val="2"/>
          </rPr>
          <t>N</t>
        </r>
        <r>
          <rPr>
            <sz val="8"/>
            <color indexed="81"/>
            <rFont val="Tahoma"/>
            <family val="2"/>
          </rPr>
          <t>, from the population.</t>
        </r>
      </text>
    </comment>
    <comment ref="G10" authorId="0" shapeId="0">
      <text>
        <r>
          <rPr>
            <sz val="8"/>
            <color indexed="81"/>
            <rFont val="Tahoma"/>
            <family val="2"/>
          </rPr>
          <t xml:space="preserve">Use the spinner, or type in </t>
        </r>
        <r>
          <rPr>
            <i/>
            <sz val="8"/>
            <color indexed="81"/>
            <rFont val="Tahoma"/>
            <family val="2"/>
          </rPr>
          <t>N</t>
        </r>
        <r>
          <rPr>
            <sz val="8"/>
            <color indexed="81"/>
            <rFont val="Tahoma"/>
            <family val="2"/>
          </rPr>
          <t>.
Min 2, max 200.</t>
        </r>
        <r>
          <rPr>
            <sz val="8"/>
            <color indexed="81"/>
            <rFont val="Tahoma"/>
            <family val="2"/>
          </rPr>
          <t xml:space="preserve">
</t>
        </r>
      </text>
    </comment>
    <comment ref="P10" authorId="0" shapeId="0">
      <text>
        <r>
          <rPr>
            <sz val="8"/>
            <color indexed="81"/>
            <rFont val="Tahoma"/>
            <family val="2"/>
          </rPr>
          <t>Click to display at right the sampling distribution of sample means of replication experiments, as a heavy green curve.</t>
        </r>
        <r>
          <rPr>
            <sz val="10"/>
            <color indexed="81"/>
            <rFont val="Tahoma"/>
            <family val="2"/>
          </rPr>
          <t xml:space="preserve">
</t>
        </r>
      </text>
    </comment>
    <comment ref="O11" authorId="0" shapeId="0">
      <text>
        <r>
          <rPr>
            <sz val="8"/>
            <color indexed="81"/>
            <rFont val="Tahoma"/>
            <family val="2"/>
          </rPr>
          <t>Click to display two dotted red horizontal lines that define an area under the sampling distribution of means, with area</t>
        </r>
        <r>
          <rPr>
            <i/>
            <sz val="8"/>
            <color indexed="81"/>
            <rFont val="Tahoma"/>
            <family val="2"/>
          </rPr>
          <t xml:space="preserve"> C</t>
        </r>
        <r>
          <rPr>
            <sz val="8"/>
            <color indexed="81"/>
            <rFont val="Tahoma"/>
            <family val="2"/>
          </rPr>
          <t xml:space="preserve">/100.  We expect </t>
        </r>
        <r>
          <rPr>
            <i/>
            <sz val="8"/>
            <color indexed="81"/>
            <rFont val="Tahoma"/>
            <family val="2"/>
          </rPr>
          <t>C</t>
        </r>
        <r>
          <rPr>
            <sz val="8"/>
            <color indexed="81"/>
            <rFont val="Tahoma"/>
            <family val="2"/>
          </rPr>
          <t>% of sample means will, in the long run, fall within this interval, which is centred within the sampling distribution of means.</t>
        </r>
      </text>
    </comment>
    <comment ref="O12" authorId="0" shapeId="0">
      <text>
        <r>
          <rPr>
            <sz val="8"/>
            <color indexed="81"/>
            <rFont val="Tahoma"/>
            <family val="2"/>
          </rPr>
          <t xml:space="preserve">Shade the central </t>
        </r>
        <r>
          <rPr>
            <i/>
            <sz val="8"/>
            <color indexed="81"/>
            <rFont val="Tahoma"/>
            <family val="2"/>
          </rPr>
          <t>C</t>
        </r>
        <r>
          <rPr>
            <sz val="8"/>
            <color indexed="81"/>
            <rFont val="Tahoma"/>
            <family val="2"/>
          </rPr>
          <t>% area pink.</t>
        </r>
        <r>
          <rPr>
            <sz val="10"/>
            <color indexed="81"/>
            <rFont val="Tahoma"/>
            <family val="2"/>
          </rPr>
          <t xml:space="preserve">
</t>
        </r>
      </text>
    </comment>
    <comment ref="H13" authorId="0" shapeId="0">
      <text>
        <r>
          <rPr>
            <sz val="8"/>
            <color indexed="81"/>
            <rFont val="Tahoma"/>
            <family val="2"/>
          </rPr>
          <t xml:space="preserve">Set the confidence level, </t>
        </r>
        <r>
          <rPr>
            <i/>
            <sz val="8"/>
            <color indexed="81"/>
            <rFont val="Tahoma"/>
            <family val="2"/>
          </rPr>
          <t>C</t>
        </r>
        <r>
          <rPr>
            <sz val="8"/>
            <color indexed="81"/>
            <rFont val="Tahoma"/>
            <family val="2"/>
          </rPr>
          <t xml:space="preserve">.  </t>
        </r>
        <r>
          <rPr>
            <i/>
            <sz val="8"/>
            <color indexed="81"/>
            <rFont val="Tahoma"/>
            <family val="2"/>
          </rPr>
          <t>C</t>
        </r>
        <r>
          <rPr>
            <sz val="8"/>
            <color indexed="81"/>
            <rFont val="Tahoma"/>
            <family val="2"/>
          </rPr>
          <t xml:space="preserve"> is often set to 95, to give 95% CIs.  Use the spinner or type in a value.
Min 0, max 99.9.</t>
        </r>
        <r>
          <rPr>
            <sz val="8"/>
            <color indexed="81"/>
            <rFont val="Tahoma"/>
            <family val="2"/>
          </rPr>
          <t xml:space="preserve">
</t>
        </r>
      </text>
    </comment>
    <comment ref="P14" authorId="0" shapeId="0">
      <text>
        <r>
          <rPr>
            <sz val="8"/>
            <color indexed="81"/>
            <rFont val="Tahoma"/>
            <family val="2"/>
          </rPr>
          <t xml:space="preserve">If </t>
        </r>
        <r>
          <rPr>
            <sz val="9"/>
            <color indexed="81"/>
            <rFont val="Symbol"/>
            <family val="1"/>
            <charset val="2"/>
          </rPr>
          <t>s</t>
        </r>
        <r>
          <rPr>
            <sz val="8"/>
            <color indexed="81"/>
            <rFont val="Tahoma"/>
            <family val="2"/>
          </rPr>
          <t xml:space="preserve"> is assumed known, use </t>
        </r>
        <r>
          <rPr>
            <i/>
            <sz val="8"/>
            <color indexed="81"/>
            <rFont val="Tahoma"/>
            <family val="2"/>
          </rPr>
          <t>z</t>
        </r>
        <r>
          <rPr>
            <sz val="8"/>
            <color indexed="81"/>
            <rFont val="Tahoma"/>
            <family val="2"/>
          </rPr>
          <t xml:space="preserve"> and </t>
        </r>
        <r>
          <rPr>
            <sz val="9"/>
            <color indexed="81"/>
            <rFont val="Symbol"/>
            <family val="1"/>
            <charset val="2"/>
          </rPr>
          <t>s</t>
        </r>
        <r>
          <rPr>
            <sz val="8"/>
            <color indexed="81"/>
            <rFont val="Tahoma"/>
            <family val="2"/>
          </rPr>
          <t xml:space="preserve"> to calculate the CI for our single sample; if not, use </t>
        </r>
        <r>
          <rPr>
            <i/>
            <sz val="8"/>
            <color indexed="81"/>
            <rFont val="Tahoma"/>
            <family val="2"/>
          </rPr>
          <t>t</t>
        </r>
        <r>
          <rPr>
            <sz val="8"/>
            <color indexed="81"/>
            <rFont val="Tahoma"/>
            <family val="2"/>
          </rPr>
          <t xml:space="preserve">, and </t>
        </r>
        <r>
          <rPr>
            <i/>
            <sz val="8"/>
            <color indexed="81"/>
            <rFont val="Tahoma"/>
            <family val="2"/>
          </rPr>
          <t>s</t>
        </r>
        <r>
          <rPr>
            <sz val="8"/>
            <color indexed="81"/>
            <rFont val="Tahoma"/>
            <family val="2"/>
          </rPr>
          <t xml:space="preserve"> calculated for that sample.</t>
        </r>
        <r>
          <rPr>
            <sz val="8"/>
            <color indexed="81"/>
            <rFont val="Tahoma"/>
            <family val="2"/>
          </rPr>
          <t xml:space="preserve">
</t>
        </r>
      </text>
    </comment>
    <comment ref="H15" authorId="0" shapeId="0">
      <text>
        <r>
          <rPr>
            <sz val="8"/>
            <color indexed="81"/>
            <rFont val="Tahoma"/>
            <family val="2"/>
          </rPr>
          <t>Click to clear all  samples.</t>
        </r>
        <r>
          <rPr>
            <sz val="8"/>
            <color indexed="81"/>
            <rFont val="Tahoma"/>
            <family val="2"/>
          </rPr>
          <t xml:space="preserve">
</t>
        </r>
      </text>
    </comment>
    <comment ref="L15" authorId="0" shapeId="0">
      <text>
        <r>
          <rPr>
            <sz val="8"/>
            <color indexed="81"/>
            <rFont val="Tahoma"/>
            <family val="2"/>
          </rPr>
          <t>Click to take a sample, which we regard as the latest initial experiment.</t>
        </r>
        <r>
          <rPr>
            <sz val="8"/>
            <color indexed="81"/>
            <rFont val="Tahoma"/>
            <family val="2"/>
          </rPr>
          <t xml:space="preserve">
</t>
        </r>
      </text>
    </comment>
    <comment ref="O15" authorId="0" shapeId="0">
      <text>
        <r>
          <rPr>
            <sz val="8"/>
            <color indexed="81"/>
            <rFont val="Tahoma"/>
            <family val="2"/>
          </rPr>
          <t>Click to start or stop repeated sampling.</t>
        </r>
        <r>
          <rPr>
            <sz val="8"/>
            <color indexed="81"/>
            <rFont val="Tahoma"/>
            <family val="2"/>
          </rPr>
          <t xml:space="preserve">
</t>
        </r>
      </text>
    </comment>
    <comment ref="F16" authorId="0" shapeId="0">
      <text>
        <r>
          <rPr>
            <sz val="8"/>
            <color indexed="81"/>
            <rFont val="Tahoma"/>
            <family val="2"/>
          </rPr>
          <t>Click buttons to control the taking of samples.</t>
        </r>
        <r>
          <rPr>
            <sz val="8"/>
            <color indexed="81"/>
            <rFont val="Tahoma"/>
            <family val="2"/>
          </rPr>
          <t xml:space="preserve">
</t>
        </r>
      </text>
    </comment>
    <comment ref="Q16" authorId="0" shapeId="0">
      <text>
        <r>
          <rPr>
            <sz val="8"/>
            <color indexed="81"/>
            <rFont val="Tahoma"/>
            <family val="2"/>
          </rPr>
          <t>Speed of taking our initial samples. Max=20, min=1.</t>
        </r>
        <r>
          <rPr>
            <sz val="8"/>
            <color indexed="81"/>
            <rFont val="Tahoma"/>
            <family val="2"/>
          </rPr>
          <t xml:space="preserve">
</t>
        </r>
      </text>
    </comment>
    <comment ref="F19" authorId="0" shapeId="0">
      <text>
        <r>
          <rPr>
            <sz val="8"/>
            <color indexed="81"/>
            <rFont val="Tahoma"/>
            <family val="2"/>
          </rPr>
          <t xml:space="preserve">Each sample is regarded as an initial experiment, and the focus is on the % of replication means that would fall within each initial CI.
</t>
        </r>
      </text>
    </comment>
    <comment ref="O20" authorId="0" shapeId="0">
      <text>
        <r>
          <rPr>
            <sz val="8"/>
            <color indexed="81"/>
            <rFont val="Tahoma"/>
            <family val="2"/>
          </rPr>
          <t>Click to mark each CI with its capture %age, and to show as a green area the % of replication means expected, in the long run, to fall within the CI of our latest initial sample.</t>
        </r>
        <r>
          <rPr>
            <sz val="8"/>
            <color indexed="81"/>
            <rFont val="Tahoma"/>
            <family val="2"/>
          </rPr>
          <t xml:space="preserve">
</t>
        </r>
      </text>
    </comment>
    <comment ref="M21" authorId="0" shapeId="0">
      <text>
        <r>
          <rPr>
            <sz val="8"/>
            <color indexed="81"/>
            <rFont val="Tahoma"/>
            <family val="2"/>
          </rPr>
          <t>Number of initial samples taken so far.  Max=500.</t>
        </r>
        <r>
          <rPr>
            <sz val="8"/>
            <color indexed="81"/>
            <rFont val="Tahoma"/>
            <family val="2"/>
          </rPr>
          <t xml:space="preserve">
</t>
        </r>
      </text>
    </comment>
    <comment ref="F23" authorId="0" shapeId="0">
      <text>
        <r>
          <rPr>
            <sz val="8"/>
            <color indexed="81"/>
            <rFont val="Tahoma"/>
            <family val="2"/>
          </rPr>
          <t>Each dot is the capture % for one of the initial CIs in the current run of samples.  Max 500 samples.</t>
        </r>
      </text>
    </comment>
    <comment ref="AM24" authorId="0" shapeId="0">
      <text>
        <r>
          <rPr>
            <sz val="8"/>
            <color indexed="81"/>
            <rFont val="Tahoma"/>
            <family val="2"/>
          </rPr>
          <t>Lower display: Use spinner to adjust vertical spacing of data points that are the same, or close, so that dot histogram looks neat.</t>
        </r>
        <r>
          <rPr>
            <sz val="8"/>
            <color indexed="81"/>
            <rFont val="Tahoma"/>
            <family val="2"/>
          </rPr>
          <t xml:space="preserve">
</t>
        </r>
      </text>
    </comment>
    <comment ref="AM27" authorId="0" shapeId="0">
      <text>
        <r>
          <rPr>
            <sz val="8"/>
            <color indexed="81"/>
            <rFont val="Tahoma"/>
            <family val="2"/>
          </rPr>
          <t>Lower display: Use spinner to adjust how data values are rounded for display into bins, each bin being a vertical column of dots.  Adjust until the dot histogram looks neat.</t>
        </r>
        <r>
          <rPr>
            <sz val="8"/>
            <color indexed="81"/>
            <rFont val="Tahoma"/>
            <family val="2"/>
          </rPr>
          <t xml:space="preserve">
</t>
        </r>
      </text>
    </comment>
  </commentList>
</comments>
</file>

<file path=xl/comments3.xml><?xml version="1.0" encoding="utf-8"?>
<comments xmlns="http://schemas.openxmlformats.org/spreadsheetml/2006/main">
  <authors>
    <author>Geoff Cumming</author>
  </authors>
  <commentList>
    <comment ref="K2" authorId="0" shapeId="0">
      <text>
        <r>
          <rPr>
            <sz val="8"/>
            <color indexed="81"/>
            <rFont val="Tahoma"/>
            <family val="2"/>
          </rPr>
          <t xml:space="preserve">The intervals are </t>
        </r>
        <r>
          <rPr>
            <i/>
            <sz val="9"/>
            <color indexed="81"/>
            <rFont val="Tahoma"/>
            <family val="2"/>
          </rPr>
          <t>p</t>
        </r>
        <r>
          <rPr>
            <sz val="8"/>
            <color indexed="81"/>
            <rFont val="Tahoma"/>
            <family val="2"/>
          </rPr>
          <t xml:space="preserve"> intervals, with % as selected.  (80% intervals are commonly used.)  They are calculated without assuming</t>
        </r>
        <r>
          <rPr>
            <sz val="9"/>
            <color indexed="81"/>
            <rFont val="Symbol"/>
            <family val="1"/>
            <charset val="2"/>
          </rPr>
          <t xml:space="preserve"> </t>
        </r>
        <r>
          <rPr>
            <sz val="10"/>
            <color indexed="81"/>
            <rFont val="Symbol"/>
            <family val="1"/>
            <charset val="2"/>
          </rPr>
          <t>d</t>
        </r>
        <r>
          <rPr>
            <sz val="9"/>
            <color indexed="81"/>
            <rFont val="Symbol"/>
            <family val="1"/>
            <charset val="2"/>
          </rPr>
          <t xml:space="preserve"> </t>
        </r>
        <r>
          <rPr>
            <sz val="8"/>
            <color indexed="81"/>
            <rFont val="Tahoma"/>
            <family val="2"/>
          </rPr>
          <t xml:space="preserve">= </t>
        </r>
        <r>
          <rPr>
            <i/>
            <sz val="9"/>
            <color indexed="81"/>
            <rFont val="Tahoma"/>
            <family val="2"/>
          </rPr>
          <t>d</t>
        </r>
        <r>
          <rPr>
            <sz val="8"/>
            <color indexed="81"/>
            <rFont val="Tahoma"/>
            <family val="2"/>
          </rPr>
          <t>, using formulas in Appendix B of:
Cumming, G. (2008). Replication and</t>
        </r>
        <r>
          <rPr>
            <i/>
            <sz val="9"/>
            <color indexed="81"/>
            <rFont val="Tahoma"/>
            <family val="2"/>
          </rPr>
          <t xml:space="preserve"> p</t>
        </r>
        <r>
          <rPr>
            <sz val="8"/>
            <color indexed="81"/>
            <rFont val="Tahoma"/>
            <family val="2"/>
          </rPr>
          <t xml:space="preserve"> intervals: </t>
        </r>
        <r>
          <rPr>
            <i/>
            <sz val="9"/>
            <color indexed="81"/>
            <rFont val="Tahoma"/>
            <family val="2"/>
          </rPr>
          <t>p</t>
        </r>
        <r>
          <rPr>
            <sz val="8"/>
            <color indexed="81"/>
            <rFont val="Tahoma"/>
            <family val="2"/>
          </rPr>
          <t xml:space="preserve"> values predict the future only vaguely, but confidence intervals do much better. </t>
        </r>
        <r>
          <rPr>
            <i/>
            <sz val="9"/>
            <color indexed="81"/>
            <rFont val="Tahoma"/>
            <family val="2"/>
          </rPr>
          <t>Perspectives on Psychological Science, 3,</t>
        </r>
        <r>
          <rPr>
            <i/>
            <sz val="8"/>
            <color indexed="81"/>
            <rFont val="Tahoma"/>
            <family val="2"/>
          </rPr>
          <t xml:space="preserve"> </t>
        </r>
        <r>
          <rPr>
            <sz val="8"/>
            <color indexed="81"/>
            <rFont val="Tahoma"/>
            <family val="2"/>
          </rPr>
          <t>286-300.</t>
        </r>
      </text>
    </comment>
    <comment ref="F6" authorId="0" shapeId="0">
      <text>
        <r>
          <rPr>
            <sz val="8"/>
            <color indexed="81"/>
            <rFont val="Tahoma"/>
            <family val="2"/>
          </rPr>
          <t>80% intervals are most commonly used</t>
        </r>
        <r>
          <rPr>
            <sz val="10"/>
            <color indexed="81"/>
            <rFont val="Tahoma"/>
            <family val="2"/>
          </rPr>
          <t xml:space="preserve">
</t>
        </r>
      </text>
    </comment>
    <comment ref="H7" authorId="0" shapeId="0">
      <text>
        <r>
          <rPr>
            <sz val="8"/>
            <color indexed="81"/>
            <rFont val="Tahoma"/>
            <family val="2"/>
          </rPr>
          <t>Use spinner to select %</t>
        </r>
        <r>
          <rPr>
            <sz val="10"/>
            <color indexed="81"/>
            <rFont val="Tahoma"/>
            <family val="2"/>
          </rPr>
          <t xml:space="preserve">
</t>
        </r>
      </text>
    </comment>
    <comment ref="F13" authorId="0" shapeId="0">
      <text>
        <r>
          <rPr>
            <sz val="8"/>
            <color indexed="81"/>
            <rFont val="Tahoma"/>
            <family val="2"/>
          </rPr>
          <t xml:space="preserve">Use slider to choose a value of two-tailed </t>
        </r>
        <r>
          <rPr>
            <i/>
            <sz val="9"/>
            <color indexed="81"/>
            <rFont val="Tahoma"/>
            <family val="2"/>
          </rPr>
          <t>p</t>
        </r>
        <r>
          <rPr>
            <vertAlign val="subscript"/>
            <sz val="10"/>
            <color indexed="81"/>
            <rFont val="Tahoma"/>
            <family val="2"/>
          </rPr>
          <t>obt</t>
        </r>
      </text>
    </comment>
    <comment ref="F19" authorId="0" shapeId="0">
      <text>
        <r>
          <rPr>
            <sz val="8"/>
            <color indexed="81"/>
            <rFont val="Tahoma"/>
            <family val="2"/>
          </rPr>
          <t xml:space="preserve">One-sided </t>
        </r>
        <r>
          <rPr>
            <i/>
            <sz val="9"/>
            <color indexed="81"/>
            <rFont val="Tahoma"/>
            <family val="2"/>
          </rPr>
          <t>p</t>
        </r>
        <r>
          <rPr>
            <sz val="8"/>
            <color indexed="81"/>
            <rFont val="Tahoma"/>
            <family val="2"/>
          </rPr>
          <t xml:space="preserve"> interval, with % as selected above, for one-tailed replication </t>
        </r>
        <r>
          <rPr>
            <i/>
            <sz val="9"/>
            <color indexed="81"/>
            <rFont val="Tahoma"/>
            <family val="2"/>
          </rPr>
          <t>p</t>
        </r>
        <r>
          <rPr>
            <sz val="8"/>
            <color indexed="81"/>
            <rFont val="Tahoma"/>
            <family val="2"/>
          </rPr>
          <t xml:space="preserve">
</t>
        </r>
      </text>
    </comment>
    <comment ref="K19" authorId="0" shapeId="0">
      <text>
        <r>
          <rPr>
            <sz val="8"/>
            <color indexed="81"/>
            <rFont val="Tahoma"/>
            <family val="2"/>
          </rPr>
          <t xml:space="preserve">Two-sided </t>
        </r>
        <r>
          <rPr>
            <i/>
            <sz val="9"/>
            <color indexed="81"/>
            <rFont val="Tahoma"/>
            <family val="2"/>
          </rPr>
          <t>p</t>
        </r>
        <r>
          <rPr>
            <sz val="8"/>
            <color indexed="81"/>
            <rFont val="Tahoma"/>
            <family val="2"/>
          </rPr>
          <t xml:space="preserve"> interval, with % as selected above, for one-tailed replication </t>
        </r>
        <r>
          <rPr>
            <i/>
            <sz val="9"/>
            <color indexed="81"/>
            <rFont val="Tahoma"/>
            <family val="2"/>
          </rPr>
          <t>p</t>
        </r>
        <r>
          <rPr>
            <sz val="8"/>
            <color indexed="81"/>
            <rFont val="Tahoma"/>
            <family val="2"/>
          </rPr>
          <t xml:space="preserve">
</t>
        </r>
      </text>
    </comment>
    <comment ref="F26" authorId="0" shapeId="0">
      <text>
        <r>
          <rPr>
            <sz val="8"/>
            <color indexed="81"/>
            <rFont val="Tahoma"/>
            <family val="2"/>
          </rPr>
          <t>One-sided</t>
        </r>
        <r>
          <rPr>
            <i/>
            <sz val="8"/>
            <color indexed="81"/>
            <rFont val="Tahoma"/>
            <family val="2"/>
          </rPr>
          <t xml:space="preserve"> </t>
        </r>
        <r>
          <rPr>
            <i/>
            <sz val="9"/>
            <color indexed="81"/>
            <rFont val="Tahoma"/>
            <family val="2"/>
          </rPr>
          <t>p</t>
        </r>
        <r>
          <rPr>
            <sz val="8"/>
            <color indexed="81"/>
            <rFont val="Tahoma"/>
            <family val="2"/>
          </rPr>
          <t xml:space="preserve"> interval, with % as selected above, for two-tailed replication </t>
        </r>
        <r>
          <rPr>
            <i/>
            <sz val="9"/>
            <color indexed="81"/>
            <rFont val="Tahoma"/>
            <family val="2"/>
          </rPr>
          <t>p</t>
        </r>
        <r>
          <rPr>
            <sz val="8"/>
            <color indexed="81"/>
            <rFont val="Tahoma"/>
            <family val="2"/>
          </rPr>
          <t xml:space="preserve">
</t>
        </r>
      </text>
    </comment>
    <comment ref="K26" authorId="0" shapeId="0">
      <text>
        <r>
          <rPr>
            <sz val="8"/>
            <color indexed="81"/>
            <rFont val="Tahoma"/>
            <family val="2"/>
          </rPr>
          <t xml:space="preserve">Two-sided </t>
        </r>
        <r>
          <rPr>
            <i/>
            <sz val="9"/>
            <color indexed="81"/>
            <rFont val="Tahoma"/>
            <family val="2"/>
          </rPr>
          <t>p</t>
        </r>
        <r>
          <rPr>
            <sz val="8"/>
            <color indexed="81"/>
            <rFont val="Tahoma"/>
            <family val="2"/>
          </rPr>
          <t xml:space="preserve"> interval, with % as selected above, for two-tailed replication </t>
        </r>
        <r>
          <rPr>
            <i/>
            <sz val="9"/>
            <color indexed="81"/>
            <rFont val="Tahoma"/>
            <family val="2"/>
          </rPr>
          <t>p</t>
        </r>
        <r>
          <rPr>
            <sz val="8"/>
            <color indexed="81"/>
            <rFont val="Tahoma"/>
            <family val="2"/>
          </rPr>
          <t xml:space="preserve">
</t>
        </r>
      </text>
    </comment>
  </commentList>
</comments>
</file>

<file path=xl/comments4.xml><?xml version="1.0" encoding="utf-8"?>
<comments xmlns="http://schemas.openxmlformats.org/spreadsheetml/2006/main">
  <authors>
    <author>Geoff Cumming</author>
    <author>G.Cumming</author>
  </authors>
  <commentList>
    <comment ref="AF2" authorId="0" shapeId="0">
      <text>
        <r>
          <rPr>
            <sz val="8"/>
            <color indexed="81"/>
            <rFont val="Tahoma"/>
            <family val="2"/>
          </rPr>
          <t xml:space="preserve">The three buttons control sampling.
_________
Click 'Clear' to clear all experiments.
</t>
        </r>
      </text>
    </comment>
    <comment ref="P3" authorId="0" shapeId="0">
      <text>
        <r>
          <rPr>
            <sz val="8"/>
            <color indexed="81"/>
            <rFont val="Tahoma"/>
            <family val="2"/>
          </rPr>
          <t>Choose the parameters of the Control and Experimental populations, which are assumed to be normally distributed.</t>
        </r>
        <r>
          <rPr>
            <sz val="8"/>
            <color indexed="81"/>
            <rFont val="Tahoma"/>
            <family val="2"/>
          </rPr>
          <t xml:space="preserve">
</t>
        </r>
      </text>
    </comment>
    <comment ref="AA3" authorId="1" shapeId="0">
      <text>
        <r>
          <rPr>
            <sz val="8"/>
            <color indexed="81"/>
            <rFont val="Tahoma"/>
            <family val="2"/>
          </rPr>
          <t>Control population mean.  Use slider.  Min 0, max 100.</t>
        </r>
      </text>
    </comment>
    <comment ref="AF4" authorId="0" shapeId="0">
      <text>
        <r>
          <rPr>
            <sz val="8"/>
            <color indexed="81"/>
            <rFont val="Tahoma"/>
            <family val="2"/>
          </rPr>
          <t>Click for another simulated experiment: Take another random, independent sample from each population.</t>
        </r>
        <r>
          <rPr>
            <sz val="8"/>
            <color indexed="81"/>
            <rFont val="Tahoma"/>
            <family val="2"/>
          </rPr>
          <t xml:space="preserve">
</t>
        </r>
      </text>
    </comment>
    <comment ref="AA5" authorId="1" shapeId="0">
      <text>
        <r>
          <rPr>
            <sz val="8"/>
            <color indexed="81"/>
            <rFont val="Tahoma"/>
            <family val="2"/>
          </rPr>
          <t>Experimental population mean.  Use slider.  
Min 0, max 100.</t>
        </r>
      </text>
    </comment>
    <comment ref="AA7" authorId="1" shapeId="0">
      <text>
        <r>
          <rPr>
            <sz val="8"/>
            <color indexed="81"/>
            <rFont val="Tahoma"/>
            <family val="2"/>
          </rPr>
          <t xml:space="preserve">Population standard deviation, assumed to be known, and the same for Control and Experimental populations.  Use slider.  Min 1, max 50.
</t>
        </r>
        <r>
          <rPr>
            <sz val="9"/>
            <color indexed="81"/>
            <rFont val="Tahoma"/>
            <family val="2"/>
          </rPr>
          <t xml:space="preserve">
</t>
        </r>
      </text>
    </comment>
    <comment ref="AD7" authorId="0" shapeId="0">
      <text>
        <r>
          <rPr>
            <sz val="8"/>
            <color indexed="81"/>
            <rFont val="Tahoma"/>
            <family val="2"/>
          </rPr>
          <t>Click spinner to change the sampling speed.  Max = 20</t>
        </r>
        <r>
          <rPr>
            <sz val="8"/>
            <color indexed="81"/>
            <rFont val="Tahoma"/>
            <family val="2"/>
          </rPr>
          <t xml:space="preserve">
</t>
        </r>
      </text>
    </comment>
    <comment ref="AF7" authorId="0" shapeId="0">
      <text>
        <r>
          <rPr>
            <sz val="8"/>
            <color indexed="81"/>
            <rFont val="Tahoma"/>
            <family val="2"/>
          </rPr>
          <t>Click to start and stop a sequence of simulated experiments.</t>
        </r>
        <r>
          <rPr>
            <sz val="8"/>
            <color indexed="81"/>
            <rFont val="Tahoma"/>
            <family val="2"/>
          </rPr>
          <t xml:space="preserve">
</t>
        </r>
      </text>
    </comment>
    <comment ref="S8" authorId="0" shapeId="0">
      <text>
        <r>
          <rPr>
            <sz val="8"/>
            <color indexed="81"/>
            <rFont val="Tahoma"/>
            <family val="2"/>
          </rPr>
          <t xml:space="preserve">Standardised population effect size: The difference between Experimental (E) and Control (C) population means, in units of </t>
        </r>
        <r>
          <rPr>
            <sz val="11"/>
            <color indexed="81"/>
            <rFont val="Symbol"/>
            <family val="1"/>
            <charset val="2"/>
          </rPr>
          <t>s</t>
        </r>
        <r>
          <rPr>
            <sz val="8"/>
            <color indexed="81"/>
            <rFont val="Tahoma"/>
            <family val="2"/>
          </rPr>
          <t xml:space="preserve">
</t>
        </r>
      </text>
    </comment>
    <comment ref="N9" authorId="0" shapeId="0">
      <text>
        <r>
          <rPr>
            <sz val="8"/>
            <color indexed="81"/>
            <rFont val="Tahoma"/>
            <family val="2"/>
          </rPr>
          <t xml:space="preserve">Set sample size, and click for display of data points, and means with 95% CIs, for the latest experiment.
</t>
        </r>
      </text>
    </comment>
    <comment ref="T10" authorId="1" shapeId="0">
      <text>
        <r>
          <rPr>
            <sz val="8"/>
            <color indexed="81"/>
            <rFont val="Tahoma"/>
            <family val="2"/>
          </rPr>
          <t>The size of the sample taken from each population.  Min 2, max 200.  Use spinner or type in value.</t>
        </r>
        <r>
          <rPr>
            <sz val="8"/>
            <color indexed="81"/>
            <rFont val="Tahoma"/>
            <family val="2"/>
          </rPr>
          <t xml:space="preserve">
</t>
        </r>
      </text>
    </comment>
    <comment ref="AA10" authorId="0" shapeId="0">
      <text>
        <r>
          <rPr>
            <sz val="8"/>
            <color indexed="81"/>
            <rFont val="Tahoma"/>
            <family val="2"/>
          </rPr>
          <t xml:space="preserve">Statistical power, using </t>
        </r>
        <r>
          <rPr>
            <sz val="10"/>
            <color indexed="81"/>
            <rFont val="Symbol"/>
            <family val="1"/>
            <charset val="2"/>
          </rPr>
          <t>a</t>
        </r>
        <r>
          <rPr>
            <sz val="8"/>
            <color indexed="81"/>
            <rFont val="Symbol"/>
            <family val="1"/>
            <charset val="2"/>
          </rPr>
          <t xml:space="preserve"> </t>
        </r>
        <r>
          <rPr>
            <sz val="8"/>
            <color indexed="81"/>
            <rFont val="Tahoma"/>
            <family val="2"/>
          </rPr>
          <t>=.05.</t>
        </r>
        <r>
          <rPr>
            <sz val="8"/>
            <color indexed="81"/>
            <rFont val="Tahoma"/>
            <family val="2"/>
          </rPr>
          <t xml:space="preserve">
</t>
        </r>
      </text>
    </comment>
    <comment ref="Z11" authorId="0" shapeId="0">
      <text>
        <r>
          <rPr>
            <sz val="8"/>
            <color indexed="81"/>
            <rFont val="Tahoma"/>
            <family val="2"/>
          </rPr>
          <t>Number of experiments in the current set.
__________
A new set is started after 'Clear', or when a major parameter (</t>
        </r>
        <r>
          <rPr>
            <sz val="11"/>
            <color indexed="81"/>
            <rFont val="Symbol"/>
            <family val="1"/>
            <charset val="2"/>
          </rPr>
          <t>m</t>
        </r>
        <r>
          <rPr>
            <vertAlign val="subscript"/>
            <sz val="11"/>
            <color indexed="81"/>
            <rFont val="Tahoma"/>
            <family val="2"/>
          </rPr>
          <t>C</t>
        </r>
        <r>
          <rPr>
            <sz val="8"/>
            <color indexed="81"/>
            <rFont val="Tahoma"/>
            <family val="2"/>
          </rPr>
          <t xml:space="preserve">, </t>
        </r>
        <r>
          <rPr>
            <sz val="11"/>
            <color indexed="81"/>
            <rFont val="Symbol"/>
            <family val="1"/>
            <charset val="2"/>
          </rPr>
          <t>m</t>
        </r>
        <r>
          <rPr>
            <vertAlign val="subscript"/>
            <sz val="11"/>
            <color indexed="81"/>
            <rFont val="Tahoma"/>
            <family val="2"/>
          </rPr>
          <t>E</t>
        </r>
        <r>
          <rPr>
            <sz val="8"/>
            <color indexed="81"/>
            <rFont val="Tahoma"/>
            <family val="2"/>
          </rPr>
          <t xml:space="preserve">, </t>
        </r>
        <r>
          <rPr>
            <sz val="11"/>
            <color indexed="81"/>
            <rFont val="Symbol"/>
            <family val="1"/>
            <charset val="2"/>
          </rPr>
          <t>s</t>
        </r>
        <r>
          <rPr>
            <sz val="8"/>
            <color indexed="81"/>
            <rFont val="Tahoma"/>
            <family val="2"/>
          </rPr>
          <t xml:space="preserve">, or </t>
        </r>
        <r>
          <rPr>
            <i/>
            <sz val="9"/>
            <color indexed="81"/>
            <rFont val="Tahoma"/>
            <family val="2"/>
          </rPr>
          <t>n</t>
        </r>
        <r>
          <rPr>
            <sz val="8"/>
            <color indexed="81"/>
            <rFont val="Tahoma"/>
            <family val="2"/>
          </rPr>
          <t xml:space="preserve">)  is changed.
</t>
        </r>
      </text>
    </comment>
    <comment ref="N12" authorId="0" shapeId="0">
      <text>
        <r>
          <rPr>
            <sz val="8"/>
            <color indexed="81"/>
            <rFont val="Tahoma"/>
            <family val="2"/>
          </rPr>
          <t xml:space="preserve">Click to control display of (E-C) differences, </t>
        </r>
        <r>
          <rPr>
            <i/>
            <sz val="9"/>
            <color indexed="81"/>
            <rFont val="Tahoma"/>
            <family val="2"/>
          </rPr>
          <t>p</t>
        </r>
        <r>
          <rPr>
            <sz val="8"/>
            <color indexed="81"/>
            <rFont val="Tahoma"/>
            <family val="2"/>
          </rPr>
          <t xml:space="preserve"> values, and other features.
</t>
        </r>
      </text>
    </comment>
    <comment ref="Z12" authorId="0" shapeId="0">
      <text>
        <r>
          <rPr>
            <sz val="8"/>
            <color indexed="81"/>
            <rFont val="Tahoma"/>
            <family val="2"/>
          </rPr>
          <t xml:space="preserve">Display in the figure at right a column of two-tailed </t>
        </r>
        <r>
          <rPr>
            <i/>
            <sz val="9"/>
            <color indexed="81"/>
            <rFont val="Tahoma"/>
            <family val="2"/>
          </rPr>
          <t xml:space="preserve">p </t>
        </r>
        <r>
          <rPr>
            <sz val="8"/>
            <color indexed="81"/>
            <rFont val="Tahoma"/>
            <family val="2"/>
          </rPr>
          <t>values for testing the hypothesis of zero difference between E and C population means.</t>
        </r>
        <r>
          <rPr>
            <sz val="8"/>
            <color indexed="81"/>
            <rFont val="Tahoma"/>
            <family val="2"/>
          </rPr>
          <t xml:space="preserve">
</t>
        </r>
      </text>
    </comment>
    <comment ref="T13" authorId="0" shapeId="0">
      <text>
        <r>
          <rPr>
            <sz val="8"/>
            <color indexed="81"/>
            <rFont val="Tahoma"/>
            <family val="2"/>
          </rPr>
          <t>The zero of this axis is lined up with the mean of the Control sample.
The black line and cross marks the difference between the E and C sample means, for the latest experiment.</t>
        </r>
        <r>
          <rPr>
            <sz val="8"/>
            <color indexed="81"/>
            <rFont val="Tahoma"/>
            <family val="2"/>
          </rPr>
          <t xml:space="preserve">
</t>
        </r>
      </text>
    </comment>
    <comment ref="AA13" authorId="0" shapeId="0">
      <text>
        <r>
          <rPr>
            <sz val="8"/>
            <color indexed="81"/>
            <rFont val="Tahoma"/>
            <family val="2"/>
          </rPr>
          <t>Vertical dotted line to mark the population effect size on the difference axis.</t>
        </r>
        <r>
          <rPr>
            <sz val="8"/>
            <color indexed="81"/>
            <rFont val="Tahoma"/>
            <family val="2"/>
          </rPr>
          <t xml:space="preserve">
</t>
        </r>
      </text>
    </comment>
    <comment ref="U14" authorId="0" shapeId="0">
      <text>
        <r>
          <rPr>
            <sz val="8"/>
            <color indexed="81"/>
            <rFont val="Tahoma"/>
            <family val="2"/>
          </rPr>
          <t>The green dot marks the difference between the E and C sample means, on the difference axis. The green bars mark the 95% CI for the difference.</t>
        </r>
        <r>
          <rPr>
            <sz val="8"/>
            <color indexed="81"/>
            <rFont val="Tahoma"/>
            <family val="2"/>
          </rPr>
          <t xml:space="preserve">
</t>
        </r>
      </text>
    </comment>
    <comment ref="AC14" authorId="0" shapeId="0">
      <text>
        <r>
          <rPr>
            <sz val="8"/>
            <color indexed="81"/>
            <rFont val="Tahoma"/>
            <family val="2"/>
          </rPr>
          <t xml:space="preserve">Click to display the dance of the </t>
        </r>
        <r>
          <rPr>
            <i/>
            <sz val="9"/>
            <color indexed="81"/>
            <rFont val="Tahoma"/>
            <family val="2"/>
          </rPr>
          <t>p</t>
        </r>
        <r>
          <rPr>
            <sz val="8"/>
            <color indexed="81"/>
            <rFont val="Tahoma"/>
            <family val="2"/>
          </rPr>
          <t xml:space="preserve"> values at far right.</t>
        </r>
        <r>
          <rPr>
            <sz val="8"/>
            <color indexed="81"/>
            <rFont val="Tahoma"/>
            <family val="2"/>
          </rPr>
          <t xml:space="preserve">
</t>
        </r>
      </text>
    </comment>
    <comment ref="AF14" authorId="0" shapeId="0">
      <text>
        <r>
          <rPr>
            <sz val="8"/>
            <color indexed="81"/>
            <rFont val="Tahoma"/>
            <family val="2"/>
          </rPr>
          <t xml:space="preserve">Click to display coloured figures above, as the </t>
        </r>
        <r>
          <rPr>
            <i/>
            <sz val="8"/>
            <color indexed="81"/>
            <rFont val="Tahoma"/>
            <family val="2"/>
          </rPr>
          <t xml:space="preserve">p </t>
        </r>
        <r>
          <rPr>
            <sz val="8"/>
            <color indexed="81"/>
            <rFont val="Tahoma"/>
            <family val="2"/>
          </rPr>
          <t xml:space="preserve">value casino.
</t>
        </r>
      </text>
    </comment>
    <comment ref="N22" authorId="0" shapeId="0">
      <text>
        <r>
          <rPr>
            <sz val="8"/>
            <color indexed="81"/>
            <rFont val="Tahoma"/>
            <family val="2"/>
          </rPr>
          <t>Click to turn the sound on and off.</t>
        </r>
        <r>
          <rPr>
            <sz val="8"/>
            <color indexed="81"/>
            <rFont val="Tahoma"/>
            <family val="2"/>
          </rPr>
          <t xml:space="preserve">
</t>
        </r>
      </text>
    </comment>
    <comment ref="O23" authorId="0" shapeId="0">
      <text>
        <r>
          <rPr>
            <sz val="8"/>
            <color indexed="81"/>
            <rFont val="Tahoma"/>
            <family val="2"/>
          </rPr>
          <t>Click to turn the sound on and off.</t>
        </r>
        <r>
          <rPr>
            <sz val="8"/>
            <color indexed="81"/>
            <rFont val="Tahoma"/>
            <family val="2"/>
          </rPr>
          <t xml:space="preserve">
</t>
        </r>
      </text>
    </comment>
    <comment ref="N26" authorId="0" shapeId="0">
      <text>
        <r>
          <rPr>
            <sz val="8"/>
            <color indexed="81"/>
            <rFont val="Tahoma"/>
            <family val="2"/>
          </rPr>
          <t xml:space="preserve">Click to toggle display of </t>
        </r>
        <r>
          <rPr>
            <i/>
            <sz val="9"/>
            <color indexed="81"/>
            <rFont val="Tahoma"/>
            <family val="2"/>
          </rPr>
          <t>p</t>
        </r>
        <r>
          <rPr>
            <sz val="8"/>
            <color indexed="81"/>
            <rFont val="Tahoma"/>
            <family val="2"/>
          </rPr>
          <t xml:space="preserve"> values in the histogram.</t>
        </r>
        <r>
          <rPr>
            <sz val="8"/>
            <color indexed="81"/>
            <rFont val="Tahoma"/>
            <family val="2"/>
          </rPr>
          <t xml:space="preserve">
</t>
        </r>
      </text>
    </comment>
    <comment ref="O27" authorId="0" shapeId="0">
      <text>
        <r>
          <rPr>
            <sz val="8"/>
            <color indexed="81"/>
            <rFont val="Tahoma"/>
            <family val="2"/>
          </rPr>
          <t xml:space="preserve">Click to display the histogram of obtained </t>
        </r>
        <r>
          <rPr>
            <i/>
            <sz val="9"/>
            <color indexed="81"/>
            <rFont val="Tahoma"/>
            <family val="2"/>
          </rPr>
          <t>p</t>
        </r>
        <r>
          <rPr>
            <sz val="8"/>
            <color indexed="81"/>
            <rFont val="Tahoma"/>
            <family val="2"/>
          </rPr>
          <t xml:space="preserve"> values.
When clicked off, or there are no data, see solid columns representing the percentages expected for the five different </t>
        </r>
        <r>
          <rPr>
            <i/>
            <sz val="9"/>
            <color indexed="81"/>
            <rFont val="Tahoma"/>
            <family val="2"/>
          </rPr>
          <t>p</t>
        </r>
        <r>
          <rPr>
            <sz val="8"/>
            <color indexed="81"/>
            <rFont val="Tahoma"/>
            <family val="2"/>
          </rPr>
          <t xml:space="preserve"> value ranges. (The red percentages above.) Use slider below to adjust the vertical scale.</t>
        </r>
        <r>
          <rPr>
            <sz val="8"/>
            <color indexed="81"/>
            <rFont val="Tahoma"/>
            <family val="2"/>
          </rPr>
          <t xml:space="preserve">
</t>
        </r>
      </text>
    </comment>
    <comment ref="N30" authorId="0" shapeId="0">
      <text>
        <r>
          <rPr>
            <sz val="8"/>
            <color indexed="81"/>
            <rFont val="Tahoma"/>
            <family val="2"/>
          </rPr>
          <t xml:space="preserve">When </t>
        </r>
        <r>
          <rPr>
            <i/>
            <sz val="9"/>
            <color indexed="81"/>
            <rFont val="Tahoma"/>
            <family val="2"/>
          </rPr>
          <t>p</t>
        </r>
        <r>
          <rPr>
            <sz val="8"/>
            <color indexed="81"/>
            <rFont val="Tahoma"/>
            <family val="2"/>
          </rPr>
          <t xml:space="preserve"> values are not displayed in the histogram, coloured columns indicate the theoretically expected histogram. Use the slider to adjust vertical scale.
</t>
        </r>
      </text>
    </comment>
    <comment ref="O40" authorId="0" shapeId="0">
      <text>
        <r>
          <rPr>
            <sz val="8"/>
            <color indexed="81"/>
            <rFont val="Tahoma"/>
            <family val="2"/>
          </rPr>
          <t>Click buttons for sample figures.</t>
        </r>
        <r>
          <rPr>
            <i/>
            <sz val="8"/>
            <color indexed="81"/>
            <rFont val="Tahoma"/>
            <family val="2"/>
          </rPr>
          <t xml:space="preserve">
p</t>
        </r>
        <r>
          <rPr>
            <sz val="8"/>
            <color indexed="81"/>
            <rFont val="Tahoma"/>
            <family val="2"/>
          </rPr>
          <t xml:space="preserve"> values are classified into 5 ranges:
     *** means </t>
        </r>
        <r>
          <rPr>
            <i/>
            <sz val="8"/>
            <color indexed="81"/>
            <rFont val="Tahoma"/>
            <family val="2"/>
          </rPr>
          <t>p</t>
        </r>
        <r>
          <rPr>
            <sz val="8"/>
            <color indexed="81"/>
            <rFont val="Tahoma"/>
            <family val="2"/>
          </rPr>
          <t xml:space="preserve">&lt;.001
     **  means </t>
        </r>
        <r>
          <rPr>
            <i/>
            <sz val="8"/>
            <color indexed="81"/>
            <rFont val="Tahoma"/>
            <family val="2"/>
          </rPr>
          <t>p</t>
        </r>
        <r>
          <rPr>
            <sz val="8"/>
            <color indexed="81"/>
            <rFont val="Tahoma"/>
            <family val="2"/>
          </rPr>
          <t>&lt;.001 (but &gt;.001)
     *   means</t>
        </r>
        <r>
          <rPr>
            <i/>
            <sz val="8"/>
            <color indexed="81"/>
            <rFont val="Tahoma"/>
            <family val="2"/>
          </rPr>
          <t xml:space="preserve"> p</t>
        </r>
        <r>
          <rPr>
            <sz val="8"/>
            <color indexed="81"/>
            <rFont val="Tahoma"/>
            <family val="2"/>
          </rPr>
          <t xml:space="preserve">&lt;.05 (but &gt;.01)
     ?   means </t>
        </r>
        <r>
          <rPr>
            <i/>
            <sz val="8"/>
            <color indexed="81"/>
            <rFont val="Tahoma"/>
            <family val="2"/>
          </rPr>
          <t>p</t>
        </r>
        <r>
          <rPr>
            <sz val="8"/>
            <color indexed="81"/>
            <rFont val="Tahoma"/>
            <family val="2"/>
          </rPr>
          <t xml:space="preserve">&lt;.10 (but &gt;.05)
     </t>
        </r>
        <r>
          <rPr>
            <i/>
            <sz val="8"/>
            <color indexed="81"/>
            <rFont val="Tahoma"/>
            <family val="2"/>
          </rPr>
          <t>p</t>
        </r>
        <r>
          <rPr>
            <sz val="8"/>
            <color indexed="81"/>
            <rFont val="Tahoma"/>
            <family val="2"/>
          </rPr>
          <t xml:space="preserve">&gt;.10  
</t>
        </r>
      </text>
    </comment>
    <comment ref="N42" authorId="0" shapeId="0">
      <text>
        <r>
          <rPr>
            <sz val="8"/>
            <color indexed="81"/>
            <rFont val="Tahoma"/>
            <family val="2"/>
          </rPr>
          <t xml:space="preserve">Click to display figures at right for the latest </t>
        </r>
        <r>
          <rPr>
            <i/>
            <sz val="9"/>
            <color indexed="81"/>
            <rFont val="Tahoma"/>
            <family val="2"/>
          </rPr>
          <t>p</t>
        </r>
        <r>
          <rPr>
            <sz val="8"/>
            <color indexed="81"/>
            <rFont val="Tahoma"/>
            <family val="2"/>
          </rPr>
          <t xml:space="preserve"> value.</t>
        </r>
        <r>
          <rPr>
            <sz val="8"/>
            <color indexed="81"/>
            <rFont val="Tahoma"/>
            <family val="2"/>
          </rPr>
          <t xml:space="preserve">
</t>
        </r>
      </text>
    </comment>
    <comment ref="O44" authorId="0" shapeId="0">
      <text>
        <r>
          <rPr>
            <sz val="8"/>
            <color indexed="81"/>
            <rFont val="Tahoma"/>
            <family val="2"/>
          </rPr>
          <t xml:space="preserve">Click to display caricature figures at right, for the latest </t>
        </r>
        <r>
          <rPr>
            <i/>
            <sz val="9"/>
            <color indexed="81"/>
            <rFont val="Tahoma"/>
            <family val="2"/>
          </rPr>
          <t>p</t>
        </r>
        <r>
          <rPr>
            <sz val="8"/>
            <color indexed="81"/>
            <rFont val="Tahoma"/>
            <family val="2"/>
          </rPr>
          <t xml:space="preserve"> value.</t>
        </r>
        <r>
          <rPr>
            <sz val="8"/>
            <color indexed="81"/>
            <rFont val="Tahoma"/>
            <family val="2"/>
          </rPr>
          <t xml:space="preserve">
</t>
        </r>
      </text>
    </comment>
    <comment ref="AA84" authorId="0" shapeId="0">
      <text>
        <r>
          <rPr>
            <sz val="8"/>
            <color indexed="81"/>
            <rFont val="Tahoma"/>
            <family val="2"/>
          </rPr>
          <t>Various screen resolutions, and  zoom factors may require different y and x values for the mean heap to look good.  Adjust so that the mean circles just touch horizontally and vertically.</t>
        </r>
        <r>
          <rPr>
            <sz val="8"/>
            <color indexed="81"/>
            <rFont val="Tahoma"/>
            <family val="2"/>
          </rPr>
          <t xml:space="preserve">
</t>
        </r>
      </text>
    </comment>
    <comment ref="AA85" authorId="0" shapeId="0">
      <text>
        <r>
          <rPr>
            <sz val="8"/>
            <color indexed="81"/>
            <rFont val="Tahoma"/>
            <family val="2"/>
          </rPr>
          <t>Use spinner to adjust vertical spacing of means in the mean heap that are in the same bin.</t>
        </r>
        <r>
          <rPr>
            <sz val="8"/>
            <color indexed="81"/>
            <rFont val="Tahoma"/>
            <family val="2"/>
          </rPr>
          <t xml:space="preserve">
</t>
        </r>
      </text>
    </comment>
    <comment ref="AA88" authorId="0" shapeId="0">
      <text>
        <r>
          <rPr>
            <sz val="8"/>
            <color indexed="81"/>
            <rFont val="Tahoma"/>
            <family val="2"/>
          </rPr>
          <t>Use spinner to adjust bin width in the mean heap.  0=narrow bins (little rounding); 80=wide bins (course rounding).</t>
        </r>
        <r>
          <rPr>
            <sz val="8"/>
            <color indexed="81"/>
            <rFont val="Tahoma"/>
            <family val="2"/>
          </rPr>
          <t xml:space="preserve">
</t>
        </r>
      </text>
    </comment>
    <comment ref="AA91" authorId="0" shapeId="0">
      <text>
        <r>
          <rPr>
            <sz val="8"/>
            <color indexed="81"/>
            <rFont val="Tahoma"/>
            <family val="2"/>
          </rPr>
          <t>Use spinner to adjust bin width in the mean heap.  0=narrow bins (little rounding); 80=wide bins (course rounding).</t>
        </r>
        <r>
          <rPr>
            <sz val="8"/>
            <color indexed="81"/>
            <rFont val="Tahoma"/>
            <family val="2"/>
          </rPr>
          <t xml:space="preserve">
</t>
        </r>
      </text>
    </comment>
  </commentList>
</comments>
</file>

<file path=xl/comments5.xml><?xml version="1.0" encoding="utf-8"?>
<comments xmlns="http://schemas.openxmlformats.org/spreadsheetml/2006/main">
  <authors>
    <author>Geoff Cumming</author>
  </authors>
  <commentList>
    <comment ref="H2" authorId="0" shapeId="0">
      <text>
        <r>
          <rPr>
            <sz val="8"/>
            <color indexed="81"/>
            <rFont val="Tahoma"/>
            <family val="2"/>
          </rPr>
          <t>A randomly chosen square is the random scatter</t>
        </r>
        <r>
          <rPr>
            <sz val="10"/>
            <color indexed="81"/>
            <rFont val="Tahoma"/>
            <family val="2"/>
          </rPr>
          <t xml:space="preserve">
</t>
        </r>
      </text>
    </comment>
    <comment ref="H3" authorId="0" shapeId="0">
      <text>
        <r>
          <rPr>
            <sz val="8"/>
            <color indexed="81"/>
            <rFont val="Tahoma"/>
            <family val="2"/>
          </rPr>
          <t>The other square has points that are random, but with minimum spacing</t>
        </r>
        <r>
          <rPr>
            <sz val="10"/>
            <color indexed="81"/>
            <rFont val="Tahoma"/>
            <family val="2"/>
          </rPr>
          <t xml:space="preserve">
</t>
        </r>
      </text>
    </comment>
    <comment ref="A7" authorId="0" shapeId="0">
      <text>
        <r>
          <rPr>
            <sz val="8"/>
            <color indexed="81"/>
            <rFont val="Tahoma"/>
            <family val="2"/>
          </rPr>
          <t>Number of points in each scatter.  Use the spinner. 
Min 2, max 1,000.
___________
Time taken to generate points can increase greatly for larger numbers of points.</t>
        </r>
      </text>
    </comment>
    <comment ref="A12" authorId="0" shapeId="0">
      <text>
        <r>
          <rPr>
            <sz val="8"/>
            <color indexed="81"/>
            <rFont val="Tahoma"/>
            <family val="2"/>
          </rPr>
          <t>Set the minimum dot spacing for the spaced scatter, in units of % of width of the whole square.
Use the spinner.
______________
If too large for the number of points, generation can take a long time, or may fail to complete.</t>
        </r>
      </text>
    </comment>
    <comment ref="F15" authorId="0" shapeId="0">
      <text>
        <r>
          <rPr>
            <sz val="8"/>
            <color indexed="81"/>
            <rFont val="Tahoma"/>
            <family val="2"/>
          </rPr>
          <t>Click to show a black horizontal line in lower left of whichever is the spaced square, to indicate the minimum spacing.  Click this off, click the Go button, guess which square is random and which is spaced, then click this on to see if you were correct.
____________
In the spaced square, a circle of this radius around each point is empty of any other point.  There is no such restriction in the other, random square.</t>
        </r>
      </text>
    </comment>
    <comment ref="A18" authorId="0" shapeId="0">
      <text>
        <r>
          <rPr>
            <sz val="8"/>
            <color indexed="81"/>
            <rFont val="Tahoma"/>
            <family val="2"/>
          </rPr>
          <t>Click for a new selection of points.
May take some time.</t>
        </r>
      </text>
    </comment>
    <comment ref="A21" authorId="0" shapeId="0">
      <text>
        <r>
          <rPr>
            <sz val="8"/>
            <color indexed="81"/>
            <rFont val="Tahoma"/>
            <family val="2"/>
          </rPr>
          <t>Monitor progress as points are generated.</t>
        </r>
      </text>
    </comment>
    <comment ref="E23" authorId="0" shapeId="0">
      <text>
        <r>
          <rPr>
            <sz val="8"/>
            <color indexed="81"/>
            <rFont val="Tahoma"/>
            <family val="2"/>
          </rPr>
          <t xml:space="preserve">Number of points still to be generated.  
Watch as this number drops.
____________
If it doesn't drop to zero, even after some time, then we don't have a complete set, although the displayed points meet the requirements of being random in one square, and random but with minimum spacing in the other square.  You could try a smaller number of points, or smaller minimum spacing. </t>
        </r>
        <r>
          <rPr>
            <sz val="10"/>
            <color indexed="81"/>
            <rFont val="Tahoma"/>
            <family val="2"/>
          </rPr>
          <t xml:space="preserve">
</t>
        </r>
      </text>
    </comment>
  </commentList>
</comments>
</file>

<file path=xl/comments6.xml><?xml version="1.0" encoding="utf-8"?>
<comments xmlns="http://schemas.openxmlformats.org/spreadsheetml/2006/main">
  <authors>
    <author>Geoff Cumming</author>
  </authors>
  <commentList>
    <comment ref="G1" authorId="0" shapeId="0">
      <text>
        <r>
          <rPr>
            <sz val="8"/>
            <color indexed="81"/>
            <rFont val="Tahoma"/>
            <family val="2"/>
          </rPr>
          <t>In the figure below, A and B are assumed to be independent groups.</t>
        </r>
      </text>
    </comment>
    <comment ref="Q1" authorId="0" shapeId="0">
      <text>
        <r>
          <rPr>
            <sz val="8"/>
            <color indexed="81"/>
            <rFont val="Tahoma"/>
            <family val="2"/>
          </rPr>
          <t xml:space="preserve">Click to reveal the figure for the paired data design.
</t>
        </r>
      </text>
    </comment>
    <comment ref="R3" authorId="0" shapeId="0">
      <text>
        <r>
          <rPr>
            <sz val="8"/>
            <color indexed="81"/>
            <rFont val="Tahoma"/>
            <family val="2"/>
          </rPr>
          <t xml:space="preserve">A and B are two measures on each of </t>
        </r>
        <r>
          <rPr>
            <i/>
            <sz val="8"/>
            <color indexed="81"/>
            <rFont val="Tahoma"/>
            <family val="2"/>
          </rPr>
          <t>N</t>
        </r>
        <r>
          <rPr>
            <vertAlign val="subscript"/>
            <sz val="10"/>
            <color indexed="81"/>
            <rFont val="Tahoma"/>
            <family val="2"/>
          </rPr>
          <t>A</t>
        </r>
        <r>
          <rPr>
            <sz val="8"/>
            <color indexed="81"/>
            <rFont val="Tahoma"/>
            <family val="2"/>
          </rPr>
          <t xml:space="preserve"> experimental units.
For example, A might be the pretest and B the posttest, for </t>
        </r>
        <r>
          <rPr>
            <i/>
            <sz val="8"/>
            <color indexed="81"/>
            <rFont val="Tahoma"/>
            <family val="2"/>
          </rPr>
          <t>N</t>
        </r>
        <r>
          <rPr>
            <vertAlign val="subscript"/>
            <sz val="10"/>
            <color indexed="81"/>
            <rFont val="Tahoma"/>
            <family val="2"/>
          </rPr>
          <t>A</t>
        </r>
        <r>
          <rPr>
            <sz val="8"/>
            <color indexed="81"/>
            <rFont val="Tahoma"/>
            <family val="2"/>
          </rPr>
          <t xml:space="preserve"> participants.
(Displayed only when </t>
        </r>
        <r>
          <rPr>
            <i/>
            <sz val="8"/>
            <color indexed="81"/>
            <rFont val="Tahoma"/>
            <family val="2"/>
          </rPr>
          <t>N</t>
        </r>
        <r>
          <rPr>
            <vertAlign val="subscript"/>
            <sz val="10"/>
            <color indexed="81"/>
            <rFont val="Tahoma"/>
            <family val="2"/>
          </rPr>
          <t>A</t>
        </r>
        <r>
          <rPr>
            <sz val="8"/>
            <color indexed="81"/>
            <rFont val="Tahoma"/>
            <family val="2"/>
          </rPr>
          <t xml:space="preserve"> = </t>
        </r>
        <r>
          <rPr>
            <i/>
            <sz val="8"/>
            <color indexed="81"/>
            <rFont val="Tahoma"/>
            <family val="2"/>
          </rPr>
          <t>N</t>
        </r>
        <r>
          <rPr>
            <vertAlign val="subscript"/>
            <sz val="10"/>
            <color indexed="81"/>
            <rFont val="Tahoma"/>
            <family val="2"/>
          </rPr>
          <t>B</t>
        </r>
        <r>
          <rPr>
            <sz val="8"/>
            <color indexed="81"/>
            <rFont val="Tahoma"/>
            <family val="2"/>
          </rPr>
          <t xml:space="preserve">.)
</t>
        </r>
      </text>
    </comment>
    <comment ref="K4" authorId="0" shapeId="0">
      <text>
        <r>
          <rPr>
            <sz val="8"/>
            <color indexed="81"/>
            <rFont val="Tahoma"/>
            <family val="2"/>
          </rPr>
          <t>Difference between the two group means, displayed as the triangle on the Difference axis</t>
        </r>
        <r>
          <rPr>
            <sz val="8"/>
            <color indexed="81"/>
            <rFont val="Tahoma"/>
            <family val="2"/>
          </rPr>
          <t xml:space="preserve">
</t>
        </r>
      </text>
    </comment>
    <comment ref="S4" authorId="0" shapeId="0">
      <text>
        <r>
          <rPr>
            <sz val="8"/>
            <color indexed="81"/>
            <rFont val="Tahoma"/>
            <family val="2"/>
          </rPr>
          <t>Use the slider to set the correlation, in the data, between the A and B measures.</t>
        </r>
        <r>
          <rPr>
            <sz val="8"/>
            <color indexed="81"/>
            <rFont val="Tahoma"/>
            <family val="2"/>
          </rPr>
          <t xml:space="preserve">
</t>
        </r>
      </text>
    </comment>
    <comment ref="W4" authorId="0" shapeId="0">
      <text>
        <r>
          <rPr>
            <sz val="8"/>
            <color indexed="81"/>
            <rFont val="Tahoma"/>
            <family val="2"/>
          </rPr>
          <t xml:space="preserve">Mean of the </t>
        </r>
        <r>
          <rPr>
            <i/>
            <sz val="8"/>
            <color indexed="81"/>
            <rFont val="Tahoma"/>
            <family val="2"/>
          </rPr>
          <t>N</t>
        </r>
        <r>
          <rPr>
            <vertAlign val="subscript"/>
            <sz val="10"/>
            <color indexed="81"/>
            <rFont val="Tahoma"/>
            <family val="2"/>
          </rPr>
          <t>A</t>
        </r>
        <r>
          <rPr>
            <sz val="8"/>
            <color indexed="81"/>
            <rFont val="Tahoma"/>
            <family val="2"/>
          </rPr>
          <t xml:space="preserve"> differences, displayed as the triangle on the Difference axis.  
This equals the difference between the A and B means (i.e. </t>
        </r>
        <r>
          <rPr>
            <i/>
            <sz val="8"/>
            <color indexed="81"/>
            <rFont val="Tahoma"/>
            <family val="2"/>
          </rPr>
          <t>M</t>
        </r>
        <r>
          <rPr>
            <vertAlign val="subscript"/>
            <sz val="10"/>
            <color indexed="81"/>
            <rFont val="Tahoma"/>
            <family val="2"/>
          </rPr>
          <t>B</t>
        </r>
        <r>
          <rPr>
            <sz val="8"/>
            <color indexed="81"/>
            <rFont val="Tahoma"/>
            <family val="2"/>
          </rPr>
          <t xml:space="preserve"> - </t>
        </r>
        <r>
          <rPr>
            <i/>
            <sz val="8"/>
            <color indexed="81"/>
            <rFont val="Tahoma"/>
            <family val="2"/>
          </rPr>
          <t>M</t>
        </r>
        <r>
          <rPr>
            <vertAlign val="subscript"/>
            <sz val="10"/>
            <color indexed="81"/>
            <rFont val="Tahoma"/>
            <family val="2"/>
          </rPr>
          <t>A</t>
        </r>
        <r>
          <rPr>
            <sz val="8"/>
            <color indexed="81"/>
            <rFont val="Tahoma"/>
            <family val="2"/>
          </rPr>
          <t>).</t>
        </r>
        <r>
          <rPr>
            <sz val="8"/>
            <color indexed="81"/>
            <rFont val="Tahoma"/>
            <family val="2"/>
          </rPr>
          <t xml:space="preserve">
</t>
        </r>
      </text>
    </comment>
    <comment ref="I6" authorId="0" shapeId="0">
      <text>
        <r>
          <rPr>
            <sz val="8"/>
            <color indexed="81"/>
            <rFont val="Tahoma"/>
            <family val="2"/>
          </rPr>
          <t>Margin of error for A.  This is half the width of the 95% CI.</t>
        </r>
      </text>
    </comment>
    <comment ref="L6" authorId="0" shapeId="0">
      <text>
        <r>
          <rPr>
            <sz val="8"/>
            <color indexed="81"/>
            <rFont val="Tahoma"/>
            <family val="2"/>
          </rPr>
          <t>Margin of error for B.  This is half the width of the 95% CI.</t>
        </r>
      </text>
    </comment>
    <comment ref="N6" authorId="0" shapeId="0">
      <text>
        <r>
          <rPr>
            <sz val="8"/>
            <color indexed="81"/>
            <rFont val="Tahoma"/>
            <family val="2"/>
          </rPr>
          <t>Margin of error for the difference between the means.  This is half the width of the 95% CI.  
It is calculated assuming homogeneity of the A and B variances.</t>
        </r>
      </text>
    </comment>
    <comment ref="T6" authorId="0" shapeId="0">
      <text>
        <r>
          <rPr>
            <sz val="8"/>
            <color indexed="81"/>
            <rFont val="Tahoma"/>
            <family val="2"/>
          </rPr>
          <t>Margin of error for A.  This is half the width of the 95% CI.</t>
        </r>
      </text>
    </comment>
    <comment ref="W6" authorId="0" shapeId="0">
      <text>
        <r>
          <rPr>
            <sz val="8"/>
            <color indexed="81"/>
            <rFont val="Tahoma"/>
            <family val="2"/>
          </rPr>
          <t>Margin of error for B.  This is half the width of the 95% CI.</t>
        </r>
      </text>
    </comment>
    <comment ref="Y6" authorId="0" shapeId="0">
      <text>
        <r>
          <rPr>
            <sz val="8"/>
            <color indexed="81"/>
            <rFont val="Tahoma"/>
            <family val="2"/>
          </rPr>
          <t>Margin of error for the mean difference.  This is half the width of the 95% CI.</t>
        </r>
      </text>
    </comment>
    <comment ref="A9" authorId="0" shapeId="0">
      <text>
        <r>
          <rPr>
            <sz val="8"/>
            <color indexed="81"/>
            <rFont val="Tahoma"/>
            <family val="2"/>
          </rPr>
          <t xml:space="preserve">A is the first condition.  It is one group in the two-independent-groups design; or one measure in the paired design.
Use the controls to set the mean, SD, and </t>
        </r>
        <r>
          <rPr>
            <i/>
            <sz val="8"/>
            <color indexed="81"/>
            <rFont val="Tahoma"/>
            <family val="2"/>
          </rPr>
          <t>N</t>
        </r>
        <r>
          <rPr>
            <sz val="8"/>
            <color indexed="81"/>
            <rFont val="Tahoma"/>
            <family val="2"/>
          </rPr>
          <t xml:space="preserve"> for A.
</t>
        </r>
      </text>
    </comment>
    <comment ref="C10" authorId="0" shapeId="0">
      <text>
        <r>
          <rPr>
            <sz val="8"/>
            <color indexed="81"/>
            <rFont val="Tahoma"/>
            <family val="2"/>
          </rPr>
          <t>Mean of A</t>
        </r>
        <r>
          <rPr>
            <sz val="8"/>
            <color indexed="81"/>
            <rFont val="Tahoma"/>
            <family val="2"/>
          </rPr>
          <t xml:space="preserve">
</t>
        </r>
      </text>
    </comment>
    <comment ref="C13" authorId="0" shapeId="0">
      <text>
        <r>
          <rPr>
            <sz val="8"/>
            <color indexed="81"/>
            <rFont val="Tahoma"/>
            <family val="2"/>
          </rPr>
          <t>SD of A</t>
        </r>
        <r>
          <rPr>
            <sz val="8"/>
            <color indexed="81"/>
            <rFont val="Tahoma"/>
            <family val="2"/>
          </rPr>
          <t xml:space="preserve">
</t>
        </r>
      </text>
    </comment>
    <comment ref="B16" authorId="0" shapeId="0">
      <text>
        <r>
          <rPr>
            <sz val="8"/>
            <color indexed="81"/>
            <rFont val="Tahoma"/>
            <family val="2"/>
          </rPr>
          <t>Sample size for A.  Use the spinner to set a value.  
Min 2, max 100.</t>
        </r>
      </text>
    </comment>
    <comment ref="A18" authorId="0" shapeId="0">
      <text>
        <r>
          <rPr>
            <sz val="8"/>
            <color indexed="81"/>
            <rFont val="Tahoma"/>
            <family val="2"/>
          </rPr>
          <t xml:space="preserve">B is the second condition.  It is one group in the two-independent-groups design; or one measure in the paired design.
Use the controls to set the mean, SD, and </t>
        </r>
        <r>
          <rPr>
            <i/>
            <sz val="8"/>
            <color indexed="81"/>
            <rFont val="Tahoma"/>
            <family val="2"/>
          </rPr>
          <t>N</t>
        </r>
        <r>
          <rPr>
            <sz val="8"/>
            <color indexed="81"/>
            <rFont val="Tahoma"/>
            <family val="2"/>
          </rPr>
          <t xml:space="preserve"> for B.
</t>
        </r>
      </text>
    </comment>
    <comment ref="C19" authorId="0" shapeId="0">
      <text>
        <r>
          <rPr>
            <sz val="8"/>
            <color indexed="81"/>
            <rFont val="Tahoma"/>
            <family val="2"/>
          </rPr>
          <t>Mean of B</t>
        </r>
        <r>
          <rPr>
            <sz val="8"/>
            <color indexed="81"/>
            <rFont val="Tahoma"/>
            <family val="2"/>
          </rPr>
          <t xml:space="preserve">
</t>
        </r>
      </text>
    </comment>
    <comment ref="C22" authorId="0" shapeId="0">
      <text>
        <r>
          <rPr>
            <sz val="8"/>
            <color indexed="81"/>
            <rFont val="Tahoma"/>
            <family val="2"/>
          </rPr>
          <t>SD of B</t>
        </r>
        <r>
          <rPr>
            <sz val="8"/>
            <color indexed="81"/>
            <rFont val="Tahoma"/>
            <family val="2"/>
          </rPr>
          <t xml:space="preserve">
</t>
        </r>
      </text>
    </comment>
    <comment ref="B25" authorId="0" shapeId="0">
      <text>
        <r>
          <rPr>
            <sz val="8"/>
            <color indexed="81"/>
            <rFont val="Tahoma"/>
            <family val="2"/>
          </rPr>
          <t>Sample size for B.  Use the spinner to set a value.  
Min 2, max 100.</t>
        </r>
      </text>
    </comment>
    <comment ref="A27" authorId="0" shapeId="0">
      <text>
        <r>
          <rPr>
            <sz val="8"/>
            <color indexed="81"/>
            <rFont val="Tahoma"/>
            <family val="2"/>
          </rPr>
          <t xml:space="preserve">Click to reveal or hide various aspects of the displays.
</t>
        </r>
      </text>
    </comment>
    <comment ref="E28" authorId="0" shapeId="0">
      <text>
        <r>
          <rPr>
            <sz val="8"/>
            <color indexed="81"/>
            <rFont val="Tahoma"/>
            <family val="2"/>
          </rPr>
          <t xml:space="preserve">Display the difference between A and B, on a floating Difference axis in both figures.  
In the two-independent-groups case, the 95% CI on the difference is calculated assuming homogeneity of the A and B variances.
</t>
        </r>
      </text>
    </comment>
    <comment ref="D30" authorId="0" shapeId="0">
      <text>
        <r>
          <rPr>
            <sz val="8"/>
            <color indexed="81"/>
            <rFont val="Tahoma"/>
            <family val="2"/>
          </rPr>
          <t xml:space="preserve">Mark the overlap of the A and B 95% CIs, in the two-independent-groups figure.
Overlap is expressed in units of the mean of </t>
        </r>
        <r>
          <rPr>
            <i/>
            <sz val="8"/>
            <color indexed="81"/>
            <rFont val="Tahoma"/>
            <family val="2"/>
          </rPr>
          <t>MOE</t>
        </r>
        <r>
          <rPr>
            <vertAlign val="subscript"/>
            <sz val="10"/>
            <color indexed="81"/>
            <rFont val="Tahoma"/>
            <family val="2"/>
          </rPr>
          <t>A</t>
        </r>
        <r>
          <rPr>
            <sz val="8"/>
            <color indexed="81"/>
            <rFont val="Tahoma"/>
            <family val="2"/>
          </rPr>
          <t xml:space="preserve"> and </t>
        </r>
        <r>
          <rPr>
            <i/>
            <sz val="8"/>
            <color indexed="81"/>
            <rFont val="Tahoma"/>
            <family val="2"/>
          </rPr>
          <t>MOE</t>
        </r>
        <r>
          <rPr>
            <vertAlign val="subscript"/>
            <sz val="10"/>
            <color indexed="81"/>
            <rFont val="Tahoma"/>
            <family val="2"/>
          </rPr>
          <t>B</t>
        </r>
        <r>
          <rPr>
            <sz val="8"/>
            <color indexed="81"/>
            <rFont val="Tahoma"/>
            <family val="2"/>
          </rPr>
          <t xml:space="preserve">.  
A negative value for overlap means there is a gap between the two CIs.
</t>
        </r>
      </text>
    </comment>
    <comment ref="D32" authorId="0" shapeId="0">
      <text>
        <r>
          <rPr>
            <sz val="8"/>
            <color indexed="81"/>
            <rFont val="Tahoma"/>
            <family val="2"/>
          </rPr>
          <t xml:space="preserve">Display grey cat's eye pictures next to each of the 95% CIs, in the two-independent-groups figure.
</t>
        </r>
      </text>
    </comment>
    <comment ref="E35" authorId="0" shapeId="0">
      <text>
        <r>
          <rPr>
            <sz val="8"/>
            <color indexed="81"/>
            <rFont val="Tahoma"/>
            <family val="2"/>
          </rPr>
          <t xml:space="preserve">The two-tailed </t>
        </r>
        <r>
          <rPr>
            <i/>
            <sz val="8"/>
            <color indexed="81"/>
            <rFont val="Tahoma"/>
            <family val="2"/>
          </rPr>
          <t>p</t>
        </r>
        <r>
          <rPr>
            <sz val="8"/>
            <color indexed="81"/>
            <rFont val="Tahoma"/>
            <family val="2"/>
          </rPr>
          <t xml:space="preserve"> value is displayed if the Difference axis, or overlap are clicked on.  
It is calculated assuming homogeneity of the A and B variances.
</t>
        </r>
      </text>
    </comment>
  </commentList>
</comments>
</file>

<file path=xl/comments7.xml><?xml version="1.0" encoding="utf-8"?>
<comments xmlns="http://schemas.openxmlformats.org/spreadsheetml/2006/main">
  <authors>
    <author>Geoff Cumming</author>
  </authors>
  <commentList>
    <comment ref="P2" authorId="0" shapeId="0">
      <text>
        <r>
          <rPr>
            <sz val="8"/>
            <color indexed="81"/>
            <rFont val="Tahoma"/>
            <family val="2"/>
          </rPr>
          <t>Click to clear your data</t>
        </r>
        <r>
          <rPr>
            <sz val="8"/>
            <color indexed="81"/>
            <rFont val="Tahoma"/>
            <family val="2"/>
          </rPr>
          <t xml:space="preserve">
</t>
        </r>
      </text>
    </comment>
    <comment ref="E5" authorId="0" shapeId="0">
      <text>
        <r>
          <rPr>
            <sz val="8"/>
            <color indexed="81"/>
            <rFont val="Tahoma"/>
            <family val="2"/>
          </rPr>
          <t>Type in your two groups of data points.  Press Enter after each value.  Max 1000 points per set.  
(To clear all data, click at</t>
        </r>
        <r>
          <rPr>
            <b/>
            <sz val="8"/>
            <color indexed="10"/>
            <rFont val="Tahoma"/>
            <family val="2"/>
          </rPr>
          <t xml:space="preserve"> </t>
        </r>
        <r>
          <rPr>
            <b/>
            <sz val="9"/>
            <color indexed="10"/>
            <rFont val="Arial"/>
            <family val="2"/>
          </rPr>
          <t>10</t>
        </r>
        <r>
          <rPr>
            <sz val="8"/>
            <color indexed="81"/>
            <rFont val="Tahoma"/>
            <family val="2"/>
          </rPr>
          <t>)
You can paste data from the clipboard, one group at a time, by clicking to select the top cell, then using Paste Special/Values.</t>
        </r>
        <r>
          <rPr>
            <sz val="8"/>
            <color indexed="81"/>
            <rFont val="Tahoma"/>
            <family val="2"/>
          </rPr>
          <t xml:space="preserve">
</t>
        </r>
      </text>
    </comment>
    <comment ref="H5" authorId="0" shapeId="0">
      <text>
        <r>
          <rPr>
            <sz val="8"/>
            <color indexed="81"/>
            <rFont val="Tahoma"/>
            <family val="2"/>
          </rPr>
          <t>Type in names for the two groups, and below for the units</t>
        </r>
        <r>
          <rPr>
            <sz val="8"/>
            <color indexed="81"/>
            <rFont val="Tahoma"/>
            <family val="2"/>
          </rPr>
          <t xml:space="preserve">
</t>
        </r>
      </text>
    </comment>
    <comment ref="K5" authorId="0" shapeId="0">
      <text>
        <r>
          <rPr>
            <sz val="8"/>
            <color indexed="81"/>
            <rFont val="Tahoma"/>
            <family val="2"/>
          </rPr>
          <t>Set basic features of the display</t>
        </r>
        <r>
          <rPr>
            <sz val="8"/>
            <color indexed="81"/>
            <rFont val="Tahoma"/>
            <family val="2"/>
          </rPr>
          <t xml:space="preserve">
</t>
        </r>
      </text>
    </comment>
    <comment ref="F6" authorId="0" shapeId="0">
      <text>
        <r>
          <rPr>
            <sz val="8"/>
            <color indexed="81"/>
            <rFont val="Tahoma"/>
            <family val="2"/>
          </rPr>
          <t xml:space="preserve">Type a short label for Group 1, to appear at bottom of the figure
</t>
        </r>
      </text>
    </comment>
    <comment ref="I6" authorId="0" shapeId="0">
      <text>
        <r>
          <rPr>
            <sz val="8"/>
            <color indexed="81"/>
            <rFont val="Tahoma"/>
            <family val="2"/>
          </rPr>
          <t xml:space="preserve">Type a short label for Group 2, to appear at bottom of the figure
</t>
        </r>
      </text>
    </comment>
    <comment ref="G7" authorId="0" shapeId="0">
      <text>
        <r>
          <rPr>
            <sz val="8"/>
            <color indexed="81"/>
            <rFont val="Tahoma"/>
            <family val="2"/>
          </rPr>
          <t xml:space="preserve">The original units of measurement, e.g., cm, $
</t>
        </r>
      </text>
    </comment>
    <comment ref="N7" authorId="0" shapeId="0">
      <text>
        <r>
          <rPr>
            <sz val="8"/>
            <color indexed="81"/>
            <rFont val="Tahoma"/>
            <family val="2"/>
          </rPr>
          <t xml:space="preserve">Display data points as small blue circles
____________
Only the first 100 points in each sample are displayed
</t>
        </r>
      </text>
    </comment>
    <comment ref="AP8" authorId="0" shapeId="0">
      <text>
        <r>
          <rPr>
            <sz val="8"/>
            <color indexed="81"/>
            <rFont val="Tahoma"/>
            <family val="2"/>
          </rPr>
          <t xml:space="preserve">Click to display Cohen's </t>
        </r>
        <r>
          <rPr>
            <i/>
            <sz val="9"/>
            <color indexed="81"/>
            <rFont val="Tahoma"/>
            <family val="2"/>
          </rPr>
          <t>d</t>
        </r>
        <r>
          <rPr>
            <sz val="8"/>
            <color indexed="81"/>
            <rFont val="Tahoma"/>
            <family val="2"/>
          </rPr>
          <t xml:space="preserve">, with its CI.
</t>
        </r>
      </text>
    </comment>
    <comment ref="K9" authorId="0" shapeId="0">
      <text>
        <r>
          <rPr>
            <sz val="8"/>
            <color indexed="81"/>
            <rFont val="Tahoma"/>
            <family val="2"/>
          </rPr>
          <t>Choose CI features to display</t>
        </r>
        <r>
          <rPr>
            <sz val="8"/>
            <color indexed="81"/>
            <rFont val="Tahoma"/>
            <family val="2"/>
          </rPr>
          <t xml:space="preserve">
</t>
        </r>
      </text>
    </comment>
    <comment ref="O10" authorId="0" shapeId="0">
      <text>
        <r>
          <rPr>
            <sz val="8"/>
            <color indexed="81"/>
            <rFont val="Tahoma"/>
            <family val="2"/>
          </rPr>
          <t>Confidence level (%) for CIs.  Use the spinner or type in a value.  Min 0, max 99.9</t>
        </r>
        <r>
          <rPr>
            <sz val="8"/>
            <color indexed="81"/>
            <rFont val="Tahoma"/>
            <family val="2"/>
          </rPr>
          <t xml:space="preserve">
</t>
        </r>
      </text>
    </comment>
    <comment ref="O12" authorId="0" shapeId="0">
      <text>
        <r>
          <rPr>
            <sz val="8"/>
            <color indexed="81"/>
            <rFont val="Tahoma"/>
            <family val="2"/>
          </rPr>
          <t>Display grey horizontal lines to mark overlap of CIs</t>
        </r>
        <r>
          <rPr>
            <sz val="8"/>
            <color indexed="81"/>
            <rFont val="Tahoma"/>
            <family val="2"/>
          </rPr>
          <t xml:space="preserve">
</t>
        </r>
      </text>
    </comment>
    <comment ref="K13" authorId="0" shapeId="0">
      <text>
        <r>
          <rPr>
            <sz val="8"/>
            <color indexed="81"/>
            <rFont val="Tahoma"/>
            <family val="2"/>
          </rPr>
          <t>Descriptive statistics for your two groups</t>
        </r>
        <r>
          <rPr>
            <sz val="8"/>
            <color indexed="81"/>
            <rFont val="Tahoma"/>
            <family val="2"/>
          </rPr>
          <t xml:space="preserve">
</t>
        </r>
      </text>
    </comment>
    <comment ref="N15" authorId="0" shapeId="0">
      <text>
        <r>
          <rPr>
            <sz val="8"/>
            <color indexed="81"/>
            <rFont val="Tahoma"/>
            <family val="2"/>
          </rPr>
          <t xml:space="preserve">Type in this label at </t>
        </r>
        <r>
          <rPr>
            <b/>
            <sz val="9"/>
            <color indexed="10"/>
            <rFont val="Tahoma"/>
            <family val="2"/>
          </rPr>
          <t>2</t>
        </r>
        <r>
          <rPr>
            <sz val="8"/>
            <color indexed="81"/>
            <rFont val="Tahoma"/>
            <family val="2"/>
          </rPr>
          <t xml:space="preserve">
</t>
        </r>
      </text>
    </comment>
    <comment ref="P15" authorId="0" shapeId="0">
      <text>
        <r>
          <rPr>
            <sz val="8"/>
            <color indexed="81"/>
            <rFont val="Tahoma"/>
            <family val="2"/>
          </rPr>
          <t xml:space="preserve">Type in this label at </t>
        </r>
        <r>
          <rPr>
            <b/>
            <sz val="9"/>
            <color indexed="10"/>
            <rFont val="Tahoma"/>
            <family val="2"/>
          </rPr>
          <t>2</t>
        </r>
        <r>
          <rPr>
            <sz val="8"/>
            <color indexed="81"/>
            <rFont val="Tahoma"/>
            <family val="2"/>
          </rPr>
          <t xml:space="preserve">
</t>
        </r>
      </text>
    </comment>
    <comment ref="M16" authorId="0" shapeId="0">
      <text>
        <r>
          <rPr>
            <sz val="8"/>
            <color indexed="81"/>
            <rFont val="Tahoma"/>
            <family val="2"/>
          </rPr>
          <t>Number of data points, Group 1</t>
        </r>
        <r>
          <rPr>
            <sz val="8"/>
            <color indexed="81"/>
            <rFont val="Tahoma"/>
            <family val="2"/>
          </rPr>
          <t xml:space="preserve">
</t>
        </r>
      </text>
    </comment>
    <comment ref="O16" authorId="0" shapeId="0">
      <text>
        <r>
          <rPr>
            <sz val="8"/>
            <color indexed="81"/>
            <rFont val="Tahoma"/>
            <family val="2"/>
          </rPr>
          <t>Number of data points, Group 2</t>
        </r>
        <r>
          <rPr>
            <sz val="8"/>
            <color indexed="81"/>
            <rFont val="Tahoma"/>
            <family val="2"/>
          </rPr>
          <t xml:space="preserve">
</t>
        </r>
      </text>
    </comment>
    <comment ref="M17" authorId="0" shapeId="0">
      <text>
        <r>
          <rPr>
            <sz val="8"/>
            <color indexed="81"/>
            <rFont val="Tahoma"/>
            <family val="2"/>
          </rPr>
          <t>Sample mean, Group 1</t>
        </r>
        <r>
          <rPr>
            <sz val="8"/>
            <color indexed="81"/>
            <rFont val="Tahoma"/>
            <family val="2"/>
          </rPr>
          <t xml:space="preserve">
</t>
        </r>
      </text>
    </comment>
    <comment ref="O17" authorId="0" shapeId="0">
      <text>
        <r>
          <rPr>
            <sz val="8"/>
            <color indexed="81"/>
            <rFont val="Tahoma"/>
            <family val="2"/>
          </rPr>
          <t>Sample mean, Group 2</t>
        </r>
        <r>
          <rPr>
            <sz val="8"/>
            <color indexed="81"/>
            <rFont val="Tahoma"/>
            <family val="2"/>
          </rPr>
          <t xml:space="preserve">
</t>
        </r>
      </text>
    </comment>
    <comment ref="M18" authorId="0" shapeId="0">
      <text>
        <r>
          <rPr>
            <sz val="8"/>
            <color indexed="81"/>
            <rFont val="Tahoma"/>
            <family val="2"/>
          </rPr>
          <t>Sample standard deviation, Group 1</t>
        </r>
        <r>
          <rPr>
            <sz val="8"/>
            <color indexed="81"/>
            <rFont val="Tahoma"/>
            <family val="2"/>
          </rPr>
          <t xml:space="preserve">
</t>
        </r>
      </text>
    </comment>
    <comment ref="O18" authorId="0" shapeId="0">
      <text>
        <r>
          <rPr>
            <sz val="8"/>
            <color indexed="81"/>
            <rFont val="Tahoma"/>
            <family val="2"/>
          </rPr>
          <t>Sample standard deviation, Group 2</t>
        </r>
        <r>
          <rPr>
            <sz val="8"/>
            <color indexed="81"/>
            <rFont val="Tahoma"/>
            <family val="2"/>
          </rPr>
          <t xml:space="preserve">
</t>
        </r>
      </text>
    </comment>
    <comment ref="K19" authorId="0" shapeId="0">
      <text>
        <r>
          <rPr>
            <sz val="8"/>
            <color indexed="81"/>
            <rFont val="Tahoma"/>
            <family val="2"/>
          </rPr>
          <t>Information about the CIs on the two means, and initial information for comparing the two groups.</t>
        </r>
      </text>
    </comment>
    <comment ref="M20" authorId="0" shapeId="0">
      <text>
        <r>
          <rPr>
            <sz val="8"/>
            <color indexed="81"/>
            <rFont val="Tahoma"/>
            <family val="2"/>
          </rPr>
          <t>Margin of error (</t>
        </r>
        <r>
          <rPr>
            <i/>
            <sz val="8"/>
            <color indexed="81"/>
            <rFont val="Tahoma"/>
            <family val="2"/>
          </rPr>
          <t>MOE</t>
        </r>
        <r>
          <rPr>
            <sz val="8"/>
            <color indexed="81"/>
            <rFont val="Tahoma"/>
            <family val="2"/>
          </rPr>
          <t>) of the CI for the mean of the first population, calculated using the current Group 1 data.</t>
        </r>
        <r>
          <rPr>
            <sz val="8"/>
            <color indexed="81"/>
            <rFont val="Tahoma"/>
            <family val="2"/>
          </rPr>
          <t xml:space="preserve">
</t>
        </r>
      </text>
    </comment>
    <comment ref="O20" authorId="0" shapeId="0">
      <text>
        <r>
          <rPr>
            <sz val="8"/>
            <color indexed="81"/>
            <rFont val="Tahoma"/>
            <family val="2"/>
          </rPr>
          <t>Margin of error (</t>
        </r>
        <r>
          <rPr>
            <i/>
            <sz val="8"/>
            <color indexed="81"/>
            <rFont val="Tahoma"/>
            <family val="2"/>
          </rPr>
          <t>MOE</t>
        </r>
        <r>
          <rPr>
            <sz val="8"/>
            <color indexed="81"/>
            <rFont val="Tahoma"/>
            <family val="2"/>
          </rPr>
          <t>) of the CI for the mean of the second population, calculated using the current Group 2 data.</t>
        </r>
        <r>
          <rPr>
            <sz val="8"/>
            <color indexed="81"/>
            <rFont val="Tahoma"/>
            <family val="2"/>
          </rPr>
          <t xml:space="preserve">
</t>
        </r>
      </text>
    </comment>
    <comment ref="M21" authorId="0" shapeId="0">
      <text>
        <r>
          <rPr>
            <sz val="8"/>
            <color indexed="81"/>
            <rFont val="Tahoma"/>
            <family val="2"/>
          </rPr>
          <t>CI lower limit</t>
        </r>
        <r>
          <rPr>
            <sz val="8"/>
            <color indexed="81"/>
            <rFont val="Tahoma"/>
            <family val="2"/>
          </rPr>
          <t xml:space="preserve">
</t>
        </r>
      </text>
    </comment>
    <comment ref="O21" authorId="0" shapeId="0">
      <text>
        <r>
          <rPr>
            <sz val="8"/>
            <color indexed="81"/>
            <rFont val="Tahoma"/>
            <family val="2"/>
          </rPr>
          <t>CI lower limit</t>
        </r>
        <r>
          <rPr>
            <sz val="8"/>
            <color indexed="81"/>
            <rFont val="Tahoma"/>
            <family val="2"/>
          </rPr>
          <t xml:space="preserve">
</t>
        </r>
      </text>
    </comment>
    <comment ref="M22" authorId="0" shapeId="0">
      <text>
        <r>
          <rPr>
            <sz val="8"/>
            <color indexed="81"/>
            <rFont val="Tahoma"/>
            <family val="2"/>
          </rPr>
          <t>CI upper limit</t>
        </r>
        <r>
          <rPr>
            <sz val="8"/>
            <color indexed="81"/>
            <rFont val="Tahoma"/>
            <family val="2"/>
          </rPr>
          <t xml:space="preserve">
</t>
        </r>
      </text>
    </comment>
    <comment ref="O22" authorId="0" shapeId="0">
      <text>
        <r>
          <rPr>
            <sz val="8"/>
            <color indexed="81"/>
            <rFont val="Tahoma"/>
            <family val="2"/>
          </rPr>
          <t>CI upper limit</t>
        </r>
        <r>
          <rPr>
            <sz val="8"/>
            <color indexed="81"/>
            <rFont val="Tahoma"/>
            <family val="2"/>
          </rPr>
          <t xml:space="preserve">
</t>
        </r>
      </text>
    </comment>
    <comment ref="N23" authorId="0" shapeId="0">
      <text>
        <r>
          <rPr>
            <sz val="8"/>
            <color indexed="81"/>
            <rFont val="Tahoma"/>
            <family val="2"/>
          </rPr>
          <t xml:space="preserve">Mean </t>
        </r>
        <r>
          <rPr>
            <i/>
            <sz val="8"/>
            <color indexed="81"/>
            <rFont val="Tahoma"/>
            <family val="2"/>
          </rPr>
          <t>MOE</t>
        </r>
        <r>
          <rPr>
            <sz val="8"/>
            <color indexed="81"/>
            <rFont val="Tahoma"/>
            <family val="2"/>
          </rPr>
          <t xml:space="preserve">
</t>
        </r>
      </text>
    </comment>
    <comment ref="N24" authorId="0" shapeId="0">
      <text>
        <r>
          <rPr>
            <sz val="8"/>
            <color indexed="81"/>
            <rFont val="Tahoma"/>
            <family val="2"/>
          </rPr>
          <t xml:space="preserve">Overlap, or gap, in units of mean </t>
        </r>
        <r>
          <rPr>
            <i/>
            <sz val="8"/>
            <color indexed="81"/>
            <rFont val="Tahoma"/>
            <family val="2"/>
          </rPr>
          <t>MOE</t>
        </r>
        <r>
          <rPr>
            <sz val="8"/>
            <color indexed="81"/>
            <rFont val="Tahoma"/>
            <family val="2"/>
          </rPr>
          <t>.</t>
        </r>
        <r>
          <rPr>
            <sz val="10"/>
            <color indexed="81"/>
            <rFont val="Tahoma"/>
            <family val="2"/>
          </rPr>
          <t xml:space="preserve">
</t>
        </r>
      </text>
    </comment>
    <comment ref="N25" authorId="0" shapeId="0">
      <text>
        <r>
          <rPr>
            <sz val="8"/>
            <color indexed="81"/>
            <rFont val="Tahoma"/>
            <family val="2"/>
          </rPr>
          <t xml:space="preserve">The difference between the two sample means, </t>
        </r>
        <r>
          <rPr>
            <i/>
            <sz val="8"/>
            <color indexed="81"/>
            <rFont val="Tahoma"/>
            <family val="2"/>
          </rPr>
          <t>M</t>
        </r>
        <r>
          <rPr>
            <vertAlign val="subscript"/>
            <sz val="10"/>
            <color indexed="81"/>
            <rFont val="Tahoma"/>
            <family val="2"/>
          </rPr>
          <t>2</t>
        </r>
        <r>
          <rPr>
            <i/>
            <sz val="8"/>
            <color indexed="81"/>
            <rFont val="Tahoma"/>
            <family val="2"/>
          </rPr>
          <t>-M</t>
        </r>
        <r>
          <rPr>
            <vertAlign val="subscript"/>
            <sz val="10"/>
            <color indexed="81"/>
            <rFont val="Tahoma"/>
            <family val="2"/>
          </rPr>
          <t>1</t>
        </r>
        <r>
          <rPr>
            <sz val="8"/>
            <color indexed="81"/>
            <rFont val="Tahoma"/>
            <family val="2"/>
          </rPr>
          <t>, in original units</t>
        </r>
        <r>
          <rPr>
            <sz val="8"/>
            <color indexed="81"/>
            <rFont val="Tahoma"/>
            <family val="2"/>
          </rPr>
          <t xml:space="preserve">
</t>
        </r>
      </text>
    </comment>
    <comment ref="K26" authorId="0" shapeId="0">
      <text>
        <r>
          <rPr>
            <sz val="8"/>
            <color indexed="81"/>
            <rFont val="Tahoma"/>
            <family val="2"/>
          </rPr>
          <t>Choice of assumption affects calculation of the CI on the difference between means, and inference about that difference.</t>
        </r>
        <r>
          <rPr>
            <sz val="8"/>
            <color indexed="81"/>
            <rFont val="Tahoma"/>
            <family val="2"/>
          </rPr>
          <t xml:space="preserve">
</t>
        </r>
      </text>
    </comment>
    <comment ref="O27" authorId="0" shapeId="0">
      <text>
        <r>
          <rPr>
            <sz val="8"/>
            <color indexed="81"/>
            <rFont val="Tahoma"/>
            <family val="2"/>
          </rPr>
          <t xml:space="preserve">Click </t>
        </r>
        <r>
          <rPr>
            <b/>
            <sz val="8"/>
            <color indexed="81"/>
            <rFont val="Tahoma"/>
            <family val="2"/>
          </rPr>
          <t>Yes</t>
        </r>
        <r>
          <rPr>
            <sz val="8"/>
            <color indexed="81"/>
            <rFont val="Tahoma"/>
            <family val="2"/>
          </rPr>
          <t xml:space="preserve"> to assume the two population variances are equal.  (This is the conventional assumption of homogeneity of variance.)
Click </t>
        </r>
        <r>
          <rPr>
            <b/>
            <sz val="8"/>
            <color indexed="81"/>
            <rFont val="Tahoma"/>
            <family val="2"/>
          </rPr>
          <t>No</t>
        </r>
        <r>
          <rPr>
            <sz val="8"/>
            <color indexed="81"/>
            <rFont val="Tahoma"/>
            <family val="2"/>
          </rPr>
          <t xml:space="preserve"> and use the Welch-Satterthwaite approximation, which does not assume equality of variances.</t>
        </r>
        <r>
          <rPr>
            <sz val="10"/>
            <color indexed="81"/>
            <rFont val="Tahoma"/>
            <family val="2"/>
          </rPr>
          <t xml:space="preserve">
</t>
        </r>
      </text>
    </comment>
    <comment ref="K29" authorId="0" shapeId="0">
      <text>
        <r>
          <rPr>
            <sz val="8"/>
            <color indexed="81"/>
            <rFont val="Tahoma"/>
            <family val="2"/>
          </rPr>
          <t>All these values depend on which assumption is made about variances</t>
        </r>
        <r>
          <rPr>
            <sz val="8"/>
            <color indexed="81"/>
            <rFont val="Tahoma"/>
            <family val="2"/>
          </rPr>
          <t xml:space="preserve">
</t>
        </r>
      </text>
    </comment>
    <comment ref="N29" authorId="0" shapeId="0">
      <text>
        <r>
          <rPr>
            <i/>
            <sz val="8"/>
            <color indexed="81"/>
            <rFont val="Tahoma"/>
            <family val="2"/>
          </rPr>
          <t>MOE</t>
        </r>
        <r>
          <rPr>
            <sz val="8"/>
            <color indexed="81"/>
            <rFont val="Tahoma"/>
            <family val="2"/>
          </rPr>
          <t xml:space="preserve"> for the CI on the difference between the two means.  </t>
        </r>
        <r>
          <rPr>
            <sz val="10"/>
            <color indexed="81"/>
            <rFont val="Tahoma"/>
            <family val="2"/>
          </rPr>
          <t xml:space="preserve">
</t>
        </r>
      </text>
    </comment>
    <comment ref="N30" authorId="0" shapeId="0">
      <text>
        <r>
          <rPr>
            <sz val="8"/>
            <color indexed="81"/>
            <rFont val="Tahoma"/>
            <family val="2"/>
          </rPr>
          <t xml:space="preserve">Value of </t>
        </r>
        <r>
          <rPr>
            <i/>
            <sz val="8"/>
            <color indexed="81"/>
            <rFont val="Tahoma"/>
            <family val="2"/>
          </rPr>
          <t xml:space="preserve">t </t>
        </r>
        <r>
          <rPr>
            <sz val="8"/>
            <color indexed="81"/>
            <rFont val="Tahoma"/>
            <family val="2"/>
          </rPr>
          <t>for testing the difference against zero</t>
        </r>
      </text>
    </comment>
    <comment ref="P30" authorId="0" shapeId="0">
      <text>
        <r>
          <rPr>
            <sz val="8"/>
            <color indexed="81"/>
            <rFont val="Tahoma"/>
            <family val="2"/>
          </rPr>
          <t xml:space="preserve">For variances assumed equal, </t>
        </r>
        <r>
          <rPr>
            <i/>
            <sz val="8"/>
            <color indexed="81"/>
            <rFont val="Tahoma"/>
            <family val="2"/>
          </rPr>
          <t>degrees of freedom</t>
        </r>
        <r>
          <rPr>
            <sz val="8"/>
            <color indexed="81"/>
            <rFont val="Tahoma"/>
            <family val="2"/>
          </rPr>
          <t xml:space="preserve"> = (</t>
        </r>
        <r>
          <rPr>
            <i/>
            <sz val="8"/>
            <color indexed="81"/>
            <rFont val="Tahoma"/>
            <family val="2"/>
          </rPr>
          <t>N</t>
        </r>
        <r>
          <rPr>
            <vertAlign val="subscript"/>
            <sz val="10"/>
            <color indexed="81"/>
            <rFont val="Tahoma"/>
            <family val="2"/>
          </rPr>
          <t>1</t>
        </r>
        <r>
          <rPr>
            <sz val="8"/>
            <color indexed="81"/>
            <rFont val="Tahoma"/>
            <family val="2"/>
          </rPr>
          <t xml:space="preserve"> + </t>
        </r>
        <r>
          <rPr>
            <i/>
            <sz val="8"/>
            <color indexed="81"/>
            <rFont val="Tahoma"/>
            <family val="2"/>
          </rPr>
          <t>N</t>
        </r>
        <r>
          <rPr>
            <vertAlign val="subscript"/>
            <sz val="10"/>
            <color indexed="81"/>
            <rFont val="Tahoma"/>
            <family val="2"/>
          </rPr>
          <t>2</t>
        </r>
        <r>
          <rPr>
            <sz val="8"/>
            <color indexed="81"/>
            <rFont val="Tahoma"/>
            <family val="2"/>
          </rPr>
          <t xml:space="preserve"> - 2).
For variances not assumed equal, use Welch-Satterthwaite, and find </t>
        </r>
        <r>
          <rPr>
            <i/>
            <sz val="8"/>
            <color indexed="81"/>
            <rFont val="Tahoma"/>
            <family val="2"/>
          </rPr>
          <t>df</t>
        </r>
        <r>
          <rPr>
            <sz val="8"/>
            <color indexed="81"/>
            <rFont val="Tahoma"/>
            <family val="2"/>
          </rPr>
          <t xml:space="preserve"> is typically a non-integer.  </t>
        </r>
        <r>
          <rPr>
            <sz val="10"/>
            <color indexed="81"/>
            <rFont val="Tahoma"/>
            <family val="2"/>
          </rPr>
          <t xml:space="preserve">
</t>
        </r>
      </text>
    </comment>
    <comment ref="N31" authorId="0" shapeId="0">
      <text>
        <r>
          <rPr>
            <sz val="8"/>
            <color indexed="81"/>
            <rFont val="Tahoma"/>
            <family val="2"/>
          </rPr>
          <t>for testing the null hypothesis of no difference between the two group means</t>
        </r>
        <r>
          <rPr>
            <sz val="9"/>
            <color indexed="81"/>
            <rFont val="Tahoma"/>
            <family val="2"/>
          </rPr>
          <t xml:space="preserve"> </t>
        </r>
        <r>
          <rPr>
            <sz val="8"/>
            <color indexed="81"/>
            <rFont val="Tahoma"/>
            <family val="2"/>
          </rPr>
          <t xml:space="preserve">
</t>
        </r>
      </text>
    </comment>
    <comment ref="K33" authorId="0" shapeId="0">
      <text>
        <r>
          <rPr>
            <sz val="8"/>
            <color indexed="81"/>
            <rFont val="Tahoma"/>
            <family val="2"/>
          </rPr>
          <t xml:space="preserve">Click to reveal or hide a figure at far right that displays the difference, with its CI, on a floating Difference axis
</t>
        </r>
      </text>
    </comment>
    <comment ref="M34" authorId="0" shapeId="0">
      <text>
        <r>
          <rPr>
            <sz val="8"/>
            <color indexed="81"/>
            <rFont val="Tahoma"/>
            <family val="2"/>
          </rPr>
          <t xml:space="preserve">Display of Cohen's </t>
        </r>
        <r>
          <rPr>
            <i/>
            <sz val="9"/>
            <color indexed="81"/>
            <rFont val="Tahoma"/>
            <family val="2"/>
          </rPr>
          <t>d</t>
        </r>
        <r>
          <rPr>
            <sz val="8"/>
            <color indexed="81"/>
            <rFont val="Tahoma"/>
            <family val="2"/>
          </rPr>
          <t xml:space="preserve">, with its CI.
</t>
        </r>
        <r>
          <rPr>
            <i/>
            <sz val="9"/>
            <color indexed="81"/>
            <rFont val="Tahoma"/>
            <family val="2"/>
          </rPr>
          <t>d</t>
        </r>
        <r>
          <rPr>
            <sz val="8"/>
            <color indexed="81"/>
            <rFont val="Tahoma"/>
            <family val="2"/>
          </rPr>
          <t xml:space="preserve"> is calculated as: 
(</t>
        </r>
        <r>
          <rPr>
            <i/>
            <sz val="8"/>
            <color indexed="81"/>
            <rFont val="Tahoma"/>
            <family val="2"/>
          </rPr>
          <t>M</t>
        </r>
        <r>
          <rPr>
            <vertAlign val="subscript"/>
            <sz val="9"/>
            <color indexed="81"/>
            <rFont val="Tahoma"/>
            <family val="2"/>
          </rPr>
          <t>2</t>
        </r>
        <r>
          <rPr>
            <sz val="8"/>
            <color indexed="81"/>
            <rFont val="Tahoma"/>
            <family val="2"/>
          </rPr>
          <t xml:space="preserve"> - </t>
        </r>
        <r>
          <rPr>
            <i/>
            <sz val="8"/>
            <color indexed="81"/>
            <rFont val="Tahoma"/>
            <family val="2"/>
          </rPr>
          <t>M</t>
        </r>
        <r>
          <rPr>
            <vertAlign val="subscript"/>
            <sz val="9"/>
            <color indexed="81"/>
            <rFont val="Tahoma"/>
            <family val="2"/>
          </rPr>
          <t>1</t>
        </r>
        <r>
          <rPr>
            <sz val="8"/>
            <color indexed="81"/>
            <rFont val="Tahoma"/>
            <family val="2"/>
          </rPr>
          <t xml:space="preserve">)/(pooled SD within groups).
At </t>
        </r>
        <r>
          <rPr>
            <b/>
            <sz val="9"/>
            <color indexed="10"/>
            <rFont val="Tahoma"/>
            <family val="2"/>
          </rPr>
          <t>7</t>
        </r>
        <r>
          <rPr>
            <sz val="8"/>
            <color indexed="81"/>
            <rFont val="Tahoma"/>
            <family val="2"/>
          </rPr>
          <t xml:space="preserve">, </t>
        </r>
        <r>
          <rPr>
            <b/>
            <sz val="8"/>
            <color indexed="81"/>
            <rFont val="Tahoma"/>
            <family val="2"/>
          </rPr>
          <t>Yes</t>
        </r>
        <r>
          <rPr>
            <sz val="8"/>
            <color indexed="81"/>
            <rFont val="Tahoma"/>
            <family val="2"/>
          </rPr>
          <t xml:space="preserve"> must be selected to assume variances equal.</t>
        </r>
      </text>
    </comment>
    <comment ref="N34" authorId="0" shapeId="0">
      <text>
        <r>
          <rPr>
            <sz val="8"/>
            <color indexed="81"/>
            <rFont val="Tahoma"/>
            <family val="2"/>
          </rPr>
          <t xml:space="preserve">Pooled standard deviation within groups </t>
        </r>
        <r>
          <rPr>
            <sz val="8"/>
            <color indexed="81"/>
            <rFont val="Tahoma"/>
            <family val="2"/>
          </rPr>
          <t xml:space="preserve">
</t>
        </r>
      </text>
    </comment>
    <comment ref="R35" authorId="0" shapeId="0">
      <text>
        <r>
          <rPr>
            <sz val="8"/>
            <color indexed="81"/>
            <rFont val="Tahoma"/>
            <family val="2"/>
          </rPr>
          <t xml:space="preserve">CI calculated around </t>
        </r>
        <r>
          <rPr>
            <i/>
            <sz val="9"/>
            <color indexed="81"/>
            <rFont val="Tahoma"/>
            <family val="2"/>
          </rPr>
          <t>d</t>
        </r>
        <r>
          <rPr>
            <sz val="10"/>
            <color indexed="81"/>
            <rFont val="Tahoma"/>
            <family val="2"/>
          </rPr>
          <t xml:space="preserve">
</t>
        </r>
      </text>
    </comment>
    <comment ref="K36" authorId="0" shapeId="0">
      <text>
        <r>
          <rPr>
            <sz val="8"/>
            <color indexed="81"/>
            <rFont val="Tahoma"/>
            <family val="2"/>
          </rPr>
          <t xml:space="preserve">Click to carry out the calculation of CI on </t>
        </r>
        <r>
          <rPr>
            <i/>
            <sz val="9"/>
            <color indexed="81"/>
            <rFont val="Tahoma"/>
            <family val="2"/>
          </rPr>
          <t>d</t>
        </r>
        <r>
          <rPr>
            <sz val="8"/>
            <color indexed="81"/>
            <rFont val="Tahoma"/>
            <family val="2"/>
          </rPr>
          <t xml:space="preserve">.  
You need to click here again after any change in the data or </t>
        </r>
        <r>
          <rPr>
            <i/>
            <sz val="8"/>
            <color indexed="81"/>
            <rFont val="Tahoma"/>
            <family val="2"/>
          </rPr>
          <t>C</t>
        </r>
        <r>
          <rPr>
            <sz val="8"/>
            <color indexed="81"/>
            <rFont val="Tahoma"/>
            <family val="2"/>
          </rPr>
          <t xml:space="preserve">.
For CI calculation, max value of </t>
        </r>
        <r>
          <rPr>
            <i/>
            <sz val="9"/>
            <color indexed="81"/>
            <rFont val="Tahoma"/>
            <family val="2"/>
          </rPr>
          <t>df</t>
        </r>
        <r>
          <rPr>
            <sz val="8"/>
            <color indexed="81"/>
            <rFont val="Tahoma"/>
            <family val="2"/>
          </rPr>
          <t xml:space="preserve"> is 200, and </t>
        </r>
        <r>
          <rPr>
            <i/>
            <sz val="9"/>
            <color indexed="81"/>
            <rFont val="Tahoma"/>
            <family val="2"/>
          </rPr>
          <t>d</t>
        </r>
        <r>
          <rPr>
            <sz val="8"/>
            <color indexed="81"/>
            <rFont val="Tahoma"/>
            <family val="2"/>
          </rPr>
          <t xml:space="preserve"> must lie between -10 and +10.</t>
        </r>
        <r>
          <rPr>
            <sz val="10"/>
            <color indexed="81"/>
            <rFont val="Tahoma"/>
            <family val="2"/>
          </rPr>
          <t xml:space="preserve">
</t>
        </r>
      </text>
    </comment>
    <comment ref="M37" authorId="0" shapeId="0">
      <text>
        <r>
          <rPr>
            <sz val="8"/>
            <color indexed="81"/>
            <rFont val="Tahoma"/>
            <family val="2"/>
          </rPr>
          <t xml:space="preserve">When Cohen's </t>
        </r>
        <r>
          <rPr>
            <i/>
            <sz val="9"/>
            <color indexed="81"/>
            <rFont val="Tahoma"/>
            <family val="2"/>
          </rPr>
          <t>d</t>
        </r>
        <r>
          <rPr>
            <sz val="8"/>
            <color indexed="81"/>
            <rFont val="Tahoma"/>
            <family val="2"/>
          </rPr>
          <t xml:space="preserve"> is shown above, show here </t>
        </r>
        <r>
          <rPr>
            <i/>
            <sz val="9"/>
            <color indexed="81"/>
            <rFont val="Tahoma"/>
            <family val="2"/>
          </rPr>
          <t>d</t>
        </r>
        <r>
          <rPr>
            <vertAlign val="subscript"/>
            <sz val="10"/>
            <color indexed="81"/>
            <rFont val="Tahoma"/>
            <family val="2"/>
          </rPr>
          <t>unb</t>
        </r>
        <r>
          <rPr>
            <sz val="8"/>
            <color indexed="81"/>
            <rFont val="Tahoma"/>
            <family val="2"/>
          </rPr>
          <t xml:space="preserve">, which is calculated from </t>
        </r>
        <r>
          <rPr>
            <i/>
            <sz val="9"/>
            <color indexed="81"/>
            <rFont val="Tahoma"/>
            <family val="2"/>
          </rPr>
          <t>d</t>
        </r>
        <r>
          <rPr>
            <sz val="8"/>
            <color indexed="81"/>
            <rFont val="Tahoma"/>
            <family val="2"/>
          </rPr>
          <t xml:space="preserve"> to be 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 ref="M38" authorId="0" shapeId="0">
      <text>
        <r>
          <rPr>
            <sz val="8"/>
            <color indexed="81"/>
            <rFont val="Tahoma"/>
            <family val="2"/>
          </rPr>
          <t xml:space="preserve">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 ref="P38" authorId="0" shapeId="0">
      <text>
        <r>
          <rPr>
            <sz val="8"/>
            <color indexed="81"/>
            <rFont val="Tahoma"/>
            <family val="2"/>
          </rPr>
          <t xml:space="preserve">Average arm length of the CI for </t>
        </r>
        <r>
          <rPr>
            <sz val="11"/>
            <color indexed="81"/>
            <rFont val="Symbol"/>
            <family val="1"/>
            <charset val="2"/>
          </rPr>
          <t>d</t>
        </r>
        <r>
          <rPr>
            <sz val="8"/>
            <color indexed="81"/>
            <rFont val="Tahoma"/>
            <family val="2"/>
          </rPr>
          <t>.  This is our measure of precision.</t>
        </r>
        <r>
          <rPr>
            <sz val="10"/>
            <color indexed="81"/>
            <rFont val="Tahoma"/>
            <family val="2"/>
          </rPr>
          <t xml:space="preserve">
</t>
        </r>
      </text>
    </comment>
  </commentList>
</comments>
</file>

<file path=xl/comments8.xml><?xml version="1.0" encoding="utf-8"?>
<comments xmlns="http://schemas.openxmlformats.org/spreadsheetml/2006/main">
  <authors>
    <author>Geoff Cumming</author>
  </authors>
  <commentList>
    <comment ref="O1" authorId="0" shapeId="0">
      <text>
        <r>
          <rPr>
            <sz val="8"/>
            <color indexed="81"/>
            <rFont val="Tahoma"/>
            <family val="2"/>
          </rPr>
          <t>Descriptive statistics for the current two samples</t>
        </r>
        <r>
          <rPr>
            <sz val="8"/>
            <color indexed="81"/>
            <rFont val="Tahoma"/>
            <family val="2"/>
          </rPr>
          <t xml:space="preserve">
</t>
        </r>
      </text>
    </comment>
    <comment ref="B2" authorId="0" shapeId="0">
      <text>
        <r>
          <rPr>
            <i/>
            <sz val="8"/>
            <color indexed="81"/>
            <rFont val="Tahoma"/>
            <family val="2"/>
          </rPr>
          <t>N1</t>
        </r>
        <r>
          <rPr>
            <sz val="8"/>
            <color indexed="81"/>
            <rFont val="Tahoma"/>
            <family val="2"/>
          </rPr>
          <t xml:space="preserve">
</t>
        </r>
      </text>
    </comment>
    <comment ref="M2" authorId="0" shapeId="0">
      <text>
        <r>
          <rPr>
            <sz val="8"/>
            <color indexed="81"/>
            <rFont val="Tahoma"/>
            <family val="2"/>
          </rPr>
          <t xml:space="preserve">The two populations are assumed Normal, with means </t>
        </r>
        <r>
          <rPr>
            <sz val="11"/>
            <color indexed="81"/>
            <rFont val="Symbol"/>
            <family val="1"/>
            <charset val="2"/>
          </rPr>
          <t>m</t>
        </r>
        <r>
          <rPr>
            <vertAlign val="subscript"/>
            <sz val="10"/>
            <color indexed="81"/>
            <rFont val="Tahoma"/>
            <family val="2"/>
          </rPr>
          <t>1</t>
        </r>
        <r>
          <rPr>
            <sz val="8"/>
            <color indexed="81"/>
            <rFont val="Tahoma"/>
            <family val="2"/>
          </rPr>
          <t xml:space="preserve">, </t>
        </r>
        <r>
          <rPr>
            <sz val="11"/>
            <color indexed="81"/>
            <rFont val="Symbol"/>
            <family val="1"/>
            <charset val="2"/>
          </rPr>
          <t>m</t>
        </r>
        <r>
          <rPr>
            <vertAlign val="subscript"/>
            <sz val="10"/>
            <color indexed="81"/>
            <rFont val="Tahoma"/>
            <family val="2"/>
          </rPr>
          <t>2</t>
        </r>
        <r>
          <rPr>
            <sz val="8"/>
            <color indexed="81"/>
            <rFont val="Tahoma"/>
            <family val="2"/>
          </rPr>
          <t xml:space="preserve">, and standard deviation </t>
        </r>
        <r>
          <rPr>
            <sz val="10"/>
            <color indexed="81"/>
            <rFont val="Symbol"/>
            <family val="1"/>
            <charset val="2"/>
          </rPr>
          <t>s</t>
        </r>
        <r>
          <rPr>
            <sz val="8"/>
            <color indexed="81"/>
            <rFont val="Tahoma"/>
            <family val="2"/>
          </rPr>
          <t xml:space="preserve"> assumed the same for each.  All samples are random, and independent.</t>
        </r>
        <r>
          <rPr>
            <sz val="8"/>
            <color indexed="81"/>
            <rFont val="Tahoma"/>
            <family val="2"/>
          </rPr>
          <t xml:space="preserve">
</t>
        </r>
      </text>
    </comment>
    <comment ref="B3" authorId="0" shapeId="0">
      <text>
        <r>
          <rPr>
            <sz val="11"/>
            <color indexed="81"/>
            <rFont val="Symbol"/>
            <family val="1"/>
            <charset val="2"/>
          </rPr>
          <t>m</t>
        </r>
        <r>
          <rPr>
            <i/>
            <sz val="9"/>
            <color indexed="81"/>
            <rFont val="Tahoma"/>
            <family val="2"/>
          </rPr>
          <t>2</t>
        </r>
        <r>
          <rPr>
            <sz val="8"/>
            <color indexed="81"/>
            <rFont val="Tahoma"/>
            <family val="2"/>
          </rPr>
          <t xml:space="preserve">
</t>
        </r>
      </text>
    </comment>
    <comment ref="P3" authorId="0" shapeId="0">
      <text>
        <r>
          <rPr>
            <sz val="8"/>
            <color indexed="81"/>
            <rFont val="Tahoma"/>
            <family val="2"/>
          </rPr>
          <t xml:space="preserve">Label for Group 1.  Type this in at </t>
        </r>
        <r>
          <rPr>
            <b/>
            <sz val="9"/>
            <color indexed="10"/>
            <rFont val="Tahoma"/>
            <family val="2"/>
          </rPr>
          <t>2</t>
        </r>
        <r>
          <rPr>
            <sz val="8"/>
            <color indexed="81"/>
            <rFont val="Tahoma"/>
            <family val="2"/>
          </rPr>
          <t xml:space="preserve"> below.
</t>
        </r>
      </text>
    </comment>
    <comment ref="S3" authorId="0" shapeId="0">
      <text>
        <r>
          <rPr>
            <sz val="8"/>
            <color indexed="81"/>
            <rFont val="Tahoma"/>
            <family val="2"/>
          </rPr>
          <t xml:space="preserve">Label for Group 2.  Type this in at </t>
        </r>
        <r>
          <rPr>
            <b/>
            <sz val="9"/>
            <color indexed="10"/>
            <rFont val="Tahoma"/>
            <family val="2"/>
          </rPr>
          <t>2</t>
        </r>
        <r>
          <rPr>
            <sz val="8"/>
            <color indexed="81"/>
            <rFont val="Tahoma"/>
            <family val="2"/>
          </rPr>
          <t xml:space="preserve"> below.
</t>
        </r>
      </text>
    </comment>
    <comment ref="B4" authorId="0" shapeId="0">
      <text>
        <r>
          <rPr>
            <sz val="11"/>
            <color indexed="81"/>
            <rFont val="Symbol"/>
            <family val="1"/>
            <charset val="2"/>
          </rPr>
          <t>s</t>
        </r>
        <r>
          <rPr>
            <sz val="8"/>
            <color indexed="81"/>
            <rFont val="Tahoma"/>
            <family val="2"/>
          </rPr>
          <t xml:space="preserve">
</t>
        </r>
      </text>
    </comment>
    <comment ref="O4" authorId="0" shapeId="0">
      <text>
        <r>
          <rPr>
            <sz val="8"/>
            <color indexed="81"/>
            <rFont val="Tahoma"/>
            <family val="2"/>
          </rPr>
          <t>Mean of the current Group 1 sample</t>
        </r>
        <r>
          <rPr>
            <sz val="8"/>
            <color indexed="81"/>
            <rFont val="Tahoma"/>
            <family val="2"/>
          </rPr>
          <t xml:space="preserve">
</t>
        </r>
      </text>
    </comment>
    <comment ref="Q4" authorId="0" shapeId="0">
      <text>
        <r>
          <rPr>
            <sz val="8"/>
            <color indexed="81"/>
            <rFont val="Tahoma"/>
            <family val="2"/>
          </rPr>
          <t>Mean of the current Group 2 sample</t>
        </r>
        <r>
          <rPr>
            <sz val="8"/>
            <color indexed="81"/>
            <rFont val="Tahoma"/>
            <family val="2"/>
          </rPr>
          <t xml:space="preserve">
</t>
        </r>
      </text>
    </comment>
    <comment ref="AE4" authorId="0" shapeId="0">
      <text>
        <r>
          <rPr>
            <sz val="8"/>
            <color indexed="81"/>
            <rFont val="Tahoma"/>
            <family val="2"/>
          </rPr>
          <t xml:space="preserve">Display of Cohen's </t>
        </r>
        <r>
          <rPr>
            <i/>
            <sz val="9"/>
            <color indexed="81"/>
            <rFont val="Tahoma"/>
            <family val="2"/>
          </rPr>
          <t>d</t>
        </r>
        <r>
          <rPr>
            <sz val="8"/>
            <color indexed="81"/>
            <rFont val="Tahoma"/>
            <family val="2"/>
          </rPr>
          <t xml:space="preserve">, with its CI.
</t>
        </r>
        <r>
          <rPr>
            <i/>
            <sz val="9"/>
            <color indexed="81"/>
            <rFont val="Tahoma"/>
            <family val="2"/>
          </rPr>
          <t>d</t>
        </r>
        <r>
          <rPr>
            <sz val="8"/>
            <color indexed="81"/>
            <rFont val="Tahoma"/>
            <family val="2"/>
          </rPr>
          <t xml:space="preserve"> is calculated as: 
(</t>
        </r>
        <r>
          <rPr>
            <i/>
            <sz val="8"/>
            <color indexed="81"/>
            <rFont val="Tahoma"/>
            <family val="2"/>
          </rPr>
          <t>M</t>
        </r>
        <r>
          <rPr>
            <vertAlign val="subscript"/>
            <sz val="9"/>
            <color indexed="81"/>
            <rFont val="Tahoma"/>
            <family val="2"/>
          </rPr>
          <t>2</t>
        </r>
        <r>
          <rPr>
            <sz val="8"/>
            <color indexed="81"/>
            <rFont val="Tahoma"/>
            <family val="2"/>
          </rPr>
          <t xml:space="preserve"> - </t>
        </r>
        <r>
          <rPr>
            <i/>
            <sz val="8"/>
            <color indexed="81"/>
            <rFont val="Tahoma"/>
            <family val="2"/>
          </rPr>
          <t>M</t>
        </r>
        <r>
          <rPr>
            <vertAlign val="subscript"/>
            <sz val="9"/>
            <color indexed="81"/>
            <rFont val="Tahoma"/>
            <family val="2"/>
          </rPr>
          <t>1</t>
        </r>
        <r>
          <rPr>
            <sz val="8"/>
            <color indexed="81"/>
            <rFont val="Tahoma"/>
            <family val="2"/>
          </rPr>
          <t>)/(pooled SD within groups)</t>
        </r>
      </text>
    </comment>
    <comment ref="B5" authorId="0" shapeId="0">
      <text>
        <r>
          <rPr>
            <sz val="11"/>
            <color indexed="81"/>
            <rFont val="Symbol"/>
            <family val="1"/>
            <charset val="2"/>
          </rPr>
          <t>m</t>
        </r>
        <r>
          <rPr>
            <i/>
            <sz val="9"/>
            <color indexed="81"/>
            <rFont val="Tahoma"/>
            <family val="2"/>
          </rPr>
          <t>1</t>
        </r>
        <r>
          <rPr>
            <sz val="8"/>
            <color indexed="81"/>
            <rFont val="Tahoma"/>
            <family val="2"/>
          </rPr>
          <t xml:space="preserve">
</t>
        </r>
      </text>
    </comment>
    <comment ref="O5" authorId="0" shapeId="0">
      <text>
        <r>
          <rPr>
            <sz val="8"/>
            <color indexed="81"/>
            <rFont val="Tahoma"/>
            <family val="2"/>
          </rPr>
          <t>Standard deviation of the current Group 1 sample</t>
        </r>
        <r>
          <rPr>
            <sz val="8"/>
            <color indexed="81"/>
            <rFont val="Tahoma"/>
            <family val="2"/>
          </rPr>
          <t xml:space="preserve">
</t>
        </r>
      </text>
    </comment>
    <comment ref="Q5" authorId="0" shapeId="0">
      <text>
        <r>
          <rPr>
            <sz val="8"/>
            <color indexed="81"/>
            <rFont val="Tahoma"/>
            <family val="2"/>
          </rPr>
          <t>Standard deviation of the current Group 2 sample</t>
        </r>
        <r>
          <rPr>
            <sz val="8"/>
            <color indexed="81"/>
            <rFont val="Tahoma"/>
            <family val="2"/>
          </rPr>
          <t xml:space="preserve">
</t>
        </r>
      </text>
    </comment>
    <comment ref="B6" authorId="0" shapeId="0">
      <text>
        <r>
          <rPr>
            <i/>
            <sz val="9"/>
            <color indexed="81"/>
            <rFont val="Tahoma"/>
            <family val="2"/>
          </rPr>
          <t>N2</t>
        </r>
        <r>
          <rPr>
            <sz val="8"/>
            <color indexed="81"/>
            <rFont val="Tahoma"/>
            <family val="2"/>
          </rPr>
          <t xml:space="preserve">
</t>
        </r>
      </text>
    </comment>
    <comment ref="H6" authorId="0" shapeId="0">
      <text>
        <r>
          <rPr>
            <sz val="8"/>
            <color indexed="81"/>
            <rFont val="Tahoma"/>
            <family val="2"/>
          </rPr>
          <t>Click to take another two independent, random samples from the two populations.  
_______________
After changing any setting, click again to take another two samples.</t>
        </r>
      </text>
    </comment>
    <comment ref="K6" authorId="0" shapeId="0">
      <text>
        <r>
          <rPr>
            <sz val="8"/>
            <color indexed="81"/>
            <rFont val="Tahoma"/>
            <family val="2"/>
          </rPr>
          <t>Click to start and stop repeated sampling.</t>
        </r>
        <r>
          <rPr>
            <sz val="8"/>
            <color indexed="81"/>
            <rFont val="Tahoma"/>
            <family val="2"/>
          </rPr>
          <t xml:space="preserve">
</t>
        </r>
      </text>
    </comment>
    <comment ref="O6" authorId="0" shapeId="0">
      <text>
        <r>
          <rPr>
            <i/>
            <sz val="8"/>
            <color indexed="81"/>
            <rFont val="Tahoma"/>
            <family val="2"/>
          </rPr>
          <t>MOE</t>
        </r>
        <r>
          <rPr>
            <sz val="8"/>
            <color indexed="81"/>
            <rFont val="Tahoma"/>
            <family val="2"/>
          </rPr>
          <t xml:space="preserve"> of the confidence interval (CI) for mean of the first population, calculated using the current Group 1 sample.  (A CI has total width 2</t>
        </r>
        <r>
          <rPr>
            <i/>
            <sz val="8"/>
            <color indexed="81"/>
            <rFont val="Tahoma"/>
            <family val="2"/>
          </rPr>
          <t>MOE</t>
        </r>
        <r>
          <rPr>
            <sz val="8"/>
            <color indexed="81"/>
            <rFont val="Tahoma"/>
            <family val="2"/>
          </rPr>
          <t>)</t>
        </r>
        <r>
          <rPr>
            <sz val="8"/>
            <color indexed="81"/>
            <rFont val="Tahoma"/>
            <family val="2"/>
          </rPr>
          <t xml:space="preserve">
</t>
        </r>
      </text>
    </comment>
    <comment ref="Q6" authorId="0" shapeId="0">
      <text>
        <r>
          <rPr>
            <i/>
            <sz val="8"/>
            <color indexed="81"/>
            <rFont val="Tahoma"/>
            <family val="2"/>
          </rPr>
          <t>MOE</t>
        </r>
        <r>
          <rPr>
            <sz val="8"/>
            <color indexed="81"/>
            <rFont val="Tahoma"/>
            <family val="2"/>
          </rPr>
          <t xml:space="preserve"> of the confidence interval (CI) for mean of the second population, calculated using the current Group 2 sample.  (A CI has total width 2</t>
        </r>
        <r>
          <rPr>
            <i/>
            <sz val="8"/>
            <color indexed="81"/>
            <rFont val="Tahoma"/>
            <family val="2"/>
          </rPr>
          <t>MOE</t>
        </r>
        <r>
          <rPr>
            <sz val="8"/>
            <color indexed="81"/>
            <rFont val="Tahoma"/>
            <family val="2"/>
          </rPr>
          <t>)</t>
        </r>
        <r>
          <rPr>
            <sz val="8"/>
            <color indexed="81"/>
            <rFont val="Tahoma"/>
            <family val="2"/>
          </rPr>
          <t xml:space="preserve">
</t>
        </r>
      </text>
    </comment>
    <comment ref="L7" authorId="0" shapeId="0">
      <text>
        <r>
          <rPr>
            <sz val="8"/>
            <color indexed="81"/>
            <rFont val="Tahoma"/>
            <family val="2"/>
          </rPr>
          <t>Click spinner to change the sampling speed.  Max = 20</t>
        </r>
        <r>
          <rPr>
            <sz val="8"/>
            <color indexed="81"/>
            <rFont val="Tahoma"/>
            <family val="2"/>
          </rPr>
          <t xml:space="preserve">
</t>
        </r>
      </text>
    </comment>
    <comment ref="P7" authorId="0" shapeId="0">
      <text>
        <r>
          <rPr>
            <sz val="8"/>
            <color indexed="81"/>
            <rFont val="Tahoma"/>
            <family val="2"/>
          </rPr>
          <t xml:space="preserve">Mean of </t>
        </r>
        <r>
          <rPr>
            <i/>
            <sz val="8"/>
            <color indexed="81"/>
            <rFont val="Tahoma"/>
            <family val="2"/>
          </rPr>
          <t>MOE</t>
        </r>
        <r>
          <rPr>
            <vertAlign val="subscript"/>
            <sz val="10"/>
            <color indexed="81"/>
            <rFont val="Tahoma"/>
            <family val="2"/>
          </rPr>
          <t>1</t>
        </r>
        <r>
          <rPr>
            <sz val="8"/>
            <color indexed="81"/>
            <rFont val="Tahoma"/>
            <family val="2"/>
          </rPr>
          <t xml:space="preserve"> and </t>
        </r>
        <r>
          <rPr>
            <i/>
            <sz val="8"/>
            <color indexed="81"/>
            <rFont val="Tahoma"/>
            <family val="2"/>
          </rPr>
          <t>MOE</t>
        </r>
        <r>
          <rPr>
            <vertAlign val="subscript"/>
            <sz val="10"/>
            <color indexed="81"/>
            <rFont val="Tahoma"/>
            <family val="2"/>
          </rPr>
          <t>2</t>
        </r>
        <r>
          <rPr>
            <sz val="8"/>
            <color indexed="81"/>
            <rFont val="Tahoma"/>
            <family val="2"/>
          </rPr>
          <t xml:space="preserve">
</t>
        </r>
      </text>
    </comment>
    <comment ref="AG7" authorId="0" shapeId="0">
      <text>
        <r>
          <rPr>
            <sz val="8"/>
            <color indexed="81"/>
            <rFont val="Tahoma"/>
            <family val="2"/>
          </rPr>
          <t xml:space="preserve">CIs are calculated using noncentral </t>
        </r>
        <r>
          <rPr>
            <i/>
            <sz val="9"/>
            <color indexed="81"/>
            <rFont val="Tahoma"/>
            <family val="2"/>
          </rPr>
          <t>t</t>
        </r>
        <r>
          <rPr>
            <sz val="8"/>
            <color indexed="81"/>
            <rFont val="Tahoma"/>
            <family val="2"/>
          </rPr>
          <t xml:space="preserve">, when an experiment is taken.  
If </t>
        </r>
        <r>
          <rPr>
            <i/>
            <sz val="8"/>
            <color indexed="81"/>
            <rFont val="Tahoma"/>
            <family val="2"/>
          </rPr>
          <t>C</t>
        </r>
        <r>
          <rPr>
            <sz val="8"/>
            <color indexed="81"/>
            <rFont val="Tahoma"/>
            <family val="2"/>
          </rPr>
          <t xml:space="preserve"> is changed, new calculations are required, so no CI is displayed until another experiment is taken.
To calculate a CI, </t>
        </r>
        <r>
          <rPr>
            <i/>
            <sz val="9"/>
            <color indexed="81"/>
            <rFont val="Tahoma"/>
            <family val="2"/>
          </rPr>
          <t>d</t>
        </r>
        <r>
          <rPr>
            <sz val="8"/>
            <color indexed="81"/>
            <rFont val="Tahoma"/>
            <family val="2"/>
          </rPr>
          <t xml:space="preserve"> must lie between -10 and +10.</t>
        </r>
        <r>
          <rPr>
            <sz val="10"/>
            <color indexed="81"/>
            <rFont val="Tahoma"/>
            <family val="2"/>
          </rPr>
          <t xml:space="preserve">
</t>
        </r>
      </text>
    </comment>
    <comment ref="O8" authorId="0" shapeId="0">
      <text>
        <r>
          <rPr>
            <sz val="8"/>
            <color indexed="81"/>
            <rFont val="Tahoma"/>
            <family val="2"/>
          </rPr>
          <t xml:space="preserve">CI overlap, or gap, in units of the mean </t>
        </r>
        <r>
          <rPr>
            <i/>
            <sz val="8"/>
            <color indexed="81"/>
            <rFont val="Tahoma"/>
            <family val="2"/>
          </rPr>
          <t>MOE</t>
        </r>
        <r>
          <rPr>
            <sz val="8"/>
            <color indexed="81"/>
            <rFont val="Tahoma"/>
            <family val="2"/>
          </rPr>
          <t xml:space="preserve">  </t>
        </r>
      </text>
    </comment>
    <comment ref="AP8" authorId="0" shapeId="0">
      <text>
        <r>
          <rPr>
            <sz val="8"/>
            <color indexed="81"/>
            <rFont val="Tahoma"/>
            <family val="2"/>
          </rPr>
          <t xml:space="preserve">Click to display Cohen's </t>
        </r>
        <r>
          <rPr>
            <i/>
            <sz val="9"/>
            <color indexed="81"/>
            <rFont val="Tahoma"/>
            <family val="2"/>
          </rPr>
          <t>d</t>
        </r>
        <r>
          <rPr>
            <sz val="8"/>
            <color indexed="81"/>
            <rFont val="Tahoma"/>
            <family val="2"/>
          </rPr>
          <t xml:space="preserve">, with its CI.
</t>
        </r>
      </text>
    </comment>
    <comment ref="P9" authorId="0" shapeId="0">
      <text>
        <r>
          <rPr>
            <sz val="8"/>
            <color indexed="81"/>
            <rFont val="Tahoma"/>
            <family val="2"/>
          </rPr>
          <t xml:space="preserve">The difference between the two sample means, </t>
        </r>
        <r>
          <rPr>
            <i/>
            <sz val="8"/>
            <color indexed="81"/>
            <rFont val="Tahoma"/>
            <family val="2"/>
          </rPr>
          <t>M</t>
        </r>
        <r>
          <rPr>
            <vertAlign val="subscript"/>
            <sz val="10"/>
            <color indexed="81"/>
            <rFont val="Tahoma"/>
            <family val="2"/>
          </rPr>
          <t xml:space="preserve">2 </t>
        </r>
        <r>
          <rPr>
            <i/>
            <sz val="8"/>
            <color indexed="81"/>
            <rFont val="Tahoma"/>
            <family val="2"/>
          </rPr>
          <t>- M</t>
        </r>
        <r>
          <rPr>
            <vertAlign val="subscript"/>
            <sz val="10"/>
            <color indexed="81"/>
            <rFont val="Tahoma"/>
            <family val="2"/>
          </rPr>
          <t>1</t>
        </r>
        <r>
          <rPr>
            <sz val="8"/>
            <color indexed="81"/>
            <rFont val="Tahoma"/>
            <family val="2"/>
          </rPr>
          <t>, in original units</t>
        </r>
        <r>
          <rPr>
            <sz val="8"/>
            <color indexed="81"/>
            <rFont val="Tahoma"/>
            <family val="2"/>
          </rPr>
          <t xml:space="preserve">
</t>
        </r>
      </text>
    </comment>
    <comment ref="F10" authorId="0" shapeId="0">
      <text>
        <r>
          <rPr>
            <sz val="8"/>
            <color indexed="81"/>
            <rFont val="Tahoma"/>
            <family val="2"/>
          </rPr>
          <t>Set the two sample sizes</t>
        </r>
        <r>
          <rPr>
            <sz val="8"/>
            <color indexed="81"/>
            <rFont val="Tahoma"/>
            <family val="2"/>
          </rPr>
          <t xml:space="preserve">
</t>
        </r>
      </text>
    </comment>
    <comment ref="P10" authorId="0" shapeId="0">
      <text>
        <r>
          <rPr>
            <sz val="8"/>
            <color indexed="81"/>
            <rFont val="Tahoma"/>
            <family val="2"/>
          </rPr>
          <t xml:space="preserve">Pooled SD within groups. 
Homogeneity of variance is assumed. </t>
        </r>
        <r>
          <rPr>
            <sz val="8"/>
            <color indexed="81"/>
            <rFont val="Tahoma"/>
            <family val="2"/>
          </rPr>
          <t xml:space="preserve">
</t>
        </r>
      </text>
    </comment>
    <comment ref="AE10" authorId="0" shapeId="0">
      <text>
        <r>
          <rPr>
            <sz val="8"/>
            <color indexed="81"/>
            <rFont val="Tahoma"/>
            <family val="2"/>
          </rPr>
          <t xml:space="preserve">Average arm length of the CI for </t>
        </r>
        <r>
          <rPr>
            <sz val="11"/>
            <color indexed="81"/>
            <rFont val="Symbol"/>
            <family val="1"/>
            <charset val="2"/>
          </rPr>
          <t>d</t>
        </r>
        <r>
          <rPr>
            <sz val="8"/>
            <color indexed="81"/>
            <rFont val="Tahoma"/>
            <family val="2"/>
          </rPr>
          <t>.  This is our measure of precision.</t>
        </r>
        <r>
          <rPr>
            <sz val="10"/>
            <color indexed="81"/>
            <rFont val="Tahoma"/>
            <family val="2"/>
          </rPr>
          <t xml:space="preserve">
</t>
        </r>
      </text>
    </comment>
    <comment ref="H11" authorId="0" shapeId="0">
      <text>
        <r>
          <rPr>
            <sz val="8"/>
            <color indexed="81"/>
            <rFont val="Tahoma"/>
            <family val="2"/>
          </rPr>
          <t>Use the spinner, or type in the size for Group 1. Min 2, max 100.</t>
        </r>
        <r>
          <rPr>
            <sz val="8"/>
            <color indexed="81"/>
            <rFont val="Tahoma"/>
            <family val="2"/>
          </rPr>
          <t xml:space="preserve">
</t>
        </r>
      </text>
    </comment>
    <comment ref="K11" authorId="0" shapeId="0">
      <text>
        <r>
          <rPr>
            <sz val="8"/>
            <color indexed="81"/>
            <rFont val="Tahoma"/>
            <family val="2"/>
          </rPr>
          <t>Use the spinner, or type in the size for Group 2. Min 2, max 100.</t>
        </r>
        <r>
          <rPr>
            <sz val="8"/>
            <color indexed="81"/>
            <rFont val="Tahoma"/>
            <family val="2"/>
          </rPr>
          <t xml:space="preserve">
</t>
        </r>
      </text>
    </comment>
    <comment ref="P11" authorId="0" shapeId="0">
      <text>
        <r>
          <rPr>
            <sz val="8"/>
            <color indexed="81"/>
            <rFont val="Tahoma"/>
            <family val="2"/>
          </rPr>
          <t xml:space="preserve">Value of independent groups </t>
        </r>
        <r>
          <rPr>
            <i/>
            <sz val="8"/>
            <color indexed="81"/>
            <rFont val="Tahoma"/>
            <family val="2"/>
          </rPr>
          <t>t</t>
        </r>
        <r>
          <rPr>
            <sz val="8"/>
            <color indexed="81"/>
            <rFont val="Tahoma"/>
            <family val="2"/>
          </rPr>
          <t xml:space="preserve">, to test the null hypothesis of no difference between the two population means. 
Homogeneity of variance is assumed. </t>
        </r>
        <r>
          <rPr>
            <sz val="8"/>
            <color indexed="81"/>
            <rFont val="Tahoma"/>
            <family val="2"/>
          </rPr>
          <t xml:space="preserve">
</t>
        </r>
      </text>
    </comment>
    <comment ref="P12" authorId="0" shapeId="0">
      <text>
        <r>
          <rPr>
            <sz val="8"/>
            <color indexed="81"/>
            <rFont val="Tahoma"/>
            <family val="2"/>
          </rPr>
          <t xml:space="preserve">The two-tailed </t>
        </r>
        <r>
          <rPr>
            <i/>
            <sz val="8"/>
            <color indexed="81"/>
            <rFont val="Tahoma"/>
            <family val="2"/>
          </rPr>
          <t>p</t>
        </r>
        <r>
          <rPr>
            <sz val="8"/>
            <color indexed="81"/>
            <rFont val="Tahoma"/>
            <family val="2"/>
          </rPr>
          <t xml:space="preserve"> value for testing the null hypothesis of no difference between the two population means.  Homogeneity of variance is assumed. </t>
        </r>
        <r>
          <rPr>
            <sz val="9"/>
            <color indexed="81"/>
            <rFont val="Tahoma"/>
            <family val="2"/>
          </rPr>
          <t xml:space="preserve">  </t>
        </r>
        <r>
          <rPr>
            <sz val="8"/>
            <color indexed="81"/>
            <rFont val="Tahoma"/>
            <family val="2"/>
          </rPr>
          <t xml:space="preserve">
</t>
        </r>
      </text>
    </comment>
    <comment ref="S12" authorId="0" shapeId="0">
      <text>
        <r>
          <rPr>
            <sz val="8"/>
            <color indexed="81"/>
            <rFont val="Tahoma"/>
            <family val="2"/>
          </rPr>
          <t xml:space="preserve">degrees of freedom
</t>
        </r>
      </text>
    </comment>
    <comment ref="AE12" authorId="0" shapeId="0">
      <text>
        <r>
          <rPr>
            <sz val="8"/>
            <color indexed="81"/>
            <rFont val="Tahoma"/>
            <family val="2"/>
          </rPr>
          <t xml:space="preserve">When Cohen's </t>
        </r>
        <r>
          <rPr>
            <i/>
            <sz val="9"/>
            <color indexed="81"/>
            <rFont val="Tahoma"/>
            <family val="2"/>
          </rPr>
          <t>d</t>
        </r>
        <r>
          <rPr>
            <sz val="8"/>
            <color indexed="81"/>
            <rFont val="Tahoma"/>
            <family val="2"/>
          </rPr>
          <t xml:space="preserve"> is shown above, show here </t>
        </r>
        <r>
          <rPr>
            <i/>
            <sz val="9"/>
            <color indexed="81"/>
            <rFont val="Tahoma"/>
            <family val="2"/>
          </rPr>
          <t>d</t>
        </r>
        <r>
          <rPr>
            <vertAlign val="subscript"/>
            <sz val="10"/>
            <color indexed="81"/>
            <rFont val="Tahoma"/>
            <family val="2"/>
          </rPr>
          <t>unb</t>
        </r>
        <r>
          <rPr>
            <sz val="8"/>
            <color indexed="81"/>
            <rFont val="Tahoma"/>
            <family val="2"/>
          </rPr>
          <t xml:space="preserve">, which is calculated from </t>
        </r>
        <r>
          <rPr>
            <i/>
            <sz val="9"/>
            <color indexed="81"/>
            <rFont val="Tahoma"/>
            <family val="2"/>
          </rPr>
          <t>d</t>
        </r>
        <r>
          <rPr>
            <sz val="8"/>
            <color indexed="81"/>
            <rFont val="Tahoma"/>
            <family val="2"/>
          </rPr>
          <t xml:space="preserve"> to be 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 ref="F13" authorId="0" shapeId="0">
      <text>
        <r>
          <rPr>
            <sz val="8"/>
            <color indexed="81"/>
            <rFont val="Tahoma"/>
            <family val="2"/>
          </rPr>
          <t>Set basic features of the display</t>
        </r>
        <r>
          <rPr>
            <sz val="8"/>
            <color indexed="81"/>
            <rFont val="Tahoma"/>
            <family val="2"/>
          </rPr>
          <t xml:space="preserve">
</t>
        </r>
      </text>
    </comment>
    <comment ref="P14" authorId="0" shapeId="0">
      <text>
        <r>
          <rPr>
            <sz val="8"/>
            <color indexed="81"/>
            <rFont val="Tahoma"/>
            <family val="2"/>
          </rPr>
          <t>Data: the current Group 1 sample</t>
        </r>
        <r>
          <rPr>
            <sz val="8"/>
            <color indexed="81"/>
            <rFont val="Tahoma"/>
            <family val="2"/>
          </rPr>
          <t xml:space="preserve">
</t>
        </r>
      </text>
    </comment>
    <comment ref="R14" authorId="0" shapeId="0">
      <text>
        <r>
          <rPr>
            <sz val="8"/>
            <color indexed="81"/>
            <rFont val="Tahoma"/>
            <family val="2"/>
          </rPr>
          <t>Type in names for the two groups, and below for the units</t>
        </r>
        <r>
          <rPr>
            <sz val="8"/>
            <color indexed="81"/>
            <rFont val="Tahoma"/>
            <family val="2"/>
          </rPr>
          <t xml:space="preserve">
</t>
        </r>
      </text>
    </comment>
    <comment ref="S14" authorId="0" shapeId="0">
      <text>
        <r>
          <rPr>
            <sz val="8"/>
            <color indexed="81"/>
            <rFont val="Tahoma"/>
            <family val="2"/>
          </rPr>
          <t>Data: the current Group 2 sample</t>
        </r>
        <r>
          <rPr>
            <sz val="8"/>
            <color indexed="81"/>
            <rFont val="Tahoma"/>
            <family val="2"/>
          </rPr>
          <t xml:space="preserve">
</t>
        </r>
      </text>
    </comment>
    <comment ref="AC14" authorId="0" shapeId="0">
      <text>
        <r>
          <rPr>
            <sz val="8"/>
            <color indexed="81"/>
            <rFont val="Tahoma"/>
            <family val="2"/>
          </rPr>
          <t xml:space="preserve">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 ref="J15" authorId="0" shapeId="0">
      <text>
        <r>
          <rPr>
            <sz val="8"/>
            <color indexed="81"/>
            <rFont val="Tahoma"/>
            <family val="2"/>
          </rPr>
          <t xml:space="preserve">Mark values of data points with small blue circles
</t>
        </r>
      </text>
    </comment>
    <comment ref="P15" authorId="0" shapeId="0">
      <text>
        <r>
          <rPr>
            <sz val="8"/>
            <color indexed="81"/>
            <rFont val="Tahoma"/>
            <family val="2"/>
          </rPr>
          <t xml:space="preserve">Type a brief label for Group 1, to appear at bottom of the figure
</t>
        </r>
      </text>
    </comment>
    <comment ref="S15" authorId="0" shapeId="0">
      <text>
        <r>
          <rPr>
            <sz val="8"/>
            <color indexed="81"/>
            <rFont val="Tahoma"/>
            <family val="2"/>
          </rPr>
          <t xml:space="preserve">Type a brief label for Group 2, to appear at bottom of the figure
</t>
        </r>
      </text>
    </comment>
    <comment ref="F16" authorId="0" shapeId="0">
      <text>
        <r>
          <rPr>
            <sz val="8"/>
            <color indexed="81"/>
            <rFont val="Tahoma"/>
            <family val="2"/>
          </rPr>
          <t>Choose display format for sample means</t>
        </r>
        <r>
          <rPr>
            <sz val="8"/>
            <color indexed="81"/>
            <rFont val="Tahoma"/>
            <family val="2"/>
          </rPr>
          <t xml:space="preserve">
</t>
        </r>
      </text>
    </comment>
    <comment ref="Q16" authorId="0" shapeId="0">
      <text>
        <r>
          <rPr>
            <sz val="8"/>
            <color indexed="81"/>
            <rFont val="Tahoma"/>
            <family val="2"/>
          </rPr>
          <t xml:space="preserve">The original units of measurement, e.g., cm, $
</t>
        </r>
      </text>
    </comment>
    <comment ref="L19" authorId="0" shapeId="0">
      <text>
        <r>
          <rPr>
            <sz val="8"/>
            <color indexed="81"/>
            <rFont val="Tahoma"/>
            <family val="2"/>
          </rPr>
          <t>Mark the difference with a vertical pink line.  This is the effect size, in original units.</t>
        </r>
        <r>
          <rPr>
            <sz val="8"/>
            <color indexed="81"/>
            <rFont val="Tahoma"/>
            <family val="2"/>
          </rPr>
          <t xml:space="preserve">
</t>
        </r>
      </text>
    </comment>
    <comment ref="F20" authorId="0" shapeId="0">
      <text>
        <r>
          <rPr>
            <sz val="8"/>
            <color indexed="81"/>
            <rFont val="Tahoma"/>
            <family val="2"/>
          </rPr>
          <t>Choose CI features to display</t>
        </r>
        <r>
          <rPr>
            <sz val="8"/>
            <color indexed="81"/>
            <rFont val="Tahoma"/>
            <family val="2"/>
          </rPr>
          <t xml:space="preserve">
</t>
        </r>
      </text>
    </comment>
    <comment ref="K21" authorId="0" shapeId="0">
      <text>
        <r>
          <rPr>
            <sz val="8"/>
            <color indexed="81"/>
            <rFont val="Tahoma"/>
            <family val="2"/>
          </rPr>
          <t>Confidence level (%) for CIs.  Use the spinner or type in a value.  Min 0, max 99.9.</t>
        </r>
        <r>
          <rPr>
            <sz val="8"/>
            <color indexed="81"/>
            <rFont val="Tahoma"/>
            <family val="2"/>
          </rPr>
          <t xml:space="preserve">
</t>
        </r>
      </text>
    </comment>
    <comment ref="K23" authorId="0" shapeId="0">
      <text>
        <r>
          <rPr>
            <sz val="8"/>
            <color indexed="81"/>
            <rFont val="Tahoma"/>
            <family val="2"/>
          </rPr>
          <t>Display grey horizontal lines to mark overlap of CIs</t>
        </r>
        <r>
          <rPr>
            <sz val="8"/>
            <color indexed="81"/>
            <rFont val="Tahoma"/>
            <family val="2"/>
          </rPr>
          <t xml:space="preserve">
</t>
        </r>
      </text>
    </comment>
    <comment ref="F24" authorId="0" shapeId="0">
      <text>
        <r>
          <rPr>
            <sz val="8"/>
            <color indexed="81"/>
            <rFont val="Tahoma"/>
            <family val="2"/>
          </rPr>
          <t>Control aspects of the two populations from which samples are drawn</t>
        </r>
        <r>
          <rPr>
            <sz val="8"/>
            <color indexed="81"/>
            <rFont val="Tahoma"/>
            <family val="2"/>
          </rPr>
          <t xml:space="preserve">
</t>
        </r>
      </text>
    </comment>
    <comment ref="I24" authorId="0" shapeId="0">
      <text>
        <r>
          <rPr>
            <sz val="8"/>
            <color indexed="81"/>
            <rFont val="Tahoma"/>
            <family val="2"/>
          </rPr>
          <t>The two populations are assumed to have normal distributions.</t>
        </r>
        <r>
          <rPr>
            <sz val="8"/>
            <color indexed="81"/>
            <rFont val="Tahoma"/>
            <family val="2"/>
          </rPr>
          <t xml:space="preserve">
</t>
        </r>
      </text>
    </comment>
    <comment ref="AP24" authorId="0" shapeId="0">
      <text>
        <r>
          <rPr>
            <sz val="8"/>
            <color indexed="81"/>
            <rFont val="Tahoma"/>
            <family val="2"/>
          </rPr>
          <t xml:space="preserve">Click to display power, at </t>
        </r>
        <r>
          <rPr>
            <b/>
            <sz val="9"/>
            <color indexed="10"/>
            <rFont val="Tahoma"/>
            <family val="2"/>
          </rPr>
          <t>13</t>
        </r>
        <r>
          <rPr>
            <sz val="8"/>
            <color indexed="81"/>
            <rFont val="Tahoma"/>
            <family val="2"/>
          </rPr>
          <t xml:space="preserve">
</t>
        </r>
      </text>
    </comment>
    <comment ref="H27" authorId="0" shapeId="0">
      <text>
        <r>
          <rPr>
            <sz val="8"/>
            <color indexed="81"/>
            <rFont val="Tahoma"/>
            <family val="2"/>
          </rPr>
          <t xml:space="preserve">Min 10, max 90.  If any </t>
        </r>
        <r>
          <rPr>
            <sz val="11"/>
            <color indexed="81"/>
            <rFont val="Symbol"/>
            <family val="1"/>
            <charset val="2"/>
          </rPr>
          <t>m</t>
        </r>
        <r>
          <rPr>
            <sz val="8"/>
            <color indexed="81"/>
            <rFont val="Tahoma"/>
            <family val="2"/>
          </rPr>
          <t xml:space="preserve">, </t>
        </r>
        <r>
          <rPr>
            <sz val="10"/>
            <color indexed="81"/>
            <rFont val="Symbol"/>
            <family val="1"/>
            <charset val="2"/>
          </rPr>
          <t>s</t>
        </r>
        <r>
          <rPr>
            <sz val="8"/>
            <color indexed="81"/>
            <rFont val="Tahoma"/>
            <family val="2"/>
          </rPr>
          <t xml:space="preserve">, or </t>
        </r>
        <r>
          <rPr>
            <i/>
            <sz val="8"/>
            <color indexed="81"/>
            <rFont val="Tahoma"/>
            <family val="2"/>
          </rPr>
          <t>N</t>
        </r>
        <r>
          <rPr>
            <sz val="8"/>
            <color indexed="81"/>
            <rFont val="Tahoma"/>
            <family val="2"/>
          </rPr>
          <t xml:space="preserve"> is changed (or any of </t>
        </r>
        <r>
          <rPr>
            <sz val="11"/>
            <color indexed="81"/>
            <rFont val="Symbol"/>
            <family val="1"/>
            <charset val="2"/>
          </rPr>
          <t>m</t>
        </r>
        <r>
          <rPr>
            <sz val="8"/>
            <color indexed="81"/>
            <rFont val="Tahoma"/>
            <family val="2"/>
          </rPr>
          <t>,</t>
        </r>
        <r>
          <rPr>
            <sz val="8"/>
            <color indexed="81"/>
            <rFont val="Symbol"/>
            <family val="1"/>
            <charset val="2"/>
          </rPr>
          <t xml:space="preserve"> </t>
        </r>
        <r>
          <rPr>
            <sz val="10"/>
            <color indexed="81"/>
            <rFont val="Symbol"/>
            <family val="1"/>
            <charset val="2"/>
          </rPr>
          <t>s</t>
        </r>
        <r>
          <rPr>
            <sz val="8"/>
            <color indexed="81"/>
            <rFont val="Tahoma"/>
            <family val="2"/>
          </rPr>
          <t xml:space="preserve">, </t>
        </r>
        <r>
          <rPr>
            <i/>
            <sz val="8"/>
            <color indexed="81"/>
            <rFont val="Tahoma"/>
            <family val="2"/>
          </rPr>
          <t>N</t>
        </r>
        <r>
          <rPr>
            <sz val="8"/>
            <color indexed="81"/>
            <rFont val="Tahoma"/>
            <family val="2"/>
          </rPr>
          <t xml:space="preserve">, or </t>
        </r>
        <r>
          <rPr>
            <i/>
            <sz val="8"/>
            <color indexed="81"/>
            <rFont val="Tahoma"/>
            <family val="2"/>
          </rPr>
          <t>C</t>
        </r>
        <r>
          <rPr>
            <sz val="8"/>
            <color indexed="81"/>
            <rFont val="Tahoma"/>
            <family val="2"/>
          </rPr>
          <t xml:space="preserve"> is out of range) the displays disappear, until a new sample is taken (and all values are within range).</t>
        </r>
        <r>
          <rPr>
            <sz val="8"/>
            <color indexed="81"/>
            <rFont val="Tahoma"/>
            <family val="2"/>
          </rPr>
          <t xml:space="preserve">
</t>
        </r>
      </text>
    </comment>
    <comment ref="K27" authorId="0" shapeId="0">
      <text>
        <r>
          <rPr>
            <sz val="8"/>
            <color indexed="81"/>
            <rFont val="Tahoma"/>
            <family val="2"/>
          </rPr>
          <t>Min 10, max 90</t>
        </r>
        <r>
          <rPr>
            <sz val="8"/>
            <color indexed="81"/>
            <rFont val="Tahoma"/>
            <family val="2"/>
          </rPr>
          <t xml:space="preserve">
</t>
        </r>
      </text>
    </comment>
    <comment ref="I29" authorId="0" shapeId="0">
      <text>
        <r>
          <rPr>
            <sz val="8"/>
            <color indexed="81"/>
            <rFont val="Tahoma"/>
            <family val="2"/>
          </rPr>
          <t>Assumed the same for both populations.  Min 5, max 50.</t>
        </r>
        <r>
          <rPr>
            <sz val="8"/>
            <color indexed="81"/>
            <rFont val="Tahoma"/>
            <family val="2"/>
          </rPr>
          <t xml:space="preserve">
</t>
        </r>
      </text>
    </comment>
    <comment ref="L30" authorId="0" shapeId="0">
      <text>
        <r>
          <rPr>
            <sz val="8"/>
            <color indexed="81"/>
            <rFont val="Tahoma"/>
            <family val="2"/>
          </rPr>
          <t xml:space="preserve">The difference between the two population means, in units of </t>
        </r>
        <r>
          <rPr>
            <sz val="10"/>
            <color indexed="81"/>
            <rFont val="Symbol"/>
            <family val="1"/>
            <charset val="2"/>
          </rPr>
          <t>s</t>
        </r>
        <r>
          <rPr>
            <sz val="8"/>
            <color indexed="81"/>
            <rFont val="Tahoma"/>
            <family val="2"/>
          </rPr>
          <t xml:space="preserve">.
______________
This is the population standardised effect size, Cohen's </t>
        </r>
        <r>
          <rPr>
            <sz val="10"/>
            <color indexed="81"/>
            <rFont val="Symbol"/>
            <family val="1"/>
            <charset val="2"/>
          </rPr>
          <t>d</t>
        </r>
      </text>
    </comment>
    <comment ref="L31" authorId="0" shapeId="0">
      <text>
        <r>
          <rPr>
            <sz val="8"/>
            <color indexed="81"/>
            <rFont val="Tahoma"/>
            <family val="2"/>
          </rPr>
          <t xml:space="preserve">Red bars extend </t>
        </r>
        <r>
          <rPr>
            <sz val="10"/>
            <color indexed="81"/>
            <rFont val="Symbol"/>
            <family val="1"/>
            <charset val="2"/>
          </rPr>
          <t>s</t>
        </r>
        <r>
          <rPr>
            <sz val="8"/>
            <color indexed="81"/>
            <rFont val="Tahoma"/>
            <family val="2"/>
          </rPr>
          <t xml:space="preserve"> above, and </t>
        </r>
        <r>
          <rPr>
            <sz val="10"/>
            <color indexed="81"/>
            <rFont val="Symbol"/>
            <family val="1"/>
            <charset val="2"/>
          </rPr>
          <t>s</t>
        </r>
        <r>
          <rPr>
            <sz val="8"/>
            <color indexed="81"/>
            <rFont val="Tahoma"/>
            <family val="2"/>
          </rPr>
          <t xml:space="preserve"> below, each </t>
        </r>
        <r>
          <rPr>
            <sz val="11"/>
            <color indexed="81"/>
            <rFont val="Symbol"/>
            <family val="1"/>
            <charset val="2"/>
          </rPr>
          <t>m</t>
        </r>
      </text>
    </comment>
    <comment ref="F32" authorId="0" shapeId="0">
      <text>
        <r>
          <rPr>
            <sz val="8"/>
            <color indexed="81"/>
            <rFont val="Tahoma"/>
            <family val="2"/>
          </rPr>
          <t>See calculated values of statistical power, when population parameters are visible above</t>
        </r>
        <r>
          <rPr>
            <sz val="8"/>
            <color indexed="81"/>
            <rFont val="Tahoma"/>
            <family val="2"/>
          </rPr>
          <t xml:space="preserve">
</t>
        </r>
      </text>
    </comment>
    <comment ref="H33" authorId="0" shapeId="0">
      <text>
        <r>
          <rPr>
            <sz val="8"/>
            <color indexed="81"/>
            <rFont val="Tahoma"/>
            <family val="2"/>
          </rPr>
          <t xml:space="preserve">Calculate power using this value of </t>
        </r>
        <r>
          <rPr>
            <sz val="9"/>
            <color indexed="81"/>
            <rFont val="Symbol"/>
            <family val="1"/>
            <charset val="2"/>
          </rPr>
          <t>a</t>
        </r>
        <r>
          <rPr>
            <sz val="8"/>
            <color indexed="81"/>
            <rFont val="Tahoma"/>
            <family val="2"/>
          </rPr>
          <t xml:space="preserve">
_____________
</t>
        </r>
        <r>
          <rPr>
            <sz val="9"/>
            <color indexed="81"/>
            <rFont val="Symbol"/>
            <family val="1"/>
            <charset val="2"/>
          </rPr>
          <t>a</t>
        </r>
        <r>
          <rPr>
            <sz val="8"/>
            <color indexed="81"/>
            <rFont val="Tahoma"/>
            <family val="2"/>
          </rPr>
          <t xml:space="preserve"> is calculated from the </t>
        </r>
        <r>
          <rPr>
            <i/>
            <sz val="8"/>
            <color indexed="81"/>
            <rFont val="Tahoma"/>
            <family val="2"/>
          </rPr>
          <t>C</t>
        </r>
        <r>
          <rPr>
            <sz val="8"/>
            <color indexed="81"/>
            <rFont val="Tahoma"/>
            <family val="2"/>
          </rPr>
          <t xml:space="preserve"> chosen above, using
</t>
        </r>
        <r>
          <rPr>
            <sz val="9"/>
            <color indexed="81"/>
            <rFont val="Symbol"/>
            <family val="1"/>
            <charset val="2"/>
          </rPr>
          <t>a</t>
        </r>
        <r>
          <rPr>
            <sz val="8"/>
            <color indexed="81"/>
            <rFont val="Tahoma"/>
            <family val="2"/>
          </rPr>
          <t xml:space="preserve"> = 1 - </t>
        </r>
        <r>
          <rPr>
            <i/>
            <sz val="8"/>
            <color indexed="81"/>
            <rFont val="Tahoma"/>
            <family val="2"/>
          </rPr>
          <t>C</t>
        </r>
        <r>
          <rPr>
            <sz val="8"/>
            <color indexed="81"/>
            <rFont val="Tahoma"/>
            <family val="2"/>
          </rPr>
          <t>/100</t>
        </r>
        <r>
          <rPr>
            <sz val="10"/>
            <color indexed="81"/>
            <rFont val="Tahoma"/>
            <family val="2"/>
          </rPr>
          <t xml:space="preserve">
</t>
        </r>
      </text>
    </comment>
    <comment ref="L34" authorId="0" shapeId="0">
      <text>
        <r>
          <rPr>
            <sz val="8"/>
            <color indexed="81"/>
            <rFont val="Tahoma"/>
            <family val="2"/>
          </rPr>
          <t xml:space="preserve">Value of power is displayed when above value of population effect size </t>
        </r>
        <r>
          <rPr>
            <sz val="9"/>
            <color indexed="81"/>
            <rFont val="Symbol"/>
            <family val="1"/>
            <charset val="2"/>
          </rPr>
          <t>d</t>
        </r>
        <r>
          <rPr>
            <sz val="8"/>
            <color indexed="81"/>
            <rFont val="Tahoma"/>
            <family val="2"/>
          </rPr>
          <t xml:space="preserve"> is visible.  (Click at </t>
        </r>
        <r>
          <rPr>
            <b/>
            <sz val="9"/>
            <color indexed="10"/>
            <rFont val="Tahoma"/>
            <family val="2"/>
          </rPr>
          <t>7</t>
        </r>
        <r>
          <rPr>
            <sz val="8"/>
            <color indexed="81"/>
            <rFont val="Tahoma"/>
            <family val="2"/>
          </rPr>
          <t xml:space="preserve"> to show values of parameters.)  That value of </t>
        </r>
        <r>
          <rPr>
            <sz val="9"/>
            <color indexed="81"/>
            <rFont val="Symbol"/>
            <family val="1"/>
            <charset val="2"/>
          </rPr>
          <t>d</t>
        </r>
        <r>
          <rPr>
            <sz val="8"/>
            <color indexed="81"/>
            <rFont val="Tahoma"/>
            <family val="2"/>
          </rPr>
          <t xml:space="preserve"> is used as target </t>
        </r>
        <r>
          <rPr>
            <sz val="9"/>
            <color indexed="81"/>
            <rFont val="Symbol"/>
            <family val="1"/>
            <charset val="2"/>
          </rPr>
          <t>d</t>
        </r>
        <r>
          <rPr>
            <sz val="8"/>
            <color indexed="81"/>
            <rFont val="Tahoma"/>
            <family val="2"/>
          </rPr>
          <t xml:space="preserve"> for the power calculation, which also uses population SD </t>
        </r>
        <r>
          <rPr>
            <sz val="9"/>
            <color indexed="81"/>
            <rFont val="Symbol"/>
            <family val="1"/>
            <charset val="2"/>
          </rPr>
          <t>s</t>
        </r>
        <r>
          <rPr>
            <sz val="8"/>
            <color indexed="81"/>
            <rFont val="Tahoma"/>
            <family val="2"/>
          </rPr>
          <t xml:space="preserve">, assumed known, so it can use </t>
        </r>
        <r>
          <rPr>
            <i/>
            <sz val="9"/>
            <color indexed="81"/>
            <rFont val="Tahoma"/>
            <family val="2"/>
          </rPr>
          <t>z</t>
        </r>
        <r>
          <rPr>
            <sz val="8"/>
            <color indexed="81"/>
            <rFont val="Tahoma"/>
            <family val="2"/>
          </rPr>
          <t xml:space="preserve"> and a normal distribution.</t>
        </r>
        <r>
          <rPr>
            <sz val="10"/>
            <color indexed="81"/>
            <rFont val="Tahoma"/>
            <family val="2"/>
          </rPr>
          <t xml:space="preserve">
</t>
        </r>
      </text>
    </comment>
    <comment ref="L35" authorId="0" shapeId="0">
      <text>
        <r>
          <rPr>
            <sz val="8"/>
            <color indexed="81"/>
            <rFont val="Tahoma"/>
            <family val="2"/>
          </rPr>
          <t xml:space="preserve">When </t>
        </r>
        <r>
          <rPr>
            <i/>
            <sz val="9"/>
            <color indexed="81"/>
            <rFont val="Tahoma"/>
            <family val="2"/>
          </rPr>
          <t>d</t>
        </r>
        <r>
          <rPr>
            <sz val="8"/>
            <color indexed="81"/>
            <rFont val="Tahoma"/>
            <family val="2"/>
          </rPr>
          <t xml:space="preserve"> is visible (click at </t>
        </r>
        <r>
          <rPr>
            <b/>
            <sz val="9"/>
            <color indexed="10"/>
            <rFont val="Tahoma"/>
            <family val="2"/>
          </rPr>
          <t>11</t>
        </r>
        <r>
          <rPr>
            <sz val="8"/>
            <color indexed="81"/>
            <rFont val="Tahoma"/>
            <family val="2"/>
          </rPr>
          <t xml:space="preserve">) this value of power uses above value of </t>
        </r>
        <r>
          <rPr>
            <sz val="9"/>
            <color indexed="81"/>
            <rFont val="Symbol"/>
            <family val="1"/>
            <charset val="2"/>
          </rPr>
          <t>d</t>
        </r>
        <r>
          <rPr>
            <sz val="8"/>
            <color indexed="81"/>
            <rFont val="Tahoma"/>
            <family val="2"/>
          </rPr>
          <t xml:space="preserve"> as target </t>
        </r>
        <r>
          <rPr>
            <sz val="9"/>
            <color indexed="81"/>
            <rFont val="Symbol"/>
            <family val="1"/>
            <charset val="2"/>
          </rPr>
          <t>d</t>
        </r>
        <r>
          <rPr>
            <sz val="8"/>
            <color indexed="81"/>
            <rFont val="Tahoma"/>
            <family val="2"/>
          </rPr>
          <t xml:space="preserve">.  (Click at </t>
        </r>
        <r>
          <rPr>
            <b/>
            <sz val="9"/>
            <color indexed="10"/>
            <rFont val="Tahoma"/>
            <family val="2"/>
          </rPr>
          <t>7</t>
        </r>
        <r>
          <rPr>
            <sz val="8"/>
            <color indexed="81"/>
            <rFont val="Tahoma"/>
            <family val="2"/>
          </rPr>
          <t xml:space="preserve"> to show parameters, and </t>
        </r>
        <r>
          <rPr>
            <sz val="9"/>
            <color indexed="81"/>
            <rFont val="Symbol"/>
            <family val="1"/>
            <charset val="2"/>
          </rPr>
          <t>d</t>
        </r>
        <r>
          <rPr>
            <sz val="8"/>
            <color indexed="81"/>
            <rFont val="Tahoma"/>
            <family val="2"/>
          </rPr>
          <t xml:space="preserve">.)  The power calculation does </t>
        </r>
        <r>
          <rPr>
            <i/>
            <sz val="8"/>
            <color indexed="81"/>
            <rFont val="Tahoma"/>
            <family val="2"/>
          </rPr>
          <t>not</t>
        </r>
        <r>
          <rPr>
            <sz val="8"/>
            <color indexed="81"/>
            <rFont val="Tahoma"/>
            <family val="2"/>
          </rPr>
          <t xml:space="preserve"> assume </t>
        </r>
        <r>
          <rPr>
            <sz val="9"/>
            <color indexed="81"/>
            <rFont val="Symbol"/>
            <family val="1"/>
            <charset val="2"/>
          </rPr>
          <t>s</t>
        </r>
        <r>
          <rPr>
            <sz val="8"/>
            <color indexed="81"/>
            <rFont val="Tahoma"/>
            <family val="2"/>
          </rPr>
          <t xml:space="preserve"> is known, so uses </t>
        </r>
        <r>
          <rPr>
            <i/>
            <sz val="9"/>
            <color indexed="81"/>
            <rFont val="Tahoma"/>
            <family val="2"/>
          </rPr>
          <t xml:space="preserve">t </t>
        </r>
        <r>
          <rPr>
            <sz val="8"/>
            <color indexed="81"/>
            <rFont val="Tahoma"/>
            <family val="2"/>
          </rPr>
          <t xml:space="preserve">and a noncentral </t>
        </r>
        <r>
          <rPr>
            <i/>
            <sz val="9"/>
            <color indexed="81"/>
            <rFont val="Tahoma"/>
            <family val="2"/>
          </rPr>
          <t>t</t>
        </r>
        <r>
          <rPr>
            <sz val="8"/>
            <color indexed="81"/>
            <rFont val="Tahoma"/>
            <family val="2"/>
          </rPr>
          <t xml:space="preserve"> distribution.</t>
        </r>
        <r>
          <rPr>
            <sz val="10"/>
            <color indexed="81"/>
            <rFont val="Tahoma"/>
            <family val="2"/>
          </rPr>
          <t xml:space="preserve">
</t>
        </r>
      </text>
    </comment>
    <comment ref="J36" authorId="0" shapeId="0">
      <text>
        <r>
          <rPr>
            <sz val="8"/>
            <color indexed="81"/>
            <rFont val="Tahoma"/>
            <family val="2"/>
          </rPr>
          <t>Post hoc power should not be used.  It can be highly misleading.  Click  to show its value below right.</t>
        </r>
        <r>
          <rPr>
            <sz val="10"/>
            <color indexed="81"/>
            <rFont val="Tahoma"/>
            <family val="2"/>
          </rPr>
          <t xml:space="preserve">
</t>
        </r>
      </text>
    </comment>
    <comment ref="L37" authorId="0" shapeId="0">
      <text>
        <r>
          <rPr>
            <sz val="8"/>
            <color indexed="81"/>
            <rFont val="Tahoma"/>
            <family val="2"/>
          </rPr>
          <t xml:space="preserve">Post hoc power should not be used.  When </t>
        </r>
        <r>
          <rPr>
            <i/>
            <sz val="9"/>
            <color indexed="81"/>
            <rFont val="Tahoma"/>
            <family val="2"/>
          </rPr>
          <t>d</t>
        </r>
        <r>
          <rPr>
            <sz val="8"/>
            <color indexed="81"/>
            <rFont val="Tahoma"/>
            <family val="2"/>
          </rPr>
          <t xml:space="preserve"> is visible (click at </t>
        </r>
        <r>
          <rPr>
            <b/>
            <sz val="9"/>
            <color indexed="10"/>
            <rFont val="Tahoma"/>
            <family val="2"/>
          </rPr>
          <t>11</t>
        </r>
        <r>
          <rPr>
            <sz val="8"/>
            <color indexed="81"/>
            <rFont val="Tahoma"/>
            <family val="2"/>
          </rPr>
          <t xml:space="preserve">) post hoc power is calculated using the latest obtained </t>
        </r>
        <r>
          <rPr>
            <i/>
            <sz val="9"/>
            <color indexed="81"/>
            <rFont val="Tahoma"/>
            <family val="2"/>
          </rPr>
          <t>d</t>
        </r>
        <r>
          <rPr>
            <vertAlign val="subscript"/>
            <sz val="10"/>
            <color indexed="81"/>
            <rFont val="Tahoma"/>
            <family val="2"/>
          </rPr>
          <t>unb</t>
        </r>
        <r>
          <rPr>
            <sz val="8"/>
            <color indexed="81"/>
            <rFont val="Tahoma"/>
            <family val="2"/>
          </rPr>
          <t xml:space="preserve"> for </t>
        </r>
        <r>
          <rPr>
            <sz val="9"/>
            <color indexed="81"/>
            <rFont val="Symbol"/>
            <family val="1"/>
            <charset val="2"/>
          </rPr>
          <t>d</t>
        </r>
        <r>
          <rPr>
            <sz val="8"/>
            <color indexed="81"/>
            <rFont val="Tahoma"/>
            <family val="2"/>
          </rPr>
          <t xml:space="preserve">.
It does </t>
        </r>
        <r>
          <rPr>
            <i/>
            <sz val="8"/>
            <color indexed="81"/>
            <rFont val="Tahoma"/>
            <family val="2"/>
          </rPr>
          <t>not</t>
        </r>
        <r>
          <rPr>
            <sz val="8"/>
            <color indexed="81"/>
            <rFont val="Tahoma"/>
            <family val="2"/>
          </rPr>
          <t xml:space="preserve"> assume </t>
        </r>
        <r>
          <rPr>
            <sz val="9"/>
            <color indexed="81"/>
            <rFont val="Symbol"/>
            <family val="1"/>
            <charset val="2"/>
          </rPr>
          <t>s</t>
        </r>
        <r>
          <rPr>
            <sz val="8"/>
            <color indexed="81"/>
            <rFont val="Tahoma"/>
            <family val="2"/>
          </rPr>
          <t xml:space="preserve"> is known, so uses </t>
        </r>
        <r>
          <rPr>
            <i/>
            <sz val="9"/>
            <color indexed="81"/>
            <rFont val="Tahoma"/>
            <family val="2"/>
          </rPr>
          <t xml:space="preserve">t </t>
        </r>
        <r>
          <rPr>
            <sz val="8"/>
            <color indexed="81"/>
            <rFont val="Tahoma"/>
            <family val="2"/>
          </rPr>
          <t xml:space="preserve">and a noncentral </t>
        </r>
        <r>
          <rPr>
            <i/>
            <sz val="9"/>
            <color indexed="81"/>
            <rFont val="Tahoma"/>
            <family val="2"/>
          </rPr>
          <t>t</t>
        </r>
        <r>
          <rPr>
            <sz val="8"/>
            <color indexed="81"/>
            <rFont val="Tahoma"/>
            <family val="2"/>
          </rPr>
          <t xml:space="preserve"> distribution.</t>
        </r>
        <r>
          <rPr>
            <sz val="10"/>
            <color indexed="81"/>
            <rFont val="Tahoma"/>
            <family val="2"/>
          </rPr>
          <t xml:space="preserve">
</t>
        </r>
      </text>
    </comment>
  </commentList>
</comments>
</file>

<file path=xl/comments9.xml><?xml version="1.0" encoding="utf-8"?>
<comments xmlns="http://schemas.openxmlformats.org/spreadsheetml/2006/main">
  <authors>
    <author>Geoff Cumming</author>
  </authors>
  <commentList>
    <comment ref="P2" authorId="0" shapeId="0">
      <text>
        <r>
          <rPr>
            <sz val="8"/>
            <color indexed="81"/>
            <rFont val="Tahoma"/>
            <family val="2"/>
          </rPr>
          <t>Click to clear your data</t>
        </r>
        <r>
          <rPr>
            <sz val="8"/>
            <color indexed="81"/>
            <rFont val="Tahoma"/>
            <family val="2"/>
          </rPr>
          <t xml:space="preserve">
</t>
        </r>
      </text>
    </comment>
    <comment ref="E5" authorId="0" shapeId="0">
      <text>
        <r>
          <rPr>
            <sz val="8"/>
            <color indexed="81"/>
            <rFont val="Tahoma"/>
            <family val="2"/>
          </rPr>
          <t>Type in your pairs of data points.  Each pair comprises a value on Measure 1, and a value on Measure 2.
Press Enter after each value.  Max 1000 pairs.  
(To clear all data, click at</t>
        </r>
        <r>
          <rPr>
            <b/>
            <sz val="8"/>
            <color indexed="10"/>
            <rFont val="Tahoma"/>
            <family val="2"/>
          </rPr>
          <t xml:space="preserve"> </t>
        </r>
        <r>
          <rPr>
            <b/>
            <sz val="9"/>
            <color indexed="10"/>
            <rFont val="Arial"/>
            <family val="2"/>
          </rPr>
          <t>8</t>
        </r>
        <r>
          <rPr>
            <sz val="8"/>
            <color indexed="81"/>
            <rFont val="Tahoma"/>
            <family val="2"/>
          </rPr>
          <t xml:space="preserve">)
</t>
        </r>
      </text>
    </comment>
    <comment ref="J5" authorId="0" shapeId="0">
      <text>
        <r>
          <rPr>
            <sz val="8"/>
            <color indexed="81"/>
            <rFont val="Tahoma"/>
            <family val="2"/>
          </rPr>
          <t xml:space="preserve">The original units of measurement, e.g., cm, $
</t>
        </r>
      </text>
    </comment>
    <comment ref="K5" authorId="0" shapeId="0">
      <text>
        <r>
          <rPr>
            <sz val="8"/>
            <color indexed="81"/>
            <rFont val="Tahoma"/>
            <family val="2"/>
          </rPr>
          <t>Set basic features of the display</t>
        </r>
        <r>
          <rPr>
            <sz val="8"/>
            <color indexed="81"/>
            <rFont val="Tahoma"/>
            <family val="2"/>
          </rPr>
          <t xml:space="preserve">
</t>
        </r>
      </text>
    </comment>
    <comment ref="P5" authorId="0" shapeId="0">
      <text>
        <r>
          <rPr>
            <sz val="8"/>
            <color indexed="81"/>
            <rFont val="Tahoma"/>
            <family val="2"/>
          </rPr>
          <t xml:space="preserve">Mark values of differences with small pink triangles, against the differences axis
</t>
        </r>
      </text>
    </comment>
    <comment ref="I6" authorId="0" shapeId="0">
      <text>
        <r>
          <rPr>
            <sz val="8"/>
            <color indexed="81"/>
            <rFont val="Tahoma"/>
            <family val="2"/>
          </rPr>
          <t>The column below gives the calculated (Measure 2 - Measure 1) difference, for each pair</t>
        </r>
        <r>
          <rPr>
            <sz val="8"/>
            <color indexed="81"/>
            <rFont val="Tahoma"/>
            <family val="2"/>
          </rPr>
          <t xml:space="preserve">
</t>
        </r>
      </text>
    </comment>
    <comment ref="E7" authorId="0" shapeId="0">
      <text>
        <r>
          <rPr>
            <sz val="8"/>
            <color indexed="81"/>
            <rFont val="Tahoma"/>
            <family val="2"/>
          </rPr>
          <t xml:space="preserve">At right, type brief labels for the two measures, to appear at bottom of the figure
</t>
        </r>
      </text>
    </comment>
    <comment ref="F7" authorId="0" shapeId="0">
      <text>
        <r>
          <rPr>
            <sz val="8"/>
            <color indexed="81"/>
            <rFont val="Tahoma"/>
            <family val="2"/>
          </rPr>
          <t xml:space="preserve">Type brief label for Measure 1, to appear at bottom of the figure
</t>
        </r>
      </text>
    </comment>
    <comment ref="G7" authorId="0" shapeId="0">
      <text>
        <r>
          <rPr>
            <sz val="8"/>
            <color indexed="81"/>
            <rFont val="Tahoma"/>
            <family val="2"/>
          </rPr>
          <t xml:space="preserve">Type brief label for Measure 2, to appear at bottom of the figure
</t>
        </r>
      </text>
    </comment>
    <comment ref="I7" authorId="0" shapeId="0">
      <text>
        <r>
          <rPr>
            <sz val="8"/>
            <color indexed="81"/>
            <rFont val="Tahoma"/>
            <family val="2"/>
          </rPr>
          <t xml:space="preserve">Click any of the checkboxes below to highlight in the figure the corresponding pair and its difference.
---Only works when data pairs, and differences, are displayed in the figure.
(Click near </t>
        </r>
        <r>
          <rPr>
            <b/>
            <sz val="9"/>
            <color indexed="10"/>
            <rFont val="Tahoma"/>
            <family val="2"/>
          </rPr>
          <t>4</t>
        </r>
        <r>
          <rPr>
            <sz val="8"/>
            <color indexed="81"/>
            <rFont val="Tahoma"/>
            <family val="2"/>
          </rPr>
          <t xml:space="preserve"> for those.)
Only pairs 1, 3, 5, and 7 can be highlighted.  </t>
        </r>
        <r>
          <rPr>
            <sz val="8"/>
            <color indexed="81"/>
            <rFont val="Tahoma"/>
            <family val="2"/>
          </rPr>
          <t xml:space="preserve">
</t>
        </r>
      </text>
    </comment>
    <comment ref="J7" authorId="0" shapeId="0">
      <text>
        <r>
          <rPr>
            <sz val="8"/>
            <color indexed="81"/>
            <rFont val="Tahoma"/>
            <family val="2"/>
          </rPr>
          <t xml:space="preserve">Type units here
</t>
        </r>
      </text>
    </comment>
    <comment ref="M7" authorId="0" shapeId="0">
      <text>
        <r>
          <rPr>
            <sz val="8"/>
            <color indexed="81"/>
            <rFont val="Tahoma"/>
            <family val="2"/>
          </rPr>
          <t xml:space="preserve">Mark values of data points with small blue circles
</t>
        </r>
      </text>
    </comment>
    <comment ref="AL8" authorId="0" shapeId="0">
      <text>
        <r>
          <rPr>
            <sz val="8"/>
            <color indexed="81"/>
            <rFont val="Tahoma"/>
            <family val="2"/>
          </rPr>
          <t xml:space="preserve">Click to display Cohen's </t>
        </r>
        <r>
          <rPr>
            <i/>
            <sz val="9"/>
            <color indexed="81"/>
            <rFont val="Tahoma"/>
            <family val="2"/>
          </rPr>
          <t>d</t>
        </r>
        <r>
          <rPr>
            <sz val="8"/>
            <color indexed="81"/>
            <rFont val="Tahoma"/>
            <family val="2"/>
          </rPr>
          <t xml:space="preserve">, with its CI.
</t>
        </r>
      </text>
    </comment>
    <comment ref="K9" authorId="0" shapeId="0">
      <text>
        <r>
          <rPr>
            <sz val="8"/>
            <color indexed="81"/>
            <rFont val="Tahoma"/>
            <family val="2"/>
          </rPr>
          <t>Choose CIs to display</t>
        </r>
        <r>
          <rPr>
            <sz val="8"/>
            <color indexed="81"/>
            <rFont val="Tahoma"/>
            <family val="2"/>
          </rPr>
          <t xml:space="preserve">
</t>
        </r>
      </text>
    </comment>
    <comment ref="N11" authorId="0" shapeId="0">
      <text>
        <r>
          <rPr>
            <sz val="8"/>
            <color indexed="81"/>
            <rFont val="Tahoma"/>
            <family val="2"/>
          </rPr>
          <t>Show CIs on the means of Measures 1 and 2</t>
        </r>
        <r>
          <rPr>
            <sz val="8"/>
            <color indexed="81"/>
            <rFont val="Tahoma"/>
            <family val="2"/>
          </rPr>
          <t xml:space="preserve">
</t>
        </r>
      </text>
    </comment>
    <comment ref="P11" authorId="0" shapeId="0">
      <text>
        <r>
          <rPr>
            <sz val="8"/>
            <color indexed="81"/>
            <rFont val="Tahoma"/>
            <family val="2"/>
          </rPr>
          <t>Confidence level (%) for CIs.  Use the spinner or type in a value.  Min 0, max 99.9.</t>
        </r>
        <r>
          <rPr>
            <sz val="8"/>
            <color indexed="81"/>
            <rFont val="Tahoma"/>
            <family val="2"/>
          </rPr>
          <t xml:space="preserve">
</t>
        </r>
      </text>
    </comment>
    <comment ref="Q13" authorId="0" shapeId="0">
      <text>
        <r>
          <rPr>
            <sz val="8"/>
            <color indexed="81"/>
            <rFont val="Tahoma"/>
            <family val="2"/>
          </rPr>
          <t>Show the CI on the differences</t>
        </r>
        <r>
          <rPr>
            <sz val="8"/>
            <color indexed="81"/>
            <rFont val="Tahoma"/>
            <family val="2"/>
          </rPr>
          <t xml:space="preserve">
</t>
        </r>
      </text>
    </comment>
    <comment ref="K15" authorId="0" shapeId="0">
      <text>
        <r>
          <rPr>
            <sz val="8"/>
            <color indexed="81"/>
            <rFont val="Tahoma"/>
            <family val="2"/>
          </rPr>
          <t>Below are descriptive and inferential statistics for your set of data pairs</t>
        </r>
        <r>
          <rPr>
            <sz val="8"/>
            <color indexed="81"/>
            <rFont val="Tahoma"/>
            <family val="2"/>
          </rPr>
          <t xml:space="preserve">
</t>
        </r>
      </text>
    </comment>
    <comment ref="O16" authorId="0" shapeId="0">
      <text>
        <r>
          <rPr>
            <sz val="8"/>
            <color indexed="81"/>
            <rFont val="Tahoma"/>
            <family val="2"/>
          </rPr>
          <t>Focus on the differences, and the mean and CI for differences in the figure</t>
        </r>
        <r>
          <rPr>
            <sz val="8"/>
            <color indexed="81"/>
            <rFont val="Tahoma"/>
            <family val="2"/>
          </rPr>
          <t xml:space="preserve">
</t>
        </r>
      </text>
    </comment>
    <comment ref="M17" authorId="0" shapeId="0">
      <text>
        <r>
          <rPr>
            <sz val="8"/>
            <color indexed="81"/>
            <rFont val="Tahoma"/>
            <family val="2"/>
          </rPr>
          <t>Number of pairs</t>
        </r>
        <r>
          <rPr>
            <sz val="8"/>
            <color indexed="81"/>
            <rFont val="Tahoma"/>
            <family val="2"/>
          </rPr>
          <t xml:space="preserve">
</t>
        </r>
      </text>
    </comment>
    <comment ref="M18" authorId="0" shapeId="0">
      <text>
        <r>
          <rPr>
            <sz val="8"/>
            <color indexed="81"/>
            <rFont val="Tahoma"/>
            <family val="2"/>
          </rPr>
          <t>Mean of the differences</t>
        </r>
        <r>
          <rPr>
            <sz val="8"/>
            <color indexed="81"/>
            <rFont val="Tahoma"/>
            <family val="2"/>
          </rPr>
          <t xml:space="preserve">
</t>
        </r>
      </text>
    </comment>
    <comment ref="M19" authorId="0" shapeId="0">
      <text>
        <r>
          <rPr>
            <sz val="8"/>
            <color indexed="81"/>
            <rFont val="Tahoma"/>
            <family val="2"/>
          </rPr>
          <t>Standard deviation of the differences</t>
        </r>
        <r>
          <rPr>
            <sz val="8"/>
            <color indexed="81"/>
            <rFont val="Tahoma"/>
            <family val="2"/>
          </rPr>
          <t xml:space="preserve">
</t>
        </r>
      </text>
    </comment>
    <comment ref="M20" authorId="0" shapeId="0">
      <text>
        <r>
          <rPr>
            <i/>
            <sz val="8"/>
            <color indexed="81"/>
            <rFont val="Tahoma"/>
            <family val="2"/>
          </rPr>
          <t>MOE</t>
        </r>
        <r>
          <rPr>
            <sz val="8"/>
            <color indexed="81"/>
            <rFont val="Tahoma"/>
            <family val="2"/>
          </rPr>
          <t xml:space="preserve"> of the CI for the mean difference</t>
        </r>
      </text>
    </comment>
    <comment ref="M21" authorId="0" shapeId="0">
      <text>
        <r>
          <rPr>
            <sz val="8"/>
            <color indexed="81"/>
            <rFont val="Tahoma"/>
            <family val="2"/>
          </rPr>
          <t>CI for mean of the differences</t>
        </r>
        <r>
          <rPr>
            <sz val="8"/>
            <color indexed="81"/>
            <rFont val="Tahoma"/>
            <family val="2"/>
          </rPr>
          <t xml:space="preserve">
</t>
        </r>
      </text>
    </comment>
    <comment ref="M22" authorId="0" shapeId="0">
      <text>
        <r>
          <rPr>
            <sz val="8"/>
            <color indexed="81"/>
            <rFont val="Tahoma"/>
            <family val="2"/>
          </rPr>
          <t xml:space="preserve">Effect size, in original measurement units.  The same as </t>
        </r>
        <r>
          <rPr>
            <i/>
            <sz val="8"/>
            <color indexed="81"/>
            <rFont val="Tahoma"/>
            <family val="2"/>
          </rPr>
          <t>M</t>
        </r>
        <r>
          <rPr>
            <vertAlign val="subscript"/>
            <sz val="10"/>
            <color indexed="81"/>
            <rFont val="Tahoma"/>
            <family val="2"/>
          </rPr>
          <t>diff</t>
        </r>
        <r>
          <rPr>
            <sz val="8"/>
            <color indexed="81"/>
            <rFont val="Tahoma"/>
            <family val="2"/>
          </rPr>
          <t>.</t>
        </r>
        <r>
          <rPr>
            <sz val="8"/>
            <color indexed="81"/>
            <rFont val="Tahoma"/>
            <family val="2"/>
          </rPr>
          <t xml:space="preserve">
</t>
        </r>
      </text>
    </comment>
    <comment ref="M23" authorId="0" shapeId="0">
      <text>
        <r>
          <rPr>
            <sz val="8"/>
            <color indexed="81"/>
            <rFont val="Tahoma"/>
            <family val="2"/>
          </rPr>
          <t xml:space="preserve">Value of </t>
        </r>
        <r>
          <rPr>
            <i/>
            <sz val="8"/>
            <color indexed="81"/>
            <rFont val="Tahoma"/>
            <family val="2"/>
          </rPr>
          <t xml:space="preserve">t </t>
        </r>
        <r>
          <rPr>
            <sz val="8"/>
            <color indexed="81"/>
            <rFont val="Tahoma"/>
            <family val="2"/>
          </rPr>
          <t>for testing the difference against zero</t>
        </r>
      </text>
    </comment>
    <comment ref="P23" authorId="0" shapeId="0">
      <text>
        <r>
          <rPr>
            <sz val="8"/>
            <color indexed="81"/>
            <rFont val="Tahoma"/>
            <family val="2"/>
          </rPr>
          <t>degrees of freedom = (</t>
        </r>
        <r>
          <rPr>
            <i/>
            <sz val="8"/>
            <color indexed="81"/>
            <rFont val="Tahoma"/>
            <family val="2"/>
          </rPr>
          <t>N</t>
        </r>
        <r>
          <rPr>
            <sz val="8"/>
            <color indexed="81"/>
            <rFont val="Tahoma"/>
            <family val="2"/>
          </rPr>
          <t xml:space="preserve"> - 1)</t>
        </r>
        <r>
          <rPr>
            <sz val="10"/>
            <color indexed="81"/>
            <rFont val="Tahoma"/>
            <family val="2"/>
          </rPr>
          <t xml:space="preserve">
</t>
        </r>
      </text>
    </comment>
    <comment ref="M24" authorId="0" shapeId="0">
      <text>
        <r>
          <rPr>
            <sz val="8"/>
            <color indexed="81"/>
            <rFont val="Tahoma"/>
            <family val="2"/>
          </rPr>
          <t>for testing the null hypothesis of no difference between the two group means</t>
        </r>
        <r>
          <rPr>
            <sz val="9"/>
            <color indexed="81"/>
            <rFont val="Tahoma"/>
            <family val="2"/>
          </rPr>
          <t xml:space="preserve"> </t>
        </r>
        <r>
          <rPr>
            <sz val="8"/>
            <color indexed="81"/>
            <rFont val="Tahoma"/>
            <family val="2"/>
          </rPr>
          <t xml:space="preserve">
</t>
        </r>
      </text>
    </comment>
    <comment ref="K26" authorId="0" shapeId="0">
      <text>
        <r>
          <rPr>
            <sz val="8"/>
            <color indexed="81"/>
            <rFont val="Tahoma"/>
            <family val="2"/>
          </rPr>
          <t>Below are descriptive and inferential statistics for the two measures</t>
        </r>
        <r>
          <rPr>
            <sz val="8"/>
            <color indexed="81"/>
            <rFont val="Tahoma"/>
            <family val="2"/>
          </rPr>
          <t xml:space="preserve">
</t>
        </r>
      </text>
    </comment>
    <comment ref="M28" authorId="0" shapeId="0">
      <text>
        <r>
          <rPr>
            <sz val="8"/>
            <color indexed="81"/>
            <rFont val="Tahoma"/>
            <family val="2"/>
          </rPr>
          <t xml:space="preserve">Type in this label at </t>
        </r>
        <r>
          <rPr>
            <b/>
            <sz val="9"/>
            <color indexed="10"/>
            <rFont val="Tahoma"/>
            <family val="2"/>
          </rPr>
          <t>2</t>
        </r>
        <r>
          <rPr>
            <sz val="8"/>
            <color indexed="81"/>
            <rFont val="Tahoma"/>
            <family val="2"/>
          </rPr>
          <t xml:space="preserve">
</t>
        </r>
      </text>
    </comment>
    <comment ref="P28" authorId="0" shapeId="0">
      <text>
        <r>
          <rPr>
            <sz val="8"/>
            <color indexed="81"/>
            <rFont val="Tahoma"/>
            <family val="2"/>
          </rPr>
          <t xml:space="preserve">Type in this label at </t>
        </r>
        <r>
          <rPr>
            <b/>
            <sz val="9"/>
            <color indexed="10"/>
            <rFont val="Tahoma"/>
            <family val="2"/>
          </rPr>
          <t>2</t>
        </r>
        <r>
          <rPr>
            <sz val="8"/>
            <color indexed="81"/>
            <rFont val="Tahoma"/>
            <family val="2"/>
          </rPr>
          <t xml:space="preserve">
</t>
        </r>
      </text>
    </comment>
    <comment ref="L29" authorId="0" shapeId="0">
      <text>
        <r>
          <rPr>
            <sz val="8"/>
            <color indexed="81"/>
            <rFont val="Tahoma"/>
            <family val="2"/>
          </rPr>
          <t>Mean of  Measure 1</t>
        </r>
        <r>
          <rPr>
            <sz val="8"/>
            <color indexed="81"/>
            <rFont val="Tahoma"/>
            <family val="2"/>
          </rPr>
          <t xml:space="preserve">
</t>
        </r>
      </text>
    </comment>
    <comment ref="O29" authorId="0" shapeId="0">
      <text>
        <r>
          <rPr>
            <sz val="8"/>
            <color indexed="81"/>
            <rFont val="Tahoma"/>
            <family val="2"/>
          </rPr>
          <t>Mean of  Measure 2</t>
        </r>
        <r>
          <rPr>
            <sz val="8"/>
            <color indexed="81"/>
            <rFont val="Tahoma"/>
            <family val="2"/>
          </rPr>
          <t xml:space="preserve">
</t>
        </r>
      </text>
    </comment>
    <comment ref="L30" authorId="0" shapeId="0">
      <text>
        <r>
          <rPr>
            <sz val="8"/>
            <color indexed="81"/>
            <rFont val="Tahoma"/>
            <family val="2"/>
          </rPr>
          <t>SD of  Measure 1</t>
        </r>
      </text>
    </comment>
    <comment ref="O30" authorId="0" shapeId="0">
      <text>
        <r>
          <rPr>
            <sz val="8"/>
            <color indexed="81"/>
            <rFont val="Tahoma"/>
            <family val="2"/>
          </rPr>
          <t>SD of  Measure 2</t>
        </r>
      </text>
    </comment>
    <comment ref="L31" authorId="0" shapeId="0">
      <text>
        <r>
          <rPr>
            <i/>
            <sz val="8"/>
            <color indexed="81"/>
            <rFont val="Tahoma"/>
            <family val="2"/>
          </rPr>
          <t>MOE</t>
        </r>
        <r>
          <rPr>
            <sz val="8"/>
            <color indexed="81"/>
            <rFont val="Tahoma"/>
            <family val="2"/>
          </rPr>
          <t xml:space="preserve"> of the CI for the mean of Measure 1</t>
        </r>
      </text>
    </comment>
    <comment ref="O31" authorId="0" shapeId="0">
      <text>
        <r>
          <rPr>
            <i/>
            <sz val="8"/>
            <color indexed="81"/>
            <rFont val="Tahoma"/>
            <family val="2"/>
          </rPr>
          <t>MOE</t>
        </r>
        <r>
          <rPr>
            <sz val="8"/>
            <color indexed="81"/>
            <rFont val="Tahoma"/>
            <family val="2"/>
          </rPr>
          <t xml:space="preserve"> of the CI for the mean of Measure 2</t>
        </r>
      </text>
    </comment>
    <comment ref="M32" authorId="0" shapeId="0">
      <text>
        <r>
          <rPr>
            <sz val="8"/>
            <color indexed="81"/>
            <rFont val="Tahoma"/>
            <family val="2"/>
          </rPr>
          <t>of the two measures, for this data set.</t>
        </r>
        <r>
          <rPr>
            <sz val="8"/>
            <color indexed="81"/>
            <rFont val="Tahoma"/>
            <family val="2"/>
          </rPr>
          <t xml:space="preserve">
</t>
        </r>
      </text>
    </comment>
    <comment ref="L34" authorId="0" shapeId="0">
      <text>
        <r>
          <rPr>
            <sz val="8"/>
            <color indexed="81"/>
            <rFont val="Tahoma"/>
            <family val="2"/>
          </rPr>
          <t xml:space="preserve">Display of Cohen's </t>
        </r>
        <r>
          <rPr>
            <i/>
            <sz val="9"/>
            <color indexed="81"/>
            <rFont val="Tahoma"/>
            <family val="2"/>
          </rPr>
          <t>d</t>
        </r>
        <r>
          <rPr>
            <sz val="8"/>
            <color indexed="81"/>
            <rFont val="Tahoma"/>
            <family val="2"/>
          </rPr>
          <t xml:space="preserve">, calculated as: </t>
        </r>
        <r>
          <rPr>
            <i/>
            <sz val="8"/>
            <color indexed="81"/>
            <rFont val="Tahoma"/>
            <family val="2"/>
          </rPr>
          <t>M</t>
        </r>
        <r>
          <rPr>
            <vertAlign val="subscript"/>
            <sz val="10"/>
            <color indexed="81"/>
            <rFont val="Tahoma"/>
            <family val="2"/>
          </rPr>
          <t>diff</t>
        </r>
        <r>
          <rPr>
            <sz val="8"/>
            <color indexed="81"/>
            <rFont val="Tahoma"/>
            <family val="2"/>
          </rPr>
          <t>/</t>
        </r>
        <r>
          <rPr>
            <sz val="8"/>
            <color indexed="81"/>
            <rFont val="Arial"/>
            <family val="2"/>
          </rPr>
          <t>√</t>
        </r>
        <r>
          <rPr>
            <sz val="8"/>
            <color indexed="81"/>
            <rFont val="Tahoma"/>
            <family val="2"/>
          </rPr>
          <t>((</t>
        </r>
        <r>
          <rPr>
            <i/>
            <sz val="9"/>
            <color indexed="81"/>
            <rFont val="Tahoma"/>
            <family val="2"/>
          </rPr>
          <t>s</t>
        </r>
        <r>
          <rPr>
            <vertAlign val="subscript"/>
            <sz val="9"/>
            <color indexed="81"/>
            <rFont val="Tahoma"/>
            <family val="2"/>
          </rPr>
          <t>1</t>
        </r>
        <r>
          <rPr>
            <vertAlign val="superscript"/>
            <sz val="9"/>
            <color indexed="81"/>
            <rFont val="Tahoma"/>
            <family val="2"/>
          </rPr>
          <t>2</t>
        </r>
        <r>
          <rPr>
            <sz val="8"/>
            <color indexed="81"/>
            <rFont val="Tahoma"/>
            <family val="2"/>
          </rPr>
          <t>+</t>
        </r>
        <r>
          <rPr>
            <i/>
            <sz val="9"/>
            <color indexed="81"/>
            <rFont val="Tahoma"/>
            <family val="2"/>
          </rPr>
          <t>s</t>
        </r>
        <r>
          <rPr>
            <vertAlign val="subscript"/>
            <sz val="9"/>
            <color indexed="81"/>
            <rFont val="Tahoma"/>
            <family val="2"/>
          </rPr>
          <t>2</t>
        </r>
        <r>
          <rPr>
            <vertAlign val="superscript"/>
            <sz val="9"/>
            <color indexed="81"/>
            <rFont val="Tahoma"/>
            <family val="2"/>
          </rPr>
          <t>2</t>
        </r>
        <r>
          <rPr>
            <sz val="8"/>
            <color indexed="81"/>
            <rFont val="Tahoma"/>
            <family val="2"/>
          </rPr>
          <t xml:space="preserve">)/2)
 When </t>
        </r>
        <r>
          <rPr>
            <i/>
            <sz val="8"/>
            <color indexed="81"/>
            <rFont val="Tahoma"/>
            <family val="2"/>
          </rPr>
          <t>N</t>
        </r>
        <r>
          <rPr>
            <sz val="8"/>
            <color indexed="81"/>
            <rFont val="Tahoma"/>
            <family val="2"/>
          </rPr>
          <t xml:space="preserve"> is at least 6,and </t>
        </r>
        <r>
          <rPr>
            <i/>
            <sz val="9"/>
            <color indexed="81"/>
            <rFont val="Tahoma"/>
            <family val="2"/>
          </rPr>
          <t>d</t>
        </r>
        <r>
          <rPr>
            <vertAlign val="subscript"/>
            <sz val="10"/>
            <color indexed="81"/>
            <rFont val="Tahoma"/>
            <family val="2"/>
          </rPr>
          <t>unb</t>
        </r>
        <r>
          <rPr>
            <sz val="8"/>
            <color indexed="81"/>
            <rFont val="Tahoma"/>
            <family val="2"/>
          </rPr>
          <t xml:space="preserve"> lies between -2 and +2, and </t>
        </r>
        <r>
          <rPr>
            <i/>
            <sz val="8"/>
            <color indexed="81"/>
            <rFont val="Tahoma"/>
            <family val="2"/>
          </rPr>
          <t>C</t>
        </r>
        <r>
          <rPr>
            <sz val="8"/>
            <color indexed="81"/>
            <rFont val="Tahoma"/>
            <family val="2"/>
          </rPr>
          <t xml:space="preserve"> = 95, then an approximate CI for </t>
        </r>
        <r>
          <rPr>
            <sz val="10"/>
            <color indexed="81"/>
            <rFont val="Symbol"/>
            <family val="1"/>
            <charset val="2"/>
          </rPr>
          <t>d</t>
        </r>
        <r>
          <rPr>
            <sz val="8"/>
            <color indexed="81"/>
            <rFont val="Tahoma"/>
            <family val="2"/>
          </rPr>
          <t xml:space="preserve"> can be calculated.</t>
        </r>
      </text>
    </comment>
    <comment ref="M34" authorId="0" shapeId="0">
      <text>
        <r>
          <rPr>
            <sz val="8"/>
            <color indexed="81"/>
            <rFont val="Tahoma"/>
            <family val="2"/>
          </rPr>
          <t xml:space="preserve">Average SD for the two conditions, calculated as: 
</t>
        </r>
        <r>
          <rPr>
            <i/>
            <sz val="9"/>
            <color indexed="81"/>
            <rFont val="Tahoma"/>
            <family val="2"/>
          </rPr>
          <t>s</t>
        </r>
        <r>
          <rPr>
            <vertAlign val="subscript"/>
            <sz val="10"/>
            <color indexed="81"/>
            <rFont val="Tahoma"/>
            <family val="2"/>
          </rPr>
          <t>av</t>
        </r>
        <r>
          <rPr>
            <sz val="8"/>
            <color indexed="81"/>
            <rFont val="Tahoma"/>
            <family val="2"/>
          </rPr>
          <t xml:space="preserve"> = </t>
        </r>
        <r>
          <rPr>
            <sz val="8"/>
            <color indexed="81"/>
            <rFont val="Arial"/>
            <family val="2"/>
          </rPr>
          <t>√</t>
        </r>
        <r>
          <rPr>
            <sz val="8"/>
            <color indexed="81"/>
            <rFont val="Tahoma"/>
            <family val="2"/>
          </rPr>
          <t>((</t>
        </r>
        <r>
          <rPr>
            <i/>
            <sz val="9"/>
            <color indexed="81"/>
            <rFont val="Tahoma"/>
            <family val="2"/>
          </rPr>
          <t>s</t>
        </r>
        <r>
          <rPr>
            <vertAlign val="subscript"/>
            <sz val="9"/>
            <color indexed="81"/>
            <rFont val="Tahoma"/>
            <family val="2"/>
          </rPr>
          <t>1</t>
        </r>
        <r>
          <rPr>
            <vertAlign val="superscript"/>
            <sz val="9"/>
            <color indexed="81"/>
            <rFont val="Tahoma"/>
            <family val="2"/>
          </rPr>
          <t>2</t>
        </r>
        <r>
          <rPr>
            <sz val="8"/>
            <color indexed="81"/>
            <rFont val="Tahoma"/>
            <family val="2"/>
          </rPr>
          <t>+</t>
        </r>
        <r>
          <rPr>
            <i/>
            <sz val="9"/>
            <color indexed="81"/>
            <rFont val="Tahoma"/>
            <family val="2"/>
          </rPr>
          <t>s</t>
        </r>
        <r>
          <rPr>
            <vertAlign val="subscript"/>
            <sz val="9"/>
            <color indexed="81"/>
            <rFont val="Tahoma"/>
            <family val="2"/>
          </rPr>
          <t>2</t>
        </r>
        <r>
          <rPr>
            <vertAlign val="superscript"/>
            <sz val="9"/>
            <color indexed="81"/>
            <rFont val="Tahoma"/>
            <family val="2"/>
          </rPr>
          <t>2</t>
        </r>
        <r>
          <rPr>
            <sz val="8"/>
            <color indexed="81"/>
            <rFont val="Tahoma"/>
            <family val="2"/>
          </rPr>
          <t>)/2)</t>
        </r>
      </text>
    </comment>
    <comment ref="S34" authorId="0" shapeId="0">
      <text>
        <r>
          <rPr>
            <sz val="8"/>
            <color indexed="81"/>
            <rFont val="Tahoma"/>
            <family val="2"/>
          </rPr>
          <t xml:space="preserve">Approximate 95% CI calculated around </t>
        </r>
        <r>
          <rPr>
            <i/>
            <sz val="9"/>
            <color indexed="81"/>
            <rFont val="Tahoma"/>
            <family val="2"/>
          </rPr>
          <t>d</t>
        </r>
        <r>
          <rPr>
            <sz val="10"/>
            <color indexed="81"/>
            <rFont val="Tahoma"/>
            <family val="2"/>
          </rPr>
          <t xml:space="preserve">
</t>
        </r>
      </text>
    </comment>
    <comment ref="K36" authorId="0" shapeId="0">
      <text>
        <r>
          <rPr>
            <sz val="8"/>
            <color indexed="81"/>
            <rFont val="Tahoma"/>
            <family val="2"/>
          </rPr>
          <t xml:space="preserve">Click to carry out the calculation of an approximate 95% CI on </t>
        </r>
        <r>
          <rPr>
            <i/>
            <sz val="9"/>
            <color indexed="81"/>
            <rFont val="Tahoma"/>
            <family val="2"/>
          </rPr>
          <t>d</t>
        </r>
        <r>
          <rPr>
            <sz val="8"/>
            <color indexed="81"/>
            <rFont val="Tahoma"/>
            <family val="2"/>
          </rPr>
          <t xml:space="preserve">.  You need to click here again after any change in the data or </t>
        </r>
        <r>
          <rPr>
            <i/>
            <sz val="8"/>
            <color indexed="81"/>
            <rFont val="Tahoma"/>
            <family val="2"/>
          </rPr>
          <t>C</t>
        </r>
        <r>
          <rPr>
            <sz val="8"/>
            <color indexed="81"/>
            <rFont val="Tahoma"/>
            <family val="2"/>
          </rPr>
          <t xml:space="preserve">.
For CI calculation,  min </t>
        </r>
        <r>
          <rPr>
            <i/>
            <sz val="9"/>
            <color indexed="81"/>
            <rFont val="Tahoma"/>
            <family val="2"/>
          </rPr>
          <t>df</t>
        </r>
        <r>
          <rPr>
            <sz val="8"/>
            <color indexed="81"/>
            <rFont val="Tahoma"/>
            <family val="2"/>
          </rPr>
          <t xml:space="preserve"> is 5, max </t>
        </r>
        <r>
          <rPr>
            <i/>
            <sz val="9"/>
            <color indexed="81"/>
            <rFont val="Tahoma"/>
            <family val="2"/>
          </rPr>
          <t>df</t>
        </r>
        <r>
          <rPr>
            <sz val="8"/>
            <color indexed="81"/>
            <rFont val="Tahoma"/>
            <family val="2"/>
          </rPr>
          <t xml:space="preserve"> is 200, </t>
        </r>
        <r>
          <rPr>
            <i/>
            <sz val="8"/>
            <color indexed="81"/>
            <rFont val="Tahoma"/>
            <family val="2"/>
          </rPr>
          <t>C</t>
        </r>
        <r>
          <rPr>
            <sz val="8"/>
            <color indexed="81"/>
            <rFont val="Tahoma"/>
            <family val="2"/>
          </rPr>
          <t xml:space="preserve"> must be 95, and </t>
        </r>
        <r>
          <rPr>
            <i/>
            <sz val="9"/>
            <color indexed="81"/>
            <rFont val="Tahoma"/>
            <family val="2"/>
          </rPr>
          <t>d</t>
        </r>
        <r>
          <rPr>
            <vertAlign val="subscript"/>
            <sz val="10"/>
            <color indexed="81"/>
            <rFont val="Tahoma"/>
            <family val="2"/>
          </rPr>
          <t>unb</t>
        </r>
        <r>
          <rPr>
            <sz val="8"/>
            <color indexed="81"/>
            <rFont val="Tahoma"/>
            <family val="2"/>
          </rPr>
          <t xml:space="preserve"> must lie between -2 and +2.</t>
        </r>
        <r>
          <rPr>
            <sz val="10"/>
            <color indexed="81"/>
            <rFont val="Tahoma"/>
            <family val="2"/>
          </rPr>
          <t xml:space="preserve">
</t>
        </r>
      </text>
    </comment>
    <comment ref="L37" authorId="0" shapeId="0">
      <text>
        <r>
          <rPr>
            <sz val="8"/>
            <color indexed="81"/>
            <rFont val="Tahoma"/>
            <family val="2"/>
          </rPr>
          <t xml:space="preserve">When Cohen's </t>
        </r>
        <r>
          <rPr>
            <i/>
            <sz val="9"/>
            <color indexed="81"/>
            <rFont val="Tahoma"/>
            <family val="2"/>
          </rPr>
          <t>d</t>
        </r>
        <r>
          <rPr>
            <sz val="8"/>
            <color indexed="81"/>
            <rFont val="Tahoma"/>
            <family val="2"/>
          </rPr>
          <t xml:space="preserve"> is shown above, and </t>
        </r>
        <r>
          <rPr>
            <i/>
            <sz val="9"/>
            <color indexed="81"/>
            <rFont val="Tahoma"/>
            <family val="2"/>
          </rPr>
          <t>df</t>
        </r>
        <r>
          <rPr>
            <sz val="8"/>
            <color indexed="81"/>
            <rFont val="Tahoma"/>
            <family val="2"/>
          </rPr>
          <t xml:space="preserve"> is at least 2, show here </t>
        </r>
        <r>
          <rPr>
            <i/>
            <sz val="9"/>
            <color indexed="81"/>
            <rFont val="Tahoma"/>
            <family val="2"/>
          </rPr>
          <t>d</t>
        </r>
        <r>
          <rPr>
            <vertAlign val="subscript"/>
            <sz val="10"/>
            <color indexed="81"/>
            <rFont val="Tahoma"/>
            <family val="2"/>
          </rPr>
          <t>unb</t>
        </r>
        <r>
          <rPr>
            <sz val="8"/>
            <color indexed="81"/>
            <rFont val="Tahoma"/>
            <family val="2"/>
          </rPr>
          <t xml:space="preserve">, which is calculated from </t>
        </r>
        <r>
          <rPr>
            <i/>
            <sz val="9"/>
            <color indexed="81"/>
            <rFont val="Tahoma"/>
            <family val="2"/>
          </rPr>
          <t>d</t>
        </r>
        <r>
          <rPr>
            <sz val="8"/>
            <color indexed="81"/>
            <rFont val="Tahoma"/>
            <family val="2"/>
          </rPr>
          <t xml:space="preserve"> to be 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 ref="Q37" authorId="0" shapeId="0">
      <text>
        <r>
          <rPr>
            <sz val="8"/>
            <color indexed="81"/>
            <rFont val="Tahoma"/>
            <family val="2"/>
          </rPr>
          <t xml:space="preserve">Average arm length of the CI for </t>
        </r>
        <r>
          <rPr>
            <sz val="11"/>
            <color indexed="81"/>
            <rFont val="Symbol"/>
            <family val="1"/>
            <charset val="2"/>
          </rPr>
          <t>d</t>
        </r>
        <r>
          <rPr>
            <sz val="8"/>
            <color indexed="81"/>
            <rFont val="Tahoma"/>
            <family val="2"/>
          </rPr>
          <t>.  This is our measure of precision.</t>
        </r>
        <r>
          <rPr>
            <sz val="10"/>
            <color indexed="81"/>
            <rFont val="Tahoma"/>
            <family val="2"/>
          </rPr>
          <t xml:space="preserve">
</t>
        </r>
      </text>
    </comment>
    <comment ref="M38" authorId="0" shapeId="0">
      <text>
        <r>
          <rPr>
            <sz val="8"/>
            <color indexed="81"/>
            <rFont val="Tahoma"/>
            <family val="2"/>
          </rPr>
          <t xml:space="preserve">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List>
</comments>
</file>

<file path=xl/comments10.xml><?xml version="1.0" encoding="utf-8"?>
<comments xmlns="http://schemas.openxmlformats.org/spreadsheetml/2006/main">
  <authors>
    <author>Geoff Cumming</author>
  </authors>
  <commentList>
    <comment ref="M1" authorId="0" shapeId="0">
      <text>
        <r>
          <rPr>
            <sz val="9"/>
            <color indexed="81"/>
            <rFont val="Tahoma"/>
            <family val="2"/>
          </rPr>
          <t>T</t>
        </r>
        <r>
          <rPr>
            <sz val="8"/>
            <color indexed="81"/>
            <rFont val="Tahoma"/>
            <family val="2"/>
          </rPr>
          <t xml:space="preserve">he two correlated populations of measures are assumed Normal, with means </t>
        </r>
        <r>
          <rPr>
            <sz val="9"/>
            <color indexed="81"/>
            <rFont val="Symbol"/>
            <family val="1"/>
            <charset val="2"/>
          </rPr>
          <t>m</t>
        </r>
        <r>
          <rPr>
            <sz val="8"/>
            <color indexed="81"/>
            <rFont val="Tahoma"/>
            <family val="2"/>
          </rPr>
          <t xml:space="preserve">1, </t>
        </r>
        <r>
          <rPr>
            <sz val="9"/>
            <color indexed="81"/>
            <rFont val="Symbol"/>
            <family val="1"/>
            <charset val="2"/>
          </rPr>
          <t>m</t>
        </r>
        <r>
          <rPr>
            <sz val="8"/>
            <color indexed="81"/>
            <rFont val="Tahoma"/>
            <family val="2"/>
          </rPr>
          <t xml:space="preserve">2, and standard deviation </t>
        </r>
        <r>
          <rPr>
            <sz val="10"/>
            <color indexed="81"/>
            <rFont val="Symbol"/>
            <family val="1"/>
            <charset val="2"/>
          </rPr>
          <t>s</t>
        </r>
        <r>
          <rPr>
            <sz val="8"/>
            <color indexed="81"/>
            <rFont val="Tahoma"/>
            <family val="2"/>
          </rPr>
          <t xml:space="preserve">, assumed the same for each.  Pairs of values are sampled, one value from each population.  The SD of the population of differences is </t>
        </r>
        <r>
          <rPr>
            <sz val="10"/>
            <color indexed="81"/>
            <rFont val="Symbol"/>
            <family val="1"/>
            <charset val="2"/>
          </rPr>
          <t>s</t>
        </r>
        <r>
          <rPr>
            <vertAlign val="subscript"/>
            <sz val="10"/>
            <color indexed="81"/>
            <rFont val="Tahoma"/>
            <family val="2"/>
          </rPr>
          <t>d</t>
        </r>
        <r>
          <rPr>
            <sz val="8"/>
            <color indexed="81"/>
            <rFont val="Tahoma"/>
            <family val="2"/>
          </rPr>
          <t>.</t>
        </r>
      </text>
    </comment>
    <comment ref="R1" authorId="0" shapeId="0">
      <text>
        <r>
          <rPr>
            <sz val="8"/>
            <color indexed="81"/>
            <rFont val="Tahoma"/>
            <family val="2"/>
          </rPr>
          <t xml:space="preserve">for the two measures, for the current  sample of </t>
        </r>
        <r>
          <rPr>
            <i/>
            <sz val="8"/>
            <color indexed="81"/>
            <rFont val="Tahoma"/>
            <family val="2"/>
          </rPr>
          <t>N</t>
        </r>
        <r>
          <rPr>
            <sz val="8"/>
            <color indexed="81"/>
            <rFont val="Tahoma"/>
            <family val="2"/>
          </rPr>
          <t xml:space="preserve"> pairs</t>
        </r>
        <r>
          <rPr>
            <sz val="8"/>
            <color indexed="81"/>
            <rFont val="Tahoma"/>
            <family val="2"/>
          </rPr>
          <t xml:space="preserve">
</t>
        </r>
      </text>
    </comment>
    <comment ref="D2" authorId="0" shapeId="0">
      <text>
        <r>
          <rPr>
            <i/>
            <sz val="9"/>
            <color indexed="81"/>
            <rFont val="Tahoma"/>
            <family val="2"/>
          </rPr>
          <t>N</t>
        </r>
        <r>
          <rPr>
            <sz val="8"/>
            <color indexed="81"/>
            <rFont val="Tahoma"/>
            <family val="2"/>
          </rPr>
          <t xml:space="preserve">
</t>
        </r>
      </text>
    </comment>
    <comment ref="D3" authorId="0" shapeId="0">
      <text>
        <r>
          <rPr>
            <sz val="11"/>
            <color indexed="81"/>
            <rFont val="Symbol"/>
            <family val="1"/>
            <charset val="2"/>
          </rPr>
          <t>m</t>
        </r>
        <r>
          <rPr>
            <i/>
            <sz val="9"/>
            <color indexed="81"/>
            <rFont val="Tahoma"/>
            <family val="2"/>
          </rPr>
          <t>2</t>
        </r>
        <r>
          <rPr>
            <sz val="8"/>
            <color indexed="81"/>
            <rFont val="Tahoma"/>
            <family val="2"/>
          </rPr>
          <t xml:space="preserve">
</t>
        </r>
      </text>
    </comment>
    <comment ref="M3" authorId="0" shapeId="0">
      <text>
        <r>
          <rPr>
            <sz val="8"/>
            <color indexed="81"/>
            <rFont val="Tahoma"/>
            <family val="2"/>
          </rPr>
          <t>Pairs are sampled randomly and independently.</t>
        </r>
        <r>
          <rPr>
            <sz val="8"/>
            <color indexed="81"/>
            <rFont val="Tahoma"/>
            <family val="2"/>
          </rPr>
          <t xml:space="preserve">
</t>
        </r>
      </text>
    </comment>
    <comment ref="Q3" authorId="0" shapeId="0">
      <text>
        <r>
          <rPr>
            <sz val="8"/>
            <color indexed="81"/>
            <rFont val="Tahoma"/>
            <family val="2"/>
          </rPr>
          <t xml:space="preserve">Type in this label at </t>
        </r>
        <r>
          <rPr>
            <b/>
            <sz val="9"/>
            <color indexed="10"/>
            <rFont val="Tahoma"/>
            <family val="2"/>
          </rPr>
          <t>2</t>
        </r>
        <r>
          <rPr>
            <sz val="10"/>
            <color indexed="81"/>
            <rFont val="Tahoma"/>
            <family val="2"/>
          </rPr>
          <t xml:space="preserve">
</t>
        </r>
      </text>
    </comment>
    <comment ref="R3" authorId="0" shapeId="0">
      <text>
        <r>
          <rPr>
            <sz val="8"/>
            <color indexed="81"/>
            <rFont val="Tahoma"/>
            <family val="2"/>
          </rPr>
          <t xml:space="preserve">Type in this label at </t>
        </r>
        <r>
          <rPr>
            <b/>
            <sz val="9"/>
            <color indexed="10"/>
            <rFont val="Tahoma"/>
            <family val="2"/>
          </rPr>
          <t>2</t>
        </r>
        <r>
          <rPr>
            <sz val="10"/>
            <color indexed="81"/>
            <rFont val="Tahoma"/>
            <family val="2"/>
          </rPr>
          <t xml:space="preserve">
</t>
        </r>
      </text>
    </comment>
    <comment ref="T3" authorId="0" shapeId="0">
      <text>
        <r>
          <rPr>
            <sz val="8"/>
            <color indexed="81"/>
            <rFont val="Tahoma"/>
            <family val="2"/>
          </rPr>
          <t>Focus on the differences, and the mean and CI for differences in the figure</t>
        </r>
        <r>
          <rPr>
            <sz val="8"/>
            <color indexed="81"/>
            <rFont val="Tahoma"/>
            <family val="2"/>
          </rPr>
          <t xml:space="preserve">
</t>
        </r>
      </text>
    </comment>
    <comment ref="D4" authorId="0" shapeId="0">
      <text>
        <r>
          <rPr>
            <sz val="11"/>
            <color indexed="81"/>
            <rFont val="Symbol"/>
            <family val="1"/>
            <charset val="2"/>
          </rPr>
          <t>s</t>
        </r>
        <r>
          <rPr>
            <sz val="8"/>
            <color indexed="81"/>
            <rFont val="Tahoma"/>
            <family val="2"/>
          </rPr>
          <t xml:space="preserve">
</t>
        </r>
      </text>
    </comment>
    <comment ref="P4" authorId="0" shapeId="0">
      <text>
        <r>
          <rPr>
            <sz val="8"/>
            <color indexed="81"/>
            <rFont val="Tahoma"/>
            <family val="2"/>
          </rPr>
          <t>Sample means, for Measures 1 and 2</t>
        </r>
        <r>
          <rPr>
            <sz val="8"/>
            <color indexed="81"/>
            <rFont val="Tahoma"/>
            <family val="2"/>
          </rPr>
          <t xml:space="preserve">
</t>
        </r>
      </text>
    </comment>
    <comment ref="S4" authorId="0" shapeId="0">
      <text>
        <r>
          <rPr>
            <sz val="8"/>
            <color indexed="81"/>
            <rFont val="Tahoma"/>
            <family val="2"/>
          </rPr>
          <t>Mean of the differences</t>
        </r>
        <r>
          <rPr>
            <sz val="8"/>
            <color indexed="81"/>
            <rFont val="Tahoma"/>
            <family val="2"/>
          </rPr>
          <t xml:space="preserve">
</t>
        </r>
      </text>
    </comment>
    <comment ref="AH4" authorId="0" shapeId="0">
      <text>
        <r>
          <rPr>
            <sz val="8"/>
            <color indexed="81"/>
            <rFont val="Tahoma"/>
            <family val="2"/>
          </rPr>
          <t xml:space="preserve">Display of Cohen's </t>
        </r>
        <r>
          <rPr>
            <i/>
            <sz val="9"/>
            <color indexed="81"/>
            <rFont val="Tahoma"/>
            <family val="2"/>
          </rPr>
          <t>d</t>
        </r>
        <r>
          <rPr>
            <sz val="8"/>
            <color indexed="81"/>
            <rFont val="Tahoma"/>
            <family val="2"/>
          </rPr>
          <t xml:space="preserve">, with its approximate 95% CI.  
</t>
        </r>
        <r>
          <rPr>
            <i/>
            <sz val="9"/>
            <color indexed="81"/>
            <rFont val="Tahoma"/>
            <family val="2"/>
          </rPr>
          <t>d</t>
        </r>
        <r>
          <rPr>
            <sz val="8"/>
            <color indexed="81"/>
            <rFont val="Tahoma"/>
            <family val="2"/>
          </rPr>
          <t xml:space="preserve"> is calculated as:  </t>
        </r>
        <r>
          <rPr>
            <i/>
            <sz val="8"/>
            <color indexed="81"/>
            <rFont val="Tahoma"/>
            <family val="2"/>
          </rPr>
          <t>M</t>
        </r>
        <r>
          <rPr>
            <vertAlign val="subscript"/>
            <sz val="10"/>
            <color indexed="81"/>
            <rFont val="Tahoma"/>
            <family val="2"/>
          </rPr>
          <t>diff</t>
        </r>
        <r>
          <rPr>
            <sz val="8"/>
            <color indexed="81"/>
            <rFont val="Tahoma"/>
            <family val="2"/>
          </rPr>
          <t>/</t>
        </r>
        <r>
          <rPr>
            <sz val="8"/>
            <color indexed="81"/>
            <rFont val="Arial"/>
            <family val="2"/>
          </rPr>
          <t>√</t>
        </r>
        <r>
          <rPr>
            <sz val="8"/>
            <color indexed="81"/>
            <rFont val="Tahoma"/>
            <family val="2"/>
          </rPr>
          <t>((</t>
        </r>
        <r>
          <rPr>
            <i/>
            <sz val="9"/>
            <color indexed="81"/>
            <rFont val="Tahoma"/>
            <family val="2"/>
          </rPr>
          <t>s</t>
        </r>
        <r>
          <rPr>
            <vertAlign val="subscript"/>
            <sz val="9"/>
            <color indexed="81"/>
            <rFont val="Tahoma"/>
            <family val="2"/>
          </rPr>
          <t>1</t>
        </r>
        <r>
          <rPr>
            <vertAlign val="superscript"/>
            <sz val="9"/>
            <color indexed="81"/>
            <rFont val="Tahoma"/>
            <family val="2"/>
          </rPr>
          <t>2</t>
        </r>
        <r>
          <rPr>
            <sz val="8"/>
            <color indexed="81"/>
            <rFont val="Tahoma"/>
            <family val="2"/>
          </rPr>
          <t>+</t>
        </r>
        <r>
          <rPr>
            <i/>
            <sz val="9"/>
            <color indexed="81"/>
            <rFont val="Tahoma"/>
            <family val="2"/>
          </rPr>
          <t>s</t>
        </r>
        <r>
          <rPr>
            <vertAlign val="subscript"/>
            <sz val="9"/>
            <color indexed="81"/>
            <rFont val="Tahoma"/>
            <family val="2"/>
          </rPr>
          <t>2</t>
        </r>
        <r>
          <rPr>
            <vertAlign val="superscript"/>
            <sz val="9"/>
            <color indexed="81"/>
            <rFont val="Tahoma"/>
            <family val="2"/>
          </rPr>
          <t>2</t>
        </r>
        <r>
          <rPr>
            <sz val="8"/>
            <color indexed="81"/>
            <rFont val="Tahoma"/>
            <family val="2"/>
          </rPr>
          <t>)/2)</t>
        </r>
      </text>
    </comment>
    <comment ref="D5" authorId="0" shapeId="0">
      <text>
        <r>
          <rPr>
            <sz val="11"/>
            <color indexed="81"/>
            <rFont val="Symbol"/>
            <family val="1"/>
            <charset val="2"/>
          </rPr>
          <t>m</t>
        </r>
        <r>
          <rPr>
            <i/>
            <sz val="9"/>
            <color indexed="81"/>
            <rFont val="Tahoma"/>
            <family val="2"/>
          </rPr>
          <t>1</t>
        </r>
        <r>
          <rPr>
            <sz val="8"/>
            <color indexed="81"/>
            <rFont val="Tahoma"/>
            <family val="2"/>
          </rPr>
          <t xml:space="preserve">
</t>
        </r>
      </text>
    </comment>
    <comment ref="P5" authorId="0" shapeId="0">
      <text>
        <r>
          <rPr>
            <sz val="8"/>
            <color indexed="81"/>
            <rFont val="Tahoma"/>
            <family val="2"/>
          </rPr>
          <t>Sample SDs, for Measures 1 and 2</t>
        </r>
        <r>
          <rPr>
            <sz val="8"/>
            <color indexed="81"/>
            <rFont val="Tahoma"/>
            <family val="2"/>
          </rPr>
          <t xml:space="preserve">
</t>
        </r>
      </text>
    </comment>
    <comment ref="S5" authorId="0" shapeId="0">
      <text>
        <r>
          <rPr>
            <sz val="8"/>
            <color indexed="81"/>
            <rFont val="Tahoma"/>
            <family val="2"/>
          </rPr>
          <t>SD of the differences</t>
        </r>
        <r>
          <rPr>
            <sz val="8"/>
            <color indexed="81"/>
            <rFont val="Tahoma"/>
            <family val="2"/>
          </rPr>
          <t xml:space="preserve">
</t>
        </r>
      </text>
    </comment>
    <comment ref="D6" authorId="0" shapeId="0">
      <text>
        <r>
          <rPr>
            <sz val="11"/>
            <color indexed="81"/>
            <rFont val="Symbol"/>
            <family val="1"/>
            <charset val="2"/>
          </rPr>
          <t>s</t>
        </r>
        <r>
          <rPr>
            <vertAlign val="subscript"/>
            <sz val="12"/>
            <color indexed="81"/>
            <rFont val="Tahoma"/>
            <family val="2"/>
          </rPr>
          <t>d</t>
        </r>
        <r>
          <rPr>
            <sz val="8"/>
            <color indexed="81"/>
            <rFont val="Tahoma"/>
            <family val="2"/>
          </rPr>
          <t xml:space="preserve">
</t>
        </r>
      </text>
    </comment>
    <comment ref="H6" authorId="0" shapeId="0">
      <text>
        <r>
          <rPr>
            <sz val="8"/>
            <color indexed="81"/>
            <rFont val="Tahoma"/>
            <family val="2"/>
          </rPr>
          <t xml:space="preserve">Click to take another independent, random sample of </t>
        </r>
        <r>
          <rPr>
            <i/>
            <sz val="8"/>
            <color indexed="81"/>
            <rFont val="Tahoma"/>
            <family val="2"/>
          </rPr>
          <t>N</t>
        </r>
        <r>
          <rPr>
            <sz val="8"/>
            <color indexed="81"/>
            <rFont val="Tahoma"/>
            <family val="2"/>
          </rPr>
          <t xml:space="preserve"> pairs.  
____________
After changing any setting, click again to take another sample.</t>
        </r>
      </text>
    </comment>
    <comment ref="K6" authorId="0" shapeId="0">
      <text>
        <r>
          <rPr>
            <sz val="8"/>
            <color indexed="81"/>
            <rFont val="Tahoma"/>
            <family val="2"/>
          </rPr>
          <t>Click to start and stop repeated sampling.</t>
        </r>
        <r>
          <rPr>
            <sz val="8"/>
            <color indexed="81"/>
            <rFont val="Tahoma"/>
            <family val="2"/>
          </rPr>
          <t xml:space="preserve">
</t>
        </r>
      </text>
    </comment>
    <comment ref="P6" authorId="0" shapeId="0">
      <text>
        <r>
          <rPr>
            <i/>
            <sz val="8"/>
            <color indexed="81"/>
            <rFont val="Tahoma"/>
            <family val="2"/>
          </rPr>
          <t>MOE</t>
        </r>
        <r>
          <rPr>
            <vertAlign val="subscript"/>
            <sz val="10"/>
            <color indexed="81"/>
            <rFont val="Tahoma"/>
            <family val="2"/>
          </rPr>
          <t>1</t>
        </r>
        <r>
          <rPr>
            <sz val="8"/>
            <color indexed="81"/>
            <rFont val="Tahoma"/>
            <family val="2"/>
          </rPr>
          <t xml:space="preserve"> is for the CI for the mean of Measure 1; </t>
        </r>
        <r>
          <rPr>
            <i/>
            <sz val="8"/>
            <color indexed="81"/>
            <rFont val="Tahoma"/>
            <family val="2"/>
          </rPr>
          <t>MOE</t>
        </r>
        <r>
          <rPr>
            <vertAlign val="subscript"/>
            <sz val="10"/>
            <color indexed="81"/>
            <rFont val="Tahoma"/>
            <family val="2"/>
          </rPr>
          <t>2</t>
        </r>
        <r>
          <rPr>
            <sz val="8"/>
            <color indexed="81"/>
            <rFont val="Tahoma"/>
            <family val="2"/>
          </rPr>
          <t xml:space="preserve"> for the CI for the mean of Measure 2.</t>
        </r>
      </text>
    </comment>
    <comment ref="S6" authorId="0" shapeId="0">
      <text>
        <r>
          <rPr>
            <i/>
            <sz val="8"/>
            <color indexed="81"/>
            <rFont val="Tahoma"/>
            <family val="2"/>
          </rPr>
          <t>MOE</t>
        </r>
        <r>
          <rPr>
            <sz val="8"/>
            <color indexed="81"/>
            <rFont val="Tahoma"/>
            <family val="2"/>
          </rPr>
          <t xml:space="preserve"> of the CI for mean difference, calculated for the current sample</t>
        </r>
      </text>
    </comment>
    <comment ref="AF6" authorId="0" shapeId="0">
      <text>
        <r>
          <rPr>
            <sz val="8"/>
            <color indexed="81"/>
            <rFont val="Tahoma"/>
            <family val="2"/>
          </rPr>
          <t xml:space="preserve">Average SD of the two conditions, calculated as: 
</t>
        </r>
        <r>
          <rPr>
            <i/>
            <sz val="9"/>
            <color indexed="81"/>
            <rFont val="Tahoma"/>
            <family val="2"/>
          </rPr>
          <t>s</t>
        </r>
        <r>
          <rPr>
            <vertAlign val="subscript"/>
            <sz val="10"/>
            <color indexed="81"/>
            <rFont val="Tahoma"/>
            <family val="2"/>
          </rPr>
          <t>av</t>
        </r>
        <r>
          <rPr>
            <sz val="8"/>
            <color indexed="81"/>
            <rFont val="Tahoma"/>
            <family val="2"/>
          </rPr>
          <t xml:space="preserve"> = </t>
        </r>
        <r>
          <rPr>
            <sz val="8"/>
            <color indexed="81"/>
            <rFont val="Arial"/>
            <family val="2"/>
          </rPr>
          <t>√</t>
        </r>
        <r>
          <rPr>
            <sz val="8"/>
            <color indexed="81"/>
            <rFont val="Tahoma"/>
            <family val="2"/>
          </rPr>
          <t>((</t>
        </r>
        <r>
          <rPr>
            <i/>
            <sz val="9"/>
            <color indexed="81"/>
            <rFont val="Tahoma"/>
            <family val="2"/>
          </rPr>
          <t>s</t>
        </r>
        <r>
          <rPr>
            <vertAlign val="subscript"/>
            <sz val="9"/>
            <color indexed="81"/>
            <rFont val="Tahoma"/>
            <family val="2"/>
          </rPr>
          <t>1</t>
        </r>
        <r>
          <rPr>
            <vertAlign val="superscript"/>
            <sz val="9"/>
            <color indexed="81"/>
            <rFont val="Tahoma"/>
            <family val="2"/>
          </rPr>
          <t>2</t>
        </r>
        <r>
          <rPr>
            <sz val="8"/>
            <color indexed="81"/>
            <rFont val="Tahoma"/>
            <family val="2"/>
          </rPr>
          <t>+</t>
        </r>
        <r>
          <rPr>
            <i/>
            <sz val="9"/>
            <color indexed="81"/>
            <rFont val="Tahoma"/>
            <family val="2"/>
          </rPr>
          <t>s</t>
        </r>
        <r>
          <rPr>
            <vertAlign val="subscript"/>
            <sz val="9"/>
            <color indexed="81"/>
            <rFont val="Tahoma"/>
            <family val="2"/>
          </rPr>
          <t>2</t>
        </r>
        <r>
          <rPr>
            <vertAlign val="superscript"/>
            <sz val="9"/>
            <color indexed="81"/>
            <rFont val="Tahoma"/>
            <family val="2"/>
          </rPr>
          <t>2</t>
        </r>
        <r>
          <rPr>
            <sz val="8"/>
            <color indexed="81"/>
            <rFont val="Tahoma"/>
            <family val="2"/>
          </rPr>
          <t>)/2)</t>
        </r>
      </text>
    </comment>
    <comment ref="L7" authorId="0" shapeId="0">
      <text>
        <r>
          <rPr>
            <sz val="8"/>
            <color indexed="81"/>
            <rFont val="Tahoma"/>
            <family val="2"/>
          </rPr>
          <t>Click spinner to change the sampling speed.  Max = 20</t>
        </r>
        <r>
          <rPr>
            <sz val="8"/>
            <color indexed="81"/>
            <rFont val="Tahoma"/>
            <family val="2"/>
          </rPr>
          <t xml:space="preserve">
</t>
        </r>
      </text>
    </comment>
    <comment ref="P7" authorId="0" shapeId="0">
      <text>
        <r>
          <rPr>
            <sz val="8"/>
            <color indexed="81"/>
            <rFont val="Tahoma"/>
            <family val="2"/>
          </rPr>
          <t>of the two measures, for this sample.</t>
        </r>
        <r>
          <rPr>
            <sz val="8"/>
            <color indexed="81"/>
            <rFont val="Tahoma"/>
            <family val="2"/>
          </rPr>
          <t xml:space="preserve">
</t>
        </r>
      </text>
    </comment>
    <comment ref="S7" authorId="0" shapeId="0">
      <text>
        <r>
          <rPr>
            <sz val="8"/>
            <color indexed="81"/>
            <rFont val="Tahoma"/>
            <family val="2"/>
          </rPr>
          <t xml:space="preserve">Effect size, in original measurement units.  The same as </t>
        </r>
        <r>
          <rPr>
            <i/>
            <sz val="8"/>
            <color indexed="81"/>
            <rFont val="Tahoma"/>
            <family val="2"/>
          </rPr>
          <t>M</t>
        </r>
        <r>
          <rPr>
            <vertAlign val="subscript"/>
            <sz val="10"/>
            <color indexed="81"/>
            <rFont val="Tahoma"/>
            <family val="2"/>
          </rPr>
          <t>diff</t>
        </r>
        <r>
          <rPr>
            <sz val="8"/>
            <color indexed="81"/>
            <rFont val="Tahoma"/>
            <family val="2"/>
          </rPr>
          <t xml:space="preserve">
</t>
        </r>
      </text>
    </comment>
    <comment ref="S8" authorId="0" shapeId="0">
      <text>
        <r>
          <rPr>
            <sz val="8"/>
            <color indexed="81"/>
            <rFont val="Tahoma"/>
            <family val="2"/>
          </rPr>
          <t xml:space="preserve">Value of </t>
        </r>
        <r>
          <rPr>
            <i/>
            <sz val="8"/>
            <color indexed="81"/>
            <rFont val="Tahoma"/>
            <family val="2"/>
          </rPr>
          <t xml:space="preserve">t </t>
        </r>
        <r>
          <rPr>
            <sz val="8"/>
            <color indexed="81"/>
            <rFont val="Tahoma"/>
            <family val="2"/>
          </rPr>
          <t>for testing the difference against zero</t>
        </r>
      </text>
    </comment>
    <comment ref="U8" authorId="0" shapeId="0">
      <text>
        <r>
          <rPr>
            <sz val="8"/>
            <color indexed="81"/>
            <rFont val="Tahoma"/>
            <family val="2"/>
          </rPr>
          <t>degrees of freedom = (</t>
        </r>
        <r>
          <rPr>
            <i/>
            <sz val="8"/>
            <color indexed="81"/>
            <rFont val="Tahoma"/>
            <family val="2"/>
          </rPr>
          <t>N</t>
        </r>
        <r>
          <rPr>
            <sz val="8"/>
            <color indexed="81"/>
            <rFont val="Tahoma"/>
            <family val="2"/>
          </rPr>
          <t xml:space="preserve"> - 1)</t>
        </r>
        <r>
          <rPr>
            <sz val="10"/>
            <color indexed="81"/>
            <rFont val="Tahoma"/>
            <family val="2"/>
          </rPr>
          <t xml:space="preserve">
</t>
        </r>
      </text>
    </comment>
    <comment ref="AR8" authorId="0" shapeId="0">
      <text>
        <r>
          <rPr>
            <sz val="8"/>
            <color indexed="81"/>
            <rFont val="Tahoma"/>
            <family val="2"/>
          </rPr>
          <t xml:space="preserve">Click to display Cohen's </t>
        </r>
        <r>
          <rPr>
            <i/>
            <sz val="9"/>
            <color indexed="81"/>
            <rFont val="Tahoma"/>
            <family val="2"/>
          </rPr>
          <t>d</t>
        </r>
        <r>
          <rPr>
            <sz val="8"/>
            <color indexed="81"/>
            <rFont val="Tahoma"/>
            <family val="2"/>
          </rPr>
          <t xml:space="preserve">, with its CI.
</t>
        </r>
      </text>
    </comment>
    <comment ref="S9" authorId="0" shapeId="0">
      <text>
        <r>
          <rPr>
            <sz val="8"/>
            <color indexed="81"/>
            <rFont val="Tahoma"/>
            <family val="2"/>
          </rPr>
          <t>for testing the null hypothesis of no difference between the two group means</t>
        </r>
        <r>
          <rPr>
            <sz val="9"/>
            <color indexed="81"/>
            <rFont val="Tahoma"/>
            <family val="2"/>
          </rPr>
          <t xml:space="preserve"> </t>
        </r>
        <r>
          <rPr>
            <sz val="8"/>
            <color indexed="81"/>
            <rFont val="Tahoma"/>
            <family val="2"/>
          </rPr>
          <t xml:space="preserve">
</t>
        </r>
      </text>
    </comment>
    <comment ref="AJ9" authorId="0" shapeId="0">
      <text>
        <r>
          <rPr>
            <sz val="8"/>
            <color indexed="81"/>
            <rFont val="Tahoma"/>
            <family val="2"/>
          </rPr>
          <t xml:space="preserve">Approximate CIs are calculated using noncentral </t>
        </r>
        <r>
          <rPr>
            <i/>
            <sz val="9"/>
            <color indexed="81"/>
            <rFont val="Tahoma"/>
            <family val="2"/>
          </rPr>
          <t>t</t>
        </r>
        <r>
          <rPr>
            <sz val="8"/>
            <color indexed="81"/>
            <rFont val="Tahoma"/>
            <family val="2"/>
          </rPr>
          <t xml:space="preserve"> and the method of Algina, J., &amp; Keselman, H. (2003). Approximate confidence intervals for effet sizes. </t>
        </r>
        <r>
          <rPr>
            <i/>
            <sz val="8"/>
            <color indexed="81"/>
            <rFont val="Tahoma"/>
            <family val="2"/>
          </rPr>
          <t xml:space="preserve">Educational and Psychological Measurement, 63, </t>
        </r>
        <r>
          <rPr>
            <sz val="8"/>
            <color indexed="81"/>
            <rFont val="Tahoma"/>
            <family val="2"/>
          </rPr>
          <t xml:space="preserve">537-553.
____________
Calculation is triggered when an experiment is taken.  
If </t>
        </r>
        <r>
          <rPr>
            <i/>
            <sz val="8"/>
            <color indexed="81"/>
            <rFont val="Tahoma"/>
            <family val="2"/>
          </rPr>
          <t>C</t>
        </r>
        <r>
          <rPr>
            <sz val="8"/>
            <color indexed="81"/>
            <rFont val="Tahoma"/>
            <family val="2"/>
          </rPr>
          <t xml:space="preserve"> is changed, new calculations are required, so no CI is displayed until another experiment is taken.</t>
        </r>
        <r>
          <rPr>
            <sz val="10"/>
            <color indexed="81"/>
            <rFont val="Tahoma"/>
            <family val="2"/>
          </rPr>
          <t xml:space="preserve">
</t>
        </r>
        <r>
          <rPr>
            <sz val="8"/>
            <color indexed="81"/>
            <rFont val="Tahoma"/>
            <family val="2"/>
          </rPr>
          <t xml:space="preserve">For CI calculation, </t>
        </r>
        <r>
          <rPr>
            <i/>
            <sz val="9"/>
            <color indexed="81"/>
            <rFont val="Tahoma"/>
            <family val="2"/>
          </rPr>
          <t>df</t>
        </r>
        <r>
          <rPr>
            <sz val="8"/>
            <color indexed="81"/>
            <rFont val="Tahoma"/>
            <family val="2"/>
          </rPr>
          <t xml:space="preserve"> must be at least 5, </t>
        </r>
        <r>
          <rPr>
            <i/>
            <sz val="9"/>
            <color indexed="81"/>
            <rFont val="Tahoma"/>
            <family val="2"/>
          </rPr>
          <t>d</t>
        </r>
        <r>
          <rPr>
            <vertAlign val="subscript"/>
            <sz val="10"/>
            <color indexed="81"/>
            <rFont val="Tahoma"/>
            <family val="2"/>
          </rPr>
          <t>unb</t>
        </r>
        <r>
          <rPr>
            <sz val="8"/>
            <color indexed="81"/>
            <rFont val="Tahoma"/>
            <family val="2"/>
          </rPr>
          <t xml:space="preserve"> must lie between -2 and +2, and </t>
        </r>
        <r>
          <rPr>
            <i/>
            <sz val="8"/>
            <color indexed="81"/>
            <rFont val="Tahoma"/>
            <family val="2"/>
          </rPr>
          <t>C</t>
        </r>
        <r>
          <rPr>
            <sz val="8"/>
            <color indexed="81"/>
            <rFont val="Tahoma"/>
            <family val="2"/>
          </rPr>
          <t xml:space="preserve"> must be 95.</t>
        </r>
      </text>
    </comment>
    <comment ref="F10" authorId="0" shapeId="0">
      <text>
        <r>
          <rPr>
            <sz val="8"/>
            <color indexed="81"/>
            <rFont val="Tahoma"/>
            <family val="2"/>
          </rPr>
          <t xml:space="preserve">Set the sample size, </t>
        </r>
        <r>
          <rPr>
            <sz val="8"/>
            <color indexed="81"/>
            <rFont val="Tahoma"/>
            <family val="2"/>
          </rPr>
          <t>the number of data pairs</t>
        </r>
      </text>
    </comment>
    <comment ref="U10" authorId="0" shapeId="0">
      <text>
        <r>
          <rPr>
            <sz val="8"/>
            <color indexed="81"/>
            <rFont val="Tahoma"/>
            <family val="2"/>
          </rPr>
          <t xml:space="preserve">The original units of measurement, e.g., cm, $
</t>
        </r>
      </text>
    </comment>
    <comment ref="K11" authorId="0" shapeId="0">
      <text>
        <r>
          <rPr>
            <sz val="8"/>
            <color indexed="81"/>
            <rFont val="Tahoma"/>
            <family val="2"/>
          </rPr>
          <t>Min 2, max 100</t>
        </r>
        <r>
          <rPr>
            <sz val="8"/>
            <color indexed="81"/>
            <rFont val="Tahoma"/>
            <family val="2"/>
          </rPr>
          <t xml:space="preserve">
</t>
        </r>
      </text>
    </comment>
    <comment ref="Q11" authorId="0" shapeId="0">
      <text>
        <r>
          <rPr>
            <sz val="8"/>
            <color indexed="81"/>
            <rFont val="Tahoma"/>
            <family val="2"/>
          </rPr>
          <t>Data points for Measure 1</t>
        </r>
        <r>
          <rPr>
            <sz val="8"/>
            <color indexed="81"/>
            <rFont val="Tahoma"/>
            <family val="2"/>
          </rPr>
          <t xml:space="preserve">
</t>
        </r>
      </text>
    </comment>
    <comment ref="R11" authorId="0" shapeId="0">
      <text>
        <r>
          <rPr>
            <sz val="8"/>
            <color indexed="81"/>
            <rFont val="Tahoma"/>
            <family val="2"/>
          </rPr>
          <t>Data points for Measure 2</t>
        </r>
        <r>
          <rPr>
            <sz val="8"/>
            <color indexed="81"/>
            <rFont val="Tahoma"/>
            <family val="2"/>
          </rPr>
          <t xml:space="preserve">
</t>
        </r>
      </text>
    </comment>
    <comment ref="T11" authorId="0" shapeId="0">
      <text>
        <r>
          <rPr>
            <sz val="8"/>
            <color indexed="81"/>
            <rFont val="Tahoma"/>
            <family val="2"/>
          </rPr>
          <t>The column below gives the calculated (Measure 2 - Measure 1) difference, for each pair</t>
        </r>
        <r>
          <rPr>
            <sz val="8"/>
            <color indexed="81"/>
            <rFont val="Tahoma"/>
            <family val="2"/>
          </rPr>
          <t xml:space="preserve">
</t>
        </r>
      </text>
    </comment>
    <comment ref="P12" authorId="0" shapeId="0">
      <text>
        <r>
          <rPr>
            <sz val="8"/>
            <color indexed="81"/>
            <rFont val="Tahoma"/>
            <family val="2"/>
          </rPr>
          <t xml:space="preserve">At right, type labels for the two measures, to appear at bottom of the figure
</t>
        </r>
      </text>
    </comment>
    <comment ref="Q12" authorId="0" shapeId="0">
      <text>
        <r>
          <rPr>
            <sz val="8"/>
            <color indexed="81"/>
            <rFont val="Tahoma"/>
            <family val="2"/>
          </rPr>
          <t xml:space="preserve">Type brief label for Measure 1, to appear at bottom of the figure
</t>
        </r>
      </text>
    </comment>
    <comment ref="R12" authorId="0" shapeId="0">
      <text>
        <r>
          <rPr>
            <sz val="8"/>
            <color indexed="81"/>
            <rFont val="Tahoma"/>
            <family val="2"/>
          </rPr>
          <t xml:space="preserve">Type brief label for Measure 2, to appear at bottom of the figure
</t>
        </r>
      </text>
    </comment>
    <comment ref="T12" authorId="0" shapeId="0">
      <text>
        <r>
          <rPr>
            <sz val="8"/>
            <color indexed="81"/>
            <rFont val="Tahoma"/>
            <family val="2"/>
          </rPr>
          <t xml:space="preserve">Click any of the checkboxes below to highlight in the figure the corresponding pair and its difference.
---Only works when data pairs, and differences, are displayed in the figure.
(Click near </t>
        </r>
        <r>
          <rPr>
            <b/>
            <sz val="9"/>
            <color indexed="10"/>
            <rFont val="Tahoma"/>
            <family val="2"/>
          </rPr>
          <t>5</t>
        </r>
        <r>
          <rPr>
            <sz val="8"/>
            <color indexed="81"/>
            <rFont val="Tahoma"/>
            <family val="2"/>
          </rPr>
          <t xml:space="preserve"> for those.)
Only pairs 1, 3, 5, and 7 can be highlighted.  </t>
        </r>
        <r>
          <rPr>
            <sz val="8"/>
            <color indexed="81"/>
            <rFont val="Tahoma"/>
            <family val="2"/>
          </rPr>
          <t xml:space="preserve">
</t>
        </r>
      </text>
    </comment>
    <comment ref="U12" authorId="0" shapeId="0">
      <text>
        <r>
          <rPr>
            <sz val="8"/>
            <color indexed="81"/>
            <rFont val="Tahoma"/>
            <family val="2"/>
          </rPr>
          <t>Type units here</t>
        </r>
        <r>
          <rPr>
            <sz val="10"/>
            <color indexed="81"/>
            <rFont val="Tahoma"/>
            <family val="2"/>
          </rPr>
          <t xml:space="preserve">
</t>
        </r>
      </text>
    </comment>
    <comment ref="AH12" authorId="0" shapeId="0">
      <text>
        <r>
          <rPr>
            <sz val="8"/>
            <color indexed="81"/>
            <rFont val="Tahoma"/>
            <family val="2"/>
          </rPr>
          <t xml:space="preserve">Average arm length of the CI for </t>
        </r>
        <r>
          <rPr>
            <sz val="11"/>
            <color indexed="81"/>
            <rFont val="Symbol"/>
            <family val="1"/>
            <charset val="2"/>
          </rPr>
          <t>d</t>
        </r>
        <r>
          <rPr>
            <sz val="8"/>
            <color indexed="81"/>
            <rFont val="Tahoma"/>
            <family val="2"/>
          </rPr>
          <t>.  This is our measure of precision.</t>
        </r>
        <r>
          <rPr>
            <sz val="10"/>
            <color indexed="81"/>
            <rFont val="Tahoma"/>
            <family val="2"/>
          </rPr>
          <t xml:space="preserve">
</t>
        </r>
      </text>
    </comment>
    <comment ref="F13" authorId="0" shapeId="0">
      <text>
        <r>
          <rPr>
            <sz val="8"/>
            <color indexed="81"/>
            <rFont val="Tahoma"/>
            <family val="2"/>
          </rPr>
          <t>Set basic features of the display</t>
        </r>
        <r>
          <rPr>
            <sz val="8"/>
            <color indexed="81"/>
            <rFont val="Tahoma"/>
            <family val="2"/>
          </rPr>
          <t xml:space="preserve">
</t>
        </r>
      </text>
    </comment>
    <comment ref="L14" authorId="0" shapeId="0">
      <text>
        <r>
          <rPr>
            <sz val="8"/>
            <color indexed="81"/>
            <rFont val="Tahoma"/>
            <family val="2"/>
          </rPr>
          <t xml:space="preserve">Mark values of differences with small pink triangles, against the Difference axis
</t>
        </r>
      </text>
    </comment>
    <comment ref="AH14" authorId="0" shapeId="0">
      <text>
        <r>
          <rPr>
            <sz val="8"/>
            <color indexed="81"/>
            <rFont val="Tahoma"/>
            <family val="2"/>
          </rPr>
          <t xml:space="preserve">When Cohen's </t>
        </r>
        <r>
          <rPr>
            <i/>
            <sz val="9"/>
            <color indexed="81"/>
            <rFont val="Tahoma"/>
            <family val="2"/>
          </rPr>
          <t>d</t>
        </r>
        <r>
          <rPr>
            <sz val="8"/>
            <color indexed="81"/>
            <rFont val="Tahoma"/>
            <family val="2"/>
          </rPr>
          <t xml:space="preserve"> is shown above, show here </t>
        </r>
        <r>
          <rPr>
            <i/>
            <sz val="9"/>
            <color indexed="81"/>
            <rFont val="Tahoma"/>
            <family val="2"/>
          </rPr>
          <t>d</t>
        </r>
        <r>
          <rPr>
            <vertAlign val="subscript"/>
            <sz val="10"/>
            <color indexed="81"/>
            <rFont val="Tahoma"/>
            <family val="2"/>
          </rPr>
          <t>unb</t>
        </r>
        <r>
          <rPr>
            <sz val="8"/>
            <color indexed="81"/>
            <rFont val="Tahoma"/>
            <family val="2"/>
          </rPr>
          <t xml:space="preserve">, which is calculated from </t>
        </r>
        <r>
          <rPr>
            <i/>
            <sz val="9"/>
            <color indexed="81"/>
            <rFont val="Tahoma"/>
            <family val="2"/>
          </rPr>
          <t>d</t>
        </r>
        <r>
          <rPr>
            <sz val="8"/>
            <color indexed="81"/>
            <rFont val="Tahoma"/>
            <family val="2"/>
          </rPr>
          <t xml:space="preserve"> to be 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 ref="I15" authorId="0" shapeId="0">
      <text>
        <r>
          <rPr>
            <sz val="8"/>
            <color indexed="81"/>
            <rFont val="Tahoma"/>
            <family val="2"/>
          </rPr>
          <t xml:space="preserve">Mark values of data points with small blue circles
</t>
        </r>
      </text>
    </comment>
    <comment ref="F16" authorId="0" shapeId="0">
      <text>
        <r>
          <rPr>
            <sz val="8"/>
            <color indexed="81"/>
            <rFont val="Tahoma"/>
            <family val="2"/>
          </rPr>
          <t>Choose display format for sample means</t>
        </r>
        <r>
          <rPr>
            <sz val="8"/>
            <color indexed="81"/>
            <rFont val="Tahoma"/>
            <family val="2"/>
          </rPr>
          <t xml:space="preserve">
</t>
        </r>
      </text>
    </comment>
    <comment ref="AF16" authorId="0" shapeId="0">
      <text>
        <r>
          <rPr>
            <sz val="8"/>
            <color indexed="81"/>
            <rFont val="Tahoma"/>
            <family val="2"/>
          </rPr>
          <t xml:space="preserve">An unbiased estimate of population effect size </t>
        </r>
        <r>
          <rPr>
            <sz val="11"/>
            <color indexed="81"/>
            <rFont val="Symbol"/>
            <family val="1"/>
            <charset val="2"/>
          </rPr>
          <t>d</t>
        </r>
        <r>
          <rPr>
            <sz val="8"/>
            <color indexed="81"/>
            <rFont val="Tahoma"/>
            <family val="2"/>
          </rPr>
          <t>.</t>
        </r>
        <r>
          <rPr>
            <sz val="10"/>
            <color indexed="81"/>
            <rFont val="Tahoma"/>
            <family val="2"/>
          </rPr>
          <t xml:space="preserve">
</t>
        </r>
      </text>
    </comment>
    <comment ref="L19" authorId="0" shapeId="0">
      <text>
        <r>
          <rPr>
            <sz val="8"/>
            <color indexed="81"/>
            <rFont val="Tahoma"/>
            <family val="2"/>
          </rPr>
          <t>Mark the difference between means with a vertical pink line.  This is the effect size, in original units.
____________</t>
        </r>
        <r>
          <rPr>
            <sz val="8"/>
            <color indexed="81"/>
            <rFont val="Tahoma"/>
            <family val="2"/>
          </rPr>
          <t xml:space="preserve">
It equals the mean of the differences, against the Difference axis.</t>
        </r>
      </text>
    </comment>
    <comment ref="F20" authorId="0" shapeId="0">
      <text>
        <r>
          <rPr>
            <sz val="8"/>
            <color indexed="81"/>
            <rFont val="Tahoma"/>
            <family val="2"/>
          </rPr>
          <t>Choose CIs to display</t>
        </r>
        <r>
          <rPr>
            <sz val="8"/>
            <color indexed="81"/>
            <rFont val="Tahoma"/>
            <family val="2"/>
          </rPr>
          <t xml:space="preserve">
</t>
        </r>
      </text>
    </comment>
    <comment ref="J21" authorId="0" shapeId="0">
      <text>
        <r>
          <rPr>
            <sz val="8"/>
            <color indexed="81"/>
            <rFont val="Tahoma"/>
            <family val="2"/>
          </rPr>
          <t>Show CIs on the means of Measures 1 and 2</t>
        </r>
        <r>
          <rPr>
            <sz val="8"/>
            <color indexed="81"/>
            <rFont val="Tahoma"/>
            <family val="2"/>
          </rPr>
          <t xml:space="preserve">
</t>
        </r>
      </text>
    </comment>
    <comment ref="L21" authorId="0" shapeId="0">
      <text>
        <r>
          <rPr>
            <sz val="8"/>
            <color indexed="81"/>
            <rFont val="Tahoma"/>
            <family val="2"/>
          </rPr>
          <t>Confidence level (%) for CIs.  Use the spinner or type in a value.  Min 0, max 99.9.</t>
        </r>
        <r>
          <rPr>
            <sz val="8"/>
            <color indexed="81"/>
            <rFont val="Tahoma"/>
            <family val="2"/>
          </rPr>
          <t xml:space="preserve">
</t>
        </r>
      </text>
    </comment>
    <comment ref="L22" authorId="0" shapeId="0">
      <text>
        <r>
          <rPr>
            <sz val="8"/>
            <color indexed="81"/>
            <rFont val="Tahoma"/>
            <family val="2"/>
          </rPr>
          <t>Show the CI on the differences</t>
        </r>
        <r>
          <rPr>
            <sz val="8"/>
            <color indexed="81"/>
            <rFont val="Tahoma"/>
            <family val="2"/>
          </rPr>
          <t xml:space="preserve">
</t>
        </r>
      </text>
    </comment>
    <comment ref="AR23" authorId="0" shapeId="0">
      <text>
        <r>
          <rPr>
            <sz val="8"/>
            <color indexed="81"/>
            <rFont val="Tahoma"/>
            <family val="2"/>
          </rPr>
          <t xml:space="preserve">Click to display power, at </t>
        </r>
        <r>
          <rPr>
            <b/>
            <sz val="9"/>
            <color indexed="10"/>
            <rFont val="Tahoma"/>
            <family val="2"/>
          </rPr>
          <t>15</t>
        </r>
        <r>
          <rPr>
            <sz val="8"/>
            <color indexed="81"/>
            <rFont val="Tahoma"/>
            <family val="2"/>
          </rPr>
          <t xml:space="preserve">
</t>
        </r>
      </text>
    </comment>
    <comment ref="F24" authorId="0" shapeId="0">
      <text>
        <r>
          <rPr>
            <sz val="8"/>
            <color indexed="81"/>
            <rFont val="Tahoma"/>
            <family val="2"/>
          </rPr>
          <t>Use the spinners to select aspects of the two populations of measures, and the population of differences</t>
        </r>
      </text>
    </comment>
    <comment ref="H27" authorId="0" shapeId="0">
      <text>
        <r>
          <rPr>
            <sz val="8"/>
            <color indexed="81"/>
            <rFont val="Tahoma"/>
            <family val="2"/>
          </rPr>
          <t xml:space="preserve">for Measure 1.  Min 0, max 100.  If any </t>
        </r>
        <r>
          <rPr>
            <sz val="11"/>
            <color indexed="81"/>
            <rFont val="Symbol"/>
            <family val="1"/>
            <charset val="2"/>
          </rPr>
          <t>m</t>
        </r>
        <r>
          <rPr>
            <sz val="8"/>
            <color indexed="81"/>
            <rFont val="Tahoma"/>
            <family val="2"/>
          </rPr>
          <t xml:space="preserve">, </t>
        </r>
        <r>
          <rPr>
            <sz val="10"/>
            <color indexed="81"/>
            <rFont val="Symbol"/>
            <family val="1"/>
            <charset val="2"/>
          </rPr>
          <t>s</t>
        </r>
        <r>
          <rPr>
            <sz val="8"/>
            <color indexed="81"/>
            <rFont val="Tahoma"/>
            <family val="2"/>
          </rPr>
          <t xml:space="preserve">, or </t>
        </r>
        <r>
          <rPr>
            <i/>
            <sz val="8"/>
            <color indexed="81"/>
            <rFont val="Tahoma"/>
            <family val="2"/>
          </rPr>
          <t>N</t>
        </r>
        <r>
          <rPr>
            <sz val="8"/>
            <color indexed="81"/>
            <rFont val="Tahoma"/>
            <family val="2"/>
          </rPr>
          <t xml:space="preserve"> is changed (or any of </t>
        </r>
        <r>
          <rPr>
            <sz val="11"/>
            <color indexed="81"/>
            <rFont val="Symbol"/>
            <family val="1"/>
            <charset val="2"/>
          </rPr>
          <t>m</t>
        </r>
        <r>
          <rPr>
            <sz val="8"/>
            <color indexed="81"/>
            <rFont val="Tahoma"/>
            <family val="2"/>
          </rPr>
          <t>,</t>
        </r>
        <r>
          <rPr>
            <sz val="8"/>
            <color indexed="81"/>
            <rFont val="Symbol"/>
            <family val="1"/>
            <charset val="2"/>
          </rPr>
          <t xml:space="preserve"> </t>
        </r>
        <r>
          <rPr>
            <sz val="10"/>
            <color indexed="81"/>
            <rFont val="Symbol"/>
            <family val="1"/>
            <charset val="2"/>
          </rPr>
          <t>s</t>
        </r>
        <r>
          <rPr>
            <sz val="8"/>
            <color indexed="81"/>
            <rFont val="Tahoma"/>
            <family val="2"/>
          </rPr>
          <t xml:space="preserve">, </t>
        </r>
        <r>
          <rPr>
            <i/>
            <sz val="8"/>
            <color indexed="81"/>
            <rFont val="Tahoma"/>
            <family val="2"/>
          </rPr>
          <t>N</t>
        </r>
        <r>
          <rPr>
            <sz val="8"/>
            <color indexed="81"/>
            <rFont val="Tahoma"/>
            <family val="2"/>
          </rPr>
          <t xml:space="preserve">, or </t>
        </r>
        <r>
          <rPr>
            <i/>
            <sz val="8"/>
            <color indexed="81"/>
            <rFont val="Tahoma"/>
            <family val="2"/>
          </rPr>
          <t>C</t>
        </r>
        <r>
          <rPr>
            <sz val="8"/>
            <color indexed="81"/>
            <rFont val="Tahoma"/>
            <family val="2"/>
          </rPr>
          <t xml:space="preserve"> is out of range) the sample displays disappear, until a new sample is taken (and all values are within range).</t>
        </r>
        <r>
          <rPr>
            <sz val="8"/>
            <color indexed="81"/>
            <rFont val="Tahoma"/>
            <family val="2"/>
          </rPr>
          <t xml:space="preserve">
</t>
        </r>
      </text>
    </comment>
    <comment ref="K27" authorId="0" shapeId="0">
      <text>
        <r>
          <rPr>
            <sz val="8"/>
            <color indexed="81"/>
            <rFont val="Tahoma"/>
            <family val="2"/>
          </rPr>
          <t xml:space="preserve">for Measure 2.  Min 0, max 100.  If any </t>
        </r>
        <r>
          <rPr>
            <sz val="11"/>
            <color indexed="81"/>
            <rFont val="Symbol"/>
            <family val="1"/>
            <charset val="2"/>
          </rPr>
          <t>m</t>
        </r>
        <r>
          <rPr>
            <sz val="8"/>
            <color indexed="81"/>
            <rFont val="Tahoma"/>
            <family val="2"/>
          </rPr>
          <t xml:space="preserve">, </t>
        </r>
        <r>
          <rPr>
            <sz val="10"/>
            <color indexed="81"/>
            <rFont val="Symbol"/>
            <family val="1"/>
            <charset val="2"/>
          </rPr>
          <t>s</t>
        </r>
        <r>
          <rPr>
            <sz val="8"/>
            <color indexed="81"/>
            <rFont val="Tahoma"/>
            <family val="2"/>
          </rPr>
          <t xml:space="preserve">, or </t>
        </r>
        <r>
          <rPr>
            <i/>
            <sz val="8"/>
            <color indexed="81"/>
            <rFont val="Tahoma"/>
            <family val="2"/>
          </rPr>
          <t>N</t>
        </r>
        <r>
          <rPr>
            <sz val="8"/>
            <color indexed="81"/>
            <rFont val="Tahoma"/>
            <family val="2"/>
          </rPr>
          <t xml:space="preserve"> is changed (or any of </t>
        </r>
        <r>
          <rPr>
            <sz val="11"/>
            <color indexed="81"/>
            <rFont val="Symbol"/>
            <family val="1"/>
            <charset val="2"/>
          </rPr>
          <t>m</t>
        </r>
        <r>
          <rPr>
            <sz val="8"/>
            <color indexed="81"/>
            <rFont val="Tahoma"/>
            <family val="2"/>
          </rPr>
          <t>,</t>
        </r>
        <r>
          <rPr>
            <sz val="8"/>
            <color indexed="81"/>
            <rFont val="Symbol"/>
            <family val="1"/>
            <charset val="2"/>
          </rPr>
          <t xml:space="preserve"> </t>
        </r>
        <r>
          <rPr>
            <sz val="10"/>
            <color indexed="81"/>
            <rFont val="Symbol"/>
            <family val="1"/>
            <charset val="2"/>
          </rPr>
          <t>s</t>
        </r>
        <r>
          <rPr>
            <sz val="8"/>
            <color indexed="81"/>
            <rFont val="Tahoma"/>
            <family val="2"/>
          </rPr>
          <t xml:space="preserve">, </t>
        </r>
        <r>
          <rPr>
            <i/>
            <sz val="8"/>
            <color indexed="81"/>
            <rFont val="Tahoma"/>
            <family val="2"/>
          </rPr>
          <t>N</t>
        </r>
        <r>
          <rPr>
            <sz val="8"/>
            <color indexed="81"/>
            <rFont val="Tahoma"/>
            <family val="2"/>
          </rPr>
          <t xml:space="preserve">, or </t>
        </r>
        <r>
          <rPr>
            <i/>
            <sz val="8"/>
            <color indexed="81"/>
            <rFont val="Tahoma"/>
            <family val="2"/>
          </rPr>
          <t>C</t>
        </r>
        <r>
          <rPr>
            <sz val="8"/>
            <color indexed="81"/>
            <rFont val="Tahoma"/>
            <family val="2"/>
          </rPr>
          <t xml:space="preserve"> is out of range) the sample displays disappear, until a new sample is taken (and all values are within range).</t>
        </r>
        <r>
          <rPr>
            <sz val="8"/>
            <color indexed="81"/>
            <rFont val="Tahoma"/>
            <family val="2"/>
          </rPr>
          <t xml:space="preserve">
</t>
        </r>
      </text>
    </comment>
    <comment ref="I29" authorId="0" shapeId="0">
      <text>
        <r>
          <rPr>
            <sz val="8"/>
            <color indexed="81"/>
            <rFont val="Tahoma"/>
            <family val="2"/>
          </rPr>
          <t>Assumed the same for the Measure 1 and Measure 2 populations.  Min 1, max 50.</t>
        </r>
        <r>
          <rPr>
            <sz val="8"/>
            <color indexed="81"/>
            <rFont val="Tahoma"/>
            <family val="2"/>
          </rPr>
          <t xml:space="preserve">
</t>
        </r>
      </text>
    </comment>
    <comment ref="L29" authorId="0" shapeId="0">
      <text>
        <r>
          <rPr>
            <sz val="8"/>
            <color indexed="81"/>
            <rFont val="Tahoma"/>
            <family val="2"/>
          </rPr>
          <t xml:space="preserve">Population SD of the pair differences.  Min 1, max 50.  
_________________
</t>
        </r>
        <r>
          <rPr>
            <sz val="10"/>
            <color indexed="81"/>
            <rFont val="Symbol"/>
            <family val="1"/>
            <charset val="2"/>
          </rPr>
          <t>s</t>
        </r>
        <r>
          <rPr>
            <vertAlign val="subscript"/>
            <sz val="10"/>
            <color indexed="81"/>
            <rFont val="Tahoma"/>
            <family val="2"/>
          </rPr>
          <t>diff</t>
        </r>
        <r>
          <rPr>
            <sz val="8"/>
            <color indexed="81"/>
            <rFont val="Tahoma"/>
            <family val="2"/>
          </rPr>
          <t xml:space="preserve"> cannot exceed 2</t>
        </r>
        <r>
          <rPr>
            <sz val="10"/>
            <color indexed="81"/>
            <rFont val="Symbol"/>
            <family val="1"/>
            <charset val="2"/>
          </rPr>
          <t>s</t>
        </r>
        <r>
          <rPr>
            <sz val="8"/>
            <color indexed="81"/>
            <rFont val="Tahoma"/>
            <family val="2"/>
          </rPr>
          <t xml:space="preserve">.
Usually, </t>
        </r>
        <r>
          <rPr>
            <sz val="10"/>
            <color indexed="81"/>
            <rFont val="Symbol"/>
            <family val="1"/>
            <charset val="2"/>
          </rPr>
          <t>s</t>
        </r>
        <r>
          <rPr>
            <vertAlign val="subscript"/>
            <sz val="10"/>
            <color indexed="81"/>
            <rFont val="Tahoma"/>
            <family val="2"/>
          </rPr>
          <t>diff</t>
        </r>
        <r>
          <rPr>
            <sz val="8"/>
            <color indexed="81"/>
            <rFont val="Tahoma"/>
            <family val="2"/>
          </rPr>
          <t xml:space="preserve"> is smaller than </t>
        </r>
        <r>
          <rPr>
            <sz val="10"/>
            <color indexed="81"/>
            <rFont val="Symbol"/>
            <family val="1"/>
            <charset val="2"/>
          </rPr>
          <t>s</t>
        </r>
        <r>
          <rPr>
            <sz val="8"/>
            <color indexed="81"/>
            <rFont val="Tahoma"/>
            <family val="2"/>
          </rPr>
          <t xml:space="preserve">
</t>
        </r>
      </text>
    </comment>
    <comment ref="I31" authorId="0" shapeId="0">
      <text>
        <r>
          <rPr>
            <sz val="8"/>
            <color indexed="81"/>
            <rFont val="Tahoma"/>
            <family val="2"/>
          </rPr>
          <t xml:space="preserve">Population correlation between Measure 1 and Measure 2.  
______________
If its value is less than -1, </t>
        </r>
        <r>
          <rPr>
            <sz val="10"/>
            <color indexed="81"/>
            <rFont val="Symbol"/>
            <family val="1"/>
            <charset val="2"/>
          </rPr>
          <t>s</t>
        </r>
        <r>
          <rPr>
            <vertAlign val="subscript"/>
            <sz val="10"/>
            <color indexed="81"/>
            <rFont val="Tahoma"/>
            <family val="2"/>
          </rPr>
          <t>diff</t>
        </r>
        <r>
          <rPr>
            <sz val="8"/>
            <color indexed="81"/>
            <rFont val="Tahoma"/>
            <family val="2"/>
          </rPr>
          <t xml:space="preserve"> is too high and no sampling is possible.</t>
        </r>
        <r>
          <rPr>
            <sz val="8"/>
            <color indexed="81"/>
            <rFont val="Tahoma"/>
            <family val="2"/>
          </rPr>
          <t xml:space="preserve">
</t>
        </r>
      </text>
    </comment>
    <comment ref="L32" authorId="0" shapeId="0">
      <text>
        <r>
          <rPr>
            <sz val="8"/>
            <color indexed="81"/>
            <rFont val="Tahoma"/>
            <family val="2"/>
          </rPr>
          <t xml:space="preserve">The difference between the two population means, in units of </t>
        </r>
        <r>
          <rPr>
            <sz val="10"/>
            <color indexed="81"/>
            <rFont val="Symbol"/>
            <family val="1"/>
            <charset val="2"/>
          </rPr>
          <t>s</t>
        </r>
        <r>
          <rPr>
            <sz val="8"/>
            <color indexed="81"/>
            <rFont val="Tahoma"/>
            <family val="2"/>
          </rPr>
          <t xml:space="preserve">.
______________
This is the population standardised effect size, Cohen's </t>
        </r>
        <r>
          <rPr>
            <sz val="10"/>
            <color indexed="81"/>
            <rFont val="Symbol"/>
            <family val="1"/>
            <charset val="2"/>
          </rPr>
          <t>d</t>
        </r>
      </text>
    </comment>
    <comment ref="L33" authorId="0" shapeId="0">
      <text>
        <r>
          <rPr>
            <sz val="8"/>
            <color indexed="81"/>
            <rFont val="Tahoma"/>
            <family val="2"/>
          </rPr>
          <t>The two population means (</t>
        </r>
        <r>
          <rPr>
            <sz val="11"/>
            <color indexed="81"/>
            <rFont val="Symbol"/>
            <family val="1"/>
            <charset val="2"/>
          </rPr>
          <t>m</t>
        </r>
        <r>
          <rPr>
            <vertAlign val="subscript"/>
            <sz val="10"/>
            <color indexed="81"/>
            <rFont val="Tahoma"/>
            <family val="2"/>
          </rPr>
          <t>1</t>
        </r>
        <r>
          <rPr>
            <sz val="8"/>
            <color indexed="81"/>
            <rFont val="Tahoma"/>
            <family val="2"/>
          </rPr>
          <t xml:space="preserve"> and </t>
        </r>
        <r>
          <rPr>
            <sz val="11"/>
            <color indexed="81"/>
            <rFont val="Symbol"/>
            <family val="1"/>
            <charset val="2"/>
          </rPr>
          <t>m</t>
        </r>
        <r>
          <rPr>
            <vertAlign val="subscript"/>
            <sz val="10"/>
            <color indexed="81"/>
            <rFont val="Tahoma"/>
            <family val="2"/>
          </rPr>
          <t>2</t>
        </r>
        <r>
          <rPr>
            <sz val="8"/>
            <color indexed="81"/>
            <rFont val="Tahoma"/>
            <family val="2"/>
          </rPr>
          <t>), and the population mean of the differences (</t>
        </r>
        <r>
          <rPr>
            <sz val="11"/>
            <color indexed="81"/>
            <rFont val="Symbol"/>
            <family val="1"/>
            <charset val="2"/>
          </rPr>
          <t>m</t>
        </r>
        <r>
          <rPr>
            <vertAlign val="subscript"/>
            <sz val="10"/>
            <color indexed="81"/>
            <rFont val="Tahoma"/>
            <family val="2"/>
          </rPr>
          <t>diff</t>
        </r>
        <r>
          <rPr>
            <sz val="8"/>
            <color indexed="81"/>
            <rFont val="Tahoma"/>
            <family val="2"/>
          </rPr>
          <t xml:space="preserve"> = </t>
        </r>
        <r>
          <rPr>
            <sz val="11"/>
            <color indexed="81"/>
            <rFont val="Symbol"/>
            <family val="1"/>
            <charset val="2"/>
          </rPr>
          <t>m</t>
        </r>
        <r>
          <rPr>
            <vertAlign val="subscript"/>
            <sz val="10"/>
            <color indexed="81"/>
            <rFont val="Tahoma"/>
            <family val="2"/>
          </rPr>
          <t>2</t>
        </r>
        <r>
          <rPr>
            <sz val="8"/>
            <color indexed="81"/>
            <rFont val="Tahoma"/>
            <family val="2"/>
          </rPr>
          <t xml:space="preserve"> - </t>
        </r>
        <r>
          <rPr>
            <sz val="11"/>
            <color indexed="81"/>
            <rFont val="Symbol"/>
            <family val="1"/>
            <charset val="2"/>
          </rPr>
          <t>m</t>
        </r>
        <r>
          <rPr>
            <vertAlign val="subscript"/>
            <sz val="10"/>
            <color indexed="81"/>
            <rFont val="Tahoma"/>
            <family val="2"/>
          </rPr>
          <t>1</t>
        </r>
        <r>
          <rPr>
            <sz val="8"/>
            <color indexed="81"/>
            <rFont val="Tahoma"/>
            <family val="2"/>
          </rPr>
          <t>), are displayed in red.  Red bars indicate SD in each case.</t>
        </r>
        <r>
          <rPr>
            <sz val="10"/>
            <color indexed="81"/>
            <rFont val="Tahoma"/>
            <family val="2"/>
          </rPr>
          <t xml:space="preserve">
</t>
        </r>
      </text>
    </comment>
    <comment ref="F34" authorId="0" shapeId="0">
      <text>
        <r>
          <rPr>
            <sz val="8"/>
            <color indexed="81"/>
            <rFont val="Tahoma"/>
            <family val="2"/>
          </rPr>
          <t>See calculated values of statistical power, when population parameters are visible above</t>
        </r>
        <r>
          <rPr>
            <sz val="8"/>
            <color indexed="81"/>
            <rFont val="Tahoma"/>
            <family val="2"/>
          </rPr>
          <t xml:space="preserve">
</t>
        </r>
      </text>
    </comment>
    <comment ref="H35" authorId="0" shapeId="0">
      <text>
        <r>
          <rPr>
            <sz val="8"/>
            <color indexed="81"/>
            <rFont val="Tahoma"/>
            <family val="2"/>
          </rPr>
          <t xml:space="preserve">Calculate power using this value of </t>
        </r>
        <r>
          <rPr>
            <sz val="9"/>
            <color indexed="81"/>
            <rFont val="Symbol"/>
            <family val="1"/>
            <charset val="2"/>
          </rPr>
          <t>a</t>
        </r>
        <r>
          <rPr>
            <sz val="8"/>
            <color indexed="81"/>
            <rFont val="Tahoma"/>
            <family val="2"/>
          </rPr>
          <t xml:space="preserve">
_____________
</t>
        </r>
        <r>
          <rPr>
            <sz val="9"/>
            <color indexed="81"/>
            <rFont val="Symbol"/>
            <family val="1"/>
            <charset val="2"/>
          </rPr>
          <t>a</t>
        </r>
        <r>
          <rPr>
            <sz val="8"/>
            <color indexed="81"/>
            <rFont val="Tahoma"/>
            <family val="2"/>
          </rPr>
          <t xml:space="preserve"> is calculated from the </t>
        </r>
        <r>
          <rPr>
            <i/>
            <sz val="8"/>
            <color indexed="81"/>
            <rFont val="Tahoma"/>
            <family val="2"/>
          </rPr>
          <t>C</t>
        </r>
        <r>
          <rPr>
            <sz val="8"/>
            <color indexed="81"/>
            <rFont val="Tahoma"/>
            <family val="2"/>
          </rPr>
          <t xml:space="preserve"> chosen above, using
</t>
        </r>
        <r>
          <rPr>
            <sz val="9"/>
            <color indexed="81"/>
            <rFont val="Symbol"/>
            <family val="1"/>
            <charset val="2"/>
          </rPr>
          <t>a</t>
        </r>
        <r>
          <rPr>
            <sz val="8"/>
            <color indexed="81"/>
            <rFont val="Tahoma"/>
            <family val="2"/>
          </rPr>
          <t xml:space="preserve"> = 1 - </t>
        </r>
        <r>
          <rPr>
            <i/>
            <sz val="8"/>
            <color indexed="81"/>
            <rFont val="Tahoma"/>
            <family val="2"/>
          </rPr>
          <t>C</t>
        </r>
        <r>
          <rPr>
            <sz val="8"/>
            <color indexed="81"/>
            <rFont val="Tahoma"/>
            <family val="2"/>
          </rPr>
          <t>/100</t>
        </r>
        <r>
          <rPr>
            <sz val="10"/>
            <color indexed="81"/>
            <rFont val="Tahoma"/>
            <family val="2"/>
          </rPr>
          <t xml:space="preserve">
</t>
        </r>
      </text>
    </comment>
    <comment ref="L36" authorId="0" shapeId="0">
      <text>
        <r>
          <rPr>
            <sz val="8"/>
            <color indexed="81"/>
            <rFont val="Tahoma"/>
            <family val="2"/>
          </rPr>
          <t xml:space="preserve">Uses above value of population effect size </t>
        </r>
        <r>
          <rPr>
            <sz val="9"/>
            <color indexed="81"/>
            <rFont val="Symbol"/>
            <family val="1"/>
            <charset val="2"/>
          </rPr>
          <t>d</t>
        </r>
        <r>
          <rPr>
            <sz val="8"/>
            <color indexed="81"/>
            <rFont val="Tahoma"/>
            <family val="2"/>
          </rPr>
          <t xml:space="preserve">.  Also uses above values of </t>
        </r>
        <r>
          <rPr>
            <sz val="9"/>
            <color indexed="81"/>
            <rFont val="Symbol"/>
            <family val="1"/>
            <charset val="2"/>
          </rPr>
          <t>s</t>
        </r>
        <r>
          <rPr>
            <sz val="8"/>
            <color indexed="81"/>
            <rFont val="Tahoma"/>
            <family val="2"/>
          </rPr>
          <t xml:space="preserve"> and population correlation, assumed known, so can use </t>
        </r>
        <r>
          <rPr>
            <i/>
            <sz val="9"/>
            <color indexed="81"/>
            <rFont val="Tahoma"/>
            <family val="2"/>
          </rPr>
          <t>z</t>
        </r>
        <r>
          <rPr>
            <sz val="8"/>
            <color indexed="81"/>
            <rFont val="Tahoma"/>
            <family val="2"/>
          </rPr>
          <t xml:space="preserve"> and a normal distribution.</t>
        </r>
        <r>
          <rPr>
            <sz val="10"/>
            <color indexed="81"/>
            <rFont val="Tahoma"/>
            <family val="2"/>
          </rPr>
          <t xml:space="preserve">
</t>
        </r>
      </text>
    </comment>
    <comment ref="L37" authorId="0" shapeId="0">
      <text>
        <r>
          <rPr>
            <sz val="8"/>
            <color indexed="81"/>
            <rFont val="Tahoma"/>
            <family val="2"/>
          </rPr>
          <t xml:space="preserve">When </t>
        </r>
        <r>
          <rPr>
            <i/>
            <sz val="9"/>
            <color indexed="81"/>
            <rFont val="Tahoma"/>
            <family val="2"/>
          </rPr>
          <t>d</t>
        </r>
        <r>
          <rPr>
            <sz val="8"/>
            <color indexed="81"/>
            <rFont val="Tahoma"/>
            <family val="2"/>
          </rPr>
          <t xml:space="preserve"> is visible (click at </t>
        </r>
        <r>
          <rPr>
            <b/>
            <sz val="9"/>
            <color indexed="10"/>
            <rFont val="Tahoma"/>
            <family val="2"/>
          </rPr>
          <t>13</t>
        </r>
        <r>
          <rPr>
            <sz val="8"/>
            <color indexed="81"/>
            <rFont val="Tahoma"/>
            <family val="2"/>
          </rPr>
          <t xml:space="preserve">) this value of power uses above values of </t>
        </r>
        <r>
          <rPr>
            <sz val="9"/>
            <color indexed="81"/>
            <rFont val="Symbol"/>
            <family val="1"/>
            <charset val="2"/>
          </rPr>
          <t>d</t>
        </r>
        <r>
          <rPr>
            <sz val="8"/>
            <color indexed="81"/>
            <rFont val="Tahoma"/>
            <family val="2"/>
          </rPr>
          <t xml:space="preserve">, and population correlation.
It does </t>
        </r>
        <r>
          <rPr>
            <i/>
            <sz val="8"/>
            <color indexed="81"/>
            <rFont val="Tahoma"/>
            <family val="2"/>
          </rPr>
          <t>not</t>
        </r>
        <r>
          <rPr>
            <sz val="8"/>
            <color indexed="81"/>
            <rFont val="Tahoma"/>
            <family val="2"/>
          </rPr>
          <t xml:space="preserve"> assume </t>
        </r>
        <r>
          <rPr>
            <sz val="9"/>
            <color indexed="81"/>
            <rFont val="Symbol"/>
            <family val="1"/>
            <charset val="2"/>
          </rPr>
          <t>s</t>
        </r>
        <r>
          <rPr>
            <sz val="8"/>
            <color indexed="81"/>
            <rFont val="Tahoma"/>
            <family val="2"/>
          </rPr>
          <t xml:space="preserve"> is known, so uses </t>
        </r>
        <r>
          <rPr>
            <i/>
            <sz val="9"/>
            <color indexed="81"/>
            <rFont val="Tahoma"/>
            <family val="2"/>
          </rPr>
          <t xml:space="preserve">t </t>
        </r>
        <r>
          <rPr>
            <sz val="8"/>
            <color indexed="81"/>
            <rFont val="Tahoma"/>
            <family val="2"/>
          </rPr>
          <t xml:space="preserve">and a noncentral </t>
        </r>
        <r>
          <rPr>
            <i/>
            <sz val="9"/>
            <color indexed="81"/>
            <rFont val="Tahoma"/>
            <family val="2"/>
          </rPr>
          <t>t</t>
        </r>
        <r>
          <rPr>
            <sz val="8"/>
            <color indexed="81"/>
            <rFont val="Tahoma"/>
            <family val="2"/>
          </rPr>
          <t xml:space="preserve"> distribution.</t>
        </r>
        <r>
          <rPr>
            <sz val="10"/>
            <color indexed="81"/>
            <rFont val="Tahoma"/>
            <family val="2"/>
          </rPr>
          <t xml:space="preserve">
</t>
        </r>
      </text>
    </comment>
    <comment ref="J38" authorId="0" shapeId="0">
      <text>
        <r>
          <rPr>
            <sz val="8"/>
            <color indexed="81"/>
            <rFont val="Tahoma"/>
            <family val="2"/>
          </rPr>
          <t>Post hoc power should not be used.  It can be highly misleading.  Click to show its value below right.</t>
        </r>
        <r>
          <rPr>
            <sz val="10"/>
            <color indexed="81"/>
            <rFont val="Tahoma"/>
            <family val="2"/>
          </rPr>
          <t xml:space="preserve">
</t>
        </r>
      </text>
    </comment>
    <comment ref="L39" authorId="0" shapeId="0">
      <text>
        <r>
          <rPr>
            <sz val="8"/>
            <color indexed="81"/>
            <rFont val="Tahoma"/>
            <family val="2"/>
          </rPr>
          <t xml:space="preserve">Post hoc power should not be used.  When </t>
        </r>
        <r>
          <rPr>
            <i/>
            <sz val="9"/>
            <color indexed="81"/>
            <rFont val="Tahoma"/>
            <family val="2"/>
          </rPr>
          <t>d</t>
        </r>
        <r>
          <rPr>
            <sz val="8"/>
            <color indexed="81"/>
            <rFont val="Tahoma"/>
            <family val="2"/>
          </rPr>
          <t xml:space="preserve"> is visible (click at </t>
        </r>
        <r>
          <rPr>
            <b/>
            <sz val="9"/>
            <color indexed="10"/>
            <rFont val="Tahoma"/>
            <family val="2"/>
          </rPr>
          <t>13</t>
        </r>
        <r>
          <rPr>
            <sz val="8"/>
            <color indexed="81"/>
            <rFont val="Tahoma"/>
            <family val="2"/>
          </rPr>
          <t xml:space="preserve">) post hoc power is calculated using the latest obtained </t>
        </r>
        <r>
          <rPr>
            <i/>
            <sz val="9"/>
            <color indexed="81"/>
            <rFont val="Tahoma"/>
            <family val="2"/>
          </rPr>
          <t>d</t>
        </r>
        <r>
          <rPr>
            <vertAlign val="subscript"/>
            <sz val="10"/>
            <color indexed="81"/>
            <rFont val="Tahoma"/>
            <family val="2"/>
          </rPr>
          <t>unb</t>
        </r>
        <r>
          <rPr>
            <sz val="8"/>
            <color indexed="81"/>
            <rFont val="Tahoma"/>
            <family val="2"/>
          </rPr>
          <t xml:space="preserve"> as an estimate of </t>
        </r>
        <r>
          <rPr>
            <sz val="9"/>
            <color indexed="81"/>
            <rFont val="Symbol"/>
            <family val="1"/>
            <charset val="2"/>
          </rPr>
          <t>d</t>
        </r>
        <r>
          <rPr>
            <sz val="8"/>
            <color indexed="81"/>
            <rFont val="Tahoma"/>
            <family val="2"/>
          </rPr>
          <t xml:space="preserve">, and the sample correlation as an estimate of the population correlation.
It does </t>
        </r>
        <r>
          <rPr>
            <i/>
            <sz val="8"/>
            <color indexed="81"/>
            <rFont val="Tahoma"/>
            <family val="2"/>
          </rPr>
          <t>not</t>
        </r>
        <r>
          <rPr>
            <sz val="8"/>
            <color indexed="81"/>
            <rFont val="Tahoma"/>
            <family val="2"/>
          </rPr>
          <t xml:space="preserve"> assume </t>
        </r>
        <r>
          <rPr>
            <sz val="9"/>
            <color indexed="81"/>
            <rFont val="Symbol"/>
            <family val="1"/>
            <charset val="2"/>
          </rPr>
          <t>s</t>
        </r>
        <r>
          <rPr>
            <sz val="8"/>
            <color indexed="81"/>
            <rFont val="Tahoma"/>
            <family val="2"/>
          </rPr>
          <t xml:space="preserve"> is known, so uses </t>
        </r>
        <r>
          <rPr>
            <i/>
            <sz val="9"/>
            <color indexed="81"/>
            <rFont val="Tahoma"/>
            <family val="2"/>
          </rPr>
          <t xml:space="preserve">t </t>
        </r>
        <r>
          <rPr>
            <sz val="8"/>
            <color indexed="81"/>
            <rFont val="Tahoma"/>
            <family val="2"/>
          </rPr>
          <t xml:space="preserve">and a noncentral </t>
        </r>
        <r>
          <rPr>
            <i/>
            <sz val="9"/>
            <color indexed="81"/>
            <rFont val="Tahoma"/>
            <family val="2"/>
          </rPr>
          <t>t</t>
        </r>
        <r>
          <rPr>
            <sz val="8"/>
            <color indexed="81"/>
            <rFont val="Tahoma"/>
            <family val="2"/>
          </rPr>
          <t xml:space="preserve"> distribution.</t>
        </r>
        <r>
          <rPr>
            <sz val="10"/>
            <color indexed="81"/>
            <rFont val="Tahoma"/>
            <family val="2"/>
          </rPr>
          <t xml:space="preserve">
</t>
        </r>
      </text>
    </comment>
  </commentList>
</comments>
</file>

<file path=xl/sharedStrings.xml><?xml version="1.0" encoding="utf-8"?>
<sst xmlns="http://schemas.openxmlformats.org/spreadsheetml/2006/main" count="1615" uniqueCount="1240">
  <si>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</si>
  <si>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</si>
  <si>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</si>
  <si>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</si>
  <si>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</si>
  <si>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</si>
  <si>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</si>
  <si>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</si>
  <si>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</si>
  <si>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</si>
  <si>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</si>
  <si>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</si>
  <si>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</si>
  <si>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</si>
  <si>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</si>
  <si>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</si>
  <si>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</si>
  <si>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</si>
  <si>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</si>
  <si>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</si>
  <si>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</si>
  <si>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</si>
  <si>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</si>
  <si>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</si>
  <si>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</si>
  <si>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</si>
  <si>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</si>
  <si>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</si>
  <si>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</si>
  <si>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</si>
  <si>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</si>
  <si>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</si>
  <si>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</si>
  <si>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</si>
  <si>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</si>
  <si>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</si>
  <si>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</si>
  <si>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</si>
  <si>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</si>
  <si>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</si>
  <si>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</si>
  <si>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</si>
  <si>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</si>
  <si>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</si>
  <si>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</si>
  <si>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</si>
  <si>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</si>
  <si>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</si>
  <si>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</si>
  <si>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</si>
  <si>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</si>
  <si>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</si>
  <si>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</si>
  <si>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</si>
  <si>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</si>
  <si>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</si>
  <si>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</si>
  <si>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</si>
  <si>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</si>
  <si>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</si>
  <si>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</si>
  <si>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</si>
  <si>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</si>
  <si>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</si>
  <si>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</si>
  <si>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</si>
  <si>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</si>
  <si>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</si>
  <si>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</si>
  <si>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</si>
  <si>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</si>
  <si>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</si>
  <si>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</si>
  <si>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</si>
  <si>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</si>
  <si>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</si>
  <si>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</si>
  <si>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</si>
  <si>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</si>
  <si>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</si>
  <si>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</si>
  <si>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</si>
  <si>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</si>
  <si>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</si>
  <si>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</si>
  <si>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</si>
  <si>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</si>
  <si>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</si>
  <si>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</si>
  <si>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</si>
  <si>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</si>
  <si>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</si>
  <si>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</si>
  <si>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Statistics for differences</t>
  </si>
  <si>
    <t>Statistics for two measures</t>
  </si>
  <si>
    <t xml:space="preserve">       Display data pairs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</si>
  <si>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</si>
  <si>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</si>
  <si>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</si>
  <si>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</si>
  <si>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</si>
  <si>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</si>
  <si>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</si>
  <si>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</si>
  <si>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</si>
  <si>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</si>
  <si>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</si>
  <si>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</si>
  <si>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</si>
  <si>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</si>
  <si>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</si>
  <si>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</si>
  <si>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</si>
  <si>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</si>
  <si>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</si>
  <si>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</si>
  <si>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</si>
  <si>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</si>
  <si>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</si>
  <si>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</si>
  <si>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</si>
  <si>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</si>
  <si>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</si>
  <si>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</si>
  <si>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</si>
  <si>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</si>
  <si>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</si>
  <si>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</si>
  <si>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</si>
  <si>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</si>
  <si>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</si>
  <si>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</si>
  <si>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</si>
  <si>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</si>
  <si>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</si>
  <si>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</si>
  <si>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</si>
  <si>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</si>
  <si>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</si>
  <si>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</si>
  <si>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</si>
  <si>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</si>
  <si>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</si>
  <si>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</si>
  <si>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</si>
  <si>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</si>
  <si>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</si>
  <si>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</si>
  <si>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</si>
  <si>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</si>
  <si>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</si>
  <si>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</si>
  <si>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</si>
  <si>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</si>
  <si>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</si>
  <si>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</si>
  <si>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</si>
  <si>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</si>
  <si>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</si>
  <si>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</si>
  <si>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</si>
  <si>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</si>
  <si>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</si>
  <si>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</si>
  <si>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</si>
  <si>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</si>
  <si>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</si>
  <si>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</si>
  <si>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</si>
  <si>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</si>
  <si>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</si>
  <si>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</si>
  <si>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</si>
  <si>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</si>
  <si>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</si>
  <si>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</si>
  <si>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</si>
  <si>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</si>
  <si>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</si>
  <si>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</si>
  <si>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</si>
  <si>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</si>
  <si>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</si>
  <si>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</si>
  <si>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</si>
  <si>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</si>
  <si>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</si>
  <si>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</si>
  <si>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</si>
  <si>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</si>
  <si>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</si>
  <si>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</si>
  <si>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</si>
  <si>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</si>
  <si>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</si>
  <si>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</si>
  <si>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</si>
  <si>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</si>
  <si>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</si>
  <si>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</si>
  <si>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</si>
  <si>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</si>
  <si>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</si>
  <si>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</si>
  <si>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</si>
  <si>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</si>
  <si>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</si>
  <si>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</si>
  <si>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</si>
  <si>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</si>
  <si>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</si>
  <si>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</si>
  <si>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</si>
  <si>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</si>
  <si>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</si>
  <si>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</si>
  <si>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</si>
  <si>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</si>
  <si>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</si>
  <si>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</si>
  <si>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</si>
  <si>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</si>
  <si>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</si>
  <si>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</si>
  <si>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</si>
  <si>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</si>
  <si>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</si>
  <si>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</si>
  <si>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</si>
  <si>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</si>
  <si>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</si>
  <si>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</si>
  <si>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</si>
  <si>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</si>
  <si>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</si>
  <si>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</si>
  <si>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</si>
  <si>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</si>
  <si>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</si>
  <si>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</si>
  <si>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</si>
  <si>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</si>
  <si>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</si>
  <si>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</si>
  <si>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</si>
  <si>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</si>
  <si>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</si>
  <si>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</si>
  <si>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</si>
  <si>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</si>
  <si>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</si>
  <si>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</si>
  <si>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</si>
  <si>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</si>
  <si>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</si>
  <si>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</si>
  <si>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</si>
  <si>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</si>
  <si>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</si>
  <si>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</si>
  <si>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</si>
  <si>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</si>
  <si>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</si>
  <si>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</si>
  <si>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</si>
  <si>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</si>
  <si>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</si>
  <si>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</si>
  <si>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</si>
  <si>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</si>
  <si>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</si>
  <si>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</si>
  <si>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</si>
  <si>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</si>
  <si>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</si>
  <si>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</si>
  <si>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</si>
  <si>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</si>
  <si>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</si>
  <si>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</si>
  <si>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</si>
  <si>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</si>
  <si>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</si>
  <si>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</si>
  <si>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</si>
  <si>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</si>
  <si>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</si>
  <si>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</si>
  <si>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</si>
  <si>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Enter your own matched-pairs data</t>
  </si>
  <si>
    <t>Matched pairs, or repeated-measure design</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</si>
  <si>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</si>
  <si>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</si>
  <si>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</si>
  <si>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</si>
  <si>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</si>
  <si>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</si>
  <si>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</si>
  <si>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</si>
  <si>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</si>
  <si>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</si>
  <si>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</si>
  <si>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</si>
  <si>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</si>
  <si>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</si>
  <si>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</si>
  <si>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</si>
  <si>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</si>
  <si>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</si>
  <si>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</si>
  <si>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</si>
  <si>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</si>
  <si>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</si>
  <si>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</si>
  <si>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</si>
  <si>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</si>
  <si>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</si>
  <si>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</si>
  <si>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</si>
  <si>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</si>
  <si>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</si>
  <si>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</si>
  <si>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</si>
  <si>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</si>
  <si>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</si>
  <si>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</si>
  <si>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</si>
  <si>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</si>
  <si>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</si>
  <si>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</si>
  <si>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</si>
  <si>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</si>
  <si>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</si>
  <si>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</si>
  <si>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</si>
  <si>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</si>
  <si>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</si>
  <si>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</si>
  <si>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</si>
  <si>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</si>
  <si>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</si>
  <si>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</si>
  <si>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</si>
  <si>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</si>
  <si>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</si>
  <si>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</si>
  <si>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</si>
  <si>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</si>
  <si>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</si>
  <si>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</si>
  <si>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</si>
  <si>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</si>
  <si>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</si>
  <si>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</si>
  <si>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</si>
  <si>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</si>
  <si>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</si>
  <si>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</si>
  <si>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</si>
  <si>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</si>
  <si>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</si>
  <si>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</si>
  <si>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</si>
  <si>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</si>
  <si>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</si>
  <si>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</si>
  <si>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</si>
  <si>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</si>
  <si>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</si>
  <si>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</si>
  <si>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</si>
  <si>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</si>
  <si>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</si>
  <si>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</si>
  <si>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</si>
  <si>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</si>
  <si>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</si>
  <si>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</si>
  <si>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</si>
  <si>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</si>
  <si>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</si>
  <si>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</si>
  <si>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</si>
  <si>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</si>
  <si>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</si>
  <si>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</si>
  <si>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</si>
  <si>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</si>
  <si>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</si>
  <si>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</si>
  <si>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</si>
  <si>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</si>
  <si>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</si>
  <si>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</si>
  <si>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</si>
  <si>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</si>
  <si>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</si>
  <si>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</si>
  <si>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</si>
  <si>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</si>
  <si>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</si>
  <si>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</si>
  <si>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</si>
  <si>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</si>
  <si>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</si>
  <si>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</si>
  <si>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</si>
  <si>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</si>
  <si>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</si>
  <si>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</si>
  <si>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</si>
  <si>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</si>
  <si>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</si>
  <si>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</si>
  <si>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</si>
  <si>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</si>
  <si>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</si>
  <si>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</si>
  <si>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</si>
  <si>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</si>
  <si>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</si>
  <si>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</si>
  <si>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</si>
  <si>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</si>
  <si>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</si>
  <si>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</si>
  <si>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</si>
  <si>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</si>
  <si>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</si>
  <si>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</si>
  <si>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</si>
  <si>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</si>
  <si>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</si>
  <si>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</si>
  <si>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</si>
  <si>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</si>
  <si>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</si>
  <si>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</si>
  <si>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</si>
  <si>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</si>
  <si>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</si>
  <si>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</si>
  <si>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</si>
  <si>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</si>
  <si>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</si>
  <si>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</si>
  <si>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</si>
  <si>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</si>
  <si>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</si>
  <si>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</si>
  <si>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</si>
  <si>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</si>
  <si>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</si>
  <si>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</si>
  <si>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</si>
  <si>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</si>
  <si>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</si>
  <si>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</si>
  <si>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</si>
  <si>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&lt;http://www.gnu.org/licenses/&gt;.</t>
  </si>
  <si>
    <t>Also add information on how to contact you by electronic and paper mail.</t>
  </si>
  <si>
    <t xml:space="preserve">  If the program does terminal interaction, make it output a short</t>
  </si>
  <si>
    <t>notice like this when it starts in an interactive mode:</t>
  </si>
  <si>
    <t xml:space="preserve">    &lt;program&gt;  Copyright (C) &lt;year&gt;  &lt;name of author&gt;</t>
  </si>
  <si>
    <t xml:space="preserve">    This program comes with ABSOLUTELY NO WARRANTY; for details type `show w'.</t>
  </si>
  <si>
    <t xml:space="preserve">    This is free software, and you are welcome to redistribute it</t>
  </si>
  <si>
    <t xml:space="preserve">    under certain conditions; type `show c' for details.</t>
  </si>
  <si>
    <t>The hypothetical commands `show w' and `show c' should show the appropriate</t>
  </si>
  <si>
    <t>parts of the General Public License.  Of course, your program's commands</t>
  </si>
  <si>
    <t>might be different; for a GUI interface, you would use an "about box".</t>
  </si>
  <si>
    <t xml:space="preserve">  You should also get your employer (if you work as a programmer) or school,</t>
  </si>
  <si>
    <t>if any, to sign a "copyright disclaimer" for the program, if necessary.</t>
  </si>
  <si>
    <t>For more information on this, and how to apply and follow the GNU GPL, see</t>
  </si>
  <si>
    <t>&lt;http://www.gnu.org/licenses/&gt;.</t>
  </si>
  <si>
    <t xml:space="preserve">  The GNU General Public License does not permit incorporating your program</t>
  </si>
  <si>
    <t>into proprietary programs.  If your program is a subroutine library, you</t>
  </si>
  <si>
    <t>may consider it more useful to permit linking proprietary applications with</t>
  </si>
  <si>
    <t>the library.  If this is what you want to do, use the GNU Lesser General</t>
  </si>
  <si>
    <t>Public License instead of this License.  But first, please read</t>
  </si>
  <si>
    <t>&lt;http://www.gnu.org/philosophy/why-not-lgpl.html&gt;.</t>
  </si>
  <si>
    <t>www.thenewstatistics.com</t>
  </si>
  <si>
    <t>C</t>
  </si>
  <si>
    <t>Exploratory Software for Confidence Intervals</t>
  </si>
  <si>
    <t>Geoff Cumming</t>
  </si>
  <si>
    <t>School of Psychological Science</t>
  </si>
  <si>
    <t>esci@latrobe.edu.au</t>
  </si>
  <si>
    <t>Click the tabs at the bottom of the screen to go to these pages:</t>
  </si>
  <si>
    <t>Power</t>
  </si>
  <si>
    <r>
      <t xml:space="preserve">► </t>
    </r>
    <r>
      <rPr>
        <sz val="9"/>
        <color indexed="8"/>
        <rFont val="Arial"/>
        <family val="2"/>
      </rPr>
      <t xml:space="preserve">Use the </t>
    </r>
    <r>
      <rPr>
        <b/>
        <sz val="9"/>
        <color indexed="8"/>
        <rFont val="Arial"/>
        <family val="2"/>
      </rPr>
      <t>tabs</t>
    </r>
    <r>
      <rPr>
        <sz val="9"/>
        <color indexed="8"/>
        <rFont val="Arial"/>
        <family val="2"/>
      </rPr>
      <t xml:space="preserve"> below to go to your page of choice.</t>
    </r>
  </si>
  <si>
    <t>Show CI</t>
  </si>
  <si>
    <t>SD</t>
  </si>
  <si>
    <r>
      <t xml:space="preserve">► </t>
    </r>
    <r>
      <rPr>
        <sz val="9"/>
        <color indexed="8"/>
        <rFont val="Arial"/>
        <family val="2"/>
      </rPr>
      <t xml:space="preserve">For </t>
    </r>
    <r>
      <rPr>
        <b/>
        <sz val="9"/>
        <color indexed="8"/>
        <rFont val="Arial"/>
        <family val="2"/>
      </rPr>
      <t>help,</t>
    </r>
    <r>
      <rPr>
        <sz val="9"/>
        <color indexed="8"/>
        <rFont val="Arial"/>
        <family val="2"/>
      </rPr>
      <t xml:space="preserve"> see the book's Appendix A.</t>
    </r>
  </si>
  <si>
    <t>Lines</t>
  </si>
  <si>
    <t>Mean</t>
  </si>
  <si>
    <t xml:space="preserve">8 </t>
  </si>
  <si>
    <t>Control</t>
  </si>
  <si>
    <t>All error bars are assumed</t>
  </si>
  <si>
    <t>Means</t>
  </si>
  <si>
    <t>CI bar</t>
  </si>
  <si>
    <t>B</t>
  </si>
  <si>
    <t>Ind Gps</t>
  </si>
  <si>
    <t>Diff of means</t>
  </si>
  <si>
    <t>Sample size</t>
  </si>
  <si>
    <r>
      <t xml:space="preserve">  M</t>
    </r>
    <r>
      <rPr>
        <vertAlign val="subscript"/>
        <sz val="9"/>
        <rFont val="Arial"/>
        <family val="2"/>
      </rPr>
      <t xml:space="preserve">A  </t>
    </r>
  </si>
  <si>
    <t>Group 1</t>
  </si>
  <si>
    <t>Group 2</t>
  </si>
  <si>
    <t>Descriptive statistics</t>
  </si>
  <si>
    <t>Dot Means</t>
  </si>
  <si>
    <t>Col Means</t>
  </si>
  <si>
    <t>CI bars</t>
  </si>
  <si>
    <t>Bar widths</t>
  </si>
  <si>
    <t>Dot-Col</t>
  </si>
  <si>
    <t>Effect Size</t>
  </si>
  <si>
    <t>Test</t>
  </si>
  <si>
    <t xml:space="preserve">    labels</t>
  </si>
  <si>
    <t>cm</t>
  </si>
  <si>
    <t>Overlap</t>
  </si>
  <si>
    <t>Sample means</t>
  </si>
  <si>
    <t>Group 1?</t>
  </si>
  <si>
    <t>Group 2?</t>
  </si>
  <si>
    <t>Confidence Intervals</t>
  </si>
  <si>
    <t>y axis label</t>
  </si>
  <si>
    <t>X-axis labels</t>
  </si>
  <si>
    <t>Data Two</t>
  </si>
  <si>
    <t>Enter your own data, for two independent groups</t>
  </si>
  <si>
    <t>Display sample means, with CIs</t>
  </si>
  <si>
    <t>Disp data</t>
  </si>
  <si>
    <t>Max y needed</t>
  </si>
  <si>
    <t>Min y needed</t>
  </si>
  <si>
    <t>(Invisible points to keep y axis stable)</t>
  </si>
  <si>
    <t>to</t>
  </si>
  <si>
    <t>]</t>
  </si>
  <si>
    <t>For Display</t>
  </si>
  <si>
    <t>Group1</t>
  </si>
  <si>
    <t>Group2</t>
  </si>
  <si>
    <r>
      <t xml:space="preserve">Display </t>
    </r>
    <r>
      <rPr>
        <sz val="8"/>
        <rFont val="Arial"/>
        <family val="2"/>
      </rPr>
      <t xml:space="preserve">information for: </t>
    </r>
  </si>
  <si>
    <r>
      <t>1</t>
    </r>
    <r>
      <rPr>
        <b/>
        <sz val="9"/>
        <color indexed="9"/>
        <rFont val="Arial"/>
        <family val="2"/>
      </rPr>
      <t>i</t>
    </r>
  </si>
  <si>
    <r>
      <t xml:space="preserve">2  </t>
    </r>
    <r>
      <rPr>
        <sz val="8"/>
        <rFont val="Arial"/>
        <family val="2"/>
      </rPr>
      <t>Type</t>
    </r>
  </si>
  <si>
    <r>
      <t>C</t>
    </r>
    <r>
      <rPr>
        <sz val="8"/>
        <rFont val="Arial"/>
        <family val="2"/>
      </rPr>
      <t xml:space="preserve"> OK?</t>
    </r>
  </si>
  <si>
    <r>
      <t xml:space="preserve">► </t>
    </r>
    <r>
      <rPr>
        <sz val="9"/>
        <color indexed="8"/>
        <rFont val="Arial"/>
        <family val="2"/>
      </rPr>
      <t xml:space="preserve">At any page, </t>
    </r>
    <r>
      <rPr>
        <b/>
        <sz val="9"/>
        <color indexed="8"/>
        <rFont val="Arial"/>
        <family val="2"/>
      </rPr>
      <t>explore</t>
    </r>
    <r>
      <rPr>
        <sz val="9"/>
        <color indexed="8"/>
        <rFont val="Arial"/>
        <family val="2"/>
      </rPr>
      <t>--with guidance from the relevant chapters of the book.</t>
    </r>
  </si>
  <si>
    <t>Simulate Two</t>
  </si>
  <si>
    <t>Display?</t>
  </si>
  <si>
    <t>Two independent groups design</t>
  </si>
  <si>
    <t>In range?</t>
  </si>
  <si>
    <t xml:space="preserve">Take two samples </t>
  </si>
  <si>
    <t>Speed</t>
  </si>
  <si>
    <t>ShowData</t>
  </si>
  <si>
    <t>Display means with CIs</t>
  </si>
  <si>
    <t>ShowDiff</t>
  </si>
  <si>
    <t>ShowOlap</t>
  </si>
  <si>
    <t xml:space="preserve">9 </t>
  </si>
  <si>
    <t>Diff</t>
  </si>
  <si>
    <t>Sample sizes</t>
  </si>
  <si>
    <t>PopMeans</t>
  </si>
  <si>
    <t>Pop Bars</t>
  </si>
  <si>
    <t>Horizontals</t>
  </si>
  <si>
    <t>Horizontals for diff b'n means</t>
  </si>
  <si>
    <t>Display sample means as</t>
  </si>
  <si>
    <t>Sigma labels</t>
  </si>
  <si>
    <t>Two populations</t>
  </si>
  <si>
    <t>Effect size</t>
  </si>
  <si>
    <t xml:space="preserve">          Display population means ±SD</t>
  </si>
  <si>
    <t>Index</t>
  </si>
  <si>
    <t>Data1</t>
  </si>
  <si>
    <t>Data2</t>
  </si>
  <si>
    <t>Display1</t>
  </si>
  <si>
    <t>Display2</t>
  </si>
  <si>
    <t>RanData1</t>
  </si>
  <si>
    <t>RanData2</t>
  </si>
  <si>
    <r>
      <t xml:space="preserve">Display </t>
    </r>
    <r>
      <rPr>
        <sz val="8"/>
        <rFont val="Symbol"/>
        <family val="1"/>
        <charset val="2"/>
      </rPr>
      <t>m</t>
    </r>
  </si>
  <si>
    <r>
      <t xml:space="preserve">Reveal </t>
    </r>
    <r>
      <rPr>
        <sz val="8"/>
        <rFont val="Symbol"/>
        <family val="1"/>
        <charset val="2"/>
      </rPr>
      <t>m</t>
    </r>
  </si>
  <si>
    <r>
      <t>2</t>
    </r>
    <r>
      <rPr>
        <sz val="8"/>
        <rFont val="Arial"/>
        <family val="2"/>
      </rPr>
      <t xml:space="preserve">  Type</t>
    </r>
  </si>
  <si>
    <t>,</t>
  </si>
  <si>
    <t>Display mean of differences, with CI</t>
  </si>
  <si>
    <t>ShowCIdiffs</t>
  </si>
  <si>
    <t>ShowCImeas</t>
  </si>
  <si>
    <t>Correlation</t>
  </si>
  <si>
    <t>ES</t>
  </si>
  <si>
    <t>Measure 1</t>
  </si>
  <si>
    <t>Measure 2</t>
  </si>
  <si>
    <t>Diffs</t>
  </si>
  <si>
    <t>CI bars, measures</t>
  </si>
  <si>
    <t>Mean Diff</t>
  </si>
  <si>
    <t>Diff bars</t>
  </si>
  <si>
    <t>for pink</t>
  </si>
  <si>
    <t>for highlighting</t>
  </si>
  <si>
    <t>DisplayDiff</t>
  </si>
  <si>
    <t>Data Paired</t>
  </si>
  <si>
    <t>MeansOK?</t>
  </si>
  <si>
    <t>SDs OK?</t>
  </si>
  <si>
    <t>Differences</t>
  </si>
  <si>
    <t>Points for</t>
  </si>
  <si>
    <t>Max</t>
  </si>
  <si>
    <t>stable y</t>
  </si>
  <si>
    <t>Min</t>
  </si>
  <si>
    <t>Disp1</t>
  </si>
  <si>
    <t>Disp2</t>
  </si>
  <si>
    <t>Meas labels</t>
  </si>
  <si>
    <t>Pretest</t>
  </si>
  <si>
    <t>Posttest</t>
  </si>
  <si>
    <t xml:space="preserve">1 </t>
  </si>
  <si>
    <t>Highlight</t>
  </si>
  <si>
    <t xml:space="preserve">              Display CI on measures</t>
  </si>
  <si>
    <t xml:space="preserve">    units</t>
  </si>
  <si>
    <r>
      <t xml:space="preserve">3  </t>
    </r>
    <r>
      <rPr>
        <sz val="8"/>
        <rFont val="Arial"/>
        <family val="2"/>
      </rPr>
      <t>Type</t>
    </r>
  </si>
  <si>
    <r>
      <t>2</t>
    </r>
    <r>
      <rPr>
        <sz val="8"/>
        <rFont val="Arial"/>
        <family val="2"/>
      </rPr>
      <t xml:space="preserve"> Labels</t>
    </r>
  </si>
  <si>
    <r>
      <t>Pair No.</t>
    </r>
    <r>
      <rPr>
        <sz val="7"/>
        <rFont val="Arial"/>
        <family val="2"/>
      </rPr>
      <t xml:space="preserve"> 1</t>
    </r>
  </si>
  <si>
    <r>
      <t xml:space="preserve">CI </t>
    </r>
    <r>
      <rPr>
        <b/>
        <sz val="8"/>
        <rFont val="Arial"/>
        <family val="2"/>
      </rPr>
      <t>[</t>
    </r>
  </si>
  <si>
    <r>
      <t>ToEst</t>
    </r>
    <r>
      <rPr>
        <sz val="8"/>
        <rFont val="Symbol"/>
        <family val="1"/>
        <charset val="2"/>
      </rPr>
      <t>s</t>
    </r>
  </si>
  <si>
    <t>Simulate Paired</t>
  </si>
  <si>
    <t xml:space="preserve">Take a sample of data pairs </t>
  </si>
  <si>
    <t>DispData</t>
  </si>
  <si>
    <t>DispMnDiff</t>
  </si>
  <si>
    <t>DispCIdiffs</t>
  </si>
  <si>
    <t>calcswitchpair</t>
  </si>
  <si>
    <t>Diffs;DotM</t>
  </si>
  <si>
    <t>Number of pairs</t>
  </si>
  <si>
    <t>Labels</t>
  </si>
  <si>
    <t xml:space="preserve">    Highlight </t>
  </si>
  <si>
    <t>Pop corr'n</t>
  </si>
  <si>
    <t>Display</t>
  </si>
  <si>
    <t>PopHoriz'ls</t>
  </si>
  <si>
    <t>Populations of measures, and differences</t>
  </si>
  <si>
    <t>for sigma</t>
  </si>
  <si>
    <t>labels</t>
  </si>
  <si>
    <t>DataMidPt</t>
  </si>
  <si>
    <t>Half Diff</t>
  </si>
  <si>
    <r>
      <t>11</t>
    </r>
    <r>
      <rPr>
        <sz val="8"/>
        <color indexed="8"/>
        <rFont val="Arial"/>
        <family val="2"/>
      </rPr>
      <t xml:space="preserve"> Differences</t>
    </r>
  </si>
  <si>
    <r>
      <t xml:space="preserve"> 3  </t>
    </r>
    <r>
      <rPr>
        <sz val="8"/>
        <rFont val="Arial"/>
        <family val="2"/>
      </rPr>
      <t>Type</t>
    </r>
  </si>
  <si>
    <r>
      <t xml:space="preserve">Pair No.  </t>
    </r>
    <r>
      <rPr>
        <sz val="7"/>
        <rFont val="Arial"/>
        <family val="2"/>
      </rPr>
      <t>1</t>
    </r>
  </si>
  <si>
    <r>
      <t xml:space="preserve">To est. </t>
    </r>
    <r>
      <rPr>
        <sz val="8"/>
        <rFont val="Symbol"/>
        <family val="1"/>
        <charset val="2"/>
      </rPr>
      <t>s</t>
    </r>
  </si>
  <si>
    <t>SE</t>
  </si>
  <si>
    <t>y</t>
  </si>
  <si>
    <t>x</t>
  </si>
  <si>
    <t>t</t>
  </si>
  <si>
    <t>A</t>
  </si>
  <si>
    <r>
      <t>s</t>
    </r>
    <r>
      <rPr>
        <vertAlign val="subscript"/>
        <sz val="9"/>
        <rFont val="Arial"/>
        <family val="2"/>
      </rPr>
      <t>A</t>
    </r>
  </si>
  <si>
    <r>
      <t>N</t>
    </r>
    <r>
      <rPr>
        <vertAlign val="subscript"/>
        <sz val="9"/>
        <rFont val="Arial"/>
        <family val="2"/>
      </rPr>
      <t>A</t>
    </r>
    <r>
      <rPr>
        <i/>
        <sz val="8"/>
        <rFont val="Arial"/>
        <family val="2"/>
      </rPr>
      <t xml:space="preserve"> </t>
    </r>
  </si>
  <si>
    <r>
      <t>M</t>
    </r>
    <r>
      <rPr>
        <vertAlign val="subscript"/>
        <sz val="10"/>
        <rFont val="Arial"/>
        <family val="2"/>
      </rPr>
      <t>B</t>
    </r>
  </si>
  <si>
    <t>Compare A B</t>
  </si>
  <si>
    <t>Diff axis?</t>
  </si>
  <si>
    <t>Overlap?</t>
  </si>
  <si>
    <t>Cat's eyes?</t>
  </si>
  <si>
    <t>Blank point</t>
  </si>
  <si>
    <t>Diffs axis</t>
  </si>
  <si>
    <t>p</t>
  </si>
  <si>
    <t>POL</t>
  </si>
  <si>
    <t>Two independent groups</t>
  </si>
  <si>
    <t xml:space="preserve">         A       </t>
  </si>
  <si>
    <r>
      <t>MOE</t>
    </r>
    <r>
      <rPr>
        <vertAlign val="subscript"/>
        <sz val="10"/>
        <rFont val="Arial"/>
        <family val="2"/>
      </rPr>
      <t>A</t>
    </r>
  </si>
  <si>
    <r>
      <t>MOE</t>
    </r>
    <r>
      <rPr>
        <vertAlign val="subscript"/>
        <sz val="10"/>
        <rFont val="Arial"/>
        <family val="2"/>
      </rPr>
      <t>B</t>
    </r>
  </si>
  <si>
    <r>
      <t>MOE</t>
    </r>
    <r>
      <rPr>
        <vertAlign val="subscript"/>
        <sz val="10"/>
        <rFont val="Arial"/>
        <family val="2"/>
      </rPr>
      <t>diff</t>
    </r>
  </si>
  <si>
    <r>
      <t xml:space="preserve">  M</t>
    </r>
    <r>
      <rPr>
        <vertAlign val="subscript"/>
        <sz val="10"/>
        <rFont val="Arial"/>
        <family val="2"/>
      </rPr>
      <t>B</t>
    </r>
    <r>
      <rPr>
        <sz val="8"/>
        <rFont val="Arial"/>
        <family val="2"/>
      </rPr>
      <t>-</t>
    </r>
    <r>
      <rPr>
        <i/>
        <sz val="8"/>
        <rFont val="Arial"/>
        <family val="2"/>
      </rPr>
      <t>M</t>
    </r>
    <r>
      <rPr>
        <vertAlign val="subscript"/>
        <sz val="10"/>
        <rFont val="Arial"/>
        <family val="2"/>
      </rPr>
      <t>A</t>
    </r>
    <r>
      <rPr>
        <vertAlign val="subscript"/>
        <sz val="9"/>
        <rFont val="Arial"/>
        <family val="2"/>
      </rPr>
      <t xml:space="preserve">  </t>
    </r>
  </si>
  <si>
    <r>
      <t>M</t>
    </r>
    <r>
      <rPr>
        <vertAlign val="subscript"/>
        <sz val="10"/>
        <rFont val="Arial"/>
        <family val="2"/>
      </rPr>
      <t>diff</t>
    </r>
  </si>
  <si>
    <t xml:space="preserve">r </t>
  </si>
  <si>
    <t>x inc</t>
  </si>
  <si>
    <t>y high</t>
  </si>
  <si>
    <t>y low</t>
  </si>
  <si>
    <t>y no.</t>
  </si>
  <si>
    <t>y inc</t>
  </si>
  <si>
    <t>delta</t>
  </si>
  <si>
    <t>tA</t>
  </si>
  <si>
    <t>tB</t>
  </si>
  <si>
    <t>tA bar</t>
  </si>
  <si>
    <t>tB bar</t>
  </si>
  <si>
    <t>mean</t>
  </si>
  <si>
    <t>df</t>
  </si>
  <si>
    <t>bulge scale</t>
  </si>
  <si>
    <t>Paired</t>
  </si>
  <si>
    <t>NA=NB?</t>
  </si>
  <si>
    <r>
      <t>N</t>
    </r>
    <r>
      <rPr>
        <vertAlign val="subscript"/>
        <sz val="10"/>
        <rFont val="Arial"/>
        <family val="2"/>
      </rPr>
      <t>B</t>
    </r>
    <r>
      <rPr>
        <i/>
        <sz val="8"/>
        <rFont val="Arial"/>
        <family val="2"/>
      </rPr>
      <t xml:space="preserve"> </t>
    </r>
  </si>
  <si>
    <r>
      <t>s</t>
    </r>
    <r>
      <rPr>
        <vertAlign val="subscript"/>
        <sz val="10"/>
        <rFont val="Arial"/>
        <family val="2"/>
      </rPr>
      <t>B</t>
    </r>
  </si>
  <si>
    <r>
      <t xml:space="preserve">Paired data (Blank unless </t>
    </r>
    <r>
      <rPr>
        <b/>
        <i/>
        <sz val="8"/>
        <rFont val="Arial"/>
        <family val="2"/>
      </rPr>
      <t>N</t>
    </r>
    <r>
      <rPr>
        <b/>
        <vertAlign val="subscript"/>
        <sz val="10"/>
        <rFont val="Arial"/>
        <family val="2"/>
      </rPr>
      <t>A</t>
    </r>
    <r>
      <rPr>
        <b/>
        <sz val="8"/>
        <rFont val="Arial"/>
        <family val="2"/>
      </rPr>
      <t xml:space="preserve"> = </t>
    </r>
    <r>
      <rPr>
        <b/>
        <i/>
        <sz val="8"/>
        <rFont val="Arial"/>
        <family val="2"/>
      </rPr>
      <t>N</t>
    </r>
    <r>
      <rPr>
        <b/>
        <vertAlign val="subscript"/>
        <sz val="10"/>
        <rFont val="Arial"/>
        <family val="2"/>
      </rPr>
      <t>B</t>
    </r>
    <r>
      <rPr>
        <b/>
        <sz val="8"/>
        <rFont val="Arial"/>
        <family val="2"/>
      </rPr>
      <t>)</t>
    </r>
  </si>
  <si>
    <t>Reveal paired</t>
  </si>
  <si>
    <t>tA bar disp</t>
  </si>
  <si>
    <t>tB bar disp</t>
  </si>
  <si>
    <t>max</t>
  </si>
  <si>
    <t>for adding</t>
  </si>
  <si>
    <t>y midpt</t>
  </si>
  <si>
    <t>sum</t>
  </si>
  <si>
    <t>sqrt ratio</t>
  </si>
  <si>
    <t>Bulge centre lines</t>
  </si>
  <si>
    <t>half sum</t>
  </si>
  <si>
    <t>target half sum</t>
  </si>
  <si>
    <t>See figures that compare</t>
  </si>
  <si>
    <t xml:space="preserve">   for two independent groups,</t>
  </si>
  <si>
    <t xml:space="preserve">   two conditions (A and B),</t>
  </si>
  <si>
    <t xml:space="preserve">   to be 95% CIs</t>
  </si>
  <si>
    <t xml:space="preserve"> Display figure for paired data</t>
  </si>
  <si>
    <t xml:space="preserve">   or for paired data.</t>
  </si>
  <si>
    <r>
      <t>N</t>
    </r>
    <r>
      <rPr>
        <vertAlign val="subscript"/>
        <sz val="10"/>
        <rFont val="Arial"/>
        <family val="2"/>
      </rPr>
      <t>1</t>
    </r>
  </si>
  <si>
    <r>
      <t>N</t>
    </r>
    <r>
      <rPr>
        <vertAlign val="subscript"/>
        <sz val="10"/>
        <rFont val="Arial"/>
        <family val="2"/>
      </rPr>
      <t>2</t>
    </r>
  </si>
  <si>
    <r>
      <t>M</t>
    </r>
    <r>
      <rPr>
        <vertAlign val="subscript"/>
        <sz val="10"/>
        <rFont val="Arial"/>
        <family val="2"/>
      </rPr>
      <t>2</t>
    </r>
  </si>
  <si>
    <r>
      <t>s</t>
    </r>
    <r>
      <rPr>
        <vertAlign val="subscript"/>
        <sz val="10"/>
        <rFont val="Arial"/>
        <family val="2"/>
      </rPr>
      <t>2</t>
    </r>
  </si>
  <si>
    <r>
      <t>MOE</t>
    </r>
    <r>
      <rPr>
        <vertAlign val="subscript"/>
        <sz val="10"/>
        <rFont val="Arial"/>
        <family val="2"/>
      </rPr>
      <t>1</t>
    </r>
  </si>
  <si>
    <r>
      <t>MOE</t>
    </r>
    <r>
      <rPr>
        <vertAlign val="subscript"/>
        <sz val="10"/>
        <rFont val="Arial"/>
        <family val="2"/>
      </rPr>
      <t>2</t>
    </r>
  </si>
  <si>
    <r>
      <t xml:space="preserve">to  </t>
    </r>
    <r>
      <rPr>
        <b/>
        <sz val="8"/>
        <rFont val="Arial"/>
        <family val="2"/>
      </rPr>
      <t xml:space="preserve">       [</t>
    </r>
  </si>
  <si>
    <r>
      <t>Independent groups</t>
    </r>
    <r>
      <rPr>
        <i/>
        <sz val="8"/>
        <rFont val="Arial"/>
        <family val="2"/>
      </rPr>
      <t xml:space="preserve"> t </t>
    </r>
  </si>
  <si>
    <t>Pooled s</t>
  </si>
  <si>
    <t>CIs and inference</t>
  </si>
  <si>
    <r>
      <t>CI</t>
    </r>
    <r>
      <rPr>
        <b/>
        <sz val="8"/>
        <rFont val="Arial"/>
        <family val="2"/>
      </rPr>
      <t xml:space="preserve"> [</t>
    </r>
    <r>
      <rPr>
        <b/>
        <sz val="8"/>
        <color indexed="45"/>
        <rFont val="Arial"/>
        <family val="2"/>
      </rPr>
      <t>i</t>
    </r>
    <r>
      <rPr>
        <b/>
        <sz val="8"/>
        <rFont val="Arial"/>
        <family val="2"/>
      </rPr>
      <t xml:space="preserve">    </t>
    </r>
  </si>
  <si>
    <t xml:space="preserve">Assume variances equal?  </t>
  </si>
  <si>
    <t xml:space="preserve">df </t>
  </si>
  <si>
    <t>Yes-No</t>
  </si>
  <si>
    <t>Reveal Diff fig</t>
  </si>
  <si>
    <t>For WS SE</t>
  </si>
  <si>
    <t>WS SE</t>
  </si>
  <si>
    <t>WS t</t>
  </si>
  <si>
    <t>WS df</t>
  </si>
  <si>
    <t>WS p</t>
  </si>
  <si>
    <t>WS p rddown</t>
  </si>
  <si>
    <t>WS p rdup</t>
  </si>
  <si>
    <t>WS interp frac</t>
  </si>
  <si>
    <t>To get wide figure</t>
  </si>
  <si>
    <t>Calcs for unit on diff axis</t>
  </si>
  <si>
    <t>Range</t>
  </si>
  <si>
    <t>Powerof10</t>
  </si>
  <si>
    <t>Estnoints</t>
  </si>
  <si>
    <t>divisor</t>
  </si>
  <si>
    <t>intsize</t>
  </si>
  <si>
    <t>For diff axis</t>
  </si>
  <si>
    <t>y disp</t>
  </si>
  <si>
    <t>Dotted lines</t>
  </si>
  <si>
    <t>Disp difference</t>
  </si>
  <si>
    <t>Bar</t>
  </si>
  <si>
    <t>For Welch-Satterthwaite</t>
  </si>
  <si>
    <t>tcrit C rddn</t>
  </si>
  <si>
    <t>tcrit C rdup</t>
  </si>
  <si>
    <t>tcrit C</t>
  </si>
  <si>
    <t>Disp all diff stuff</t>
  </si>
  <si>
    <t xml:space="preserve">6 </t>
  </si>
  <si>
    <t xml:space="preserve">10 </t>
  </si>
  <si>
    <t>Assumption</t>
  </si>
  <si>
    <r>
      <t xml:space="preserve">Mean of </t>
    </r>
    <r>
      <rPr>
        <i/>
        <sz val="8"/>
        <color indexed="8"/>
        <rFont val="Arial"/>
        <family val="2"/>
      </rPr>
      <t>MOE</t>
    </r>
    <r>
      <rPr>
        <vertAlign val="subscript"/>
        <sz val="10"/>
        <color indexed="8"/>
        <rFont val="Arial"/>
        <family val="2"/>
      </rPr>
      <t>1</t>
    </r>
    <r>
      <rPr>
        <sz val="8"/>
        <color indexed="8"/>
        <rFont val="Arial"/>
        <family val="2"/>
      </rPr>
      <t xml:space="preserve"> and </t>
    </r>
    <r>
      <rPr>
        <i/>
        <sz val="8"/>
        <color indexed="8"/>
        <rFont val="Arial"/>
        <family val="2"/>
      </rPr>
      <t>MOE</t>
    </r>
    <r>
      <rPr>
        <vertAlign val="subscript"/>
        <sz val="10"/>
        <color indexed="8"/>
        <rFont val="Arial"/>
        <family val="2"/>
      </rPr>
      <t>2</t>
    </r>
  </si>
  <si>
    <t>Inference</t>
  </si>
  <si>
    <t>Expt'l</t>
  </si>
  <si>
    <r>
      <t>Compare A B</t>
    </r>
    <r>
      <rPr>
        <sz val="9"/>
        <rFont val="Arial"/>
        <family val="2"/>
      </rPr>
      <t xml:space="preserve">   See </t>
    </r>
    <r>
      <rPr>
        <sz val="9"/>
        <color indexed="12"/>
        <rFont val="Arial"/>
        <family val="2"/>
      </rPr>
      <t>Chapter 6</t>
    </r>
    <r>
      <rPr>
        <sz val="9"/>
        <rFont val="Arial"/>
        <family val="2"/>
      </rPr>
      <t xml:space="preserve">.  See figures that compare A and B, for the </t>
    </r>
    <r>
      <rPr>
        <b/>
        <sz val="9"/>
        <rFont val="Arial"/>
        <family val="2"/>
      </rPr>
      <t>two independent groups</t>
    </r>
    <r>
      <rPr>
        <sz val="9"/>
        <rFont val="Arial"/>
        <family val="2"/>
      </rPr>
      <t xml:space="preserve"> design, and for the </t>
    </r>
    <r>
      <rPr>
        <b/>
        <sz val="9"/>
        <rFont val="Arial"/>
        <family val="2"/>
      </rPr>
      <t>paired</t>
    </r>
    <r>
      <rPr>
        <sz val="9"/>
        <rFont val="Arial"/>
        <family val="2"/>
      </rPr>
      <t xml:space="preserve"> design.</t>
    </r>
  </si>
  <si>
    <t>Difference</t>
  </si>
  <si>
    <r>
      <t>m</t>
    </r>
    <r>
      <rPr>
        <vertAlign val="subscript"/>
        <sz val="10"/>
        <rFont val="Arial"/>
        <family val="2"/>
      </rPr>
      <t>1</t>
    </r>
  </si>
  <si>
    <r>
      <t>m</t>
    </r>
    <r>
      <rPr>
        <vertAlign val="subscript"/>
        <sz val="10"/>
        <rFont val="Arial"/>
        <family val="2"/>
      </rPr>
      <t>2</t>
    </r>
  </si>
  <si>
    <t xml:space="preserve">     d</t>
  </si>
  <si>
    <r>
      <t xml:space="preserve"> SD  </t>
    </r>
    <r>
      <rPr>
        <sz val="10"/>
        <rFont val="Symbol"/>
        <family val="1"/>
        <charset val="2"/>
      </rPr>
      <t xml:space="preserve">s </t>
    </r>
  </si>
  <si>
    <r>
      <t xml:space="preserve">Mean </t>
    </r>
    <r>
      <rPr>
        <i/>
        <sz val="8"/>
        <rFont val="Arial"/>
        <family val="2"/>
      </rPr>
      <t>M</t>
    </r>
    <r>
      <rPr>
        <vertAlign val="subscript"/>
        <sz val="10"/>
        <rFont val="Arial"/>
        <family val="2"/>
      </rPr>
      <t>1</t>
    </r>
  </si>
  <si>
    <r>
      <t>M</t>
    </r>
    <r>
      <rPr>
        <vertAlign val="subscript"/>
        <sz val="10"/>
        <color indexed="8"/>
        <rFont val="Arial"/>
        <family val="2"/>
      </rPr>
      <t>2</t>
    </r>
  </si>
  <si>
    <r>
      <t xml:space="preserve">SD </t>
    </r>
    <r>
      <rPr>
        <i/>
        <sz val="8"/>
        <rFont val="Arial"/>
        <family val="2"/>
      </rPr>
      <t>s</t>
    </r>
    <r>
      <rPr>
        <vertAlign val="subscript"/>
        <sz val="10"/>
        <rFont val="Arial"/>
        <family val="2"/>
      </rPr>
      <t>1</t>
    </r>
  </si>
  <si>
    <r>
      <t>s</t>
    </r>
    <r>
      <rPr>
        <vertAlign val="subscript"/>
        <sz val="10"/>
        <color indexed="8"/>
        <rFont val="Arial"/>
        <family val="2"/>
      </rPr>
      <t>2</t>
    </r>
  </si>
  <si>
    <r>
      <t>MOE</t>
    </r>
    <r>
      <rPr>
        <vertAlign val="subscript"/>
        <sz val="10"/>
        <color indexed="8"/>
        <rFont val="Arial"/>
        <family val="2"/>
      </rPr>
      <t>2</t>
    </r>
  </si>
  <si>
    <r>
      <t xml:space="preserve">Mean </t>
    </r>
    <r>
      <rPr>
        <i/>
        <sz val="8"/>
        <color indexed="8"/>
        <rFont val="Arial"/>
        <family val="2"/>
      </rPr>
      <t>MOE</t>
    </r>
  </si>
  <si>
    <r>
      <t xml:space="preserve">Ind gps </t>
    </r>
    <r>
      <rPr>
        <i/>
        <sz val="8"/>
        <rFont val="Arial"/>
        <family val="2"/>
      </rPr>
      <t>t</t>
    </r>
  </si>
  <si>
    <r>
      <t xml:space="preserve">pooled </t>
    </r>
    <r>
      <rPr>
        <i/>
        <sz val="8"/>
        <rFont val="Arial"/>
        <family val="2"/>
      </rPr>
      <t>s</t>
    </r>
  </si>
  <si>
    <r>
      <t>Simulate two</t>
    </r>
    <r>
      <rPr>
        <sz val="9"/>
        <rFont val="Arial"/>
        <family val="2"/>
      </rPr>
      <t xml:space="preserve">   See </t>
    </r>
    <r>
      <rPr>
        <sz val="9"/>
        <color indexed="12"/>
        <rFont val="Arial"/>
        <family val="2"/>
      </rPr>
      <t>Chapter 6</t>
    </r>
    <r>
      <rPr>
        <sz val="9"/>
        <rFont val="Arial"/>
        <family val="2"/>
      </rPr>
      <t xml:space="preserve">. Set population parameters, then simulate </t>
    </r>
    <r>
      <rPr>
        <b/>
        <sz val="9"/>
        <rFont val="Arial"/>
        <family val="2"/>
      </rPr>
      <t>running many experiments</t>
    </r>
    <r>
      <rPr>
        <sz val="9"/>
        <rFont val="Arial"/>
        <family val="2"/>
      </rPr>
      <t xml:space="preserve">, for the </t>
    </r>
    <r>
      <rPr>
        <b/>
        <sz val="9"/>
        <rFont val="Arial"/>
        <family val="2"/>
      </rPr>
      <t>two independent groups</t>
    </r>
    <r>
      <rPr>
        <sz val="9"/>
        <rFont val="Arial"/>
        <family val="2"/>
      </rPr>
      <t xml:space="preserve"> design.  See the extent of </t>
    </r>
    <r>
      <rPr>
        <b/>
        <sz val="9"/>
        <rFont val="Arial"/>
        <family val="2"/>
      </rPr>
      <t>sampling variability</t>
    </r>
    <r>
      <rPr>
        <sz val="9"/>
        <rFont val="Arial"/>
        <family val="2"/>
      </rPr>
      <t>.</t>
    </r>
  </si>
  <si>
    <r>
      <t>Data paired</t>
    </r>
    <r>
      <rPr>
        <sz val="9"/>
        <rFont val="Arial"/>
        <family val="2"/>
      </rPr>
      <t xml:space="preserve">   See </t>
    </r>
    <r>
      <rPr>
        <sz val="9"/>
        <color indexed="12"/>
        <rFont val="Arial"/>
        <family val="2"/>
      </rPr>
      <t>Chapter 6</t>
    </r>
    <r>
      <rPr>
        <sz val="9"/>
        <rFont val="Arial"/>
        <family val="2"/>
      </rPr>
      <t xml:space="preserve">.  Type (or paste) in </t>
    </r>
    <r>
      <rPr>
        <b/>
        <sz val="9"/>
        <rFont val="Arial"/>
        <family val="2"/>
      </rPr>
      <t>your own data</t>
    </r>
    <r>
      <rPr>
        <sz val="9"/>
        <rFont val="Arial"/>
        <family val="2"/>
      </rPr>
      <t xml:space="preserve">, for the </t>
    </r>
    <r>
      <rPr>
        <b/>
        <sz val="9"/>
        <rFont val="Arial"/>
        <family val="2"/>
      </rPr>
      <t>paired design</t>
    </r>
    <r>
      <rPr>
        <sz val="9"/>
        <rFont val="Arial"/>
        <family val="2"/>
      </rPr>
      <t>.  See a figure with floating Difference axis.</t>
    </r>
  </si>
  <si>
    <r>
      <t>Data two</t>
    </r>
    <r>
      <rPr>
        <sz val="9"/>
        <rFont val="Arial"/>
        <family val="2"/>
      </rPr>
      <t xml:space="preserve">   See </t>
    </r>
    <r>
      <rPr>
        <sz val="9"/>
        <color indexed="12"/>
        <rFont val="Arial"/>
        <family val="2"/>
      </rPr>
      <t>Chapter 6</t>
    </r>
    <r>
      <rPr>
        <sz val="9"/>
        <rFont val="Arial"/>
        <family val="2"/>
      </rPr>
      <t xml:space="preserve">.  Type (or paste) in </t>
    </r>
    <r>
      <rPr>
        <b/>
        <sz val="9"/>
        <rFont val="Arial"/>
        <family val="2"/>
      </rPr>
      <t>your own data</t>
    </r>
    <r>
      <rPr>
        <sz val="9"/>
        <rFont val="Arial"/>
        <family val="2"/>
      </rPr>
      <t xml:space="preserve">, for the </t>
    </r>
    <r>
      <rPr>
        <b/>
        <sz val="9"/>
        <rFont val="Arial"/>
        <family val="2"/>
      </rPr>
      <t>two independent groups</t>
    </r>
    <r>
      <rPr>
        <sz val="9"/>
        <rFont val="Arial"/>
        <family val="2"/>
      </rPr>
      <t xml:space="preserve"> design.  See one or two figures, with CIs.</t>
    </r>
  </si>
  <si>
    <r>
      <t>Simulate paired</t>
    </r>
    <r>
      <rPr>
        <sz val="9"/>
        <rFont val="Arial"/>
        <family val="2"/>
      </rPr>
      <t xml:space="preserve">   See </t>
    </r>
    <r>
      <rPr>
        <sz val="9"/>
        <color indexed="12"/>
        <rFont val="Arial"/>
        <family val="2"/>
      </rPr>
      <t>Chapter 6</t>
    </r>
    <r>
      <rPr>
        <sz val="9"/>
        <rFont val="Arial"/>
        <family val="2"/>
      </rPr>
      <t xml:space="preserve">. Simulate </t>
    </r>
    <r>
      <rPr>
        <b/>
        <sz val="9"/>
        <rFont val="Arial"/>
        <family val="2"/>
      </rPr>
      <t>running many experiments</t>
    </r>
    <r>
      <rPr>
        <sz val="9"/>
        <rFont val="Arial"/>
        <family val="2"/>
      </rPr>
      <t xml:space="preserve">, for the </t>
    </r>
    <r>
      <rPr>
        <b/>
        <sz val="9"/>
        <rFont val="Arial"/>
        <family val="2"/>
      </rPr>
      <t>paired</t>
    </r>
    <r>
      <rPr>
        <sz val="9"/>
        <rFont val="Arial"/>
        <family val="2"/>
      </rPr>
      <t xml:space="preserve"> design.  See the </t>
    </r>
    <r>
      <rPr>
        <b/>
        <sz val="9"/>
        <rFont val="Arial"/>
        <family val="2"/>
      </rPr>
      <t>pattern of sampling variability</t>
    </r>
    <r>
      <rPr>
        <sz val="9"/>
        <rFont val="Arial"/>
        <family val="2"/>
      </rPr>
      <t xml:space="preserve"> in means, and differences.</t>
    </r>
  </si>
  <si>
    <t>Highlight 1</t>
  </si>
  <si>
    <t>Highlight 3</t>
  </si>
  <si>
    <t>Highlight 5</t>
  </si>
  <si>
    <t>Highlight 7</t>
  </si>
  <si>
    <t xml:space="preserve">Diff </t>
  </si>
  <si>
    <t>Horiz line at zero</t>
  </si>
  <si>
    <t>hor axis bar</t>
  </si>
  <si>
    <t>multiple</t>
  </si>
  <si>
    <t>Divisor</t>
  </si>
  <si>
    <t>Intsize</t>
  </si>
  <si>
    <t>x for diff axis</t>
  </si>
  <si>
    <t>Zero?</t>
  </si>
  <si>
    <t xml:space="preserve">N </t>
  </si>
  <si>
    <r>
      <t>M</t>
    </r>
    <r>
      <rPr>
        <vertAlign val="subscript"/>
        <sz val="10"/>
        <rFont val="Arial"/>
        <family val="2"/>
      </rPr>
      <t>diff</t>
    </r>
    <r>
      <rPr>
        <i/>
        <vertAlign val="subscript"/>
        <sz val="10"/>
        <rFont val="Arial"/>
        <family val="2"/>
      </rPr>
      <t xml:space="preserve"> </t>
    </r>
    <r>
      <rPr>
        <vertAlign val="subscript"/>
        <sz val="10"/>
        <rFont val="Arial"/>
        <family val="2"/>
      </rPr>
      <t xml:space="preserve"> </t>
    </r>
  </si>
  <si>
    <r>
      <t>s</t>
    </r>
    <r>
      <rPr>
        <vertAlign val="subscript"/>
        <sz val="10"/>
        <rFont val="Arial"/>
        <family val="2"/>
      </rPr>
      <t>diff</t>
    </r>
    <r>
      <rPr>
        <i/>
        <vertAlign val="subscript"/>
        <sz val="10"/>
        <rFont val="Arial"/>
        <family val="2"/>
      </rPr>
      <t xml:space="preserve"> </t>
    </r>
  </si>
  <si>
    <r>
      <t>MOE</t>
    </r>
    <r>
      <rPr>
        <vertAlign val="subscript"/>
        <sz val="10"/>
        <rFont val="Arial"/>
        <family val="2"/>
      </rPr>
      <t>diff</t>
    </r>
    <r>
      <rPr>
        <i/>
        <vertAlign val="subscript"/>
        <sz val="10"/>
        <rFont val="Arial"/>
        <family val="2"/>
      </rPr>
      <t xml:space="preserve"> </t>
    </r>
  </si>
  <si>
    <r>
      <t>ES</t>
    </r>
    <r>
      <rPr>
        <i/>
        <sz val="8"/>
        <rFont val="Arial"/>
        <family val="2"/>
      </rPr>
      <t xml:space="preserve"> </t>
    </r>
  </si>
  <si>
    <r>
      <t>Paired</t>
    </r>
    <r>
      <rPr>
        <i/>
        <sz val="8"/>
        <rFont val="Arial"/>
        <family val="2"/>
      </rPr>
      <t xml:space="preserve"> t</t>
    </r>
    <r>
      <rPr>
        <i/>
        <vertAlign val="subscript"/>
        <sz val="8"/>
        <rFont val="Arial"/>
        <family val="2"/>
      </rPr>
      <t xml:space="preserve"> </t>
    </r>
    <r>
      <rPr>
        <i/>
        <sz val="8"/>
        <rFont val="Arial"/>
        <family val="2"/>
      </rPr>
      <t xml:space="preserve"> </t>
    </r>
  </si>
  <si>
    <r>
      <t xml:space="preserve">Means </t>
    </r>
    <r>
      <rPr>
        <i/>
        <sz val="8"/>
        <rFont val="Arial"/>
        <family val="2"/>
      </rPr>
      <t>M</t>
    </r>
    <r>
      <rPr>
        <vertAlign val="subscript"/>
        <sz val="10"/>
        <rFont val="Arial"/>
        <family val="2"/>
      </rPr>
      <t>1</t>
    </r>
    <r>
      <rPr>
        <i/>
        <vertAlign val="subscript"/>
        <sz val="10"/>
        <rFont val="Arial"/>
        <family val="2"/>
      </rPr>
      <t xml:space="preserve"> </t>
    </r>
  </si>
  <si>
    <r>
      <t>M</t>
    </r>
    <r>
      <rPr>
        <vertAlign val="subscript"/>
        <sz val="10"/>
        <rFont val="Arial"/>
        <family val="2"/>
      </rPr>
      <t>2</t>
    </r>
    <r>
      <rPr>
        <i/>
        <vertAlign val="subscript"/>
        <sz val="10"/>
        <rFont val="Arial"/>
        <family val="2"/>
      </rPr>
      <t xml:space="preserve"> </t>
    </r>
  </si>
  <si>
    <r>
      <t xml:space="preserve">Means   </t>
    </r>
    <r>
      <rPr>
        <i/>
        <sz val="8"/>
        <rFont val="Arial"/>
        <family val="2"/>
      </rPr>
      <t>M</t>
    </r>
    <r>
      <rPr>
        <vertAlign val="subscript"/>
        <sz val="10"/>
        <rFont val="Arial"/>
        <family val="2"/>
      </rPr>
      <t>1</t>
    </r>
  </si>
  <si>
    <r>
      <t xml:space="preserve">SDs   </t>
    </r>
    <r>
      <rPr>
        <i/>
        <sz val="8"/>
        <rFont val="Arial"/>
        <family val="2"/>
      </rPr>
      <t>s</t>
    </r>
    <r>
      <rPr>
        <vertAlign val="subscript"/>
        <sz val="10"/>
        <rFont val="Arial"/>
        <family val="2"/>
      </rPr>
      <t>1</t>
    </r>
  </si>
  <si>
    <r>
      <t xml:space="preserve">SDs  </t>
    </r>
    <r>
      <rPr>
        <i/>
        <sz val="8"/>
        <rFont val="Arial"/>
        <family val="2"/>
      </rPr>
      <t>s</t>
    </r>
    <r>
      <rPr>
        <vertAlign val="subscript"/>
        <sz val="10"/>
        <rFont val="Arial"/>
        <family val="2"/>
      </rPr>
      <t>1</t>
    </r>
    <r>
      <rPr>
        <i/>
        <vertAlign val="subscript"/>
        <sz val="10"/>
        <rFont val="Arial"/>
        <family val="2"/>
      </rPr>
      <t xml:space="preserve"> </t>
    </r>
  </si>
  <si>
    <r>
      <t>s</t>
    </r>
    <r>
      <rPr>
        <vertAlign val="subscript"/>
        <sz val="10"/>
        <rFont val="Arial"/>
        <family val="2"/>
      </rPr>
      <t>2</t>
    </r>
    <r>
      <rPr>
        <i/>
        <vertAlign val="subscript"/>
        <sz val="10"/>
        <rFont val="Arial"/>
        <family val="2"/>
      </rPr>
      <t xml:space="preserve"> </t>
    </r>
  </si>
  <si>
    <r>
      <t>MOE</t>
    </r>
    <r>
      <rPr>
        <vertAlign val="subscript"/>
        <sz val="10"/>
        <rFont val="Arial"/>
        <family val="2"/>
      </rPr>
      <t>1</t>
    </r>
    <r>
      <rPr>
        <i/>
        <vertAlign val="subscript"/>
        <sz val="10"/>
        <rFont val="Arial"/>
        <family val="2"/>
      </rPr>
      <t xml:space="preserve"> </t>
    </r>
  </si>
  <si>
    <r>
      <t>MOE</t>
    </r>
    <r>
      <rPr>
        <vertAlign val="subscript"/>
        <sz val="10"/>
        <rFont val="Arial"/>
        <family val="2"/>
      </rPr>
      <t>2</t>
    </r>
    <r>
      <rPr>
        <i/>
        <vertAlign val="subscript"/>
        <sz val="10"/>
        <rFont val="Arial"/>
        <family val="2"/>
      </rPr>
      <t xml:space="preserve"> </t>
    </r>
  </si>
  <si>
    <t>N</t>
  </si>
  <si>
    <r>
      <t>Means</t>
    </r>
    <r>
      <rPr>
        <sz val="8"/>
        <rFont val="Symbol"/>
        <family val="1"/>
        <charset val="2"/>
      </rPr>
      <t xml:space="preserve">  </t>
    </r>
    <r>
      <rPr>
        <sz val="9"/>
        <rFont val="Symbol"/>
        <family val="1"/>
        <charset val="2"/>
      </rPr>
      <t>m</t>
    </r>
    <r>
      <rPr>
        <vertAlign val="subscript"/>
        <sz val="10"/>
        <rFont val="Symbol"/>
        <family val="1"/>
        <charset val="2"/>
      </rPr>
      <t>1</t>
    </r>
  </si>
  <si>
    <r>
      <t xml:space="preserve">  SD  </t>
    </r>
    <r>
      <rPr>
        <sz val="10"/>
        <rFont val="Symbol"/>
        <family val="1"/>
        <charset val="2"/>
      </rPr>
      <t>s</t>
    </r>
    <r>
      <rPr>
        <i/>
        <sz val="10"/>
        <rFont val="Symbol"/>
        <family val="1"/>
        <charset val="2"/>
      </rPr>
      <t xml:space="preserve"> </t>
    </r>
    <r>
      <rPr>
        <sz val="10"/>
        <rFont val="Arial"/>
        <family val="2"/>
      </rPr>
      <t xml:space="preserve"> </t>
    </r>
  </si>
  <si>
    <t>x for diffs</t>
  </si>
  <si>
    <r>
      <t xml:space="preserve"> </t>
    </r>
    <r>
      <rPr>
        <sz val="10"/>
        <rFont val="Symbol"/>
        <family val="1"/>
        <charset val="2"/>
      </rPr>
      <t>s</t>
    </r>
    <r>
      <rPr>
        <vertAlign val="subscript"/>
        <sz val="10"/>
        <rFont val="Arial"/>
        <family val="2"/>
      </rPr>
      <t>diff</t>
    </r>
    <r>
      <rPr>
        <i/>
        <vertAlign val="subscript"/>
        <sz val="10"/>
        <rFont val="Arial"/>
        <family val="2"/>
      </rPr>
      <t xml:space="preserve"> </t>
    </r>
  </si>
  <si>
    <r>
      <t xml:space="preserve">Means </t>
    </r>
    <r>
      <rPr>
        <i/>
        <sz val="8"/>
        <rFont val="Arial"/>
        <family val="2"/>
      </rPr>
      <t>M</t>
    </r>
    <r>
      <rPr>
        <vertAlign val="subscript"/>
        <sz val="10"/>
        <rFont val="Arial"/>
        <family val="2"/>
      </rPr>
      <t>1</t>
    </r>
    <r>
      <rPr>
        <sz val="8"/>
        <rFont val="Arial"/>
        <family val="2"/>
      </rPr>
      <t>,</t>
    </r>
    <r>
      <rPr>
        <i/>
        <sz val="8"/>
        <rFont val="Arial"/>
        <family val="2"/>
      </rPr>
      <t xml:space="preserve"> M</t>
    </r>
    <r>
      <rPr>
        <vertAlign val="subscript"/>
        <sz val="10"/>
        <rFont val="Arial"/>
        <family val="2"/>
      </rPr>
      <t>2</t>
    </r>
  </si>
  <si>
    <r>
      <t>s</t>
    </r>
    <r>
      <rPr>
        <vertAlign val="subscript"/>
        <sz val="10"/>
        <rFont val="Arial"/>
        <family val="2"/>
      </rPr>
      <t>diff</t>
    </r>
  </si>
  <si>
    <r>
      <t>MOE</t>
    </r>
    <r>
      <rPr>
        <vertAlign val="subscript"/>
        <sz val="10"/>
        <rFont val="Arial"/>
        <family val="2"/>
      </rPr>
      <t>1</t>
    </r>
    <r>
      <rPr>
        <sz val="8"/>
        <rFont val="Arial"/>
        <family val="2"/>
      </rPr>
      <t xml:space="preserve">, </t>
    </r>
    <r>
      <rPr>
        <i/>
        <sz val="8"/>
        <rFont val="Arial"/>
        <family val="2"/>
      </rPr>
      <t>MOE</t>
    </r>
    <r>
      <rPr>
        <vertAlign val="subscript"/>
        <sz val="10"/>
        <rFont val="Arial"/>
        <family val="2"/>
      </rPr>
      <t>2</t>
    </r>
  </si>
  <si>
    <r>
      <t>9</t>
    </r>
    <r>
      <rPr>
        <b/>
        <sz val="8"/>
        <color indexed="10"/>
        <rFont val="Arial"/>
        <family val="2"/>
      </rPr>
      <t xml:space="preserve">  </t>
    </r>
    <r>
      <rPr>
        <sz val="8"/>
        <rFont val="Arial"/>
        <family val="2"/>
      </rPr>
      <t>Descriptive statistics</t>
    </r>
  </si>
  <si>
    <r>
      <t>10</t>
    </r>
    <r>
      <rPr>
        <b/>
        <sz val="8"/>
        <color indexed="10"/>
        <rFont val="Arial"/>
        <family val="2"/>
      </rPr>
      <t xml:space="preserve">   </t>
    </r>
    <r>
      <rPr>
        <sz val="8"/>
        <rFont val="Arial"/>
        <family val="2"/>
      </rPr>
      <t>Differences</t>
    </r>
  </si>
  <si>
    <t xml:space="preserve">      units</t>
  </si>
  <si>
    <t>bars</t>
  </si>
  <si>
    <t>z</t>
  </si>
  <si>
    <t>randseed</t>
  </si>
  <si>
    <t>forseed</t>
  </si>
  <si>
    <t>CIs and replication</t>
  </si>
  <si>
    <t>Our single sample</t>
  </si>
  <si>
    <t>Xstart</t>
  </si>
  <si>
    <t>pop disp</t>
  </si>
  <si>
    <t>Given an initial mean and CI, where will</t>
  </si>
  <si>
    <t>xR</t>
  </si>
  <si>
    <t>Sswitch</t>
  </si>
  <si>
    <t xml:space="preserve">     replication means fall?</t>
  </si>
  <si>
    <t>xL</t>
  </si>
  <si>
    <t>singswitch</t>
  </si>
  <si>
    <t>What % will fall within the CI?</t>
  </si>
  <si>
    <t>inc</t>
  </si>
  <si>
    <t>Population</t>
  </si>
  <si>
    <t>upper display</t>
  </si>
  <si>
    <t>for baseline</t>
  </si>
  <si>
    <t>orig M</t>
  </si>
  <si>
    <t>orig CI</t>
  </si>
  <si>
    <t xml:space="preserve">SE </t>
  </si>
  <si>
    <t>disp CI</t>
  </si>
  <si>
    <t>capt %</t>
  </si>
  <si>
    <t>Experiment</t>
  </si>
  <si>
    <t>cap'd</t>
  </si>
  <si>
    <t>notcap</t>
  </si>
  <si>
    <t>Lower display: Capture %ages</t>
  </si>
  <si>
    <t>For curve</t>
  </si>
  <si>
    <t>For area</t>
  </si>
  <si>
    <t>Central shaded area</t>
  </si>
  <si>
    <t>Sampling distribution of means</t>
  </si>
  <si>
    <t>lower display</t>
  </si>
  <si>
    <t>top</t>
  </si>
  <si>
    <t>xdisp</t>
  </si>
  <si>
    <t>ydisp</t>
  </si>
  <si>
    <t>xticks</t>
  </si>
  <si>
    <t>yticks</t>
  </si>
  <si>
    <t>Confidence level</t>
  </si>
  <si>
    <t xml:space="preserve">Shading </t>
  </si>
  <si>
    <t xml:space="preserve">C </t>
  </si>
  <si>
    <t>Nmeans</t>
  </si>
  <si>
    <t>Popdisp?</t>
  </si>
  <si>
    <t>PopInt?</t>
  </si>
  <si>
    <t xml:space="preserve">Speed </t>
  </si>
  <si>
    <t>PinkShade?</t>
  </si>
  <si>
    <t>same?</t>
  </si>
  <si>
    <t>Initial samples</t>
  </si>
  <si>
    <t>Current t</t>
  </si>
  <si>
    <t xml:space="preserve">      % replication means within our CI</t>
  </si>
  <si>
    <t>Current z</t>
  </si>
  <si>
    <t>Number of samples</t>
  </si>
  <si>
    <t>curve?</t>
  </si>
  <si>
    <t>% means</t>
  </si>
  <si>
    <t>Black lines</t>
  </si>
  <si>
    <t>% means in CI</t>
  </si>
  <si>
    <t>two-tailed</t>
  </si>
  <si>
    <t>Max abs zero error</t>
  </si>
  <si>
    <t>Target %ile</t>
  </si>
  <si>
    <t>ONE-Sided</t>
  </si>
  <si>
    <t>TWO-Sided</t>
  </si>
  <si>
    <t xml:space="preserve">Obtained </t>
  </si>
  <si>
    <t>forzero</t>
  </si>
  <si>
    <t>(</t>
  </si>
  <si>
    <t>)</t>
  </si>
  <si>
    <t>X step size</t>
  </si>
  <si>
    <t>Disp populat'ns</t>
  </si>
  <si>
    <t>***</t>
  </si>
  <si>
    <t>**</t>
  </si>
  <si>
    <t>*</t>
  </si>
  <si>
    <t>?</t>
  </si>
  <si>
    <t>&gt;.10</t>
  </si>
  <si>
    <t>n samp</t>
  </si>
  <si>
    <t xml:space="preserve">2 </t>
  </si>
  <si>
    <t>Max height</t>
  </si>
  <si>
    <t>Disp data pts</t>
  </si>
  <si>
    <t>Disp flasher</t>
  </si>
  <si>
    <t xml:space="preserve">Control          </t>
  </si>
  <si>
    <t>Disp CE labels</t>
  </si>
  <si>
    <t>Disp diff, CI</t>
  </si>
  <si>
    <t>Casino display</t>
  </si>
  <si>
    <t>Populations</t>
  </si>
  <si>
    <t>Dance p vals</t>
  </si>
  <si>
    <t>s</t>
  </si>
  <si>
    <t xml:space="preserve">Experimental          </t>
  </si>
  <si>
    <t>Moveable diff axis</t>
  </si>
  <si>
    <t>Disp diff axis</t>
  </si>
  <si>
    <t>For dispdiffaxis</t>
  </si>
  <si>
    <t xml:space="preserve">      Display populations</t>
  </si>
  <si>
    <t>Show p val label</t>
  </si>
  <si>
    <t>Don'tClearDisp</t>
  </si>
  <si>
    <t>n</t>
  </si>
  <si>
    <t>Display Ha</t>
  </si>
  <si>
    <t>KeepShowSmps</t>
  </si>
  <si>
    <t>dancespeed</t>
  </si>
  <si>
    <t>rand for C</t>
  </si>
  <si>
    <t>Display figures</t>
  </si>
  <si>
    <t>To calc power</t>
  </si>
  <si>
    <t>SpinnerForSpeed</t>
  </si>
  <si>
    <t>rand for E</t>
  </si>
  <si>
    <t>Latest experiment</t>
  </si>
  <si>
    <t>Disp expected</t>
  </si>
  <si>
    <t>a</t>
  </si>
  <si>
    <t>Sound?</t>
  </si>
  <si>
    <t xml:space="preserve"> Display  </t>
  </si>
  <si>
    <t xml:space="preserve">Power </t>
  </si>
  <si>
    <t>Show data in histo</t>
  </si>
  <si>
    <t>Soundflag</t>
  </si>
  <si>
    <t xml:space="preserve"> data points, CIs</t>
  </si>
  <si>
    <t xml:space="preserve">          Number of experiments </t>
  </si>
  <si>
    <t>Show data cols</t>
  </si>
  <si>
    <t>Flasher value</t>
  </si>
  <si>
    <t>dance of the p values</t>
  </si>
  <si>
    <t>Show expected cols</t>
  </si>
  <si>
    <t>Diff axis zero</t>
  </si>
  <si>
    <t xml:space="preserve"> Display difference axis</t>
  </si>
  <si>
    <t>For diff axis scale</t>
  </si>
  <si>
    <t>Diff b'n means</t>
  </si>
  <si>
    <t>patch display</t>
  </si>
  <si>
    <t>calcswitch</t>
  </si>
  <si>
    <t xml:space="preserve">          Display CI on difference</t>
  </si>
  <si>
    <t>Display grey lines</t>
  </si>
  <si>
    <t>? * ** ***</t>
  </si>
  <si>
    <t>star display</t>
  </si>
  <si>
    <t>For V axis</t>
  </si>
  <si>
    <t>Frequency:</t>
  </si>
  <si>
    <t>Data %:</t>
  </si>
  <si>
    <t>Theory %:</t>
  </si>
  <si>
    <t xml:space="preserve"> Sound</t>
  </si>
  <si>
    <t xml:space="preserve">  histogram</t>
  </si>
  <si>
    <t>Vertical line at 0</t>
  </si>
  <si>
    <t>For pop labels</t>
  </si>
  <si>
    <t>Disp pop means</t>
  </si>
  <si>
    <t>Disp Ha</t>
  </si>
  <si>
    <t>Exptal</t>
  </si>
  <si>
    <t xml:space="preserve">  Display</t>
  </si>
  <si>
    <t xml:space="preserve">  figures</t>
  </si>
  <si>
    <t>Display diff</t>
  </si>
  <si>
    <t>moe  known</t>
  </si>
  <si>
    <t>moe for diff</t>
  </si>
  <si>
    <t>SE diff</t>
  </si>
  <si>
    <t>E SD</t>
  </si>
  <si>
    <t>moe</t>
  </si>
  <si>
    <t>C SD</t>
  </si>
  <si>
    <t>Disp E mean</t>
  </si>
  <si>
    <t>Disp C mean</t>
  </si>
  <si>
    <t>rand no.</t>
  </si>
  <si>
    <t>data point</t>
  </si>
  <si>
    <t>New E Sample, for disp</t>
  </si>
  <si>
    <t>New C Sample, for disp</t>
  </si>
  <si>
    <t>x half arm</t>
  </si>
  <si>
    <t>Display freqs</t>
  </si>
  <si>
    <t>%ages</t>
  </si>
  <si>
    <t>exp %</t>
  </si>
  <si>
    <t>Left,Right x</t>
  </si>
  <si>
    <t>Expected y</t>
  </si>
  <si>
    <t>Display cols of expected %ages</t>
  </si>
  <si>
    <t>X axis</t>
  </si>
  <si>
    <t>left end</t>
  </si>
  <si>
    <t>% diff</t>
  </si>
  <si>
    <t>chi-sq test</t>
  </si>
  <si>
    <t>To calculate expected %ages</t>
  </si>
  <si>
    <t>half width</t>
  </si>
  <si>
    <t>right end</t>
  </si>
  <si>
    <t>p(z)</t>
  </si>
  <si>
    <t>Expect'd %ages</t>
  </si>
  <si>
    <t>P(p&lt;.10)</t>
  </si>
  <si>
    <t>bottom</t>
  </si>
  <si>
    <t>Histogram</t>
  </si>
  <si>
    <t>Histo data freqs</t>
  </si>
  <si>
    <t>pairs test</t>
  </si>
  <si>
    <t>P(p&lt;.05)</t>
  </si>
  <si>
    <t>appearance</t>
  </si>
  <si>
    <t>Theory freqs</t>
  </si>
  <si>
    <t>P(p&lt;.01)</t>
  </si>
  <si>
    <t>Histo data %ages</t>
  </si>
  <si>
    <t>P(p&lt;.001)</t>
  </si>
  <si>
    <t>Theory %ages</t>
  </si>
  <si>
    <t>col no.</t>
  </si>
  <si>
    <t>ytick</t>
  </si>
  <si>
    <t>P(next will be the same)</t>
  </si>
  <si>
    <t>xcentre</t>
  </si>
  <si>
    <t>Expected pairs</t>
  </si>
  <si>
    <t>To highlight last point</t>
  </si>
  <si>
    <t>Observed pairs</t>
  </si>
  <si>
    <t>xtick</t>
  </si>
  <si>
    <t>Total</t>
  </si>
  <si>
    <t>space</t>
  </si>
  <si>
    <t>mod</t>
  </si>
  <si>
    <t>sign</t>
  </si>
  <si>
    <t>Display power</t>
  </si>
  <si>
    <t>For diff axis tick marks</t>
  </si>
  <si>
    <t>spacetick</t>
  </si>
  <si>
    <t>no. in row</t>
  </si>
  <si>
    <t>For brief lower figs display</t>
  </si>
  <si>
    <t>x side</t>
  </si>
  <si>
    <t>fig disp length</t>
  </si>
  <si>
    <t>x tick</t>
  </si>
  <si>
    <t>For ongoing lower figs display</t>
  </si>
  <si>
    <t>x ***</t>
  </si>
  <si>
    <t>x **</t>
  </si>
  <si>
    <t>x *</t>
  </si>
  <si>
    <t>x ?</t>
  </si>
  <si>
    <t>x &gt;.10</t>
  </si>
  <si>
    <r>
      <t xml:space="preserve">Mean </t>
    </r>
    <r>
      <rPr>
        <sz val="9"/>
        <rFont val="Symbol"/>
        <family val="1"/>
        <charset val="2"/>
      </rPr>
      <t>m</t>
    </r>
  </si>
  <si>
    <r>
      <t xml:space="preserve">SD </t>
    </r>
    <r>
      <rPr>
        <sz val="9"/>
        <rFont val="Symbol"/>
        <family val="1"/>
        <charset val="2"/>
      </rPr>
      <t>s</t>
    </r>
  </si>
  <si>
    <r>
      <t xml:space="preserve">Display </t>
    </r>
    <r>
      <rPr>
        <sz val="9"/>
        <rFont val="Symbol"/>
        <family val="1"/>
        <charset val="2"/>
      </rPr>
      <t>m</t>
    </r>
    <r>
      <rPr>
        <sz val="9"/>
        <rFont val="Arial"/>
        <family val="2"/>
      </rPr>
      <t xml:space="preserve"> </t>
    </r>
    <r>
      <rPr>
        <sz val="9"/>
        <rFont val="Arial"/>
        <family val="2"/>
      </rPr>
      <t>±</t>
    </r>
    <r>
      <rPr>
        <sz val="9"/>
        <rFont val="Arial"/>
        <family val="2"/>
      </rPr>
      <t xml:space="preserve"> </t>
    </r>
    <r>
      <rPr>
        <sz val="9"/>
        <rFont val="Symbol"/>
        <family val="1"/>
        <charset val="2"/>
      </rPr>
      <t>s</t>
    </r>
  </si>
  <si>
    <r>
      <t xml:space="preserve">Central </t>
    </r>
    <r>
      <rPr>
        <i/>
        <sz val="8"/>
        <rFont val="Arial"/>
        <family val="2"/>
      </rPr>
      <t>C</t>
    </r>
    <r>
      <rPr>
        <sz val="8"/>
        <rFont val="Arial"/>
        <family val="2"/>
      </rPr>
      <t>% area</t>
    </r>
  </si>
  <si>
    <r>
      <t xml:space="preserve">Assume </t>
    </r>
    <r>
      <rPr>
        <sz val="9"/>
        <rFont val="Symbol"/>
        <family val="1"/>
        <charset val="2"/>
      </rPr>
      <t>s</t>
    </r>
    <r>
      <rPr>
        <sz val="8"/>
        <rFont val="Arial"/>
        <family val="2"/>
      </rPr>
      <t xml:space="preserve"> is known</t>
    </r>
  </si>
  <si>
    <r>
      <t>s</t>
    </r>
    <r>
      <rPr>
        <sz val="8"/>
        <rFont val="Arial"/>
        <family val="2"/>
      </rPr>
      <t>known</t>
    </r>
  </si>
  <si>
    <r>
      <t>p</t>
    </r>
    <r>
      <rPr>
        <b/>
        <sz val="9"/>
        <color indexed="12"/>
        <rFont val="Arial"/>
        <family val="2"/>
      </rPr>
      <t xml:space="preserve"> interval calculations</t>
    </r>
  </si>
  <si>
    <r>
      <t xml:space="preserve">Given an initial two-tailed </t>
    </r>
    <r>
      <rPr>
        <i/>
        <sz val="9"/>
        <rFont val="Arial"/>
        <family val="2"/>
      </rPr>
      <t>p</t>
    </r>
    <r>
      <rPr>
        <vertAlign val="subscript"/>
        <sz val="10"/>
        <rFont val="Arial"/>
        <family val="2"/>
      </rPr>
      <t>obt</t>
    </r>
    <r>
      <rPr>
        <sz val="9"/>
        <rFont val="Arial"/>
        <family val="2"/>
      </rPr>
      <t xml:space="preserve"> value, set by the slider, find the </t>
    </r>
    <r>
      <rPr>
        <i/>
        <sz val="9"/>
        <rFont val="Arial"/>
        <family val="2"/>
      </rPr>
      <t>p</t>
    </r>
    <r>
      <rPr>
        <sz val="9"/>
        <rFont val="Arial"/>
        <family val="2"/>
      </rPr>
      <t xml:space="preserve"> intervals.</t>
    </r>
  </si>
  <si>
    <r>
      <t xml:space="preserve">Find both one-sided and two-sided </t>
    </r>
    <r>
      <rPr>
        <i/>
        <sz val="9"/>
        <rFont val="Arial"/>
        <family val="2"/>
      </rPr>
      <t>p</t>
    </r>
    <r>
      <rPr>
        <sz val="9"/>
        <rFont val="Arial"/>
        <family val="2"/>
      </rPr>
      <t xml:space="preserve"> intervals.</t>
    </r>
  </si>
  <si>
    <r>
      <t xml:space="preserve">... for both one-tailed replication </t>
    </r>
    <r>
      <rPr>
        <i/>
        <sz val="9"/>
        <rFont val="Arial"/>
        <family val="2"/>
      </rPr>
      <t>p</t>
    </r>
    <r>
      <rPr>
        <sz val="9"/>
        <rFont val="Arial"/>
        <family val="2"/>
      </rPr>
      <t xml:space="preserve">, and two-tailed replication </t>
    </r>
    <r>
      <rPr>
        <i/>
        <sz val="9"/>
        <rFont val="Arial"/>
        <family val="2"/>
      </rPr>
      <t>p</t>
    </r>
    <r>
      <rPr>
        <sz val="9"/>
        <rFont val="Arial"/>
        <family val="2"/>
      </rPr>
      <t>.</t>
    </r>
  </si>
  <si>
    <r>
      <t xml:space="preserve">Set two-tailed </t>
    </r>
    <r>
      <rPr>
        <b/>
        <i/>
        <sz val="9"/>
        <rFont val="Arial"/>
        <family val="2"/>
      </rPr>
      <t>p</t>
    </r>
    <r>
      <rPr>
        <b/>
        <vertAlign val="subscript"/>
        <sz val="10"/>
        <rFont val="Arial"/>
        <family val="2"/>
      </rPr>
      <t>obt</t>
    </r>
  </si>
  <si>
    <r>
      <t>p</t>
    </r>
    <r>
      <rPr>
        <vertAlign val="subscript"/>
        <sz val="9"/>
        <rFont val="Arial"/>
        <family val="2"/>
      </rPr>
      <t>obt</t>
    </r>
  </si>
  <si>
    <r>
      <t>p</t>
    </r>
    <r>
      <rPr>
        <b/>
        <sz val="9"/>
        <rFont val="Arial"/>
        <family val="2"/>
      </rPr>
      <t xml:space="preserve"> intervals for </t>
    </r>
    <r>
      <rPr>
        <b/>
        <sz val="9"/>
        <color indexed="10"/>
        <rFont val="Arial"/>
        <family val="2"/>
      </rPr>
      <t>one-tailed</t>
    </r>
    <r>
      <rPr>
        <b/>
        <sz val="9"/>
        <rFont val="Arial"/>
        <family val="2"/>
      </rPr>
      <t xml:space="preserve"> replication </t>
    </r>
    <r>
      <rPr>
        <b/>
        <i/>
        <sz val="9"/>
        <rFont val="Arial"/>
        <family val="2"/>
      </rPr>
      <t>p</t>
    </r>
  </si>
  <si>
    <r>
      <t>p</t>
    </r>
    <r>
      <rPr>
        <b/>
        <sz val="9"/>
        <rFont val="Arial"/>
        <family val="2"/>
      </rPr>
      <t xml:space="preserve"> intervals for </t>
    </r>
    <r>
      <rPr>
        <b/>
        <sz val="9"/>
        <color indexed="10"/>
        <rFont val="Arial"/>
        <family val="2"/>
      </rPr>
      <t>two-tailed</t>
    </r>
    <r>
      <rPr>
        <b/>
        <sz val="9"/>
        <rFont val="Arial"/>
        <family val="2"/>
      </rPr>
      <t xml:space="preserve"> replication </t>
    </r>
    <r>
      <rPr>
        <b/>
        <i/>
        <sz val="9"/>
        <rFont val="Arial"/>
        <family val="2"/>
      </rPr>
      <t>p</t>
    </r>
  </si>
  <si>
    <r>
      <t>p</t>
    </r>
    <r>
      <rPr>
        <b/>
        <sz val="9"/>
        <color indexed="12"/>
        <rFont val="Arial"/>
        <family val="2"/>
      </rPr>
      <t xml:space="preserve"> values and replication</t>
    </r>
  </si>
  <si>
    <r>
      <t xml:space="preserve">Display </t>
    </r>
    <r>
      <rPr>
        <sz val="8"/>
        <rFont val="Symbol"/>
        <family val="1"/>
        <charset val="2"/>
      </rPr>
      <t xml:space="preserve">m </t>
    </r>
    <r>
      <rPr>
        <sz val="8"/>
        <rFont val="Arial"/>
        <family val="2"/>
      </rPr>
      <t>line</t>
    </r>
  </si>
  <si>
    <r>
      <t>p</t>
    </r>
    <r>
      <rPr>
        <sz val="8"/>
        <rFont val="Arial"/>
        <family val="2"/>
      </rPr>
      <t xml:space="preserve"> value</t>
    </r>
  </si>
  <si>
    <r>
      <t xml:space="preserve">See how 95% CIs, and two-tailed </t>
    </r>
    <r>
      <rPr>
        <i/>
        <sz val="9"/>
        <rFont val="Arial"/>
        <family val="2"/>
      </rPr>
      <t>p</t>
    </r>
    <r>
      <rPr>
        <sz val="8"/>
        <rFont val="Arial"/>
        <family val="2"/>
      </rPr>
      <t xml:space="preserve"> values vary with replication</t>
    </r>
  </si>
  <si>
    <r>
      <t>m</t>
    </r>
    <r>
      <rPr>
        <vertAlign val="subscript"/>
        <sz val="10"/>
        <rFont val="Arial"/>
        <family val="2"/>
      </rPr>
      <t>C</t>
    </r>
  </si>
  <si>
    <r>
      <t xml:space="preserve">C </t>
    </r>
    <r>
      <rPr>
        <sz val="8"/>
        <rFont val="Symbol"/>
        <family val="1"/>
        <charset val="2"/>
      </rPr>
      <t>m</t>
    </r>
  </si>
  <si>
    <r>
      <t xml:space="preserve">Show </t>
    </r>
    <r>
      <rPr>
        <i/>
        <sz val="9"/>
        <rFont val="Arial"/>
        <family val="2"/>
      </rPr>
      <t>p</t>
    </r>
    <r>
      <rPr>
        <sz val="8"/>
        <rFont val="Arial"/>
        <family val="2"/>
      </rPr>
      <t xml:space="preserve"> values</t>
    </r>
  </si>
  <si>
    <r>
      <t>m</t>
    </r>
    <r>
      <rPr>
        <vertAlign val="subscript"/>
        <sz val="10"/>
        <rFont val="Arial"/>
        <family val="2"/>
      </rPr>
      <t>E</t>
    </r>
  </si>
  <si>
    <r>
      <t xml:space="preserve">E </t>
    </r>
    <r>
      <rPr>
        <sz val="8"/>
        <rFont val="Symbol"/>
        <family val="1"/>
        <charset val="2"/>
      </rPr>
      <t>m</t>
    </r>
  </si>
  <si>
    <r>
      <t xml:space="preserve">Cohen's </t>
    </r>
    <r>
      <rPr>
        <sz val="10"/>
        <rFont val="Symbol"/>
        <family val="1"/>
        <charset val="2"/>
      </rPr>
      <t>d</t>
    </r>
    <r>
      <rPr>
        <sz val="10"/>
        <color indexed="9"/>
        <rFont val="Symbol"/>
        <family val="1"/>
        <charset val="2"/>
      </rPr>
      <t>.</t>
    </r>
  </si>
  <si>
    <r>
      <t>s</t>
    </r>
    <r>
      <rPr>
        <sz val="8"/>
        <rFont val="Arial"/>
        <family val="2"/>
      </rPr>
      <t xml:space="preserve"> known</t>
    </r>
  </si>
  <si>
    <r>
      <t xml:space="preserve">z for </t>
    </r>
    <r>
      <rPr>
        <sz val="10"/>
        <rFont val="Symbol"/>
        <family val="1"/>
        <charset val="2"/>
      </rPr>
      <t>a</t>
    </r>
  </si>
  <si>
    <r>
      <t xml:space="preserve">z for </t>
    </r>
    <r>
      <rPr>
        <sz val="10"/>
        <rFont val="Symbol"/>
        <family val="1"/>
        <charset val="2"/>
      </rPr>
      <t>d</t>
    </r>
  </si>
  <si>
    <r>
      <t xml:space="preserve">Differences and </t>
    </r>
    <r>
      <rPr>
        <b/>
        <i/>
        <sz val="9"/>
        <rFont val="Arial"/>
        <family val="2"/>
      </rPr>
      <t>p</t>
    </r>
  </si>
  <si>
    <r>
      <t xml:space="preserve">            Display </t>
    </r>
    <r>
      <rPr>
        <i/>
        <sz val="8"/>
        <rFont val="Arial"/>
        <family val="2"/>
      </rPr>
      <t>p</t>
    </r>
    <r>
      <rPr>
        <sz val="8"/>
        <rFont val="Arial"/>
        <family val="2"/>
      </rPr>
      <t xml:space="preserve"> values</t>
    </r>
  </si>
  <si>
    <r>
      <t xml:space="preserve">Display </t>
    </r>
    <r>
      <rPr>
        <sz val="10"/>
        <rFont val="Symbol"/>
        <family val="1"/>
        <charset val="2"/>
      </rPr>
      <t>m</t>
    </r>
    <r>
      <rPr>
        <vertAlign val="subscript"/>
        <sz val="10"/>
        <rFont val="Arial"/>
        <family val="2"/>
      </rPr>
      <t>diff</t>
    </r>
    <r>
      <rPr>
        <sz val="10"/>
        <rFont val="Arial"/>
        <family val="2"/>
      </rPr>
      <t xml:space="preserve"> </t>
    </r>
    <r>
      <rPr>
        <sz val="8"/>
        <rFont val="Arial"/>
        <family val="2"/>
      </rPr>
      <t>line</t>
    </r>
  </si>
  <si>
    <r>
      <t xml:space="preserve">Dance of the </t>
    </r>
    <r>
      <rPr>
        <i/>
        <sz val="9"/>
        <rFont val="Arial"/>
        <family val="2"/>
      </rPr>
      <t>p</t>
    </r>
    <r>
      <rPr>
        <sz val="8"/>
        <rFont val="Arial"/>
        <family val="2"/>
      </rPr>
      <t xml:space="preserve"> values</t>
    </r>
  </si>
  <si>
    <r>
      <t>p</t>
    </r>
    <r>
      <rPr>
        <sz val="8"/>
        <rFont val="Arial"/>
        <family val="2"/>
      </rPr>
      <t xml:space="preserve"> val 2-tail</t>
    </r>
  </si>
  <si>
    <r>
      <t>p</t>
    </r>
    <r>
      <rPr>
        <sz val="8"/>
        <rFont val="Arial"/>
        <family val="2"/>
      </rPr>
      <t xml:space="preserve"> val display</t>
    </r>
  </si>
  <si>
    <r>
      <t xml:space="preserve">     </t>
    </r>
    <r>
      <rPr>
        <i/>
        <sz val="9"/>
        <rFont val="Arial"/>
        <family val="2"/>
      </rPr>
      <t>p</t>
    </r>
    <r>
      <rPr>
        <sz val="8"/>
        <rFont val="Arial"/>
        <family val="2"/>
      </rPr>
      <t xml:space="preserve"> values</t>
    </r>
  </si>
  <si>
    <r>
      <t xml:space="preserve">Disp </t>
    </r>
    <r>
      <rPr>
        <sz val="8"/>
        <rFont val="Symbol"/>
        <family val="1"/>
        <charset val="2"/>
      </rPr>
      <t>d</t>
    </r>
  </si>
  <si>
    <r>
      <t>p (</t>
    </r>
    <r>
      <rPr>
        <sz val="8"/>
        <rFont val="Symbol"/>
        <family val="1"/>
        <charset val="2"/>
      </rPr>
      <t>c</t>
    </r>
    <r>
      <rPr>
        <vertAlign val="superscript"/>
        <sz val="8"/>
        <rFont val="Arial"/>
        <family val="2"/>
      </rPr>
      <t>2</t>
    </r>
    <r>
      <rPr>
        <sz val="8"/>
        <rFont val="Arial"/>
        <family val="2"/>
      </rPr>
      <t>)</t>
    </r>
  </si>
  <si>
    <r>
      <t>p</t>
    </r>
    <r>
      <rPr>
        <sz val="8"/>
        <rFont val="Arial"/>
        <family val="2"/>
      </rPr>
      <t>&gt;.10</t>
    </r>
  </si>
  <si>
    <r>
      <t>CIs and replication</t>
    </r>
    <r>
      <rPr>
        <sz val="9"/>
        <rFont val="Arial"/>
        <family val="2"/>
      </rPr>
      <t xml:space="preserve">  See </t>
    </r>
    <r>
      <rPr>
        <sz val="9"/>
        <color indexed="12"/>
        <rFont val="Arial"/>
        <family val="2"/>
      </rPr>
      <t>Chapter 5</t>
    </r>
    <r>
      <rPr>
        <sz val="9"/>
        <rFont val="Arial"/>
        <family val="2"/>
      </rPr>
      <t xml:space="preserve">.  Take an initial sample, see what percentage of </t>
    </r>
    <r>
      <rPr>
        <b/>
        <sz val="9"/>
        <rFont val="Arial"/>
        <family val="2"/>
      </rPr>
      <t>replication means</t>
    </r>
    <r>
      <rPr>
        <sz val="9"/>
        <rFont val="Arial"/>
        <family val="2"/>
      </rPr>
      <t xml:space="preserve"> it would capture.  See </t>
    </r>
    <r>
      <rPr>
        <b/>
        <sz val="9"/>
        <rFont val="Arial"/>
        <family val="2"/>
      </rPr>
      <t>distribution</t>
    </r>
    <r>
      <rPr>
        <sz val="9"/>
        <rFont val="Arial"/>
        <family val="2"/>
      </rPr>
      <t xml:space="preserve"> of capture percentages.</t>
    </r>
  </si>
  <si>
    <r>
      <t xml:space="preserve">Dance p  </t>
    </r>
    <r>
      <rPr>
        <sz val="9"/>
        <rFont val="Arial"/>
        <family val="2"/>
      </rPr>
      <t xml:space="preserve">See </t>
    </r>
    <r>
      <rPr>
        <sz val="9"/>
        <color indexed="12"/>
        <rFont val="Arial"/>
        <family val="2"/>
      </rPr>
      <t>Chapter 5</t>
    </r>
    <r>
      <rPr>
        <sz val="9"/>
        <rFont val="Arial"/>
        <family val="2"/>
      </rPr>
      <t xml:space="preserve">.  See how the </t>
    </r>
    <r>
      <rPr>
        <b/>
        <i/>
        <sz val="9"/>
        <rFont val="Arial"/>
        <family val="2"/>
      </rPr>
      <t>p</t>
    </r>
    <r>
      <rPr>
        <b/>
        <sz val="9"/>
        <rFont val="Arial"/>
        <family val="2"/>
      </rPr>
      <t xml:space="preserve"> value</t>
    </r>
    <r>
      <rPr>
        <sz val="9"/>
        <rFont val="Arial"/>
        <family val="2"/>
      </rPr>
      <t xml:space="preserve"> changes with </t>
    </r>
    <r>
      <rPr>
        <b/>
        <sz val="9"/>
        <rFont val="Arial"/>
        <family val="2"/>
      </rPr>
      <t>replication.</t>
    </r>
    <r>
      <rPr>
        <sz val="9"/>
        <rFont val="Arial"/>
        <family val="2"/>
      </rPr>
      <t xml:space="preserve">  Visit the </t>
    </r>
    <r>
      <rPr>
        <i/>
        <sz val="9"/>
        <rFont val="Arial"/>
        <family val="2"/>
      </rPr>
      <t>p</t>
    </r>
    <r>
      <rPr>
        <sz val="9"/>
        <rFont val="Arial"/>
        <family val="2"/>
      </rPr>
      <t xml:space="preserve"> value casino.  See the </t>
    </r>
    <r>
      <rPr>
        <b/>
        <sz val="9"/>
        <rFont val="Arial"/>
        <family val="2"/>
      </rPr>
      <t xml:space="preserve">dance of the </t>
    </r>
    <r>
      <rPr>
        <b/>
        <i/>
        <sz val="9"/>
        <rFont val="Arial"/>
        <family val="2"/>
      </rPr>
      <t>p</t>
    </r>
    <r>
      <rPr>
        <b/>
        <sz val="9"/>
        <rFont val="Arial"/>
        <family val="2"/>
      </rPr>
      <t xml:space="preserve"> values</t>
    </r>
    <r>
      <rPr>
        <sz val="9"/>
        <rFont val="Arial"/>
        <family val="2"/>
      </rPr>
      <t>.</t>
    </r>
  </si>
  <si>
    <t xml:space="preserve">ESCI Chapters 5-6 </t>
  </si>
  <si>
    <t>%</t>
  </si>
  <si>
    <t>Select % for the intervals</t>
  </si>
  <si>
    <r>
      <t xml:space="preserve">p intervals </t>
    </r>
    <r>
      <rPr>
        <sz val="9"/>
        <rFont val="Arial"/>
        <family val="2"/>
      </rPr>
      <t xml:space="preserve"> See </t>
    </r>
    <r>
      <rPr>
        <sz val="9"/>
        <color indexed="12"/>
        <rFont val="Arial"/>
        <family val="2"/>
      </rPr>
      <t>Chapter 5</t>
    </r>
    <r>
      <rPr>
        <sz val="9"/>
        <rFont val="Arial"/>
        <family val="2"/>
      </rPr>
      <t xml:space="preserve">.  Calculate </t>
    </r>
    <r>
      <rPr>
        <b/>
        <i/>
        <sz val="9"/>
        <rFont val="Arial"/>
        <family val="2"/>
      </rPr>
      <t>p</t>
    </r>
    <r>
      <rPr>
        <b/>
        <sz val="9"/>
        <rFont val="Arial"/>
        <family val="2"/>
      </rPr>
      <t xml:space="preserve"> intervals</t>
    </r>
    <r>
      <rPr>
        <sz val="9"/>
        <rFont val="Arial"/>
        <family val="2"/>
      </rPr>
      <t xml:space="preserve">, with chosen %, for a chosen value of two-tailed </t>
    </r>
    <r>
      <rPr>
        <i/>
        <sz val="9"/>
        <rFont val="Arial"/>
        <family val="2"/>
      </rPr>
      <t>p</t>
    </r>
    <r>
      <rPr>
        <vertAlign val="subscript"/>
        <sz val="11"/>
        <rFont val="Arial"/>
        <family val="2"/>
      </rPr>
      <t>obt</t>
    </r>
    <r>
      <rPr>
        <sz val="9"/>
        <rFont val="Arial"/>
        <family val="2"/>
      </rPr>
      <t>.</t>
    </r>
  </si>
  <si>
    <r>
      <t xml:space="preserve">d </t>
    </r>
    <r>
      <rPr>
        <sz val="8"/>
        <rFont val="Tahoma"/>
        <family val="2"/>
      </rPr>
      <t>=</t>
    </r>
  </si>
  <si>
    <t>value</t>
  </si>
  <si>
    <t>H0 label</t>
  </si>
  <si>
    <t>left fig</t>
  </si>
  <si>
    <t>Poplabels</t>
  </si>
  <si>
    <t>x for data pts</t>
  </si>
  <si>
    <t>Display data pairs</t>
  </si>
  <si>
    <r>
      <t xml:space="preserve">Display </t>
    </r>
    <r>
      <rPr>
        <i/>
        <sz val="9"/>
        <rFont val="Arial"/>
        <family val="2"/>
      </rPr>
      <t>d</t>
    </r>
  </si>
  <si>
    <r>
      <t xml:space="preserve">Display </t>
    </r>
    <r>
      <rPr>
        <i/>
        <sz val="9"/>
        <rFont val="Arial"/>
        <family val="2"/>
      </rPr>
      <t>d</t>
    </r>
    <r>
      <rPr>
        <sz val="8"/>
        <rFont val="Arial"/>
        <family val="2"/>
      </rPr>
      <t>?</t>
    </r>
  </si>
  <si>
    <t>targtailPs</t>
  </si>
  <si>
    <t>tobezero</t>
  </si>
  <si>
    <t>NCP limits</t>
  </si>
  <si>
    <t>nct</t>
  </si>
  <si>
    <t>approx CI</t>
  </si>
  <si>
    <t>equiv ncp</t>
  </si>
  <si>
    <t>equiv d</t>
  </si>
  <si>
    <t>To calculate CIs on d</t>
  </si>
  <si>
    <r>
      <t xml:space="preserve">and CI for </t>
    </r>
    <r>
      <rPr>
        <sz val="10"/>
        <rFont val="Symbol"/>
        <family val="1"/>
        <charset val="2"/>
      </rPr>
      <t>d</t>
    </r>
  </si>
  <si>
    <t>Same C?</t>
  </si>
  <si>
    <r>
      <t xml:space="preserve">Calc CI </t>
    </r>
    <r>
      <rPr>
        <i/>
        <sz val="9"/>
        <rFont val="Arial"/>
        <family val="2"/>
      </rPr>
      <t>d</t>
    </r>
    <r>
      <rPr>
        <sz val="8"/>
        <rFont val="Arial"/>
        <family val="2"/>
      </rPr>
      <t>?</t>
    </r>
  </si>
  <si>
    <r>
      <t xml:space="preserve">   Cohen's </t>
    </r>
    <r>
      <rPr>
        <b/>
        <i/>
        <sz val="9"/>
        <rFont val="Arial"/>
        <family val="2"/>
      </rPr>
      <t>d</t>
    </r>
  </si>
  <si>
    <t>Show O'lap</t>
  </si>
  <si>
    <r>
      <t xml:space="preserve">Disp </t>
    </r>
    <r>
      <rPr>
        <i/>
        <sz val="9"/>
        <rFont val="Arial"/>
        <family val="2"/>
      </rPr>
      <t>d</t>
    </r>
    <r>
      <rPr>
        <sz val="8"/>
        <rFont val="Arial"/>
        <family val="2"/>
      </rPr>
      <t>, CI?</t>
    </r>
  </si>
  <si>
    <t xml:space="preserve">11 </t>
  </si>
  <si>
    <t>sum G1</t>
  </si>
  <si>
    <t>sum G2</t>
  </si>
  <si>
    <t>sumsq G1</t>
  </si>
  <si>
    <t>sumsq G2</t>
  </si>
  <si>
    <r>
      <t xml:space="preserve">Calc CI on </t>
    </r>
    <r>
      <rPr>
        <i/>
        <sz val="9"/>
        <rFont val="Arial"/>
        <family val="2"/>
      </rPr>
      <t>d</t>
    </r>
    <r>
      <rPr>
        <sz val="8"/>
        <rFont val="Arial"/>
        <family val="2"/>
      </rPr>
      <t>?</t>
    </r>
  </si>
  <si>
    <r>
      <t xml:space="preserve">  Cohen's </t>
    </r>
    <r>
      <rPr>
        <b/>
        <i/>
        <sz val="9"/>
        <rFont val="Arial"/>
        <family val="2"/>
      </rPr>
      <t>d</t>
    </r>
  </si>
  <si>
    <t>Dot only</t>
  </si>
  <si>
    <t>[</t>
  </si>
  <si>
    <t>est of sigma</t>
  </si>
  <si>
    <r>
      <t xml:space="preserve">Display CI for </t>
    </r>
    <r>
      <rPr>
        <i/>
        <sz val="9"/>
        <rFont val="Arial"/>
        <family val="2"/>
      </rPr>
      <t>d</t>
    </r>
    <r>
      <rPr>
        <sz val="8"/>
        <rFont val="Arial"/>
        <family val="2"/>
      </rPr>
      <t>?</t>
    </r>
  </si>
  <si>
    <r>
      <t xml:space="preserve"> Cohen's </t>
    </r>
    <r>
      <rPr>
        <b/>
        <i/>
        <sz val="9"/>
        <rFont val="Arial"/>
        <family val="2"/>
      </rPr>
      <t>d</t>
    </r>
    <r>
      <rPr>
        <b/>
        <sz val="8"/>
        <rFont val="Arial"/>
        <family val="2"/>
      </rPr>
      <t xml:space="preserve"> </t>
    </r>
  </si>
  <si>
    <t xml:space="preserve">13 </t>
  </si>
  <si>
    <t>d</t>
  </si>
  <si>
    <t>N1</t>
  </si>
  <si>
    <t>N2</t>
  </si>
  <si>
    <r>
      <t xml:space="preserve">SDs  </t>
    </r>
    <r>
      <rPr>
        <i/>
        <sz val="8"/>
        <rFont val="Arial"/>
        <family val="2"/>
      </rPr>
      <t>s</t>
    </r>
    <r>
      <rPr>
        <vertAlign val="subscript"/>
        <sz val="10"/>
        <rFont val="Arial"/>
        <family val="2"/>
      </rPr>
      <t>1</t>
    </r>
    <r>
      <rPr>
        <sz val="8"/>
        <rFont val="Arial"/>
        <family val="2"/>
      </rPr>
      <t>,</t>
    </r>
    <r>
      <rPr>
        <i/>
        <sz val="8"/>
        <rFont val="Arial"/>
        <family val="2"/>
      </rPr>
      <t xml:space="preserve"> s</t>
    </r>
    <r>
      <rPr>
        <vertAlign val="subscript"/>
        <sz val="10"/>
        <rFont val="Arial"/>
        <family val="2"/>
      </rPr>
      <t>2</t>
    </r>
  </si>
  <si>
    <t>Assume var equal?</t>
  </si>
  <si>
    <t>Disp means CIs</t>
  </si>
  <si>
    <t xml:space="preserve">        Display means and 95% CIs</t>
  </si>
  <si>
    <t>with data points of E and C samples</t>
  </si>
  <si>
    <t xml:space="preserve">       Reveal figure displaying difference</t>
  </si>
  <si>
    <r>
      <t>s</t>
    </r>
    <r>
      <rPr>
        <vertAlign val="subscript"/>
        <sz val="10"/>
        <rFont val="Arial"/>
        <family val="2"/>
      </rPr>
      <t>p</t>
    </r>
  </si>
  <si>
    <r>
      <t>s</t>
    </r>
    <r>
      <rPr>
        <vertAlign val="subscript"/>
        <sz val="10"/>
        <rFont val="Arial"/>
        <family val="2"/>
      </rPr>
      <t>av</t>
    </r>
    <r>
      <rPr>
        <i/>
        <vertAlign val="subscript"/>
        <sz val="10"/>
        <rFont val="Arial"/>
        <family val="2"/>
      </rPr>
      <t xml:space="preserve"> </t>
    </r>
  </si>
  <si>
    <r>
      <t>s</t>
    </r>
    <r>
      <rPr>
        <vertAlign val="subscript"/>
        <sz val="10"/>
        <rFont val="Arial"/>
        <family val="2"/>
      </rPr>
      <t>av</t>
    </r>
  </si>
  <si>
    <r>
      <t xml:space="preserve">Two-tailed </t>
    </r>
    <r>
      <rPr>
        <i/>
        <sz val="9"/>
        <rFont val="Arial"/>
        <family val="2"/>
      </rPr>
      <t>p</t>
    </r>
  </si>
  <si>
    <r>
      <t xml:space="preserve">2-tail </t>
    </r>
    <r>
      <rPr>
        <i/>
        <sz val="9"/>
        <rFont val="Arial"/>
        <family val="2"/>
      </rPr>
      <t>p</t>
    </r>
  </si>
  <si>
    <t>To debias</t>
  </si>
  <si>
    <r>
      <t xml:space="preserve">CI for </t>
    </r>
    <r>
      <rPr>
        <sz val="10"/>
        <color indexed="20"/>
        <rFont val="Symbol"/>
        <family val="1"/>
        <charset val="2"/>
      </rPr>
      <t>d</t>
    </r>
  </si>
  <si>
    <r>
      <t xml:space="preserve"> Unbiased </t>
    </r>
    <r>
      <rPr>
        <b/>
        <i/>
        <sz val="9"/>
        <rFont val="Arial"/>
        <family val="2"/>
      </rPr>
      <t>d</t>
    </r>
    <r>
      <rPr>
        <b/>
        <sz val="8"/>
        <rFont val="Arial"/>
        <family val="2"/>
      </rPr>
      <t xml:space="preserve"> </t>
    </r>
  </si>
  <si>
    <r>
      <t xml:space="preserve">  Unbiased </t>
    </r>
    <r>
      <rPr>
        <b/>
        <i/>
        <sz val="9"/>
        <rFont val="Arial"/>
        <family val="2"/>
      </rPr>
      <t>d</t>
    </r>
  </si>
  <si>
    <t xml:space="preserve">12 </t>
  </si>
  <si>
    <t xml:space="preserve">Display power </t>
  </si>
  <si>
    <t>Display power?</t>
  </si>
  <si>
    <t xml:space="preserve">a </t>
  </si>
  <si>
    <t>tcrit</t>
  </si>
  <si>
    <t>zcrit</t>
  </si>
  <si>
    <r>
      <t xml:space="preserve">z1 or </t>
    </r>
    <r>
      <rPr>
        <sz val="10"/>
        <rFont val="Symbol"/>
        <family val="1"/>
        <charset val="2"/>
      </rPr>
      <t>D</t>
    </r>
  </si>
  <si>
    <t>post hoc</t>
  </si>
  <si>
    <r>
      <t xml:space="preserve">Using  </t>
    </r>
    <r>
      <rPr>
        <sz val="9"/>
        <rFont val="Symbol"/>
        <family val="1"/>
        <charset val="2"/>
      </rPr>
      <t xml:space="preserve">s </t>
    </r>
    <r>
      <rPr>
        <sz val="8"/>
        <rFont val="Arial"/>
        <family val="2"/>
      </rPr>
      <t xml:space="preserve">and </t>
    </r>
    <r>
      <rPr>
        <i/>
        <sz val="9"/>
        <rFont val="Arial"/>
        <family val="2"/>
      </rPr>
      <t>z</t>
    </r>
    <r>
      <rPr>
        <i/>
        <sz val="9"/>
        <color indexed="41"/>
        <rFont val="Arial"/>
        <family val="2"/>
      </rPr>
      <t>.</t>
    </r>
  </si>
  <si>
    <r>
      <t xml:space="preserve">Don't use </t>
    </r>
    <r>
      <rPr>
        <sz val="9"/>
        <rFont val="Symbol"/>
        <family val="1"/>
        <charset val="2"/>
      </rPr>
      <t>s</t>
    </r>
    <r>
      <rPr>
        <sz val="8"/>
        <rFont val="Arial"/>
        <family val="2"/>
      </rPr>
      <t xml:space="preserve">, so use </t>
    </r>
    <r>
      <rPr>
        <i/>
        <sz val="9"/>
        <rFont val="Arial"/>
        <family val="2"/>
      </rPr>
      <t>t</t>
    </r>
    <r>
      <rPr>
        <i/>
        <sz val="9"/>
        <color indexed="41"/>
        <rFont val="Arial"/>
        <family val="2"/>
      </rPr>
      <t>.</t>
    </r>
  </si>
  <si>
    <t>Two-tail</t>
  </si>
  <si>
    <t>1/sqrtN</t>
  </si>
  <si>
    <t>rhtailpower</t>
  </si>
  <si>
    <t>lhtailpower</t>
  </si>
  <si>
    <t>Power calculations</t>
  </si>
  <si>
    <t xml:space="preserve">          Display difference between means</t>
  </si>
  <si>
    <t xml:space="preserve">          Display data points</t>
  </si>
  <si>
    <t>Display CI overlap</t>
  </si>
  <si>
    <t xml:space="preserve">      Display data pairs</t>
  </si>
  <si>
    <t xml:space="preserve">      Display difference between means</t>
  </si>
  <si>
    <t xml:space="preserve">      Display CI on differences</t>
  </si>
  <si>
    <t xml:space="preserve">       Display differences</t>
  </si>
  <si>
    <t xml:space="preserve">      Display CI on measures</t>
  </si>
  <si>
    <t xml:space="preserve">14 </t>
  </si>
  <si>
    <t>sqrtN</t>
  </si>
  <si>
    <r>
      <t xml:space="preserve"> </t>
    </r>
    <r>
      <rPr>
        <i/>
        <sz val="9"/>
        <color indexed="20"/>
        <rFont val="Arial"/>
        <family val="2"/>
      </rPr>
      <t>d</t>
    </r>
    <r>
      <rPr>
        <vertAlign val="subscript"/>
        <sz val="10"/>
        <color indexed="20"/>
        <rFont val="Arial"/>
        <family val="2"/>
      </rPr>
      <t>unb</t>
    </r>
  </si>
  <si>
    <r>
      <t xml:space="preserve">    Cohen's </t>
    </r>
    <r>
      <rPr>
        <b/>
        <i/>
        <sz val="9"/>
        <rFont val="Arial"/>
        <family val="2"/>
      </rPr>
      <t>d</t>
    </r>
  </si>
  <si>
    <r>
      <t xml:space="preserve">    Unbiased </t>
    </r>
    <r>
      <rPr>
        <b/>
        <i/>
        <sz val="9"/>
        <rFont val="Arial"/>
        <family val="2"/>
      </rPr>
      <t>d</t>
    </r>
  </si>
  <si>
    <r>
      <t xml:space="preserve"> MOE</t>
    </r>
    <r>
      <rPr>
        <vertAlign val="subscript"/>
        <sz val="10"/>
        <color indexed="20"/>
        <rFont val="Arial"/>
        <family val="2"/>
      </rPr>
      <t>av</t>
    </r>
  </si>
  <si>
    <t xml:space="preserve">          Show post hoc power</t>
  </si>
  <si>
    <t>Show post hoc power?</t>
  </si>
  <si>
    <t>Random</t>
  </si>
  <si>
    <t>Compare a random scatter of points</t>
  </si>
  <si>
    <t>with a scatter having minimum spacing</t>
  </si>
  <si>
    <t>Number of points</t>
  </si>
  <si>
    <t>Minimum spacing</t>
  </si>
  <si>
    <t xml:space="preserve">        Mark minimum space</t>
  </si>
  <si>
    <t>Progress</t>
  </si>
  <si>
    <t>Number still to do</t>
  </si>
  <si>
    <t>For no. points</t>
  </si>
  <si>
    <t>Mark min space?</t>
  </si>
  <si>
    <t>Choose L or R</t>
  </si>
  <si>
    <t>Min space L</t>
  </si>
  <si>
    <t>Min space R</t>
  </si>
  <si>
    <t>For min. distance</t>
  </si>
  <si>
    <t>less than .5?</t>
  </si>
  <si>
    <t>disp now?</t>
  </si>
  <si>
    <t>Persistence</t>
  </si>
  <si>
    <t>For display</t>
  </si>
  <si>
    <t>x spaced</t>
  </si>
  <si>
    <t>y spaced</t>
  </si>
  <si>
    <t>x random</t>
  </si>
  <si>
    <t>y random</t>
  </si>
  <si>
    <t>x Left</t>
  </si>
  <si>
    <t>y Left</t>
  </si>
  <si>
    <t>x Right</t>
  </si>
  <si>
    <t>y Right</t>
  </si>
  <si>
    <r>
      <t xml:space="preserve">Random  </t>
    </r>
    <r>
      <rPr>
        <sz val="9"/>
        <rFont val="Arial"/>
        <family val="2"/>
      </rPr>
      <t xml:space="preserve">See </t>
    </r>
    <r>
      <rPr>
        <sz val="9"/>
        <color indexed="12"/>
        <rFont val="Arial"/>
        <family val="2"/>
      </rPr>
      <t>Chapter 5</t>
    </r>
    <r>
      <rPr>
        <sz val="9"/>
        <rFont val="Arial"/>
        <family val="2"/>
      </rPr>
      <t xml:space="preserve">.  Compare a square filled with a </t>
    </r>
    <r>
      <rPr>
        <b/>
        <sz val="9"/>
        <rFont val="Arial"/>
        <family val="2"/>
      </rPr>
      <t xml:space="preserve">random scatter </t>
    </r>
    <r>
      <rPr>
        <sz val="9"/>
        <rFont val="Arial"/>
        <family val="2"/>
      </rPr>
      <t xml:space="preserve">of points, and a square filled with points that are random, but with a </t>
    </r>
    <r>
      <rPr>
        <b/>
        <sz val="9"/>
        <rFont val="Arial"/>
        <family val="2"/>
      </rPr>
      <t>minimum spacing</t>
    </r>
    <r>
      <rPr>
        <sz val="9"/>
        <rFont val="Arial"/>
        <family val="2"/>
      </rPr>
      <t xml:space="preserve"> between points.</t>
    </r>
  </si>
  <si>
    <t>ms</t>
  </si>
  <si>
    <r>
      <t>►</t>
    </r>
    <r>
      <rPr>
        <sz val="9"/>
        <rFont val="Arial"/>
        <family val="2"/>
      </rPr>
      <t xml:space="preserve"> </t>
    </r>
    <r>
      <rPr>
        <b/>
        <sz val="9"/>
        <color indexed="10"/>
        <rFont val="Arial"/>
        <family val="2"/>
      </rPr>
      <t xml:space="preserve">ESCI Chapters 5-6 </t>
    </r>
    <r>
      <rPr>
        <sz val="9"/>
        <rFont val="Arial"/>
        <family val="2"/>
      </rPr>
      <t xml:space="preserve">accompanies the book </t>
    </r>
    <r>
      <rPr>
        <i/>
        <sz val="9"/>
        <rFont val="Arial"/>
        <family val="2"/>
      </rPr>
      <t xml:space="preserve">Understanding The New Statistics: Effect Sizes, Confidence Intervals, and Meta-analysis </t>
    </r>
    <r>
      <rPr>
        <sz val="9"/>
        <rFont val="Arial"/>
        <family val="2"/>
      </rPr>
      <t>(Routledge, 2012)</t>
    </r>
  </si>
  <si>
    <t>slider</t>
  </si>
  <si>
    <t>sliders</t>
  </si>
  <si>
    <t>Copyright ©  Geoff Cumming 2011</t>
  </si>
  <si>
    <t>ESCI is free software: you can redistribute it and/or modify it under the terms of the GNU General Public License</t>
  </si>
  <si>
    <t>La Trobe University, Melbourne</t>
  </si>
  <si>
    <t xml:space="preserve">      as published by the Free Software Foundation, either version 3 of the License, or (at your option) any later version.</t>
  </si>
  <si>
    <t>Australia  3086</t>
  </si>
  <si>
    <t>This program is distributed in the hope that it will be useful, but WITHOUT ANY WARRANTY; without even the implied warranty of</t>
  </si>
  <si>
    <t xml:space="preserve">      MERCHANTABILITY or FITNESS FOR A PARTICULAR PURPOSE.  Scroll down to see the GNU General Public License for more details.</t>
  </si>
  <si>
    <t>Please scroll down to see the GNU General Public License below</t>
  </si>
  <si>
    <t xml:space="preserve">                    GNU GENERAL PUBLIC LICENSE</t>
  </si>
  <si>
    <t xml:space="preserve">                       Version 3, 29 June 2007</t>
  </si>
  <si>
    <t xml:space="preserve"> Copyright (C) 2007 Free Software Foundation, Inc. &lt;http://fsf.org/&gt;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</si>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</sst>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164" formatCode="0.000"/>
    <numFmt numFmtId="165" formatCode="0.00000000000000000000"/>
    <numFmt numFmtId="166" formatCode="0.0"/>
    <numFmt numFmtId="167" formatCode="0.0%"/>
    <numFmt numFmtId="168" formatCode=".000"/>
    <numFmt numFmtId="169" formatCode=".###"/>
    <numFmt numFmtId="170" formatCode="0.00000000"/>
    <numFmt numFmtId="171" formatCode="0.###"/>
    <numFmt numFmtId="172" formatCode="0.0000"/>
    <numFmt numFmtId="173" formatCode="0.0##"/>
    <numFmt numFmtId="174" formatCode=".0#"/>
    <numFmt numFmtId="175" formatCode=".0##;;0"/>
    <numFmt numFmtId="176" formatCode=".0000000"/>
    <numFmt numFmtId="177" formatCode=".0##;\-.0##;0"/>
    <numFmt numFmtId="178" formatCode=".0##"/>
    <numFmt numFmtId="179" formatCode=".0#;\-.0#;0"/>
  </numFmts>
  <fonts count="120" x14ac:knownFonts="1">
    <font>
      <sz val="10"/>
      <name val="Arial"/>
    </font>
    <font>
      <sz val="10"/>
      <name val="Arial"/>
      <family val="2"/>
    </font>
    <font>
      <sz val="8"/>
      <name val="Arial"/>
      <family val="2"/>
    </font>
    <font>
      <b/>
      <sz val="8"/>
      <name val="Arial"/>
      <family val="2"/>
    </font>
    <font>
      <i/>
      <sz val="8"/>
      <name val="Arial"/>
      <family val="2"/>
    </font>
    <font>
      <sz val="8"/>
      <color indexed="81"/>
      <name val="Tahoma"/>
      <family val="2"/>
    </font>
    <font>
      <b/>
      <sz val="8"/>
      <color indexed="12"/>
      <name val="Arial"/>
      <family val="2"/>
    </font>
    <font>
      <b/>
      <sz val="9"/>
      <color indexed="10"/>
      <name val="Arial"/>
      <family val="2"/>
    </font>
    <font>
      <sz val="11"/>
      <color indexed="8"/>
      <name val="Calibri"/>
      <family val="2"/>
    </font>
    <font>
      <sz val="11"/>
      <color indexed="9"/>
      <name val="Calibri"/>
      <family val="2"/>
    </font>
    <font>
      <i/>
      <sz val="9"/>
      <name val="Arial"/>
      <family val="2"/>
    </font>
    <font>
      <sz val="8"/>
      <name val="Tahoma"/>
      <family val="2"/>
    </font>
    <font>
      <i/>
      <sz val="9"/>
      <color indexed="81"/>
      <name val="Tahoma"/>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i/>
      <sz val="16"/>
      <color indexed="12"/>
      <name val="Arial"/>
      <family val="2"/>
    </font>
    <font>
      <b/>
      <sz val="12"/>
      <color indexed="10"/>
      <name val="Arial"/>
      <family val="2"/>
    </font>
    <font>
      <b/>
      <i/>
      <sz val="10"/>
      <color indexed="12"/>
      <name val="Arial"/>
      <family val="2"/>
    </font>
    <font>
      <sz val="9"/>
      <name val="Arial"/>
      <family val="2"/>
    </font>
    <font>
      <b/>
      <sz val="9"/>
      <name val="Arial"/>
      <family val="2"/>
    </font>
    <font>
      <sz val="9"/>
      <color indexed="8"/>
      <name val="Arial"/>
      <family val="2"/>
    </font>
    <font>
      <b/>
      <sz val="9"/>
      <color indexed="8"/>
      <name val="Arial"/>
      <family val="2"/>
    </font>
    <font>
      <b/>
      <i/>
      <sz val="9"/>
      <color indexed="10"/>
      <name val="Arial"/>
      <family val="2"/>
    </font>
    <font>
      <b/>
      <i/>
      <sz val="9"/>
      <name val="Arial"/>
      <family val="2"/>
    </font>
    <font>
      <b/>
      <sz val="8"/>
      <name val="Arial"/>
      <family val="2"/>
    </font>
    <font>
      <sz val="9"/>
      <color indexed="81"/>
      <name val="Tahoma"/>
      <family val="2"/>
    </font>
    <font>
      <i/>
      <sz val="8"/>
      <color indexed="81"/>
      <name val="Tahoma"/>
      <family val="2"/>
    </font>
    <font>
      <sz val="8"/>
      <color indexed="12"/>
      <name val="Arial"/>
      <family val="2"/>
    </font>
    <font>
      <sz val="7"/>
      <name val="Arial"/>
      <family val="2"/>
    </font>
    <font>
      <b/>
      <sz val="8"/>
      <color indexed="8"/>
      <name val="Arial"/>
      <family val="2"/>
    </font>
    <font>
      <b/>
      <i/>
      <sz val="8"/>
      <color indexed="10"/>
      <name val="Arial"/>
      <family val="2"/>
    </font>
    <font>
      <b/>
      <sz val="8"/>
      <color indexed="12"/>
      <name val="Arial"/>
      <family val="2"/>
    </font>
    <font>
      <b/>
      <sz val="9"/>
      <color indexed="10"/>
      <name val="Arial"/>
      <family val="2"/>
    </font>
    <font>
      <b/>
      <sz val="9"/>
      <color indexed="9"/>
      <name val="Arial"/>
      <family val="2"/>
    </font>
    <font>
      <sz val="10"/>
      <color indexed="81"/>
      <name val="Symbol"/>
      <family val="1"/>
      <charset val="2"/>
    </font>
    <font>
      <i/>
      <sz val="8"/>
      <name val="Arial"/>
      <family val="2"/>
    </font>
    <font>
      <sz val="8"/>
      <color indexed="8"/>
      <name val="Arial"/>
      <family val="2"/>
    </font>
    <font>
      <b/>
      <sz val="8"/>
      <color indexed="10"/>
      <name val="Tahoma"/>
      <family val="2"/>
    </font>
    <font>
      <vertAlign val="subscript"/>
      <sz val="9"/>
      <name val="Arial"/>
      <family val="2"/>
    </font>
    <font>
      <sz val="9"/>
      <color indexed="12"/>
      <name val="Arial"/>
      <family val="2"/>
    </font>
    <font>
      <b/>
      <i/>
      <sz val="8"/>
      <color indexed="10"/>
      <name val="Arial"/>
      <family val="2"/>
    </font>
    <font>
      <sz val="8"/>
      <color indexed="10"/>
      <name val="Arial"/>
      <family val="2"/>
    </font>
    <font>
      <sz val="8"/>
      <color indexed="12"/>
      <name val="Arial"/>
      <family val="2"/>
    </font>
    <font>
      <sz val="8"/>
      <color indexed="8"/>
      <name val="Arial"/>
      <family val="2"/>
    </font>
    <font>
      <i/>
      <sz val="8"/>
      <color indexed="8"/>
      <name val="Arial"/>
      <family val="2"/>
    </font>
    <font>
      <sz val="8"/>
      <name val="Symbol"/>
      <family val="1"/>
      <charset val="2"/>
    </font>
    <font>
      <b/>
      <sz val="8"/>
      <name val="symbol"/>
      <family val="1"/>
      <charset val="2"/>
    </font>
    <font>
      <sz val="7"/>
      <name val="Arial"/>
      <family val="2"/>
    </font>
    <font>
      <sz val="7"/>
      <color indexed="8"/>
      <name val="Arial"/>
      <family val="2"/>
    </font>
    <font>
      <sz val="9"/>
      <name val="Symbol"/>
      <family val="1"/>
      <charset val="2"/>
    </font>
    <font>
      <sz val="10"/>
      <name val="Symbol"/>
      <family val="1"/>
      <charset val="2"/>
    </font>
    <font>
      <sz val="9"/>
      <color indexed="81"/>
      <name val="Symbol"/>
      <family val="1"/>
      <charset val="2"/>
    </font>
    <font>
      <sz val="8"/>
      <color indexed="81"/>
      <name val="Symbol"/>
      <family val="1"/>
      <charset val="2"/>
    </font>
    <font>
      <sz val="11"/>
      <color indexed="81"/>
      <name val="Symbol"/>
      <family val="1"/>
      <charset val="2"/>
    </font>
    <font>
      <b/>
      <sz val="8"/>
      <color indexed="10"/>
      <name val="Arial"/>
      <family val="2"/>
    </font>
    <font>
      <sz val="8"/>
      <color indexed="14"/>
      <name val="Arial"/>
      <family val="2"/>
    </font>
    <font>
      <vertAlign val="subscript"/>
      <sz val="10"/>
      <name val="Arial"/>
      <family val="2"/>
    </font>
    <font>
      <vertAlign val="subscript"/>
      <sz val="10"/>
      <color indexed="81"/>
      <name val="Tahoma"/>
      <family val="2"/>
    </font>
    <font>
      <vertAlign val="subscript"/>
      <sz val="12"/>
      <color indexed="81"/>
      <name val="Tahoma"/>
      <family val="2"/>
    </font>
    <font>
      <b/>
      <sz val="9"/>
      <color indexed="12"/>
      <name val="Arial"/>
      <family val="2"/>
    </font>
    <font>
      <sz val="9"/>
      <name val="Arial"/>
      <family val="2"/>
    </font>
    <font>
      <b/>
      <i/>
      <sz val="8"/>
      <name val="Arial"/>
      <family val="2"/>
    </font>
    <font>
      <b/>
      <vertAlign val="subscript"/>
      <sz val="10"/>
      <name val="Arial"/>
      <family val="2"/>
    </font>
    <font>
      <vertAlign val="subscript"/>
      <sz val="10"/>
      <color indexed="8"/>
      <name val="Arial"/>
      <family val="2"/>
    </font>
    <font>
      <sz val="8"/>
      <color indexed="10"/>
      <name val="Arial"/>
      <family val="2"/>
    </font>
    <font>
      <sz val="10"/>
      <color indexed="81"/>
      <name val="Tahoma"/>
      <family val="2"/>
    </font>
    <font>
      <b/>
      <sz val="8"/>
      <color indexed="45"/>
      <name val="Arial"/>
      <family val="2"/>
    </font>
    <font>
      <b/>
      <sz val="8"/>
      <color indexed="81"/>
      <name val="Tahoma"/>
      <family val="2"/>
    </font>
    <font>
      <sz val="10"/>
      <color indexed="10"/>
      <name val="Arial"/>
      <family val="2"/>
    </font>
    <font>
      <b/>
      <sz val="9"/>
      <color indexed="10"/>
      <name val="Tahoma"/>
      <family val="2"/>
    </font>
    <font>
      <i/>
      <vertAlign val="subscript"/>
      <sz val="10"/>
      <name val="Arial"/>
      <family val="2"/>
    </font>
    <font>
      <i/>
      <vertAlign val="subscript"/>
      <sz val="8"/>
      <name val="Arial"/>
      <family val="2"/>
    </font>
    <font>
      <vertAlign val="subscript"/>
      <sz val="10"/>
      <name val="Symbol"/>
      <family val="1"/>
      <charset val="2"/>
    </font>
    <font>
      <i/>
      <sz val="10"/>
      <name val="Symbol"/>
      <family val="1"/>
      <charset val="2"/>
    </font>
    <font>
      <b/>
      <i/>
      <sz val="9"/>
      <color indexed="12"/>
      <name val="Arial"/>
      <family val="2"/>
    </font>
    <font>
      <b/>
      <sz val="10"/>
      <name val="Arial"/>
      <family val="2"/>
    </font>
    <font>
      <b/>
      <sz val="8"/>
      <color indexed="10"/>
      <name val="Times New Roman"/>
      <family val="1"/>
    </font>
    <font>
      <sz val="10"/>
      <color indexed="9"/>
      <name val="Symbol"/>
      <family val="1"/>
      <charset val="2"/>
    </font>
    <font>
      <sz val="8"/>
      <color indexed="57"/>
      <name val="Arial"/>
      <family val="2"/>
    </font>
    <font>
      <i/>
      <sz val="10"/>
      <name val="Arial"/>
      <family val="2"/>
    </font>
    <font>
      <sz val="8"/>
      <color indexed="56"/>
      <name val="Arial"/>
      <family val="2"/>
    </font>
    <font>
      <vertAlign val="superscript"/>
      <sz val="8"/>
      <name val="Arial"/>
      <family val="2"/>
    </font>
    <font>
      <i/>
      <sz val="8"/>
      <name val="Tahoma"/>
      <family val="2"/>
    </font>
    <font>
      <sz val="6"/>
      <name val="Arial"/>
      <family val="2"/>
    </font>
    <font>
      <vertAlign val="subscript"/>
      <sz val="11"/>
      <color indexed="81"/>
      <name val="Tahoma"/>
      <family val="2"/>
    </font>
    <font>
      <vertAlign val="subscript"/>
      <sz val="11"/>
      <name val="Arial"/>
      <family val="2"/>
    </font>
    <font>
      <sz val="8"/>
      <name val="Arial"/>
      <family val="2"/>
    </font>
    <font>
      <vertAlign val="subscript"/>
      <sz val="9"/>
      <color indexed="81"/>
      <name val="Tahoma"/>
      <family val="2"/>
    </font>
    <font>
      <sz val="8"/>
      <color indexed="81"/>
      <name val="Arial"/>
      <family val="2"/>
    </font>
    <font>
      <vertAlign val="superscript"/>
      <sz val="9"/>
      <color indexed="81"/>
      <name val="Tahoma"/>
      <family val="2"/>
    </font>
    <font>
      <sz val="8"/>
      <color indexed="20"/>
      <name val="Arial"/>
      <family val="2"/>
    </font>
    <font>
      <i/>
      <sz val="9"/>
      <color indexed="20"/>
      <name val="Arial"/>
      <family val="2"/>
    </font>
    <font>
      <sz val="8"/>
      <color indexed="60"/>
      <name val="Arial"/>
      <family val="2"/>
    </font>
    <font>
      <sz val="10"/>
      <color indexed="20"/>
      <name val="Symbol"/>
      <family val="1"/>
      <charset val="2"/>
    </font>
    <font>
      <i/>
      <sz val="9"/>
      <color indexed="41"/>
      <name val="Arial"/>
      <family val="2"/>
    </font>
    <font>
      <vertAlign val="subscript"/>
      <sz val="10"/>
      <color indexed="20"/>
      <name val="Arial"/>
      <family val="2"/>
    </font>
    <font>
      <sz val="10"/>
      <name val="Courier New"/>
      <family val="3"/>
    </font>
    <font>
      <sz val="11"/>
      <name val="Calibri"/>
      <family val="2"/>
    </font>
    <font>
      <sz val="8"/>
      <color rgb="FF000000"/>
      <name val="Arial"/>
      <family val="2"/>
    </font>
    <font>
      <sz val="8"/>
      <color rgb="FF000000"/>
      <name val="Tahoma"/>
      <family val="2"/>
    </font>
    <font>
      <b/>
      <sz val="8"/>
      <color rgb="FFFF0000"/>
      <name val="Arial"/>
      <family val="2"/>
    </font>
    <font>
      <sz val="10"/>
      <color rgb="FF000000"/>
      <name val="Arial"/>
      <family val="2"/>
    </font>
    <font>
      <sz val="8"/>
      <color rgb="FFFF0000"/>
      <name val="Arial"/>
      <family val="2"/>
    </font>
    <font>
      <b/>
      <sz val="10"/>
      <color rgb="FFFF0000"/>
      <name val="Arial"/>
      <family val="2"/>
    </font>
    <font>
      <i/>
      <sz val="9"/>
      <color rgb="FF00000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47"/>
        <bgColor indexed="64"/>
      </patternFill>
    </fill>
    <fill>
      <patternFill patternType="solid">
        <fgColor indexed="40"/>
        <bgColor indexed="64"/>
      </patternFill>
    </fill>
    <fill>
      <patternFill patternType="solid">
        <fgColor indexed="44"/>
        <bgColor indexed="64"/>
      </patternFill>
    </fill>
    <fill>
      <patternFill patternType="solid">
        <fgColor indexed="41"/>
        <bgColor indexed="64"/>
      </patternFill>
    </fill>
    <fill>
      <patternFill patternType="solid">
        <fgColor indexed="42"/>
        <bgColor indexed="64"/>
      </patternFill>
    </fill>
    <fill>
      <patternFill patternType="solid">
        <fgColor indexed="45"/>
        <bgColor indexed="64"/>
      </patternFill>
    </fill>
    <fill>
      <patternFill patternType="solid">
        <fgColor indexed="13"/>
        <bgColor indexed="64"/>
      </patternFill>
    </fill>
    <fill>
      <patternFill patternType="solid">
        <fgColor indexed="15"/>
        <bgColor indexed="64"/>
      </patternFill>
    </fill>
    <fill>
      <patternFill patternType="solid">
        <fgColor indexed="51"/>
        <bgColor indexed="64"/>
      </patternFill>
    </fill>
    <fill>
      <patternFill patternType="solid">
        <fgColor indexed="10"/>
        <bgColor indexed="64"/>
      </patternFill>
    </fill>
    <fill>
      <patternFill patternType="solid">
        <fgColor indexed="46"/>
        <bgColor indexed="64"/>
      </patternFill>
    </fill>
    <fill>
      <patternFill patternType="solid">
        <fgColor indexed="22"/>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22"/>
      </right>
      <top style="thin">
        <color indexed="64"/>
      </top>
      <bottom style="thin">
        <color indexed="64"/>
      </bottom>
      <diagonal/>
    </border>
    <border>
      <left style="thin">
        <color indexed="22"/>
      </left>
      <right style="thin">
        <color indexed="64"/>
      </right>
      <top style="thin">
        <color indexed="64"/>
      </top>
      <bottom style="thin">
        <color indexed="64"/>
      </bottom>
      <diagonal/>
    </border>
    <border>
      <left/>
      <right/>
      <top/>
      <bottom style="medium">
        <color indexed="64"/>
      </bottom>
      <diagonal/>
    </border>
    <border>
      <left/>
      <right/>
      <top style="thin">
        <color indexed="64"/>
      </top>
      <bottom style="thin">
        <color indexed="22"/>
      </bottom>
      <diagonal/>
    </border>
    <border>
      <left/>
      <right/>
      <top style="thin">
        <color indexed="22"/>
      </top>
      <bottom/>
      <diagonal/>
    </border>
  </borders>
  <cellStyleXfs count="43">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3" fillId="3" borderId="0" applyNumberFormat="0" applyBorder="0" applyAlignment="0" applyProtection="0"/>
    <xf numFmtId="0" fontId="14" fillId="20" borderId="1" applyNumberFormat="0" applyAlignment="0" applyProtection="0"/>
    <xf numFmtId="0" fontId="15" fillId="21" borderId="2" applyNumberFormat="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33" fillId="0" borderId="0"/>
    <xf numFmtId="0" fontId="16" fillId="23" borderId="7" applyNumberFormat="0" applyFont="0" applyAlignment="0" applyProtection="0"/>
    <xf numFmtId="0" fontId="25" fillId="20" borderId="8" applyNumberForma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028">
    <xf numFmtId="0" fontId="0" fillId="0" borderId="0" xfId="0"/>
    <xf numFmtId="0" fontId="2" fillId="0" borderId="0" xfId="0" applyFont="1"/>
    <xf numFmtId="0" fontId="2" fillId="24" borderId="10" xfId="0" applyFont="1" applyFill="1" applyBorder="1"/>
    <xf numFmtId="0" fontId="2" fillId="0" borderId="0" xfId="0" applyFont="1" applyAlignment="1">
      <alignment horizontal="right"/>
    </xf>
    <xf numFmtId="0" fontId="6" fillId="0" borderId="0" xfId="0" applyFont="1"/>
    <xf numFmtId="0" fontId="2" fillId="0" borderId="11" xfId="0" applyFont="1" applyFill="1" applyBorder="1" applyAlignment="1">
      <alignment vertical="center"/>
    </xf>
    <xf numFmtId="0" fontId="7" fillId="24" borderId="12" xfId="0" applyFont="1" applyFill="1" applyBorder="1" applyAlignment="1">
      <alignment horizontal="left"/>
    </xf>
    <xf numFmtId="0" fontId="2" fillId="24" borderId="13" xfId="0" applyFont="1" applyFill="1" applyBorder="1" applyAlignment="1">
      <alignment horizontal="right"/>
    </xf>
    <xf numFmtId="0" fontId="2" fillId="24" borderId="0" xfId="0" applyFont="1" applyFill="1" applyBorder="1"/>
    <xf numFmtId="0" fontId="2" fillId="24" borderId="14" xfId="0" applyFont="1" applyFill="1" applyBorder="1"/>
    <xf numFmtId="0" fontId="2" fillId="0" borderId="0" xfId="0" applyFont="1" applyProtection="1">
      <protection locked="0"/>
    </xf>
    <xf numFmtId="49" fontId="7" fillId="0" borderId="0" xfId="0" applyNumberFormat="1" applyFont="1" applyFill="1" applyBorder="1" applyAlignment="1">
      <alignment horizontal="right"/>
    </xf>
    <xf numFmtId="0" fontId="2" fillId="0" borderId="0" xfId="0" applyFont="1" applyFill="1" applyBorder="1" applyAlignment="1">
      <alignment vertical="center"/>
    </xf>
    <xf numFmtId="0" fontId="2" fillId="0" borderId="0" xfId="0" applyFont="1" applyProtection="1"/>
    <xf numFmtId="0" fontId="7" fillId="25" borderId="12" xfId="0" applyFont="1" applyFill="1" applyBorder="1" applyAlignment="1">
      <alignment horizontal="left"/>
    </xf>
    <xf numFmtId="0" fontId="2" fillId="25" borderId="10" xfId="0" applyFont="1" applyFill="1" applyBorder="1"/>
    <xf numFmtId="0" fontId="2" fillId="25" borderId="15" xfId="0" applyFont="1" applyFill="1" applyBorder="1"/>
    <xf numFmtId="0" fontId="2" fillId="25" borderId="0" xfId="0" applyFont="1" applyFill="1" applyBorder="1"/>
    <xf numFmtId="0" fontId="2" fillId="25" borderId="14" xfId="0" applyFont="1" applyFill="1" applyBorder="1"/>
    <xf numFmtId="0" fontId="29" fillId="0" borderId="0" xfId="0" applyFont="1"/>
    <xf numFmtId="0" fontId="30" fillId="0" borderId="0" xfId="0" applyFont="1" applyAlignment="1">
      <alignment horizontal="left"/>
    </xf>
    <xf numFmtId="0" fontId="31" fillId="0" borderId="0" xfId="0" applyFont="1"/>
    <xf numFmtId="0" fontId="32" fillId="0" borderId="0" xfId="0" applyFont="1"/>
    <xf numFmtId="0" fontId="33" fillId="0" borderId="0" xfId="0" applyFont="1"/>
    <xf numFmtId="0" fontId="34" fillId="0" borderId="0" xfId="0" applyFont="1" applyAlignment="1">
      <alignment horizontal="right"/>
    </xf>
    <xf numFmtId="0" fontId="34" fillId="0" borderId="0" xfId="0" applyFont="1"/>
    <xf numFmtId="0" fontId="33" fillId="24" borderId="12" xfId="0" applyFont="1" applyFill="1" applyBorder="1"/>
    <xf numFmtId="0" fontId="33" fillId="24" borderId="10" xfId="0" applyFont="1" applyFill="1" applyBorder="1"/>
    <xf numFmtId="0" fontId="33" fillId="24" borderId="15" xfId="0" applyFont="1" applyFill="1" applyBorder="1"/>
    <xf numFmtId="0" fontId="7" fillId="24" borderId="13" xfId="0" applyFont="1" applyFill="1" applyBorder="1"/>
    <xf numFmtId="0" fontId="33" fillId="24" borderId="0" xfId="0" applyFont="1" applyFill="1" applyBorder="1"/>
    <xf numFmtId="0" fontId="33" fillId="24" borderId="14" xfId="0" applyFont="1" applyFill="1" applyBorder="1"/>
    <xf numFmtId="0" fontId="33" fillId="0" borderId="0" xfId="0" applyFont="1" applyFill="1"/>
    <xf numFmtId="0" fontId="7" fillId="24" borderId="16" xfId="0" applyFont="1" applyFill="1" applyBorder="1"/>
    <xf numFmtId="0" fontId="33" fillId="24" borderId="17" xfId="0" applyFont="1" applyFill="1" applyBorder="1"/>
    <xf numFmtId="0" fontId="33" fillId="24" borderId="18" xfId="0" applyFont="1" applyFill="1" applyBorder="1"/>
    <xf numFmtId="0" fontId="7" fillId="0" borderId="0" xfId="0" applyFont="1" applyFill="1" applyBorder="1"/>
    <xf numFmtId="0" fontId="33" fillId="0" borderId="0" xfId="0" applyFont="1" applyFill="1" applyBorder="1"/>
    <xf numFmtId="0" fontId="7" fillId="0" borderId="0" xfId="0" applyFont="1"/>
    <xf numFmtId="0" fontId="33" fillId="26" borderId="0" xfId="0" applyFont="1" applyFill="1"/>
    <xf numFmtId="0" fontId="37" fillId="0" borderId="0" xfId="0" applyFont="1"/>
    <xf numFmtId="0" fontId="33" fillId="24" borderId="0" xfId="0" applyFont="1" applyFill="1"/>
    <xf numFmtId="0" fontId="10" fillId="0" borderId="0" xfId="0" applyFont="1"/>
    <xf numFmtId="0" fontId="34" fillId="0" borderId="0" xfId="0" applyFont="1" applyAlignment="1"/>
    <xf numFmtId="0" fontId="38" fillId="0" borderId="0" xfId="0" applyFont="1"/>
    <xf numFmtId="0" fontId="2" fillId="0" borderId="0" xfId="0" applyFont="1" applyFill="1" applyBorder="1"/>
    <xf numFmtId="0" fontId="2" fillId="0" borderId="0" xfId="0" applyFont="1" applyAlignment="1">
      <alignment horizontal="left"/>
    </xf>
    <xf numFmtId="0" fontId="2" fillId="0" borderId="11" xfId="0" applyFont="1" applyFill="1" applyBorder="1" applyProtection="1">
      <protection locked="0"/>
    </xf>
    <xf numFmtId="0" fontId="4" fillId="25" borderId="0" xfId="0" applyFont="1" applyFill="1" applyBorder="1" applyAlignment="1">
      <alignment horizontal="right" vertical="center"/>
    </xf>
    <xf numFmtId="0" fontId="2" fillId="24" borderId="0" xfId="0" applyFont="1" applyFill="1" applyBorder="1" applyProtection="1"/>
    <xf numFmtId="0" fontId="2" fillId="24" borderId="0" xfId="0" applyFont="1" applyFill="1"/>
    <xf numFmtId="1" fontId="2" fillId="0" borderId="0" xfId="0" applyNumberFormat="1" applyFont="1" applyAlignment="1">
      <alignment horizontal="left"/>
    </xf>
    <xf numFmtId="0" fontId="2" fillId="0" borderId="17" xfId="0" applyFont="1" applyBorder="1"/>
    <xf numFmtId="0" fontId="2" fillId="24" borderId="16" xfId="0" applyFont="1" applyFill="1" applyBorder="1"/>
    <xf numFmtId="0" fontId="2" fillId="24" borderId="17" xfId="0" applyFont="1" applyFill="1" applyBorder="1"/>
    <xf numFmtId="0" fontId="2" fillId="25" borderId="16" xfId="0" applyFont="1" applyFill="1" applyBorder="1"/>
    <xf numFmtId="0" fontId="2" fillId="25" borderId="17" xfId="0" applyFont="1" applyFill="1" applyBorder="1"/>
    <xf numFmtId="1" fontId="2" fillId="0" borderId="0" xfId="0" applyNumberFormat="1" applyFont="1"/>
    <xf numFmtId="0" fontId="7" fillId="27" borderId="12" xfId="0" applyFont="1" applyFill="1" applyBorder="1" applyAlignment="1">
      <alignment horizontal="left"/>
    </xf>
    <xf numFmtId="0" fontId="2" fillId="27" borderId="10" xfId="0" applyFont="1" applyFill="1" applyBorder="1"/>
    <xf numFmtId="0" fontId="2" fillId="27" borderId="0" xfId="0" applyFont="1" applyFill="1" applyBorder="1"/>
    <xf numFmtId="0" fontId="2" fillId="27" borderId="16" xfId="0" applyFont="1" applyFill="1" applyBorder="1"/>
    <xf numFmtId="0" fontId="2" fillId="27" borderId="17" xfId="0" applyFont="1" applyFill="1" applyBorder="1"/>
    <xf numFmtId="0" fontId="2" fillId="28" borderId="10" xfId="0" applyFont="1" applyFill="1" applyBorder="1"/>
    <xf numFmtId="0" fontId="2" fillId="28" borderId="10" xfId="0" applyFont="1" applyFill="1" applyBorder="1" applyAlignment="1">
      <alignment horizontal="right"/>
    </xf>
    <xf numFmtId="0" fontId="2" fillId="28" borderId="13" xfId="0" applyFont="1" applyFill="1" applyBorder="1"/>
    <xf numFmtId="0" fontId="2" fillId="28" borderId="0" xfId="0" applyFont="1" applyFill="1" applyBorder="1"/>
    <xf numFmtId="0" fontId="2" fillId="28" borderId="16" xfId="0" applyFont="1" applyFill="1" applyBorder="1"/>
    <xf numFmtId="0" fontId="2" fillId="28" borderId="17" xfId="0" applyFont="1" applyFill="1" applyBorder="1"/>
    <xf numFmtId="0" fontId="4" fillId="24" borderId="0" xfId="0" applyFont="1" applyFill="1" applyBorder="1" applyAlignment="1">
      <alignment horizontal="right"/>
    </xf>
    <xf numFmtId="0" fontId="2" fillId="0" borderId="0" xfId="0" applyNumberFormat="1" applyFont="1"/>
    <xf numFmtId="0" fontId="2" fillId="0" borderId="17" xfId="0" applyFont="1" applyBorder="1" applyProtection="1"/>
    <xf numFmtId="0" fontId="29" fillId="24" borderId="0" xfId="0" applyFont="1" applyFill="1"/>
    <xf numFmtId="0" fontId="3" fillId="27" borderId="10" xfId="0" applyFont="1" applyFill="1" applyBorder="1"/>
    <xf numFmtId="0" fontId="2" fillId="0" borderId="0" xfId="0" applyFont="1" applyAlignment="1">
      <alignment vertical="top"/>
    </xf>
    <xf numFmtId="0" fontId="2" fillId="25" borderId="13" xfId="0" applyFont="1" applyFill="1" applyBorder="1"/>
    <xf numFmtId="0" fontId="4" fillId="25" borderId="0" xfId="0" applyFont="1" applyFill="1" applyBorder="1" applyAlignment="1">
      <alignment horizontal="right"/>
    </xf>
    <xf numFmtId="0" fontId="2" fillId="0" borderId="0" xfId="0" applyNumberFormat="1" applyFont="1" applyFill="1" applyBorder="1" applyAlignment="1">
      <alignment vertical="distributed"/>
    </xf>
    <xf numFmtId="2" fontId="2" fillId="0" borderId="0" xfId="0" applyNumberFormat="1" applyFont="1" applyFill="1" applyBorder="1" applyAlignment="1">
      <alignment vertical="distributed"/>
    </xf>
    <xf numFmtId="2" fontId="2" fillId="0" borderId="0" xfId="0" applyNumberFormat="1" applyFont="1" applyFill="1" applyBorder="1" applyAlignment="1">
      <alignment vertical="center"/>
    </xf>
    <xf numFmtId="0" fontId="2" fillId="25" borderId="18" xfId="0" applyFont="1" applyFill="1" applyBorder="1"/>
    <xf numFmtId="0" fontId="7" fillId="29" borderId="12" xfId="0" applyFont="1" applyFill="1" applyBorder="1" applyAlignment="1">
      <alignment horizontal="left"/>
    </xf>
    <xf numFmtId="0" fontId="2" fillId="29" borderId="10" xfId="0" applyFont="1" applyFill="1" applyBorder="1"/>
    <xf numFmtId="0" fontId="2" fillId="29" borderId="13" xfId="0" applyFont="1" applyFill="1" applyBorder="1" applyAlignment="1">
      <alignment horizontal="right"/>
    </xf>
    <xf numFmtId="0" fontId="2" fillId="29" borderId="0" xfId="0" applyFont="1" applyFill="1" applyBorder="1"/>
    <xf numFmtId="0" fontId="4" fillId="29" borderId="0" xfId="0" applyFont="1" applyFill="1" applyBorder="1" applyAlignment="1">
      <alignment horizontal="right"/>
    </xf>
    <xf numFmtId="0" fontId="2" fillId="29" borderId="0" xfId="0" applyFont="1" applyFill="1" applyBorder="1" applyProtection="1"/>
    <xf numFmtId="0" fontId="2" fillId="29" borderId="17" xfId="0" applyFont="1" applyFill="1" applyBorder="1"/>
    <xf numFmtId="0" fontId="2" fillId="24" borderId="16" xfId="0" applyFont="1" applyFill="1" applyBorder="1" applyAlignment="1">
      <alignment horizontal="right"/>
    </xf>
    <xf numFmtId="0" fontId="2" fillId="0" borderId="19" xfId="0" applyFont="1" applyBorder="1"/>
    <xf numFmtId="0" fontId="10" fillId="28" borderId="0" xfId="0" applyFont="1" applyFill="1" applyBorder="1" applyAlignment="1">
      <alignment horizontal="right"/>
    </xf>
    <xf numFmtId="0" fontId="2" fillId="0" borderId="11" xfId="0" applyFont="1" applyFill="1" applyBorder="1" applyAlignment="1" applyProtection="1">
      <alignment vertical="center"/>
      <protection locked="0"/>
    </xf>
    <xf numFmtId="2" fontId="2" fillId="0" borderId="0" xfId="0" applyNumberFormat="1" applyFont="1"/>
    <xf numFmtId="0" fontId="2" fillId="24" borderId="18" xfId="0" applyFont="1" applyFill="1" applyBorder="1"/>
    <xf numFmtId="0" fontId="2" fillId="27" borderId="15" xfId="0" applyFont="1" applyFill="1" applyBorder="1"/>
    <xf numFmtId="0" fontId="42" fillId="0" borderId="20" xfId="0" applyFont="1" applyFill="1" applyBorder="1" applyAlignment="1" applyProtection="1">
      <alignment horizontal="center"/>
      <protection locked="0"/>
    </xf>
    <xf numFmtId="0" fontId="42" fillId="0" borderId="21" xfId="0" applyFont="1" applyFill="1" applyBorder="1" applyAlignment="1" applyProtection="1">
      <alignment horizontal="center"/>
      <protection locked="0"/>
    </xf>
    <xf numFmtId="0" fontId="2" fillId="27" borderId="14" xfId="0" applyFont="1" applyFill="1" applyBorder="1"/>
    <xf numFmtId="0" fontId="2" fillId="0" borderId="22" xfId="0" applyFont="1" applyFill="1" applyBorder="1" applyAlignment="1" applyProtection="1">
      <protection locked="0"/>
    </xf>
    <xf numFmtId="0" fontId="2" fillId="27" borderId="18" xfId="0" applyFont="1" applyFill="1" applyBorder="1"/>
    <xf numFmtId="0" fontId="3" fillId="29" borderId="10" xfId="0" applyFont="1" applyFill="1" applyBorder="1"/>
    <xf numFmtId="0" fontId="2" fillId="29" borderId="15" xfId="0" applyFont="1" applyFill="1" applyBorder="1"/>
    <xf numFmtId="0" fontId="2" fillId="29" borderId="14" xfId="0" applyFont="1" applyFill="1" applyBorder="1"/>
    <xf numFmtId="0" fontId="2" fillId="29" borderId="18" xfId="0" applyFont="1" applyFill="1" applyBorder="1"/>
    <xf numFmtId="0" fontId="44" fillId="25" borderId="10" xfId="0" applyFont="1" applyFill="1" applyBorder="1" applyAlignment="1">
      <alignment horizontal="left" vertical="center"/>
    </xf>
    <xf numFmtId="0" fontId="3" fillId="25" borderId="10" xfId="0" applyFont="1" applyFill="1" applyBorder="1" applyAlignment="1">
      <alignment vertical="center"/>
    </xf>
    <xf numFmtId="0" fontId="7" fillId="25" borderId="17" xfId="0" applyFont="1" applyFill="1" applyBorder="1" applyAlignment="1">
      <alignment horizontal="right"/>
    </xf>
    <xf numFmtId="165" fontId="2" fillId="0" borderId="0" xfId="0" applyNumberFormat="1" applyFont="1"/>
    <xf numFmtId="2" fontId="2" fillId="0" borderId="0" xfId="0" applyNumberFormat="1" applyFont="1" applyAlignment="1">
      <alignment horizontal="right"/>
    </xf>
    <xf numFmtId="0" fontId="45" fillId="0" borderId="0" xfId="0" applyFont="1"/>
    <xf numFmtId="0" fontId="45" fillId="0" borderId="0" xfId="0" applyFont="1" applyProtection="1"/>
    <xf numFmtId="0" fontId="46" fillId="0" borderId="0" xfId="0" applyFont="1"/>
    <xf numFmtId="0" fontId="39" fillId="0" borderId="0" xfId="0" applyFont="1"/>
    <xf numFmtId="0" fontId="39" fillId="0" borderId="0" xfId="0" applyFont="1" applyProtection="1"/>
    <xf numFmtId="49" fontId="47" fillId="0" borderId="0" xfId="0" applyNumberFormat="1" applyFont="1" applyAlignment="1">
      <alignment horizontal="right"/>
    </xf>
    <xf numFmtId="0" fontId="7" fillId="24" borderId="13" xfId="0" applyFont="1" applyFill="1" applyBorder="1" applyAlignment="1">
      <alignment horizontal="right"/>
    </xf>
    <xf numFmtId="0" fontId="2" fillId="27" borderId="13" xfId="0" applyFont="1" applyFill="1" applyBorder="1"/>
    <xf numFmtId="0" fontId="43" fillId="24" borderId="13" xfId="0" applyFont="1" applyFill="1" applyBorder="1" applyAlignment="1">
      <alignment horizontal="right"/>
    </xf>
    <xf numFmtId="0" fontId="42" fillId="0" borderId="11" xfId="0" applyNumberFormat="1" applyFont="1" applyFill="1" applyBorder="1" applyAlignment="1" applyProtection="1">
      <alignment horizontal="right"/>
      <protection locked="0"/>
    </xf>
    <xf numFmtId="0" fontId="43" fillId="24" borderId="0" xfId="0" applyNumberFormat="1" applyFont="1" applyFill="1" applyBorder="1" applyAlignment="1"/>
    <xf numFmtId="0" fontId="42" fillId="0" borderId="11" xfId="0" applyNumberFormat="1" applyFont="1" applyFill="1" applyBorder="1" applyProtection="1">
      <protection locked="0"/>
    </xf>
    <xf numFmtId="0" fontId="0" fillId="0" borderId="0" xfId="0" applyFill="1" applyBorder="1" applyAlignment="1" applyProtection="1">
      <alignment horizontal="center"/>
      <protection locked="0"/>
    </xf>
    <xf numFmtId="0" fontId="42" fillId="24" borderId="0" xfId="0" applyNumberFormat="1" applyFont="1" applyFill="1" applyBorder="1" applyAlignment="1" applyProtection="1">
      <alignment horizontal="right"/>
    </xf>
    <xf numFmtId="0" fontId="50" fillId="0" borderId="0" xfId="0" applyFont="1" applyAlignment="1">
      <alignment horizontal="right"/>
    </xf>
    <xf numFmtId="0" fontId="2" fillId="29" borderId="13" xfId="0" applyFont="1" applyFill="1" applyBorder="1"/>
    <xf numFmtId="0" fontId="2" fillId="29" borderId="0" xfId="0" applyFont="1" applyFill="1" applyBorder="1" applyAlignment="1">
      <alignment horizontal="right"/>
    </xf>
    <xf numFmtId="0" fontId="2" fillId="29" borderId="16" xfId="0" applyFont="1" applyFill="1" applyBorder="1"/>
    <xf numFmtId="0" fontId="3" fillId="25" borderId="15" xfId="0" applyFont="1" applyFill="1" applyBorder="1" applyAlignment="1">
      <alignment vertical="center"/>
    </xf>
    <xf numFmtId="0" fontId="3" fillId="28" borderId="10" xfId="0" applyFont="1" applyFill="1" applyBorder="1" applyAlignment="1"/>
    <xf numFmtId="0" fontId="2" fillId="28" borderId="15" xfId="0" applyFont="1" applyFill="1" applyBorder="1"/>
    <xf numFmtId="0" fontId="2" fillId="28" borderId="14" xfId="0" applyFont="1" applyFill="1" applyBorder="1"/>
    <xf numFmtId="0" fontId="42" fillId="0" borderId="11" xfId="0" applyFont="1" applyFill="1" applyBorder="1" applyAlignment="1">
      <alignment horizontal="center"/>
    </xf>
    <xf numFmtId="0" fontId="42" fillId="0" borderId="23" xfId="0" applyNumberFormat="1" applyFont="1" applyFill="1" applyBorder="1"/>
    <xf numFmtId="0" fontId="42" fillId="0" borderId="22" xfId="0" applyNumberFormat="1" applyFont="1" applyFill="1" applyBorder="1"/>
    <xf numFmtId="0" fontId="2" fillId="28" borderId="18" xfId="0" applyFont="1" applyFill="1" applyBorder="1"/>
    <xf numFmtId="0" fontId="2" fillId="24" borderId="24" xfId="0" applyFont="1" applyFill="1" applyBorder="1"/>
    <xf numFmtId="0" fontId="2" fillId="24" borderId="17" xfId="0" applyFont="1" applyFill="1" applyBorder="1" applyProtection="1"/>
    <xf numFmtId="0" fontId="2" fillId="0" borderId="0" xfId="0" applyFont="1" applyBorder="1"/>
    <xf numFmtId="0" fontId="55" fillId="0" borderId="0" xfId="0" applyFont="1"/>
    <xf numFmtId="49" fontId="7" fillId="0" borderId="20" xfId="0" applyNumberFormat="1" applyFont="1" applyBorder="1" applyAlignment="1">
      <alignment horizontal="right"/>
    </xf>
    <xf numFmtId="0" fontId="29" fillId="0" borderId="23" xfId="0" applyFont="1" applyBorder="1" applyAlignment="1">
      <alignment horizontal="center"/>
    </xf>
    <xf numFmtId="0" fontId="2" fillId="0" borderId="10" xfId="0" applyFont="1" applyBorder="1"/>
    <xf numFmtId="0" fontId="2" fillId="0" borderId="21" xfId="0" applyFont="1" applyBorder="1"/>
    <xf numFmtId="0" fontId="3" fillId="0" borderId="0" xfId="0" applyFont="1"/>
    <xf numFmtId="0" fontId="29" fillId="0" borderId="0" xfId="0" applyFont="1" applyAlignment="1" applyProtection="1">
      <alignment horizontal="right"/>
      <protection locked="0"/>
    </xf>
    <xf numFmtId="0" fontId="56" fillId="0" borderId="11" xfId="0" applyFont="1" applyFill="1" applyBorder="1" applyProtection="1">
      <protection locked="0"/>
    </xf>
    <xf numFmtId="0" fontId="42" fillId="0" borderId="20" xfId="0" applyFont="1" applyBorder="1" applyAlignment="1">
      <alignment horizontal="center"/>
    </xf>
    <xf numFmtId="0" fontId="2" fillId="0" borderId="16" xfId="0" applyFont="1" applyBorder="1"/>
    <xf numFmtId="0" fontId="2" fillId="0" borderId="18" xfId="0" applyFont="1" applyBorder="1"/>
    <xf numFmtId="0" fontId="42" fillId="0" borderId="21" xfId="0" applyFont="1" applyBorder="1" applyAlignment="1">
      <alignment horizontal="center"/>
    </xf>
    <xf numFmtId="0" fontId="2" fillId="0" borderId="20" xfId="0" applyFont="1" applyFill="1" applyBorder="1"/>
    <xf numFmtId="0" fontId="2" fillId="0" borderId="19" xfId="0" applyFont="1" applyFill="1" applyBorder="1"/>
    <xf numFmtId="0" fontId="29" fillId="0" borderId="11" xfId="0" applyFont="1" applyFill="1" applyBorder="1" applyAlignment="1">
      <alignment horizontal="right"/>
    </xf>
    <xf numFmtId="2" fontId="57" fillId="0" borderId="11" xfId="0" applyNumberFormat="1" applyFont="1" applyFill="1" applyBorder="1" applyAlignment="1"/>
    <xf numFmtId="0" fontId="2" fillId="0" borderId="12" xfId="0" applyFont="1" applyFill="1" applyBorder="1"/>
    <xf numFmtId="0" fontId="2" fillId="0" borderId="10" xfId="0" applyFont="1" applyFill="1" applyBorder="1"/>
    <xf numFmtId="0" fontId="29" fillId="0" borderId="23" xfId="0" applyFont="1" applyFill="1" applyBorder="1" applyAlignment="1">
      <alignment horizontal="right"/>
    </xf>
    <xf numFmtId="0" fontId="29" fillId="0" borderId="0" xfId="0" applyFont="1" applyAlignment="1">
      <alignment horizontal="right"/>
    </xf>
    <xf numFmtId="0" fontId="7" fillId="0" borderId="0" xfId="0" applyNumberFormat="1" applyFont="1" applyAlignment="1">
      <alignment horizontal="right"/>
    </xf>
    <xf numFmtId="0" fontId="43" fillId="0" borderId="0" xfId="0" applyFont="1" applyAlignment="1">
      <alignment horizontal="right"/>
    </xf>
    <xf numFmtId="0" fontId="29" fillId="0" borderId="0" xfId="0" applyFont="1" applyFill="1" applyBorder="1" applyAlignment="1">
      <alignment horizontal="right"/>
    </xf>
    <xf numFmtId="0" fontId="2" fillId="0" borderId="13" xfId="0" applyFont="1" applyBorder="1"/>
    <xf numFmtId="2" fontId="58" fillId="0" borderId="15" xfId="0" applyNumberFormat="1" applyFont="1" applyBorder="1" applyAlignment="1">
      <alignment horizontal="right"/>
    </xf>
    <xf numFmtId="15" fontId="61" fillId="0" borderId="0" xfId="0" applyNumberFormat="1" applyFont="1" applyAlignment="1">
      <alignment horizontal="left"/>
    </xf>
    <xf numFmtId="0" fontId="62" fillId="0" borderId="0" xfId="0" applyFont="1" applyAlignment="1">
      <alignment horizontal="right" vertical="top"/>
    </xf>
    <xf numFmtId="2" fontId="58" fillId="0" borderId="21" xfId="0" applyNumberFormat="1" applyFont="1" applyBorder="1" applyAlignment="1">
      <alignment horizontal="right"/>
    </xf>
    <xf numFmtId="2" fontId="2" fillId="0" borderId="0" xfId="0" applyNumberFormat="1" applyFont="1" applyAlignment="1">
      <alignment horizontal="left"/>
    </xf>
    <xf numFmtId="0" fontId="2" fillId="0" borderId="18" xfId="0" applyFont="1" applyFill="1" applyBorder="1" applyAlignment="1">
      <alignment horizontal="right"/>
    </xf>
    <xf numFmtId="0" fontId="44" fillId="24" borderId="10" xfId="0" applyFont="1" applyFill="1" applyBorder="1" applyAlignment="1">
      <alignment horizontal="left"/>
    </xf>
    <xf numFmtId="0" fontId="2" fillId="24" borderId="13" xfId="0" applyFont="1" applyFill="1" applyBorder="1"/>
    <xf numFmtId="0" fontId="4" fillId="24" borderId="0" xfId="0" applyFont="1" applyFill="1" applyBorder="1" applyAlignment="1">
      <alignment horizontal="right" vertical="center"/>
    </xf>
    <xf numFmtId="0" fontId="29" fillId="0" borderId="11" xfId="0" applyFont="1" applyFill="1" applyBorder="1" applyProtection="1">
      <protection locked="0"/>
    </xf>
    <xf numFmtId="0" fontId="2" fillId="0" borderId="0" xfId="0" applyFont="1" applyAlignment="1">
      <alignment horizontal="center"/>
    </xf>
    <xf numFmtId="2" fontId="2" fillId="0" borderId="15" xfId="0" applyNumberFormat="1" applyFont="1" applyBorder="1" applyAlignment="1">
      <alignment horizontal="right"/>
    </xf>
    <xf numFmtId="0" fontId="7" fillId="27" borderId="10" xfId="0" applyFont="1" applyFill="1" applyBorder="1" applyAlignment="1">
      <alignment horizontal="left"/>
    </xf>
    <xf numFmtId="0" fontId="2" fillId="27" borderId="10" xfId="0" applyFont="1" applyFill="1" applyBorder="1" applyAlignment="1">
      <alignment horizontal="right"/>
    </xf>
    <xf numFmtId="0" fontId="2" fillId="27" borderId="0" xfId="0" applyFont="1" applyFill="1" applyBorder="1" applyAlignment="1">
      <alignment horizontal="right"/>
    </xf>
    <xf numFmtId="2" fontId="57" fillId="0" borderId="11" xfId="0" applyNumberFormat="1" applyFont="1" applyBorder="1"/>
    <xf numFmtId="1" fontId="63" fillId="0" borderId="0" xfId="0" applyNumberFormat="1" applyFont="1" applyBorder="1" applyAlignment="1">
      <alignment horizontal="right"/>
    </xf>
    <xf numFmtId="2" fontId="57" fillId="0" borderId="0" xfId="0" applyNumberFormat="1" applyFont="1" applyBorder="1"/>
    <xf numFmtId="0" fontId="7" fillId="29" borderId="10" xfId="0" applyFont="1" applyFill="1" applyBorder="1" applyAlignment="1">
      <alignment horizontal="left"/>
    </xf>
    <xf numFmtId="0" fontId="29" fillId="29" borderId="10" xfId="0" applyFont="1" applyFill="1" applyBorder="1" applyAlignment="1">
      <alignment horizontal="right"/>
    </xf>
    <xf numFmtId="0" fontId="29" fillId="29" borderId="0" xfId="0" applyFont="1" applyFill="1" applyBorder="1" applyAlignment="1">
      <alignment horizontal="right"/>
    </xf>
    <xf numFmtId="0" fontId="2" fillId="29" borderId="17" xfId="0" applyFont="1" applyFill="1" applyBorder="1" applyAlignment="1"/>
    <xf numFmtId="0" fontId="7" fillId="25" borderId="10" xfId="0" applyFont="1" applyFill="1" applyBorder="1" applyAlignment="1">
      <alignment horizontal="left"/>
    </xf>
    <xf numFmtId="0" fontId="7" fillId="30" borderId="12" xfId="0" applyFont="1" applyFill="1" applyBorder="1" applyAlignment="1">
      <alignment horizontal="left"/>
    </xf>
    <xf numFmtId="0" fontId="44" fillId="30" borderId="10" xfId="0" applyFont="1" applyFill="1" applyBorder="1" applyAlignment="1">
      <alignment horizontal="left"/>
    </xf>
    <xf numFmtId="0" fontId="2" fillId="30" borderId="10" xfId="0" applyFont="1" applyFill="1" applyBorder="1"/>
    <xf numFmtId="0" fontId="2" fillId="30" borderId="15" xfId="0" applyFont="1" applyFill="1" applyBorder="1"/>
    <xf numFmtId="0" fontId="2" fillId="30" borderId="13" xfId="0" applyFont="1" applyFill="1" applyBorder="1"/>
    <xf numFmtId="0" fontId="2" fillId="30" borderId="0" xfId="0" applyFont="1" applyFill="1" applyBorder="1"/>
    <xf numFmtId="0" fontId="2" fillId="30" borderId="14" xfId="0" applyFont="1" applyFill="1" applyBorder="1"/>
    <xf numFmtId="0" fontId="2" fillId="30" borderId="0" xfId="0" applyFont="1" applyFill="1" applyBorder="1" applyAlignment="1">
      <alignment horizontal="left"/>
    </xf>
    <xf numFmtId="0" fontId="2" fillId="30" borderId="0" xfId="0" applyFont="1" applyFill="1" applyBorder="1" applyAlignment="1">
      <alignment horizontal="right"/>
    </xf>
    <xf numFmtId="0" fontId="60" fillId="30" borderId="0" xfId="0" applyFont="1" applyFill="1" applyBorder="1" applyAlignment="1">
      <alignment horizontal="right" vertical="center"/>
    </xf>
    <xf numFmtId="0" fontId="3" fillId="30" borderId="0" xfId="0" applyFont="1" applyFill="1" applyBorder="1" applyAlignment="1">
      <alignment horizontal="left"/>
    </xf>
    <xf numFmtId="0" fontId="3" fillId="30" borderId="14" xfId="0" applyFont="1" applyFill="1" applyBorder="1" applyAlignment="1">
      <alignment horizontal="left"/>
    </xf>
    <xf numFmtId="0" fontId="56" fillId="30" borderId="0" xfId="0" applyFont="1" applyFill="1" applyBorder="1"/>
    <xf numFmtId="0" fontId="29" fillId="30" borderId="0" xfId="0" applyFont="1" applyFill="1" applyBorder="1" applyAlignment="1">
      <alignment horizontal="right" vertical="center"/>
    </xf>
    <xf numFmtId="0" fontId="56" fillId="0" borderId="11" xfId="0" applyFont="1" applyFill="1" applyBorder="1" applyAlignment="1">
      <alignment vertical="center"/>
    </xf>
    <xf numFmtId="0" fontId="2" fillId="30" borderId="0" xfId="0" applyFont="1" applyFill="1" applyBorder="1" applyAlignment="1">
      <alignment vertical="center"/>
    </xf>
    <xf numFmtId="0" fontId="2" fillId="30" borderId="0" xfId="0" applyFont="1" applyFill="1" applyBorder="1" applyAlignment="1">
      <alignment horizontal="right" vertical="center"/>
    </xf>
    <xf numFmtId="0" fontId="2" fillId="30" borderId="14" xfId="0" applyFont="1" applyFill="1" applyBorder="1" applyAlignment="1">
      <alignment vertical="center"/>
    </xf>
    <xf numFmtId="0" fontId="3" fillId="30" borderId="14" xfId="0" applyFont="1" applyFill="1" applyBorder="1" applyAlignment="1">
      <alignment horizontal="left" vertical="center"/>
    </xf>
    <xf numFmtId="0" fontId="2" fillId="30" borderId="16" xfId="0" applyFont="1" applyFill="1" applyBorder="1"/>
    <xf numFmtId="0" fontId="2" fillId="30" borderId="17" xfId="0" applyFont="1" applyFill="1" applyBorder="1"/>
    <xf numFmtId="0" fontId="2" fillId="30" borderId="18" xfId="0" applyFont="1" applyFill="1" applyBorder="1"/>
    <xf numFmtId="0" fontId="2" fillId="0" borderId="0" xfId="0" applyFont="1" applyBorder="1" applyAlignment="1">
      <alignment horizontal="right"/>
    </xf>
    <xf numFmtId="1" fontId="2" fillId="0" borderId="0" xfId="0" applyNumberFormat="1" applyFont="1" applyAlignment="1">
      <alignment horizontal="right"/>
    </xf>
    <xf numFmtId="49" fontId="7" fillId="0" borderId="0" xfId="0" applyNumberFormat="1" applyFont="1" applyAlignment="1">
      <alignment horizontal="right"/>
    </xf>
    <xf numFmtId="0" fontId="69" fillId="0" borderId="0" xfId="0" applyFont="1" applyBorder="1" applyAlignment="1">
      <alignment horizontal="right"/>
    </xf>
    <xf numFmtId="0" fontId="2" fillId="0" borderId="17" xfId="0" applyFont="1" applyBorder="1" applyAlignment="1">
      <alignment horizontal="right"/>
    </xf>
    <xf numFmtId="0" fontId="69" fillId="0" borderId="17" xfId="0" applyFont="1" applyBorder="1" applyAlignment="1">
      <alignment horizontal="right"/>
    </xf>
    <xf numFmtId="0" fontId="4" fillId="0" borderId="0" xfId="0" applyFont="1"/>
    <xf numFmtId="49" fontId="7" fillId="24" borderId="0" xfId="0" applyNumberFormat="1" applyFont="1" applyFill="1" applyBorder="1" applyAlignment="1">
      <alignment horizontal="right"/>
    </xf>
    <xf numFmtId="0" fontId="2" fillId="24" borderId="0" xfId="0" applyFont="1" applyFill="1" applyBorder="1" applyAlignment="1">
      <alignment horizontal="right"/>
    </xf>
    <xf numFmtId="2" fontId="2" fillId="24" borderId="17" xfId="0" applyNumberFormat="1" applyFont="1" applyFill="1" applyBorder="1" applyAlignment="1">
      <alignment horizontal="left"/>
    </xf>
    <xf numFmtId="2" fontId="2" fillId="24" borderId="0" xfId="0" applyNumberFormat="1" applyFont="1" applyFill="1" applyBorder="1" applyAlignment="1" applyProtection="1"/>
    <xf numFmtId="0" fontId="70" fillId="0" borderId="20" xfId="0" applyNumberFormat="1" applyFont="1" applyBorder="1" applyAlignment="1">
      <alignment vertical="center"/>
    </xf>
    <xf numFmtId="0" fontId="7" fillId="25" borderId="10" xfId="0" applyFont="1" applyFill="1" applyBorder="1" applyAlignment="1">
      <alignment vertical="center"/>
    </xf>
    <xf numFmtId="0" fontId="2" fillId="28" borderId="0" xfId="0" applyFont="1" applyFill="1" applyBorder="1" applyAlignment="1">
      <alignment horizontal="center"/>
    </xf>
    <xf numFmtId="0" fontId="2" fillId="0" borderId="21" xfId="0" applyFont="1" applyFill="1" applyBorder="1"/>
    <xf numFmtId="0" fontId="4" fillId="28" borderId="0" xfId="0" applyFont="1" applyFill="1" applyBorder="1" applyAlignment="1">
      <alignment horizontal="right"/>
    </xf>
    <xf numFmtId="0" fontId="70" fillId="0" borderId="16" xfId="0" applyNumberFormat="1" applyFont="1" applyFill="1" applyBorder="1" applyAlignment="1">
      <alignment vertical="center"/>
    </xf>
    <xf numFmtId="2" fontId="2" fillId="28" borderId="0" xfId="0" applyNumberFormat="1" applyFont="1" applyFill="1" applyBorder="1" applyAlignment="1">
      <alignment horizontal="left"/>
    </xf>
    <xf numFmtId="2" fontId="2" fillId="28" borderId="0" xfId="0" applyNumberFormat="1" applyFont="1" applyFill="1" applyBorder="1"/>
    <xf numFmtId="0" fontId="70" fillId="0" borderId="20" xfId="0" applyNumberFormat="1" applyFont="1" applyFill="1" applyBorder="1" applyAlignment="1">
      <alignment vertical="center"/>
    </xf>
    <xf numFmtId="0" fontId="2" fillId="0" borderId="0" xfId="0" applyFont="1" applyAlignment="1">
      <alignment vertical="center"/>
    </xf>
    <xf numFmtId="0" fontId="70" fillId="0" borderId="12" xfId="0" applyNumberFormat="1" applyFont="1" applyFill="1" applyBorder="1" applyAlignment="1">
      <alignment vertical="center"/>
    </xf>
    <xf numFmtId="0" fontId="43" fillId="24" borderId="13" xfId="0" applyFont="1" applyFill="1" applyBorder="1" applyAlignment="1">
      <alignment horizontal="right" vertical="center"/>
    </xf>
    <xf numFmtId="0" fontId="70" fillId="0" borderId="21" xfId="0" applyFont="1" applyFill="1" applyBorder="1" applyAlignment="1">
      <alignment vertical="center"/>
    </xf>
    <xf numFmtId="2" fontId="2" fillId="28" borderId="0" xfId="0" applyNumberFormat="1" applyFont="1" applyFill="1" applyBorder="1" applyAlignment="1">
      <alignment horizontal="right"/>
    </xf>
    <xf numFmtId="0" fontId="70" fillId="0" borderId="16" xfId="0" applyNumberFormat="1" applyFont="1" applyFill="1" applyBorder="1"/>
    <xf numFmtId="2" fontId="2" fillId="28" borderId="17" xfId="0" applyNumberFormat="1" applyFont="1" applyFill="1" applyBorder="1" applyAlignment="1">
      <alignment horizontal="center"/>
    </xf>
    <xf numFmtId="1" fontId="2" fillId="0" borderId="0" xfId="0" applyNumberFormat="1" applyFont="1" applyAlignment="1">
      <alignment horizontal="left" vertical="center"/>
    </xf>
    <xf numFmtId="0" fontId="42" fillId="0" borderId="11" xfId="0" applyFont="1" applyBorder="1" applyAlignment="1">
      <alignment horizontal="center"/>
    </xf>
    <xf numFmtId="0" fontId="2" fillId="28" borderId="0" xfId="0" applyFont="1" applyFill="1"/>
    <xf numFmtId="2" fontId="2" fillId="28" borderId="0" xfId="0" applyNumberFormat="1" applyFont="1" applyFill="1" applyBorder="1" applyAlignment="1">
      <alignment horizontal="center"/>
    </xf>
    <xf numFmtId="2" fontId="2" fillId="0" borderId="21" xfId="0" applyNumberFormat="1" applyFont="1" applyFill="1" applyBorder="1" applyAlignment="1">
      <alignment horizontal="right"/>
    </xf>
    <xf numFmtId="0" fontId="2" fillId="0" borderId="0" xfId="0" applyFont="1" applyBorder="1" applyAlignment="1">
      <alignment horizontal="center"/>
    </xf>
    <xf numFmtId="0" fontId="2" fillId="0" borderId="23" xfId="0" applyFont="1" applyBorder="1"/>
    <xf numFmtId="0" fontId="2" fillId="0" borderId="24" xfId="0" applyFont="1" applyBorder="1"/>
    <xf numFmtId="0" fontId="2" fillId="0" borderId="22" xfId="0" applyFont="1" applyBorder="1"/>
    <xf numFmtId="0" fontId="7" fillId="0" borderId="19" xfId="0" applyFont="1" applyBorder="1" applyAlignment="1">
      <alignment horizontal="right"/>
    </xf>
    <xf numFmtId="2" fontId="2" fillId="0" borderId="22" xfId="0" applyNumberFormat="1" applyFont="1" applyBorder="1" applyAlignment="1">
      <alignment horizontal="center"/>
    </xf>
    <xf numFmtId="2" fontId="2" fillId="0" borderId="16" xfId="0" applyNumberFormat="1" applyFont="1" applyBorder="1" applyAlignment="1">
      <alignment horizontal="center"/>
    </xf>
    <xf numFmtId="0" fontId="2" fillId="0" borderId="20" xfId="0" applyFont="1" applyBorder="1"/>
    <xf numFmtId="0" fontId="42" fillId="0" borderId="0" xfId="0" applyFont="1" applyAlignment="1">
      <alignment horizontal="center"/>
    </xf>
    <xf numFmtId="0" fontId="7" fillId="0" borderId="21" xfId="0" applyFont="1" applyBorder="1" applyAlignment="1">
      <alignment horizontal="right"/>
    </xf>
    <xf numFmtId="0" fontId="2" fillId="0" borderId="13" xfId="0" applyFont="1" applyFill="1" applyBorder="1"/>
    <xf numFmtId="0" fontId="29" fillId="0" borderId="11" xfId="0" applyFont="1" applyFill="1" applyBorder="1" applyAlignment="1">
      <alignment horizontal="right" vertical="center"/>
    </xf>
    <xf numFmtId="2" fontId="57" fillId="0" borderId="11" xfId="0" applyNumberFormat="1" applyFont="1" applyFill="1" applyBorder="1" applyAlignment="1">
      <alignment vertical="center"/>
    </xf>
    <xf numFmtId="0" fontId="4" fillId="0" borderId="23" xfId="0" applyFont="1" applyFill="1" applyBorder="1" applyAlignment="1">
      <alignment horizontal="right"/>
    </xf>
    <xf numFmtId="2" fontId="70" fillId="0" borderId="22" xfId="0" applyNumberFormat="1" applyFont="1" applyFill="1" applyBorder="1" applyAlignment="1">
      <alignment vertical="center"/>
    </xf>
    <xf numFmtId="2" fontId="57" fillId="0" borderId="21" xfId="0" applyNumberFormat="1" applyFont="1" applyFill="1" applyBorder="1" applyAlignment="1">
      <alignment vertical="center"/>
    </xf>
    <xf numFmtId="0" fontId="10" fillId="0" borderId="24" xfId="0" applyFont="1" applyFill="1" applyBorder="1" applyAlignment="1">
      <alignment horizontal="right"/>
    </xf>
    <xf numFmtId="2" fontId="70" fillId="0" borderId="11" xfId="0" applyNumberFormat="1" applyFont="1" applyFill="1" applyBorder="1" applyAlignment="1">
      <alignment vertical="center"/>
    </xf>
    <xf numFmtId="0" fontId="56" fillId="0" borderId="11" xfId="0" applyFont="1" applyFill="1" applyBorder="1" applyAlignment="1" applyProtection="1">
      <alignment vertical="center"/>
      <protection locked="0"/>
    </xf>
    <xf numFmtId="0" fontId="4" fillId="0" borderId="24" xfId="0" applyFont="1" applyFill="1" applyBorder="1" applyAlignment="1">
      <alignment horizontal="right"/>
    </xf>
    <xf numFmtId="0" fontId="2" fillId="0" borderId="12" xfId="0" applyFont="1" applyBorder="1"/>
    <xf numFmtId="2" fontId="2" fillId="0" borderId="20" xfId="0" applyNumberFormat="1" applyFont="1" applyBorder="1" applyAlignment="1">
      <alignment horizontal="center"/>
    </xf>
    <xf numFmtId="2" fontId="2" fillId="0" borderId="21" xfId="0" applyNumberFormat="1" applyFont="1" applyBorder="1" applyAlignment="1">
      <alignment horizontal="center"/>
    </xf>
    <xf numFmtId="2" fontId="2" fillId="0" borderId="22" xfId="0" applyNumberFormat="1" applyFont="1" applyBorder="1" applyAlignment="1">
      <alignment horizontal="right"/>
    </xf>
    <xf numFmtId="2" fontId="70" fillId="0" borderId="11" xfId="0" applyNumberFormat="1" applyFont="1" applyFill="1" applyBorder="1"/>
    <xf numFmtId="0" fontId="2" fillId="0" borderId="14" xfId="0" applyFont="1" applyBorder="1"/>
    <xf numFmtId="0" fontId="56" fillId="0" borderId="0" xfId="0" applyFont="1"/>
    <xf numFmtId="0" fontId="2" fillId="0" borderId="15" xfId="0" applyFont="1" applyFill="1" applyBorder="1"/>
    <xf numFmtId="0" fontId="7" fillId="24" borderId="10" xfId="0" applyFont="1" applyFill="1" applyBorder="1"/>
    <xf numFmtId="0" fontId="2" fillId="0" borderId="14" xfId="0" applyFont="1" applyBorder="1" applyAlignment="1">
      <alignment horizontal="right"/>
    </xf>
    <xf numFmtId="2" fontId="57" fillId="0" borderId="25" xfId="0" applyNumberFormat="1" applyFont="1" applyBorder="1" applyAlignment="1" applyProtection="1">
      <alignment horizontal="center"/>
      <protection locked="0"/>
    </xf>
    <xf numFmtId="2" fontId="57" fillId="0" borderId="26" xfId="0" applyNumberFormat="1" applyFont="1" applyBorder="1" applyAlignment="1" applyProtection="1">
      <alignment horizontal="center"/>
      <protection locked="0"/>
    </xf>
    <xf numFmtId="0" fontId="2" fillId="0" borderId="19" xfId="0" applyFont="1" applyBorder="1" applyAlignment="1">
      <alignment horizontal="left"/>
    </xf>
    <xf numFmtId="0" fontId="29" fillId="0" borderId="21" xfId="0" applyFont="1" applyBorder="1" applyAlignment="1">
      <alignment horizontal="right"/>
    </xf>
    <xf numFmtId="2" fontId="57" fillId="0" borderId="25" xfId="0" applyNumberFormat="1" applyFont="1" applyBorder="1" applyProtection="1"/>
    <xf numFmtId="2" fontId="57" fillId="0" borderId="26" xfId="0" applyNumberFormat="1" applyFont="1" applyBorder="1" applyProtection="1"/>
    <xf numFmtId="2" fontId="57" fillId="0" borderId="20" xfId="0" applyNumberFormat="1" applyFont="1" applyBorder="1"/>
    <xf numFmtId="0" fontId="43" fillId="0" borderId="21" xfId="0" applyFont="1" applyBorder="1" applyAlignment="1">
      <alignment horizontal="right"/>
    </xf>
    <xf numFmtId="2" fontId="57" fillId="0" borderId="13" xfId="0" applyNumberFormat="1" applyFont="1" applyBorder="1"/>
    <xf numFmtId="2" fontId="70" fillId="0" borderId="21" xfId="0" applyNumberFormat="1" applyFont="1" applyBorder="1"/>
    <xf numFmtId="0" fontId="2" fillId="27" borderId="0" xfId="0" applyFont="1" applyFill="1"/>
    <xf numFmtId="0" fontId="2" fillId="25" borderId="0" xfId="0" applyFont="1" applyFill="1"/>
    <xf numFmtId="0" fontId="2" fillId="30" borderId="0" xfId="0" applyFont="1" applyFill="1"/>
    <xf numFmtId="2" fontId="57" fillId="0" borderId="13" xfId="0" applyNumberFormat="1" applyFont="1" applyBorder="1" applyAlignment="1">
      <alignment vertical="top"/>
    </xf>
    <xf numFmtId="2" fontId="70" fillId="0" borderId="21" xfId="0" applyNumberFormat="1" applyFont="1" applyBorder="1" applyAlignment="1">
      <alignment vertical="top"/>
    </xf>
    <xf numFmtId="2" fontId="57" fillId="0" borderId="20" xfId="0" applyNumberFormat="1" applyFont="1" applyBorder="1" applyAlignment="1">
      <alignment vertical="center"/>
    </xf>
    <xf numFmtId="2" fontId="70" fillId="0" borderId="21" xfId="0" applyNumberFormat="1" applyFont="1" applyBorder="1" applyAlignment="1">
      <alignment vertical="center"/>
    </xf>
    <xf numFmtId="2" fontId="57" fillId="0" borderId="13" xfId="0" applyNumberFormat="1" applyFont="1" applyBorder="1" applyAlignment="1">
      <alignment vertical="center"/>
    </xf>
    <xf numFmtId="0" fontId="2" fillId="0" borderId="12" xfId="0" applyFont="1" applyBorder="1" applyAlignment="1">
      <alignment horizontal="right"/>
    </xf>
    <xf numFmtId="0" fontId="2" fillId="0" borderId="15" xfId="0" applyFont="1" applyBorder="1"/>
    <xf numFmtId="49" fontId="29" fillId="30" borderId="0" xfId="0" applyNumberFormat="1" applyFont="1" applyFill="1" applyBorder="1" applyAlignment="1">
      <alignment horizontal="right" vertical="center"/>
    </xf>
    <xf numFmtId="0" fontId="16" fillId="30" borderId="0" xfId="0" applyFont="1" applyFill="1" applyBorder="1" applyAlignment="1">
      <alignment horizontal="right"/>
    </xf>
    <xf numFmtId="0" fontId="56" fillId="0" borderId="11" xfId="0" applyFont="1" applyFill="1" applyBorder="1" applyAlignment="1">
      <alignment vertical="top"/>
    </xf>
    <xf numFmtId="0" fontId="2" fillId="30" borderId="14" xfId="0" applyFont="1" applyFill="1" applyBorder="1" applyAlignment="1">
      <alignment vertical="top"/>
    </xf>
    <xf numFmtId="0" fontId="2" fillId="0" borderId="13" xfId="0" applyFont="1" applyBorder="1" applyAlignment="1">
      <alignment horizontal="right"/>
    </xf>
    <xf numFmtId="0" fontId="29" fillId="30" borderId="0" xfId="0" applyFont="1" applyFill="1" applyBorder="1"/>
    <xf numFmtId="0" fontId="2" fillId="0" borderId="16" xfId="0" applyFont="1" applyBorder="1" applyAlignment="1">
      <alignment horizontal="right"/>
    </xf>
    <xf numFmtId="0" fontId="29" fillId="0" borderId="0" xfId="0" applyFont="1" applyAlignment="1">
      <alignment horizontal="center"/>
    </xf>
    <xf numFmtId="0" fontId="2" fillId="24" borderId="15" xfId="0" applyFont="1" applyFill="1" applyBorder="1"/>
    <xf numFmtId="0" fontId="74" fillId="0" borderId="0" xfId="0" applyFont="1"/>
    <xf numFmtId="0" fontId="34" fillId="29" borderId="10" xfId="0" applyFont="1" applyFill="1" applyBorder="1" applyAlignment="1">
      <alignment horizontal="left"/>
    </xf>
    <xf numFmtId="0" fontId="34" fillId="24" borderId="10" xfId="0" applyFont="1" applyFill="1" applyBorder="1" applyAlignment="1">
      <alignment horizontal="left"/>
    </xf>
    <xf numFmtId="164" fontId="2" fillId="0" borderId="0" xfId="0" applyNumberFormat="1" applyFont="1"/>
    <xf numFmtId="0" fontId="0" fillId="25" borderId="0" xfId="0" applyFill="1" applyBorder="1"/>
    <xf numFmtId="0" fontId="7" fillId="28" borderId="12" xfId="0" applyFont="1" applyFill="1" applyBorder="1" applyAlignment="1">
      <alignment horizontal="left"/>
    </xf>
    <xf numFmtId="0" fontId="3" fillId="28" borderId="10" xfId="0" applyFont="1" applyFill="1" applyBorder="1" applyAlignment="1">
      <alignment horizontal="left" vertical="center"/>
    </xf>
    <xf numFmtId="0" fontId="2" fillId="28" borderId="13" xfId="0" applyFont="1" applyFill="1" applyBorder="1" applyAlignment="1">
      <alignment horizontal="right"/>
    </xf>
    <xf numFmtId="0" fontId="0" fillId="28" borderId="0" xfId="0" applyFill="1" applyBorder="1"/>
    <xf numFmtId="2" fontId="2" fillId="0" borderId="0" xfId="0" applyNumberFormat="1" applyFont="1" applyFill="1" applyBorder="1"/>
    <xf numFmtId="0" fontId="0" fillId="28" borderId="17" xfId="0" applyFill="1" applyBorder="1"/>
    <xf numFmtId="2" fontId="2" fillId="28" borderId="0" xfId="0" applyNumberFormat="1" applyFont="1" applyFill="1"/>
    <xf numFmtId="0" fontId="75" fillId="0" borderId="0" xfId="0" applyFont="1"/>
    <xf numFmtId="170" fontId="2" fillId="0" borderId="0" xfId="0" applyNumberFormat="1" applyFont="1"/>
    <xf numFmtId="168" fontId="2" fillId="0" borderId="0" xfId="0" applyNumberFormat="1" applyFont="1"/>
    <xf numFmtId="0" fontId="1" fillId="0" borderId="0" xfId="0" applyFont="1"/>
    <xf numFmtId="164" fontId="16" fillId="0" borderId="0" xfId="0" quotePrefix="1" applyNumberFormat="1" applyFont="1"/>
    <xf numFmtId="166" fontId="2" fillId="0" borderId="0" xfId="0" applyNumberFormat="1" applyFont="1"/>
    <xf numFmtId="0" fontId="2" fillId="0" borderId="0" xfId="0" applyFont="1" applyAlignment="1" applyProtection="1">
      <alignment horizontal="right"/>
      <protection locked="0"/>
    </xf>
    <xf numFmtId="0" fontId="7" fillId="0" borderId="12" xfId="0" applyFont="1" applyFill="1" applyBorder="1" applyAlignment="1">
      <alignment horizontal="left"/>
    </xf>
    <xf numFmtId="0" fontId="4" fillId="25" borderId="0" xfId="0" applyFont="1" applyFill="1" applyBorder="1" applyAlignment="1">
      <alignment horizontal="center"/>
    </xf>
    <xf numFmtId="0" fontId="4" fillId="28" borderId="0" xfId="0" applyFont="1" applyFill="1" applyBorder="1" applyAlignment="1">
      <alignment horizontal="center"/>
    </xf>
    <xf numFmtId="0" fontId="42" fillId="0" borderId="11" xfId="0" applyNumberFormat="1" applyFont="1" applyFill="1" applyBorder="1" applyAlignment="1" applyProtection="1">
      <alignment horizontal="right" vertical="center"/>
      <protection locked="0"/>
    </xf>
    <xf numFmtId="0" fontId="42" fillId="0" borderId="11" xfId="0" applyNumberFormat="1" applyFont="1" applyFill="1" applyBorder="1" applyAlignment="1" applyProtection="1">
      <alignment vertical="center"/>
      <protection locked="0"/>
    </xf>
    <xf numFmtId="0" fontId="2" fillId="0" borderId="22" xfId="0" applyNumberFormat="1" applyFont="1" applyFill="1" applyBorder="1" applyAlignment="1">
      <alignment horizontal="right" vertical="center"/>
    </xf>
    <xf numFmtId="0" fontId="2" fillId="0" borderId="11" xfId="0" applyNumberFormat="1" applyFont="1" applyFill="1" applyBorder="1" applyAlignment="1">
      <alignment horizontal="right" vertical="center"/>
    </xf>
    <xf numFmtId="0" fontId="42" fillId="0" borderId="11" xfId="0" applyNumberFormat="1" applyFont="1" applyFill="1" applyBorder="1" applyAlignment="1">
      <alignment vertical="center"/>
    </xf>
    <xf numFmtId="164" fontId="2" fillId="0" borderId="21" xfId="0" applyNumberFormat="1" applyFont="1" applyFill="1" applyBorder="1"/>
    <xf numFmtId="164" fontId="51" fillId="0" borderId="21" xfId="0" applyNumberFormat="1" applyFont="1" applyFill="1" applyBorder="1"/>
    <xf numFmtId="0" fontId="29" fillId="30" borderId="24" xfId="0" applyNumberFormat="1" applyFont="1" applyFill="1" applyBorder="1"/>
    <xf numFmtId="0" fontId="29" fillId="30" borderId="14" xfId="0" applyFont="1" applyFill="1" applyBorder="1"/>
    <xf numFmtId="0" fontId="39" fillId="30" borderId="24" xfId="0" applyNumberFormat="1" applyFont="1" applyFill="1" applyBorder="1" applyAlignment="1">
      <alignment vertical="center"/>
    </xf>
    <xf numFmtId="0" fontId="39" fillId="30" borderId="14" xfId="0" applyFont="1" applyFill="1" applyBorder="1"/>
    <xf numFmtId="0" fontId="29" fillId="30" borderId="14" xfId="0" applyNumberFormat="1" applyFont="1" applyFill="1" applyBorder="1" applyAlignment="1">
      <alignment horizontal="right"/>
    </xf>
    <xf numFmtId="0" fontId="2" fillId="30" borderId="14" xfId="0" applyFont="1" applyFill="1" applyBorder="1" applyAlignment="1">
      <alignment horizontal="right"/>
    </xf>
    <xf numFmtId="49" fontId="2" fillId="30" borderId="14" xfId="0" applyNumberFormat="1" applyFont="1" applyFill="1" applyBorder="1" applyAlignment="1">
      <alignment horizontal="right"/>
    </xf>
    <xf numFmtId="0" fontId="29" fillId="30" borderId="14" xfId="0" applyFont="1" applyFill="1" applyBorder="1" applyAlignment="1">
      <alignment horizontal="right" vertical="center"/>
    </xf>
    <xf numFmtId="0" fontId="2" fillId="30" borderId="0" xfId="0" applyNumberFormat="1" applyFont="1" applyFill="1" applyBorder="1"/>
    <xf numFmtId="0" fontId="3" fillId="30" borderId="10" xfId="0" applyFont="1" applyFill="1" applyBorder="1"/>
    <xf numFmtId="0" fontId="2" fillId="24" borderId="13" xfId="0" applyFont="1" applyFill="1" applyBorder="1" applyAlignment="1" applyProtection="1"/>
    <xf numFmtId="0" fontId="0" fillId="0" borderId="0" xfId="0" applyBorder="1"/>
    <xf numFmtId="0" fontId="0" fillId="27" borderId="0" xfId="0" applyFill="1" applyBorder="1"/>
    <xf numFmtId="0" fontId="0" fillId="27" borderId="13" xfId="0" applyFill="1" applyBorder="1"/>
    <xf numFmtId="0" fontId="39" fillId="30" borderId="0" xfId="0" applyFont="1" applyFill="1" applyBorder="1"/>
    <xf numFmtId="0" fontId="2" fillId="28" borderId="17" xfId="0" applyFont="1" applyFill="1" applyBorder="1" applyAlignment="1">
      <alignment horizontal="right"/>
    </xf>
    <xf numFmtId="0" fontId="50" fillId="28" borderId="17" xfId="0" applyNumberFormat="1" applyFont="1" applyFill="1" applyBorder="1" applyAlignment="1">
      <alignment horizontal="right"/>
    </xf>
    <xf numFmtId="0" fontId="10" fillId="30" borderId="0" xfId="0" applyFont="1" applyFill="1" applyBorder="1" applyAlignment="1">
      <alignment horizontal="right"/>
    </xf>
    <xf numFmtId="2" fontId="2" fillId="0" borderId="17" xfId="0" applyNumberFormat="1" applyFont="1" applyBorder="1"/>
    <xf numFmtId="2" fontId="2" fillId="0" borderId="10" xfId="0" applyNumberFormat="1" applyFont="1" applyBorder="1"/>
    <xf numFmtId="0" fontId="2" fillId="0" borderId="10" xfId="0" applyNumberFormat="1" applyFont="1" applyBorder="1"/>
    <xf numFmtId="0" fontId="2" fillId="30" borderId="12" xfId="0" applyFont="1" applyFill="1" applyBorder="1" applyAlignment="1">
      <alignment horizontal="left"/>
    </xf>
    <xf numFmtId="2" fontId="2" fillId="0" borderId="0" xfId="0" applyNumberFormat="1" applyFont="1" applyBorder="1"/>
    <xf numFmtId="165" fontId="2" fillId="0" borderId="17" xfId="0" applyNumberFormat="1" applyFont="1" applyBorder="1"/>
    <xf numFmtId="0" fontId="2" fillId="0" borderId="17" xfId="0" applyNumberFormat="1" applyFont="1" applyBorder="1" applyAlignment="1">
      <alignment vertical="center"/>
    </xf>
    <xf numFmtId="1" fontId="2" fillId="0" borderId="0" xfId="0" applyNumberFormat="1" applyFont="1" applyAlignment="1">
      <alignment horizontal="right" vertical="center"/>
    </xf>
    <xf numFmtId="0" fontId="42" fillId="0" borderId="15" xfId="0" applyFont="1" applyFill="1" applyBorder="1"/>
    <xf numFmtId="0" fontId="7" fillId="24" borderId="12" xfId="0" applyFont="1" applyFill="1" applyBorder="1" applyAlignment="1" applyProtection="1">
      <alignment horizontal="left"/>
    </xf>
    <xf numFmtId="0" fontId="2" fillId="24" borderId="15" xfId="0" applyFont="1" applyFill="1" applyBorder="1" applyAlignment="1">
      <alignment horizontal="center"/>
    </xf>
    <xf numFmtId="0" fontId="51" fillId="24" borderId="0" xfId="0" applyFont="1" applyFill="1" applyAlignment="1">
      <alignment horizontal="center"/>
    </xf>
    <xf numFmtId="0" fontId="51" fillId="28" borderId="17" xfId="0" applyFont="1" applyFill="1" applyBorder="1" applyAlignment="1">
      <alignment horizontal="center"/>
    </xf>
    <xf numFmtId="0" fontId="51" fillId="28" borderId="0" xfId="0" applyFont="1" applyFill="1" applyBorder="1" applyAlignment="1">
      <alignment horizontal="center"/>
    </xf>
    <xf numFmtId="2" fontId="51" fillId="28" borderId="11" xfId="0" applyNumberFormat="1" applyFont="1" applyFill="1" applyBorder="1" applyAlignment="1">
      <alignment horizontal="center"/>
    </xf>
    <xf numFmtId="0" fontId="51" fillId="28" borderId="20" xfId="0" applyFont="1" applyFill="1" applyBorder="1" applyAlignment="1">
      <alignment horizontal="center"/>
    </xf>
    <xf numFmtId="0" fontId="51" fillId="28" borderId="21" xfId="0" applyFont="1" applyFill="1" applyBorder="1" applyAlignment="1">
      <alignment horizontal="center"/>
    </xf>
    <xf numFmtId="0" fontId="65" fillId="30" borderId="0" xfId="0" applyFont="1" applyFill="1" applyBorder="1" applyAlignment="1">
      <alignment horizontal="center"/>
    </xf>
    <xf numFmtId="0" fontId="10" fillId="0" borderId="0" xfId="0" applyFont="1" applyAlignment="1">
      <alignment horizontal="right"/>
    </xf>
    <xf numFmtId="2" fontId="58" fillId="0" borderId="0" xfId="0" applyNumberFormat="1" applyFont="1" applyBorder="1" applyAlignment="1"/>
    <xf numFmtId="0" fontId="29" fillId="0" borderId="0" xfId="0" applyFont="1" applyFill="1" applyBorder="1" applyProtection="1">
      <protection locked="0"/>
    </xf>
    <xf numFmtId="0" fontId="2" fillId="0" borderId="20" xfId="0" applyFont="1" applyBorder="1" applyAlignment="1">
      <alignment horizontal="right"/>
    </xf>
    <xf numFmtId="0" fontId="7" fillId="30" borderId="13" xfId="0" applyFont="1" applyFill="1" applyBorder="1" applyAlignment="1">
      <alignment horizontal="right"/>
    </xf>
    <xf numFmtId="0" fontId="4" fillId="30" borderId="0" xfId="0" applyFont="1" applyFill="1" applyBorder="1" applyAlignment="1">
      <alignment horizontal="right"/>
    </xf>
    <xf numFmtId="2" fontId="2" fillId="30" borderId="0" xfId="0" applyNumberFormat="1" applyFont="1" applyFill="1" applyBorder="1" applyAlignment="1">
      <alignment horizontal="left"/>
    </xf>
    <xf numFmtId="2" fontId="2" fillId="30" borderId="0" xfId="0" applyNumberFormat="1" applyFont="1" applyFill="1" applyBorder="1"/>
    <xf numFmtId="15" fontId="61" fillId="30" borderId="13" xfId="0" applyNumberFormat="1" applyFont="1" applyFill="1" applyBorder="1" applyAlignment="1">
      <alignment horizontal="left"/>
    </xf>
    <xf numFmtId="0" fontId="2" fillId="30" borderId="13" xfId="0" applyFont="1" applyFill="1" applyBorder="1" applyAlignment="1">
      <alignment vertical="center"/>
    </xf>
    <xf numFmtId="0" fontId="44" fillId="30" borderId="0" xfId="0" applyFont="1" applyFill="1" applyBorder="1" applyAlignment="1">
      <alignment vertical="center"/>
    </xf>
    <xf numFmtId="2" fontId="2" fillId="30" borderId="0" xfId="0" applyNumberFormat="1" applyFont="1" applyFill="1" applyBorder="1" applyAlignment="1">
      <alignment horizontal="right"/>
    </xf>
    <xf numFmtId="0" fontId="44" fillId="0" borderId="19" xfId="0" applyFont="1" applyFill="1" applyBorder="1" applyAlignment="1">
      <alignment horizontal="center"/>
    </xf>
    <xf numFmtId="1" fontId="2" fillId="0" borderId="11" xfId="0" applyNumberFormat="1" applyFont="1" applyFill="1" applyBorder="1"/>
    <xf numFmtId="164" fontId="2" fillId="0" borderId="20" xfId="0" applyNumberFormat="1" applyFont="1" applyBorder="1"/>
    <xf numFmtId="0" fontId="0" fillId="28" borderId="0" xfId="0" applyFill="1"/>
    <xf numFmtId="0" fontId="0" fillId="30" borderId="0" xfId="0" applyFill="1"/>
    <xf numFmtId="2" fontId="2" fillId="0" borderId="21" xfId="0" applyNumberFormat="1" applyFont="1" applyBorder="1" applyAlignment="1">
      <alignment horizontal="right"/>
    </xf>
    <xf numFmtId="0" fontId="4" fillId="0" borderId="11" xfId="0" applyFont="1" applyFill="1" applyBorder="1" applyAlignment="1">
      <alignment horizontal="right"/>
    </xf>
    <xf numFmtId="49" fontId="29" fillId="0" borderId="14" xfId="0" applyNumberFormat="1" applyFont="1" applyFill="1" applyBorder="1" applyAlignment="1">
      <alignment horizontal="right"/>
    </xf>
    <xf numFmtId="0" fontId="2" fillId="0" borderId="0" xfId="0" applyFont="1" applyBorder="1" applyAlignment="1" applyProtection="1">
      <alignment horizontal="left"/>
      <protection locked="0"/>
    </xf>
    <xf numFmtId="0" fontId="10" fillId="0" borderId="0" xfId="0" applyFont="1" applyFill="1" applyBorder="1" applyAlignment="1">
      <alignment horizontal="right"/>
    </xf>
    <xf numFmtId="0" fontId="7" fillId="0" borderId="0" xfId="0" applyFont="1" applyFill="1" applyBorder="1" applyAlignment="1">
      <alignment horizontal="center"/>
    </xf>
    <xf numFmtId="1" fontId="2" fillId="0" borderId="0" xfId="0" applyNumberFormat="1" applyFont="1" applyFill="1" applyBorder="1"/>
    <xf numFmtId="0" fontId="2" fillId="0" borderId="0" xfId="0" applyFont="1" applyBorder="1" applyAlignment="1">
      <alignment horizontal="left"/>
    </xf>
    <xf numFmtId="164" fontId="51" fillId="0" borderId="11" xfId="0" applyNumberFormat="1" applyFont="1" applyBorder="1"/>
    <xf numFmtId="0" fontId="2" fillId="0" borderId="17" xfId="0" applyFont="1" applyFill="1" applyBorder="1"/>
    <xf numFmtId="0" fontId="7" fillId="0" borderId="0" xfId="0" applyFont="1" applyBorder="1" applyAlignment="1">
      <alignment horizontal="center"/>
    </xf>
    <xf numFmtId="0" fontId="4" fillId="24" borderId="14" xfId="0" applyFont="1" applyFill="1" applyBorder="1" applyAlignment="1">
      <alignment horizontal="right" vertical="center"/>
    </xf>
    <xf numFmtId="0" fontId="29" fillId="0" borderId="0" xfId="0" applyFont="1" applyAlignment="1">
      <alignment horizontal="left"/>
    </xf>
    <xf numFmtId="0" fontId="29" fillId="0" borderId="0" xfId="0" applyFont="1" applyAlignment="1">
      <alignment horizontal="left" vertical="center"/>
    </xf>
    <xf numFmtId="0" fontId="4" fillId="0" borderId="0" xfId="0" applyFont="1" applyAlignment="1">
      <alignment horizontal="right" vertical="center"/>
    </xf>
    <xf numFmtId="0" fontId="29" fillId="0" borderId="0" xfId="0" applyFont="1" applyFill="1" applyBorder="1" applyAlignment="1" applyProtection="1">
      <alignment vertical="center"/>
      <protection locked="0"/>
    </xf>
    <xf numFmtId="0" fontId="4" fillId="0" borderId="0" xfId="0" applyFont="1" applyBorder="1"/>
    <xf numFmtId="0" fontId="29" fillId="25" borderId="0" xfId="0" applyFont="1" applyFill="1" applyBorder="1" applyAlignment="1">
      <alignment horizontal="center"/>
    </xf>
    <xf numFmtId="0" fontId="29" fillId="0" borderId="10" xfId="0" applyFont="1" applyBorder="1"/>
    <xf numFmtId="0" fontId="29" fillId="0" borderId="0" xfId="0" applyFont="1" applyBorder="1"/>
    <xf numFmtId="0" fontId="29" fillId="0" borderId="17" xfId="0" applyFont="1" applyBorder="1"/>
    <xf numFmtId="0" fontId="29" fillId="0" borderId="0" xfId="0" applyFont="1" applyBorder="1" applyAlignment="1">
      <alignment horizontal="center"/>
    </xf>
    <xf numFmtId="0" fontId="3" fillId="28" borderId="10" xfId="0" applyFont="1" applyFill="1" applyBorder="1"/>
    <xf numFmtId="0" fontId="3" fillId="24" borderId="10" xfId="0" applyFont="1" applyFill="1" applyBorder="1"/>
    <xf numFmtId="0" fontId="29" fillId="0" borderId="19" xfId="0" applyFont="1" applyBorder="1"/>
    <xf numFmtId="0" fontId="29" fillId="0" borderId="20" xfId="0" applyFont="1" applyBorder="1"/>
    <xf numFmtId="0" fontId="29" fillId="0" borderId="21" xfId="0" applyFont="1" applyBorder="1"/>
    <xf numFmtId="0" fontId="29" fillId="0" borderId="12" xfId="0" applyFont="1" applyBorder="1" applyProtection="1">
      <protection locked="0"/>
    </xf>
    <xf numFmtId="0" fontId="29" fillId="0" borderId="15" xfId="0" applyFont="1" applyBorder="1" applyAlignment="1">
      <alignment horizontal="left"/>
    </xf>
    <xf numFmtId="1" fontId="29" fillId="0" borderId="0" xfId="0" applyNumberFormat="1" applyFont="1" applyAlignment="1">
      <alignment horizontal="right"/>
    </xf>
    <xf numFmtId="1" fontId="29" fillId="0" borderId="0" xfId="0" applyNumberFormat="1" applyFont="1"/>
    <xf numFmtId="1" fontId="29" fillId="0" borderId="0" xfId="0" applyNumberFormat="1" applyFont="1" applyAlignment="1">
      <alignment horizontal="left"/>
    </xf>
    <xf numFmtId="0" fontId="29" fillId="0" borderId="12" xfId="0" applyFont="1" applyBorder="1" applyAlignment="1">
      <alignment horizontal="left"/>
    </xf>
    <xf numFmtId="0" fontId="29" fillId="0" borderId="15" xfId="0" applyFont="1" applyBorder="1"/>
    <xf numFmtId="0" fontId="29" fillId="0" borderId="12" xfId="0" applyFont="1" applyBorder="1" applyAlignment="1">
      <alignment horizontal="right"/>
    </xf>
    <xf numFmtId="0" fontId="29" fillId="0" borderId="12" xfId="0" applyFont="1" applyBorder="1"/>
    <xf numFmtId="0" fontId="29" fillId="0" borderId="15" xfId="0" applyFont="1" applyBorder="1" applyAlignment="1">
      <alignment horizontal="right"/>
    </xf>
    <xf numFmtId="0" fontId="29" fillId="0" borderId="0" xfId="0" applyFont="1" applyProtection="1">
      <protection locked="0"/>
    </xf>
    <xf numFmtId="0" fontId="29" fillId="0" borderId="13" xfId="0" applyFont="1" applyBorder="1" applyProtection="1">
      <protection locked="0"/>
    </xf>
    <xf numFmtId="0" fontId="29" fillId="0" borderId="14" xfId="0" applyFont="1" applyBorder="1" applyAlignment="1">
      <alignment horizontal="left"/>
    </xf>
    <xf numFmtId="0" fontId="3" fillId="0" borderId="0" xfId="0" applyFont="1" applyAlignment="1">
      <alignment horizontal="left"/>
    </xf>
    <xf numFmtId="0" fontId="0" fillId="0" borderId="0" xfId="0" applyProtection="1">
      <protection locked="0"/>
    </xf>
    <xf numFmtId="0" fontId="29" fillId="0" borderId="13" xfId="0" applyFont="1" applyBorder="1"/>
    <xf numFmtId="0" fontId="29" fillId="0" borderId="14" xfId="0" applyFont="1" applyBorder="1"/>
    <xf numFmtId="0" fontId="29" fillId="0" borderId="13" xfId="0" applyFont="1" applyBorder="1" applyAlignment="1">
      <alignment horizontal="right"/>
    </xf>
    <xf numFmtId="0" fontId="29" fillId="0" borderId="14" xfId="0" applyFont="1" applyFill="1" applyBorder="1"/>
    <xf numFmtId="0" fontId="29" fillId="0" borderId="0" xfId="0" applyFont="1" applyBorder="1" applyAlignment="1">
      <alignment horizontal="right"/>
    </xf>
    <xf numFmtId="0" fontId="29" fillId="0" borderId="14" xfId="0" applyFont="1" applyBorder="1" applyAlignment="1">
      <alignment horizontal="center"/>
    </xf>
    <xf numFmtId="0" fontId="29" fillId="24" borderId="0" xfId="0" applyFont="1" applyFill="1" applyProtection="1">
      <protection locked="0"/>
    </xf>
    <xf numFmtId="0" fontId="29" fillId="0" borderId="14" xfId="0" applyFont="1" applyBorder="1" applyAlignment="1">
      <alignment horizontal="right"/>
    </xf>
    <xf numFmtId="0" fontId="29" fillId="0" borderId="14" xfId="0" applyFont="1" applyBorder="1" applyProtection="1">
      <protection locked="0"/>
    </xf>
    <xf numFmtId="0" fontId="29" fillId="0" borderId="16" xfId="0" applyFont="1" applyBorder="1"/>
    <xf numFmtId="0" fontId="29" fillId="0" borderId="18" xfId="0" applyFont="1" applyBorder="1"/>
    <xf numFmtId="0" fontId="29" fillId="0" borderId="16" xfId="0" applyFont="1" applyBorder="1" applyAlignment="1">
      <alignment horizontal="right"/>
    </xf>
    <xf numFmtId="0" fontId="29" fillId="0" borderId="18" xfId="0" applyFont="1" applyFill="1" applyBorder="1"/>
    <xf numFmtId="0" fontId="29" fillId="0" borderId="17" xfId="0" applyFont="1" applyBorder="1" applyAlignment="1">
      <alignment horizontal="right"/>
    </xf>
    <xf numFmtId="0" fontId="29" fillId="0" borderId="16" xfId="0" applyFont="1" applyBorder="1" applyProtection="1">
      <protection locked="0"/>
    </xf>
    <xf numFmtId="0" fontId="29" fillId="0" borderId="18" xfId="0" applyFont="1" applyBorder="1" applyAlignment="1">
      <alignment horizontal="left"/>
    </xf>
    <xf numFmtId="0" fontId="29" fillId="24" borderId="10" xfId="0" applyFont="1" applyFill="1" applyBorder="1" applyAlignment="1">
      <alignment horizontal="right"/>
    </xf>
    <xf numFmtId="0" fontId="29" fillId="24" borderId="10" xfId="0" applyFont="1" applyFill="1" applyBorder="1"/>
    <xf numFmtId="0" fontId="3" fillId="24" borderId="10" xfId="0" applyFont="1" applyFill="1" applyBorder="1" applyAlignment="1">
      <alignment horizontal="right"/>
    </xf>
    <xf numFmtId="0" fontId="29" fillId="24" borderId="15" xfId="0" applyFont="1" applyFill="1" applyBorder="1"/>
    <xf numFmtId="0" fontId="29" fillId="24" borderId="13" xfId="0" applyFont="1" applyFill="1" applyBorder="1"/>
    <xf numFmtId="0" fontId="29" fillId="24" borderId="0" xfId="0" applyFont="1" applyFill="1" applyBorder="1"/>
    <xf numFmtId="0" fontId="29" fillId="24" borderId="0" xfId="0" applyFont="1" applyFill="1" applyBorder="1" applyAlignment="1">
      <alignment horizontal="right"/>
    </xf>
    <xf numFmtId="0" fontId="29" fillId="24" borderId="14" xfId="0" applyFont="1" applyFill="1" applyBorder="1"/>
    <xf numFmtId="0" fontId="29" fillId="0" borderId="16" xfId="0" applyFont="1" applyBorder="1" applyAlignment="1">
      <alignment horizontal="left"/>
    </xf>
    <xf numFmtId="0" fontId="29" fillId="31" borderId="0" xfId="0" applyFont="1" applyFill="1" applyAlignment="1">
      <alignment horizontal="center"/>
    </xf>
    <xf numFmtId="0" fontId="29" fillId="24" borderId="0" xfId="0" applyFont="1" applyFill="1" applyAlignment="1">
      <alignment horizontal="left"/>
    </xf>
    <xf numFmtId="0" fontId="29" fillId="24" borderId="16" xfId="0" applyFont="1" applyFill="1" applyBorder="1"/>
    <xf numFmtId="0" fontId="29" fillId="24" borderId="17" xfId="0" applyFont="1" applyFill="1" applyBorder="1"/>
    <xf numFmtId="0" fontId="29" fillId="24" borderId="17" xfId="0" applyFont="1" applyFill="1" applyBorder="1" applyAlignment="1">
      <alignment horizontal="right"/>
    </xf>
    <xf numFmtId="0" fontId="29" fillId="24" borderId="18" xfId="0" applyFont="1" applyFill="1" applyBorder="1"/>
    <xf numFmtId="0" fontId="29" fillId="0" borderId="14" xfId="0" applyFont="1" applyBorder="1" applyAlignment="1" applyProtection="1">
      <alignment horizontal="right"/>
      <protection locked="0"/>
    </xf>
    <xf numFmtId="0" fontId="29" fillId="0" borderId="0" xfId="0" applyFont="1" applyBorder="1" applyAlignment="1" applyProtection="1">
      <alignment horizontal="right"/>
      <protection locked="0"/>
    </xf>
    <xf numFmtId="0" fontId="29" fillId="32" borderId="0" xfId="0" applyFont="1" applyFill="1" applyAlignment="1">
      <alignment horizontal="center"/>
    </xf>
    <xf numFmtId="0" fontId="29" fillId="24" borderId="0" xfId="0" applyFont="1" applyFill="1" applyAlignment="1" applyProtection="1">
      <alignment horizontal="left"/>
      <protection locked="0"/>
    </xf>
    <xf numFmtId="0" fontId="29" fillId="27" borderId="10" xfId="0" applyFont="1" applyFill="1" applyBorder="1" applyAlignment="1">
      <alignment horizontal="right"/>
    </xf>
    <xf numFmtId="0" fontId="29" fillId="27" borderId="10" xfId="0" applyFont="1" applyFill="1" applyBorder="1"/>
    <xf numFmtId="0" fontId="29" fillId="27" borderId="15" xfId="0" applyFont="1" applyFill="1" applyBorder="1"/>
    <xf numFmtId="0" fontId="29" fillId="0" borderId="18" xfId="0" applyFont="1" applyBorder="1" applyAlignment="1" applyProtection="1">
      <alignment horizontal="right"/>
      <protection locked="0"/>
    </xf>
    <xf numFmtId="0" fontId="29" fillId="0" borderId="0" xfId="0" applyFont="1" applyFill="1" applyBorder="1" applyAlignment="1">
      <alignment horizontal="center"/>
    </xf>
    <xf numFmtId="0" fontId="29" fillId="28" borderId="0" xfId="0" applyFont="1" applyFill="1" applyBorder="1"/>
    <xf numFmtId="1" fontId="29" fillId="28" borderId="0" xfId="0" applyNumberFormat="1" applyFont="1" applyFill="1" applyBorder="1"/>
    <xf numFmtId="0" fontId="29" fillId="25" borderId="0" xfId="0" applyFont="1" applyFill="1"/>
    <xf numFmtId="0" fontId="29" fillId="28" borderId="0" xfId="0" applyFont="1" applyFill="1"/>
    <xf numFmtId="0" fontId="29" fillId="30" borderId="0" xfId="0" applyFont="1" applyFill="1"/>
    <xf numFmtId="0" fontId="29" fillId="27" borderId="13" xfId="0" applyFont="1" applyFill="1" applyBorder="1"/>
    <xf numFmtId="0" fontId="4" fillId="27" borderId="0" xfId="0" quotePrefix="1" applyFont="1" applyFill="1" applyBorder="1" applyAlignment="1">
      <alignment horizontal="right"/>
    </xf>
    <xf numFmtId="0" fontId="29" fillId="27" borderId="0" xfId="0" applyFont="1" applyFill="1" applyBorder="1"/>
    <xf numFmtId="0" fontId="29" fillId="27" borderId="0" xfId="0" applyFont="1" applyFill="1"/>
    <xf numFmtId="0" fontId="29" fillId="27" borderId="14" xfId="0" applyFont="1" applyFill="1" applyBorder="1"/>
    <xf numFmtId="0" fontId="29" fillId="0" borderId="0" xfId="0" applyNumberFormat="1" applyFont="1"/>
    <xf numFmtId="0" fontId="29" fillId="0" borderId="0" xfId="0" quotePrefix="1" applyFont="1" applyFill="1" applyBorder="1"/>
    <xf numFmtId="0" fontId="29" fillId="0" borderId="0" xfId="0" applyFont="1" applyFill="1" applyBorder="1"/>
    <xf numFmtId="0" fontId="29" fillId="28" borderId="0" xfId="0" applyFont="1" applyFill="1" applyAlignment="1">
      <alignment horizontal="center"/>
    </xf>
    <xf numFmtId="0" fontId="29" fillId="30" borderId="0" xfId="0" applyFont="1" applyFill="1" applyAlignment="1">
      <alignment horizontal="center"/>
    </xf>
    <xf numFmtId="0" fontId="29" fillId="27" borderId="0" xfId="0" applyFont="1" applyFill="1" applyBorder="1" applyAlignment="1">
      <alignment horizontal="right"/>
    </xf>
    <xf numFmtId="0" fontId="29" fillId="27" borderId="0" xfId="0" applyFont="1" applyFill="1" applyBorder="1" applyAlignment="1">
      <alignment horizontal="right" vertical="center"/>
    </xf>
    <xf numFmtId="0" fontId="29" fillId="27" borderId="0" xfId="0" applyFont="1" applyFill="1" applyAlignment="1">
      <alignment horizontal="right"/>
    </xf>
    <xf numFmtId="0" fontId="4" fillId="27" borderId="0" xfId="0" applyFont="1" applyFill="1" applyBorder="1" applyAlignment="1">
      <alignment horizontal="right" vertical="center"/>
    </xf>
    <xf numFmtId="0" fontId="29" fillId="27" borderId="16" xfId="0" applyFont="1" applyFill="1" applyBorder="1"/>
    <xf numFmtId="0" fontId="29" fillId="27" borderId="17" xfId="0" applyFont="1" applyFill="1" applyBorder="1"/>
    <xf numFmtId="0" fontId="2" fillId="27" borderId="17" xfId="0" applyFont="1" applyFill="1" applyBorder="1" applyAlignment="1">
      <alignment horizontal="right"/>
    </xf>
    <xf numFmtId="0" fontId="29" fillId="27" borderId="18" xfId="0" applyFont="1" applyFill="1" applyBorder="1"/>
    <xf numFmtId="0" fontId="29" fillId="0" borderId="0" xfId="0" applyFont="1" applyAlignment="1" applyProtection="1">
      <alignment horizontal="left"/>
      <protection locked="0"/>
    </xf>
    <xf numFmtId="0" fontId="7" fillId="0" borderId="0" xfId="0" applyFont="1" applyBorder="1" applyAlignment="1">
      <alignment horizontal="left"/>
    </xf>
    <xf numFmtId="0" fontId="62" fillId="0" borderId="0" xfId="0" applyFont="1" applyFill="1" applyBorder="1" applyAlignment="1">
      <alignment horizontal="right"/>
    </xf>
    <xf numFmtId="0" fontId="62" fillId="0" borderId="0" xfId="0" applyFont="1" applyFill="1" applyBorder="1" applyAlignment="1" applyProtection="1">
      <alignment horizontal="right"/>
      <protection locked="0"/>
    </xf>
    <xf numFmtId="0" fontId="60" fillId="0" borderId="0" xfId="0" applyFont="1" applyFill="1" applyBorder="1" applyAlignment="1">
      <alignment horizontal="right"/>
    </xf>
    <xf numFmtId="0" fontId="29" fillId="0" borderId="0" xfId="0" applyFont="1" applyAlignment="1" applyProtection="1">
      <alignment horizontal="left"/>
    </xf>
    <xf numFmtId="0" fontId="29" fillId="28" borderId="10" xfId="0" applyFont="1" applyFill="1" applyBorder="1"/>
    <xf numFmtId="0" fontId="29" fillId="28" borderId="15" xfId="0" applyFont="1" applyFill="1" applyBorder="1"/>
    <xf numFmtId="0" fontId="29" fillId="28" borderId="13" xfId="0" applyFont="1" applyFill="1" applyBorder="1"/>
    <xf numFmtId="0" fontId="29" fillId="28" borderId="14" xfId="0" applyFont="1" applyFill="1" applyBorder="1"/>
    <xf numFmtId="0" fontId="29" fillId="28" borderId="0" xfId="0" applyFont="1" applyFill="1" applyBorder="1" applyAlignment="1">
      <alignment horizontal="right"/>
    </xf>
    <xf numFmtId="2" fontId="29" fillId="0" borderId="0" xfId="0" applyNumberFormat="1" applyFont="1" applyFill="1" applyBorder="1" applyAlignment="1">
      <alignment horizontal="right"/>
    </xf>
    <xf numFmtId="0" fontId="29" fillId="28" borderId="16" xfId="0" applyFont="1" applyFill="1" applyBorder="1"/>
    <xf numFmtId="0" fontId="29" fillId="28" borderId="17" xfId="0" applyFont="1" applyFill="1" applyBorder="1"/>
    <xf numFmtId="0" fontId="29" fillId="28" borderId="18" xfId="0" applyFont="1" applyFill="1" applyBorder="1"/>
    <xf numFmtId="0" fontId="7" fillId="0" borderId="0" xfId="0" applyFont="1" applyFill="1" applyBorder="1" applyAlignment="1">
      <alignment horizontal="left"/>
    </xf>
    <xf numFmtId="9" fontId="29" fillId="0" borderId="18" xfId="0" applyNumberFormat="1" applyFont="1" applyBorder="1"/>
    <xf numFmtId="0" fontId="89" fillId="0" borderId="0" xfId="0" applyFont="1"/>
    <xf numFmtId="0" fontId="34" fillId="27" borderId="12" xfId="0" applyFont="1" applyFill="1" applyBorder="1"/>
    <xf numFmtId="0" fontId="75" fillId="27" borderId="10" xfId="0" applyFont="1" applyFill="1" applyBorder="1"/>
    <xf numFmtId="0" fontId="75" fillId="27" borderId="15" xfId="0" applyFont="1" applyFill="1" applyBorder="1"/>
    <xf numFmtId="0" fontId="75" fillId="27" borderId="13" xfId="0" applyFont="1" applyFill="1" applyBorder="1"/>
    <xf numFmtId="0" fontId="75" fillId="27" borderId="0" xfId="0" applyFont="1" applyFill="1" applyBorder="1"/>
    <xf numFmtId="0" fontId="75" fillId="27" borderId="14" xfId="0" applyFont="1" applyFill="1" applyBorder="1"/>
    <xf numFmtId="0" fontId="10" fillId="27" borderId="0" xfId="0" applyFont="1" applyFill="1" applyBorder="1" applyAlignment="1">
      <alignment horizontal="right"/>
    </xf>
    <xf numFmtId="0" fontId="75" fillId="0" borderId="0" xfId="0" applyFont="1" applyFill="1" applyBorder="1"/>
    <xf numFmtId="0" fontId="75" fillId="27" borderId="16" xfId="0" applyFont="1" applyFill="1" applyBorder="1"/>
    <xf numFmtId="0" fontId="0" fillId="27" borderId="17" xfId="0" applyFill="1" applyBorder="1"/>
    <xf numFmtId="0" fontId="75" fillId="27" borderId="17" xfId="0" applyFont="1" applyFill="1" applyBorder="1"/>
    <xf numFmtId="0" fontId="75" fillId="27" borderId="18" xfId="0" applyFont="1" applyFill="1" applyBorder="1"/>
    <xf numFmtId="0" fontId="75" fillId="0" borderId="12" xfId="0" applyFont="1" applyBorder="1"/>
    <xf numFmtId="0" fontId="75" fillId="0" borderId="15" xfId="0" applyFont="1" applyBorder="1"/>
    <xf numFmtId="0" fontId="33" fillId="0" borderId="0" xfId="0" applyFont="1" applyFill="1" applyBorder="1" applyAlignment="1">
      <alignment vertical="center"/>
    </xf>
    <xf numFmtId="0" fontId="75" fillId="0" borderId="16" xfId="0" applyFont="1" applyBorder="1"/>
    <xf numFmtId="0" fontId="75" fillId="0" borderId="18" xfId="0" applyNumberFormat="1" applyFont="1" applyBorder="1"/>
    <xf numFmtId="0" fontId="33" fillId="0" borderId="0" xfId="0" applyFont="1" applyAlignment="1">
      <alignment vertical="center"/>
    </xf>
    <xf numFmtId="0" fontId="38" fillId="24" borderId="12" xfId="0" applyFont="1" applyFill="1" applyBorder="1"/>
    <xf numFmtId="0" fontId="75" fillId="24" borderId="10" xfId="0" applyFont="1" applyFill="1" applyBorder="1"/>
    <xf numFmtId="0" fontId="75" fillId="24" borderId="15" xfId="0" applyFont="1" applyFill="1" applyBorder="1" applyAlignment="1">
      <alignment horizontal="center"/>
    </xf>
    <xf numFmtId="0" fontId="75" fillId="24" borderId="13" xfId="0" applyFont="1" applyFill="1" applyBorder="1"/>
    <xf numFmtId="0" fontId="75" fillId="24" borderId="0" xfId="0" applyFont="1" applyFill="1" applyBorder="1"/>
    <xf numFmtId="0" fontId="75" fillId="24" borderId="0" xfId="0" applyFont="1" applyFill="1" applyBorder="1" applyAlignment="1">
      <alignment horizontal="center"/>
    </xf>
    <xf numFmtId="0" fontId="75" fillId="24" borderId="14" xfId="0" applyFont="1" applyFill="1" applyBorder="1"/>
    <xf numFmtId="0" fontId="75" fillId="32" borderId="13" xfId="0" applyFont="1" applyFill="1" applyBorder="1"/>
    <xf numFmtId="0" fontId="75" fillId="0" borderId="14" xfId="0" applyFont="1" applyBorder="1"/>
    <xf numFmtId="0" fontId="75" fillId="32" borderId="13" xfId="0" applyFont="1" applyFill="1" applyBorder="1" applyAlignment="1">
      <alignment horizontal="center"/>
    </xf>
    <xf numFmtId="0" fontId="0" fillId="24" borderId="13" xfId="0" applyFill="1" applyBorder="1"/>
    <xf numFmtId="0" fontId="0" fillId="24" borderId="0" xfId="0" applyFill="1" applyBorder="1"/>
    <xf numFmtId="0" fontId="75" fillId="24" borderId="0" xfId="0" applyFont="1" applyFill="1"/>
    <xf numFmtId="0" fontId="75" fillId="24" borderId="14" xfId="0" applyFont="1" applyFill="1" applyBorder="1" applyAlignment="1">
      <alignment horizontal="center"/>
    </xf>
    <xf numFmtId="0" fontId="75" fillId="0" borderId="13" xfId="0" applyFont="1" applyBorder="1" applyAlignment="1">
      <alignment horizontal="center"/>
    </xf>
    <xf numFmtId="0" fontId="75" fillId="0" borderId="14" xfId="0" applyFont="1" applyBorder="1" applyAlignment="1">
      <alignment horizontal="center"/>
    </xf>
    <xf numFmtId="0" fontId="90" fillId="24" borderId="0" xfId="0" applyFont="1" applyFill="1" applyBorder="1" applyAlignment="1">
      <alignment horizontal="right"/>
    </xf>
    <xf numFmtId="0" fontId="38" fillId="24" borderId="0" xfId="0" applyFont="1" applyFill="1" applyBorder="1" applyAlignment="1">
      <alignment horizontal="center"/>
    </xf>
    <xf numFmtId="0" fontId="34" fillId="24" borderId="0" xfId="0" applyFont="1" applyFill="1" applyBorder="1" applyAlignment="1">
      <alignment horizontal="left"/>
    </xf>
    <xf numFmtId="0" fontId="34" fillId="24" borderId="14" xfId="0" applyFont="1" applyFill="1" applyBorder="1" applyAlignment="1">
      <alignment horizontal="left"/>
    </xf>
    <xf numFmtId="0" fontId="75" fillId="0" borderId="13" xfId="0" applyFont="1" applyBorder="1"/>
    <xf numFmtId="0" fontId="75" fillId="0" borderId="14" xfId="0" applyNumberFormat="1" applyFont="1" applyBorder="1" applyProtection="1">
      <protection locked="0"/>
    </xf>
    <xf numFmtId="0" fontId="75" fillId="24" borderId="16" xfId="0" applyFont="1" applyFill="1" applyBorder="1"/>
    <xf numFmtId="0" fontId="75" fillId="24" borderId="17" xfId="0" applyFont="1" applyFill="1" applyBorder="1"/>
    <xf numFmtId="0" fontId="75" fillId="24" borderId="18" xfId="0" applyFont="1" applyFill="1" applyBorder="1"/>
    <xf numFmtId="0" fontId="38" fillId="25" borderId="12" xfId="0" applyFont="1" applyFill="1" applyBorder="1"/>
    <xf numFmtId="0" fontId="75" fillId="25" borderId="10" xfId="0" applyFont="1" applyFill="1" applyBorder="1"/>
    <xf numFmtId="0" fontId="75" fillId="25" borderId="15" xfId="0" applyFont="1" applyFill="1" applyBorder="1" applyAlignment="1">
      <alignment horizontal="center"/>
    </xf>
    <xf numFmtId="0" fontId="75" fillId="25" borderId="13" xfId="0" applyFont="1" applyFill="1" applyBorder="1"/>
    <xf numFmtId="0" fontId="75" fillId="25" borderId="0" xfId="0" applyFont="1" applyFill="1" applyBorder="1"/>
    <xf numFmtId="0" fontId="75" fillId="25" borderId="0" xfId="0" applyFont="1" applyFill="1" applyBorder="1" applyAlignment="1">
      <alignment horizontal="center"/>
    </xf>
    <xf numFmtId="0" fontId="75" fillId="25" borderId="14" xfId="0" applyFont="1" applyFill="1" applyBorder="1"/>
    <xf numFmtId="0" fontId="0" fillId="25" borderId="13" xfId="0" applyFill="1" applyBorder="1"/>
    <xf numFmtId="0" fontId="75" fillId="25" borderId="0" xfId="0" applyFont="1" applyFill="1"/>
    <xf numFmtId="0" fontId="75" fillId="25" borderId="14" xfId="0" applyFont="1" applyFill="1" applyBorder="1" applyAlignment="1">
      <alignment horizontal="center"/>
    </xf>
    <xf numFmtId="0" fontId="90" fillId="25" borderId="0" xfId="0" applyFont="1" applyFill="1" applyBorder="1" applyAlignment="1">
      <alignment horizontal="right"/>
    </xf>
    <xf numFmtId="0" fontId="38" fillId="25" borderId="0" xfId="0" applyFont="1" applyFill="1" applyBorder="1" applyAlignment="1">
      <alignment horizontal="center"/>
    </xf>
    <xf numFmtId="0" fontId="34" fillId="25" borderId="0" xfId="0" applyFont="1" applyFill="1" applyBorder="1" applyAlignment="1">
      <alignment horizontal="left"/>
    </xf>
    <xf numFmtId="0" fontId="34" fillId="25" borderId="14" xfId="0" applyFont="1" applyFill="1" applyBorder="1" applyAlignment="1">
      <alignment horizontal="left"/>
    </xf>
    <xf numFmtId="0" fontId="75" fillId="25" borderId="16" xfId="0" applyFont="1" applyFill="1" applyBorder="1"/>
    <xf numFmtId="0" fontId="75" fillId="25" borderId="17" xfId="0" applyFont="1" applyFill="1" applyBorder="1"/>
    <xf numFmtId="0" fontId="75" fillId="25" borderId="18" xfId="0" applyFont="1" applyFill="1" applyBorder="1"/>
    <xf numFmtId="0" fontId="75" fillId="0" borderId="18" xfId="0" applyFont="1" applyBorder="1"/>
    <xf numFmtId="0" fontId="89" fillId="0" borderId="0" xfId="0" applyFont="1" applyAlignment="1">
      <alignment horizontal="left" vertical="top"/>
    </xf>
    <xf numFmtId="0" fontId="91" fillId="0" borderId="0" xfId="0" applyFont="1" applyAlignment="1">
      <alignment vertical="center"/>
    </xf>
    <xf numFmtId="0" fontId="74" fillId="0" borderId="0" xfId="0" applyFont="1" applyAlignment="1">
      <alignment horizontal="right"/>
    </xf>
    <xf numFmtId="0" fontId="4" fillId="0" borderId="0" xfId="0" applyFont="1" applyAlignment="1">
      <alignment horizontal="center"/>
    </xf>
    <xf numFmtId="2" fontId="29" fillId="24" borderId="0" xfId="0" applyNumberFormat="1" applyFont="1" applyFill="1" applyProtection="1">
      <protection locked="0"/>
    </xf>
    <xf numFmtId="49" fontId="7" fillId="0" borderId="0" xfId="0" applyNumberFormat="1" applyFont="1" applyBorder="1" applyAlignment="1">
      <alignment horizontal="right"/>
    </xf>
    <xf numFmtId="0" fontId="29" fillId="0" borderId="0" xfId="0" applyFont="1" applyFill="1"/>
    <xf numFmtId="0" fontId="29" fillId="0" borderId="0" xfId="0" applyFont="1" applyProtection="1"/>
    <xf numFmtId="0" fontId="7" fillId="24" borderId="12" xfId="0" applyFont="1" applyFill="1" applyBorder="1" applyAlignment="1">
      <alignment horizontal="center" vertical="center"/>
    </xf>
    <xf numFmtId="0" fontId="29" fillId="24" borderId="10" xfId="0" applyFont="1" applyFill="1" applyBorder="1" applyAlignment="1">
      <alignment horizontal="right" vertical="center"/>
    </xf>
    <xf numFmtId="0" fontId="64" fillId="24" borderId="10" xfId="0" applyFont="1" applyFill="1" applyBorder="1" applyAlignment="1">
      <alignment horizontal="right"/>
    </xf>
    <xf numFmtId="0" fontId="29" fillId="0" borderId="11" xfId="0" applyFont="1" applyFill="1" applyBorder="1" applyAlignment="1" applyProtection="1">
      <alignment vertical="center"/>
    </xf>
    <xf numFmtId="0" fontId="29" fillId="0" borderId="0" xfId="0" applyFont="1" applyAlignment="1" applyProtection="1">
      <alignment vertical="center"/>
      <protection locked="0"/>
    </xf>
    <xf numFmtId="0" fontId="4" fillId="0" borderId="0" xfId="0" applyFont="1" applyAlignment="1">
      <alignment horizontal="center" vertical="center"/>
    </xf>
    <xf numFmtId="0" fontId="29" fillId="0" borderId="0" xfId="0" applyFont="1" applyBorder="1" applyAlignment="1">
      <alignment vertical="center"/>
    </xf>
    <xf numFmtId="0" fontId="3" fillId="24" borderId="13" xfId="0" applyFont="1" applyFill="1" applyBorder="1" applyAlignment="1">
      <alignment horizontal="left" vertical="center"/>
    </xf>
    <xf numFmtId="0" fontId="69" fillId="0" borderId="0" xfId="0" applyFont="1" applyFill="1" applyBorder="1" applyAlignment="1">
      <alignment horizontal="right"/>
    </xf>
    <xf numFmtId="0" fontId="64" fillId="0" borderId="0" xfId="0" applyFont="1" applyBorder="1"/>
    <xf numFmtId="0" fontId="29" fillId="24" borderId="0" xfId="0" applyFont="1" applyFill="1" applyBorder="1" applyAlignment="1">
      <alignment horizontal="right" vertical="center"/>
    </xf>
    <xf numFmtId="0" fontId="64" fillId="24" borderId="0" xfId="0" applyFont="1" applyFill="1" applyBorder="1" applyAlignment="1">
      <alignment horizontal="right"/>
    </xf>
    <xf numFmtId="0" fontId="29" fillId="0" borderId="20" xfId="0" applyFont="1" applyFill="1" applyBorder="1" applyAlignment="1" applyProtection="1">
      <alignment vertical="center"/>
    </xf>
    <xf numFmtId="0" fontId="29" fillId="24" borderId="24" xfId="0" applyFont="1" applyFill="1" applyBorder="1" applyAlignment="1" applyProtection="1">
      <alignment vertical="center"/>
    </xf>
    <xf numFmtId="0" fontId="29" fillId="0" borderId="0" xfId="0" applyFont="1" applyFill="1" applyBorder="1" applyAlignment="1" applyProtection="1">
      <alignment vertical="center"/>
    </xf>
    <xf numFmtId="1" fontId="29" fillId="0" borderId="0" xfId="0" applyNumberFormat="1" applyFont="1" applyFill="1" applyBorder="1" applyAlignment="1">
      <alignment horizontal="right"/>
    </xf>
    <xf numFmtId="0" fontId="29" fillId="0" borderId="0" xfId="0" applyFont="1" applyAlignment="1">
      <alignment horizontal="right" vertical="center"/>
    </xf>
    <xf numFmtId="0" fontId="29" fillId="0" borderId="0" xfId="0" applyFont="1" applyAlignment="1">
      <alignment vertical="center"/>
    </xf>
    <xf numFmtId="0" fontId="29" fillId="0" borderId="0" xfId="0" applyFont="1" applyAlignment="1" applyProtection="1">
      <alignment vertical="center"/>
    </xf>
    <xf numFmtId="0" fontId="62" fillId="0" borderId="0" xfId="0" applyFont="1" applyAlignment="1">
      <alignment horizontal="left"/>
    </xf>
    <xf numFmtId="0" fontId="10" fillId="0" borderId="0" xfId="0" applyFont="1" applyBorder="1"/>
    <xf numFmtId="0" fontId="29" fillId="24" borderId="24" xfId="0" applyFont="1" applyFill="1" applyBorder="1" applyAlignment="1" applyProtection="1">
      <alignment vertical="center"/>
      <protection locked="0"/>
    </xf>
    <xf numFmtId="0" fontId="69" fillId="0" borderId="0" xfId="0" applyFont="1" applyFill="1" applyBorder="1"/>
    <xf numFmtId="0" fontId="69" fillId="24" borderId="17" xfId="0" applyFont="1" applyFill="1" applyBorder="1" applyAlignment="1">
      <alignment horizontal="center"/>
    </xf>
    <xf numFmtId="0" fontId="62" fillId="0" borderId="0" xfId="0" applyFont="1" applyAlignment="1">
      <alignment horizontal="right"/>
    </xf>
    <xf numFmtId="0" fontId="7" fillId="25" borderId="12" xfId="0" applyFont="1" applyFill="1" applyBorder="1" applyAlignment="1">
      <alignment horizontal="center"/>
    </xf>
    <xf numFmtId="0" fontId="3" fillId="25" borderId="10" xfId="0" applyFont="1" applyFill="1" applyBorder="1"/>
    <xf numFmtId="0" fontId="29" fillId="25" borderId="10" xfId="0" applyFont="1" applyFill="1" applyBorder="1"/>
    <xf numFmtId="0" fontId="0" fillId="25" borderId="10" xfId="0" applyFill="1" applyBorder="1"/>
    <xf numFmtId="0" fontId="69" fillId="25" borderId="15" xfId="0" applyFont="1" applyFill="1" applyBorder="1"/>
    <xf numFmtId="0" fontId="69" fillId="0" borderId="14" xfId="0" applyFont="1" applyFill="1" applyBorder="1"/>
    <xf numFmtId="0" fontId="65" fillId="0" borderId="13" xfId="0" applyFont="1" applyBorder="1" applyAlignment="1">
      <alignment horizontal="right"/>
    </xf>
    <xf numFmtId="0" fontId="29" fillId="0" borderId="0" xfId="0" applyFont="1" applyFill="1" applyProtection="1">
      <protection locked="0"/>
    </xf>
    <xf numFmtId="0" fontId="29" fillId="0" borderId="0" xfId="0" applyFont="1" applyBorder="1" applyProtection="1">
      <protection locked="0"/>
    </xf>
    <xf numFmtId="0" fontId="60" fillId="0" borderId="0" xfId="0" applyFont="1" applyBorder="1"/>
    <xf numFmtId="0" fontId="29" fillId="25" borderId="13" xfId="0" applyFont="1" applyFill="1" applyBorder="1"/>
    <xf numFmtId="0" fontId="29" fillId="25" borderId="0" xfId="0" applyFont="1" applyFill="1" applyBorder="1" applyAlignment="1">
      <alignment horizontal="left"/>
    </xf>
    <xf numFmtId="0" fontId="29" fillId="25" borderId="0" xfId="0" applyFont="1" applyFill="1" applyBorder="1"/>
    <xf numFmtId="0" fontId="10" fillId="25" borderId="0" xfId="0" applyFont="1" applyFill="1" applyBorder="1" applyAlignment="1">
      <alignment horizontal="right"/>
    </xf>
    <xf numFmtId="0" fontId="90" fillId="0" borderId="11" xfId="0" applyFont="1" applyFill="1" applyBorder="1" applyProtection="1">
      <protection locked="0"/>
    </xf>
    <xf numFmtId="0" fontId="3" fillId="25" borderId="0" xfId="0" applyFont="1" applyFill="1" applyBorder="1" applyAlignment="1">
      <alignment horizontal="right"/>
    </xf>
    <xf numFmtId="0" fontId="29" fillId="25" borderId="14" xfId="0" applyFont="1" applyFill="1" applyBorder="1"/>
    <xf numFmtId="0" fontId="29" fillId="25" borderId="16" xfId="0" applyFont="1" applyFill="1" applyBorder="1"/>
    <xf numFmtId="0" fontId="29" fillId="25" borderId="17" xfId="0" applyFont="1" applyFill="1" applyBorder="1"/>
    <xf numFmtId="0" fontId="29" fillId="25" borderId="17" xfId="0" applyFont="1" applyFill="1" applyBorder="1" applyAlignment="1">
      <alignment horizontal="right"/>
    </xf>
    <xf numFmtId="0" fontId="29" fillId="0" borderId="17" xfId="0" applyFont="1" applyFill="1" applyBorder="1"/>
    <xf numFmtId="0" fontId="29" fillId="25" borderId="18" xfId="0" applyFont="1" applyFill="1" applyBorder="1"/>
    <xf numFmtId="1" fontId="29" fillId="25" borderId="15" xfId="0" applyNumberFormat="1" applyFont="1" applyFill="1" applyBorder="1" applyAlignment="1">
      <alignment horizontal="right"/>
    </xf>
    <xf numFmtId="0" fontId="29" fillId="0" borderId="0" xfId="0" applyFont="1" applyBorder="1" applyAlignment="1">
      <alignment horizontal="left"/>
    </xf>
    <xf numFmtId="0" fontId="7" fillId="27" borderId="12" xfId="0" applyFont="1" applyFill="1" applyBorder="1" applyAlignment="1">
      <alignment horizontal="center"/>
    </xf>
    <xf numFmtId="0" fontId="3" fillId="27" borderId="10" xfId="0" applyFont="1" applyFill="1" applyBorder="1" applyAlignment="1">
      <alignment horizontal="left"/>
    </xf>
    <xf numFmtId="0" fontId="29" fillId="27" borderId="0" xfId="0" applyFont="1" applyFill="1" applyBorder="1" applyAlignment="1"/>
    <xf numFmtId="0" fontId="33" fillId="0" borderId="0" xfId="0" applyFont="1" applyFill="1" applyBorder="1" applyAlignment="1">
      <alignment horizontal="right"/>
    </xf>
    <xf numFmtId="1" fontId="29" fillId="25" borderId="14" xfId="0" applyNumberFormat="1" applyFont="1" applyFill="1" applyBorder="1" applyAlignment="1">
      <alignment horizontal="right"/>
    </xf>
    <xf numFmtId="0" fontId="60" fillId="0" borderId="0" xfId="0" applyFont="1" applyAlignment="1">
      <alignment horizontal="right"/>
    </xf>
    <xf numFmtId="0" fontId="69" fillId="27" borderId="0" xfId="0" applyFont="1" applyFill="1" applyBorder="1" applyAlignment="1">
      <alignment vertical="top"/>
    </xf>
    <xf numFmtId="0" fontId="29" fillId="33" borderId="0" xfId="0" applyFont="1" applyFill="1" applyBorder="1"/>
    <xf numFmtId="0" fontId="29" fillId="33" borderId="0" xfId="0" applyFont="1" applyFill="1" applyBorder="1" applyAlignment="1">
      <alignment horizontal="center"/>
    </xf>
    <xf numFmtId="0" fontId="29" fillId="0" borderId="0" xfId="0" applyFont="1" applyAlignment="1" applyProtection="1">
      <alignment horizontal="right"/>
    </xf>
    <xf numFmtId="0" fontId="29" fillId="27" borderId="17" xfId="0" applyFont="1" applyFill="1" applyBorder="1" applyAlignment="1">
      <alignment horizontal="left"/>
    </xf>
    <xf numFmtId="1" fontId="29" fillId="25" borderId="18" xfId="0" applyNumberFormat="1" applyFont="1" applyFill="1" applyBorder="1" applyAlignment="1">
      <alignment horizontal="right"/>
    </xf>
    <xf numFmtId="0" fontId="3" fillId="0" borderId="0" xfId="0" applyFont="1" applyBorder="1" applyAlignment="1">
      <alignment horizontal="center"/>
    </xf>
    <xf numFmtId="0" fontId="29" fillId="0" borderId="0" xfId="0" applyNumberFormat="1" applyFont="1" applyProtection="1"/>
    <xf numFmtId="0" fontId="7" fillId="24" borderId="12" xfId="0" applyFont="1" applyFill="1" applyBorder="1" applyAlignment="1">
      <alignment horizontal="center"/>
    </xf>
    <xf numFmtId="1" fontId="29" fillId="27" borderId="14" xfId="0" applyNumberFormat="1" applyFont="1" applyFill="1" applyBorder="1"/>
    <xf numFmtId="168" fontId="29" fillId="0" borderId="0" xfId="0" applyNumberFormat="1" applyFont="1"/>
    <xf numFmtId="0" fontId="29" fillId="0" borderId="0" xfId="0" applyNumberFormat="1" applyFont="1" applyBorder="1" applyProtection="1">
      <protection locked="0"/>
    </xf>
    <xf numFmtId="0" fontId="29" fillId="24" borderId="14" xfId="0" applyFont="1" applyFill="1" applyBorder="1" applyAlignment="1">
      <alignment horizontal="right" vertical="top"/>
    </xf>
    <xf numFmtId="0" fontId="29" fillId="24" borderId="14" xfId="0" applyFont="1" applyFill="1" applyBorder="1" applyAlignment="1">
      <alignment horizontal="right"/>
    </xf>
    <xf numFmtId="1" fontId="29" fillId="27" borderId="18" xfId="0" applyNumberFormat="1" applyFont="1" applyFill="1" applyBorder="1"/>
    <xf numFmtId="0" fontId="56" fillId="24" borderId="14" xfId="0" applyFont="1" applyFill="1" applyBorder="1" applyAlignment="1">
      <alignment horizontal="right"/>
    </xf>
    <xf numFmtId="0" fontId="56" fillId="24" borderId="14" xfId="0" applyFont="1" applyFill="1" applyBorder="1"/>
    <xf numFmtId="0" fontId="7" fillId="24" borderId="13" xfId="0" applyFont="1" applyFill="1" applyBorder="1" applyAlignment="1">
      <alignment horizontal="center"/>
    </xf>
    <xf numFmtId="0" fontId="69" fillId="24" borderId="14" xfId="0" applyFont="1" applyFill="1" applyBorder="1" applyAlignment="1">
      <alignment horizontal="right"/>
    </xf>
    <xf numFmtId="0" fontId="0" fillId="24" borderId="14" xfId="0" applyFill="1" applyBorder="1"/>
    <xf numFmtId="168" fontId="29" fillId="0" borderId="17" xfId="0" applyNumberFormat="1" applyFont="1" applyBorder="1"/>
    <xf numFmtId="49" fontId="7" fillId="24" borderId="14" xfId="0" applyNumberFormat="1" applyFont="1" applyFill="1" applyBorder="1" applyAlignment="1">
      <alignment horizontal="right"/>
    </xf>
    <xf numFmtId="0" fontId="29" fillId="26" borderId="0" xfId="0" applyFont="1" applyFill="1"/>
    <xf numFmtId="0" fontId="29" fillId="34" borderId="0" xfId="0" applyFont="1" applyFill="1"/>
    <xf numFmtId="0" fontId="0" fillId="24" borderId="16" xfId="0" applyFill="1" applyBorder="1"/>
    <xf numFmtId="0" fontId="0" fillId="24" borderId="18" xfId="0" applyFill="1" applyBorder="1"/>
    <xf numFmtId="0" fontId="29" fillId="0" borderId="18" xfId="0" applyFont="1" applyBorder="1" applyAlignment="1">
      <alignment horizontal="right"/>
    </xf>
    <xf numFmtId="0" fontId="3" fillId="30" borderId="27" xfId="0" applyFont="1" applyFill="1" applyBorder="1" applyAlignment="1">
      <alignment horizontal="center"/>
    </xf>
    <xf numFmtId="0" fontId="3" fillId="26" borderId="27" xfId="0" applyFont="1" applyFill="1" applyBorder="1" applyAlignment="1">
      <alignment horizontal="center"/>
    </xf>
    <xf numFmtId="0" fontId="3" fillId="34" borderId="27" xfId="0" applyFont="1" applyFill="1" applyBorder="1" applyAlignment="1">
      <alignment horizontal="center"/>
    </xf>
    <xf numFmtId="0" fontId="29" fillId="0" borderId="20" xfId="0" applyFont="1" applyBorder="1" applyAlignment="1">
      <alignment horizontal="right"/>
    </xf>
    <xf numFmtId="0" fontId="0" fillId="0" borderId="0" xfId="0" applyFill="1" applyBorder="1"/>
    <xf numFmtId="0" fontId="29" fillId="0" borderId="21" xfId="0" applyFont="1" applyBorder="1" applyAlignment="1">
      <alignment horizontal="left"/>
    </xf>
    <xf numFmtId="0" fontId="29" fillId="24" borderId="27" xfId="0" applyFont="1" applyFill="1" applyBorder="1"/>
    <xf numFmtId="0" fontId="29" fillId="0" borderId="27" xfId="0" applyFont="1" applyBorder="1"/>
    <xf numFmtId="0" fontId="29" fillId="0" borderId="27" xfId="0" applyFont="1" applyBorder="1" applyAlignment="1">
      <alignment horizontal="right"/>
    </xf>
    <xf numFmtId="0" fontId="93" fillId="0" borderId="0" xfId="0" applyFont="1" applyAlignment="1">
      <alignment vertical="center"/>
    </xf>
    <xf numFmtId="2" fontId="29" fillId="0" borderId="0" xfId="0" applyNumberFormat="1" applyFont="1"/>
    <xf numFmtId="2" fontId="29" fillId="0" borderId="0" xfId="0" applyNumberFormat="1" applyFont="1" applyAlignment="1">
      <alignment horizontal="right"/>
    </xf>
    <xf numFmtId="2" fontId="29" fillId="0" borderId="0" xfId="0" applyNumberFormat="1" applyFont="1" applyAlignment="1">
      <alignment vertical="center"/>
    </xf>
    <xf numFmtId="0" fontId="4" fillId="0" borderId="20" xfId="0" applyFont="1" applyBorder="1" applyAlignment="1">
      <alignment horizontal="right" vertical="center"/>
    </xf>
    <xf numFmtId="0" fontId="29" fillId="0" borderId="21" xfId="0" applyFont="1" applyFill="1" applyBorder="1" applyAlignment="1">
      <alignment vertical="center"/>
    </xf>
    <xf numFmtId="0" fontId="94" fillId="0" borderId="19" xfId="0" applyFont="1" applyBorder="1" applyAlignment="1">
      <alignment horizontal="right"/>
    </xf>
    <xf numFmtId="2" fontId="95" fillId="0" borderId="19" xfId="0" applyNumberFormat="1" applyFont="1" applyBorder="1"/>
    <xf numFmtId="0" fontId="97" fillId="0" borderId="12" xfId="0" applyFont="1" applyBorder="1" applyAlignment="1">
      <alignment horizontal="right"/>
    </xf>
    <xf numFmtId="0" fontId="93" fillId="0" borderId="15" xfId="0" applyFont="1" applyBorder="1"/>
    <xf numFmtId="0" fontId="29" fillId="0" borderId="15" xfId="0" applyFont="1" applyBorder="1" applyAlignment="1">
      <alignment horizontal="center"/>
    </xf>
    <xf numFmtId="10" fontId="57" fillId="0" borderId="0" xfId="0" applyNumberFormat="1" applyFont="1"/>
    <xf numFmtId="0" fontId="4" fillId="0" borderId="0" xfId="0" applyFont="1" applyBorder="1" applyAlignment="1">
      <alignment horizontal="center"/>
    </xf>
    <xf numFmtId="0" fontId="4" fillId="0" borderId="12" xfId="0" applyFont="1" applyBorder="1" applyAlignment="1">
      <alignment horizontal="right"/>
    </xf>
    <xf numFmtId="0" fontId="29" fillId="35" borderId="0" xfId="0" applyFont="1" applyFill="1" applyBorder="1" applyAlignment="1">
      <alignment horizontal="right"/>
    </xf>
    <xf numFmtId="0" fontId="4" fillId="0" borderId="0" xfId="0" applyFont="1" applyBorder="1" applyAlignment="1">
      <alignment horizontal="right"/>
    </xf>
    <xf numFmtId="10" fontId="56" fillId="0" borderId="0" xfId="0" applyNumberFormat="1" applyFont="1" applyBorder="1"/>
    <xf numFmtId="0" fontId="29" fillId="0" borderId="12" xfId="0" applyFont="1" applyBorder="1" applyAlignment="1">
      <alignment horizontal="center"/>
    </xf>
    <xf numFmtId="0" fontId="56" fillId="0" borderId="0" xfId="0" applyFont="1" applyAlignment="1">
      <alignment horizontal="right"/>
    </xf>
    <xf numFmtId="2" fontId="56" fillId="0" borderId="0" xfId="0" applyNumberFormat="1" applyFont="1"/>
    <xf numFmtId="167" fontId="29" fillId="0" borderId="0" xfId="0" applyNumberFormat="1" applyFont="1"/>
    <xf numFmtId="0" fontId="29" fillId="0" borderId="0" xfId="0" applyFont="1" applyAlignment="1" applyProtection="1">
      <alignment horizontal="right" vertical="center"/>
      <protection locked="0"/>
    </xf>
    <xf numFmtId="167" fontId="56" fillId="0" borderId="0" xfId="0" applyNumberFormat="1" applyFont="1"/>
    <xf numFmtId="0" fontId="29" fillId="0" borderId="19" xfId="0" applyFont="1" applyBorder="1" applyAlignment="1">
      <alignment horizontal="right"/>
    </xf>
    <xf numFmtId="0" fontId="29" fillId="0" borderId="21" xfId="0" applyNumberFormat="1" applyFont="1" applyBorder="1"/>
    <xf numFmtId="0" fontId="4" fillId="0" borderId="21" xfId="0" applyFont="1" applyBorder="1"/>
    <xf numFmtId="0" fontId="29" fillId="0" borderId="10" xfId="0" applyFont="1" applyBorder="1" applyAlignment="1">
      <alignment horizontal="right"/>
    </xf>
    <xf numFmtId="1" fontId="29" fillId="0" borderId="12" xfId="0" applyNumberFormat="1" applyFont="1" applyBorder="1"/>
    <xf numFmtId="1" fontId="29" fillId="0" borderId="16" xfId="0" applyNumberFormat="1" applyFont="1" applyBorder="1"/>
    <xf numFmtId="0" fontId="4" fillId="0" borderId="0" xfId="0" applyFont="1" applyAlignment="1">
      <alignment horizontal="left"/>
    </xf>
    <xf numFmtId="1" fontId="29" fillId="0" borderId="18" xfId="0" applyNumberFormat="1" applyFont="1" applyBorder="1"/>
    <xf numFmtId="0" fontId="29" fillId="0" borderId="13" xfId="0" applyFont="1" applyBorder="1" applyAlignment="1">
      <alignment horizontal="center"/>
    </xf>
    <xf numFmtId="0" fontId="29" fillId="0" borderId="16" xfId="0" applyFont="1" applyBorder="1" applyAlignment="1">
      <alignment horizontal="center"/>
    </xf>
    <xf numFmtId="0" fontId="29" fillId="0" borderId="18" xfId="0" applyFont="1" applyBorder="1" applyAlignment="1">
      <alignment horizontal="center"/>
    </xf>
    <xf numFmtId="10" fontId="29" fillId="0" borderId="0" xfId="0" applyNumberFormat="1" applyFont="1"/>
    <xf numFmtId="169" fontId="29" fillId="0" borderId="0" xfId="0" applyNumberFormat="1" applyFont="1"/>
    <xf numFmtId="0" fontId="4" fillId="0" borderId="15" xfId="0" applyFont="1" applyBorder="1" applyAlignment="1">
      <alignment horizontal="center"/>
    </xf>
    <xf numFmtId="0" fontId="98" fillId="0" borderId="14" xfId="0" applyFont="1" applyBorder="1" applyProtection="1">
      <protection locked="0"/>
    </xf>
    <xf numFmtId="0" fontId="94" fillId="0" borderId="17" xfId="0" applyFont="1" applyBorder="1" applyAlignment="1">
      <alignment horizontal="right"/>
    </xf>
    <xf numFmtId="0" fontId="29" fillId="0" borderId="17" xfId="0" applyFont="1" applyBorder="1" applyProtection="1">
      <protection locked="0"/>
    </xf>
    <xf numFmtId="0" fontId="34" fillId="29" borderId="12" xfId="0" applyFont="1" applyFill="1" applyBorder="1"/>
    <xf numFmtId="0" fontId="75" fillId="29" borderId="10" xfId="0" applyFont="1" applyFill="1" applyBorder="1"/>
    <xf numFmtId="0" fontId="75" fillId="29" borderId="15" xfId="0" applyFont="1" applyFill="1" applyBorder="1"/>
    <xf numFmtId="0" fontId="75" fillId="29" borderId="13" xfId="0" applyFont="1" applyFill="1" applyBorder="1"/>
    <xf numFmtId="0" fontId="75" fillId="29" borderId="0" xfId="0" applyFont="1" applyFill="1" applyBorder="1"/>
    <xf numFmtId="0" fontId="34" fillId="29" borderId="0" xfId="0" applyFont="1" applyFill="1" applyBorder="1" applyAlignment="1">
      <alignment horizontal="left"/>
    </xf>
    <xf numFmtId="0" fontId="75" fillId="29" borderId="14" xfId="0" applyFont="1" applyFill="1" applyBorder="1"/>
    <xf numFmtId="0" fontId="75" fillId="29" borderId="16" xfId="0" applyFont="1" applyFill="1" applyBorder="1"/>
    <xf numFmtId="0" fontId="75" fillId="29" borderId="17" xfId="0" applyFont="1" applyFill="1" applyBorder="1"/>
    <xf numFmtId="0" fontId="75" fillId="29" borderId="18" xfId="0" applyFont="1" applyFill="1" applyBorder="1"/>
    <xf numFmtId="0" fontId="75" fillId="0" borderId="0" xfId="0" applyFont="1" applyFill="1"/>
    <xf numFmtId="0" fontId="75" fillId="0" borderId="11" xfId="0" applyFont="1" applyFill="1" applyBorder="1" applyProtection="1">
      <protection locked="0"/>
    </xf>
    <xf numFmtId="0" fontId="50" fillId="28" borderId="0" xfId="0" applyNumberFormat="1" applyFont="1" applyFill="1" applyBorder="1" applyAlignment="1">
      <alignment horizontal="right"/>
    </xf>
    <xf numFmtId="0" fontId="2" fillId="28" borderId="0" xfId="0" applyFont="1" applyFill="1" applyBorder="1" applyAlignment="1">
      <alignment horizontal="right"/>
    </xf>
    <xf numFmtId="0" fontId="4" fillId="30" borderId="0" xfId="0" applyNumberFormat="1" applyFont="1" applyFill="1" applyBorder="1" applyAlignment="1">
      <alignment horizontal="right"/>
    </xf>
    <xf numFmtId="0" fontId="42" fillId="0" borderId="23" xfId="0" applyNumberFormat="1" applyFont="1" applyFill="1" applyBorder="1" applyAlignment="1">
      <alignment vertical="center"/>
    </xf>
    <xf numFmtId="0" fontId="51" fillId="30" borderId="14" xfId="0" applyNumberFormat="1" applyFont="1" applyFill="1" applyBorder="1" applyAlignment="1">
      <alignment horizontal="right"/>
    </xf>
    <xf numFmtId="0" fontId="42" fillId="0" borderId="21" xfId="0" applyNumberFormat="1" applyFont="1" applyFill="1" applyBorder="1" applyAlignment="1">
      <alignment vertical="center"/>
    </xf>
    <xf numFmtId="0" fontId="4" fillId="30" borderId="0" xfId="0" applyFont="1" applyFill="1" applyAlignment="1"/>
    <xf numFmtId="0" fontId="2" fillId="0" borderId="11" xfId="0" applyFont="1" applyBorder="1" applyAlignment="1">
      <alignment vertical="center"/>
    </xf>
    <xf numFmtId="0" fontId="42" fillId="24" borderId="0" xfId="0" applyNumberFormat="1" applyFont="1" applyFill="1" applyBorder="1" applyAlignment="1" applyProtection="1">
      <alignment horizontal="right" vertical="center"/>
    </xf>
    <xf numFmtId="0" fontId="43" fillId="24" borderId="0" xfId="0" applyNumberFormat="1" applyFont="1" applyFill="1" applyBorder="1" applyAlignment="1">
      <alignment vertical="center"/>
    </xf>
    <xf numFmtId="0" fontId="2" fillId="24" borderId="14" xfId="0" applyFont="1" applyFill="1" applyBorder="1" applyAlignment="1">
      <alignment vertical="center"/>
    </xf>
    <xf numFmtId="0" fontId="3" fillId="30" borderId="0" xfId="0" applyFont="1" applyFill="1" applyAlignment="1">
      <alignment vertical="center"/>
    </xf>
    <xf numFmtId="0" fontId="2" fillId="30" borderId="0" xfId="0" applyFont="1" applyFill="1" applyAlignment="1">
      <alignment vertical="center"/>
    </xf>
    <xf numFmtId="0" fontId="2" fillId="0" borderId="22" xfId="0" applyFont="1" applyFill="1" applyBorder="1" applyAlignment="1" applyProtection="1">
      <alignment vertical="center"/>
      <protection locked="0"/>
    </xf>
    <xf numFmtId="2" fontId="2" fillId="24" borderId="0" xfId="0" applyNumberFormat="1" applyFont="1" applyFill="1" applyBorder="1" applyAlignment="1">
      <alignment horizontal="center" vertical="center"/>
    </xf>
    <xf numFmtId="0" fontId="2" fillId="0" borderId="17" xfId="0" applyFont="1" applyFill="1" applyBorder="1" applyAlignment="1" applyProtection="1">
      <alignment horizontal="right" vertical="center"/>
    </xf>
    <xf numFmtId="0" fontId="70" fillId="0" borderId="11" xfId="0" applyNumberFormat="1" applyFont="1" applyBorder="1" applyAlignment="1">
      <alignment vertical="center"/>
    </xf>
    <xf numFmtId="0" fontId="2" fillId="24" borderId="0" xfId="0" applyFont="1" applyFill="1" applyBorder="1" applyAlignment="1">
      <alignment vertical="center"/>
    </xf>
    <xf numFmtId="0" fontId="2" fillId="24" borderId="17" xfId="0" applyFont="1" applyFill="1" applyBorder="1" applyAlignment="1">
      <alignment vertical="center"/>
    </xf>
    <xf numFmtId="0" fontId="2" fillId="24" borderId="18" xfId="0" applyFont="1" applyFill="1" applyBorder="1" applyAlignment="1">
      <alignment vertical="center"/>
    </xf>
    <xf numFmtId="0" fontId="2" fillId="0" borderId="0" xfId="0" applyFont="1" applyBorder="1" applyAlignment="1">
      <alignment vertical="center"/>
    </xf>
    <xf numFmtId="0" fontId="10" fillId="0" borderId="0" xfId="0" applyFont="1" applyAlignment="1">
      <alignment horizontal="right" vertical="center"/>
    </xf>
    <xf numFmtId="0" fontId="29" fillId="0" borderId="11" xfId="0" applyFont="1" applyFill="1" applyBorder="1" applyAlignment="1" applyProtection="1">
      <alignment vertical="center"/>
      <protection locked="0"/>
    </xf>
    <xf numFmtId="0" fontId="7" fillId="0" borderId="0" xfId="0" applyFont="1" applyAlignment="1">
      <alignment vertical="center"/>
    </xf>
    <xf numFmtId="0" fontId="7" fillId="0" borderId="0" xfId="0" applyNumberFormat="1" applyFont="1" applyAlignment="1">
      <alignment horizontal="right" vertical="center"/>
    </xf>
    <xf numFmtId="0" fontId="43" fillId="0" borderId="0" xfId="0" applyFont="1" applyAlignment="1">
      <alignment horizontal="right" vertical="center"/>
    </xf>
    <xf numFmtId="0" fontId="64" fillId="30" borderId="0" xfId="0" applyFont="1" applyFill="1" applyBorder="1" applyAlignment="1">
      <alignment horizontal="right"/>
    </xf>
    <xf numFmtId="1" fontId="63" fillId="0" borderId="0" xfId="0" applyNumberFormat="1" applyFont="1" applyBorder="1" applyAlignment="1">
      <alignment horizontal="right" vertical="center"/>
    </xf>
    <xf numFmtId="0" fontId="60" fillId="0" borderId="12" xfId="0" applyFont="1" applyBorder="1" applyAlignment="1">
      <alignment horizontal="left" vertical="center"/>
    </xf>
    <xf numFmtId="0" fontId="29" fillId="30" borderId="0" xfId="0" applyFont="1" applyFill="1" applyBorder="1" applyAlignment="1">
      <alignment horizontal="right"/>
    </xf>
    <xf numFmtId="171" fontId="90" fillId="0" borderId="17" xfId="0" applyNumberFormat="1" applyFont="1" applyBorder="1"/>
    <xf numFmtId="0" fontId="2" fillId="0" borderId="12" xfId="0" applyNumberFormat="1" applyFont="1" applyBorder="1"/>
    <xf numFmtId="2" fontId="42" fillId="0" borderId="13" xfId="0" applyNumberFormat="1" applyFont="1" applyFill="1" applyBorder="1"/>
    <xf numFmtId="0" fontId="2" fillId="0" borderId="0" xfId="0" applyFont="1" applyFill="1" applyBorder="1" applyProtection="1">
      <protection locked="0"/>
    </xf>
    <xf numFmtId="0" fontId="51" fillId="0" borderId="14" xfId="0" applyFont="1" applyFill="1" applyBorder="1" applyAlignment="1">
      <alignment horizontal="right"/>
    </xf>
    <xf numFmtId="0" fontId="51" fillId="0" borderId="0" xfId="0" applyFont="1" applyFill="1" applyBorder="1" applyAlignment="1" applyProtection="1">
      <alignment vertical="center"/>
      <protection locked="0"/>
    </xf>
    <xf numFmtId="0" fontId="42" fillId="0" borderId="25" xfId="0" applyNumberFormat="1" applyFont="1" applyBorder="1" applyAlignment="1" applyProtection="1">
      <alignment horizontal="center" vertical="center"/>
      <protection locked="0"/>
    </xf>
    <xf numFmtId="0" fontId="42" fillId="0" borderId="26" xfId="0" applyNumberFormat="1" applyFont="1" applyBorder="1" applyAlignment="1" applyProtection="1">
      <alignment horizontal="center" vertical="center"/>
      <protection locked="0"/>
    </xf>
    <xf numFmtId="0" fontId="42" fillId="0" borderId="25" xfId="0" applyNumberFormat="1" applyFont="1" applyBorder="1" applyAlignment="1" applyProtection="1">
      <alignment vertical="center"/>
      <protection locked="0"/>
    </xf>
    <xf numFmtId="0" fontId="42" fillId="0" borderId="26" xfId="0" applyNumberFormat="1" applyFont="1" applyBorder="1" applyAlignment="1" applyProtection="1">
      <alignment vertical="center"/>
      <protection locked="0"/>
    </xf>
    <xf numFmtId="0" fontId="42" fillId="24" borderId="0" xfId="0" applyNumberFormat="1" applyFont="1" applyFill="1" applyBorder="1" applyAlignment="1">
      <alignment vertical="center"/>
    </xf>
    <xf numFmtId="2" fontId="42" fillId="0" borderId="13" xfId="0" applyNumberFormat="1" applyFont="1" applyFill="1" applyBorder="1" applyAlignment="1">
      <alignment vertical="center"/>
    </xf>
    <xf numFmtId="2" fontId="42" fillId="0" borderId="18" xfId="0" applyNumberFormat="1" applyFont="1" applyFill="1" applyBorder="1" applyAlignment="1"/>
    <xf numFmtId="2" fontId="42" fillId="0" borderId="21" xfId="0" applyNumberFormat="1" applyFont="1" applyFill="1" applyBorder="1" applyAlignment="1"/>
    <xf numFmtId="2" fontId="42" fillId="0" borderId="15" xfId="0" applyNumberFormat="1" applyFont="1" applyFill="1" applyBorder="1" applyAlignment="1"/>
    <xf numFmtId="2" fontId="42" fillId="0" borderId="18" xfId="0" applyNumberFormat="1" applyFont="1" applyFill="1" applyBorder="1"/>
    <xf numFmtId="0" fontId="2" fillId="30" borderId="14" xfId="0" applyFont="1" applyFill="1" applyBorder="1" applyAlignment="1">
      <alignment horizontal="right" vertical="center"/>
    </xf>
    <xf numFmtId="0" fontId="42" fillId="0" borderId="22" xfId="0" applyNumberFormat="1" applyFont="1" applyFill="1" applyBorder="1" applyAlignment="1">
      <alignment vertical="center"/>
    </xf>
    <xf numFmtId="2" fontId="42" fillId="0" borderId="0" xfId="0" applyNumberFormat="1" applyFont="1" applyBorder="1"/>
    <xf numFmtId="2" fontId="42" fillId="0" borderId="0" xfId="0" applyNumberFormat="1" applyFont="1" applyFill="1" applyBorder="1"/>
    <xf numFmtId="0" fontId="101" fillId="0" borderId="0" xfId="0" applyFont="1"/>
    <xf numFmtId="0" fontId="101" fillId="0" borderId="12" xfId="0" applyFont="1" applyBorder="1"/>
    <xf numFmtId="0" fontId="101" fillId="0" borderId="16" xfId="0" applyFont="1" applyBorder="1"/>
    <xf numFmtId="0" fontId="101" fillId="31" borderId="12" xfId="0" applyFont="1" applyFill="1" applyBorder="1"/>
    <xf numFmtId="0" fontId="2" fillId="31" borderId="15" xfId="0" applyFont="1" applyFill="1" applyBorder="1"/>
    <xf numFmtId="0" fontId="101" fillId="31" borderId="16" xfId="0" applyFont="1" applyFill="1" applyBorder="1"/>
    <xf numFmtId="0" fontId="2" fillId="31" borderId="18" xfId="0" applyFont="1" applyFill="1" applyBorder="1"/>
    <xf numFmtId="0" fontId="2" fillId="0" borderId="10" xfId="0" applyFont="1" applyBorder="1" applyAlignment="1">
      <alignment horizontal="right"/>
    </xf>
    <xf numFmtId="0" fontId="101" fillId="0" borderId="15" xfId="0" applyFont="1" applyBorder="1"/>
    <xf numFmtId="0" fontId="101" fillId="0" borderId="18" xfId="0" applyFont="1" applyBorder="1"/>
    <xf numFmtId="0" fontId="101" fillId="0" borderId="19" xfId="0" applyFont="1" applyBorder="1"/>
    <xf numFmtId="0" fontId="101" fillId="0" borderId="21" xfId="0" applyFont="1" applyBorder="1"/>
    <xf numFmtId="0" fontId="101" fillId="0" borderId="20" xfId="0" applyFont="1" applyBorder="1" applyAlignment="1">
      <alignment horizontal="right"/>
    </xf>
    <xf numFmtId="2" fontId="2" fillId="0" borderId="15" xfId="0" applyNumberFormat="1" applyFont="1" applyBorder="1"/>
    <xf numFmtId="0" fontId="2" fillId="31" borderId="0" xfId="0" applyFont="1" applyFill="1"/>
    <xf numFmtId="0" fontId="2" fillId="0" borderId="19" xfId="0" applyFont="1" applyBorder="1" applyProtection="1">
      <protection locked="0"/>
    </xf>
    <xf numFmtId="0" fontId="2" fillId="0" borderId="21" xfId="0" applyFont="1" applyBorder="1" applyProtection="1">
      <protection locked="0"/>
    </xf>
    <xf numFmtId="0" fontId="2" fillId="0" borderId="0" xfId="0" applyFont="1" applyAlignment="1">
      <alignment horizontal="right" vertical="center"/>
    </xf>
    <xf numFmtId="0" fontId="2" fillId="0" borderId="0" xfId="0" quotePrefix="1" applyFont="1"/>
    <xf numFmtId="0" fontId="2" fillId="0" borderId="0" xfId="0" quotePrefix="1" applyFont="1" applyAlignment="1">
      <alignment vertical="center"/>
    </xf>
    <xf numFmtId="0" fontId="4" fillId="0" borderId="0" xfId="0" applyFont="1" applyAlignment="1">
      <alignment horizontal="right"/>
    </xf>
    <xf numFmtId="0" fontId="42" fillId="28" borderId="0" xfId="0" applyFont="1" applyFill="1" applyBorder="1" applyAlignment="1">
      <alignment horizontal="center"/>
    </xf>
    <xf numFmtId="0" fontId="2" fillId="28" borderId="0" xfId="0" applyNumberFormat="1" applyFont="1" applyFill="1" applyBorder="1" applyAlignment="1">
      <alignment horizontal="right" vertical="center"/>
    </xf>
    <xf numFmtId="0" fontId="2" fillId="25" borderId="0" xfId="0" applyFont="1" applyFill="1" applyBorder="1" applyProtection="1">
      <protection locked="0"/>
    </xf>
    <xf numFmtId="0" fontId="2" fillId="0" borderId="19" xfId="0" applyFont="1" applyBorder="1" applyAlignment="1">
      <alignment vertical="center"/>
    </xf>
    <xf numFmtId="0" fontId="2" fillId="0" borderId="21" xfId="0" applyFont="1" applyBorder="1" applyAlignment="1">
      <alignment vertical="center"/>
    </xf>
    <xf numFmtId="0" fontId="3" fillId="25" borderId="12" xfId="0" applyFont="1" applyFill="1" applyBorder="1" applyAlignment="1">
      <alignment horizontal="left" vertical="top"/>
    </xf>
    <xf numFmtId="0" fontId="10" fillId="25" borderId="13" xfId="0" applyFont="1" applyFill="1" applyBorder="1" applyAlignment="1">
      <alignment horizontal="right"/>
    </xf>
    <xf numFmtId="0" fontId="101" fillId="25" borderId="13" xfId="0" applyFont="1" applyFill="1" applyBorder="1" applyAlignment="1">
      <alignment horizontal="right" vertical="center"/>
    </xf>
    <xf numFmtId="0" fontId="65" fillId="25" borderId="0" xfId="0" applyFont="1" applyFill="1" applyBorder="1" applyAlignment="1">
      <alignment horizontal="left" vertical="center"/>
    </xf>
    <xf numFmtId="0" fontId="3" fillId="25" borderId="13" xfId="0" applyFont="1" applyFill="1" applyBorder="1" applyAlignment="1">
      <alignment horizontal="right"/>
    </xf>
    <xf numFmtId="0" fontId="3" fillId="25" borderId="0" xfId="0" applyFont="1" applyFill="1" applyBorder="1" applyAlignment="1">
      <alignment horizontal="center"/>
    </xf>
    <xf numFmtId="0" fontId="3" fillId="25" borderId="14" xfId="0" applyFont="1" applyFill="1" applyBorder="1"/>
    <xf numFmtId="49" fontId="7" fillId="25" borderId="12" xfId="0" applyNumberFormat="1" applyFont="1" applyFill="1" applyBorder="1" applyAlignment="1">
      <alignment horizontal="right" vertical="center"/>
    </xf>
    <xf numFmtId="0" fontId="2" fillId="25" borderId="14" xfId="0" applyFont="1" applyFill="1" applyBorder="1" applyAlignment="1">
      <alignment vertical="center"/>
    </xf>
    <xf numFmtId="0" fontId="2" fillId="25" borderId="14" xfId="0" applyFont="1" applyFill="1" applyBorder="1" applyAlignment="1">
      <alignment vertical="top"/>
    </xf>
    <xf numFmtId="0" fontId="101" fillId="25" borderId="0" xfId="0" applyFont="1" applyFill="1" applyBorder="1" applyAlignment="1">
      <alignment horizontal="right" vertical="center"/>
    </xf>
    <xf numFmtId="0" fontId="3" fillId="25" borderId="18" xfId="0" applyFont="1" applyFill="1" applyBorder="1"/>
    <xf numFmtId="0" fontId="2" fillId="29" borderId="0" xfId="0" applyFont="1" applyFill="1" applyProtection="1">
      <protection locked="0"/>
    </xf>
    <xf numFmtId="0" fontId="2" fillId="29" borderId="0" xfId="0" applyNumberFormat="1" applyFont="1" applyFill="1"/>
    <xf numFmtId="0" fontId="2" fillId="29" borderId="0" xfId="0" applyNumberFormat="1" applyFont="1" applyFill="1" applyAlignment="1">
      <alignment vertical="center"/>
    </xf>
    <xf numFmtId="0" fontId="2" fillId="24" borderId="0" xfId="0" applyFont="1" applyFill="1" applyBorder="1" applyAlignment="1">
      <alignment horizontal="left"/>
    </xf>
    <xf numFmtId="0" fontId="2" fillId="0" borderId="16" xfId="0" applyFont="1" applyBorder="1" applyAlignment="1" applyProtection="1">
      <alignment horizontal="left"/>
      <protection locked="0"/>
    </xf>
    <xf numFmtId="0" fontId="0" fillId="27" borderId="14" xfId="0" applyFill="1" applyBorder="1"/>
    <xf numFmtId="0" fontId="3" fillId="25" borderId="10" xfId="0" applyNumberFormat="1" applyFont="1" applyFill="1" applyBorder="1" applyAlignment="1">
      <alignment horizontal="right" vertical="center"/>
    </xf>
    <xf numFmtId="0" fontId="2" fillId="25" borderId="12" xfId="0" applyFont="1" applyFill="1" applyBorder="1"/>
    <xf numFmtId="0" fontId="3" fillId="25" borderId="10" xfId="0" applyFont="1" applyFill="1" applyBorder="1" applyAlignment="1">
      <alignment horizontal="center" vertical="top"/>
    </xf>
    <xf numFmtId="0" fontId="3" fillId="25" borderId="12" xfId="0" applyFont="1" applyFill="1" applyBorder="1" applyAlignment="1">
      <alignment horizontal="center" vertical="top"/>
    </xf>
    <xf numFmtId="0" fontId="29" fillId="0" borderId="21" xfId="0" applyFont="1" applyFill="1" applyBorder="1" applyAlignment="1">
      <alignment horizontal="right"/>
    </xf>
    <xf numFmtId="0" fontId="47" fillId="28" borderId="12" xfId="0" applyFont="1" applyFill="1" applyBorder="1" applyAlignment="1">
      <alignment horizontal="center"/>
    </xf>
    <xf numFmtId="49" fontId="7" fillId="30" borderId="12" xfId="0" applyNumberFormat="1" applyFont="1" applyFill="1" applyBorder="1" applyAlignment="1">
      <alignment horizontal="center"/>
    </xf>
    <xf numFmtId="0" fontId="7" fillId="29" borderId="12" xfId="0" applyFont="1" applyFill="1" applyBorder="1" applyAlignment="1">
      <alignment horizontal="center"/>
    </xf>
    <xf numFmtId="0" fontId="7" fillId="30" borderId="13" xfId="0" applyFont="1" applyFill="1" applyBorder="1" applyAlignment="1">
      <alignment horizontal="center" vertical="center"/>
    </xf>
    <xf numFmtId="0" fontId="7" fillId="0" borderId="13" xfId="0" applyFont="1" applyFill="1" applyBorder="1" applyAlignment="1">
      <alignment horizontal="center"/>
    </xf>
    <xf numFmtId="0" fontId="7" fillId="25" borderId="13" xfId="0" applyFont="1" applyFill="1" applyBorder="1" applyAlignment="1">
      <alignment horizontal="left"/>
    </xf>
    <xf numFmtId="0" fontId="7" fillId="30" borderId="0" xfId="0" applyFont="1" applyFill="1" applyBorder="1" applyAlignment="1">
      <alignment horizontal="right"/>
    </xf>
    <xf numFmtId="15" fontId="61" fillId="30" borderId="0" xfId="0" applyNumberFormat="1" applyFont="1" applyFill="1" applyBorder="1" applyAlignment="1">
      <alignment horizontal="left"/>
    </xf>
    <xf numFmtId="0" fontId="2" fillId="28" borderId="14" xfId="0" applyFont="1" applyFill="1" applyBorder="1" applyAlignment="1">
      <alignment horizontal="right"/>
    </xf>
    <xf numFmtId="0" fontId="4" fillId="28" borderId="14" xfId="0" applyFont="1" applyFill="1" applyBorder="1" applyAlignment="1">
      <alignment horizontal="right"/>
    </xf>
    <xf numFmtId="0" fontId="29" fillId="30" borderId="12" xfId="0" applyFont="1" applyFill="1" applyBorder="1"/>
    <xf numFmtId="0" fontId="29" fillId="30" borderId="10" xfId="0" applyFont="1" applyFill="1" applyBorder="1"/>
    <xf numFmtId="0" fontId="29" fillId="30" borderId="15" xfId="0" applyFont="1" applyFill="1" applyBorder="1"/>
    <xf numFmtId="0" fontId="29" fillId="30" borderId="13" xfId="0" applyFont="1" applyFill="1" applyBorder="1"/>
    <xf numFmtId="0" fontId="29" fillId="30" borderId="16" xfId="0" applyFont="1" applyFill="1" applyBorder="1"/>
    <xf numFmtId="0" fontId="29" fillId="30" borderId="17" xfId="0" applyFont="1" applyFill="1" applyBorder="1"/>
    <xf numFmtId="0" fontId="29" fillId="30" borderId="18" xfId="0" applyFont="1" applyFill="1" applyBorder="1"/>
    <xf numFmtId="0" fontId="50" fillId="25" borderId="10" xfId="0" applyFont="1" applyFill="1" applyBorder="1" applyAlignment="1">
      <alignment horizontal="right"/>
    </xf>
    <xf numFmtId="0" fontId="2" fillId="0" borderId="11" xfId="0" applyFont="1" applyFill="1" applyBorder="1" applyAlignment="1">
      <alignment horizontal="right" vertical="center"/>
    </xf>
    <xf numFmtId="0" fontId="42" fillId="0" borderId="11" xfId="0" applyFont="1" applyBorder="1" applyAlignment="1">
      <alignment vertical="center"/>
    </xf>
    <xf numFmtId="0" fontId="42" fillId="0" borderId="28" xfId="0" applyFont="1" applyFill="1" applyBorder="1" applyAlignment="1">
      <alignment vertical="center"/>
    </xf>
    <xf numFmtId="0" fontId="2" fillId="25" borderId="10" xfId="0" applyFont="1" applyFill="1" applyBorder="1" applyAlignment="1">
      <alignment vertical="center"/>
    </xf>
    <xf numFmtId="164" fontId="105" fillId="0" borderId="0" xfId="0" applyNumberFormat="1" applyFont="1" applyFill="1" applyBorder="1"/>
    <xf numFmtId="164" fontId="105" fillId="0" borderId="0" xfId="0" quotePrefix="1" applyNumberFormat="1" applyFont="1" applyFill="1" applyBorder="1" applyAlignment="1">
      <alignment horizontal="right"/>
    </xf>
    <xf numFmtId="164" fontId="2" fillId="0" borderId="28" xfId="0" applyNumberFormat="1" applyFont="1" applyFill="1" applyBorder="1"/>
    <xf numFmtId="0" fontId="4" fillId="25" borderId="10" xfId="0" applyFont="1" applyFill="1" applyBorder="1" applyAlignment="1">
      <alignment horizontal="right"/>
    </xf>
    <xf numFmtId="0" fontId="42" fillId="0" borderId="28" xfId="0" applyFont="1" applyBorder="1" applyAlignment="1">
      <alignment vertical="center"/>
    </xf>
    <xf numFmtId="164" fontId="105" fillId="0" borderId="0" xfId="0" applyNumberFormat="1" applyFont="1" applyFill="1" applyBorder="1" applyAlignment="1">
      <alignment horizontal="right"/>
    </xf>
    <xf numFmtId="0" fontId="2" fillId="25" borderId="0" xfId="0" applyFont="1" applyFill="1" applyBorder="1" applyAlignment="1">
      <alignment horizontal="left"/>
    </xf>
    <xf numFmtId="0" fontId="29" fillId="0" borderId="14" xfId="0" applyFont="1" applyFill="1" applyBorder="1" applyAlignment="1">
      <alignment horizontal="right"/>
    </xf>
    <xf numFmtId="0" fontId="106" fillId="25" borderId="0" xfId="0" applyFont="1" applyFill="1" applyBorder="1" applyAlignment="1">
      <alignment horizontal="right"/>
    </xf>
    <xf numFmtId="0" fontId="3" fillId="25" borderId="17" xfId="0" applyFont="1" applyFill="1" applyBorder="1" applyAlignment="1">
      <alignment horizontal="right"/>
    </xf>
    <xf numFmtId="0" fontId="3" fillId="25" borderId="17" xfId="0" applyFont="1" applyFill="1" applyBorder="1" applyAlignment="1">
      <alignment horizontal="center"/>
    </xf>
    <xf numFmtId="172" fontId="101" fillId="25" borderId="17" xfId="0" applyNumberFormat="1" applyFont="1" applyFill="1" applyBorder="1"/>
    <xf numFmtId="0" fontId="106" fillId="25" borderId="13" xfId="0" applyFont="1" applyFill="1" applyBorder="1" applyAlignment="1">
      <alignment horizontal="right" vertical="center"/>
    </xf>
    <xf numFmtId="0" fontId="101" fillId="0" borderId="0" xfId="0" applyFont="1" applyFill="1"/>
    <xf numFmtId="0" fontId="105" fillId="25" borderId="0" xfId="0" applyFont="1" applyFill="1" applyBorder="1" applyAlignment="1">
      <alignment horizontal="center" vertical="center"/>
    </xf>
    <xf numFmtId="0" fontId="105" fillId="25" borderId="0" xfId="0" applyFont="1" applyFill="1" applyBorder="1" applyAlignment="1">
      <alignment horizontal="center"/>
    </xf>
    <xf numFmtId="0" fontId="0" fillId="25" borderId="16" xfId="0" applyFill="1" applyBorder="1"/>
    <xf numFmtId="0" fontId="0" fillId="25" borderId="17" xfId="0" applyFill="1" applyBorder="1"/>
    <xf numFmtId="0" fontId="0" fillId="25" borderId="18" xfId="0" applyFill="1" applyBorder="1"/>
    <xf numFmtId="1" fontId="2" fillId="30" borderId="0" xfId="0" applyNumberFormat="1" applyFont="1" applyFill="1" applyBorder="1"/>
    <xf numFmtId="173" fontId="56" fillId="0" borderId="0" xfId="0" applyNumberFormat="1" applyFont="1" applyFill="1" applyBorder="1" applyAlignment="1">
      <alignment vertical="center"/>
    </xf>
    <xf numFmtId="0" fontId="3" fillId="25" borderId="13" xfId="0" applyFont="1" applyFill="1" applyBorder="1" applyAlignment="1">
      <alignment horizontal="left" vertical="top"/>
    </xf>
    <xf numFmtId="0" fontId="105" fillId="25" borderId="10" xfId="0" applyFont="1" applyFill="1" applyBorder="1" applyAlignment="1">
      <alignment horizontal="center" vertical="center"/>
    </xf>
    <xf numFmtId="49" fontId="7" fillId="28" borderId="12" xfId="0" applyNumberFormat="1" applyFont="1" applyFill="1" applyBorder="1" applyAlignment="1">
      <alignment horizontal="right" vertical="center"/>
    </xf>
    <xf numFmtId="0" fontId="2" fillId="28" borderId="14" xfId="0" applyFont="1" applyFill="1" applyBorder="1" applyAlignment="1">
      <alignment vertical="center"/>
    </xf>
    <xf numFmtId="0" fontId="2" fillId="28" borderId="14" xfId="0" applyFont="1" applyFill="1" applyBorder="1" applyAlignment="1">
      <alignment vertical="top"/>
    </xf>
    <xf numFmtId="0" fontId="3" fillId="28" borderId="15" xfId="0" applyFont="1" applyFill="1" applyBorder="1"/>
    <xf numFmtId="0" fontId="2" fillId="30" borderId="17" xfId="0" applyFont="1" applyFill="1" applyBorder="1" applyAlignment="1">
      <alignment vertical="center"/>
    </xf>
    <xf numFmtId="0" fontId="3" fillId="30" borderId="17" xfId="0" applyFont="1" applyFill="1" applyBorder="1" applyAlignment="1">
      <alignment horizontal="left" vertical="center"/>
    </xf>
    <xf numFmtId="0" fontId="3" fillId="30" borderId="18" xfId="0" applyFont="1" applyFill="1" applyBorder="1" applyAlignment="1">
      <alignment horizontal="left" vertical="center"/>
    </xf>
    <xf numFmtId="0" fontId="2" fillId="28" borderId="0" xfId="0" applyFont="1" applyFill="1" applyAlignment="1">
      <alignment horizontal="center"/>
    </xf>
    <xf numFmtId="0" fontId="2" fillId="28" borderId="0" xfId="0" applyFont="1" applyFill="1" applyAlignment="1">
      <alignment horizontal="right"/>
    </xf>
    <xf numFmtId="0" fontId="2" fillId="28" borderId="10" xfId="0" applyFont="1" applyFill="1" applyBorder="1" applyAlignment="1">
      <alignment horizontal="center"/>
    </xf>
    <xf numFmtId="0" fontId="64" fillId="28" borderId="0" xfId="0" applyFont="1" applyFill="1" applyBorder="1" applyAlignment="1">
      <alignment horizontal="right"/>
    </xf>
    <xf numFmtId="169" fontId="2" fillId="0" borderId="0" xfId="0" applyNumberFormat="1" applyFont="1" applyFill="1" applyBorder="1"/>
    <xf numFmtId="0" fontId="2" fillId="0" borderId="10" xfId="0" applyFont="1" applyBorder="1" applyProtection="1">
      <protection locked="0"/>
    </xf>
    <xf numFmtId="0" fontId="2" fillId="0" borderId="14" xfId="0" applyFont="1" applyBorder="1" applyAlignment="1">
      <alignment horizontal="center"/>
    </xf>
    <xf numFmtId="0" fontId="2" fillId="28" borderId="12" xfId="0" applyFont="1" applyFill="1" applyBorder="1"/>
    <xf numFmtId="174" fontId="2" fillId="0" borderId="0" xfId="0" applyNumberFormat="1" applyFont="1" applyFill="1" applyBorder="1"/>
    <xf numFmtId="174" fontId="2" fillId="0" borderId="29" xfId="0" applyNumberFormat="1" applyFont="1" applyFill="1" applyBorder="1"/>
    <xf numFmtId="174" fontId="2" fillId="36" borderId="0" xfId="0" applyNumberFormat="1" applyFont="1" applyFill="1" applyBorder="1" applyAlignment="1">
      <alignment horizontal="right"/>
    </xf>
    <xf numFmtId="0" fontId="7" fillId="24" borderId="12" xfId="0" applyFont="1" applyFill="1" applyBorder="1" applyAlignment="1">
      <alignment horizontal="left" vertical="center"/>
    </xf>
    <xf numFmtId="0" fontId="44" fillId="24" borderId="10" xfId="0" applyFont="1" applyFill="1" applyBorder="1" applyAlignment="1">
      <alignment horizontal="left" vertical="center"/>
    </xf>
    <xf numFmtId="0" fontId="7" fillId="30" borderId="13" xfId="0" applyFont="1" applyFill="1" applyBorder="1" applyAlignment="1">
      <alignment horizontal="left"/>
    </xf>
    <xf numFmtId="0" fontId="44" fillId="30" borderId="0" xfId="0" applyFont="1" applyFill="1" applyBorder="1" applyAlignment="1">
      <alignment horizontal="left"/>
    </xf>
    <xf numFmtId="0" fontId="7" fillId="30" borderId="0" xfId="0" applyFont="1" applyFill="1" applyBorder="1"/>
    <xf numFmtId="0" fontId="2" fillId="25" borderId="24" xfId="0" applyFont="1" applyFill="1" applyBorder="1"/>
    <xf numFmtId="164" fontId="107" fillId="25" borderId="17" xfId="0" applyNumberFormat="1" applyFont="1" applyFill="1" applyBorder="1"/>
    <xf numFmtId="0" fontId="3" fillId="25" borderId="0" xfId="0" applyFont="1" applyFill="1" applyBorder="1" applyAlignment="1">
      <alignment horizontal="center" vertical="top"/>
    </xf>
    <xf numFmtId="0" fontId="105" fillId="25" borderId="13" xfId="0" applyFont="1" applyFill="1" applyBorder="1" applyAlignment="1">
      <alignment horizontal="right"/>
    </xf>
    <xf numFmtId="0" fontId="105" fillId="25" borderId="0" xfId="0" applyFont="1" applyFill="1" applyBorder="1" applyAlignment="1">
      <alignment horizontal="right"/>
    </xf>
    <xf numFmtId="0" fontId="0" fillId="25" borderId="14" xfId="0" applyFill="1" applyBorder="1"/>
    <xf numFmtId="0" fontId="107" fillId="0" borderId="0" xfId="0" applyFont="1" applyFill="1" applyBorder="1" applyAlignment="1">
      <alignment vertical="center"/>
    </xf>
    <xf numFmtId="175" fontId="33" fillId="0" borderId="11" xfId="0" applyNumberFormat="1" applyFont="1" applyFill="1" applyBorder="1" applyAlignment="1">
      <alignment vertical="center"/>
    </xf>
    <xf numFmtId="176" fontId="75" fillId="0" borderId="0" xfId="0" applyNumberFormat="1" applyFont="1" applyFill="1" applyBorder="1" applyProtection="1">
      <protection locked="0"/>
    </xf>
    <xf numFmtId="174" fontId="90" fillId="0" borderId="0" xfId="0" applyNumberFormat="1" applyFont="1" applyBorder="1"/>
    <xf numFmtId="164" fontId="105" fillId="0" borderId="0" xfId="0" applyNumberFormat="1" applyFont="1" applyFill="1" applyBorder="1" applyAlignment="1">
      <alignment vertical="center"/>
    </xf>
    <xf numFmtId="177" fontId="2" fillId="0" borderId="11" xfId="0" applyNumberFormat="1" applyFont="1" applyFill="1" applyBorder="1"/>
    <xf numFmtId="178" fontId="79" fillId="0" borderId="21" xfId="0" applyNumberFormat="1" applyFont="1" applyFill="1" applyBorder="1" applyAlignment="1">
      <alignment vertical="center"/>
    </xf>
    <xf numFmtId="178" fontId="56" fillId="0" borderId="20" xfId="0" applyNumberFormat="1" applyFont="1" applyBorder="1"/>
    <xf numFmtId="179" fontId="2" fillId="0" borderId="20" xfId="0" applyNumberFormat="1" applyFont="1" applyFill="1" applyBorder="1" applyAlignment="1"/>
    <xf numFmtId="178" fontId="79" fillId="0" borderId="15" xfId="0" applyNumberFormat="1" applyFont="1" applyBorder="1"/>
    <xf numFmtId="179" fontId="56" fillId="0" borderId="0" xfId="0" applyNumberFormat="1" applyFont="1" applyFill="1" applyBorder="1" applyAlignment="1">
      <alignment vertical="center"/>
    </xf>
    <xf numFmtId="0" fontId="6" fillId="0" borderId="0" xfId="37" applyFont="1" applyProtection="1"/>
    <xf numFmtId="0" fontId="2" fillId="0" borderId="0" xfId="37" applyFont="1" applyProtection="1"/>
    <xf numFmtId="2" fontId="6" fillId="0" borderId="0" xfId="37" applyNumberFormat="1" applyFont="1" applyProtection="1"/>
    <xf numFmtId="2" fontId="2" fillId="0" borderId="0" xfId="37" applyNumberFormat="1" applyFont="1" applyProtection="1"/>
    <xf numFmtId="164" fontId="2" fillId="0" borderId="0" xfId="37" applyNumberFormat="1" applyFont="1" applyProtection="1"/>
    <xf numFmtId="1" fontId="2" fillId="0" borderId="0" xfId="37" applyNumberFormat="1" applyFont="1" applyProtection="1"/>
    <xf numFmtId="1" fontId="2" fillId="0" borderId="0" xfId="37" applyNumberFormat="1" applyFont="1" applyAlignment="1" applyProtection="1">
      <alignment horizontal="right"/>
    </xf>
    <xf numFmtId="1" fontId="2" fillId="0" borderId="0" xfId="37" applyNumberFormat="1" applyFont="1" applyAlignment="1" applyProtection="1">
      <alignment horizontal="left"/>
    </xf>
    <xf numFmtId="0" fontId="2" fillId="0" borderId="0" xfId="37" applyFont="1" applyFill="1" applyBorder="1" applyProtection="1">
      <protection locked="0"/>
    </xf>
    <xf numFmtId="0" fontId="2" fillId="0" borderId="0" xfId="37" applyFont="1" applyFill="1" applyBorder="1" applyProtection="1"/>
    <xf numFmtId="0" fontId="2" fillId="0" borderId="0" xfId="37" applyFont="1" applyFill="1" applyBorder="1" applyAlignment="1" applyProtection="1">
      <alignment horizontal="left"/>
    </xf>
    <xf numFmtId="0" fontId="2" fillId="0" borderId="0" xfId="0" applyFont="1" applyFill="1" applyBorder="1" applyProtection="1"/>
    <xf numFmtId="164" fontId="2" fillId="0" borderId="0" xfId="37" applyNumberFormat="1" applyFont="1" applyFill="1" applyBorder="1" applyProtection="1"/>
    <xf numFmtId="0" fontId="7" fillId="27" borderId="12" xfId="37" applyFont="1" applyFill="1" applyBorder="1" applyAlignment="1" applyProtection="1">
      <alignment horizontal="center"/>
    </xf>
    <xf numFmtId="0" fontId="3" fillId="27" borderId="10" xfId="37" applyFont="1" applyFill="1" applyBorder="1" applyAlignment="1" applyProtection="1">
      <alignment horizontal="left"/>
    </xf>
    <xf numFmtId="0" fontId="2" fillId="27" borderId="10" xfId="0" applyFont="1" applyFill="1" applyBorder="1" applyProtection="1"/>
    <xf numFmtId="164" fontId="2" fillId="27" borderId="10" xfId="37" applyNumberFormat="1" applyFont="1" applyFill="1" applyBorder="1" applyProtection="1"/>
    <xf numFmtId="0" fontId="2" fillId="27" borderId="10" xfId="37" applyFont="1" applyFill="1" applyBorder="1" applyProtection="1"/>
    <xf numFmtId="1" fontId="2" fillId="27" borderId="15" xfId="37" applyNumberFormat="1" applyFont="1" applyFill="1" applyBorder="1" applyAlignment="1" applyProtection="1">
      <alignment horizontal="right"/>
    </xf>
    <xf numFmtId="0" fontId="2" fillId="27" borderId="13" xfId="37" applyFont="1" applyFill="1" applyBorder="1" applyProtection="1"/>
    <xf numFmtId="0" fontId="2" fillId="27" borderId="0" xfId="37" applyFont="1" applyFill="1" applyBorder="1" applyProtection="1"/>
    <xf numFmtId="2" fontId="2" fillId="27" borderId="0" xfId="37" applyNumberFormat="1" applyFont="1" applyFill="1" applyBorder="1" applyProtection="1"/>
    <xf numFmtId="0" fontId="2" fillId="0" borderId="11" xfId="0" applyFont="1" applyFill="1" applyBorder="1" applyProtection="1"/>
    <xf numFmtId="0" fontId="2" fillId="27" borderId="0" xfId="37" applyFont="1" applyFill="1" applyBorder="1" applyAlignment="1" applyProtection="1">
      <alignment horizontal="left"/>
    </xf>
    <xf numFmtId="0" fontId="2" fillId="27" borderId="0" xfId="0" applyFont="1" applyFill="1" applyBorder="1" applyProtection="1"/>
    <xf numFmtId="1" fontId="2" fillId="27" borderId="14" xfId="37" applyNumberFormat="1" applyFont="1" applyFill="1" applyBorder="1" applyAlignment="1" applyProtection="1">
      <alignment horizontal="right"/>
    </xf>
    <xf numFmtId="164" fontId="2" fillId="27" borderId="0" xfId="37" applyNumberFormat="1" applyFont="1" applyFill="1" applyBorder="1" applyProtection="1"/>
    <xf numFmtId="0" fontId="2" fillId="27" borderId="0" xfId="37" applyFont="1" applyFill="1" applyBorder="1" applyAlignment="1" applyProtection="1">
      <alignment horizontal="right"/>
    </xf>
    <xf numFmtId="0" fontId="2" fillId="27" borderId="0" xfId="37" applyFont="1" applyFill="1" applyBorder="1" applyAlignment="1" applyProtection="1"/>
    <xf numFmtId="0" fontId="2" fillId="27" borderId="16" xfId="37" applyFont="1" applyFill="1" applyBorder="1" applyProtection="1"/>
    <xf numFmtId="0" fontId="2" fillId="27" borderId="17" xfId="37" applyFont="1" applyFill="1" applyBorder="1" applyProtection="1"/>
    <xf numFmtId="2" fontId="2" fillId="27" borderId="17" xfId="37" applyNumberFormat="1" applyFont="1" applyFill="1" applyBorder="1" applyProtection="1"/>
    <xf numFmtId="0" fontId="2" fillId="27" borderId="17" xfId="0" applyFont="1" applyFill="1" applyBorder="1" applyProtection="1"/>
    <xf numFmtId="1" fontId="2" fillId="27" borderId="18" xfId="37" applyNumberFormat="1" applyFont="1" applyFill="1" applyBorder="1" applyAlignment="1" applyProtection="1">
      <alignment horizontal="right"/>
    </xf>
    <xf numFmtId="0" fontId="2" fillId="0" borderId="0" xfId="37" applyFont="1" applyFill="1" applyProtection="1"/>
    <xf numFmtId="2" fontId="2" fillId="0" borderId="0" xfId="37" applyNumberFormat="1" applyFont="1" applyFill="1" applyProtection="1"/>
    <xf numFmtId="164" fontId="2" fillId="0" borderId="0" xfId="37" applyNumberFormat="1" applyFont="1" applyFill="1" applyProtection="1"/>
    <xf numFmtId="0" fontId="7" fillId="24" borderId="12" xfId="37" applyFont="1" applyFill="1" applyBorder="1" applyAlignment="1" applyProtection="1">
      <alignment horizontal="center"/>
    </xf>
    <xf numFmtId="0" fontId="3" fillId="24" borderId="10" xfId="37" applyFont="1" applyFill="1" applyBorder="1" applyProtection="1"/>
    <xf numFmtId="0" fontId="2" fillId="24" borderId="10" xfId="37" applyFont="1" applyFill="1" applyBorder="1" applyProtection="1"/>
    <xf numFmtId="2" fontId="2" fillId="24" borderId="10" xfId="37" applyNumberFormat="1" applyFont="1" applyFill="1" applyBorder="1" applyAlignment="1" applyProtection="1">
      <alignment horizontal="center"/>
    </xf>
    <xf numFmtId="164" fontId="2" fillId="24" borderId="10" xfId="37" applyNumberFormat="1" applyFont="1" applyFill="1" applyBorder="1" applyProtection="1"/>
    <xf numFmtId="1" fontId="2" fillId="24" borderId="15" xfId="37" applyNumberFormat="1" applyFont="1" applyFill="1" applyBorder="1" applyAlignment="1" applyProtection="1">
      <alignment horizontal="right"/>
    </xf>
    <xf numFmtId="0" fontId="2" fillId="24" borderId="13" xfId="0" applyFont="1" applyFill="1" applyBorder="1" applyProtection="1"/>
    <xf numFmtId="0" fontId="2" fillId="24" borderId="0" xfId="0" applyFont="1" applyFill="1" applyBorder="1" applyAlignment="1" applyProtection="1">
      <alignment horizontal="left"/>
    </xf>
    <xf numFmtId="0" fontId="2" fillId="24" borderId="0" xfId="37" applyFont="1" applyFill="1" applyBorder="1" applyProtection="1"/>
    <xf numFmtId="1" fontId="2" fillId="24" borderId="14" xfId="37" applyNumberFormat="1" applyFont="1" applyFill="1" applyBorder="1" applyAlignment="1" applyProtection="1">
      <alignment horizontal="right"/>
    </xf>
    <xf numFmtId="0" fontId="2" fillId="24" borderId="13" xfId="37" applyFont="1" applyFill="1" applyBorder="1" applyProtection="1"/>
    <xf numFmtId="2" fontId="2" fillId="24" borderId="0" xfId="37" applyNumberFormat="1" applyFont="1" applyFill="1" applyBorder="1" applyProtection="1"/>
    <xf numFmtId="0" fontId="2" fillId="24" borderId="16" xfId="37" applyFont="1" applyFill="1" applyBorder="1" applyProtection="1"/>
    <xf numFmtId="0" fontId="2" fillId="24" borderId="17" xfId="37" applyFont="1" applyFill="1" applyBorder="1" applyProtection="1"/>
    <xf numFmtId="2" fontId="2" fillId="24" borderId="17" xfId="37" applyNumberFormat="1" applyFont="1" applyFill="1" applyBorder="1" applyProtection="1"/>
    <xf numFmtId="164" fontId="2" fillId="24" borderId="17" xfId="37" applyNumberFormat="1" applyFont="1" applyFill="1" applyBorder="1" applyProtection="1"/>
    <xf numFmtId="1" fontId="2" fillId="24" borderId="18" xfId="37" applyNumberFormat="1" applyFont="1" applyFill="1" applyBorder="1" applyAlignment="1" applyProtection="1">
      <alignment horizontal="right"/>
    </xf>
    <xf numFmtId="0" fontId="7" fillId="0" borderId="0" xfId="37" applyFont="1" applyFill="1" applyBorder="1" applyAlignment="1" applyProtection="1">
      <alignment horizontal="center"/>
    </xf>
    <xf numFmtId="0" fontId="7" fillId="25" borderId="12" xfId="37" applyFont="1" applyFill="1" applyBorder="1" applyAlignment="1" applyProtection="1">
      <alignment horizontal="center"/>
    </xf>
    <xf numFmtId="0" fontId="3" fillId="25" borderId="10" xfId="37" applyFont="1" applyFill="1" applyBorder="1" applyProtection="1"/>
    <xf numFmtId="0" fontId="2" fillId="25" borderId="10" xfId="37" applyFont="1" applyFill="1" applyBorder="1" applyProtection="1"/>
    <xf numFmtId="2" fontId="2" fillId="25" borderId="10" xfId="37" applyNumberFormat="1" applyFont="1" applyFill="1" applyBorder="1" applyProtection="1"/>
    <xf numFmtId="164" fontId="2" fillId="25" borderId="10" xfId="37" applyNumberFormat="1" applyFont="1" applyFill="1" applyBorder="1" applyProtection="1"/>
    <xf numFmtId="1" fontId="2" fillId="25" borderId="15" xfId="37" applyNumberFormat="1" applyFont="1" applyFill="1" applyBorder="1" applyAlignment="1" applyProtection="1">
      <alignment horizontal="right"/>
    </xf>
    <xf numFmtId="0" fontId="2" fillId="25" borderId="13" xfId="37" applyFont="1" applyFill="1" applyBorder="1" applyProtection="1"/>
    <xf numFmtId="0" fontId="2" fillId="25" borderId="0" xfId="37" applyFont="1" applyFill="1" applyBorder="1" applyProtection="1"/>
    <xf numFmtId="2" fontId="2" fillId="25" borderId="0" xfId="37" applyNumberFormat="1" applyFont="1" applyFill="1" applyBorder="1" applyProtection="1"/>
    <xf numFmtId="164" fontId="2" fillId="25" borderId="0" xfId="37" applyNumberFormat="1" applyFont="1" applyFill="1" applyBorder="1" applyProtection="1"/>
    <xf numFmtId="1" fontId="2" fillId="25" borderId="14" xfId="37" applyNumberFormat="1" applyFont="1" applyFill="1" applyBorder="1" applyAlignment="1" applyProtection="1">
      <alignment horizontal="right"/>
    </xf>
    <xf numFmtId="0" fontId="2" fillId="25" borderId="0" xfId="0" applyFont="1" applyFill="1" applyBorder="1" applyAlignment="1">
      <alignment horizontal="right"/>
    </xf>
    <xf numFmtId="0" fontId="2" fillId="25" borderId="16" xfId="37" applyFont="1" applyFill="1" applyBorder="1" applyProtection="1"/>
    <xf numFmtId="0" fontId="2" fillId="25" borderId="17" xfId="37" applyFont="1" applyFill="1" applyBorder="1" applyProtection="1"/>
    <xf numFmtId="2" fontId="2" fillId="25" borderId="17" xfId="37" applyNumberFormat="1" applyFont="1" applyFill="1" applyBorder="1" applyProtection="1"/>
    <xf numFmtId="164" fontId="2" fillId="25" borderId="17" xfId="37" applyNumberFormat="1" applyFont="1" applyFill="1" applyBorder="1" applyProtection="1"/>
    <xf numFmtId="1" fontId="2" fillId="25" borderId="18" xfId="37" applyNumberFormat="1" applyFont="1" applyFill="1" applyBorder="1" applyAlignment="1" applyProtection="1">
      <alignment horizontal="right"/>
    </xf>
    <xf numFmtId="0" fontId="2" fillId="0" borderId="0" xfId="37" applyFont="1" applyAlignment="1" applyProtection="1">
      <alignment horizontal="right"/>
    </xf>
    <xf numFmtId="0" fontId="2" fillId="0" borderId="0" xfId="37" applyFont="1" applyAlignment="1" applyProtection="1">
      <alignment horizontal="center"/>
    </xf>
    <xf numFmtId="0" fontId="2" fillId="0" borderId="0" xfId="37" applyFont="1" applyFill="1" applyBorder="1" applyAlignment="1" applyProtection="1">
      <alignment horizontal="center"/>
    </xf>
    <xf numFmtId="164" fontId="4" fillId="0" borderId="0" xfId="37" applyNumberFormat="1" applyFont="1" applyAlignment="1" applyProtection="1">
      <alignment horizontal="center"/>
    </xf>
    <xf numFmtId="2" fontId="4" fillId="0" borderId="0" xfId="37" applyNumberFormat="1" applyFont="1" applyAlignment="1" applyProtection="1">
      <alignment horizontal="center"/>
    </xf>
    <xf numFmtId="0" fontId="4" fillId="0" borderId="0" xfId="37" applyFont="1" applyAlignment="1" applyProtection="1">
      <alignment horizontal="center"/>
    </xf>
    <xf numFmtId="166" fontId="2" fillId="0" borderId="0" xfId="37" applyNumberFormat="1" applyFont="1" applyProtection="1"/>
    <xf numFmtId="166" fontId="2" fillId="0" borderId="0" xfId="37" applyNumberFormat="1" applyFont="1" applyFill="1" applyBorder="1" applyProtection="1"/>
    <xf numFmtId="164" fontId="2" fillId="0" borderId="0" xfId="37" applyNumberFormat="1" applyFont="1" applyAlignment="1" applyProtection="1">
      <alignment horizontal="right"/>
    </xf>
    <xf numFmtId="0" fontId="2" fillId="25" borderId="0" xfId="37" applyFont="1" applyFill="1" applyBorder="1" applyAlignment="1" applyProtection="1">
      <alignment horizontal="right"/>
    </xf>
    <xf numFmtId="0" fontId="2" fillId="25" borderId="0" xfId="37" applyFont="1" applyFill="1" applyBorder="1" applyAlignment="1" applyProtection="1">
      <alignment horizontal="left"/>
    </xf>
    <xf numFmtId="0" fontId="2" fillId="0" borderId="0" xfId="37" applyFont="1" applyProtection="1">
      <protection locked="0"/>
    </xf>
    <xf numFmtId="0" fontId="33" fillId="27" borderId="0" xfId="0" applyFont="1" applyFill="1" applyBorder="1" applyProtection="1">
      <protection locked="0"/>
    </xf>
    <xf numFmtId="0" fontId="75" fillId="27" borderId="0" xfId="0" applyFont="1" applyFill="1"/>
    <xf numFmtId="0" fontId="2" fillId="24" borderId="10" xfId="0" applyFont="1" applyFill="1" applyBorder="1" applyProtection="1">
      <protection locked="0"/>
    </xf>
    <xf numFmtId="0" fontId="2" fillId="24" borderId="0" xfId="0" applyFont="1" applyFill="1" applyBorder="1" applyProtection="1">
      <protection locked="0"/>
    </xf>
    <xf numFmtId="0" fontId="2" fillId="29" borderId="0" xfId="0" applyFont="1" applyFill="1" applyBorder="1" applyProtection="1">
      <protection locked="0"/>
    </xf>
    <xf numFmtId="0" fontId="2" fillId="28" borderId="0" xfId="0" applyFont="1" applyFill="1" applyBorder="1" applyProtection="1">
      <protection locked="0"/>
    </xf>
    <xf numFmtId="2" fontId="7" fillId="0" borderId="12" xfId="0" applyNumberFormat="1" applyFont="1" applyBorder="1" applyAlignment="1">
      <alignment horizontal="left" vertical="center"/>
    </xf>
    <xf numFmtId="0" fontId="34" fillId="0" borderId="0" xfId="0" applyFont="1" applyFill="1"/>
    <xf numFmtId="0" fontId="7" fillId="0" borderId="0" xfId="0" applyFont="1" applyFill="1"/>
    <xf numFmtId="0" fontId="111" fillId="0" borderId="0" xfId="0" applyFont="1"/>
    <xf numFmtId="0" fontId="2" fillId="0" borderId="0" xfId="0" applyFont="1" applyFill="1"/>
    <xf numFmtId="0" fontId="112" fillId="0" borderId="0" xfId="0" applyFont="1"/>
    <xf numFmtId="0" fontId="3" fillId="25" borderId="10" xfId="0" applyFont="1" applyFill="1" applyBorder="1" applyAlignment="1">
      <alignment horizontal="left"/>
    </xf>
    <xf numFmtId="0" fontId="3" fillId="30" borderId="0" xfId="0" applyFont="1" applyFill="1" applyBorder="1" applyAlignment="1"/>
    <xf numFmtId="0" fontId="3" fillId="28" borderId="0" xfId="0" applyFont="1" applyFill="1" applyBorder="1" applyAlignment="1"/>
    <xf numFmtId="0" fontId="29" fillId="0" borderId="17" xfId="0" applyFont="1" applyFill="1" applyBorder="1" applyAlignment="1">
      <alignment horizontal="right"/>
    </xf>
    <xf numFmtId="176" fontId="75" fillId="0" borderId="0" xfId="0" applyNumberFormat="1" applyFont="1" applyFill="1" applyBorder="1" applyAlignment="1" applyProtection="1">
      <alignment horizontal="center"/>
      <protection locked="0"/>
    </xf>
    <xf numFmtId="0" fontId="2" fillId="0" borderId="0" xfId="0" applyNumberFormat="1" applyFont="1" applyFill="1" applyBorder="1" applyAlignment="1">
      <alignment horizontal="right"/>
    </xf>
    <xf numFmtId="164" fontId="105" fillId="0" borderId="0" xfId="0" applyNumberFormat="1" applyFont="1" applyFill="1" applyBorder="1" applyAlignment="1">
      <alignment horizontal="right" vertical="top"/>
    </xf>
    <xf numFmtId="178" fontId="79" fillId="0" borderId="20" xfId="0" applyNumberFormat="1" applyFont="1" applyFill="1" applyBorder="1" applyAlignment="1"/>
    <xf numFmtId="178" fontId="83" fillId="0" borderId="21" xfId="0" applyNumberFormat="1" applyFont="1" applyBorder="1" applyAlignment="1"/>
    <xf numFmtId="164" fontId="2" fillId="0" borderId="20" xfId="0" applyNumberFormat="1" applyFont="1" applyBorder="1" applyAlignment="1">
      <alignment horizontal="right" vertical="top"/>
    </xf>
    <xf numFmtId="164" fontId="2" fillId="0" borderId="21" xfId="0" applyNumberFormat="1" applyFont="1" applyBorder="1" applyAlignment="1">
      <alignment horizontal="right" vertical="top"/>
    </xf>
    <xf numFmtId="2" fontId="57" fillId="0" borderId="20" xfId="0" applyNumberFormat="1" applyFont="1" applyFill="1" applyBorder="1" applyAlignment="1">
      <alignment horizontal="right" vertical="top"/>
    </xf>
    <xf numFmtId="2" fontId="57" fillId="0" borderId="21" xfId="0" applyNumberFormat="1" applyFont="1" applyFill="1" applyBorder="1" applyAlignment="1">
      <alignment horizontal="right" vertical="top"/>
    </xf>
    <xf numFmtId="164" fontId="105" fillId="0" borderId="0" xfId="0" applyNumberFormat="1" applyFont="1" applyFill="1" applyBorder="1" applyAlignment="1">
      <alignment horizontal="right" vertical="center"/>
    </xf>
    <xf numFmtId="164" fontId="105" fillId="0" borderId="0" xfId="0" applyNumberFormat="1" applyFont="1" applyFill="1" applyBorder="1" applyAlignment="1">
      <alignment horizontal="right"/>
    </xf>
    <xf numFmtId="2" fontId="57" fillId="0" borderId="11" xfId="0" applyNumberFormat="1" applyFont="1" applyFill="1" applyBorder="1" applyAlignment="1"/>
    <xf numFmtId="2" fontId="0" fillId="0" borderId="11" xfId="0" applyNumberFormat="1" applyBorder="1" applyAlignment="1"/>
    <xf numFmtId="0" fontId="2" fillId="0" borderId="12" xfId="0" applyFont="1" applyBorder="1" applyAlignment="1">
      <alignment horizontal="center"/>
    </xf>
    <xf numFmtId="0" fontId="0" fillId="0" borderId="15" xfId="0" applyBorder="1" applyAlignment="1"/>
    <xf numFmtId="2" fontId="59" fillId="0" borderId="20" xfId="0" applyNumberFormat="1" applyFont="1" applyFill="1" applyBorder="1" applyAlignment="1">
      <alignment horizontal="right"/>
    </xf>
    <xf numFmtId="0" fontId="0" fillId="0" borderId="21" xfId="0" applyBorder="1" applyAlignment="1"/>
    <xf numFmtId="2" fontId="57" fillId="0" borderId="11" xfId="0" applyNumberFormat="1" applyFont="1" applyBorder="1" applyAlignment="1"/>
    <xf numFmtId="0" fontId="0" fillId="0" borderId="11" xfId="0" applyBorder="1" applyAlignment="1"/>
    <xf numFmtId="2" fontId="58" fillId="0" borderId="21" xfId="0" applyNumberFormat="1" applyFont="1" applyBorder="1" applyAlignment="1"/>
    <xf numFmtId="2" fontId="42" fillId="0" borderId="0" xfId="0" applyNumberFormat="1" applyFont="1" applyBorder="1" applyAlignment="1">
      <alignment horizontal="right" vertical="center"/>
    </xf>
    <xf numFmtId="2" fontId="2" fillId="0" borderId="20" xfId="0" applyNumberFormat="1" applyFont="1" applyBorder="1" applyAlignment="1">
      <alignment horizontal="center"/>
    </xf>
    <xf numFmtId="2" fontId="2" fillId="0" borderId="21" xfId="0" applyNumberFormat="1" applyFont="1" applyBorder="1" applyAlignment="1">
      <alignment horizontal="center"/>
    </xf>
    <xf numFmtId="0" fontId="2" fillId="24" borderId="13" xfId="0" applyFont="1" applyFill="1" applyBorder="1" applyAlignment="1" applyProtection="1">
      <alignment horizontal="left"/>
      <protection locked="0"/>
    </xf>
    <xf numFmtId="0" fontId="2" fillId="24" borderId="14" xfId="0" applyFont="1" applyFill="1" applyBorder="1" applyAlignment="1" applyProtection="1">
      <alignment horizontal="left"/>
      <protection locked="0"/>
    </xf>
    <xf numFmtId="0" fontId="2" fillId="0" borderId="16" xfId="0" applyFont="1" applyBorder="1" applyAlignment="1" applyProtection="1">
      <alignment horizontal="left"/>
      <protection locked="0"/>
    </xf>
    <xf numFmtId="0" fontId="2" fillId="0" borderId="18" xfId="0" applyFont="1" applyBorder="1" applyAlignment="1" applyProtection="1">
      <alignment horizontal="left"/>
      <protection locked="0"/>
    </xf>
    <xf numFmtId="0" fontId="7" fillId="24" borderId="12" xfId="0" applyFont="1" applyFill="1" applyBorder="1" applyAlignment="1">
      <alignment horizontal="left"/>
    </xf>
    <xf numFmtId="0" fontId="7" fillId="24" borderId="15" xfId="0" applyFont="1" applyFill="1" applyBorder="1" applyAlignment="1">
      <alignment horizontal="left"/>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p value function 10-11-2"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externalLink" Target="externalLinks/externalLink8.xml"/><Relationship Id="rId26" Type="http://schemas.openxmlformats.org/officeDocument/2006/relationships/externalLink" Target="externalLinks/externalLink1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1.xml"/><Relationship Id="rId34" Type="http://schemas.openxmlformats.org/officeDocument/2006/relationships/externalLink" Target="externalLinks/externalLink24.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externalLink" Target="externalLinks/externalLink7.xml"/><Relationship Id="rId25" Type="http://schemas.openxmlformats.org/officeDocument/2006/relationships/externalLink" Target="externalLinks/externalLink15.xml"/><Relationship Id="rId33" Type="http://schemas.openxmlformats.org/officeDocument/2006/relationships/externalLink" Target="externalLinks/externalLink2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6.xml"/><Relationship Id="rId20" Type="http://schemas.openxmlformats.org/officeDocument/2006/relationships/externalLink" Target="externalLinks/externalLink10.xml"/><Relationship Id="rId29" Type="http://schemas.openxmlformats.org/officeDocument/2006/relationships/externalLink" Target="externalLinks/externalLink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externalLink" Target="externalLinks/externalLink14.xml"/><Relationship Id="rId32" Type="http://schemas.openxmlformats.org/officeDocument/2006/relationships/externalLink" Target="externalLinks/externalLink2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externalLink" Target="externalLinks/externalLink13.xml"/><Relationship Id="rId28" Type="http://schemas.openxmlformats.org/officeDocument/2006/relationships/externalLink" Target="externalLinks/externalLink1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9.xml"/><Relationship Id="rId31" Type="http://schemas.openxmlformats.org/officeDocument/2006/relationships/externalLink" Target="externalLinks/externalLink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externalLink" Target="externalLinks/externalLink12.xml"/><Relationship Id="rId27" Type="http://schemas.openxmlformats.org/officeDocument/2006/relationships/externalLink" Target="externalLinks/externalLink17.xml"/><Relationship Id="rId30" Type="http://schemas.openxmlformats.org/officeDocument/2006/relationships/externalLink" Target="externalLinks/externalLink20.xml"/><Relationship Id="rId35"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chartUserShapes" Target="../drawings/drawing8.xml"/><Relationship Id="rId5" Type="http://schemas.openxmlformats.org/officeDocument/2006/relationships/image" Target="../media/image13.emf"/><Relationship Id="rId4" Type="http://schemas.openxmlformats.org/officeDocument/2006/relationships/image" Target="../media/image12.emf"/></Relationships>
</file>

<file path=xl/charts/_rels/chart7.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s>
</file>

<file path=xl/charts/_rels/chart8.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29.emf"/><Relationship Id="rId1" Type="http://schemas.openxmlformats.org/officeDocument/2006/relationships/image" Target="../media/image9.emf"/><Relationship Id="rId5" Type="http://schemas.openxmlformats.org/officeDocument/2006/relationships/image" Target="../media/image10.emf"/><Relationship Id="rId4" Type="http://schemas.openxmlformats.org/officeDocument/2006/relationships/image" Target="../media/image13.emf"/></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42488619119878E-2"/>
          <c:y val="4.8632218844984802E-2"/>
          <c:w val="0.91350531107738997"/>
          <c:h val="0.8693009118541033"/>
        </c:manualLayout>
      </c:layout>
      <c:scatterChart>
        <c:scatterStyle val="lineMarker"/>
        <c:varyColors val="0"/>
        <c:ser>
          <c:idx val="5"/>
          <c:order val="0"/>
          <c:spPr>
            <a:ln w="28575">
              <a:noFill/>
            </a:ln>
          </c:spPr>
          <c:marker>
            <c:symbol val="star"/>
            <c:size val="5"/>
            <c:spPr>
              <a:solidFill>
                <a:srgbClr val="FF0000"/>
              </a:solidFill>
              <a:ln>
                <a:solidFill>
                  <a:srgbClr val="FF0000"/>
                </a:solidFill>
                <a:prstDash val="solid"/>
              </a:ln>
            </c:spPr>
          </c:marker>
          <c:errBars>
            <c:errDir val="y"/>
            <c:errBarType val="both"/>
            <c:errValType val="cust"/>
            <c:noEndCap val="1"/>
            <c:plus>
              <c:numRef>
                <c:f>'CIs and replication'!$AV$1:$AV$2</c:f>
                <c:numCache>
                  <c:formatCode>General</c:formatCode>
                  <c:ptCount val="2"/>
                  <c:pt idx="0">
                    <c:v>50</c:v>
                  </c:pt>
                  <c:pt idx="1">
                    <c:v>#N/A</c:v>
                  </c:pt>
                </c:numCache>
              </c:numRef>
            </c:plus>
            <c:minus>
              <c:numRef>
                <c:f>'CIs and replication'!$AV$1:$AV$2</c:f>
                <c:numCache>
                  <c:formatCode>General</c:formatCode>
                  <c:ptCount val="2"/>
                  <c:pt idx="0">
                    <c:v>50</c:v>
                  </c:pt>
                  <c:pt idx="1">
                    <c:v>#N/A</c:v>
                  </c:pt>
                </c:numCache>
              </c:numRef>
            </c:minus>
            <c:spPr>
              <a:ln w="38100">
                <a:pattFill prst="pct50">
                  <a:fgClr>
                    <a:srgbClr val="FF0000"/>
                  </a:fgClr>
                  <a:bgClr>
                    <a:srgbClr val="FFFFFF"/>
                  </a:bgClr>
                </a:pattFill>
                <a:prstDash val="solid"/>
              </a:ln>
            </c:spPr>
          </c:errBars>
          <c:xVal>
            <c:numRef>
              <c:f>'CIs and replication'!$AT$1:$AT$2</c:f>
              <c:numCache>
                <c:formatCode>General</c:formatCode>
                <c:ptCount val="2"/>
                <c:pt idx="0">
                  <c:v>0.3</c:v>
                </c:pt>
                <c:pt idx="1">
                  <c:v>0.3</c:v>
                </c:pt>
              </c:numCache>
            </c:numRef>
          </c:xVal>
          <c:yVal>
            <c:numRef>
              <c:f>'CIs and replication'!$AU$1:$AU$2</c:f>
              <c:numCache>
                <c:formatCode>General</c:formatCode>
                <c:ptCount val="2"/>
                <c:pt idx="0">
                  <c:v>47</c:v>
                </c:pt>
                <c:pt idx="1">
                  <c:v>47</c:v>
                </c:pt>
              </c:numCache>
            </c:numRef>
          </c:yVal>
          <c:smooth val="0"/>
          <c:extLst>
            <c:ext xmlns:c16="http://schemas.microsoft.com/office/drawing/2014/chart" uri="{C3380CC4-5D6E-409C-BE32-E72D297353CC}">
              <c16:uniqueId val="{00000000-ED42-427D-94D1-B9F75E3B548A}"/>
            </c:ext>
          </c:extLst>
        </c:ser>
        <c:ser>
          <c:idx val="1"/>
          <c:order val="1"/>
          <c:spPr>
            <a:ln w="28575">
              <a:noFill/>
            </a:ln>
          </c:spPr>
          <c:marker>
            <c:symbol val="circle"/>
            <c:size val="6"/>
            <c:spPr>
              <a:solidFill>
                <a:srgbClr val="00FF00"/>
              </a:solidFill>
              <a:ln>
                <a:solidFill>
                  <a:srgbClr val="000000"/>
                </a:solidFill>
                <a:prstDash val="solid"/>
              </a:ln>
            </c:spPr>
          </c:marker>
          <c:errBars>
            <c:errDir val="y"/>
            <c:errBarType val="both"/>
            <c:errValType val="cust"/>
            <c:noEndCap val="0"/>
            <c:plus>
              <c:numRef>
                <c:f>'CIs and replication'!$AV$9:$AV$28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plus>
            <c:minus>
              <c:numRef>
                <c:f>'CIs and replication'!$AV$9:$AV$28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minus>
            <c:spPr>
              <a:ln w="12700">
                <a:solidFill>
                  <a:srgbClr val="000000"/>
                </a:solidFill>
                <a:prstDash val="solid"/>
              </a:ln>
            </c:spPr>
          </c:errBars>
          <c:xVal>
            <c:numRef>
              <c:f>'CIs and replication'!$AQ$10:$AQ$29</c:f>
              <c:numCache>
                <c:formatCode>General</c:formatCode>
                <c:ptCount val="20"/>
                <c:pt idx="0">
                  <c:v>2.8</c:v>
                </c:pt>
                <c:pt idx="1">
                  <c:v>2.6842105263157894</c:v>
                </c:pt>
                <c:pt idx="2">
                  <c:v>2.5684210526315789</c:v>
                </c:pt>
                <c:pt idx="3">
                  <c:v>2.4526315789473685</c:v>
                </c:pt>
                <c:pt idx="4">
                  <c:v>2.3368421052631581</c:v>
                </c:pt>
                <c:pt idx="5">
                  <c:v>2.2210526315789476</c:v>
                </c:pt>
                <c:pt idx="6">
                  <c:v>2.1052631578947372</c:v>
                </c:pt>
                <c:pt idx="7">
                  <c:v>1.9894736842105267</c:v>
                </c:pt>
                <c:pt idx="8">
                  <c:v>1.8736842105263163</c:v>
                </c:pt>
                <c:pt idx="9">
                  <c:v>1.7578947368421058</c:v>
                </c:pt>
                <c:pt idx="10">
                  <c:v>1.6421052631578954</c:v>
                </c:pt>
                <c:pt idx="11">
                  <c:v>1.526315789473685</c:v>
                </c:pt>
                <c:pt idx="12">
                  <c:v>1.4105263157894745</c:v>
                </c:pt>
                <c:pt idx="13">
                  <c:v>1.2947368421052641</c:v>
                </c:pt>
                <c:pt idx="14">
                  <c:v>1.1789473684210536</c:v>
                </c:pt>
                <c:pt idx="15">
                  <c:v>1.0631578947368432</c:v>
                </c:pt>
                <c:pt idx="16">
                  <c:v>0.94736842105263264</c:v>
                </c:pt>
                <c:pt idx="17">
                  <c:v>0.83157894736842208</c:v>
                </c:pt>
                <c:pt idx="18">
                  <c:v>0.71578947368421153</c:v>
                </c:pt>
                <c:pt idx="19">
                  <c:v>0.60000000000000098</c:v>
                </c:pt>
              </c:numCache>
            </c:numRef>
          </c:xVal>
          <c:yVal>
            <c:numRef>
              <c:f>'CIs and replication'!$AR$10:$AR$29</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yVal>
          <c:smooth val="0"/>
          <c:extLst>
            <c:ext xmlns:c16="http://schemas.microsoft.com/office/drawing/2014/chart" uri="{C3380CC4-5D6E-409C-BE32-E72D297353CC}">
              <c16:uniqueId val="{00000001-ED42-427D-94D1-B9F75E3B548A}"/>
            </c:ext>
          </c:extLst>
        </c:ser>
        <c:ser>
          <c:idx val="3"/>
          <c:order val="2"/>
          <c:spPr>
            <a:ln w="28575">
              <a:noFill/>
            </a:ln>
          </c:spPr>
          <c:marker>
            <c:symbol val="circle"/>
            <c:size val="6"/>
            <c:spPr>
              <a:solidFill>
                <a:srgbClr val="008000"/>
              </a:solidFill>
              <a:ln>
                <a:solidFill>
                  <a:srgbClr val="008000"/>
                </a:solidFill>
                <a:prstDash val="solid"/>
              </a:ln>
            </c:spPr>
          </c:marker>
          <c:errBars>
            <c:errDir val="y"/>
            <c:errBarType val="both"/>
            <c:errValType val="cust"/>
            <c:noEndCap val="0"/>
            <c:plus>
              <c:numRef>
                <c:f>'CIs and replication'!$AV$9:$AV$28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plus>
            <c:minus>
              <c:numRef>
                <c:f>'CIs and replication'!$AV$9:$AV$28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minus>
            <c:spPr>
              <a:ln w="12700">
                <a:solidFill>
                  <a:srgbClr val="008000"/>
                </a:solidFill>
                <a:prstDash val="solid"/>
              </a:ln>
            </c:spPr>
          </c:errBars>
          <c:xVal>
            <c:numRef>
              <c:f>'CIs and replication'!$AQ$10:$AQ$29</c:f>
              <c:numCache>
                <c:formatCode>General</c:formatCode>
                <c:ptCount val="20"/>
                <c:pt idx="0">
                  <c:v>2.8</c:v>
                </c:pt>
                <c:pt idx="1">
                  <c:v>2.6842105263157894</c:v>
                </c:pt>
                <c:pt idx="2">
                  <c:v>2.5684210526315789</c:v>
                </c:pt>
                <c:pt idx="3">
                  <c:v>2.4526315789473685</c:v>
                </c:pt>
                <c:pt idx="4">
                  <c:v>2.3368421052631581</c:v>
                </c:pt>
                <c:pt idx="5">
                  <c:v>2.2210526315789476</c:v>
                </c:pt>
                <c:pt idx="6">
                  <c:v>2.1052631578947372</c:v>
                </c:pt>
                <c:pt idx="7">
                  <c:v>1.9894736842105267</c:v>
                </c:pt>
                <c:pt idx="8">
                  <c:v>1.8736842105263163</c:v>
                </c:pt>
                <c:pt idx="9">
                  <c:v>1.7578947368421058</c:v>
                </c:pt>
                <c:pt idx="10">
                  <c:v>1.6421052631578954</c:v>
                </c:pt>
                <c:pt idx="11">
                  <c:v>1.526315789473685</c:v>
                </c:pt>
                <c:pt idx="12">
                  <c:v>1.4105263157894745</c:v>
                </c:pt>
                <c:pt idx="13">
                  <c:v>1.2947368421052641</c:v>
                </c:pt>
                <c:pt idx="14">
                  <c:v>1.1789473684210536</c:v>
                </c:pt>
                <c:pt idx="15">
                  <c:v>1.0631578947368432</c:v>
                </c:pt>
                <c:pt idx="16">
                  <c:v>0.94736842105263264</c:v>
                </c:pt>
                <c:pt idx="17">
                  <c:v>0.83157894736842208</c:v>
                </c:pt>
                <c:pt idx="18">
                  <c:v>0.71578947368421153</c:v>
                </c:pt>
                <c:pt idx="19">
                  <c:v>0.60000000000000098</c:v>
                </c:pt>
              </c:numCache>
            </c:numRef>
          </c:xVal>
          <c:yVal>
            <c:numRef>
              <c:f>'CIs and replication'!$AS$10:$AS$29</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yVal>
          <c:smooth val="0"/>
          <c:extLst>
            <c:ext xmlns:c16="http://schemas.microsoft.com/office/drawing/2014/chart" uri="{C3380CC4-5D6E-409C-BE32-E72D297353CC}">
              <c16:uniqueId val="{00000002-ED42-427D-94D1-B9F75E3B548A}"/>
            </c:ext>
          </c:extLst>
        </c:ser>
        <c:ser>
          <c:idx val="6"/>
          <c:order val="3"/>
          <c:spPr>
            <a:ln w="28575">
              <a:noFill/>
            </a:ln>
          </c:spPr>
          <c:marker>
            <c:symbol val="circle"/>
            <c:size val="6"/>
            <c:spPr>
              <a:solidFill>
                <a:srgbClr val="FF0000"/>
              </a:solidFill>
              <a:ln>
                <a:solidFill>
                  <a:srgbClr val="FF0000"/>
                </a:solidFill>
                <a:prstDash val="solid"/>
              </a:ln>
            </c:spPr>
          </c:marker>
          <c:errBars>
            <c:errDir val="y"/>
            <c:errBarType val="both"/>
            <c:errValType val="cust"/>
            <c:noEndCap val="0"/>
            <c:plus>
              <c:numRef>
                <c:f>'CIs and replication'!$AV$9:$AV$28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plus>
            <c:minus>
              <c:numRef>
                <c:f>'CIs and replication'!$AV$9:$AV$28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minus>
            <c:spPr>
              <a:ln w="12700">
                <a:solidFill>
                  <a:srgbClr val="FF0000"/>
                </a:solidFill>
                <a:prstDash val="solid"/>
              </a:ln>
            </c:spPr>
          </c:errBars>
          <c:xVal>
            <c:numRef>
              <c:f>'CIs and replication'!$AQ$10:$AQ$29</c:f>
              <c:numCache>
                <c:formatCode>General</c:formatCode>
                <c:ptCount val="20"/>
                <c:pt idx="0">
                  <c:v>2.8</c:v>
                </c:pt>
                <c:pt idx="1">
                  <c:v>2.6842105263157894</c:v>
                </c:pt>
                <c:pt idx="2">
                  <c:v>2.5684210526315789</c:v>
                </c:pt>
                <c:pt idx="3">
                  <c:v>2.4526315789473685</c:v>
                </c:pt>
                <c:pt idx="4">
                  <c:v>2.3368421052631581</c:v>
                </c:pt>
                <c:pt idx="5">
                  <c:v>2.2210526315789476</c:v>
                </c:pt>
                <c:pt idx="6">
                  <c:v>2.1052631578947372</c:v>
                </c:pt>
                <c:pt idx="7">
                  <c:v>1.9894736842105267</c:v>
                </c:pt>
                <c:pt idx="8">
                  <c:v>1.8736842105263163</c:v>
                </c:pt>
                <c:pt idx="9">
                  <c:v>1.7578947368421058</c:v>
                </c:pt>
                <c:pt idx="10">
                  <c:v>1.6421052631578954</c:v>
                </c:pt>
                <c:pt idx="11">
                  <c:v>1.526315789473685</c:v>
                </c:pt>
                <c:pt idx="12">
                  <c:v>1.4105263157894745</c:v>
                </c:pt>
                <c:pt idx="13">
                  <c:v>1.2947368421052641</c:v>
                </c:pt>
                <c:pt idx="14">
                  <c:v>1.1789473684210536</c:v>
                </c:pt>
                <c:pt idx="15">
                  <c:v>1.0631578947368432</c:v>
                </c:pt>
                <c:pt idx="16">
                  <c:v>0.94736842105263264</c:v>
                </c:pt>
                <c:pt idx="17">
                  <c:v>0.83157894736842208</c:v>
                </c:pt>
                <c:pt idx="18">
                  <c:v>0.71578947368421153</c:v>
                </c:pt>
                <c:pt idx="19">
                  <c:v>0.60000000000000098</c:v>
                </c:pt>
              </c:numCache>
            </c:numRef>
          </c:xVal>
          <c:yVal>
            <c:numRef>
              <c:f>'CIs and replication'!$AT$10:$AT$29</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yVal>
          <c:smooth val="0"/>
          <c:extLst>
            <c:ext xmlns:c16="http://schemas.microsoft.com/office/drawing/2014/chart" uri="{C3380CC4-5D6E-409C-BE32-E72D297353CC}">
              <c16:uniqueId val="{00000003-ED42-427D-94D1-B9F75E3B548A}"/>
            </c:ext>
          </c:extLst>
        </c:ser>
        <c:ser>
          <c:idx val="0"/>
          <c:order val="4"/>
          <c:spPr>
            <a:ln w="28575">
              <a:noFill/>
            </a:ln>
          </c:spPr>
          <c:marker>
            <c:symbol val="none"/>
          </c:marker>
          <c:dLbls>
            <c:dLbl>
              <c:idx val="0"/>
              <c:tx>
                <c:strRef>
                  <c:f>'CIs and replication'!$AW$10</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{92DBD104-2942-4C96-85FD-62484B17D277}</c15:txfldGUID>
                      <c15:f>'CIs and replication'!$AW$10</c15:f>
                      <c15:dlblFieldTableCache>
                        <c:ptCount val="1"/>
                      </c15:dlblFieldTableCache>
                    </c15:dlblFTEntry>
                  </c15:dlblFieldTable>
                  <c15:showDataLabelsRange val="0"/>
                </c:ext>
                <c:ext xmlns:c16="http://schemas.microsoft.com/office/drawing/2014/chart" uri="{C3380CC4-5D6E-409C-BE32-E72D297353CC}">
                  <c16:uniqueId val="{00000004-ED42-427D-94D1-B9F75E3B548A}"/>
                </c:ext>
              </c:extLst>
            </c:dLbl>
            <c:dLbl>
              <c:idx val="1"/>
              <c:tx>
                <c:strRef>
                  <c:f>'CIs and replication'!$AW$11</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{7FD46370-BA3C-4DBC-91D4-F3BA1EB760E1}</c15:txfldGUID>
                      <c15:f>'CIs and replication'!$AW$11</c15:f>
                      <c15:dlblFieldTableCache>
                        <c:ptCount val="1"/>
                      </c15:dlblFieldTableCache>
                    </c15:dlblFTEntry>
                  </c15:dlblFieldTable>
                  <c15:showDataLabelsRange val="0"/>
                </c:ext>
                <c:ext xmlns:c16="http://schemas.microsoft.com/office/drawing/2014/chart" uri="{C3380CC4-5D6E-409C-BE32-E72D297353CC}">
                  <c16:uniqueId val="{00000005-ED42-427D-94D1-B9F75E3B548A}"/>
                </c:ext>
              </c:extLst>
            </c:dLbl>
            <c:dLbl>
              <c:idx val="2"/>
              <c:tx>
                <c:strRef>
                  <c:f>'CIs and replication'!$AW$12</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{18620E72-A958-4C40-B436-4CCB3609A241}</c15:txfldGUID>
                      <c15:f>'CIs and replication'!$AW$12</c15:f>
                      <c15:dlblFieldTableCache>
                        <c:ptCount val="1"/>
                      </c15:dlblFieldTableCache>
                    </c15:dlblFTEntry>
                  </c15:dlblFieldTable>
                  <c15:showDataLabelsRange val="0"/>
                </c:ext>
                <c:ext xmlns:c16="http://schemas.microsoft.com/office/drawing/2014/chart" uri="{C3380CC4-5D6E-409C-BE32-E72D297353CC}">
                  <c16:uniqueId val="{00000006-ED42-427D-94D1-B9F75E3B548A}"/>
                </c:ext>
              </c:extLst>
            </c:dLbl>
            <c:dLbl>
              <c:idx val="3"/>
              <c:tx>
                <c:strRef>
                  <c:f>'CIs and replication'!$AW$13</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{81BC228B-3A62-4764-9B41-CFD60C5E268E}</c15:txfldGUID>
                      <c15:f>'CIs and replication'!$AW$13</c15:f>
                      <c15:dlblFieldTableCache>
                        <c:ptCount val="1"/>
                      </c15:dlblFieldTableCache>
                    </c15:dlblFTEntry>
                  </c15:dlblFieldTable>
                  <c15:showDataLabelsRange val="0"/>
                </c:ext>
                <c:ext xmlns:c16="http://schemas.microsoft.com/office/drawing/2014/chart" uri="{C3380CC4-5D6E-409C-BE32-E72D297353CC}">
                  <c16:uniqueId val="{00000007-ED42-427D-94D1-B9F75E3B548A}"/>
                </c:ext>
              </c:extLst>
            </c:dLbl>
            <c:dLbl>
              <c:idx val="4"/>
              <c:tx>
                <c:strRef>
                  <c:f>'CIs and replication'!$AW$14</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{F10CC3A3-E419-4A33-B8F4-7FB91FC8175B}</c15:txfldGUID>
                      <c15:f>'CIs and replication'!$AW$14</c15:f>
                      <c15:dlblFieldTableCache>
                        <c:ptCount val="1"/>
                      </c15:dlblFieldTableCache>
                    </c15:dlblFTEntry>
                  </c15:dlblFieldTable>
                  <c15:showDataLabelsRange val="0"/>
                </c:ext>
                <c:ext xmlns:c16="http://schemas.microsoft.com/office/drawing/2014/chart" uri="{C3380CC4-5D6E-409C-BE32-E72D297353CC}">
                  <c16:uniqueId val="{00000008-ED42-427D-94D1-B9F75E3B548A}"/>
                </c:ext>
              </c:extLst>
            </c:dLbl>
            <c:dLbl>
              <c:idx val="5"/>
              <c:tx>
                <c:strRef>
                  <c:f>'CIs and replication'!$AW$15</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{509B064E-0375-426A-B05B-0341301F3025}</c15:txfldGUID>
                      <c15:f>'CIs and replication'!$AW$15</c15:f>
                      <c15:dlblFieldTableCache>
                        <c:ptCount val="1"/>
                      </c15:dlblFieldTableCache>
                    </c15:dlblFTEntry>
                  </c15:dlblFieldTable>
                  <c15:showDataLabelsRange val="0"/>
                </c:ext>
                <c:ext xmlns:c16="http://schemas.microsoft.com/office/drawing/2014/chart" uri="{C3380CC4-5D6E-409C-BE32-E72D297353CC}">
                  <c16:uniqueId val="{00000009-ED42-427D-94D1-B9F75E3B548A}"/>
                </c:ext>
              </c:extLst>
            </c:dLbl>
            <c:dLbl>
              <c:idx val="6"/>
              <c:tx>
                <c:strRef>
                  <c:f>'CIs and replication'!$AW$16</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{2E3D694E-7A91-4718-A2DF-60DA755B0C84}</c15:txfldGUID>
                      <c15:f>'CIs and replication'!$AW$16</c15:f>
                      <c15:dlblFieldTableCache>
                        <c:ptCount val="1"/>
                      </c15:dlblFieldTableCache>
                    </c15:dlblFTEntry>
                  </c15:dlblFieldTable>
                  <c15:showDataLabelsRange val="0"/>
                </c:ext>
                <c:ext xmlns:c16="http://schemas.microsoft.com/office/drawing/2014/chart" uri="{C3380CC4-5D6E-409C-BE32-E72D297353CC}">
                  <c16:uniqueId val="{0000000A-ED42-427D-94D1-B9F75E3B548A}"/>
                </c:ext>
              </c:extLst>
            </c:dLbl>
            <c:dLbl>
              <c:idx val="7"/>
              <c:tx>
                <c:strRef>
                  <c:f>'CIs and replication'!$AW$17</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{03F892C2-3BD5-4C55-A2BA-7084468DA253}</c15:txfldGUID>
                      <c15:f>'CIs and replication'!$AW$17</c15:f>
                      <c15:dlblFieldTableCache>
                        <c:ptCount val="1"/>
                      </c15:dlblFieldTableCache>
                    </c15:dlblFTEntry>
                  </c15:dlblFieldTable>
                  <c15:showDataLabelsRange val="0"/>
                </c:ext>
                <c:ext xmlns:c16="http://schemas.microsoft.com/office/drawing/2014/chart" uri="{C3380CC4-5D6E-409C-BE32-E72D297353CC}">
                  <c16:uniqueId val="{0000000B-ED42-427D-94D1-B9F75E3B548A}"/>
                </c:ext>
              </c:extLst>
            </c:dLbl>
            <c:dLbl>
              <c:idx val="8"/>
              <c:tx>
                <c:strRef>
                  <c:f>'CIs and replication'!$AW$18</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{11C0C6EF-6986-4753-99A0-3344579190C5}</c15:txfldGUID>
                      <c15:f>'CIs and replication'!$AW$18</c15:f>
                      <c15:dlblFieldTableCache>
                        <c:ptCount val="1"/>
                      </c15:dlblFieldTableCache>
                    </c15:dlblFTEntry>
                  </c15:dlblFieldTable>
                  <c15:showDataLabelsRange val="0"/>
                </c:ext>
                <c:ext xmlns:c16="http://schemas.microsoft.com/office/drawing/2014/chart" uri="{C3380CC4-5D6E-409C-BE32-E72D297353CC}">
                  <c16:uniqueId val="{0000000C-ED42-427D-94D1-B9F75E3B548A}"/>
                </c:ext>
              </c:extLst>
            </c:dLbl>
            <c:dLbl>
              <c:idx val="9"/>
              <c:tx>
                <c:strRef>
                  <c:f>'CIs and replication'!$AW$19</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{5A21B5D1-9175-4A23-BDBB-6B677B66A9B4}</c15:txfldGUID>
                      <c15:f>'CIs and replication'!$AW$19</c15:f>
                      <c15:dlblFieldTableCache>
                        <c:ptCount val="1"/>
                      </c15:dlblFieldTableCache>
                    </c15:dlblFTEntry>
                  </c15:dlblFieldTable>
                  <c15:showDataLabelsRange val="0"/>
                </c:ext>
                <c:ext xmlns:c16="http://schemas.microsoft.com/office/drawing/2014/chart" uri="{C3380CC4-5D6E-409C-BE32-E72D297353CC}">
                  <c16:uniqueId val="{0000000D-ED42-427D-94D1-B9F75E3B548A}"/>
                </c:ext>
              </c:extLst>
            </c:dLbl>
            <c:dLbl>
              <c:idx val="10"/>
              <c:tx>
                <c:strRef>
                  <c:f>'CIs and replication'!$AW$20</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{721C6AEB-1ADF-4DB4-B447-7DC572C07B93}</c15:txfldGUID>
                      <c15:f>'CIs and replication'!$AW$20</c15:f>
                      <c15:dlblFieldTableCache>
                        <c:ptCount val="1"/>
                      </c15:dlblFieldTableCache>
                    </c15:dlblFTEntry>
                  </c15:dlblFieldTable>
                  <c15:showDataLabelsRange val="0"/>
                </c:ext>
                <c:ext xmlns:c16="http://schemas.microsoft.com/office/drawing/2014/chart" uri="{C3380CC4-5D6E-409C-BE32-E72D297353CC}">
                  <c16:uniqueId val="{0000000E-ED42-427D-94D1-B9F75E3B548A}"/>
                </c:ext>
              </c:extLst>
            </c:dLbl>
            <c:dLbl>
              <c:idx val="11"/>
              <c:tx>
                <c:strRef>
                  <c:f>'CIs and replication'!$AW$21</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{C6C8633F-3261-4E05-A655-5013F9EE6418}</c15:txfldGUID>
                      <c15:f>'CIs and replication'!$AW$21</c15:f>
                      <c15:dlblFieldTableCache>
                        <c:ptCount val="1"/>
                      </c15:dlblFieldTableCache>
                    </c15:dlblFTEntry>
                  </c15:dlblFieldTable>
                  <c15:showDataLabelsRange val="0"/>
                </c:ext>
                <c:ext xmlns:c16="http://schemas.microsoft.com/office/drawing/2014/chart" uri="{C3380CC4-5D6E-409C-BE32-E72D297353CC}">
                  <c16:uniqueId val="{0000000F-ED42-427D-94D1-B9F75E3B548A}"/>
                </c:ext>
              </c:extLst>
            </c:dLbl>
            <c:dLbl>
              <c:idx val="12"/>
              <c:tx>
                <c:strRef>
                  <c:f>'CIs and replication'!$AW$22</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{4690EE74-EAE8-44F9-9FF3-5E39308C9BBA}</c15:txfldGUID>
                      <c15:f>'CIs and replication'!$AW$22</c15:f>
                      <c15:dlblFieldTableCache>
                        <c:ptCount val="1"/>
                      </c15:dlblFieldTableCache>
                    </c15:dlblFTEntry>
                  </c15:dlblFieldTable>
                  <c15:showDataLabelsRange val="0"/>
                </c:ext>
                <c:ext xmlns:c16="http://schemas.microsoft.com/office/drawing/2014/chart" uri="{C3380CC4-5D6E-409C-BE32-E72D297353CC}">
                  <c16:uniqueId val="{00000010-ED42-427D-94D1-B9F75E3B548A}"/>
                </c:ext>
              </c:extLst>
            </c:dLbl>
            <c:dLbl>
              <c:idx val="13"/>
              <c:tx>
                <c:strRef>
                  <c:f>'CIs and replication'!$AW$23</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{B9A65D4E-95B1-403D-A34D-C32876CA37D7}</c15:txfldGUID>
                      <c15:f>'CIs and replication'!$AW$23</c15:f>
                      <c15:dlblFieldTableCache>
                        <c:ptCount val="1"/>
                      </c15:dlblFieldTableCache>
                    </c15:dlblFTEntry>
                  </c15:dlblFieldTable>
                  <c15:showDataLabelsRange val="0"/>
                </c:ext>
                <c:ext xmlns:c16="http://schemas.microsoft.com/office/drawing/2014/chart" uri="{C3380CC4-5D6E-409C-BE32-E72D297353CC}">
                  <c16:uniqueId val="{00000011-ED42-427D-94D1-B9F75E3B548A}"/>
                </c:ext>
              </c:extLst>
            </c:dLbl>
            <c:dLbl>
              <c:idx val="14"/>
              <c:tx>
                <c:strRef>
                  <c:f>'CIs and replication'!$AW$24</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{44D5D061-15C7-422C-9FCD-46FD2E983DB4}</c15:txfldGUID>
                      <c15:f>'CIs and replication'!$AW$24</c15:f>
                      <c15:dlblFieldTableCache>
                        <c:ptCount val="1"/>
                      </c15:dlblFieldTableCache>
                    </c15:dlblFTEntry>
                  </c15:dlblFieldTable>
                  <c15:showDataLabelsRange val="0"/>
                </c:ext>
                <c:ext xmlns:c16="http://schemas.microsoft.com/office/drawing/2014/chart" uri="{C3380CC4-5D6E-409C-BE32-E72D297353CC}">
                  <c16:uniqueId val="{00000012-ED42-427D-94D1-B9F75E3B548A}"/>
                </c:ext>
              </c:extLst>
            </c:dLbl>
            <c:dLbl>
              <c:idx val="15"/>
              <c:tx>
                <c:strRef>
                  <c:f>'CIs and replication'!$AW$25</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{65DFCF05-DA0D-42B9-9F1F-6C6A47B321D9}</c15:txfldGUID>
                      <c15:f>'CIs and replication'!$AW$25</c15:f>
                      <c15:dlblFieldTableCache>
                        <c:ptCount val="1"/>
                      </c15:dlblFieldTableCache>
                    </c15:dlblFTEntry>
                  </c15:dlblFieldTable>
                  <c15:showDataLabelsRange val="0"/>
                </c:ext>
                <c:ext xmlns:c16="http://schemas.microsoft.com/office/drawing/2014/chart" uri="{C3380CC4-5D6E-409C-BE32-E72D297353CC}">
                  <c16:uniqueId val="{00000013-ED42-427D-94D1-B9F75E3B548A}"/>
                </c:ext>
              </c:extLst>
            </c:dLbl>
            <c:dLbl>
              <c:idx val="16"/>
              <c:tx>
                <c:strRef>
                  <c:f>'CIs and replication'!$AW$26</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{48B6A86B-09E7-4BE9-BE50-835B91D32BE5}</c15:txfldGUID>
                      <c15:f>'CIs and replication'!$AW$26</c15:f>
                      <c15:dlblFieldTableCache>
                        <c:ptCount val="1"/>
                      </c15:dlblFieldTableCache>
                    </c15:dlblFTEntry>
                  </c15:dlblFieldTable>
                  <c15:showDataLabelsRange val="0"/>
                </c:ext>
                <c:ext xmlns:c16="http://schemas.microsoft.com/office/drawing/2014/chart" uri="{C3380CC4-5D6E-409C-BE32-E72D297353CC}">
                  <c16:uniqueId val="{00000014-ED42-427D-94D1-B9F75E3B548A}"/>
                </c:ext>
              </c:extLst>
            </c:dLbl>
            <c:dLbl>
              <c:idx val="17"/>
              <c:tx>
                <c:strRef>
                  <c:f>'CIs and replication'!$AW$27</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{173F0F7C-1CE6-4A47-BB84-102663D6EC2E}</c15:txfldGUID>
                      <c15:f>'CIs and replication'!$AW$27</c15:f>
                      <c15:dlblFieldTableCache>
                        <c:ptCount val="1"/>
                      </c15:dlblFieldTableCache>
                    </c15:dlblFTEntry>
                  </c15:dlblFieldTable>
                  <c15:showDataLabelsRange val="0"/>
                </c:ext>
                <c:ext xmlns:c16="http://schemas.microsoft.com/office/drawing/2014/chart" uri="{C3380CC4-5D6E-409C-BE32-E72D297353CC}">
                  <c16:uniqueId val="{00000015-ED42-427D-94D1-B9F75E3B548A}"/>
                </c:ext>
              </c:extLst>
            </c:dLbl>
            <c:dLbl>
              <c:idx val="18"/>
              <c:tx>
                <c:strRef>
                  <c:f>'CIs and replication'!$AW$28</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{DB8BE318-FCAC-45D2-9258-FE2F14A7A95B}</c15:txfldGUID>
                      <c15:f>'CIs and replication'!$AW$28</c15:f>
                      <c15:dlblFieldTableCache>
                        <c:ptCount val="1"/>
                      </c15:dlblFieldTableCache>
                    </c15:dlblFTEntry>
                  </c15:dlblFieldTable>
                  <c15:showDataLabelsRange val="0"/>
                </c:ext>
                <c:ext xmlns:c16="http://schemas.microsoft.com/office/drawing/2014/chart" uri="{C3380CC4-5D6E-409C-BE32-E72D297353CC}">
                  <c16:uniqueId val="{00000016-ED42-427D-94D1-B9F75E3B548A}"/>
                </c:ext>
              </c:extLst>
            </c:dLbl>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'CIs and replication'!$AQ$11:$AQ$29</c:f>
              <c:numCache>
                <c:formatCode>General</c:formatCode>
                <c:ptCount val="19"/>
                <c:pt idx="0">
                  <c:v>2.6842105263157894</c:v>
                </c:pt>
                <c:pt idx="1">
                  <c:v>2.5684210526315789</c:v>
                </c:pt>
                <c:pt idx="2">
                  <c:v>2.4526315789473685</c:v>
                </c:pt>
                <c:pt idx="3">
                  <c:v>2.3368421052631581</c:v>
                </c:pt>
                <c:pt idx="4">
                  <c:v>2.2210526315789476</c:v>
                </c:pt>
                <c:pt idx="5">
                  <c:v>2.1052631578947372</c:v>
                </c:pt>
                <c:pt idx="6">
                  <c:v>1.9894736842105267</c:v>
                </c:pt>
                <c:pt idx="7">
                  <c:v>1.8736842105263163</c:v>
                </c:pt>
                <c:pt idx="8">
                  <c:v>1.7578947368421058</c:v>
                </c:pt>
                <c:pt idx="9">
                  <c:v>1.6421052631578954</c:v>
                </c:pt>
                <c:pt idx="10">
                  <c:v>1.526315789473685</c:v>
                </c:pt>
                <c:pt idx="11">
                  <c:v>1.4105263157894745</c:v>
                </c:pt>
                <c:pt idx="12">
                  <c:v>1.2947368421052641</c:v>
                </c:pt>
                <c:pt idx="13">
                  <c:v>1.1789473684210536</c:v>
                </c:pt>
                <c:pt idx="14">
                  <c:v>1.0631578947368432</c:v>
                </c:pt>
                <c:pt idx="15">
                  <c:v>0.94736842105263264</c:v>
                </c:pt>
                <c:pt idx="16">
                  <c:v>0.83157894736842208</c:v>
                </c:pt>
                <c:pt idx="17">
                  <c:v>0.71578947368421153</c:v>
                </c:pt>
                <c:pt idx="18">
                  <c:v>0.60000000000000098</c:v>
                </c:pt>
              </c:numCache>
            </c:numRef>
          </c:xVal>
          <c:yVal>
            <c:numRef>
              <c:f>'CIs and replication'!$AU$11:$AU$29</c:f>
              <c:numCache>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yVal>
          <c:smooth val="0"/>
          <c:extLst>
            <c:ext xmlns:c16="http://schemas.microsoft.com/office/drawing/2014/chart" uri="{C3380CC4-5D6E-409C-BE32-E72D297353CC}">
              <c16:uniqueId val="{00000017-ED42-427D-94D1-B9F75E3B548A}"/>
            </c:ext>
          </c:extLst>
        </c:ser>
        <c:ser>
          <c:idx val="2"/>
          <c:order val="5"/>
          <c:spPr>
            <a:ln w="28575">
              <a:noFill/>
            </a:ln>
          </c:spPr>
          <c:marker>
            <c:symbol val="none"/>
          </c:marker>
          <c:errBars>
            <c:errDir val="x"/>
            <c:errBarType val="plus"/>
            <c:errValType val="cust"/>
            <c:noEndCap val="1"/>
            <c:plus>
              <c:numRef>
                <c:f>'CIs and replication'!$BH$11:$BH$211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0.20472330508756098</c:v>
                  </c:pt>
                  <c:pt idx="57">
                    <c:v>0.22050256691356207</c:v>
                  </c:pt>
                  <c:pt idx="58">
                    <c:v>0.2371420517727465</c:v>
                  </c:pt>
                  <c:pt idx="59">
                    <c:v>0.25465491041742405</c:v>
                  </c:pt>
                  <c:pt idx="60">
                    <c:v>0.27305120348481449</c:v>
                  </c:pt>
                  <c:pt idx="61">
                    <c:v>0.29233761091646437</c:v>
                  </c:pt>
                  <c:pt idx="62">
                    <c:v>0.3125171463997658</c:v>
                  </c:pt>
                  <c:pt idx="63">
                    <c:v>0.33358887985148522</c:v>
                  </c:pt>
                  <c:pt idx="64">
                    <c:v>0.35554767109147001</c:v>
                  </c:pt>
                  <c:pt idx="65">
                    <c:v>0.37838391795304815</c:v>
                  </c:pt>
                  <c:pt idx="66">
                    <c:v>0.40208332214150566</c:v>
                  </c:pt>
                  <c:pt idx="67">
                    <c:v>0.42662667618033057</c:v>
                  </c:pt>
                  <c:pt idx="68">
                    <c:v>0.45198967477378549</c:v>
                  </c:pt>
                  <c:pt idx="69">
                    <c:v>0.4781427538613694</c:v>
                  </c:pt>
                  <c:pt idx="70">
                    <c:v>0.50505096054303111</c:v>
                  </c:pt>
                  <c:pt idx="71">
                    <c:v>0.53267385691213498</c:v>
                  </c:pt>
                  <c:pt idx="72">
                    <c:v>0.56096546064548525</c:v>
                  </c:pt>
                  <c:pt idx="73">
                    <c:v>0.58987422496606889</c:v>
                  </c:pt>
                  <c:pt idx="74">
                    <c:v>0.61934306031520459</c:v>
                  </c:pt>
                  <c:pt idx="75">
                    <c:v>0.64930939974782342</c:v>
                  </c:pt>
                  <c:pt idx="76">
                    <c:v>0.67970530969976872</c:v>
                  </c:pt>
                  <c:pt idx="77">
                    <c:v>0.71045764737213446</c:v>
                  </c:pt>
                  <c:pt idx="78">
                    <c:v>0.74148826553836145</c:v>
                  </c:pt>
                  <c:pt idx="79">
                    <c:v>0.77271426510937635</c:v>
                  </c:pt>
                  <c:pt idx="80">
                    <c:v>0.80404829529556476</c:v>
                  </c:pt>
                  <c:pt idx="81">
                    <c:v>0.83539890068734834</c:v>
                  </c:pt>
                  <c:pt idx="82">
                    <c:v>0.86667091404489538</c:v>
                  </c:pt>
                  <c:pt idx="83">
                    <c:v>0.89776589304869381</c:v>
                  </c:pt>
                  <c:pt idx="84">
                    <c:v>0.92858259872339488</c:v>
                  </c:pt>
                  <c:pt idx="85">
                    <c:v>0.95901751271500224</c:v>
                  </c:pt>
                  <c:pt idx="86">
                    <c:v>0.98896539008356932</c:v>
                  </c:pt>
                  <c:pt idx="87">
                    <c:v>1.0183198437778191</c:v>
                  </c:pt>
                  <c:pt idx="88">
                    <c:v>1.0469739564920229</c:v>
                  </c:pt>
                  <c:pt idx="89">
                    <c:v>1.0748209151764545</c:v>
                  </c:pt>
                  <c:pt idx="90">
                    <c:v>1.1017546630878483</c:v>
                  </c:pt>
                  <c:pt idx="91">
                    <c:v>1.1276705639321278</c:v>
                  </c:pt>
                  <c:pt idx="92">
                    <c:v>1.1524660723742315</c:v>
                  </c:pt>
                  <c:pt idx="93">
                    <c:v>1.1760414049745753</c:v>
                  </c:pt>
                  <c:pt idx="94">
                    <c:v>1.198300205462953</c:v>
                  </c:pt>
                  <c:pt idx="95">
                    <c:v>1.2191501981822945</c:v>
                  </c:pt>
                  <c:pt idx="96">
                    <c:v>1.2385038235292019</c:v>
                  </c:pt>
                  <c:pt idx="97">
                    <c:v>1.2562788492872734</c:v>
                  </c:pt>
                  <c:pt idx="98">
                    <c:v>1.2723989518933765</c:v>
                  </c:pt>
                  <c:pt idx="99">
                    <c:v>1.2867942618957251</c:v>
                  </c:pt>
                  <c:pt idx="100">
                    <c:v>1.2994018681539954</c:v>
                  </c:pt>
                  <c:pt idx="101">
                    <c:v>1.3101662756930601</c:v>
                  </c:pt>
                  <c:pt idx="102">
                    <c:v>1.3190398125491924</c:v>
                  </c:pt>
                  <c:pt idx="103">
                    <c:v>1.3259829814358195</c:v>
                  </c:pt>
                  <c:pt idx="104">
                    <c:v>1.3309647525991233</c:v>
                  </c:pt>
                  <c:pt idx="105">
                    <c:v>1.3339627948251769</c:v>
                  </c:pt>
                  <c:pt idx="106">
                    <c:v>1.3349636421921431</c:v>
                  </c:pt>
                  <c:pt idx="107">
                    <c:v>1.3339627948251769</c:v>
                  </c:pt>
                  <c:pt idx="108">
                    <c:v>1.3309647525991233</c:v>
                  </c:pt>
                  <c:pt idx="109">
                    <c:v>1.3259829814358195</c:v>
                  </c:pt>
                  <c:pt idx="110">
                    <c:v>1.3190398125491924</c:v>
                  </c:pt>
                  <c:pt idx="111">
                    <c:v>1.3101662756930601</c:v>
                  </c:pt>
                  <c:pt idx="112">
                    <c:v>1.2994018681539954</c:v>
                  </c:pt>
                  <c:pt idx="113">
                    <c:v>1.2867942618957251</c:v>
                  </c:pt>
                  <c:pt idx="114">
                    <c:v>1.2723989518933765</c:v>
                  </c:pt>
                  <c:pt idx="115">
                    <c:v>1.2562788492872734</c:v>
                  </c:pt>
                  <c:pt idx="116">
                    <c:v>1.2385038235292019</c:v>
                  </c:pt>
                  <c:pt idx="117">
                    <c:v>1.2191501981822945</c:v>
                  </c:pt>
                  <c:pt idx="118">
                    <c:v>1.198300205462953</c:v>
                  </c:pt>
                  <c:pt idx="119">
                    <c:v>1.1760414049745753</c:v>
                  </c:pt>
                  <c:pt idx="120">
                    <c:v>1.1524660723742315</c:v>
                  </c:pt>
                  <c:pt idx="121">
                    <c:v>1.1276705639321278</c:v>
                  </c:pt>
                  <c:pt idx="122">
                    <c:v>1.1017546630878483</c:v>
                  </c:pt>
                  <c:pt idx="123">
                    <c:v>1.0748209151764545</c:v>
                  </c:pt>
                  <c:pt idx="124">
                    <c:v>1.0469739564920229</c:v>
                  </c:pt>
                  <c:pt idx="125">
                    <c:v>1.0183198437778191</c:v>
                  </c:pt>
                  <c:pt idx="126">
                    <c:v>0.98896539008356932</c:v>
                  </c:pt>
                  <c:pt idx="127">
                    <c:v>0.95901751271500224</c:v>
                  </c:pt>
                  <c:pt idx="128">
                    <c:v>0.92858259872339488</c:v>
                  </c:pt>
                  <c:pt idx="129">
                    <c:v>0.89776589304869381</c:v>
                  </c:pt>
                  <c:pt idx="130">
                    <c:v>0.86667091404489538</c:v>
                  </c:pt>
                  <c:pt idx="131">
                    <c:v>0.83539890068734834</c:v>
                  </c:pt>
                  <c:pt idx="132">
                    <c:v>0.80404829529556476</c:v>
                  </c:pt>
                  <c:pt idx="133">
                    <c:v>0.77271426510937635</c:v>
                  </c:pt>
                  <c:pt idx="134">
                    <c:v>0.74148826553836145</c:v>
                  </c:pt>
                  <c:pt idx="135">
                    <c:v>0.71045764737213446</c:v>
                  </c:pt>
                  <c:pt idx="136">
                    <c:v>0.67970530969976872</c:v>
                  </c:pt>
                  <c:pt idx="137">
                    <c:v>0.64930939974782342</c:v>
                  </c:pt>
                  <c:pt idx="138">
                    <c:v>0.61934306031520459</c:v>
                  </c:pt>
                  <c:pt idx="139">
                    <c:v>0.58987422496606889</c:v>
                  </c:pt>
                  <c:pt idx="140">
                    <c:v>0.56096546064548525</c:v>
                  </c:pt>
                  <c:pt idx="141">
                    <c:v>0.53267385691213498</c:v>
                  </c:pt>
                  <c:pt idx="142">
                    <c:v>0.50505096054303111</c:v>
                  </c:pt>
                  <c:pt idx="143">
                    <c:v>0.4781427538613694</c:v>
                  </c:pt>
                  <c:pt idx="144">
                    <c:v>0.45198967477378549</c:v>
                  </c:pt>
                  <c:pt idx="145">
                    <c:v>0.42662667618033057</c:v>
                  </c:pt>
                  <c:pt idx="146">
                    <c:v>0.40208332214150566</c:v>
                  </c:pt>
                  <c:pt idx="147">
                    <c:v>0.37838391795304815</c:v>
                  </c:pt>
                  <c:pt idx="148">
                    <c:v>0.35554767109147001</c:v>
                  </c:pt>
                  <c:pt idx="149">
                    <c:v>0.33358887985148522</c:v>
                  </c:pt>
                  <c:pt idx="150">
                    <c:v>0.3125171463997658</c:v>
                  </c:pt>
                  <c:pt idx="151">
                    <c:v>0.29233761091646437</c:v>
                  </c:pt>
                  <c:pt idx="152">
                    <c:v>0.27305120348481449</c:v>
                  </c:pt>
                  <c:pt idx="153">
                    <c:v>0.25465491041742405</c:v>
                  </c:pt>
                  <c:pt idx="154">
                    <c:v>0.2371420517727465</c:v>
                  </c:pt>
                  <c:pt idx="155">
                    <c:v>0.22050256691356207</c:v>
                  </c:pt>
                  <c:pt idx="156">
                    <c:v>0.20472330508756098</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spPr>
              <a:ln w="25400">
                <a:solidFill>
                  <a:srgbClr val="FF8080"/>
                </a:solidFill>
                <a:prstDash val="solid"/>
              </a:ln>
            </c:spPr>
          </c:errBars>
          <c:xVal>
            <c:numRef>
              <c:f>'CIs and replication'!$BG$11:$BG$211</c:f>
              <c:numCache>
                <c:formatCode>General</c:formatCode>
                <c:ptCount val="201"/>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3</c:v>
                </c:pt>
                <c:pt idx="193">
                  <c:v>3</c:v>
                </c:pt>
                <c:pt idx="194">
                  <c:v>3</c:v>
                </c:pt>
                <c:pt idx="195">
                  <c:v>3</c:v>
                </c:pt>
                <c:pt idx="196">
                  <c:v>3</c:v>
                </c:pt>
                <c:pt idx="197">
                  <c:v>3</c:v>
                </c:pt>
                <c:pt idx="198">
                  <c:v>3</c:v>
                </c:pt>
                <c:pt idx="199">
                  <c:v>3</c:v>
                </c:pt>
                <c:pt idx="200">
                  <c:v>3</c:v>
                </c:pt>
              </c:numCache>
            </c:numRef>
          </c:xVal>
          <c:yVal>
            <c:numRef>
              <c:f>'CIs and replication'!$BD$11:$BD$211</c:f>
              <c:numCache>
                <c:formatCode>General</c:formatCode>
                <c:ptCount val="201"/>
                <c:pt idx="0">
                  <c:v>100</c:v>
                </c:pt>
                <c:pt idx="1">
                  <c:v>99.5</c:v>
                </c:pt>
                <c:pt idx="2">
                  <c:v>99</c:v>
                </c:pt>
                <c:pt idx="3">
                  <c:v>98.5</c:v>
                </c:pt>
                <c:pt idx="4">
                  <c:v>98</c:v>
                </c:pt>
                <c:pt idx="5">
                  <c:v>97.5</c:v>
                </c:pt>
                <c:pt idx="6">
                  <c:v>97</c:v>
                </c:pt>
                <c:pt idx="7">
                  <c:v>96.5</c:v>
                </c:pt>
                <c:pt idx="8">
                  <c:v>96</c:v>
                </c:pt>
                <c:pt idx="9">
                  <c:v>95.5</c:v>
                </c:pt>
                <c:pt idx="10">
                  <c:v>95</c:v>
                </c:pt>
                <c:pt idx="11">
                  <c:v>94.5</c:v>
                </c:pt>
                <c:pt idx="12">
                  <c:v>94</c:v>
                </c:pt>
                <c:pt idx="13">
                  <c:v>93.5</c:v>
                </c:pt>
                <c:pt idx="14">
                  <c:v>93</c:v>
                </c:pt>
                <c:pt idx="15">
                  <c:v>92.5</c:v>
                </c:pt>
                <c:pt idx="16">
                  <c:v>92</c:v>
                </c:pt>
                <c:pt idx="17">
                  <c:v>91.5</c:v>
                </c:pt>
                <c:pt idx="18">
                  <c:v>91</c:v>
                </c:pt>
                <c:pt idx="19">
                  <c:v>90.5</c:v>
                </c:pt>
                <c:pt idx="20">
                  <c:v>90</c:v>
                </c:pt>
                <c:pt idx="21">
                  <c:v>89.5</c:v>
                </c:pt>
                <c:pt idx="22">
                  <c:v>89</c:v>
                </c:pt>
                <c:pt idx="23">
                  <c:v>88.5</c:v>
                </c:pt>
                <c:pt idx="24">
                  <c:v>88</c:v>
                </c:pt>
                <c:pt idx="25">
                  <c:v>87.5</c:v>
                </c:pt>
                <c:pt idx="26">
                  <c:v>87</c:v>
                </c:pt>
                <c:pt idx="27">
                  <c:v>86.5</c:v>
                </c:pt>
                <c:pt idx="28">
                  <c:v>86</c:v>
                </c:pt>
                <c:pt idx="29">
                  <c:v>85.5</c:v>
                </c:pt>
                <c:pt idx="30">
                  <c:v>85</c:v>
                </c:pt>
                <c:pt idx="31">
                  <c:v>84.5</c:v>
                </c:pt>
                <c:pt idx="32">
                  <c:v>84</c:v>
                </c:pt>
                <c:pt idx="33">
                  <c:v>83.5</c:v>
                </c:pt>
                <c:pt idx="34">
                  <c:v>83</c:v>
                </c:pt>
                <c:pt idx="35">
                  <c:v>82.5</c:v>
                </c:pt>
                <c:pt idx="36">
                  <c:v>82</c:v>
                </c:pt>
                <c:pt idx="37">
                  <c:v>81.5</c:v>
                </c:pt>
                <c:pt idx="38">
                  <c:v>81</c:v>
                </c:pt>
                <c:pt idx="39">
                  <c:v>80.5</c:v>
                </c:pt>
                <c:pt idx="40">
                  <c:v>80</c:v>
                </c:pt>
                <c:pt idx="41">
                  <c:v>79.5</c:v>
                </c:pt>
                <c:pt idx="42">
                  <c:v>79</c:v>
                </c:pt>
                <c:pt idx="43">
                  <c:v>78.5</c:v>
                </c:pt>
                <c:pt idx="44">
                  <c:v>78</c:v>
                </c:pt>
                <c:pt idx="45">
                  <c:v>77.5</c:v>
                </c:pt>
                <c:pt idx="46">
                  <c:v>77</c:v>
                </c:pt>
                <c:pt idx="47">
                  <c:v>76.5</c:v>
                </c:pt>
                <c:pt idx="48">
                  <c:v>76</c:v>
                </c:pt>
                <c:pt idx="49">
                  <c:v>75.5</c:v>
                </c:pt>
                <c:pt idx="50">
                  <c:v>75</c:v>
                </c:pt>
                <c:pt idx="51">
                  <c:v>74.5</c:v>
                </c:pt>
                <c:pt idx="52">
                  <c:v>74</c:v>
                </c:pt>
                <c:pt idx="53">
                  <c:v>73.5</c:v>
                </c:pt>
                <c:pt idx="54">
                  <c:v>73</c:v>
                </c:pt>
                <c:pt idx="55">
                  <c:v>72.5</c:v>
                </c:pt>
                <c:pt idx="56">
                  <c:v>72</c:v>
                </c:pt>
                <c:pt idx="57">
                  <c:v>71.5</c:v>
                </c:pt>
                <c:pt idx="58">
                  <c:v>71</c:v>
                </c:pt>
                <c:pt idx="59">
                  <c:v>70.5</c:v>
                </c:pt>
                <c:pt idx="60">
                  <c:v>70</c:v>
                </c:pt>
                <c:pt idx="61">
                  <c:v>69.5</c:v>
                </c:pt>
                <c:pt idx="62">
                  <c:v>69</c:v>
                </c:pt>
                <c:pt idx="63">
                  <c:v>68.5</c:v>
                </c:pt>
                <c:pt idx="64">
                  <c:v>68</c:v>
                </c:pt>
                <c:pt idx="65">
                  <c:v>67.5</c:v>
                </c:pt>
                <c:pt idx="66">
                  <c:v>67</c:v>
                </c:pt>
                <c:pt idx="67">
                  <c:v>66.5</c:v>
                </c:pt>
                <c:pt idx="68">
                  <c:v>66</c:v>
                </c:pt>
                <c:pt idx="69">
                  <c:v>65.5</c:v>
                </c:pt>
                <c:pt idx="70">
                  <c:v>65</c:v>
                </c:pt>
                <c:pt idx="71">
                  <c:v>64.5</c:v>
                </c:pt>
                <c:pt idx="72">
                  <c:v>64</c:v>
                </c:pt>
                <c:pt idx="73">
                  <c:v>63.5</c:v>
                </c:pt>
                <c:pt idx="74">
                  <c:v>63</c:v>
                </c:pt>
                <c:pt idx="75">
                  <c:v>62.5</c:v>
                </c:pt>
                <c:pt idx="76">
                  <c:v>62</c:v>
                </c:pt>
                <c:pt idx="77">
                  <c:v>61.5</c:v>
                </c:pt>
                <c:pt idx="78">
                  <c:v>61</c:v>
                </c:pt>
                <c:pt idx="79">
                  <c:v>60.5</c:v>
                </c:pt>
                <c:pt idx="80">
                  <c:v>60</c:v>
                </c:pt>
                <c:pt idx="81">
                  <c:v>59.5</c:v>
                </c:pt>
                <c:pt idx="82">
                  <c:v>59</c:v>
                </c:pt>
                <c:pt idx="83">
                  <c:v>58.5</c:v>
                </c:pt>
                <c:pt idx="84">
                  <c:v>58</c:v>
                </c:pt>
                <c:pt idx="85">
                  <c:v>57.5</c:v>
                </c:pt>
                <c:pt idx="86">
                  <c:v>57</c:v>
                </c:pt>
                <c:pt idx="87">
                  <c:v>56.5</c:v>
                </c:pt>
                <c:pt idx="88">
                  <c:v>56</c:v>
                </c:pt>
                <c:pt idx="89">
                  <c:v>55.5</c:v>
                </c:pt>
                <c:pt idx="90">
                  <c:v>55</c:v>
                </c:pt>
                <c:pt idx="91">
                  <c:v>54.5</c:v>
                </c:pt>
                <c:pt idx="92">
                  <c:v>54</c:v>
                </c:pt>
                <c:pt idx="93">
                  <c:v>53.5</c:v>
                </c:pt>
                <c:pt idx="94">
                  <c:v>53</c:v>
                </c:pt>
                <c:pt idx="95">
                  <c:v>52.5</c:v>
                </c:pt>
                <c:pt idx="96">
                  <c:v>52</c:v>
                </c:pt>
                <c:pt idx="97">
                  <c:v>51.5</c:v>
                </c:pt>
                <c:pt idx="98">
                  <c:v>51</c:v>
                </c:pt>
                <c:pt idx="99">
                  <c:v>50.5</c:v>
                </c:pt>
                <c:pt idx="100">
                  <c:v>50</c:v>
                </c:pt>
                <c:pt idx="101">
                  <c:v>49.5</c:v>
                </c:pt>
                <c:pt idx="102">
                  <c:v>49</c:v>
                </c:pt>
                <c:pt idx="103">
                  <c:v>48.5</c:v>
                </c:pt>
                <c:pt idx="104">
                  <c:v>48</c:v>
                </c:pt>
                <c:pt idx="105">
                  <c:v>47.5</c:v>
                </c:pt>
                <c:pt idx="106">
                  <c:v>47</c:v>
                </c:pt>
                <c:pt idx="107">
                  <c:v>46.5</c:v>
                </c:pt>
                <c:pt idx="108">
                  <c:v>46</c:v>
                </c:pt>
                <c:pt idx="109">
                  <c:v>45.5</c:v>
                </c:pt>
                <c:pt idx="110">
                  <c:v>45</c:v>
                </c:pt>
                <c:pt idx="111">
                  <c:v>44.5</c:v>
                </c:pt>
                <c:pt idx="112">
                  <c:v>44</c:v>
                </c:pt>
                <c:pt idx="113">
                  <c:v>43.5</c:v>
                </c:pt>
                <c:pt idx="114">
                  <c:v>43</c:v>
                </c:pt>
                <c:pt idx="115">
                  <c:v>42.5</c:v>
                </c:pt>
                <c:pt idx="116">
                  <c:v>42</c:v>
                </c:pt>
                <c:pt idx="117">
                  <c:v>41.5</c:v>
                </c:pt>
                <c:pt idx="118">
                  <c:v>41</c:v>
                </c:pt>
                <c:pt idx="119">
                  <c:v>40.5</c:v>
                </c:pt>
                <c:pt idx="120">
                  <c:v>40</c:v>
                </c:pt>
                <c:pt idx="121">
                  <c:v>39.5</c:v>
                </c:pt>
                <c:pt idx="122">
                  <c:v>39</c:v>
                </c:pt>
                <c:pt idx="123">
                  <c:v>38.5</c:v>
                </c:pt>
                <c:pt idx="124">
                  <c:v>38</c:v>
                </c:pt>
                <c:pt idx="125">
                  <c:v>37.5</c:v>
                </c:pt>
                <c:pt idx="126">
                  <c:v>37</c:v>
                </c:pt>
                <c:pt idx="127">
                  <c:v>36.5</c:v>
                </c:pt>
                <c:pt idx="128">
                  <c:v>36</c:v>
                </c:pt>
                <c:pt idx="129">
                  <c:v>35.5</c:v>
                </c:pt>
                <c:pt idx="130">
                  <c:v>35</c:v>
                </c:pt>
                <c:pt idx="131">
                  <c:v>34.5</c:v>
                </c:pt>
                <c:pt idx="132">
                  <c:v>34</c:v>
                </c:pt>
                <c:pt idx="133">
                  <c:v>33.5</c:v>
                </c:pt>
                <c:pt idx="134">
                  <c:v>33</c:v>
                </c:pt>
                <c:pt idx="135">
                  <c:v>32.5</c:v>
                </c:pt>
                <c:pt idx="136">
                  <c:v>32</c:v>
                </c:pt>
                <c:pt idx="137">
                  <c:v>31.5</c:v>
                </c:pt>
                <c:pt idx="138">
                  <c:v>31</c:v>
                </c:pt>
                <c:pt idx="139">
                  <c:v>30.5</c:v>
                </c:pt>
                <c:pt idx="140">
                  <c:v>30</c:v>
                </c:pt>
                <c:pt idx="141">
                  <c:v>29.5</c:v>
                </c:pt>
                <c:pt idx="142">
                  <c:v>29</c:v>
                </c:pt>
                <c:pt idx="143">
                  <c:v>28.5</c:v>
                </c:pt>
                <c:pt idx="144">
                  <c:v>28</c:v>
                </c:pt>
                <c:pt idx="145">
                  <c:v>27.5</c:v>
                </c:pt>
                <c:pt idx="146">
                  <c:v>27</c:v>
                </c:pt>
                <c:pt idx="147">
                  <c:v>26.5</c:v>
                </c:pt>
                <c:pt idx="148">
                  <c:v>26</c:v>
                </c:pt>
                <c:pt idx="149">
                  <c:v>25.5</c:v>
                </c:pt>
                <c:pt idx="150">
                  <c:v>25</c:v>
                </c:pt>
                <c:pt idx="151">
                  <c:v>24.5</c:v>
                </c:pt>
                <c:pt idx="152">
                  <c:v>24</c:v>
                </c:pt>
                <c:pt idx="153">
                  <c:v>23.5</c:v>
                </c:pt>
                <c:pt idx="154">
                  <c:v>23</c:v>
                </c:pt>
                <c:pt idx="155">
                  <c:v>22.5</c:v>
                </c:pt>
                <c:pt idx="156">
                  <c:v>22</c:v>
                </c:pt>
                <c:pt idx="157">
                  <c:v>21.5</c:v>
                </c:pt>
                <c:pt idx="158">
                  <c:v>21</c:v>
                </c:pt>
                <c:pt idx="159">
                  <c:v>20.5</c:v>
                </c:pt>
                <c:pt idx="160">
                  <c:v>20</c:v>
                </c:pt>
                <c:pt idx="161">
                  <c:v>19.5</c:v>
                </c:pt>
                <c:pt idx="162">
                  <c:v>19</c:v>
                </c:pt>
                <c:pt idx="163">
                  <c:v>18.5</c:v>
                </c:pt>
                <c:pt idx="164">
                  <c:v>18</c:v>
                </c:pt>
                <c:pt idx="165">
                  <c:v>17.5</c:v>
                </c:pt>
                <c:pt idx="166">
                  <c:v>17</c:v>
                </c:pt>
                <c:pt idx="167">
                  <c:v>16.5</c:v>
                </c:pt>
                <c:pt idx="168">
                  <c:v>16</c:v>
                </c:pt>
                <c:pt idx="169">
                  <c:v>15.5</c:v>
                </c:pt>
                <c:pt idx="170">
                  <c:v>15</c:v>
                </c:pt>
                <c:pt idx="171">
                  <c:v>14.5</c:v>
                </c:pt>
                <c:pt idx="172">
                  <c:v>14</c:v>
                </c:pt>
                <c:pt idx="173">
                  <c:v>13.5</c:v>
                </c:pt>
                <c:pt idx="174">
                  <c:v>13</c:v>
                </c:pt>
                <c:pt idx="175">
                  <c:v>12.5</c:v>
                </c:pt>
                <c:pt idx="176">
                  <c:v>12</c:v>
                </c:pt>
                <c:pt idx="177">
                  <c:v>11.5</c:v>
                </c:pt>
                <c:pt idx="178">
                  <c:v>11</c:v>
                </c:pt>
                <c:pt idx="179">
                  <c:v>10.5</c:v>
                </c:pt>
                <c:pt idx="180">
                  <c:v>10</c:v>
                </c:pt>
                <c:pt idx="181">
                  <c:v>9.5</c:v>
                </c:pt>
                <c:pt idx="182">
                  <c:v>9</c:v>
                </c:pt>
                <c:pt idx="183">
                  <c:v>8.5</c:v>
                </c:pt>
                <c:pt idx="184">
                  <c:v>8</c:v>
                </c:pt>
                <c:pt idx="185">
                  <c:v>7.5</c:v>
                </c:pt>
                <c:pt idx="186">
                  <c:v>7</c:v>
                </c:pt>
                <c:pt idx="187">
                  <c:v>6.5</c:v>
                </c:pt>
                <c:pt idx="188">
                  <c:v>6</c:v>
                </c:pt>
                <c:pt idx="189">
                  <c:v>5.5</c:v>
                </c:pt>
                <c:pt idx="190">
                  <c:v>5</c:v>
                </c:pt>
                <c:pt idx="191">
                  <c:v>4.5</c:v>
                </c:pt>
                <c:pt idx="192">
                  <c:v>4</c:v>
                </c:pt>
                <c:pt idx="193">
                  <c:v>3.5</c:v>
                </c:pt>
                <c:pt idx="194">
                  <c:v>3</c:v>
                </c:pt>
                <c:pt idx="195">
                  <c:v>2.5</c:v>
                </c:pt>
                <c:pt idx="196">
                  <c:v>2</c:v>
                </c:pt>
                <c:pt idx="197">
                  <c:v>1.5</c:v>
                </c:pt>
                <c:pt idx="198">
                  <c:v>1</c:v>
                </c:pt>
                <c:pt idx="199">
                  <c:v>0.5</c:v>
                </c:pt>
                <c:pt idx="200">
                  <c:v>0</c:v>
                </c:pt>
              </c:numCache>
            </c:numRef>
          </c:yVal>
          <c:smooth val="0"/>
          <c:extLst>
            <c:ext xmlns:c16="http://schemas.microsoft.com/office/drawing/2014/chart" uri="{C3380CC4-5D6E-409C-BE32-E72D297353CC}">
              <c16:uniqueId val="{00000018-ED42-427D-94D1-B9F75E3B548A}"/>
            </c:ext>
          </c:extLst>
        </c:ser>
        <c:ser>
          <c:idx val="16"/>
          <c:order val="6"/>
          <c:spPr>
            <a:ln w="28575">
              <a:noFill/>
            </a:ln>
          </c:spPr>
          <c:marker>
            <c:symbol val="none"/>
          </c:marker>
          <c:errBars>
            <c:errDir val="x"/>
            <c:errBarType val="plus"/>
            <c:errValType val="cust"/>
            <c:noEndCap val="1"/>
            <c:plus>
              <c:numRef>
                <c:f>'CIs and replication'!$BF$11:$BF$211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0.10708890059161424</c:v>
                  </c:pt>
                  <c:pt idx="49">
                    <c:v>0.11673534174374067</c:v>
                  </c:pt>
                  <c:pt idx="50">
                    <c:v>0.12705998987485589</c:v>
                  </c:pt>
                  <c:pt idx="51">
                    <c:v>0.13809050950515411</c:v>
                  </c:pt>
                  <c:pt idx="52">
                    <c:v>0.14985367772194413</c:v>
                  </c:pt>
                  <c:pt idx="53">
                    <c:v>0.16237513983087037</c:v>
                  </c:pt>
                  <c:pt idx="54">
                    <c:v>0.17567915284309787</c:v>
                  </c:pt>
                  <c:pt idx="55">
                    <c:v>0.18978831816470265</c:v>
                  </c:pt>
                  <c:pt idx="56">
                    <c:v>0.20472330508756098</c:v>
                  </c:pt>
                  <c:pt idx="57">
                    <c:v>0.22050256691356207</c:v>
                  </c:pt>
                  <c:pt idx="58">
                    <c:v>0.2371420517727465</c:v>
                  </c:pt>
                  <c:pt idx="59">
                    <c:v>0.25465491041742405</c:v>
                  </c:pt>
                  <c:pt idx="60">
                    <c:v>0.27305120348481449</c:v>
                  </c:pt>
                  <c:pt idx="61">
                    <c:v>0.29233761091646437</c:v>
                  </c:pt>
                  <c:pt idx="62">
                    <c:v>0.3125171463997658</c:v>
                  </c:pt>
                  <c:pt idx="63">
                    <c:v>0.33358887985148522</c:v>
                  </c:pt>
                  <c:pt idx="64">
                    <c:v>0.35554767109147001</c:v>
                  </c:pt>
                  <c:pt idx="65">
                    <c:v>0.37838391795304815</c:v>
                  </c:pt>
                  <c:pt idx="66">
                    <c:v>0.40208332214150566</c:v>
                  </c:pt>
                  <c:pt idx="67">
                    <c:v>0.42662667618033057</c:v>
                  </c:pt>
                  <c:pt idx="68">
                    <c:v>0.45198967477378549</c:v>
                  </c:pt>
                  <c:pt idx="69">
                    <c:v>0.4781427538613694</c:v>
                  </c:pt>
                  <c:pt idx="70">
                    <c:v>0.50505096054303111</c:v>
                  </c:pt>
                  <c:pt idx="71">
                    <c:v>0.53267385691213498</c:v>
                  </c:pt>
                  <c:pt idx="72">
                    <c:v>0.56096546064548525</c:v>
                  </c:pt>
                  <c:pt idx="73">
                    <c:v>0.58987422496606889</c:v>
                  </c:pt>
                  <c:pt idx="74">
                    <c:v>0.61934306031520459</c:v>
                  </c:pt>
                  <c:pt idx="75">
                    <c:v>0.64930939974782342</c:v>
                  </c:pt>
                  <c:pt idx="76">
                    <c:v>0.67970530969976872</c:v>
                  </c:pt>
                  <c:pt idx="77">
                    <c:v>0.71045764737213446</c:v>
                  </c:pt>
                  <c:pt idx="78">
                    <c:v>0.74148826553836145</c:v>
                  </c:pt>
                  <c:pt idx="79">
                    <c:v>0.77271426510937635</c:v>
                  </c:pt>
                  <c:pt idx="80">
                    <c:v>0.80404829529556476</c:v>
                  </c:pt>
                  <c:pt idx="81">
                    <c:v>0.83539890068734834</c:v>
                  </c:pt>
                  <c:pt idx="82">
                    <c:v>0.86667091404489538</c:v>
                  </c:pt>
                  <c:pt idx="83">
                    <c:v>0.89776589304869381</c:v>
                  </c:pt>
                  <c:pt idx="84">
                    <c:v>0.92858259872339488</c:v>
                  </c:pt>
                  <c:pt idx="85">
                    <c:v>0.95901751271500224</c:v>
                  </c:pt>
                  <c:pt idx="86">
                    <c:v>0.98896539008356932</c:v>
                  </c:pt>
                  <c:pt idx="87">
                    <c:v>1.0183198437778191</c:v>
                  </c:pt>
                  <c:pt idx="88">
                    <c:v>1.0469739564920229</c:v>
                  </c:pt>
                  <c:pt idx="89">
                    <c:v>1.0748209151764545</c:v>
                  </c:pt>
                  <c:pt idx="90">
                    <c:v>1.1017546630878483</c:v>
                  </c:pt>
                  <c:pt idx="91">
                    <c:v>1.1276705639321278</c:v>
                  </c:pt>
                  <c:pt idx="92">
                    <c:v>1.1524660723742315</c:v>
                  </c:pt>
                  <c:pt idx="93">
                    <c:v>1.1760414049745753</c:v>
                  </c:pt>
                  <c:pt idx="94">
                    <c:v>1.198300205462953</c:v>
                  </c:pt>
                  <c:pt idx="95">
                    <c:v>1.2191501981822945</c:v>
                  </c:pt>
                  <c:pt idx="96">
                    <c:v>1.2385038235292019</c:v>
                  </c:pt>
                  <c:pt idx="97">
                    <c:v>1.2562788492872734</c:v>
                  </c:pt>
                  <c:pt idx="98">
                    <c:v>1.2723989518933765</c:v>
                  </c:pt>
                  <c:pt idx="99">
                    <c:v>1.2867942618957251</c:v>
                  </c:pt>
                  <c:pt idx="100">
                    <c:v>1.2994018681539954</c:v>
                  </c:pt>
                  <c:pt idx="101">
                    <c:v>1.3101662756930601</c:v>
                  </c:pt>
                  <c:pt idx="102">
                    <c:v>1.3190398125491924</c:v>
                  </c:pt>
                  <c:pt idx="103">
                    <c:v>1.3259829814358195</c:v>
                  </c:pt>
                  <c:pt idx="104">
                    <c:v>1.3309647525991233</c:v>
                  </c:pt>
                  <c:pt idx="105">
                    <c:v>1.3339627948251769</c:v>
                  </c:pt>
                  <c:pt idx="106">
                    <c:v>1.3349636421921431</c:v>
                  </c:pt>
                  <c:pt idx="107">
                    <c:v>1.3339627948251769</c:v>
                  </c:pt>
                  <c:pt idx="108">
                    <c:v>1.3309647525991233</c:v>
                  </c:pt>
                  <c:pt idx="109">
                    <c:v>1.3259829814358195</c:v>
                  </c:pt>
                  <c:pt idx="110">
                    <c:v>1.3190398125491924</c:v>
                  </c:pt>
                  <c:pt idx="111">
                    <c:v>1.3101662756930601</c:v>
                  </c:pt>
                  <c:pt idx="112">
                    <c:v>1.2994018681539954</c:v>
                  </c:pt>
                  <c:pt idx="113">
                    <c:v>1.2867942618957251</c:v>
                  </c:pt>
                  <c:pt idx="114">
                    <c:v>1.2723989518933765</c:v>
                  </c:pt>
                  <c:pt idx="115">
                    <c:v>1.2562788492872734</c:v>
                  </c:pt>
                  <c:pt idx="116">
                    <c:v>1.2385038235292019</c:v>
                  </c:pt>
                  <c:pt idx="117">
                    <c:v>1.2191501981822945</c:v>
                  </c:pt>
                  <c:pt idx="118">
                    <c:v>1.198300205462953</c:v>
                  </c:pt>
                  <c:pt idx="119">
                    <c:v>1.1760414049745753</c:v>
                  </c:pt>
                  <c:pt idx="120">
                    <c:v>1.1524660723742315</c:v>
                  </c:pt>
                  <c:pt idx="121">
                    <c:v>1.1276705639321278</c:v>
                  </c:pt>
                  <c:pt idx="122">
                    <c:v>1.1017546630878483</c:v>
                  </c:pt>
                  <c:pt idx="123">
                    <c:v>1.0748209151764545</c:v>
                  </c:pt>
                  <c:pt idx="124">
                    <c:v>1.0469739564920229</c:v>
                  </c:pt>
                  <c:pt idx="125">
                    <c:v>1.0183198437778191</c:v>
                  </c:pt>
                  <c:pt idx="126">
                    <c:v>0.98896539008356932</c:v>
                  </c:pt>
                  <c:pt idx="127">
                    <c:v>0.95901751271500224</c:v>
                  </c:pt>
                  <c:pt idx="128">
                    <c:v>0.92858259872339488</c:v>
                  </c:pt>
                  <c:pt idx="129">
                    <c:v>0.89776589304869381</c:v>
                  </c:pt>
                  <c:pt idx="130">
                    <c:v>0.86667091404489538</c:v>
                  </c:pt>
                  <c:pt idx="131">
                    <c:v>0.83539890068734834</c:v>
                  </c:pt>
                  <c:pt idx="132">
                    <c:v>0.80404829529556476</c:v>
                  </c:pt>
                  <c:pt idx="133">
                    <c:v>0.77271426510937635</c:v>
                  </c:pt>
                  <c:pt idx="134">
                    <c:v>0.74148826553836145</c:v>
                  </c:pt>
                  <c:pt idx="135">
                    <c:v>0.71045764737213446</c:v>
                  </c:pt>
                  <c:pt idx="136">
                    <c:v>0.67970530969976872</c:v>
                  </c:pt>
                  <c:pt idx="137">
                    <c:v>0.64930939974782342</c:v>
                  </c:pt>
                  <c:pt idx="138">
                    <c:v>0.61934306031520459</c:v>
                  </c:pt>
                  <c:pt idx="139">
                    <c:v>0.58987422496606889</c:v>
                  </c:pt>
                  <c:pt idx="140">
                    <c:v>0.56096546064548525</c:v>
                  </c:pt>
                  <c:pt idx="141">
                    <c:v>0.53267385691213498</c:v>
                  </c:pt>
                  <c:pt idx="142">
                    <c:v>0.50505096054303111</c:v>
                  </c:pt>
                  <c:pt idx="143">
                    <c:v>0.4781427538613694</c:v>
                  </c:pt>
                  <c:pt idx="144">
                    <c:v>0.45198967477378549</c:v>
                  </c:pt>
                  <c:pt idx="145">
                    <c:v>0.42662667618033057</c:v>
                  </c:pt>
                  <c:pt idx="146">
                    <c:v>0.40208332214150566</c:v>
                  </c:pt>
                  <c:pt idx="147">
                    <c:v>0.37838391795304815</c:v>
                  </c:pt>
                  <c:pt idx="148">
                    <c:v>0.35554767109147001</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plus>
            <c:spPr>
              <a:ln w="38100">
                <a:solidFill>
                  <a:srgbClr val="99CC00"/>
                </a:solidFill>
                <a:prstDash val="solid"/>
              </a:ln>
            </c:spPr>
          </c:errBars>
          <c:xVal>
            <c:numRef>
              <c:f>'CIs and replication'!$BE$11:$BE$211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'CIs and replication'!$BD$11:$BD$211</c:f>
              <c:numCache>
                <c:formatCode>General</c:formatCode>
                <c:ptCount val="201"/>
                <c:pt idx="0">
                  <c:v>100</c:v>
                </c:pt>
                <c:pt idx="1">
                  <c:v>99.5</c:v>
                </c:pt>
                <c:pt idx="2">
                  <c:v>99</c:v>
                </c:pt>
                <c:pt idx="3">
                  <c:v>98.5</c:v>
                </c:pt>
                <c:pt idx="4">
                  <c:v>98</c:v>
                </c:pt>
                <c:pt idx="5">
                  <c:v>97.5</c:v>
                </c:pt>
                <c:pt idx="6">
                  <c:v>97</c:v>
                </c:pt>
                <c:pt idx="7">
                  <c:v>96.5</c:v>
                </c:pt>
                <c:pt idx="8">
                  <c:v>96</c:v>
                </c:pt>
                <c:pt idx="9">
                  <c:v>95.5</c:v>
                </c:pt>
                <c:pt idx="10">
                  <c:v>95</c:v>
                </c:pt>
                <c:pt idx="11">
                  <c:v>94.5</c:v>
                </c:pt>
                <c:pt idx="12">
                  <c:v>94</c:v>
                </c:pt>
                <c:pt idx="13">
                  <c:v>93.5</c:v>
                </c:pt>
                <c:pt idx="14">
                  <c:v>93</c:v>
                </c:pt>
                <c:pt idx="15">
                  <c:v>92.5</c:v>
                </c:pt>
                <c:pt idx="16">
                  <c:v>92</c:v>
                </c:pt>
                <c:pt idx="17">
                  <c:v>91.5</c:v>
                </c:pt>
                <c:pt idx="18">
                  <c:v>91</c:v>
                </c:pt>
                <c:pt idx="19">
                  <c:v>90.5</c:v>
                </c:pt>
                <c:pt idx="20">
                  <c:v>90</c:v>
                </c:pt>
                <c:pt idx="21">
                  <c:v>89.5</c:v>
                </c:pt>
                <c:pt idx="22">
                  <c:v>89</c:v>
                </c:pt>
                <c:pt idx="23">
                  <c:v>88.5</c:v>
                </c:pt>
                <c:pt idx="24">
                  <c:v>88</c:v>
                </c:pt>
                <c:pt idx="25">
                  <c:v>87.5</c:v>
                </c:pt>
                <c:pt idx="26">
                  <c:v>87</c:v>
                </c:pt>
                <c:pt idx="27">
                  <c:v>86.5</c:v>
                </c:pt>
                <c:pt idx="28">
                  <c:v>86</c:v>
                </c:pt>
                <c:pt idx="29">
                  <c:v>85.5</c:v>
                </c:pt>
                <c:pt idx="30">
                  <c:v>85</c:v>
                </c:pt>
                <c:pt idx="31">
                  <c:v>84.5</c:v>
                </c:pt>
                <c:pt idx="32">
                  <c:v>84</c:v>
                </c:pt>
                <c:pt idx="33">
                  <c:v>83.5</c:v>
                </c:pt>
                <c:pt idx="34">
                  <c:v>83</c:v>
                </c:pt>
                <c:pt idx="35">
                  <c:v>82.5</c:v>
                </c:pt>
                <c:pt idx="36">
                  <c:v>82</c:v>
                </c:pt>
                <c:pt idx="37">
                  <c:v>81.5</c:v>
                </c:pt>
                <c:pt idx="38">
                  <c:v>81</c:v>
                </c:pt>
                <c:pt idx="39">
                  <c:v>80.5</c:v>
                </c:pt>
                <c:pt idx="40">
                  <c:v>80</c:v>
                </c:pt>
                <c:pt idx="41">
                  <c:v>79.5</c:v>
                </c:pt>
                <c:pt idx="42">
                  <c:v>79</c:v>
                </c:pt>
                <c:pt idx="43">
                  <c:v>78.5</c:v>
                </c:pt>
                <c:pt idx="44">
                  <c:v>78</c:v>
                </c:pt>
                <c:pt idx="45">
                  <c:v>77.5</c:v>
                </c:pt>
                <c:pt idx="46">
                  <c:v>77</c:v>
                </c:pt>
                <c:pt idx="47">
                  <c:v>76.5</c:v>
                </c:pt>
                <c:pt idx="48">
                  <c:v>76</c:v>
                </c:pt>
                <c:pt idx="49">
                  <c:v>75.5</c:v>
                </c:pt>
                <c:pt idx="50">
                  <c:v>75</c:v>
                </c:pt>
                <c:pt idx="51">
                  <c:v>74.5</c:v>
                </c:pt>
                <c:pt idx="52">
                  <c:v>74</c:v>
                </c:pt>
                <c:pt idx="53">
                  <c:v>73.5</c:v>
                </c:pt>
                <c:pt idx="54">
                  <c:v>73</c:v>
                </c:pt>
                <c:pt idx="55">
                  <c:v>72.5</c:v>
                </c:pt>
                <c:pt idx="56">
                  <c:v>72</c:v>
                </c:pt>
                <c:pt idx="57">
                  <c:v>71.5</c:v>
                </c:pt>
                <c:pt idx="58">
                  <c:v>71</c:v>
                </c:pt>
                <c:pt idx="59">
                  <c:v>70.5</c:v>
                </c:pt>
                <c:pt idx="60">
                  <c:v>70</c:v>
                </c:pt>
                <c:pt idx="61">
                  <c:v>69.5</c:v>
                </c:pt>
                <c:pt idx="62">
                  <c:v>69</c:v>
                </c:pt>
                <c:pt idx="63">
                  <c:v>68.5</c:v>
                </c:pt>
                <c:pt idx="64">
                  <c:v>68</c:v>
                </c:pt>
                <c:pt idx="65">
                  <c:v>67.5</c:v>
                </c:pt>
                <c:pt idx="66">
                  <c:v>67</c:v>
                </c:pt>
                <c:pt idx="67">
                  <c:v>66.5</c:v>
                </c:pt>
                <c:pt idx="68">
                  <c:v>66</c:v>
                </c:pt>
                <c:pt idx="69">
                  <c:v>65.5</c:v>
                </c:pt>
                <c:pt idx="70">
                  <c:v>65</c:v>
                </c:pt>
                <c:pt idx="71">
                  <c:v>64.5</c:v>
                </c:pt>
                <c:pt idx="72">
                  <c:v>64</c:v>
                </c:pt>
                <c:pt idx="73">
                  <c:v>63.5</c:v>
                </c:pt>
                <c:pt idx="74">
                  <c:v>63</c:v>
                </c:pt>
                <c:pt idx="75">
                  <c:v>62.5</c:v>
                </c:pt>
                <c:pt idx="76">
                  <c:v>62</c:v>
                </c:pt>
                <c:pt idx="77">
                  <c:v>61.5</c:v>
                </c:pt>
                <c:pt idx="78">
                  <c:v>61</c:v>
                </c:pt>
                <c:pt idx="79">
                  <c:v>60.5</c:v>
                </c:pt>
                <c:pt idx="80">
                  <c:v>60</c:v>
                </c:pt>
                <c:pt idx="81">
                  <c:v>59.5</c:v>
                </c:pt>
                <c:pt idx="82">
                  <c:v>59</c:v>
                </c:pt>
                <c:pt idx="83">
                  <c:v>58.5</c:v>
                </c:pt>
                <c:pt idx="84">
                  <c:v>58</c:v>
                </c:pt>
                <c:pt idx="85">
                  <c:v>57.5</c:v>
                </c:pt>
                <c:pt idx="86">
                  <c:v>57</c:v>
                </c:pt>
                <c:pt idx="87">
                  <c:v>56.5</c:v>
                </c:pt>
                <c:pt idx="88">
                  <c:v>56</c:v>
                </c:pt>
                <c:pt idx="89">
                  <c:v>55.5</c:v>
                </c:pt>
                <c:pt idx="90">
                  <c:v>55</c:v>
                </c:pt>
                <c:pt idx="91">
                  <c:v>54.5</c:v>
                </c:pt>
                <c:pt idx="92">
                  <c:v>54</c:v>
                </c:pt>
                <c:pt idx="93">
                  <c:v>53.5</c:v>
                </c:pt>
                <c:pt idx="94">
                  <c:v>53</c:v>
                </c:pt>
                <c:pt idx="95">
                  <c:v>52.5</c:v>
                </c:pt>
                <c:pt idx="96">
                  <c:v>52</c:v>
                </c:pt>
                <c:pt idx="97">
                  <c:v>51.5</c:v>
                </c:pt>
                <c:pt idx="98">
                  <c:v>51</c:v>
                </c:pt>
                <c:pt idx="99">
                  <c:v>50.5</c:v>
                </c:pt>
                <c:pt idx="100">
                  <c:v>50</c:v>
                </c:pt>
                <c:pt idx="101">
                  <c:v>49.5</c:v>
                </c:pt>
                <c:pt idx="102">
                  <c:v>49</c:v>
                </c:pt>
                <c:pt idx="103">
                  <c:v>48.5</c:v>
                </c:pt>
                <c:pt idx="104">
                  <c:v>48</c:v>
                </c:pt>
                <c:pt idx="105">
                  <c:v>47.5</c:v>
                </c:pt>
                <c:pt idx="106">
                  <c:v>47</c:v>
                </c:pt>
                <c:pt idx="107">
                  <c:v>46.5</c:v>
                </c:pt>
                <c:pt idx="108">
                  <c:v>46</c:v>
                </c:pt>
                <c:pt idx="109">
                  <c:v>45.5</c:v>
                </c:pt>
                <c:pt idx="110">
                  <c:v>45</c:v>
                </c:pt>
                <c:pt idx="111">
                  <c:v>44.5</c:v>
                </c:pt>
                <c:pt idx="112">
                  <c:v>44</c:v>
                </c:pt>
                <c:pt idx="113">
                  <c:v>43.5</c:v>
                </c:pt>
                <c:pt idx="114">
                  <c:v>43</c:v>
                </c:pt>
                <c:pt idx="115">
                  <c:v>42.5</c:v>
                </c:pt>
                <c:pt idx="116">
                  <c:v>42</c:v>
                </c:pt>
                <c:pt idx="117">
                  <c:v>41.5</c:v>
                </c:pt>
                <c:pt idx="118">
                  <c:v>41</c:v>
                </c:pt>
                <c:pt idx="119">
                  <c:v>40.5</c:v>
                </c:pt>
                <c:pt idx="120">
                  <c:v>40</c:v>
                </c:pt>
                <c:pt idx="121">
                  <c:v>39.5</c:v>
                </c:pt>
                <c:pt idx="122">
                  <c:v>39</c:v>
                </c:pt>
                <c:pt idx="123">
                  <c:v>38.5</c:v>
                </c:pt>
                <c:pt idx="124">
                  <c:v>38</c:v>
                </c:pt>
                <c:pt idx="125">
                  <c:v>37.5</c:v>
                </c:pt>
                <c:pt idx="126">
                  <c:v>37</c:v>
                </c:pt>
                <c:pt idx="127">
                  <c:v>36.5</c:v>
                </c:pt>
                <c:pt idx="128">
                  <c:v>36</c:v>
                </c:pt>
                <c:pt idx="129">
                  <c:v>35.5</c:v>
                </c:pt>
                <c:pt idx="130">
                  <c:v>35</c:v>
                </c:pt>
                <c:pt idx="131">
                  <c:v>34.5</c:v>
                </c:pt>
                <c:pt idx="132">
                  <c:v>34</c:v>
                </c:pt>
                <c:pt idx="133">
                  <c:v>33.5</c:v>
                </c:pt>
                <c:pt idx="134">
                  <c:v>33</c:v>
                </c:pt>
                <c:pt idx="135">
                  <c:v>32.5</c:v>
                </c:pt>
                <c:pt idx="136">
                  <c:v>32</c:v>
                </c:pt>
                <c:pt idx="137">
                  <c:v>31.5</c:v>
                </c:pt>
                <c:pt idx="138">
                  <c:v>31</c:v>
                </c:pt>
                <c:pt idx="139">
                  <c:v>30.5</c:v>
                </c:pt>
                <c:pt idx="140">
                  <c:v>30</c:v>
                </c:pt>
                <c:pt idx="141">
                  <c:v>29.5</c:v>
                </c:pt>
                <c:pt idx="142">
                  <c:v>29</c:v>
                </c:pt>
                <c:pt idx="143">
                  <c:v>28.5</c:v>
                </c:pt>
                <c:pt idx="144">
                  <c:v>28</c:v>
                </c:pt>
                <c:pt idx="145">
                  <c:v>27.5</c:v>
                </c:pt>
                <c:pt idx="146">
                  <c:v>27</c:v>
                </c:pt>
                <c:pt idx="147">
                  <c:v>26.5</c:v>
                </c:pt>
                <c:pt idx="148">
                  <c:v>26</c:v>
                </c:pt>
                <c:pt idx="149">
                  <c:v>25.5</c:v>
                </c:pt>
                <c:pt idx="150">
                  <c:v>25</c:v>
                </c:pt>
                <c:pt idx="151">
                  <c:v>24.5</c:v>
                </c:pt>
                <c:pt idx="152">
                  <c:v>24</c:v>
                </c:pt>
                <c:pt idx="153">
                  <c:v>23.5</c:v>
                </c:pt>
                <c:pt idx="154">
                  <c:v>23</c:v>
                </c:pt>
                <c:pt idx="155">
                  <c:v>22.5</c:v>
                </c:pt>
                <c:pt idx="156">
                  <c:v>22</c:v>
                </c:pt>
                <c:pt idx="157">
                  <c:v>21.5</c:v>
                </c:pt>
                <c:pt idx="158">
                  <c:v>21</c:v>
                </c:pt>
                <c:pt idx="159">
                  <c:v>20.5</c:v>
                </c:pt>
                <c:pt idx="160">
                  <c:v>20</c:v>
                </c:pt>
                <c:pt idx="161">
                  <c:v>19.5</c:v>
                </c:pt>
                <c:pt idx="162">
                  <c:v>19</c:v>
                </c:pt>
                <c:pt idx="163">
                  <c:v>18.5</c:v>
                </c:pt>
                <c:pt idx="164">
                  <c:v>18</c:v>
                </c:pt>
                <c:pt idx="165">
                  <c:v>17.5</c:v>
                </c:pt>
                <c:pt idx="166">
                  <c:v>17</c:v>
                </c:pt>
                <c:pt idx="167">
                  <c:v>16.5</c:v>
                </c:pt>
                <c:pt idx="168">
                  <c:v>16</c:v>
                </c:pt>
                <c:pt idx="169">
                  <c:v>15.5</c:v>
                </c:pt>
                <c:pt idx="170">
                  <c:v>15</c:v>
                </c:pt>
                <c:pt idx="171">
                  <c:v>14.5</c:v>
                </c:pt>
                <c:pt idx="172">
                  <c:v>14</c:v>
                </c:pt>
                <c:pt idx="173">
                  <c:v>13.5</c:v>
                </c:pt>
                <c:pt idx="174">
                  <c:v>13</c:v>
                </c:pt>
                <c:pt idx="175">
                  <c:v>12.5</c:v>
                </c:pt>
                <c:pt idx="176">
                  <c:v>12</c:v>
                </c:pt>
                <c:pt idx="177">
                  <c:v>11.5</c:v>
                </c:pt>
                <c:pt idx="178">
                  <c:v>11</c:v>
                </c:pt>
                <c:pt idx="179">
                  <c:v>10.5</c:v>
                </c:pt>
                <c:pt idx="180">
                  <c:v>10</c:v>
                </c:pt>
                <c:pt idx="181">
                  <c:v>9.5</c:v>
                </c:pt>
                <c:pt idx="182">
                  <c:v>9</c:v>
                </c:pt>
                <c:pt idx="183">
                  <c:v>8.5</c:v>
                </c:pt>
                <c:pt idx="184">
                  <c:v>8</c:v>
                </c:pt>
                <c:pt idx="185">
                  <c:v>7.5</c:v>
                </c:pt>
                <c:pt idx="186">
                  <c:v>7</c:v>
                </c:pt>
                <c:pt idx="187">
                  <c:v>6.5</c:v>
                </c:pt>
                <c:pt idx="188">
                  <c:v>6</c:v>
                </c:pt>
                <c:pt idx="189">
                  <c:v>5.5</c:v>
                </c:pt>
                <c:pt idx="190">
                  <c:v>5</c:v>
                </c:pt>
                <c:pt idx="191">
                  <c:v>4.5</c:v>
                </c:pt>
                <c:pt idx="192">
                  <c:v>4</c:v>
                </c:pt>
                <c:pt idx="193">
                  <c:v>3.5</c:v>
                </c:pt>
                <c:pt idx="194">
                  <c:v>3</c:v>
                </c:pt>
                <c:pt idx="195">
                  <c:v>2.5</c:v>
                </c:pt>
                <c:pt idx="196">
                  <c:v>2</c:v>
                </c:pt>
                <c:pt idx="197">
                  <c:v>1.5</c:v>
                </c:pt>
                <c:pt idx="198">
                  <c:v>1</c:v>
                </c:pt>
                <c:pt idx="199">
                  <c:v>0.5</c:v>
                </c:pt>
                <c:pt idx="200">
                  <c:v>0</c:v>
                </c:pt>
              </c:numCache>
            </c:numRef>
          </c:yVal>
          <c:smooth val="0"/>
          <c:extLst>
            <c:ext xmlns:c16="http://schemas.microsoft.com/office/drawing/2014/chart" uri="{C3380CC4-5D6E-409C-BE32-E72D297353CC}">
              <c16:uniqueId val="{00000019-ED42-427D-94D1-B9F75E3B548A}"/>
            </c:ext>
          </c:extLst>
        </c:ser>
        <c:ser>
          <c:idx val="4"/>
          <c:order val="7"/>
          <c:spPr>
            <a:ln w="28575">
              <a:noFill/>
            </a:ln>
          </c:spPr>
          <c:marker>
            <c:symbol val="none"/>
          </c:marker>
          <c:errBars>
            <c:errDir val="x"/>
            <c:errBarType val="plus"/>
            <c:errValType val="cust"/>
            <c:noEndCap val="1"/>
            <c:plus>
              <c:numLit>
                <c:formatCode>General</c:formatCode>
                <c:ptCount val="1"/>
                <c:pt idx="0">
                  <c:v>9</c:v>
                </c:pt>
              </c:numLit>
            </c:plus>
            <c:spPr>
              <a:ln w="12700">
                <a:solidFill>
                  <a:srgbClr val="FF0000"/>
                </a:solidFill>
                <a:prstDash val="solid"/>
              </a:ln>
            </c:spPr>
          </c:errBars>
          <c:xVal>
            <c:numRef>
              <c:f>'CIs and replication'!$AT$1</c:f>
              <c:numCache>
                <c:formatCode>General</c:formatCode>
                <c:ptCount val="1"/>
                <c:pt idx="0">
                  <c:v>0.3</c:v>
                </c:pt>
              </c:numCache>
            </c:numRef>
          </c:xVal>
          <c:yVal>
            <c:numRef>
              <c:f>'CIs and replication'!$AU$1</c:f>
              <c:numCache>
                <c:formatCode>General</c:formatCode>
                <c:ptCount val="1"/>
                <c:pt idx="0">
                  <c:v>47</c:v>
                </c:pt>
              </c:numCache>
            </c:numRef>
          </c:yVal>
          <c:smooth val="0"/>
          <c:extLst>
            <c:ext xmlns:c16="http://schemas.microsoft.com/office/drawing/2014/chart" uri="{C3380CC4-5D6E-409C-BE32-E72D297353CC}">
              <c16:uniqueId val="{0000001A-ED42-427D-94D1-B9F75E3B548A}"/>
            </c:ext>
          </c:extLst>
        </c:ser>
        <c:ser>
          <c:idx val="13"/>
          <c:order val="8"/>
          <c:spPr>
            <a:ln w="28575">
              <a:noFill/>
            </a:ln>
          </c:spPr>
          <c:marker>
            <c:symbol val="none"/>
          </c:marker>
          <c:errBars>
            <c:errDir val="x"/>
            <c:errBarType val="both"/>
            <c:errValType val="cust"/>
            <c:noEndCap val="0"/>
            <c:plus>
              <c:numLit>
                <c:formatCode>General</c:formatCode>
                <c:ptCount val="1"/>
                <c:pt idx="0">
                  <c:v>9</c:v>
                </c:pt>
              </c:numLit>
            </c:plus>
            <c:minus>
              <c:numLit>
                <c:formatCode>General</c:formatCode>
                <c:ptCount val="1"/>
                <c:pt idx="0">
                  <c:v>1</c:v>
                </c:pt>
              </c:numLit>
            </c:minus>
            <c:spPr>
              <a:ln w="3175">
                <a:pattFill prst="pct25">
                  <a:fgClr>
                    <a:srgbClr val="FF0000"/>
                  </a:fgClr>
                  <a:bgClr>
                    <a:srgbClr val="FFFFFF"/>
                  </a:bgClr>
                </a:pattFill>
                <a:prstDash val="solid"/>
              </a:ln>
            </c:spPr>
          </c:errBars>
          <c:xVal>
            <c:numRef>
              <c:f>'CIs and replication'!$AS$3:$AS$4</c:f>
              <c:numCache>
                <c:formatCode>General</c:formatCode>
                <c:ptCount val="2"/>
                <c:pt idx="0">
                  <c:v>0.3</c:v>
                </c:pt>
                <c:pt idx="1">
                  <c:v>0.3</c:v>
                </c:pt>
              </c:numCache>
            </c:numRef>
          </c:xVal>
          <c:yVal>
            <c:numRef>
              <c:f>'CIs and replication'!$AT$3:$AT$4</c:f>
              <c:numCache>
                <c:formatCode>General</c:formatCode>
                <c:ptCount val="2"/>
                <c:pt idx="0">
                  <c:v>72.30302623763319</c:v>
                </c:pt>
                <c:pt idx="1">
                  <c:v>21.696973762366806</c:v>
                </c:pt>
              </c:numCache>
            </c:numRef>
          </c:yVal>
          <c:smooth val="0"/>
          <c:extLst>
            <c:ext xmlns:c16="http://schemas.microsoft.com/office/drawing/2014/chart" uri="{C3380CC4-5D6E-409C-BE32-E72D297353CC}">
              <c16:uniqueId val="{0000001B-ED42-427D-94D1-B9F75E3B548A}"/>
            </c:ext>
          </c:extLst>
        </c:ser>
        <c:ser>
          <c:idx val="17"/>
          <c:order val="9"/>
          <c:spPr>
            <a:ln w="28575">
              <a:noFill/>
            </a:ln>
          </c:spPr>
          <c:marker>
            <c:symbol val="none"/>
          </c:marker>
          <c:errBars>
            <c:errDir val="y"/>
            <c:errBarType val="plus"/>
            <c:errValType val="cust"/>
            <c:noEndCap val="1"/>
            <c:plus>
              <c:numLit>
                <c:formatCode>General</c:formatCode>
                <c:ptCount val="1"/>
                <c:pt idx="0">
                  <c:v>100</c:v>
                </c:pt>
              </c:numLit>
            </c:plus>
            <c:spPr>
              <a:ln w="12700">
                <a:solidFill>
                  <a:srgbClr val="808080"/>
                </a:solidFill>
                <a:prstDash val="solid"/>
              </a:ln>
            </c:spPr>
          </c:errBars>
          <c:xVal>
            <c:numRef>
              <c:f>'CIs and replication'!$AQ$6</c:f>
              <c:numCache>
                <c:formatCode>General</c:formatCode>
                <c:ptCount val="1"/>
                <c:pt idx="0">
                  <c:v>3</c:v>
                </c:pt>
              </c:numCache>
            </c:numRef>
          </c:xVal>
          <c:yVal>
            <c:numRef>
              <c:f>'CIs and replication'!$AR$6</c:f>
              <c:numCache>
                <c:formatCode>General</c:formatCode>
                <c:ptCount val="1"/>
                <c:pt idx="0">
                  <c:v>0</c:v>
                </c:pt>
              </c:numCache>
            </c:numRef>
          </c:yVal>
          <c:smooth val="0"/>
          <c:extLst>
            <c:ext xmlns:c16="http://schemas.microsoft.com/office/drawing/2014/chart" uri="{C3380CC4-5D6E-409C-BE32-E72D297353CC}">
              <c16:uniqueId val="{0000001C-ED42-427D-94D1-B9F75E3B548A}"/>
            </c:ext>
          </c:extLst>
        </c:ser>
        <c:ser>
          <c:idx val="14"/>
          <c:order val="10"/>
          <c:spPr>
            <a:ln w="25400">
              <a:solidFill>
                <a:srgbClr val="008000"/>
              </a:solidFill>
              <a:prstDash val="solid"/>
            </a:ln>
          </c:spPr>
          <c:marker>
            <c:symbol val="none"/>
          </c:marker>
          <c:xVal>
            <c:numRef>
              <c:f>'CIs and replication'!$BC$11:$BC$211</c:f>
              <c:numCache>
                <c:formatCode>General</c:formatCode>
                <c:ptCount val="201"/>
                <c:pt idx="0">
                  <c:v>3.0002921930211248</c:v>
                </c:pt>
                <c:pt idx="1">
                  <c:v>3.000342292151013</c:v>
                </c:pt>
                <c:pt idx="2">
                  <c:v>3.0004003802077928</c:v>
                </c:pt>
                <c:pt idx="3">
                  <c:v>3.0004676240284933</c:v>
                </c:pt>
                <c:pt idx="4">
                  <c:v>3.0005453428149291</c:v>
                </c:pt>
                <c:pt idx="5">
                  <c:v>3.0006350251568108</c:v>
                </c:pt>
                <c:pt idx="6">
                  <c:v>3.0007383475252123</c:v>
                </c:pt>
                <c:pt idx="7">
                  <c:v>3.000857194300953</c:v>
                </c:pt>
                <c:pt idx="8">
                  <c:v>3.0009936793957399</c:v>
                </c:pt>
                <c:pt idx="9">
                  <c:v>3.0011501695153342</c:v>
                </c:pt>
                <c:pt idx="10">
                  <c:v>3.0013293091034221</c:v>
                </c:pt>
                <c:pt idx="11">
                  <c:v>3.0015340469920568</c:v>
                </c:pt>
                <c:pt idx="12">
                  <c:v>3.0017676647693667</c:v>
                </c:pt>
                <c:pt idx="13">
                  <c:v>3.0020338068575287</c:v>
                </c:pt>
                <c:pt idx="14">
                  <c:v>3.0023365122736485</c:v>
                </c:pt>
                <c:pt idx="15">
                  <c:v>3.0026802480230383</c:v>
                </c:pt>
                <c:pt idx="16">
                  <c:v>3.0030699440483826</c:v>
                </c:pt>
                <c:pt idx="17">
                  <c:v>3.0035110296293284</c:v>
                </c:pt>
                <c:pt idx="18">
                  <c:v>3.0040094710951597</c:v>
                </c:pt>
                <c:pt idx="19">
                  <c:v>3.0045718106783963</c:v>
                </c:pt>
                <c:pt idx="20">
                  <c:v>3.0052052062994932</c:v>
                </c:pt>
                <c:pt idx="21">
                  <c:v>3.0059174720324493</c:v>
                </c:pt>
                <c:pt idx="22">
                  <c:v>3.0067171189582216</c:v>
                </c:pt>
                <c:pt idx="23">
                  <c:v>3.007613396067693</c:v>
                </c:pt>
                <c:pt idx="24">
                  <c:v>3.0086163308288412</c:v>
                </c:pt>
                <c:pt idx="25">
                  <c:v>3.009736768984177</c:v>
                </c:pt>
                <c:pt idx="26">
                  <c:v>3.01098641309488</c:v>
                </c:pt>
                <c:pt idx="27">
                  <c:v>3.0123778592980104</c:v>
                </c:pt>
                <c:pt idx="28">
                  <c:v>3.0139246316933153</c:v>
                </c:pt>
                <c:pt idx="29">
                  <c:v>3.0156412137272537</c:v>
                </c:pt>
                <c:pt idx="30">
                  <c:v>3.0175430758947512</c:v>
                </c:pt>
                <c:pt idx="31">
                  <c:v>3.0196466990347544</c:v>
                </c:pt>
                <c:pt idx="32">
                  <c:v>3.0219695924548748</c:v>
                </c:pt>
                <c:pt idx="33">
                  <c:v>3.0245303060843081</c:v>
                </c:pt>
                <c:pt idx="34">
                  <c:v>3.0273484358239067</c:v>
                </c:pt>
                <c:pt idx="35">
                  <c:v>3.0304446212388498</c:v>
                </c:pt>
                <c:pt idx="36">
                  <c:v>3.0338405347240225</c:v>
                </c:pt>
                <c:pt idx="37">
                  <c:v>3.0375588612660618</c:v>
                </c:pt>
                <c:pt idx="38">
                  <c:v>3.041623267930289</c:v>
                </c:pt>
                <c:pt idx="39">
                  <c:v>3.0460583622164896</c:v>
                </c:pt>
                <c:pt idx="40">
                  <c:v>3.0508896384558111</c:v>
                </c:pt>
                <c:pt idx="41">
                  <c:v>3.0561434114629167</c:v>
                </c:pt>
                <c:pt idx="42">
                  <c:v>3.0618467367138371</c:v>
                </c:pt>
                <c:pt idx="43">
                  <c:v>3.0680273163914453</c:v>
                </c:pt>
                <c:pt idx="44">
                  <c:v>3.0747133907277431</c:v>
                </c:pt>
                <c:pt idx="45">
                  <c:v>3.0819336141756084</c:v>
                </c:pt>
                <c:pt idx="46">
                  <c:v>3.0897169160624469</c:v>
                </c:pt>
                <c:pt idx="47">
                  <c:v>3.0980923455143619</c:v>
                </c:pt>
                <c:pt idx="48">
                  <c:v>3.1070889005916142</c:v>
                </c:pt>
                <c:pt idx="49">
                  <c:v>3.1167353417437407</c:v>
                </c:pt>
                <c:pt idx="50">
                  <c:v>3.1270599898748559</c:v>
                </c:pt>
                <c:pt idx="51">
                  <c:v>3.1380905095051541</c:v>
                </c:pt>
                <c:pt idx="52">
                  <c:v>3.1498536777219441</c:v>
                </c:pt>
                <c:pt idx="53">
                  <c:v>3.1623751398308704</c:v>
                </c:pt>
                <c:pt idx="54">
                  <c:v>3.1756791528430979</c:v>
                </c:pt>
                <c:pt idx="55">
                  <c:v>3.1897883181647027</c:v>
                </c:pt>
                <c:pt idx="56">
                  <c:v>3.204723305087561</c:v>
                </c:pt>
                <c:pt idx="57">
                  <c:v>3.2205025669135621</c:v>
                </c:pt>
                <c:pt idx="58">
                  <c:v>3.2371420517727465</c:v>
                </c:pt>
                <c:pt idx="59">
                  <c:v>3.2546549104174241</c:v>
                </c:pt>
                <c:pt idx="60">
                  <c:v>3.2730512034848145</c:v>
                </c:pt>
                <c:pt idx="61">
                  <c:v>3.2923376109164644</c:v>
                </c:pt>
                <c:pt idx="62">
                  <c:v>3.3125171463997658</c:v>
                </c:pt>
                <c:pt idx="63">
                  <c:v>3.3335888798514852</c:v>
                </c:pt>
                <c:pt idx="64">
                  <c:v>3.35554767109147</c:v>
                </c:pt>
                <c:pt idx="65">
                  <c:v>3.3783839179530482</c:v>
                </c:pt>
                <c:pt idx="66">
                  <c:v>3.4020833221415057</c:v>
                </c:pt>
                <c:pt idx="67">
                  <c:v>3.4266266761803306</c:v>
                </c:pt>
                <c:pt idx="68">
                  <c:v>3.4519896747737855</c:v>
                </c:pt>
                <c:pt idx="69">
                  <c:v>3.4781427538613694</c:v>
                </c:pt>
                <c:pt idx="70">
                  <c:v>3.5050509605430311</c:v>
                </c:pt>
                <c:pt idx="71">
                  <c:v>3.532673856912135</c:v>
                </c:pt>
                <c:pt idx="72">
                  <c:v>3.5609654606454852</c:v>
                </c:pt>
                <c:pt idx="73">
                  <c:v>3.5898742249660689</c:v>
                </c:pt>
                <c:pt idx="74">
                  <c:v>3.6193430603152046</c:v>
                </c:pt>
                <c:pt idx="75">
                  <c:v>3.6493093997478234</c:v>
                </c:pt>
                <c:pt idx="76">
                  <c:v>3.6797053096997687</c:v>
                </c:pt>
                <c:pt idx="77">
                  <c:v>3.7104576473721345</c:v>
                </c:pt>
                <c:pt idx="78">
                  <c:v>3.7414882655383614</c:v>
                </c:pt>
                <c:pt idx="79">
                  <c:v>3.7727142651093764</c:v>
                </c:pt>
                <c:pt idx="80">
                  <c:v>3.8040482952955648</c:v>
                </c:pt>
                <c:pt idx="81">
                  <c:v>3.8353989006873483</c:v>
                </c:pt>
                <c:pt idx="82">
                  <c:v>3.8666709140448954</c:v>
                </c:pt>
                <c:pt idx="83">
                  <c:v>3.8977658930486938</c:v>
                </c:pt>
                <c:pt idx="84">
                  <c:v>3.9285825987233949</c:v>
                </c:pt>
                <c:pt idx="85">
                  <c:v>3.9590175127150022</c:v>
                </c:pt>
                <c:pt idx="86">
                  <c:v>3.9889653900835693</c:v>
                </c:pt>
                <c:pt idx="87">
                  <c:v>4.0183198437778191</c:v>
                </c:pt>
                <c:pt idx="88">
                  <c:v>4.0469739564920229</c:v>
                </c:pt>
                <c:pt idx="89">
                  <c:v>4.0748209151764545</c:v>
                </c:pt>
                <c:pt idx="90">
                  <c:v>4.1017546630878483</c:v>
                </c:pt>
                <c:pt idx="91">
                  <c:v>4.1276705639321278</c:v>
                </c:pt>
                <c:pt idx="92">
                  <c:v>4.1524660723742315</c:v>
                </c:pt>
                <c:pt idx="93">
                  <c:v>4.1760414049745753</c:v>
                </c:pt>
                <c:pt idx="94">
                  <c:v>4.198300205462953</c:v>
                </c:pt>
                <c:pt idx="95">
                  <c:v>4.2191501981822945</c:v>
                </c:pt>
                <c:pt idx="96">
                  <c:v>4.2385038235292019</c:v>
                </c:pt>
                <c:pt idx="97">
                  <c:v>4.2562788492872734</c:v>
                </c:pt>
                <c:pt idx="98">
                  <c:v>4.2723989518933765</c:v>
                </c:pt>
                <c:pt idx="99">
                  <c:v>4.2867942618957251</c:v>
                </c:pt>
                <c:pt idx="100">
                  <c:v>4.2994018681539954</c:v>
                </c:pt>
                <c:pt idx="101">
                  <c:v>4.3101662756930601</c:v>
                </c:pt>
                <c:pt idx="102">
                  <c:v>4.3190398125491924</c:v>
                </c:pt>
                <c:pt idx="103">
                  <c:v>4.3259829814358195</c:v>
                </c:pt>
                <c:pt idx="104">
                  <c:v>4.3309647525991233</c:v>
                </c:pt>
                <c:pt idx="105">
                  <c:v>4.3339627948251769</c:v>
                </c:pt>
                <c:pt idx="106">
                  <c:v>4.3349636421921431</c:v>
                </c:pt>
                <c:pt idx="107">
                  <c:v>4.3339627948251769</c:v>
                </c:pt>
                <c:pt idx="108">
                  <c:v>4.3309647525991233</c:v>
                </c:pt>
                <c:pt idx="109">
                  <c:v>4.3259829814358195</c:v>
                </c:pt>
                <c:pt idx="110">
                  <c:v>4.3190398125491924</c:v>
                </c:pt>
                <c:pt idx="111">
                  <c:v>4.3101662756930601</c:v>
                </c:pt>
                <c:pt idx="112">
                  <c:v>4.2994018681539954</c:v>
                </c:pt>
                <c:pt idx="113">
                  <c:v>4.2867942618957251</c:v>
                </c:pt>
                <c:pt idx="114">
                  <c:v>4.2723989518933765</c:v>
                </c:pt>
                <c:pt idx="115">
                  <c:v>4.2562788492872734</c:v>
                </c:pt>
                <c:pt idx="116">
                  <c:v>4.2385038235292019</c:v>
                </c:pt>
                <c:pt idx="117">
                  <c:v>4.2191501981822945</c:v>
                </c:pt>
                <c:pt idx="118">
                  <c:v>4.198300205462953</c:v>
                </c:pt>
                <c:pt idx="119">
                  <c:v>4.1760414049745753</c:v>
                </c:pt>
                <c:pt idx="120">
                  <c:v>4.1524660723742315</c:v>
                </c:pt>
                <c:pt idx="121">
                  <c:v>4.1276705639321278</c:v>
                </c:pt>
                <c:pt idx="122">
                  <c:v>4.1017546630878483</c:v>
                </c:pt>
                <c:pt idx="123">
                  <c:v>4.0748209151764545</c:v>
                </c:pt>
                <c:pt idx="124">
                  <c:v>4.0469739564920229</c:v>
                </c:pt>
                <c:pt idx="125">
                  <c:v>4.0183198437778191</c:v>
                </c:pt>
                <c:pt idx="126">
                  <c:v>3.9889653900835693</c:v>
                </c:pt>
                <c:pt idx="127">
                  <c:v>3.9590175127150022</c:v>
                </c:pt>
                <c:pt idx="128">
                  <c:v>3.9285825987233949</c:v>
                </c:pt>
                <c:pt idx="129">
                  <c:v>3.8977658930486938</c:v>
                </c:pt>
                <c:pt idx="130">
                  <c:v>3.8666709140448954</c:v>
                </c:pt>
                <c:pt idx="131">
                  <c:v>3.8353989006873483</c:v>
                </c:pt>
                <c:pt idx="132">
                  <c:v>3.8040482952955648</c:v>
                </c:pt>
                <c:pt idx="133">
                  <c:v>3.7727142651093764</c:v>
                </c:pt>
                <c:pt idx="134">
                  <c:v>3.7414882655383614</c:v>
                </c:pt>
                <c:pt idx="135">
                  <c:v>3.7104576473721345</c:v>
                </c:pt>
                <c:pt idx="136">
                  <c:v>3.6797053096997687</c:v>
                </c:pt>
                <c:pt idx="137">
                  <c:v>3.6493093997478234</c:v>
                </c:pt>
                <c:pt idx="138">
                  <c:v>3.6193430603152046</c:v>
                </c:pt>
                <c:pt idx="139">
                  <c:v>3.5898742249660689</c:v>
                </c:pt>
                <c:pt idx="140">
                  <c:v>3.5609654606454852</c:v>
                </c:pt>
                <c:pt idx="141">
                  <c:v>3.532673856912135</c:v>
                </c:pt>
                <c:pt idx="142">
                  <c:v>3.5050509605430311</c:v>
                </c:pt>
                <c:pt idx="143">
                  <c:v>3.4781427538613694</c:v>
                </c:pt>
                <c:pt idx="144">
                  <c:v>3.4519896747737855</c:v>
                </c:pt>
                <c:pt idx="145">
                  <c:v>3.4266266761803306</c:v>
                </c:pt>
                <c:pt idx="146">
                  <c:v>3.4020833221415057</c:v>
                </c:pt>
                <c:pt idx="147">
                  <c:v>3.3783839179530482</c:v>
                </c:pt>
                <c:pt idx="148">
                  <c:v>3.35554767109147</c:v>
                </c:pt>
                <c:pt idx="149">
                  <c:v>3.3335888798514852</c:v>
                </c:pt>
                <c:pt idx="150">
                  <c:v>3.3125171463997658</c:v>
                </c:pt>
                <c:pt idx="151">
                  <c:v>3.2923376109164644</c:v>
                </c:pt>
                <c:pt idx="152">
                  <c:v>3.2730512034848145</c:v>
                </c:pt>
                <c:pt idx="153">
                  <c:v>3.2546549104174241</c:v>
                </c:pt>
                <c:pt idx="154">
                  <c:v>3.2371420517727465</c:v>
                </c:pt>
                <c:pt idx="155">
                  <c:v>3.2205025669135621</c:v>
                </c:pt>
                <c:pt idx="156">
                  <c:v>3.204723305087561</c:v>
                </c:pt>
                <c:pt idx="157">
                  <c:v>3.1897883181647027</c:v>
                </c:pt>
                <c:pt idx="158">
                  <c:v>3.1756791528430979</c:v>
                </c:pt>
                <c:pt idx="159">
                  <c:v>3.1623751398308704</c:v>
                </c:pt>
                <c:pt idx="160">
                  <c:v>3.1498536777219441</c:v>
                </c:pt>
                <c:pt idx="161">
                  <c:v>3.1380905095051541</c:v>
                </c:pt>
                <c:pt idx="162">
                  <c:v>3.1270599898748559</c:v>
                </c:pt>
                <c:pt idx="163">
                  <c:v>3.1167353417437407</c:v>
                </c:pt>
                <c:pt idx="164">
                  <c:v>3.1070889005916142</c:v>
                </c:pt>
                <c:pt idx="165">
                  <c:v>3.0980923455143619</c:v>
                </c:pt>
                <c:pt idx="166">
                  <c:v>3.0897169160624469</c:v>
                </c:pt>
                <c:pt idx="167">
                  <c:v>3.0819336141756084</c:v>
                </c:pt>
                <c:pt idx="168">
                  <c:v>3.0747133907277431</c:v>
                </c:pt>
                <c:pt idx="169">
                  <c:v>3.0680273163914453</c:v>
                </c:pt>
                <c:pt idx="170">
                  <c:v>3.0618467367138371</c:v>
                </c:pt>
                <c:pt idx="171">
                  <c:v>3.0561434114629167</c:v>
                </c:pt>
                <c:pt idx="172">
                  <c:v>3.0508896384558111</c:v>
                </c:pt>
                <c:pt idx="173">
                  <c:v>3.0460583622164896</c:v>
                </c:pt>
                <c:pt idx="174">
                  <c:v>3.041623267930289</c:v>
                </c:pt>
                <c:pt idx="175">
                  <c:v>3.0375588612660618</c:v>
                </c:pt>
                <c:pt idx="176">
                  <c:v>3.0338405347240225</c:v>
                </c:pt>
                <c:pt idx="177">
                  <c:v>3.0304446212388498</c:v>
                </c:pt>
                <c:pt idx="178">
                  <c:v>3.0273484358239067</c:v>
                </c:pt>
                <c:pt idx="179">
                  <c:v>3.0245303060843081</c:v>
                </c:pt>
                <c:pt idx="180">
                  <c:v>3.0219695924548748</c:v>
                </c:pt>
                <c:pt idx="181">
                  <c:v>3.0196466990347544</c:v>
                </c:pt>
                <c:pt idx="182">
                  <c:v>3.0175430758947512</c:v>
                </c:pt>
                <c:pt idx="183">
                  <c:v>3.0156412137272537</c:v>
                </c:pt>
                <c:pt idx="184">
                  <c:v>3.0139246316933153</c:v>
                </c:pt>
                <c:pt idx="185">
                  <c:v>3.0123778592980104</c:v>
                </c:pt>
                <c:pt idx="186">
                  <c:v>3.01098641309488</c:v>
                </c:pt>
                <c:pt idx="187">
                  <c:v>3.009736768984177</c:v>
                </c:pt>
                <c:pt idx="188">
                  <c:v>3.0086163308288412</c:v>
                </c:pt>
                <c:pt idx="189">
                  <c:v>3.007613396067693</c:v>
                </c:pt>
                <c:pt idx="190">
                  <c:v>3.0067171189582216</c:v>
                </c:pt>
                <c:pt idx="191">
                  <c:v>3.0059174720324493</c:v>
                </c:pt>
                <c:pt idx="192">
                  <c:v>3.0052052062994932</c:v>
                </c:pt>
                <c:pt idx="193">
                  <c:v>3.0045718106783963</c:v>
                </c:pt>
                <c:pt idx="194">
                  <c:v>3.0040094710951597</c:v>
                </c:pt>
                <c:pt idx="195">
                  <c:v>3.0035110296293284</c:v>
                </c:pt>
                <c:pt idx="196">
                  <c:v>3.0030699440483826</c:v>
                </c:pt>
                <c:pt idx="197">
                  <c:v>3.0026802480230383</c:v>
                </c:pt>
                <c:pt idx="198">
                  <c:v>3.0023365122736485</c:v>
                </c:pt>
                <c:pt idx="199">
                  <c:v>3.0020338068575287</c:v>
                </c:pt>
                <c:pt idx="200">
                  <c:v>3.0017676647693667</c:v>
                </c:pt>
              </c:numCache>
            </c:numRef>
          </c:xVal>
          <c:yVal>
            <c:numRef>
              <c:f>'CIs and replication'!$BD$11:$BD$211</c:f>
              <c:numCache>
                <c:formatCode>General</c:formatCode>
                <c:ptCount val="201"/>
                <c:pt idx="0">
                  <c:v>100</c:v>
                </c:pt>
                <c:pt idx="1">
                  <c:v>99.5</c:v>
                </c:pt>
                <c:pt idx="2">
                  <c:v>99</c:v>
                </c:pt>
                <c:pt idx="3">
                  <c:v>98.5</c:v>
                </c:pt>
                <c:pt idx="4">
                  <c:v>98</c:v>
                </c:pt>
                <c:pt idx="5">
                  <c:v>97.5</c:v>
                </c:pt>
                <c:pt idx="6">
                  <c:v>97</c:v>
                </c:pt>
                <c:pt idx="7">
                  <c:v>96.5</c:v>
                </c:pt>
                <c:pt idx="8">
                  <c:v>96</c:v>
                </c:pt>
                <c:pt idx="9">
                  <c:v>95.5</c:v>
                </c:pt>
                <c:pt idx="10">
                  <c:v>95</c:v>
                </c:pt>
                <c:pt idx="11">
                  <c:v>94.5</c:v>
                </c:pt>
                <c:pt idx="12">
                  <c:v>94</c:v>
                </c:pt>
                <c:pt idx="13">
                  <c:v>93.5</c:v>
                </c:pt>
                <c:pt idx="14">
                  <c:v>93</c:v>
                </c:pt>
                <c:pt idx="15">
                  <c:v>92.5</c:v>
                </c:pt>
                <c:pt idx="16">
                  <c:v>92</c:v>
                </c:pt>
                <c:pt idx="17">
                  <c:v>91.5</c:v>
                </c:pt>
                <c:pt idx="18">
                  <c:v>91</c:v>
                </c:pt>
                <c:pt idx="19">
                  <c:v>90.5</c:v>
                </c:pt>
                <c:pt idx="20">
                  <c:v>90</c:v>
                </c:pt>
                <c:pt idx="21">
                  <c:v>89.5</c:v>
                </c:pt>
                <c:pt idx="22">
                  <c:v>89</c:v>
                </c:pt>
                <c:pt idx="23">
                  <c:v>88.5</c:v>
                </c:pt>
                <c:pt idx="24">
                  <c:v>88</c:v>
                </c:pt>
                <c:pt idx="25">
                  <c:v>87.5</c:v>
                </c:pt>
                <c:pt idx="26">
                  <c:v>87</c:v>
                </c:pt>
                <c:pt idx="27">
                  <c:v>86.5</c:v>
                </c:pt>
                <c:pt idx="28">
                  <c:v>86</c:v>
                </c:pt>
                <c:pt idx="29">
                  <c:v>85.5</c:v>
                </c:pt>
                <c:pt idx="30">
                  <c:v>85</c:v>
                </c:pt>
                <c:pt idx="31">
                  <c:v>84.5</c:v>
                </c:pt>
                <c:pt idx="32">
                  <c:v>84</c:v>
                </c:pt>
                <c:pt idx="33">
                  <c:v>83.5</c:v>
                </c:pt>
                <c:pt idx="34">
                  <c:v>83</c:v>
                </c:pt>
                <c:pt idx="35">
                  <c:v>82.5</c:v>
                </c:pt>
                <c:pt idx="36">
                  <c:v>82</c:v>
                </c:pt>
                <c:pt idx="37">
                  <c:v>81.5</c:v>
                </c:pt>
                <c:pt idx="38">
                  <c:v>81</c:v>
                </c:pt>
                <c:pt idx="39">
                  <c:v>80.5</c:v>
                </c:pt>
                <c:pt idx="40">
                  <c:v>80</c:v>
                </c:pt>
                <c:pt idx="41">
                  <c:v>79.5</c:v>
                </c:pt>
                <c:pt idx="42">
                  <c:v>79</c:v>
                </c:pt>
                <c:pt idx="43">
                  <c:v>78.5</c:v>
                </c:pt>
                <c:pt idx="44">
                  <c:v>78</c:v>
                </c:pt>
                <c:pt idx="45">
                  <c:v>77.5</c:v>
                </c:pt>
                <c:pt idx="46">
                  <c:v>77</c:v>
                </c:pt>
                <c:pt idx="47">
                  <c:v>76.5</c:v>
                </c:pt>
                <c:pt idx="48">
                  <c:v>76</c:v>
                </c:pt>
                <c:pt idx="49">
                  <c:v>75.5</c:v>
                </c:pt>
                <c:pt idx="50">
                  <c:v>75</c:v>
                </c:pt>
                <c:pt idx="51">
                  <c:v>74.5</c:v>
                </c:pt>
                <c:pt idx="52">
                  <c:v>74</c:v>
                </c:pt>
                <c:pt idx="53">
                  <c:v>73.5</c:v>
                </c:pt>
                <c:pt idx="54">
                  <c:v>73</c:v>
                </c:pt>
                <c:pt idx="55">
                  <c:v>72.5</c:v>
                </c:pt>
                <c:pt idx="56">
                  <c:v>72</c:v>
                </c:pt>
                <c:pt idx="57">
                  <c:v>71.5</c:v>
                </c:pt>
                <c:pt idx="58">
                  <c:v>71</c:v>
                </c:pt>
                <c:pt idx="59">
                  <c:v>70.5</c:v>
                </c:pt>
                <c:pt idx="60">
                  <c:v>70</c:v>
                </c:pt>
                <c:pt idx="61">
                  <c:v>69.5</c:v>
                </c:pt>
                <c:pt idx="62">
                  <c:v>69</c:v>
                </c:pt>
                <c:pt idx="63">
                  <c:v>68.5</c:v>
                </c:pt>
                <c:pt idx="64">
                  <c:v>68</c:v>
                </c:pt>
                <c:pt idx="65">
                  <c:v>67.5</c:v>
                </c:pt>
                <c:pt idx="66">
                  <c:v>67</c:v>
                </c:pt>
                <c:pt idx="67">
                  <c:v>66.5</c:v>
                </c:pt>
                <c:pt idx="68">
                  <c:v>66</c:v>
                </c:pt>
                <c:pt idx="69">
                  <c:v>65.5</c:v>
                </c:pt>
                <c:pt idx="70">
                  <c:v>65</c:v>
                </c:pt>
                <c:pt idx="71">
                  <c:v>64.5</c:v>
                </c:pt>
                <c:pt idx="72">
                  <c:v>64</c:v>
                </c:pt>
                <c:pt idx="73">
                  <c:v>63.5</c:v>
                </c:pt>
                <c:pt idx="74">
                  <c:v>63</c:v>
                </c:pt>
                <c:pt idx="75">
                  <c:v>62.5</c:v>
                </c:pt>
                <c:pt idx="76">
                  <c:v>62</c:v>
                </c:pt>
                <c:pt idx="77">
                  <c:v>61.5</c:v>
                </c:pt>
                <c:pt idx="78">
                  <c:v>61</c:v>
                </c:pt>
                <c:pt idx="79">
                  <c:v>60.5</c:v>
                </c:pt>
                <c:pt idx="80">
                  <c:v>60</c:v>
                </c:pt>
                <c:pt idx="81">
                  <c:v>59.5</c:v>
                </c:pt>
                <c:pt idx="82">
                  <c:v>59</c:v>
                </c:pt>
                <c:pt idx="83">
                  <c:v>58.5</c:v>
                </c:pt>
                <c:pt idx="84">
                  <c:v>58</c:v>
                </c:pt>
                <c:pt idx="85">
                  <c:v>57.5</c:v>
                </c:pt>
                <c:pt idx="86">
                  <c:v>57</c:v>
                </c:pt>
                <c:pt idx="87">
                  <c:v>56.5</c:v>
                </c:pt>
                <c:pt idx="88">
                  <c:v>56</c:v>
                </c:pt>
                <c:pt idx="89">
                  <c:v>55.5</c:v>
                </c:pt>
                <c:pt idx="90">
                  <c:v>55</c:v>
                </c:pt>
                <c:pt idx="91">
                  <c:v>54.5</c:v>
                </c:pt>
                <c:pt idx="92">
                  <c:v>54</c:v>
                </c:pt>
                <c:pt idx="93">
                  <c:v>53.5</c:v>
                </c:pt>
                <c:pt idx="94">
                  <c:v>53</c:v>
                </c:pt>
                <c:pt idx="95">
                  <c:v>52.5</c:v>
                </c:pt>
                <c:pt idx="96">
                  <c:v>52</c:v>
                </c:pt>
                <c:pt idx="97">
                  <c:v>51.5</c:v>
                </c:pt>
                <c:pt idx="98">
                  <c:v>51</c:v>
                </c:pt>
                <c:pt idx="99">
                  <c:v>50.5</c:v>
                </c:pt>
                <c:pt idx="100">
                  <c:v>50</c:v>
                </c:pt>
                <c:pt idx="101">
                  <c:v>49.5</c:v>
                </c:pt>
                <c:pt idx="102">
                  <c:v>49</c:v>
                </c:pt>
                <c:pt idx="103">
                  <c:v>48.5</c:v>
                </c:pt>
                <c:pt idx="104">
                  <c:v>48</c:v>
                </c:pt>
                <c:pt idx="105">
                  <c:v>47.5</c:v>
                </c:pt>
                <c:pt idx="106">
                  <c:v>47</c:v>
                </c:pt>
                <c:pt idx="107">
                  <c:v>46.5</c:v>
                </c:pt>
                <c:pt idx="108">
                  <c:v>46</c:v>
                </c:pt>
                <c:pt idx="109">
                  <c:v>45.5</c:v>
                </c:pt>
                <c:pt idx="110">
                  <c:v>45</c:v>
                </c:pt>
                <c:pt idx="111">
                  <c:v>44.5</c:v>
                </c:pt>
                <c:pt idx="112">
                  <c:v>44</c:v>
                </c:pt>
                <c:pt idx="113">
                  <c:v>43.5</c:v>
                </c:pt>
                <c:pt idx="114">
                  <c:v>43</c:v>
                </c:pt>
                <c:pt idx="115">
                  <c:v>42.5</c:v>
                </c:pt>
                <c:pt idx="116">
                  <c:v>42</c:v>
                </c:pt>
                <c:pt idx="117">
                  <c:v>41.5</c:v>
                </c:pt>
                <c:pt idx="118">
                  <c:v>41</c:v>
                </c:pt>
                <c:pt idx="119">
                  <c:v>40.5</c:v>
                </c:pt>
                <c:pt idx="120">
                  <c:v>40</c:v>
                </c:pt>
                <c:pt idx="121">
                  <c:v>39.5</c:v>
                </c:pt>
                <c:pt idx="122">
                  <c:v>39</c:v>
                </c:pt>
                <c:pt idx="123">
                  <c:v>38.5</c:v>
                </c:pt>
                <c:pt idx="124">
                  <c:v>38</c:v>
                </c:pt>
                <c:pt idx="125">
                  <c:v>37.5</c:v>
                </c:pt>
                <c:pt idx="126">
                  <c:v>37</c:v>
                </c:pt>
                <c:pt idx="127">
                  <c:v>36.5</c:v>
                </c:pt>
                <c:pt idx="128">
                  <c:v>36</c:v>
                </c:pt>
                <c:pt idx="129">
                  <c:v>35.5</c:v>
                </c:pt>
                <c:pt idx="130">
                  <c:v>35</c:v>
                </c:pt>
                <c:pt idx="131">
                  <c:v>34.5</c:v>
                </c:pt>
                <c:pt idx="132">
                  <c:v>34</c:v>
                </c:pt>
                <c:pt idx="133">
                  <c:v>33.5</c:v>
                </c:pt>
                <c:pt idx="134">
                  <c:v>33</c:v>
                </c:pt>
                <c:pt idx="135">
                  <c:v>32.5</c:v>
                </c:pt>
                <c:pt idx="136">
                  <c:v>32</c:v>
                </c:pt>
                <c:pt idx="137">
                  <c:v>31.5</c:v>
                </c:pt>
                <c:pt idx="138">
                  <c:v>31</c:v>
                </c:pt>
                <c:pt idx="139">
                  <c:v>30.5</c:v>
                </c:pt>
                <c:pt idx="140">
                  <c:v>30</c:v>
                </c:pt>
                <c:pt idx="141">
                  <c:v>29.5</c:v>
                </c:pt>
                <c:pt idx="142">
                  <c:v>29</c:v>
                </c:pt>
                <c:pt idx="143">
                  <c:v>28.5</c:v>
                </c:pt>
                <c:pt idx="144">
                  <c:v>28</c:v>
                </c:pt>
                <c:pt idx="145">
                  <c:v>27.5</c:v>
                </c:pt>
                <c:pt idx="146">
                  <c:v>27</c:v>
                </c:pt>
                <c:pt idx="147">
                  <c:v>26.5</c:v>
                </c:pt>
                <c:pt idx="148">
                  <c:v>26</c:v>
                </c:pt>
                <c:pt idx="149">
                  <c:v>25.5</c:v>
                </c:pt>
                <c:pt idx="150">
                  <c:v>25</c:v>
                </c:pt>
                <c:pt idx="151">
                  <c:v>24.5</c:v>
                </c:pt>
                <c:pt idx="152">
                  <c:v>24</c:v>
                </c:pt>
                <c:pt idx="153">
                  <c:v>23.5</c:v>
                </c:pt>
                <c:pt idx="154">
                  <c:v>23</c:v>
                </c:pt>
                <c:pt idx="155">
                  <c:v>22.5</c:v>
                </c:pt>
                <c:pt idx="156">
                  <c:v>22</c:v>
                </c:pt>
                <c:pt idx="157">
                  <c:v>21.5</c:v>
                </c:pt>
                <c:pt idx="158">
                  <c:v>21</c:v>
                </c:pt>
                <c:pt idx="159">
                  <c:v>20.5</c:v>
                </c:pt>
                <c:pt idx="160">
                  <c:v>20</c:v>
                </c:pt>
                <c:pt idx="161">
                  <c:v>19.5</c:v>
                </c:pt>
                <c:pt idx="162">
                  <c:v>19</c:v>
                </c:pt>
                <c:pt idx="163">
                  <c:v>18.5</c:v>
                </c:pt>
                <c:pt idx="164">
                  <c:v>18</c:v>
                </c:pt>
                <c:pt idx="165">
                  <c:v>17.5</c:v>
                </c:pt>
                <c:pt idx="166">
                  <c:v>17</c:v>
                </c:pt>
                <c:pt idx="167">
                  <c:v>16.5</c:v>
                </c:pt>
                <c:pt idx="168">
                  <c:v>16</c:v>
                </c:pt>
                <c:pt idx="169">
                  <c:v>15.5</c:v>
                </c:pt>
                <c:pt idx="170">
                  <c:v>15</c:v>
                </c:pt>
                <c:pt idx="171">
                  <c:v>14.5</c:v>
                </c:pt>
                <c:pt idx="172">
                  <c:v>14</c:v>
                </c:pt>
                <c:pt idx="173">
                  <c:v>13.5</c:v>
                </c:pt>
                <c:pt idx="174">
                  <c:v>13</c:v>
                </c:pt>
                <c:pt idx="175">
                  <c:v>12.5</c:v>
                </c:pt>
                <c:pt idx="176">
                  <c:v>12</c:v>
                </c:pt>
                <c:pt idx="177">
                  <c:v>11.5</c:v>
                </c:pt>
                <c:pt idx="178">
                  <c:v>11</c:v>
                </c:pt>
                <c:pt idx="179">
                  <c:v>10.5</c:v>
                </c:pt>
                <c:pt idx="180">
                  <c:v>10</c:v>
                </c:pt>
                <c:pt idx="181">
                  <c:v>9.5</c:v>
                </c:pt>
                <c:pt idx="182">
                  <c:v>9</c:v>
                </c:pt>
                <c:pt idx="183">
                  <c:v>8.5</c:v>
                </c:pt>
                <c:pt idx="184">
                  <c:v>8</c:v>
                </c:pt>
                <c:pt idx="185">
                  <c:v>7.5</c:v>
                </c:pt>
                <c:pt idx="186">
                  <c:v>7</c:v>
                </c:pt>
                <c:pt idx="187">
                  <c:v>6.5</c:v>
                </c:pt>
                <c:pt idx="188">
                  <c:v>6</c:v>
                </c:pt>
                <c:pt idx="189">
                  <c:v>5.5</c:v>
                </c:pt>
                <c:pt idx="190">
                  <c:v>5</c:v>
                </c:pt>
                <c:pt idx="191">
                  <c:v>4.5</c:v>
                </c:pt>
                <c:pt idx="192">
                  <c:v>4</c:v>
                </c:pt>
                <c:pt idx="193">
                  <c:v>3.5</c:v>
                </c:pt>
                <c:pt idx="194">
                  <c:v>3</c:v>
                </c:pt>
                <c:pt idx="195">
                  <c:v>2.5</c:v>
                </c:pt>
                <c:pt idx="196">
                  <c:v>2</c:v>
                </c:pt>
                <c:pt idx="197">
                  <c:v>1.5</c:v>
                </c:pt>
                <c:pt idx="198">
                  <c:v>1</c:v>
                </c:pt>
                <c:pt idx="199">
                  <c:v>0.5</c:v>
                </c:pt>
                <c:pt idx="200">
                  <c:v>0</c:v>
                </c:pt>
              </c:numCache>
            </c:numRef>
          </c:yVal>
          <c:smooth val="0"/>
          <c:extLst>
            <c:ext xmlns:c16="http://schemas.microsoft.com/office/drawing/2014/chart" uri="{C3380CC4-5D6E-409C-BE32-E72D297353CC}">
              <c16:uniqueId val="{0000001D-ED42-427D-94D1-B9F75E3B548A}"/>
            </c:ext>
          </c:extLst>
        </c:ser>
        <c:ser>
          <c:idx val="15"/>
          <c:order val="11"/>
          <c:spPr>
            <a:ln w="28575">
              <a:noFill/>
            </a:ln>
          </c:spPr>
          <c:marker>
            <c:symbol val="none"/>
          </c:marker>
          <c:dLbls>
            <c:dLbl>
              <c:idx val="0"/>
              <c:tx>
                <c:strRef>
                  <c:f>'CIs and replication'!$AP$28</c:f>
                  <c:strCache>
                    <c:ptCount val="1"/>
                  </c:strCache>
                </c:strRef>
              </c:tx>
              <c:dLblPos val="t"/>
              <c:showLegendKey val="0"/>
              <c:showVal val="0"/>
              <c:showCatName val="0"/>
              <c:showSerName val="0"/>
              <c:showPercent val="0"/>
              <c:showBubbleSize val="0"/>
              <c:extLst>
                <c:ext xmlns:c15="http://schemas.microsoft.com/office/drawing/2012/chart" uri="{CE6537A1-D6FC-4f65-9D91-7224C49458BB}">
                  <c15:dlblFieldTable>
                    <c15:dlblFTEntry>
                      <c15:txfldGUID>{D054263F-C56B-4964-8EFB-283B96110A31}</c15:txfldGUID>
                      <c15:f>'CIs and replication'!$AP$28</c15:f>
                      <c15:dlblFieldTableCache>
                        <c:ptCount val="1"/>
                      </c15:dlblFieldTableCache>
                    </c15:dlblFTEntry>
                  </c15:dlblFieldTable>
                  <c15:showDataLabelsRange val="0"/>
                </c:ext>
                <c:ext xmlns:c16="http://schemas.microsoft.com/office/drawing/2014/chart" uri="{C3380CC4-5D6E-409C-BE32-E72D297353CC}">
                  <c16:uniqueId val="{0000001E-ED42-427D-94D1-B9F75E3B548A}"/>
                </c:ext>
              </c:extLst>
            </c:dLbl>
            <c:dLbl>
              <c:idx val="1"/>
              <c:delete val="1"/>
              <c:extLst>
                <c:ext xmlns:c15="http://schemas.microsoft.com/office/drawing/2012/chart" uri="{CE6537A1-D6FC-4f65-9D91-7224C49458BB}"/>
                <c:ext xmlns:c16="http://schemas.microsoft.com/office/drawing/2014/chart" uri="{C3380CC4-5D6E-409C-BE32-E72D297353CC}">
                  <c16:uniqueId val="{0000001F-ED42-427D-94D1-B9F75E3B548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x"/>
            <c:errBarType val="plus"/>
            <c:errValType val="cust"/>
            <c:noEndCap val="1"/>
            <c:plus>
              <c:numLit>
                <c:formatCode>General</c:formatCode>
                <c:ptCount val="1"/>
                <c:pt idx="0">
                  <c:v>2</c:v>
                </c:pt>
              </c:numLit>
            </c:plus>
            <c:spPr>
              <a:ln w="3175">
                <a:pattFill prst="pct50">
                  <a:fgClr>
                    <a:srgbClr val="000000"/>
                  </a:fgClr>
                  <a:bgClr>
                    <a:srgbClr val="FFFFFF"/>
                  </a:bgClr>
                </a:pattFill>
                <a:prstDash val="solid"/>
              </a:ln>
            </c:spPr>
          </c:errBars>
          <c:xVal>
            <c:numRef>
              <c:f>'CIs and replication'!$AO$25:$AO$26</c:f>
              <c:numCache>
                <c:formatCode>General</c:formatCode>
                <c:ptCount val="2"/>
                <c:pt idx="0">
                  <c:v>#N/A</c:v>
                </c:pt>
                <c:pt idx="1">
                  <c:v>#N/A</c:v>
                </c:pt>
              </c:numCache>
            </c:numRef>
          </c:xVal>
          <c:yVal>
            <c:numRef>
              <c:f>'CIs and replication'!$AP$25:$AP$26</c:f>
              <c:numCache>
                <c:formatCode>General</c:formatCode>
                <c:ptCount val="2"/>
                <c:pt idx="0">
                  <c:v>76.214764323905413</c:v>
                </c:pt>
                <c:pt idx="1">
                  <c:v>25.608711848639022</c:v>
                </c:pt>
              </c:numCache>
            </c:numRef>
          </c:yVal>
          <c:smooth val="0"/>
          <c:extLst>
            <c:ext xmlns:c16="http://schemas.microsoft.com/office/drawing/2014/chart" uri="{C3380CC4-5D6E-409C-BE32-E72D297353CC}">
              <c16:uniqueId val="{00000020-ED42-427D-94D1-B9F75E3B548A}"/>
            </c:ext>
          </c:extLst>
        </c:ser>
        <c:ser>
          <c:idx val="7"/>
          <c:order val="12"/>
          <c:spPr>
            <a:ln w="28575">
              <a:noFill/>
            </a:ln>
          </c:spPr>
          <c:marker>
            <c:symbol val="none"/>
          </c:marker>
          <c:dLbls>
            <c:dLbl>
              <c:idx val="0"/>
              <c:tx>
                <c:rich>
                  <a:bodyPr/>
                  <a:lstStyle/>
                  <a:p>
                    <a:r>
                      <a:t>s</a:t>
                    </a:r>
                  </a:p>
                </c:rich>
              </c:tx>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ED42-427D-94D1-B9F75E3B548A}"/>
                </c:ext>
              </c:extLst>
            </c:dLbl>
            <c:dLbl>
              <c:idx val="1"/>
              <c:tx>
                <c:rich>
                  <a:bodyPr/>
                  <a:lstStyle/>
                  <a:p>
                    <a:r>
                      <a:t>m</a:t>
                    </a:r>
                  </a:p>
                </c:rich>
              </c:tx>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ED42-427D-94D1-B9F75E3B548A}"/>
                </c:ext>
              </c:extLst>
            </c:dLbl>
            <c:spPr>
              <a:noFill/>
              <a:ln w="25400">
                <a:noFill/>
              </a:ln>
            </c:spPr>
            <c:txPr>
              <a:bodyPr/>
              <a:lstStyle/>
              <a:p>
                <a:pPr>
                  <a:defRPr sz="1400" b="0" i="0" u="none" strike="noStrike" baseline="0">
                    <a:solidFill>
                      <a:srgbClr val="FF0000"/>
                    </a:solidFill>
                    <a:latin typeface="Symbol"/>
                    <a:ea typeface="Symbol"/>
                    <a:cs typeface="Symbo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'CIs and replication'!$AT$5:$AT$6</c:f>
              <c:numCache>
                <c:formatCode>General</c:formatCode>
                <c:ptCount val="2"/>
                <c:pt idx="0">
                  <c:v>0.2</c:v>
                </c:pt>
                <c:pt idx="1">
                  <c:v>0.18</c:v>
                </c:pt>
              </c:numCache>
            </c:numRef>
          </c:xVal>
          <c:yVal>
            <c:numRef>
              <c:f>'CIs and replication'!$AU$5:$AU$6</c:f>
              <c:numCache>
                <c:formatCode>General</c:formatCode>
                <c:ptCount val="2"/>
                <c:pt idx="0">
                  <c:v>72</c:v>
                </c:pt>
                <c:pt idx="1">
                  <c:v>47</c:v>
                </c:pt>
              </c:numCache>
            </c:numRef>
          </c:yVal>
          <c:smooth val="0"/>
          <c:extLst>
            <c:ext xmlns:c16="http://schemas.microsoft.com/office/drawing/2014/chart" uri="{C3380CC4-5D6E-409C-BE32-E72D297353CC}">
              <c16:uniqueId val="{00000023-ED42-427D-94D1-B9F75E3B548A}"/>
            </c:ext>
          </c:extLst>
        </c:ser>
        <c:dLbls>
          <c:showLegendKey val="0"/>
          <c:showVal val="0"/>
          <c:showCatName val="0"/>
          <c:showSerName val="0"/>
          <c:showPercent val="0"/>
          <c:showBubbleSize val="0"/>
        </c:dLbls>
        <c:axId val="186151296"/>
        <c:axId val="186153216"/>
      </c:scatterChart>
      <c:valAx>
        <c:axId val="186151296"/>
        <c:scaling>
          <c:orientation val="minMax"/>
          <c:max val="4.5999999999999996"/>
          <c:min val="0"/>
        </c:scaling>
        <c:delete val="0"/>
        <c:axPos val="b"/>
        <c:title>
          <c:tx>
            <c:rich>
              <a:bodyPr/>
              <a:lstStyle/>
              <a:p>
                <a:pPr>
                  <a:defRPr sz="1100" b="0" i="0" u="none" strike="noStrike" baseline="0">
                    <a:solidFill>
                      <a:srgbClr val="000000"/>
                    </a:solidFill>
                    <a:latin typeface="Calibri"/>
                    <a:ea typeface="Calibri"/>
                    <a:cs typeface="Calibri"/>
                  </a:defRPr>
                </a:pPr>
                <a:r>
                  <a:rPr lang="en-AU" sz="1000" b="0" i="0" u="none" strike="noStrike" baseline="0">
                    <a:solidFill>
                      <a:srgbClr val="000000"/>
                    </a:solidFill>
                    <a:latin typeface="Arial"/>
                    <a:cs typeface="Arial"/>
                  </a:rPr>
                  <a:t>Initial samples                          Replication sample means                                            </a:t>
                </a:r>
                <a:r>
                  <a:rPr lang="en-AU" sz="1000" b="0" i="0" u="none" strike="noStrike" baseline="0">
                    <a:solidFill>
                      <a:srgbClr val="FFFFFF"/>
                    </a:solidFill>
                    <a:latin typeface="Arial"/>
                    <a:cs typeface="Arial"/>
                  </a:rPr>
                  <a:t> </a:t>
                </a:r>
                <a:r>
                  <a:rPr lang="en-AU" sz="1000" b="0" i="0" u="none" strike="noStrike" baseline="0">
                    <a:solidFill>
                      <a:srgbClr val="000000"/>
                    </a:solidFill>
                    <a:latin typeface="Arial"/>
                    <a:cs typeface="Arial"/>
                  </a:rPr>
                  <a:t>     </a:t>
                </a:r>
              </a:p>
            </c:rich>
          </c:tx>
          <c:layout>
            <c:manualLayout>
              <c:xMode val="edge"/>
              <c:yMode val="edge"/>
              <c:x val="0.40060698027314112"/>
              <c:y val="0.91793313069908811"/>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186153216"/>
        <c:crosses val="autoZero"/>
        <c:crossBetween val="midCat"/>
      </c:valAx>
      <c:valAx>
        <c:axId val="186153216"/>
        <c:scaling>
          <c:orientation val="minMax"/>
          <c:max val="100"/>
          <c:min val="0"/>
        </c:scaling>
        <c:delete val="0"/>
        <c:axPos val="l"/>
        <c:title>
          <c:tx>
            <c:rich>
              <a:bodyPr/>
              <a:lstStyle/>
              <a:p>
                <a:pPr>
                  <a:defRPr sz="1100" b="0" i="0" u="none" strike="noStrike" baseline="0">
                    <a:solidFill>
                      <a:srgbClr val="000000"/>
                    </a:solidFill>
                    <a:latin typeface="Arial"/>
                    <a:ea typeface="Arial"/>
                    <a:cs typeface="Arial"/>
                  </a:defRPr>
                </a:pPr>
                <a:r>
                  <a:t>Dependent variable</a:t>
                </a:r>
              </a:p>
            </c:rich>
          </c:tx>
          <c:layout>
            <c:manualLayout>
              <c:xMode val="edge"/>
              <c:yMode val="edge"/>
              <c:x val="7.5872534142640367E-3"/>
              <c:y val="0.2857142857142857"/>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6151296"/>
        <c:crossesAt val="0"/>
        <c:crossBetween val="midCat"/>
        <c:majorUnit val="10"/>
        <c:minorUnit val="2"/>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627188465499485E-2"/>
          <c:y val="2.1929824561403508E-2"/>
          <c:w val="0.95365602471678679"/>
          <c:h val="0.82894736842105265"/>
        </c:manualLayout>
      </c:layout>
      <c:scatterChart>
        <c:scatterStyle val="lineMarker"/>
        <c:varyColors val="0"/>
        <c:ser>
          <c:idx val="0"/>
          <c:order val="0"/>
          <c:spPr>
            <a:ln w="28575">
              <a:noFill/>
            </a:ln>
          </c:spPr>
          <c:marker>
            <c:symbol val="circle"/>
            <c:size val="3"/>
            <c:spPr>
              <a:solidFill>
                <a:srgbClr val="0000FF"/>
              </a:solidFill>
              <a:ln>
                <a:solidFill>
                  <a:srgbClr val="000000"/>
                </a:solidFill>
                <a:prstDash val="solid"/>
              </a:ln>
            </c:spPr>
          </c:marker>
          <c:xVal>
            <c:numRef>
              <c:f>'CIs and replication'!$AX$11:$AX$510</c:f>
              <c:numCache>
                <c:formatCode>General</c:formatCode>
                <c:ptCount val="5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numCache>
            </c:numRef>
          </c:xVal>
          <c:yVal>
            <c:numRef>
              <c:f>'CIs and replication'!$AY$11:$AY$510</c:f>
              <c:numCache>
                <c:formatCode>General</c:formatCode>
                <c:ptCount val="5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numCache>
            </c:numRef>
          </c:yVal>
          <c:smooth val="0"/>
          <c:extLst>
            <c:ext xmlns:c16="http://schemas.microsoft.com/office/drawing/2014/chart" uri="{C3380CC4-5D6E-409C-BE32-E72D297353CC}">
              <c16:uniqueId val="{00000000-2656-449C-B45C-2B20A580ACE2}"/>
            </c:ext>
          </c:extLst>
        </c:ser>
        <c:dLbls>
          <c:showLegendKey val="0"/>
          <c:showVal val="0"/>
          <c:showCatName val="0"/>
          <c:showSerName val="0"/>
          <c:showPercent val="0"/>
          <c:showBubbleSize val="0"/>
        </c:dLbls>
        <c:axId val="186185216"/>
        <c:axId val="186187136"/>
      </c:scatterChart>
      <c:valAx>
        <c:axId val="186185216"/>
        <c:scaling>
          <c:orientation val="minMax"/>
          <c:max val="1"/>
          <c:min val="0"/>
        </c:scaling>
        <c:delete val="0"/>
        <c:axPos val="b"/>
        <c:numFmt formatCode="0%" sourceLinked="0"/>
        <c:majorTickMark val="out"/>
        <c:minorTickMark val="out"/>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86187136"/>
        <c:crossesAt val="0"/>
        <c:crossBetween val="midCat"/>
        <c:majorUnit val="0.1"/>
        <c:minorUnit val="0.01"/>
      </c:valAx>
      <c:valAx>
        <c:axId val="186187136"/>
        <c:scaling>
          <c:orientation val="minMax"/>
          <c:max val="6"/>
          <c:min val="0"/>
        </c:scaling>
        <c:delete val="0"/>
        <c:axPos val="l"/>
        <c:numFmt formatCode="General" sourceLinked="1"/>
        <c:majorTickMark val="none"/>
        <c:minorTickMark val="none"/>
        <c:tickLblPos val="none"/>
        <c:spPr>
          <a:ln w="9525">
            <a:noFill/>
          </a:ln>
        </c:spPr>
        <c:crossAx val="186185216"/>
        <c:crossesAt val="0"/>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44451863735082E-2"/>
          <c:y val="0.21875066757405875"/>
          <c:w val="0.92820667769544218"/>
          <c:h val="0.75625230789888886"/>
        </c:manualLayout>
      </c:layout>
      <c:scatterChart>
        <c:scatterStyle val="lineMarker"/>
        <c:varyColors val="0"/>
        <c:ser>
          <c:idx val="5"/>
          <c:order val="0"/>
          <c:spPr>
            <a:ln w="28575">
              <a:noFill/>
            </a:ln>
          </c:spPr>
          <c:marker>
            <c:symbol val="circle"/>
            <c:size val="6"/>
            <c:spPr>
              <a:noFill/>
              <a:ln>
                <a:solidFill>
                  <a:srgbClr val="0000FF"/>
                </a:solidFill>
                <a:prstDash val="solid"/>
              </a:ln>
            </c:spPr>
          </c:marker>
          <c:xVal>
            <c:numLit>
              <c:formatCode>General</c:formatCode>
              <c:ptCount val="400"/>
            </c:numLit>
          </c:xVal>
          <c:yVal>
            <c:numLit>
              <c:formatCode>General</c:formatCode>
              <c:ptCount val="400"/>
            </c:numLit>
          </c:yVal>
          <c:smooth val="0"/>
          <c:extLst>
            <c:ext xmlns:c16="http://schemas.microsoft.com/office/drawing/2014/chart" uri="{C3380CC4-5D6E-409C-BE32-E72D297353CC}">
              <c16:uniqueId val="{00000000-3177-415E-AEB7-273B8CB42189}"/>
            </c:ext>
          </c:extLst>
        </c:ser>
        <c:ser>
          <c:idx val="6"/>
          <c:order val="1"/>
          <c:spPr>
            <a:ln w="28575">
              <a:noFill/>
            </a:ln>
          </c:spPr>
          <c:marker>
            <c:symbol val="circle"/>
            <c:size val="5"/>
            <c:spPr>
              <a:noFill/>
              <a:ln>
                <a:solidFill>
                  <a:srgbClr val="0000FF"/>
                </a:solidFill>
                <a:prstDash val="solid"/>
              </a:ln>
            </c:spPr>
          </c:marker>
          <c:xVal>
            <c:numLit>
              <c:formatCode>General</c:formatCode>
              <c:ptCount val="400"/>
            </c:numLit>
          </c:xVal>
          <c:yVal>
            <c:numLit>
              <c:formatCode>General</c:formatCode>
              <c:ptCount val="397"/>
            </c:numLit>
          </c:yVal>
          <c:smooth val="0"/>
          <c:extLst>
            <c:ext xmlns:c16="http://schemas.microsoft.com/office/drawing/2014/chart" uri="{C3380CC4-5D6E-409C-BE32-E72D297353CC}">
              <c16:uniqueId val="{00000001-3177-415E-AEB7-273B8CB42189}"/>
            </c:ext>
          </c:extLst>
        </c:ser>
        <c:ser>
          <c:idx val="1"/>
          <c:order val="2"/>
          <c:tx>
            <c:strRef>
              <c:f>'Dance p'!$BZ$40</c:f>
              <c:strCache>
                <c:ptCount val="1"/>
                <c:pt idx="0">
                  <c:v>Control</c:v>
                </c:pt>
              </c:strCache>
            </c:strRef>
          </c:tx>
          <c:spPr>
            <a:ln w="25400">
              <a:solidFill>
                <a:srgbClr val="0000FF"/>
              </a:solidFill>
              <a:prstDash val="solid"/>
            </a:ln>
          </c:spPr>
          <c:marker>
            <c:symbol val="none"/>
          </c:marker>
          <c:xVal>
            <c:numRef>
              <c:f>'Dance p'!$BY$42:$BY$242</c:f>
              <c:numCache>
                <c:formatCode>General</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numCache>
            </c:numRef>
          </c:xVal>
          <c:yVal>
            <c:numRef>
              <c:f>'Dance p'!$BZ$42:$BZ$242</c:f>
              <c:numCache>
                <c:formatCode>General</c:formatCode>
                <c:ptCount val="201"/>
                <c:pt idx="0">
                  <c:v>4.393693362340742E-2</c:v>
                </c:pt>
                <c:pt idx="1">
                  <c:v>4.6756008847947908E-2</c:v>
                </c:pt>
                <c:pt idx="2">
                  <c:v>4.9724873412349574E-2</c:v>
                </c:pt>
                <c:pt idx="3">
                  <c:v>5.2849210779185175E-2</c:v>
                </c:pt>
                <c:pt idx="4">
                  <c:v>5.6134762834133725E-2</c:v>
                </c:pt>
                <c:pt idx="5">
                  <c:v>5.9587318761986086E-2</c:v>
                </c:pt>
                <c:pt idx="6">
                  <c:v>6.3212703075288826E-2</c:v>
                </c:pt>
                <c:pt idx="7">
                  <c:v>6.7016762789207263E-2</c:v>
                </c:pt>
                <c:pt idx="8">
                  <c:v>7.1005353739636998E-2</c:v>
                </c:pt>
                <c:pt idx="9">
                  <c:v>7.5184326045271158E-2</c:v>
                </c:pt>
                <c:pt idx="10">
                  <c:v>7.9559508718227673E-2</c:v>
                </c:pt>
                <c:pt idx="11">
                  <c:v>8.4136693431947907E-2</c:v>
                </c:pt>
                <c:pt idx="12">
                  <c:v>8.8921617459386287E-2</c:v>
                </c:pt>
                <c:pt idx="13">
                  <c:v>9.3919945799004451E-2</c:v>
                </c:pt>
                <c:pt idx="14">
                  <c:v>9.913725251074737E-2</c:v>
                </c:pt>
                <c:pt idx="15">
                  <c:v>0.10457900128900144</c:v>
                </c:pt>
                <c:pt idx="16">
                  <c:v>0.11025052530448522</c:v>
                </c:pt>
                <c:pt idx="17">
                  <c:v>0.11615700635209682</c:v>
                </c:pt>
                <c:pt idx="18">
                  <c:v>0.12230345334690058</c:v>
                </c:pt>
                <c:pt idx="19">
                  <c:v>0.12869468021566227</c:v>
                </c:pt>
                <c:pt idx="20">
                  <c:v>0.1353352832366127</c:v>
                </c:pt>
                <c:pt idx="21">
                  <c:v>0.14222961788539534</c:v>
                </c:pt>
                <c:pt idx="22">
                  <c:v>0.14938177525041801</c:v>
                </c:pt>
                <c:pt idx="23">
                  <c:v>0.15679555808603965</c:v>
                </c:pt>
                <c:pt idx="24">
                  <c:v>0.1644744565771549</c:v>
                </c:pt>
                <c:pt idx="25">
                  <c:v>0.17242162389375279</c:v>
                </c:pt>
                <c:pt idx="26">
                  <c:v>0.18063985161889395</c:v>
                </c:pt>
                <c:pt idx="27">
                  <c:v>0.18913154513822555</c:v>
                </c:pt>
                <c:pt idx="28">
                  <c:v>0.1978986990836146</c:v>
                </c:pt>
                <c:pt idx="29">
                  <c:v>0.20694287292767763</c:v>
                </c:pt>
                <c:pt idx="30">
                  <c:v>0.21626516682988725</c:v>
                </c:pt>
                <c:pt idx="31">
                  <c:v>0.22586619783851439</c:v>
                </c:pt>
                <c:pt idx="32">
                  <c:v>0.23574607655586352</c:v>
                </c:pt>
                <c:pt idx="33">
                  <c:v>0.24590438437706763</c:v>
                </c:pt>
                <c:pt idx="34">
                  <c:v>0.25634015141507366</c:v>
                </c:pt>
                <c:pt idx="35">
                  <c:v>0.26705183522634335</c:v>
                </c:pt>
                <c:pt idx="36">
                  <c:v>0.27803730045319408</c:v>
                </c:pt>
                <c:pt idx="37">
                  <c:v>0.28929379949956169</c:v>
                </c:pt>
                <c:pt idx="38">
                  <c:v>0.30081795435727543</c:v>
                </c:pt>
                <c:pt idx="39">
                  <c:v>0.31260573969965544</c:v>
                </c:pt>
                <c:pt idx="40">
                  <c:v>0.32465246735834968</c:v>
                </c:pt>
                <c:pt idx="41">
                  <c:v>0.33695277229782511</c:v>
                </c:pt>
                <c:pt idx="42">
                  <c:v>0.34950060019975648</c:v>
                </c:pt>
                <c:pt idx="43">
                  <c:v>0.36228919676675564</c:v>
                </c:pt>
                <c:pt idx="44">
                  <c:v>0.37531109885139952</c:v>
                </c:pt>
                <c:pt idx="45">
                  <c:v>0.38855812751236407</c:v>
                </c:pt>
                <c:pt idx="46">
                  <c:v>0.40202138309465479</c:v>
                </c:pt>
                <c:pt idx="47">
                  <c:v>0.41569124242542715</c:v>
                </c:pt>
                <c:pt idx="48">
                  <c:v>0.42955735821073904</c:v>
                </c:pt>
                <c:pt idx="49">
                  <c:v>0.44360866071177185</c:v>
                </c:pt>
                <c:pt idx="50">
                  <c:v>0.45783336177161416</c:v>
                </c:pt>
                <c:pt idx="51">
                  <c:v>0.47221896125565366</c:v>
                </c:pt>
                <c:pt idx="52">
                  <c:v>0.48675225595997162</c:v>
                </c:pt>
                <c:pt idx="53">
                  <c:v>0.50141935103294033</c:v>
                </c:pt>
                <c:pt idx="54">
                  <c:v>0.51620567394549632</c:v>
                </c:pt>
                <c:pt idx="55">
                  <c:v>0.53109599103534522</c:v>
                </c:pt>
                <c:pt idx="56">
                  <c:v>0.5460744266397094</c:v>
                </c:pt>
                <c:pt idx="57">
                  <c:v>0.5611244848201743</c:v>
                </c:pt>
                <c:pt idx="58">
                  <c:v>0.57622907367179987</c:v>
                </c:pt>
                <c:pt idx="59">
                  <c:v>0.59137053219698121</c:v>
                </c:pt>
                <c:pt idx="60">
                  <c:v>0.60653065971263331</c:v>
                </c:pt>
                <c:pt idx="61">
                  <c:v>0.62169074774719313</c:v>
                </c:pt>
                <c:pt idx="62">
                  <c:v>0.63683161437174307</c:v>
                </c:pt>
                <c:pt idx="63">
                  <c:v>0.65193364089734529</c:v>
                </c:pt>
                <c:pt idx="64">
                  <c:v>0.66697681085847427</c:v>
                </c:pt>
                <c:pt idx="65">
                  <c:v>0.68194075119034814</c:v>
                </c:pt>
                <c:pt idx="66">
                  <c:v>0.6968047754960347</c:v>
                </c:pt>
                <c:pt idx="67">
                  <c:v>0.71154792928753674</c:v>
                </c:pt>
                <c:pt idx="68">
                  <c:v>0.72614903707369083</c:v>
                </c:pt>
                <c:pt idx="69">
                  <c:v>0.74058675115675177</c:v>
                </c:pt>
                <c:pt idx="70">
                  <c:v>0.75483960198900724</c:v>
                </c:pt>
                <c:pt idx="71">
                  <c:v>0.76888604993079179</c:v>
                </c:pt>
                <c:pt idx="72">
                  <c:v>0.78270453824186814</c:v>
                </c:pt>
                <c:pt idx="73">
                  <c:v>0.79627354712941933</c:v>
                </c:pt>
                <c:pt idx="74">
                  <c:v>0.80957164866788689</c:v>
                </c:pt>
                <c:pt idx="75">
                  <c:v>0.82257756239866464</c:v>
                </c:pt>
                <c:pt idx="76">
                  <c:v>0.83527021141127189</c:v>
                </c:pt>
                <c:pt idx="77">
                  <c:v>0.84762877870213571</c:v>
                </c:pt>
                <c:pt idx="78">
                  <c:v>0.85963276360254215</c:v>
                </c:pt>
                <c:pt idx="79">
                  <c:v>0.87126203806373947</c:v>
                </c:pt>
                <c:pt idx="80">
                  <c:v>0.88249690258459534</c:v>
                </c:pt>
                <c:pt idx="81">
                  <c:v>0.89331814156568234</c:v>
                </c:pt>
                <c:pt idx="82">
                  <c:v>0.90370707787319604</c:v>
                </c:pt>
                <c:pt idx="83">
                  <c:v>0.91364562639672886</c:v>
                </c:pt>
                <c:pt idx="84">
                  <c:v>0.92311634638663564</c:v>
                </c:pt>
                <c:pt idx="85">
                  <c:v>0.93210249235952747</c:v>
                </c:pt>
                <c:pt idx="86">
                  <c:v>0.94058806336434198</c:v>
                </c:pt>
                <c:pt idx="87">
                  <c:v>0.94855785040642304</c:v>
                </c:pt>
                <c:pt idx="88">
                  <c:v>0.95599748183309974</c:v>
                </c:pt>
                <c:pt idx="89">
                  <c:v>0.96289346649136254</c:v>
                </c:pt>
                <c:pt idx="90">
                  <c:v>0.96923323447634391</c:v>
                </c:pt>
                <c:pt idx="91">
                  <c:v>0.97500517529841757</c:v>
                </c:pt>
                <c:pt idx="92">
                  <c:v>0.98019867330675525</c:v>
                </c:pt>
                <c:pt idx="93">
                  <c:v>0.98480414021809537</c:v>
                </c:pt>
                <c:pt idx="94">
                  <c:v>0.98881304461123298</c:v>
                </c:pt>
                <c:pt idx="95">
                  <c:v>0.99221793826024329</c:v>
                </c:pt>
                <c:pt idx="96">
                  <c:v>0.99501247919268221</c:v>
                </c:pt>
                <c:pt idx="97">
                  <c:v>0.99719145137284493</c:v>
                </c:pt>
                <c:pt idx="98">
                  <c:v>0.99875078092458081</c:v>
                </c:pt>
                <c:pt idx="99">
                  <c:v>0.99968754882303912</c:v>
                </c:pt>
                <c:pt idx="100">
                  <c:v>1</c:v>
                </c:pt>
                <c:pt idx="101">
                  <c:v>0.99968754882303912</c:v>
                </c:pt>
                <c:pt idx="102">
                  <c:v>0.99875078092458081</c:v>
                </c:pt>
                <c:pt idx="103">
                  <c:v>0.99719145137284493</c:v>
                </c:pt>
                <c:pt idx="104">
                  <c:v>0.99501247919268221</c:v>
                </c:pt>
                <c:pt idx="105">
                  <c:v>0.99221793826024329</c:v>
                </c:pt>
                <c:pt idx="106">
                  <c:v>0.98881304461123298</c:v>
                </c:pt>
                <c:pt idx="107">
                  <c:v>0.98480414021809537</c:v>
                </c:pt>
                <c:pt idx="108">
                  <c:v>0.98019867330675525</c:v>
                </c:pt>
                <c:pt idx="109">
                  <c:v>0.97500517529841757</c:v>
                </c:pt>
                <c:pt idx="110">
                  <c:v>0.96923323447634391</c:v>
                </c:pt>
                <c:pt idx="111">
                  <c:v>0.96289346649136254</c:v>
                </c:pt>
                <c:pt idx="112">
                  <c:v>0.95599748183309974</c:v>
                </c:pt>
                <c:pt idx="113">
                  <c:v>0.94855785040642304</c:v>
                </c:pt>
                <c:pt idx="114">
                  <c:v>0.94058806336434198</c:v>
                </c:pt>
                <c:pt idx="115">
                  <c:v>0.93210249235952747</c:v>
                </c:pt>
                <c:pt idx="116">
                  <c:v>0.92311634638663564</c:v>
                </c:pt>
                <c:pt idx="117">
                  <c:v>0.91364562639672886</c:v>
                </c:pt>
                <c:pt idx="118">
                  <c:v>0.90370707787319604</c:v>
                </c:pt>
                <c:pt idx="119">
                  <c:v>0.89331814156568234</c:v>
                </c:pt>
                <c:pt idx="120">
                  <c:v>0.88249690258459534</c:v>
                </c:pt>
                <c:pt idx="121">
                  <c:v>0.87126203806373947</c:v>
                </c:pt>
                <c:pt idx="122">
                  <c:v>0.85963276360254215</c:v>
                </c:pt>
                <c:pt idx="123">
                  <c:v>0.84762877870213571</c:v>
                </c:pt>
                <c:pt idx="124">
                  <c:v>0.83527021141127189</c:v>
                </c:pt>
                <c:pt idx="125">
                  <c:v>0.82257756239866464</c:v>
                </c:pt>
                <c:pt idx="126">
                  <c:v>0.80957164866788689</c:v>
                </c:pt>
                <c:pt idx="127">
                  <c:v>0.79627354712941933</c:v>
                </c:pt>
                <c:pt idx="128">
                  <c:v>0.78270453824186814</c:v>
                </c:pt>
                <c:pt idx="129">
                  <c:v>0.76888604993079179</c:v>
                </c:pt>
                <c:pt idx="130">
                  <c:v>0.75483960198900724</c:v>
                </c:pt>
                <c:pt idx="131">
                  <c:v>0.74058675115675177</c:v>
                </c:pt>
                <c:pt idx="132">
                  <c:v>0.72614903707369083</c:v>
                </c:pt>
                <c:pt idx="133">
                  <c:v>0.71154792928753674</c:v>
                </c:pt>
                <c:pt idx="134">
                  <c:v>0.6968047754960347</c:v>
                </c:pt>
                <c:pt idx="135">
                  <c:v>0.68194075119034814</c:v>
                </c:pt>
                <c:pt idx="136">
                  <c:v>0.66697681085847427</c:v>
                </c:pt>
                <c:pt idx="137">
                  <c:v>0.65193364089734529</c:v>
                </c:pt>
                <c:pt idx="138">
                  <c:v>0.63683161437174307</c:v>
                </c:pt>
                <c:pt idx="139">
                  <c:v>0.62169074774719313</c:v>
                </c:pt>
                <c:pt idx="140">
                  <c:v>0.60653065971263331</c:v>
                </c:pt>
                <c:pt idx="141">
                  <c:v>0.59137053219698121</c:v>
                </c:pt>
                <c:pt idx="142">
                  <c:v>0.57622907367179987</c:v>
                </c:pt>
                <c:pt idx="143">
                  <c:v>0.5611244848201743</c:v>
                </c:pt>
                <c:pt idx="144">
                  <c:v>0.5460744266397094</c:v>
                </c:pt>
                <c:pt idx="145">
                  <c:v>0.53109599103534522</c:v>
                </c:pt>
                <c:pt idx="146">
                  <c:v>0.51620567394549632</c:v>
                </c:pt>
                <c:pt idx="147">
                  <c:v>0.50141935103294033</c:v>
                </c:pt>
                <c:pt idx="148">
                  <c:v>0.48675225595997162</c:v>
                </c:pt>
                <c:pt idx="149">
                  <c:v>0.47221896125565366</c:v>
                </c:pt>
                <c:pt idx="150">
                  <c:v>0.45783336177161416</c:v>
                </c:pt>
                <c:pt idx="151">
                  <c:v>0.44360866071177185</c:v>
                </c:pt>
                <c:pt idx="152">
                  <c:v>0.42955735821073904</c:v>
                </c:pt>
                <c:pt idx="153">
                  <c:v>0.41569124242542715</c:v>
                </c:pt>
                <c:pt idx="154">
                  <c:v>0.40202138309465479</c:v>
                </c:pt>
                <c:pt idx="155">
                  <c:v>0.38855812751236407</c:v>
                </c:pt>
                <c:pt idx="156">
                  <c:v>0.37531109885139952</c:v>
                </c:pt>
                <c:pt idx="157">
                  <c:v>0.36228919676675564</c:v>
                </c:pt>
                <c:pt idx="158">
                  <c:v>0.34950060019975648</c:v>
                </c:pt>
                <c:pt idx="159">
                  <c:v>0.33695277229782511</c:v>
                </c:pt>
                <c:pt idx="160">
                  <c:v>0.32465246735834968</c:v>
                </c:pt>
                <c:pt idx="161">
                  <c:v>0.31260573969965544</c:v>
                </c:pt>
                <c:pt idx="162">
                  <c:v>0.30081795435727543</c:v>
                </c:pt>
                <c:pt idx="163">
                  <c:v>0.28929379949956169</c:v>
                </c:pt>
                <c:pt idx="164">
                  <c:v>0.27803730045319408</c:v>
                </c:pt>
                <c:pt idx="165">
                  <c:v>0.26705183522634335</c:v>
                </c:pt>
                <c:pt idx="166">
                  <c:v>0.25634015141507366</c:v>
                </c:pt>
                <c:pt idx="167">
                  <c:v>0.24590438437706763</c:v>
                </c:pt>
                <c:pt idx="168">
                  <c:v>0.23574607655586352</c:v>
                </c:pt>
                <c:pt idx="169">
                  <c:v>0.22586619783851439</c:v>
                </c:pt>
                <c:pt idx="170">
                  <c:v>0.21626516682988725</c:v>
                </c:pt>
                <c:pt idx="171">
                  <c:v>0.20694287292767763</c:v>
                </c:pt>
                <c:pt idx="172">
                  <c:v>0.1978986990836146</c:v>
                </c:pt>
                <c:pt idx="173">
                  <c:v>0.18913154513822555</c:v>
                </c:pt>
                <c:pt idx="174">
                  <c:v>0.18063985161889395</c:v>
                </c:pt>
                <c:pt idx="175">
                  <c:v>0.17242162389375279</c:v>
                </c:pt>
                <c:pt idx="176">
                  <c:v>0.1644744565771549</c:v>
                </c:pt>
                <c:pt idx="177">
                  <c:v>0.15679555808603965</c:v>
                </c:pt>
                <c:pt idx="178">
                  <c:v>0.14938177525041801</c:v>
                </c:pt>
                <c:pt idx="179">
                  <c:v>0.14222961788539534</c:v>
                </c:pt>
                <c:pt idx="180">
                  <c:v>0.1353352832366127</c:v>
                </c:pt>
                <c:pt idx="181">
                  <c:v>0.12869468021566227</c:v>
                </c:pt>
                <c:pt idx="182">
                  <c:v>0.12230345334690058</c:v>
                </c:pt>
                <c:pt idx="183">
                  <c:v>0.11615700635209682</c:v>
                </c:pt>
                <c:pt idx="184">
                  <c:v>0.11025052530448522</c:v>
                </c:pt>
                <c:pt idx="185">
                  <c:v>0.10457900128900144</c:v>
                </c:pt>
                <c:pt idx="186">
                  <c:v>9.913725251074737E-2</c:v>
                </c:pt>
                <c:pt idx="187">
                  <c:v>9.3919945799004451E-2</c:v>
                </c:pt>
                <c:pt idx="188">
                  <c:v>8.8921617459386287E-2</c:v>
                </c:pt>
                <c:pt idx="189">
                  <c:v>8.4136693431947907E-2</c:v>
                </c:pt>
                <c:pt idx="190">
                  <c:v>7.9559508718227673E-2</c:v>
                </c:pt>
                <c:pt idx="191">
                  <c:v>7.5184326045271158E-2</c:v>
                </c:pt>
                <c:pt idx="192">
                  <c:v>7.1005353739636998E-2</c:v>
                </c:pt>
                <c:pt idx="193">
                  <c:v>6.7016762789207263E-2</c:v>
                </c:pt>
                <c:pt idx="194">
                  <c:v>6.3212703075288826E-2</c:v>
                </c:pt>
                <c:pt idx="195">
                  <c:v>5.9587318761986086E-2</c:v>
                </c:pt>
                <c:pt idx="196">
                  <c:v>5.6134762834133725E-2</c:v>
                </c:pt>
                <c:pt idx="197">
                  <c:v>5.2849210779185175E-2</c:v>
                </c:pt>
                <c:pt idx="198">
                  <c:v>4.9724873412349574E-2</c:v>
                </c:pt>
                <c:pt idx="199">
                  <c:v>4.6756008847947908E-2</c:v>
                </c:pt>
                <c:pt idx="200">
                  <c:v>4.393693362340742E-2</c:v>
                </c:pt>
              </c:numCache>
            </c:numRef>
          </c:yVal>
          <c:smooth val="0"/>
          <c:extLst>
            <c:ext xmlns:c16="http://schemas.microsoft.com/office/drawing/2014/chart" uri="{C3380CC4-5D6E-409C-BE32-E72D297353CC}">
              <c16:uniqueId val="{00000002-3177-415E-AEB7-273B8CB42189}"/>
            </c:ext>
          </c:extLst>
        </c:ser>
        <c:ser>
          <c:idx val="2"/>
          <c:order val="3"/>
          <c:tx>
            <c:strRef>
              <c:f>'Dance p'!$CA$40</c:f>
              <c:strCache>
                <c:ptCount val="1"/>
                <c:pt idx="0">
                  <c:v>Exptal</c:v>
                </c:pt>
              </c:strCache>
            </c:strRef>
          </c:tx>
          <c:spPr>
            <a:ln w="25400">
              <a:solidFill>
                <a:srgbClr val="FF0000"/>
              </a:solidFill>
              <a:prstDash val="solid"/>
            </a:ln>
          </c:spPr>
          <c:marker>
            <c:symbol val="none"/>
          </c:marker>
          <c:xVal>
            <c:numRef>
              <c:f>'Dance p'!$BY$42:$BY$242</c:f>
              <c:numCache>
                <c:formatCode>General</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numCache>
            </c:numRef>
          </c:xVal>
          <c:yVal>
            <c:numRef>
              <c:f>'Dance p'!$CA$42:$CA$242</c:f>
              <c:numCache>
                <c:formatCode>General</c:formatCode>
                <c:ptCount val="201"/>
                <c:pt idx="0">
                  <c:v>9.995577837945125E-3</c:v>
                </c:pt>
                <c:pt idx="1">
                  <c:v>1.0780137052415055E-2</c:v>
                </c:pt>
                <c:pt idx="2">
                  <c:v>1.1619012662177113E-2</c:v>
                </c:pt>
                <c:pt idx="3">
                  <c:v>1.2515342341223668E-2</c:v>
                </c:pt>
                <c:pt idx="4">
                  <c:v>1.347239502479906E-2</c:v>
                </c:pt>
                <c:pt idx="5">
                  <c:v>1.4493572553531498E-2</c:v>
                </c:pt>
                <c:pt idx="6">
                  <c:v>1.5582411012979448E-2</c:v>
                </c:pt>
                <c:pt idx="7">
                  <c:v>1.6742581740099318E-2</c:v>
                </c:pt>
                <c:pt idx="8">
                  <c:v>1.7977891967483044E-2</c:v>
                </c:pt>
                <c:pt idx="9">
                  <c:v>1.9292285075657476E-2</c:v>
                </c:pt>
                <c:pt idx="10">
                  <c:v>2.0689840423294126E-2</c:v>
                </c:pt>
                <c:pt idx="11">
                  <c:v>2.2174772724855182E-2</c:v>
                </c:pt>
                <c:pt idx="12">
                  <c:v>2.3751430945016003E-2</c:v>
                </c:pt>
                <c:pt idx="13">
                  <c:v>2.5424296679161039E-2</c:v>
                </c:pt>
                <c:pt idx="14">
                  <c:v>2.7197981989364434E-2</c:v>
                </c:pt>
                <c:pt idx="15">
                  <c:v>2.9077226665546727E-2</c:v>
                </c:pt>
                <c:pt idx="16">
                  <c:v>3.1066894881955198E-2</c:v>
                </c:pt>
                <c:pt idx="17">
                  <c:v>3.3171971219759011E-2</c:v>
                </c:pt>
                <c:pt idx="18">
                  <c:v>3.5397556027389566E-2</c:v>
                </c:pt>
                <c:pt idx="19">
                  <c:v>3.7748860091298971E-2</c:v>
                </c:pt>
                <c:pt idx="20">
                  <c:v>4.0231198591067024E-2</c:v>
                </c:pt>
                <c:pt idx="21">
                  <c:v>4.2849984314261062E-2</c:v>
                </c:pt>
                <c:pt idx="22">
                  <c:v>4.5610720108156019E-2</c:v>
                </c:pt>
                <c:pt idx="23">
                  <c:v>4.8518990547353993E-2</c:v>
                </c:pt>
                <c:pt idx="24">
                  <c:v>5.1580452798510069E-2</c:v>
                </c:pt>
                <c:pt idx="25">
                  <c:v>5.4800826665778672E-2</c:v>
                </c:pt>
                <c:pt idx="26">
                  <c:v>5.8185883803236887E-2</c:v>
                </c:pt>
                <c:pt idx="27">
                  <c:v>6.1741436083429045E-2</c:v>
                </c:pt>
                <c:pt idx="28">
                  <c:v>6.547332311429678E-2</c:v>
                </c:pt>
                <c:pt idx="29">
                  <c:v>6.9387398900117067E-2</c:v>
                </c:pt>
                <c:pt idx="30">
                  <c:v>7.3489517645658295E-2</c:v>
                </c:pt>
                <c:pt idx="31">
                  <c:v>7.7785518706572229E-2</c:v>
                </c:pt>
                <c:pt idx="32">
                  <c:v>8.2281210693067569E-2</c:v>
                </c:pt>
                <c:pt idx="33">
                  <c:v>8.6982354738137188E-2</c:v>
                </c:pt>
                <c:pt idx="34">
                  <c:v>9.1894646946033748E-2</c:v>
                </c:pt>
                <c:pt idx="35">
                  <c:v>9.7023700041286964E-2</c:v>
                </c:pt>
                <c:pt idx="36">
                  <c:v>0.10237502424331432</c:v>
                </c:pt>
                <c:pt idx="37">
                  <c:v>0.10795400739658235</c:v>
                </c:pt>
                <c:pt idx="38">
                  <c:v>0.1137658943913005</c:v>
                </c:pt>
                <c:pt idx="39">
                  <c:v>0.11981576591475604</c:v>
                </c:pt>
                <c:pt idx="40">
                  <c:v>0.12610851657860489</c:v>
                </c:pt>
                <c:pt idx="41">
                  <c:v>0.13264883247268422</c:v>
                </c:pt>
                <c:pt idx="42">
                  <c:v>0.13944116820119401</c:v>
                </c:pt>
                <c:pt idx="43">
                  <c:v>0.14648972346236572</c:v>
                </c:pt>
                <c:pt idx="44">
                  <c:v>0.15379841923797288</c:v>
                </c:pt>
                <c:pt idx="45">
                  <c:v>0.16137087366420474</c:v>
                </c:pt>
                <c:pt idx="46">
                  <c:v>0.16921037766049141</c:v>
                </c:pt>
                <c:pt idx="47">
                  <c:v>0.17731987039779634</c:v>
                </c:pt>
                <c:pt idx="48">
                  <c:v>0.18570191469265038</c:v>
                </c:pt>
                <c:pt idx="49">
                  <c:v>0.1943586724177544</c:v>
                </c:pt>
                <c:pt idx="50">
                  <c:v>0.20329188002427875</c:v>
                </c:pt>
                <c:pt idx="51">
                  <c:v>0.21250282427502196</c:v>
                </c:pt>
                <c:pt idx="52">
                  <c:v>0.22199231829129376</c:v>
                </c:pt>
                <c:pt idx="53">
                  <c:v>0.2317606780197484</c:v>
                </c:pt>
                <c:pt idx="54">
                  <c:v>0.24180769922836343</c:v>
                </c:pt>
                <c:pt idx="55">
                  <c:v>0.25213263514330009</c:v>
                </c:pt>
                <c:pt idx="56">
                  <c:v>0.26273417484047434</c:v>
                </c:pt>
                <c:pt idx="57">
                  <c:v>0.27361042250726392</c:v>
                </c:pt>
                <c:pt idx="58">
                  <c:v>0.28475887769085484</c:v>
                </c:pt>
                <c:pt idx="59">
                  <c:v>0.29617641665026673</c:v>
                </c:pt>
                <c:pt idx="60">
                  <c:v>0.30785927492904602</c:v>
                </c:pt>
                <c:pt idx="61">
                  <c:v>0.31980303126498005</c:v>
                </c:pt>
                <c:pt idx="62">
                  <c:v>0.33200259295192075</c:v>
                </c:pt>
                <c:pt idx="63">
                  <c:v>0.34445218276690887</c:v>
                </c:pt>
                <c:pt idx="64">
                  <c:v>0.35714532757324352</c:v>
                </c:pt>
                <c:pt idx="65">
                  <c:v>0.37007484870692453</c:v>
                </c:pt>
                <c:pt idx="66">
                  <c:v>0.38323285425002196</c:v>
                </c:pt>
                <c:pt idx="67">
                  <c:v>0.39661073328996488</c:v>
                </c:pt>
                <c:pt idx="68">
                  <c:v>0.41019915225852593</c:v>
                </c:pt>
                <c:pt idx="69">
                  <c:v>0.42398805343838136</c:v>
                </c:pt>
                <c:pt idx="70">
                  <c:v>0.43796665571858195</c:v>
                </c:pt>
                <c:pt idx="71">
                  <c:v>0.45212345767308265</c:v>
                </c:pt>
                <c:pt idx="72">
                  <c:v>0.46644624302866666</c:v>
                </c:pt>
                <c:pt idx="73">
                  <c:v>0.48092208858018626</c:v>
                </c:pt>
                <c:pt idx="74">
                  <c:v>0.49553737460206865</c:v>
                </c:pt>
                <c:pt idx="75">
                  <c:v>0.51027779779550364</c:v>
                </c:pt>
                <c:pt idx="76">
                  <c:v>0.52512838680071816</c:v>
                </c:pt>
                <c:pt idx="77">
                  <c:v>0.54007352029325273</c:v>
                </c:pt>
                <c:pt idx="78">
                  <c:v>0.55509694767226236</c:v>
                </c:pt>
                <c:pt idx="79">
                  <c:v>0.5701818123376049</c:v>
                </c:pt>
                <c:pt idx="80">
                  <c:v>0.58531067754090127</c:v>
                </c:pt>
                <c:pt idx="81">
                  <c:v>0.60046555478393215</c:v>
                </c:pt>
                <c:pt idx="82">
                  <c:v>0.61562793472571165</c:v>
                </c:pt>
                <c:pt idx="83">
                  <c:v>0.63077882054742818</c:v>
                </c:pt>
                <c:pt idx="84">
                  <c:v>0.64589876371222532</c:v>
                </c:pt>
                <c:pt idx="85">
                  <c:v>0.66096790204458633</c:v>
                </c:pt>
                <c:pt idx="86">
                  <c:v>0.67596600004193685</c:v>
                </c:pt>
                <c:pt idx="87">
                  <c:v>0.69087249131908968</c:v>
                </c:pt>
                <c:pt idx="88">
                  <c:v>0.70566652307436861</c:v>
                </c:pt>
                <c:pt idx="89">
                  <c:v>0.72032700245475467</c:v>
                </c:pt>
                <c:pt idx="90">
                  <c:v>0.7348326446862542</c:v>
                </c:pt>
                <c:pt idx="91">
                  <c:v>0.74916202282499256</c:v>
                </c:pt>
                <c:pt idx="92">
                  <c:v>0.7632936189743198</c:v>
                </c:pt>
                <c:pt idx="93">
                  <c:v>0.77720587680358222</c:v>
                </c:pt>
                <c:pt idx="94">
                  <c:v>0.79087725519521102</c:v>
                </c:pt>
                <c:pt idx="95">
                  <c:v>0.80428628283847381</c:v>
                </c:pt>
                <c:pt idx="96">
                  <c:v>0.8174116135806937</c:v>
                </c:pt>
                <c:pt idx="97">
                  <c:v>0.83023208234000812</c:v>
                </c:pt>
                <c:pt idx="98">
                  <c:v>0.8427267613778846</c:v>
                </c:pt>
                <c:pt idx="99">
                  <c:v>0.85487501672466926</c:v>
                </c:pt>
                <c:pt idx="100">
                  <c:v>0.86665656454746043</c:v>
                </c:pt>
                <c:pt idx="101">
                  <c:v>0.87805152724661628</c:v>
                </c:pt>
                <c:pt idx="102">
                  <c:v>0.88904048906525768</c:v>
                </c:pt>
                <c:pt idx="103">
                  <c:v>0.89960455099523118</c:v>
                </c:pt>
                <c:pt idx="104">
                  <c:v>0.90972538476317222</c:v>
                </c:pt>
                <c:pt idx="105">
                  <c:v>0.91938528568158984</c:v>
                </c:pt>
                <c:pt idx="106">
                  <c:v>0.92856722415226012</c:v>
                </c:pt>
                <c:pt idx="107">
                  <c:v>0.9372548956126775</c:v>
                </c:pt>
                <c:pt idx="108">
                  <c:v>0.94543276872087401</c:v>
                </c:pt>
                <c:pt idx="109">
                  <c:v>0.95308613157954825</c:v>
                </c:pt>
                <c:pt idx="110">
                  <c:v>0.96020113580713395</c:v>
                </c:pt>
                <c:pt idx="111">
                  <c:v>0.96676483827115289</c:v>
                </c:pt>
                <c:pt idx="112">
                  <c:v>0.97276524030790823</c:v>
                </c:pt>
                <c:pt idx="113">
                  <c:v>0.97819132426223721</c:v>
                </c:pt>
                <c:pt idx="114">
                  <c:v>0.98303308719161087</c:v>
                </c:pt>
                <c:pt idx="115">
                  <c:v>0.98728157159029029</c:v>
                </c:pt>
                <c:pt idx="116">
                  <c:v>0.99092889300146392</c:v>
                </c:pt>
                <c:pt idx="117">
                  <c:v>0.99396826439823416</c:v>
                </c:pt>
                <c:pt idx="118">
                  <c:v>0.99639401722793441</c:v>
                </c:pt>
                <c:pt idx="119">
                  <c:v>0.99820161902843718</c:v>
                </c:pt>
                <c:pt idx="120">
                  <c:v>0.99938768753983342</c:v>
                </c:pt>
                <c:pt idx="121">
                  <c:v>0.99995000124997901</c:v>
                </c:pt>
                <c:pt idx="122">
                  <c:v>0.99988750632788759</c:v>
                </c:pt>
                <c:pt idx="123">
                  <c:v>0.99920031991468372</c:v>
                </c:pt>
                <c:pt idx="124">
                  <c:v>0.99788972975772738</c:v>
                </c:pt>
                <c:pt idx="125">
                  <c:v>0.99595819018951326</c:v>
                </c:pt>
                <c:pt idx="126">
                  <c:v>0.99340931446891578</c:v>
                </c:pt>
                <c:pt idx="127">
                  <c:v>0.99024786351823457</c:v>
                </c:pt>
                <c:pt idx="128">
                  <c:v>0.98647973110518206</c:v>
                </c:pt>
                <c:pt idx="129">
                  <c:v>0.98211192553436355</c:v>
                </c:pt>
                <c:pt idx="130">
                  <c:v>0.97715254792785977</c:v>
                </c:pt>
                <c:pt idx="131">
                  <c:v>0.97161076718912276</c:v>
                </c:pt>
                <c:pt idx="132">
                  <c:v>0.96549679175848002</c:v>
                </c:pt>
                <c:pt idx="133">
                  <c:v>0.95882183828202305</c:v>
                </c:pt>
                <c:pt idx="134">
                  <c:v>0.95159809732845502</c:v>
                </c:pt>
                <c:pt idx="135">
                  <c:v>0.94383869630054318</c:v>
                </c:pt>
                <c:pt idx="136">
                  <c:v>0.9355576596990669</c:v>
                </c:pt>
                <c:pt idx="137">
                  <c:v>0.92676986690755525</c:v>
                </c:pt>
                <c:pt idx="138">
                  <c:v>0.91749100767557179</c:v>
                </c:pt>
                <c:pt idx="139">
                  <c:v>0.90773753548682967</c:v>
                </c:pt>
                <c:pt idx="140">
                  <c:v>0.89752661900592301</c:v>
                </c:pt>
                <c:pt idx="141">
                  <c:v>0.88687609180395366</c:v>
                </c:pt>
                <c:pt idx="142">
                  <c:v>0.87580440056873154</c:v>
                </c:pt>
                <c:pt idx="143">
                  <c:v>0.86433055200958597</c:v>
                </c:pt>
                <c:pt idx="144">
                  <c:v>0.85247405867005821</c:v>
                </c:pt>
                <c:pt idx="145">
                  <c:v>0.84025488386390224</c:v>
                </c:pt>
                <c:pt idx="146">
                  <c:v>0.8276933859508705</c:v>
                </c:pt>
                <c:pt idx="147">
                  <c:v>0.81481026216872943</c:v>
                </c:pt>
                <c:pt idx="148">
                  <c:v>0.8016264922368358</c:v>
                </c:pt>
                <c:pt idx="149">
                  <c:v>0.78816328194445273</c:v>
                </c:pt>
                <c:pt idx="150">
                  <c:v>0.77444200693379084</c:v>
                </c:pt>
                <c:pt idx="151">
                  <c:v>0.7604841568835895</c:v>
                </c:pt>
                <c:pt idx="152">
                  <c:v>0.74631128029392035</c:v>
                </c:pt>
                <c:pt idx="153">
                  <c:v>0.73194493006686301</c:v>
                </c:pt>
                <c:pt idx="154">
                  <c:v>0.71740661007080131</c:v>
                </c:pt>
                <c:pt idx="155">
                  <c:v>0.70271772286839762</c:v>
                </c:pt>
                <c:pt idx="156">
                  <c:v>0.68789951877983935</c:v>
                </c:pt>
                <c:pt idx="157">
                  <c:v>0.67297304644383382</c:v>
                </c:pt>
                <c:pt idx="158">
                  <c:v>0.65795910502905974</c:v>
                </c:pt>
                <c:pt idx="159">
                  <c:v>0.64287819823847203</c:v>
                </c:pt>
                <c:pt idx="160">
                  <c:v>0.6277504902380654</c:v>
                </c:pt>
                <c:pt idx="161">
                  <c:v>0.61259576363047719</c:v>
                </c:pt>
                <c:pt idx="162">
                  <c:v>0.59743337958225962</c:v>
                </c:pt>
                <c:pt idx="163">
                  <c:v>0.58228224020181329</c:v>
                </c:pt>
                <c:pt idx="164">
                  <c:v>0.56716075325294446</c:v>
                </c:pt>
                <c:pt idx="165">
                  <c:v>0.55208679927684678</c:v>
                </c:pt>
                <c:pt idx="166">
                  <c:v>0.53707770118308917</c:v>
                </c:pt>
                <c:pt idx="167">
                  <c:v>0.52215019635797977</c:v>
                </c:pt>
                <c:pt idx="168">
                  <c:v>0.50732041132655181</c:v>
                </c:pt>
                <c:pt idx="169">
                  <c:v>0.49260383899242072</c:v>
                </c:pt>
                <c:pt idx="170">
                  <c:v>0.47801531846799589</c:v>
                </c:pt>
                <c:pt idx="171">
                  <c:v>0.4635690174959986</c:v>
                </c:pt>
                <c:pt idx="172">
                  <c:v>0.4492784174520616</c:v>
                </c:pt>
                <c:pt idx="173">
                  <c:v>0.43515630090735696</c:v>
                </c:pt>
                <c:pt idx="174">
                  <c:v>0.42121474171980899</c:v>
                </c:pt>
                <c:pt idx="175">
                  <c:v>0.40746509761252764</c:v>
                </c:pt>
                <c:pt idx="176">
                  <c:v>0.39391800518867515</c:v>
                </c:pt>
                <c:pt idx="177">
                  <c:v>0.38058337732311315</c:v>
                </c:pt>
                <c:pt idx="178">
                  <c:v>0.36747040286288568</c:v>
                </c:pt>
                <c:pt idx="179">
                  <c:v>0.35458754856089891</c:v>
                </c:pt>
                <c:pt idx="180">
                  <c:v>0.34194256316010568</c:v>
                </c:pt>
                <c:pt idx="181">
                  <c:v>0.32954248353907717</c:v>
                </c:pt>
                <c:pt idx="182">
                  <c:v>0.31739364282409599</c:v>
                </c:pt>
                <c:pt idx="183">
                  <c:v>0.30550168036780517</c:v>
                </c:pt>
                <c:pt idx="184">
                  <c:v>0.29387155349003458</c:v>
                </c:pt>
                <c:pt idx="185">
                  <c:v>0.2825075508726797</c:v>
                </c:pt>
                <c:pt idx="186">
                  <c:v>0.27141330749742459</c:v>
                </c:pt>
                <c:pt idx="187">
                  <c:v>0.26059182101268924</c:v>
                </c:pt>
                <c:pt idx="188">
                  <c:v>0.2500454694144067</c:v>
                </c:pt>
                <c:pt idx="189">
                  <c:v>0.23977602992410349</c:v>
                </c:pt>
                <c:pt idx="190">
                  <c:v>0.22978469894723427</c:v>
                </c:pt>
                <c:pt idx="191">
                  <c:v>0.22007211299479593</c:v>
                </c:pt>
                <c:pt idx="192">
                  <c:v>0.21063837045188893</c:v>
                </c:pt>
                <c:pt idx="193">
                  <c:v>0.20148305407807937</c:v>
                </c:pt>
                <c:pt idx="194">
                  <c:v>0.19260525412611326</c:v>
                </c:pt>
                <c:pt idx="195">
                  <c:v>0.18400359196771987</c:v>
                </c:pt>
                <c:pt idx="196">
                  <c:v>0.17567624411786878</c:v>
                </c:pt>
                <c:pt idx="197">
                  <c:v>0.1676209665518997</c:v>
                </c:pt>
                <c:pt idx="198">
                  <c:v>0.15983511921336993</c:v>
                </c:pt>
                <c:pt idx="199">
                  <c:v>0.15231569061424191</c:v>
                </c:pt>
                <c:pt idx="200">
                  <c:v>0.14505932243312153</c:v>
                </c:pt>
              </c:numCache>
            </c:numRef>
          </c:yVal>
          <c:smooth val="0"/>
          <c:extLst>
            <c:ext xmlns:c16="http://schemas.microsoft.com/office/drawing/2014/chart" uri="{C3380CC4-5D6E-409C-BE32-E72D297353CC}">
              <c16:uniqueId val="{00000003-3177-415E-AEB7-273B8CB42189}"/>
            </c:ext>
          </c:extLst>
        </c:ser>
        <c:ser>
          <c:idx val="3"/>
          <c:order val="4"/>
          <c:spPr>
            <a:ln w="28575">
              <a:noFill/>
            </a:ln>
          </c:spPr>
          <c:marker>
            <c:symbol val="none"/>
          </c:marker>
          <c:dLbls>
            <c:dLbl>
              <c:idx val="0"/>
              <c:layout/>
              <c:tx>
                <c:rich>
                  <a:bodyPr/>
                  <a:lstStyle/>
                  <a:p>
                    <a:pPr>
                      <a:defRPr sz="900" b="1" i="0" u="none" strike="noStrike" baseline="0">
                        <a:solidFill>
                          <a:srgbClr val="0000FF"/>
                        </a:solidFill>
                        <a:latin typeface="Arial"/>
                        <a:ea typeface="Arial"/>
                        <a:cs typeface="Arial"/>
                      </a:defRPr>
                    </a:pPr>
                    <a:r>
                      <a:rPr lang="en-US"/>
                      <a:t>Control</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3177-415E-AEB7-273B8CB42189}"/>
                </c:ext>
              </c:extLst>
            </c:dLbl>
            <c:dLbl>
              <c:idx val="1"/>
              <c:layout/>
              <c:tx>
                <c:rich>
                  <a:bodyPr/>
                  <a:lstStyle/>
                  <a:p>
                    <a:pPr>
                      <a:defRPr sz="900" b="1" i="0" u="none" strike="noStrike" baseline="0">
                        <a:solidFill>
                          <a:srgbClr val="FF0000"/>
                        </a:solidFill>
                        <a:latin typeface="Arial"/>
                        <a:ea typeface="Arial"/>
                        <a:cs typeface="Arial"/>
                      </a:defRPr>
                    </a:pPr>
                    <a:r>
                      <a:rPr lang="en-US"/>
                      <a:t>Experimental</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3177-415E-AEB7-273B8CB42189}"/>
                </c:ext>
              </c:extLst>
            </c:dLbl>
            <c:spPr>
              <a:noFill/>
              <a:ln w="25400">
                <a:noFill/>
              </a:ln>
            </c:spPr>
            <c:txPr>
              <a:bodyPr/>
              <a:lstStyle/>
              <a:p>
                <a:pPr>
                  <a:defRPr sz="9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p'!$BO$38:$BO$39</c:f>
              <c:numCache>
                <c:formatCode>General</c:formatCode>
                <c:ptCount val="2"/>
                <c:pt idx="0">
                  <c:v>35</c:v>
                </c:pt>
                <c:pt idx="1">
                  <c:v>77.7</c:v>
                </c:pt>
              </c:numCache>
            </c:numRef>
          </c:xVal>
          <c:yVal>
            <c:numRef>
              <c:f>'Dance p'!$BP$38:$BP$39</c:f>
              <c:numCache>
                <c:formatCode>General</c:formatCode>
                <c:ptCount val="2"/>
                <c:pt idx="0">
                  <c:v>1</c:v>
                </c:pt>
                <c:pt idx="1">
                  <c:v>1</c:v>
                </c:pt>
              </c:numCache>
            </c:numRef>
          </c:yVal>
          <c:smooth val="0"/>
          <c:extLst>
            <c:ext xmlns:c16="http://schemas.microsoft.com/office/drawing/2014/chart" uri="{C3380CC4-5D6E-409C-BE32-E72D297353CC}">
              <c16:uniqueId val="{00000006-3177-415E-AEB7-273B8CB42189}"/>
            </c:ext>
          </c:extLst>
        </c:ser>
        <c:ser>
          <c:idx val="4"/>
          <c:order val="5"/>
          <c:spPr>
            <a:ln w="28575">
              <a:noFill/>
            </a:ln>
          </c:spPr>
          <c:marker>
            <c:symbol val="none"/>
          </c:marker>
          <c:errBars>
            <c:errDir val="y"/>
            <c:errBarType val="plus"/>
            <c:errValType val="cust"/>
            <c:noEndCap val="1"/>
            <c:plus>
              <c:numRef>
                <c:f>'Dance p'!$BQ$41</c:f>
                <c:numCache>
                  <c:formatCode>General</c:formatCode>
                  <c:ptCount val="1"/>
                  <c:pt idx="0">
                    <c:v>1.1000000000000001</c:v>
                  </c:pt>
                </c:numCache>
              </c:numRef>
            </c:plus>
            <c:spPr>
              <a:ln w="12700">
                <a:solidFill>
                  <a:srgbClr val="000000"/>
                </a:solidFill>
                <a:prstDash val="solid"/>
              </a:ln>
            </c:spPr>
          </c:errBars>
          <c:xVal>
            <c:numRef>
              <c:f>'Dance p'!$BO$41:$BO$42</c:f>
              <c:numCache>
                <c:formatCode>General</c:formatCode>
                <c:ptCount val="2"/>
                <c:pt idx="0">
                  <c:v>50</c:v>
                </c:pt>
                <c:pt idx="1">
                  <c:v>60.7</c:v>
                </c:pt>
              </c:numCache>
            </c:numRef>
          </c:xVal>
          <c:yVal>
            <c:numRef>
              <c:f>'Dance p'!$BP$41:$BP$42</c:f>
              <c:numCache>
                <c:formatCode>General</c:formatCode>
                <c:ptCount val="2"/>
                <c:pt idx="0">
                  <c:v>0</c:v>
                </c:pt>
                <c:pt idx="1">
                  <c:v>0</c:v>
                </c:pt>
              </c:numCache>
            </c:numRef>
          </c:yVal>
          <c:smooth val="0"/>
          <c:extLst>
            <c:ext xmlns:c16="http://schemas.microsoft.com/office/drawing/2014/chart" uri="{C3380CC4-5D6E-409C-BE32-E72D297353CC}">
              <c16:uniqueId val="{00000007-3177-415E-AEB7-273B8CB42189}"/>
            </c:ext>
          </c:extLst>
        </c:ser>
        <c:ser>
          <c:idx val="9"/>
          <c:order val="6"/>
          <c:spPr>
            <a:ln w="3175">
              <a:solidFill>
                <a:srgbClr val="000000"/>
              </a:solidFill>
              <a:prstDash val="solid"/>
            </a:ln>
          </c:spPr>
          <c:marker>
            <c:symbol val="x"/>
            <c:size val="6"/>
            <c:spPr>
              <a:noFill/>
              <a:ln>
                <a:solidFill>
                  <a:srgbClr val="000000"/>
                </a:solidFill>
                <a:prstDash val="solid"/>
              </a:ln>
            </c:spPr>
          </c:marker>
          <c:xVal>
            <c:numRef>
              <c:f>'Dance p'!$BR$41:$BR$42</c:f>
              <c:numCache>
                <c:formatCode>General</c:formatCode>
                <c:ptCount val="2"/>
                <c:pt idx="0">
                  <c:v>50</c:v>
                </c:pt>
                <c:pt idx="1">
                  <c:v>60.7</c:v>
                </c:pt>
              </c:numCache>
            </c:numRef>
          </c:xVal>
          <c:yVal>
            <c:numRef>
              <c:f>'Dance p'!$BS$41:$BS$42</c:f>
              <c:numCache>
                <c:formatCode>General</c:formatCode>
                <c:ptCount val="2"/>
                <c:pt idx="0">
                  <c:v>0.5</c:v>
                </c:pt>
                <c:pt idx="1">
                  <c:v>0.5</c:v>
                </c:pt>
              </c:numCache>
            </c:numRef>
          </c:yVal>
          <c:smooth val="0"/>
          <c:extLst>
            <c:ext xmlns:c16="http://schemas.microsoft.com/office/drawing/2014/chart" uri="{C3380CC4-5D6E-409C-BE32-E72D297353CC}">
              <c16:uniqueId val="{00000008-3177-415E-AEB7-273B8CB42189}"/>
            </c:ext>
          </c:extLst>
        </c:ser>
        <c:ser>
          <c:idx val="10"/>
          <c:order val="7"/>
          <c:spPr>
            <a:ln w="28575">
              <a:noFill/>
            </a:ln>
          </c:spPr>
          <c:marker>
            <c:symbol val="none"/>
          </c:marker>
          <c:dLbls>
            <c:dLbl>
              <c:idx val="0"/>
              <c:layout/>
              <c:tx>
                <c:strRef>
                  <c:f>'Dance p'!$T$8</c:f>
                  <c:strCache>
                    <c:ptCount val="1"/>
                    <c:pt idx="0">
                      <c:v>0.535</c:v>
                    </c:pt>
                  </c:strCache>
                </c:strRef>
              </c:tx>
              <c:spPr>
                <a:noFill/>
                <a:ln w="25400">
                  <a:noFill/>
                </a:ln>
              </c:spPr>
              <c:txPr>
                <a:bodyPr/>
                <a:lstStyle/>
                <a:p>
                  <a:pPr>
                    <a:defRPr sz="9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15:dlblFieldTable>
                    <c15:dlblFTEntry>
                      <c15:txfldGUID>{AA2937C8-665C-4D91-A507-466E019AF6B4}</c15:txfldGUID>
                      <c15:f>'Dance p'!$T$8</c15:f>
                      <c15:dlblFieldTableCache>
                        <c:ptCount val="1"/>
                        <c:pt idx="0">
                          <c:v>0.535</c:v>
                        </c:pt>
                      </c15:dlblFieldTableCache>
                    </c15:dlblFTEntry>
                  </c15:dlblFieldTable>
                  <c15:showDataLabelsRange val="0"/>
                </c:ext>
                <c:ext xmlns:c16="http://schemas.microsoft.com/office/drawing/2014/chart" uri="{C3380CC4-5D6E-409C-BE32-E72D297353CC}">
                  <c16:uniqueId val="{00000009-3177-415E-AEB7-273B8CB42189}"/>
                </c:ext>
              </c:extLst>
            </c:dLbl>
            <c:numFmt formatCode="0.###" sourceLinked="0"/>
            <c:spPr>
              <a:noFill/>
              <a:ln w="25400">
                <a:noFill/>
              </a:ln>
            </c:spPr>
            <c:txPr>
              <a:bodyPr/>
              <a:lstStyle/>
              <a:p>
                <a:pPr>
                  <a:defRPr sz="900" b="0" i="0" u="none" strike="noStrike" baseline="0">
                    <a:solidFill>
                      <a:srgbClr val="000000"/>
                    </a:solidFill>
                    <a:latin typeface="Arial"/>
                    <a:ea typeface="Arial"/>
                    <a:cs typeface="Arial"/>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p'!$BR$44</c:f>
              <c:numCache>
                <c:formatCode>General</c:formatCode>
                <c:ptCount val="1"/>
                <c:pt idx="0">
                  <c:v>53.85</c:v>
                </c:pt>
              </c:numCache>
            </c:numRef>
          </c:xVal>
          <c:yVal>
            <c:numRef>
              <c:f>'Dance p'!$BS$44</c:f>
              <c:numCache>
                <c:formatCode>General</c:formatCode>
                <c:ptCount val="1"/>
                <c:pt idx="0">
                  <c:v>0.3</c:v>
                </c:pt>
              </c:numCache>
            </c:numRef>
          </c:yVal>
          <c:smooth val="0"/>
          <c:extLst>
            <c:ext xmlns:c16="http://schemas.microsoft.com/office/drawing/2014/chart" uri="{C3380CC4-5D6E-409C-BE32-E72D297353CC}">
              <c16:uniqueId val="{0000000A-3177-415E-AEB7-273B8CB42189}"/>
            </c:ext>
          </c:extLst>
        </c:ser>
        <c:ser>
          <c:idx val="11"/>
          <c:order val="8"/>
          <c:spPr>
            <a:ln w="28575">
              <a:noFill/>
            </a:ln>
          </c:spPr>
          <c:marker>
            <c:symbol val="none"/>
          </c:marker>
          <c:dLbls>
            <c:dLbl>
              <c:idx val="0"/>
              <c:layout/>
              <c:tx>
                <c:rich>
                  <a:bodyPr/>
                  <a:lstStyle/>
                  <a:p>
                    <a:r>
                      <a:rPr lang="en-US" sz="1000" b="0" i="0" u="none" strike="noStrike" baseline="0">
                        <a:solidFill>
                          <a:srgbClr val="000000"/>
                        </a:solidFill>
                        <a:latin typeface="Symbol"/>
                      </a:rPr>
                      <a:t>d </a:t>
                    </a:r>
                    <a:r>
                      <a:rPr lang="en-US" sz="900" b="0" i="0" u="none" strike="noStrike" baseline="0">
                        <a:solidFill>
                          <a:srgbClr val="000000"/>
                        </a:solidFill>
                        <a:latin typeface="Arial"/>
                        <a:cs typeface="Arial"/>
                      </a:rPr>
                      <a:t>=</a:t>
                    </a:r>
                  </a:p>
                </c:rich>
              </c:tx>
              <c:dLblPos val="ctr"/>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B-3177-415E-AEB7-273B8CB42189}"/>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p'!$BR$43</c:f>
              <c:numCache>
                <c:formatCode>General</c:formatCode>
                <c:ptCount val="1"/>
                <c:pt idx="0">
                  <c:v>53.85</c:v>
                </c:pt>
              </c:numCache>
            </c:numRef>
          </c:xVal>
          <c:yVal>
            <c:numRef>
              <c:f>'Dance p'!$BS$43</c:f>
              <c:numCache>
                <c:formatCode>General</c:formatCode>
                <c:ptCount val="1"/>
                <c:pt idx="0">
                  <c:v>0.31</c:v>
                </c:pt>
              </c:numCache>
            </c:numRef>
          </c:yVal>
          <c:smooth val="0"/>
          <c:extLst>
            <c:ext xmlns:c16="http://schemas.microsoft.com/office/drawing/2014/chart" uri="{C3380CC4-5D6E-409C-BE32-E72D297353CC}">
              <c16:uniqueId val="{0000000C-3177-415E-AEB7-273B8CB42189}"/>
            </c:ext>
          </c:extLst>
        </c:ser>
        <c:dLbls>
          <c:showLegendKey val="0"/>
          <c:showVal val="0"/>
          <c:showCatName val="0"/>
          <c:showSerName val="0"/>
          <c:showPercent val="0"/>
          <c:showBubbleSize val="0"/>
        </c:dLbls>
        <c:axId val="213909888"/>
        <c:axId val="213911424"/>
      </c:scatterChart>
      <c:valAx>
        <c:axId val="213909888"/>
        <c:scaling>
          <c:orientation val="minMax"/>
          <c:max val="100"/>
          <c:min val="0"/>
        </c:scaling>
        <c:delete val="0"/>
        <c:axPos val="t"/>
        <c:numFmt formatCode="0" sourceLinked="0"/>
        <c:majorTickMark val="out"/>
        <c:minorTickMark val="out"/>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13911424"/>
        <c:crosses val="max"/>
        <c:crossBetween val="midCat"/>
        <c:majorUnit val="10"/>
        <c:minorUnit val="2"/>
      </c:valAx>
      <c:valAx>
        <c:axId val="213911424"/>
        <c:scaling>
          <c:orientation val="minMax"/>
          <c:min val="0"/>
        </c:scaling>
        <c:delete val="0"/>
        <c:axPos val="l"/>
        <c:title>
          <c:tx>
            <c:rich>
              <a:bodyPr/>
              <a:lstStyle/>
              <a:p>
                <a:pPr>
                  <a:defRPr sz="900" b="0" i="0" u="none" strike="noStrike" baseline="0">
                    <a:solidFill>
                      <a:srgbClr val="000000"/>
                    </a:solidFill>
                    <a:latin typeface="Arial"/>
                    <a:ea typeface="Arial"/>
                    <a:cs typeface="Arial"/>
                  </a:defRPr>
                </a:pPr>
                <a:r>
                  <a:rPr lang="en-US"/>
                  <a:t>Probability density</a:t>
                </a:r>
              </a:p>
            </c:rich>
          </c:tx>
          <c:layout>
            <c:manualLayout>
              <c:xMode val="edge"/>
              <c:yMode val="edge"/>
              <c:x val="8.5470085470085479E-3"/>
              <c:y val="0.268750656167979"/>
            </c:manualLayout>
          </c:layout>
          <c:overlay val="0"/>
          <c:spPr>
            <a:noFill/>
            <a:ln w="25400">
              <a:noFill/>
            </a:ln>
          </c:spPr>
        </c:title>
        <c:numFmt formatCode="General" sourceLinked="1"/>
        <c:majorTickMark val="out"/>
        <c:minorTickMark val="none"/>
        <c:tickLblPos val="none"/>
        <c:spPr>
          <a:ln w="3175">
            <a:solidFill>
              <a:srgbClr val="000000"/>
            </a:solidFill>
            <a:prstDash val="solid"/>
          </a:ln>
        </c:spPr>
        <c:crossAx val="213909888"/>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316239316239315E-2"/>
          <c:y val="1.7505470459518599E-2"/>
          <c:w val="0.93333333333333335"/>
          <c:h val="0.96061269146608319"/>
        </c:manualLayout>
      </c:layout>
      <c:scatterChart>
        <c:scatterStyle val="lineMarker"/>
        <c:varyColors val="0"/>
        <c:ser>
          <c:idx val="4"/>
          <c:order val="0"/>
          <c:spPr>
            <a:ln w="28575">
              <a:noFill/>
            </a:ln>
          </c:spPr>
          <c:marker>
            <c:symbol val="none"/>
          </c:marker>
          <c:errBars>
            <c:errDir val="x"/>
            <c:errBarType val="plus"/>
            <c:errValType val="cust"/>
            <c:noEndCap val="0"/>
            <c:plus>
              <c:numLit>
                <c:formatCode>General</c:formatCode>
                <c:ptCount val="1"/>
                <c:pt idx="0">
                  <c:v>999</c:v>
                </c:pt>
              </c:numLit>
            </c:plus>
            <c:spPr>
              <a:ln w="12700">
                <a:solidFill>
                  <a:srgbClr val="CCCCFF"/>
                </a:solidFill>
                <a:prstDash val="solid"/>
              </a:ln>
            </c:spPr>
          </c:errBars>
          <c:xVal>
            <c:numRef>
              <c:f>'Dance p'!$BT$15:$BT$39</c:f>
              <c:numCache>
                <c:formatCode>General</c:formatCode>
                <c:ptCount val="25"/>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numCache>
            </c:numRef>
          </c:xVal>
          <c:yVal>
            <c:numRef>
              <c:f>'Dance p'!$BU$15:$BU$39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00-511C-4F8D-B238-F043CE3A7D66}"/>
            </c:ext>
          </c:extLst>
        </c:ser>
        <c:ser>
          <c:idx val="5"/>
          <c:order val="1"/>
          <c:spPr>
            <a:ln w="28575">
              <a:noFill/>
            </a:ln>
          </c:spPr>
          <c:marker>
            <c:symbol val="circle"/>
            <c:size val="7"/>
            <c:spPr>
              <a:solidFill>
                <a:srgbClr val="00FF00"/>
              </a:solidFill>
              <a:ln>
                <a:solidFill>
                  <a:srgbClr val="000000"/>
                </a:solidFill>
                <a:prstDash val="solid"/>
              </a:ln>
            </c:spPr>
          </c:marker>
          <c:dPt>
            <c:idx val="1"/>
            <c:marker>
              <c:spPr>
                <a:solidFill>
                  <a:srgbClr val="C00000"/>
                </a:solidFill>
                <a:ln>
                  <a:solidFill>
                    <a:srgbClr val="000000"/>
                  </a:solidFill>
                  <a:prstDash val="solid"/>
                </a:ln>
              </c:spPr>
            </c:marker>
            <c:bubble3D val="0"/>
            <c:extLst>
              <c:ext xmlns:c16="http://schemas.microsoft.com/office/drawing/2014/chart" uri="{C3380CC4-5D6E-409C-BE32-E72D297353CC}">
                <c16:uniqueId val="{00000003-1D5B-42F1-AB75-A1601BC5E747}"/>
              </c:ext>
            </c:extLst>
          </c:dPt>
          <c:dPt>
            <c:idx val="8"/>
            <c:marker>
              <c:spPr>
                <a:solidFill>
                  <a:srgbClr val="C00000"/>
                </a:solidFill>
                <a:ln>
                  <a:solidFill>
                    <a:srgbClr val="000000"/>
                  </a:solidFill>
                  <a:prstDash val="solid"/>
                </a:ln>
              </c:spPr>
            </c:marker>
            <c:bubble3D val="0"/>
            <c:extLst>
              <c:ext xmlns:c16="http://schemas.microsoft.com/office/drawing/2014/chart" uri="{C3380CC4-5D6E-409C-BE32-E72D297353CC}">
                <c16:uniqueId val="{00000002-1D5B-42F1-AB75-A1601BC5E747}"/>
              </c:ext>
            </c:extLst>
          </c:dPt>
          <c:dPt>
            <c:idx val="24"/>
            <c:marker>
              <c:spPr>
                <a:solidFill>
                  <a:srgbClr val="C00000"/>
                </a:solidFill>
                <a:ln>
                  <a:solidFill>
                    <a:srgbClr val="000000"/>
                  </a:solidFill>
                  <a:prstDash val="solid"/>
                </a:ln>
              </c:spPr>
            </c:marker>
            <c:bubble3D val="0"/>
            <c:extLst>
              <c:ext xmlns:c16="http://schemas.microsoft.com/office/drawing/2014/chart" uri="{C3380CC4-5D6E-409C-BE32-E72D297353CC}">
                <c16:uniqueId val="{00000004-1D5B-42F1-AB75-A1601BC5E747}"/>
              </c:ext>
            </c:extLst>
          </c:dPt>
          <c:errBars>
            <c:errDir val="x"/>
            <c:errBarType val="both"/>
            <c:errValType val="cust"/>
            <c:noEndCap val="0"/>
            <c:plus>
              <c:numRef>
                <c:f>'Dance p'!$BR$46</c:f>
                <c:numCache>
                  <c:formatCode>General</c:formatCode>
                  <c:ptCount val="1"/>
                  <c:pt idx="0">
                    <c:v>9.7998199227002676</c:v>
                  </c:pt>
                </c:numCache>
              </c:numRef>
            </c:plus>
            <c:minus>
              <c:numRef>
                <c:f>'Dance p'!$BR$46</c:f>
                <c:numCache>
                  <c:formatCode>General</c:formatCode>
                  <c:ptCount val="1"/>
                  <c:pt idx="0">
                    <c:v>9.7998199227002676</c:v>
                  </c:pt>
                </c:numCache>
              </c:numRef>
            </c:minus>
            <c:spPr>
              <a:ln w="25400">
                <a:solidFill>
                  <a:srgbClr val="00FF00"/>
                </a:solidFill>
                <a:prstDash val="solid"/>
              </a:ln>
            </c:spPr>
          </c:errBars>
          <c:xVal>
            <c:numRef>
              <c:f>'Dance p'!$BR$15:$BR$39</c:f>
              <c:numCache>
                <c:formatCode>General</c:formatCode>
                <c:ptCount val="25"/>
                <c:pt idx="0">
                  <c:v>62.743674781219603</c:v>
                </c:pt>
                <c:pt idx="1">
                  <c:v>50.699183019959662</c:v>
                </c:pt>
                <c:pt idx="2">
                  <c:v>71.236780405696621</c:v>
                </c:pt>
                <c:pt idx="3">
                  <c:v>62.018658003715238</c:v>
                </c:pt>
                <c:pt idx="4">
                  <c:v>58.442249524912896</c:v>
                </c:pt>
                <c:pt idx="5">
                  <c:v>60.867008430680116</c:v>
                </c:pt>
                <c:pt idx="6">
                  <c:v>70.317127985001406</c:v>
                </c:pt>
                <c:pt idx="7">
                  <c:v>55.874885905592812</c:v>
                </c:pt>
                <c:pt idx="8">
                  <c:v>74.734621698075927</c:v>
                </c:pt>
                <c:pt idx="9">
                  <c:v>54.146718297468112</c:v>
                </c:pt>
                <c:pt idx="10">
                  <c:v>58.349914186558415</c:v>
                </c:pt>
                <c:pt idx="11">
                  <c:v>56.392947275174642</c:v>
                </c:pt>
                <c:pt idx="12">
                  <c:v>67.12215461964847</c:v>
                </c:pt>
                <c:pt idx="13">
                  <c:v>63.427818301520887</c:v>
                </c:pt>
                <c:pt idx="14">
                  <c:v>61.86942809784658</c:v>
                </c:pt>
                <c:pt idx="15">
                  <c:v>63.815170974028327</c:v>
                </c:pt>
                <c:pt idx="16">
                  <c:v>66.376649240285602</c:v>
                </c:pt>
                <c:pt idx="17">
                  <c:v>68.558995491378141</c:v>
                </c:pt>
                <c:pt idx="18">
                  <c:v>59.148426022855588</c:v>
                </c:pt>
                <c:pt idx="19">
                  <c:v>67.878335940447528</c:v>
                </c:pt>
                <c:pt idx="20">
                  <c:v>63.434038656526695</c:v>
                </c:pt>
                <c:pt idx="21">
                  <c:v>53.769716736329862</c:v>
                </c:pt>
                <c:pt idx="22">
                  <c:v>64.149192045369489</c:v>
                </c:pt>
                <c:pt idx="23">
                  <c:v>58.791908883972134</c:v>
                </c:pt>
                <c:pt idx="24">
                  <c:v>49.107885696299242</c:v>
                </c:pt>
              </c:numCache>
            </c:numRef>
          </c:xVal>
          <c:yVal>
            <c:numRef>
              <c:f>'Dance p'!$BS$57:$BS$81</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01-511C-4F8D-B238-F043CE3A7D66}"/>
            </c:ext>
          </c:extLst>
        </c:ser>
        <c:ser>
          <c:idx val="0"/>
          <c:order val="2"/>
          <c:spPr>
            <a:ln w="28575">
              <a:noFill/>
            </a:ln>
          </c:spPr>
          <c:marker>
            <c:symbol val="circle"/>
            <c:size val="6"/>
            <c:spPr>
              <a:noFill/>
              <a:ln>
                <a:solidFill>
                  <a:srgbClr val="0000FF"/>
                </a:solidFill>
                <a:prstDash val="solid"/>
              </a:ln>
            </c:spPr>
          </c:marker>
          <c:xVal>
            <c:numRef>
              <c:f>'Dance p'!$BV$50:$BV$249</c:f>
              <c:numCache>
                <c:formatCode>General</c:formatCode>
                <c:ptCount val="200"/>
                <c:pt idx="0">
                  <c:v>15.763052802329369</c:v>
                </c:pt>
                <c:pt idx="1">
                  <c:v>53.695655200087806</c:v>
                </c:pt>
                <c:pt idx="2">
                  <c:v>39.530019177697511</c:v>
                </c:pt>
                <c:pt idx="3">
                  <c:v>101.2040615964209</c:v>
                </c:pt>
                <c:pt idx="4">
                  <c:v>46.241132362086411</c:v>
                </c:pt>
                <c:pt idx="5">
                  <c:v>60.779697963744681</c:v>
                </c:pt>
                <c:pt idx="6">
                  <c:v>66.184885317642198</c:v>
                </c:pt>
                <c:pt idx="7">
                  <c:v>98.561237486630318</c:v>
                </c:pt>
                <c:pt idx="8">
                  <c:v>27.921603986477336</c:v>
                </c:pt>
                <c:pt idx="9">
                  <c:v>44.738722065607384</c:v>
                </c:pt>
                <c:pt idx="10">
                  <c:v>67.057595042392222</c:v>
                </c:pt>
                <c:pt idx="11">
                  <c:v>49.224537429142792</c:v>
                </c:pt>
                <c:pt idx="12">
                  <c:v>57.390938348597473</c:v>
                </c:pt>
                <c:pt idx="13">
                  <c:v>68.995742641341636</c:v>
                </c:pt>
                <c:pt idx="14">
                  <c:v>57.573660181096145</c:v>
                </c:pt>
                <c:pt idx="15">
                  <c:v>18.448973912377337</c:v>
                </c:pt>
                <c:pt idx="16">
                  <c:v>43.887869857267042</c:v>
                </c:pt>
                <c:pt idx="17">
                  <c:v>37.525034863457286</c:v>
                </c:pt>
                <c:pt idx="18">
                  <c:v>23.468819240710772</c:v>
                </c:pt>
                <c:pt idx="19">
                  <c:v>30.72562052583525</c:v>
                </c:pt>
                <c:pt idx="20">
                  <c:v>43.586742803240796</c:v>
                </c:pt>
                <c:pt idx="21">
                  <c:v>41.930106558192598</c:v>
                </c:pt>
                <c:pt idx="22">
                  <c:v>35.225243060913535</c:v>
                </c:pt>
                <c:pt idx="23">
                  <c:v>94.490638905633787</c:v>
                </c:pt>
                <c:pt idx="24">
                  <c:v>47.584446300619263</c:v>
                </c:pt>
                <c:pt idx="25">
                  <c:v>50.134966061817856</c:v>
                </c:pt>
                <c:pt idx="26">
                  <c:v>30.509971789361163</c:v>
                </c:pt>
                <c:pt idx="27">
                  <c:v>41.715774941012221</c:v>
                </c:pt>
                <c:pt idx="28">
                  <c:v>45.884016834557734</c:v>
                </c:pt>
                <c:pt idx="29">
                  <c:v>46.66611962885689</c:v>
                </c:pt>
                <c:pt idx="30">
                  <c:v>60.511385955867468</c:v>
                </c:pt>
                <c:pt idx="31">
                  <c:v>57.097580810678288</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pt idx="100">
                  <c:v>-999</c:v>
                </c:pt>
                <c:pt idx="101">
                  <c:v>-999</c:v>
                </c:pt>
                <c:pt idx="102">
                  <c:v>-999</c:v>
                </c:pt>
                <c:pt idx="103">
                  <c:v>-999</c:v>
                </c:pt>
                <c:pt idx="104">
                  <c:v>-999</c:v>
                </c:pt>
                <c:pt idx="105">
                  <c:v>-999</c:v>
                </c:pt>
                <c:pt idx="106">
                  <c:v>-999</c:v>
                </c:pt>
                <c:pt idx="107">
                  <c:v>-999</c:v>
                </c:pt>
                <c:pt idx="108">
                  <c:v>-999</c:v>
                </c:pt>
                <c:pt idx="109">
                  <c:v>-999</c:v>
                </c:pt>
                <c:pt idx="110">
                  <c:v>-999</c:v>
                </c:pt>
                <c:pt idx="111">
                  <c:v>-999</c:v>
                </c:pt>
                <c:pt idx="112">
                  <c:v>-999</c:v>
                </c:pt>
                <c:pt idx="113">
                  <c:v>-999</c:v>
                </c:pt>
                <c:pt idx="114">
                  <c:v>-999</c:v>
                </c:pt>
                <c:pt idx="115">
                  <c:v>-999</c:v>
                </c:pt>
                <c:pt idx="116">
                  <c:v>-999</c:v>
                </c:pt>
                <c:pt idx="117">
                  <c:v>-999</c:v>
                </c:pt>
                <c:pt idx="118">
                  <c:v>-999</c:v>
                </c:pt>
                <c:pt idx="119">
                  <c:v>-999</c:v>
                </c:pt>
                <c:pt idx="120">
                  <c:v>-999</c:v>
                </c:pt>
                <c:pt idx="121">
                  <c:v>-999</c:v>
                </c:pt>
                <c:pt idx="122">
                  <c:v>-999</c:v>
                </c:pt>
                <c:pt idx="123">
                  <c:v>-999</c:v>
                </c:pt>
                <c:pt idx="124">
                  <c:v>-999</c:v>
                </c:pt>
                <c:pt idx="125">
                  <c:v>-999</c:v>
                </c:pt>
                <c:pt idx="126">
                  <c:v>-999</c:v>
                </c:pt>
                <c:pt idx="127">
                  <c:v>-999</c:v>
                </c:pt>
                <c:pt idx="128">
                  <c:v>-999</c:v>
                </c:pt>
                <c:pt idx="129">
                  <c:v>-999</c:v>
                </c:pt>
                <c:pt idx="130">
                  <c:v>-999</c:v>
                </c:pt>
                <c:pt idx="131">
                  <c:v>-999</c:v>
                </c:pt>
                <c:pt idx="132">
                  <c:v>-999</c:v>
                </c:pt>
                <c:pt idx="133">
                  <c:v>-999</c:v>
                </c:pt>
                <c:pt idx="134">
                  <c:v>-999</c:v>
                </c:pt>
                <c:pt idx="135">
                  <c:v>-999</c:v>
                </c:pt>
                <c:pt idx="136">
                  <c:v>-999</c:v>
                </c:pt>
                <c:pt idx="137">
                  <c:v>-999</c:v>
                </c:pt>
                <c:pt idx="138">
                  <c:v>-999</c:v>
                </c:pt>
                <c:pt idx="139">
                  <c:v>-999</c:v>
                </c:pt>
                <c:pt idx="140">
                  <c:v>-999</c:v>
                </c:pt>
                <c:pt idx="141">
                  <c:v>-999</c:v>
                </c:pt>
                <c:pt idx="142">
                  <c:v>-999</c:v>
                </c:pt>
                <c:pt idx="143">
                  <c:v>-999</c:v>
                </c:pt>
                <c:pt idx="144">
                  <c:v>-999</c:v>
                </c:pt>
                <c:pt idx="145">
                  <c:v>-999</c:v>
                </c:pt>
                <c:pt idx="146">
                  <c:v>-999</c:v>
                </c:pt>
                <c:pt idx="147">
                  <c:v>-999</c:v>
                </c:pt>
                <c:pt idx="148">
                  <c:v>-999</c:v>
                </c:pt>
                <c:pt idx="149">
                  <c:v>-999</c:v>
                </c:pt>
                <c:pt idx="150">
                  <c:v>-999</c:v>
                </c:pt>
                <c:pt idx="151">
                  <c:v>-999</c:v>
                </c:pt>
                <c:pt idx="152">
                  <c:v>-999</c:v>
                </c:pt>
                <c:pt idx="153">
                  <c:v>-999</c:v>
                </c:pt>
                <c:pt idx="154">
                  <c:v>-999</c:v>
                </c:pt>
                <c:pt idx="155">
                  <c:v>-999</c:v>
                </c:pt>
                <c:pt idx="156">
                  <c:v>-999</c:v>
                </c:pt>
                <c:pt idx="157">
                  <c:v>-999</c:v>
                </c:pt>
                <c:pt idx="158">
                  <c:v>-999</c:v>
                </c:pt>
                <c:pt idx="159">
                  <c:v>-999</c:v>
                </c:pt>
                <c:pt idx="160">
                  <c:v>-999</c:v>
                </c:pt>
                <c:pt idx="161">
                  <c:v>-999</c:v>
                </c:pt>
                <c:pt idx="162">
                  <c:v>-999</c:v>
                </c:pt>
                <c:pt idx="163">
                  <c:v>-999</c:v>
                </c:pt>
                <c:pt idx="164">
                  <c:v>-999</c:v>
                </c:pt>
                <c:pt idx="165">
                  <c:v>-999</c:v>
                </c:pt>
                <c:pt idx="166">
                  <c:v>-999</c:v>
                </c:pt>
                <c:pt idx="167">
                  <c:v>-999</c:v>
                </c:pt>
                <c:pt idx="168">
                  <c:v>-999</c:v>
                </c:pt>
                <c:pt idx="169">
                  <c:v>-999</c:v>
                </c:pt>
                <c:pt idx="170">
                  <c:v>-999</c:v>
                </c:pt>
                <c:pt idx="171">
                  <c:v>-999</c:v>
                </c:pt>
                <c:pt idx="172">
                  <c:v>-999</c:v>
                </c:pt>
                <c:pt idx="173">
                  <c:v>-999</c:v>
                </c:pt>
                <c:pt idx="174">
                  <c:v>-999</c:v>
                </c:pt>
                <c:pt idx="175">
                  <c:v>-999</c:v>
                </c:pt>
                <c:pt idx="176">
                  <c:v>-999</c:v>
                </c:pt>
                <c:pt idx="177">
                  <c:v>-999</c:v>
                </c:pt>
                <c:pt idx="178">
                  <c:v>-999</c:v>
                </c:pt>
                <c:pt idx="179">
                  <c:v>-999</c:v>
                </c:pt>
                <c:pt idx="180">
                  <c:v>-999</c:v>
                </c:pt>
                <c:pt idx="181">
                  <c:v>-999</c:v>
                </c:pt>
                <c:pt idx="182">
                  <c:v>-999</c:v>
                </c:pt>
                <c:pt idx="183">
                  <c:v>-999</c:v>
                </c:pt>
                <c:pt idx="184">
                  <c:v>-999</c:v>
                </c:pt>
                <c:pt idx="185">
                  <c:v>-999</c:v>
                </c:pt>
                <c:pt idx="186">
                  <c:v>-999</c:v>
                </c:pt>
                <c:pt idx="187">
                  <c:v>-999</c:v>
                </c:pt>
                <c:pt idx="188">
                  <c:v>-999</c:v>
                </c:pt>
                <c:pt idx="189">
                  <c:v>-999</c:v>
                </c:pt>
                <c:pt idx="190">
                  <c:v>-999</c:v>
                </c:pt>
                <c:pt idx="191">
                  <c:v>-999</c:v>
                </c:pt>
                <c:pt idx="192">
                  <c:v>-999</c:v>
                </c:pt>
                <c:pt idx="193">
                  <c:v>-999</c:v>
                </c:pt>
                <c:pt idx="194">
                  <c:v>-999</c:v>
                </c:pt>
                <c:pt idx="195">
                  <c:v>-999</c:v>
                </c:pt>
                <c:pt idx="196">
                  <c:v>-999</c:v>
                </c:pt>
                <c:pt idx="197">
                  <c:v>-999</c:v>
                </c:pt>
                <c:pt idx="198">
                  <c:v>-999</c:v>
                </c:pt>
                <c:pt idx="199">
                  <c:v>-999</c:v>
                </c:pt>
              </c:numCache>
            </c:numRef>
          </c:xVal>
          <c:yVal>
            <c:numRef>
              <c:f>'Dance p'!$BW$50:$BW$249</c:f>
              <c:numCache>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pt idx="100">
                  <c:v>-999</c:v>
                </c:pt>
                <c:pt idx="101">
                  <c:v>-999</c:v>
                </c:pt>
                <c:pt idx="102">
                  <c:v>-999</c:v>
                </c:pt>
                <c:pt idx="103">
                  <c:v>-999</c:v>
                </c:pt>
                <c:pt idx="104">
                  <c:v>-999</c:v>
                </c:pt>
                <c:pt idx="105">
                  <c:v>-999</c:v>
                </c:pt>
                <c:pt idx="106">
                  <c:v>-999</c:v>
                </c:pt>
                <c:pt idx="107">
                  <c:v>-999</c:v>
                </c:pt>
                <c:pt idx="108">
                  <c:v>-999</c:v>
                </c:pt>
                <c:pt idx="109">
                  <c:v>-999</c:v>
                </c:pt>
                <c:pt idx="110">
                  <c:v>-999</c:v>
                </c:pt>
                <c:pt idx="111">
                  <c:v>-999</c:v>
                </c:pt>
                <c:pt idx="112">
                  <c:v>-999</c:v>
                </c:pt>
                <c:pt idx="113">
                  <c:v>-999</c:v>
                </c:pt>
                <c:pt idx="114">
                  <c:v>-999</c:v>
                </c:pt>
                <c:pt idx="115">
                  <c:v>-999</c:v>
                </c:pt>
                <c:pt idx="116">
                  <c:v>-999</c:v>
                </c:pt>
                <c:pt idx="117">
                  <c:v>-999</c:v>
                </c:pt>
                <c:pt idx="118">
                  <c:v>-999</c:v>
                </c:pt>
                <c:pt idx="119">
                  <c:v>-999</c:v>
                </c:pt>
                <c:pt idx="120">
                  <c:v>-999</c:v>
                </c:pt>
                <c:pt idx="121">
                  <c:v>-999</c:v>
                </c:pt>
                <c:pt idx="122">
                  <c:v>-999</c:v>
                </c:pt>
                <c:pt idx="123">
                  <c:v>-999</c:v>
                </c:pt>
                <c:pt idx="124">
                  <c:v>-999</c:v>
                </c:pt>
                <c:pt idx="125">
                  <c:v>-999</c:v>
                </c:pt>
                <c:pt idx="126">
                  <c:v>-999</c:v>
                </c:pt>
                <c:pt idx="127">
                  <c:v>-999</c:v>
                </c:pt>
                <c:pt idx="128">
                  <c:v>-999</c:v>
                </c:pt>
                <c:pt idx="129">
                  <c:v>-999</c:v>
                </c:pt>
                <c:pt idx="130">
                  <c:v>-999</c:v>
                </c:pt>
                <c:pt idx="131">
                  <c:v>-999</c:v>
                </c:pt>
                <c:pt idx="132">
                  <c:v>-999</c:v>
                </c:pt>
                <c:pt idx="133">
                  <c:v>-999</c:v>
                </c:pt>
                <c:pt idx="134">
                  <c:v>-999</c:v>
                </c:pt>
                <c:pt idx="135">
                  <c:v>-999</c:v>
                </c:pt>
                <c:pt idx="136">
                  <c:v>-999</c:v>
                </c:pt>
                <c:pt idx="137">
                  <c:v>-999</c:v>
                </c:pt>
                <c:pt idx="138">
                  <c:v>-999</c:v>
                </c:pt>
                <c:pt idx="139">
                  <c:v>-999</c:v>
                </c:pt>
                <c:pt idx="140">
                  <c:v>-999</c:v>
                </c:pt>
                <c:pt idx="141">
                  <c:v>-999</c:v>
                </c:pt>
                <c:pt idx="142">
                  <c:v>-999</c:v>
                </c:pt>
                <c:pt idx="143">
                  <c:v>-999</c:v>
                </c:pt>
                <c:pt idx="144">
                  <c:v>-999</c:v>
                </c:pt>
                <c:pt idx="145">
                  <c:v>-999</c:v>
                </c:pt>
                <c:pt idx="146">
                  <c:v>-999</c:v>
                </c:pt>
                <c:pt idx="147">
                  <c:v>-999</c:v>
                </c:pt>
                <c:pt idx="148">
                  <c:v>-999</c:v>
                </c:pt>
                <c:pt idx="149">
                  <c:v>-999</c:v>
                </c:pt>
                <c:pt idx="150">
                  <c:v>-999</c:v>
                </c:pt>
                <c:pt idx="151">
                  <c:v>-999</c:v>
                </c:pt>
                <c:pt idx="152">
                  <c:v>-999</c:v>
                </c:pt>
                <c:pt idx="153">
                  <c:v>-999</c:v>
                </c:pt>
                <c:pt idx="154">
                  <c:v>-999</c:v>
                </c:pt>
                <c:pt idx="155">
                  <c:v>-999</c:v>
                </c:pt>
                <c:pt idx="156">
                  <c:v>-999</c:v>
                </c:pt>
                <c:pt idx="157">
                  <c:v>-999</c:v>
                </c:pt>
                <c:pt idx="158">
                  <c:v>-999</c:v>
                </c:pt>
                <c:pt idx="159">
                  <c:v>-999</c:v>
                </c:pt>
                <c:pt idx="160">
                  <c:v>-999</c:v>
                </c:pt>
                <c:pt idx="161">
                  <c:v>-999</c:v>
                </c:pt>
                <c:pt idx="162">
                  <c:v>-999</c:v>
                </c:pt>
                <c:pt idx="163">
                  <c:v>-999</c:v>
                </c:pt>
                <c:pt idx="164">
                  <c:v>-999</c:v>
                </c:pt>
                <c:pt idx="165">
                  <c:v>-999</c:v>
                </c:pt>
                <c:pt idx="166">
                  <c:v>-999</c:v>
                </c:pt>
                <c:pt idx="167">
                  <c:v>-999</c:v>
                </c:pt>
                <c:pt idx="168">
                  <c:v>-999</c:v>
                </c:pt>
                <c:pt idx="169">
                  <c:v>-999</c:v>
                </c:pt>
                <c:pt idx="170">
                  <c:v>-999</c:v>
                </c:pt>
                <c:pt idx="171">
                  <c:v>-999</c:v>
                </c:pt>
                <c:pt idx="172">
                  <c:v>-999</c:v>
                </c:pt>
                <c:pt idx="173">
                  <c:v>-999</c:v>
                </c:pt>
                <c:pt idx="174">
                  <c:v>-999</c:v>
                </c:pt>
                <c:pt idx="175">
                  <c:v>-999</c:v>
                </c:pt>
                <c:pt idx="176">
                  <c:v>-999</c:v>
                </c:pt>
                <c:pt idx="177">
                  <c:v>-999</c:v>
                </c:pt>
                <c:pt idx="178">
                  <c:v>-999</c:v>
                </c:pt>
                <c:pt idx="179">
                  <c:v>-999</c:v>
                </c:pt>
                <c:pt idx="180">
                  <c:v>-999</c:v>
                </c:pt>
                <c:pt idx="181">
                  <c:v>-999</c:v>
                </c:pt>
                <c:pt idx="182">
                  <c:v>-999</c:v>
                </c:pt>
                <c:pt idx="183">
                  <c:v>-999</c:v>
                </c:pt>
                <c:pt idx="184">
                  <c:v>-999</c:v>
                </c:pt>
                <c:pt idx="185">
                  <c:v>-999</c:v>
                </c:pt>
                <c:pt idx="186">
                  <c:v>-999</c:v>
                </c:pt>
                <c:pt idx="187">
                  <c:v>-999</c:v>
                </c:pt>
                <c:pt idx="188">
                  <c:v>-999</c:v>
                </c:pt>
                <c:pt idx="189">
                  <c:v>-999</c:v>
                </c:pt>
                <c:pt idx="190">
                  <c:v>-999</c:v>
                </c:pt>
                <c:pt idx="191">
                  <c:v>-999</c:v>
                </c:pt>
                <c:pt idx="192">
                  <c:v>-999</c:v>
                </c:pt>
                <c:pt idx="193">
                  <c:v>-999</c:v>
                </c:pt>
                <c:pt idx="194">
                  <c:v>-999</c:v>
                </c:pt>
                <c:pt idx="195">
                  <c:v>-999</c:v>
                </c:pt>
                <c:pt idx="196">
                  <c:v>-999</c:v>
                </c:pt>
                <c:pt idx="197">
                  <c:v>-999</c:v>
                </c:pt>
                <c:pt idx="198">
                  <c:v>-999</c:v>
                </c:pt>
                <c:pt idx="199">
                  <c:v>-999</c:v>
                </c:pt>
              </c:numCache>
            </c:numRef>
          </c:yVal>
          <c:smooth val="0"/>
          <c:extLst>
            <c:ext xmlns:c16="http://schemas.microsoft.com/office/drawing/2014/chart" uri="{C3380CC4-5D6E-409C-BE32-E72D297353CC}">
              <c16:uniqueId val="{00000002-511C-4F8D-B238-F043CE3A7D66}"/>
            </c:ext>
          </c:extLst>
        </c:ser>
        <c:ser>
          <c:idx val="1"/>
          <c:order val="3"/>
          <c:spPr>
            <a:ln w="28575">
              <a:noFill/>
            </a:ln>
          </c:spPr>
          <c:marker>
            <c:symbol val="circle"/>
            <c:size val="7"/>
            <c:spPr>
              <a:solidFill>
                <a:srgbClr val="0000FF"/>
              </a:solidFill>
              <a:ln>
                <a:solidFill>
                  <a:srgbClr val="000000"/>
                </a:solidFill>
                <a:prstDash val="solid"/>
              </a:ln>
            </c:spPr>
          </c:marker>
          <c:errBars>
            <c:errDir val="x"/>
            <c:errBarType val="both"/>
            <c:errValType val="cust"/>
            <c:noEndCap val="0"/>
            <c:plus>
              <c:numRef>
                <c:f>'Dance p'!$BP$46</c:f>
                <c:numCache>
                  <c:formatCode>General</c:formatCode>
                  <c:ptCount val="1"/>
                  <c:pt idx="0">
                    <c:v>6.9295191217483865</c:v>
                  </c:pt>
                </c:numCache>
              </c:numRef>
            </c:plus>
            <c:minus>
              <c:numRef>
                <c:f>'Dance p'!$BP$46</c:f>
                <c:numCache>
                  <c:formatCode>General</c:formatCode>
                  <c:ptCount val="1"/>
                  <c:pt idx="0">
                    <c:v>6.9295191217483865</c:v>
                  </c:pt>
                </c:numCache>
              </c:numRef>
            </c:minus>
            <c:spPr>
              <a:ln w="12700">
                <a:solidFill>
                  <a:srgbClr val="0000FF"/>
                </a:solidFill>
                <a:prstDash val="solid"/>
              </a:ln>
            </c:spPr>
          </c:errBars>
          <c:xVal>
            <c:numRef>
              <c:f>'Dance p'!$BV$48</c:f>
              <c:numCache>
                <c:formatCode>General</c:formatCode>
                <c:ptCount val="1"/>
                <c:pt idx="0">
                  <c:v>50.132995426615409</c:v>
                </c:pt>
              </c:numCache>
            </c:numRef>
          </c:xVal>
          <c:yVal>
            <c:numRef>
              <c:f>'Dance p'!$BW$48</c:f>
              <c:numCache>
                <c:formatCode>General</c:formatCode>
                <c:ptCount val="1"/>
                <c:pt idx="0">
                  <c:v>0.8</c:v>
                </c:pt>
              </c:numCache>
            </c:numRef>
          </c:yVal>
          <c:smooth val="0"/>
          <c:extLst>
            <c:ext xmlns:c16="http://schemas.microsoft.com/office/drawing/2014/chart" uri="{C3380CC4-5D6E-409C-BE32-E72D297353CC}">
              <c16:uniqueId val="{00000003-511C-4F8D-B238-F043CE3A7D66}"/>
            </c:ext>
          </c:extLst>
        </c:ser>
        <c:ser>
          <c:idx val="2"/>
          <c:order val="4"/>
          <c:spPr>
            <a:ln w="28575">
              <a:noFill/>
            </a:ln>
          </c:spPr>
          <c:marker>
            <c:symbol val="circle"/>
            <c:size val="6"/>
            <c:spPr>
              <a:noFill/>
              <a:ln>
                <a:solidFill>
                  <a:srgbClr val="FF0000"/>
                </a:solidFill>
                <a:prstDash val="solid"/>
              </a:ln>
            </c:spPr>
          </c:marker>
          <c:xVal>
            <c:numRef>
              <c:f>'Dance p'!$BQ$50:$BQ$249</c:f>
              <c:numCache>
                <c:formatCode>General</c:formatCode>
                <c:ptCount val="200"/>
                <c:pt idx="0">
                  <c:v>57.785775900118324</c:v>
                </c:pt>
                <c:pt idx="1">
                  <c:v>67.03893399409877</c:v>
                </c:pt>
                <c:pt idx="2">
                  <c:v>84.827211099430031</c:v>
                </c:pt>
                <c:pt idx="3">
                  <c:v>22.732584711453669</c:v>
                </c:pt>
                <c:pt idx="4">
                  <c:v>69.218767431916859</c:v>
                </c:pt>
                <c:pt idx="5">
                  <c:v>83.809245558367749</c:v>
                </c:pt>
                <c:pt idx="6">
                  <c:v>62.276452839813878</c:v>
                </c:pt>
                <c:pt idx="7">
                  <c:v>57.503532290299972</c:v>
                </c:pt>
                <c:pt idx="8">
                  <c:v>70.291693518669717</c:v>
                </c:pt>
                <c:pt idx="9">
                  <c:v>41.66658701995425</c:v>
                </c:pt>
                <c:pt idx="10">
                  <c:v>56.385774567341116</c:v>
                </c:pt>
                <c:pt idx="11">
                  <c:v>58.828866377393418</c:v>
                </c:pt>
                <c:pt idx="12">
                  <c:v>67.117341337321221</c:v>
                </c:pt>
                <c:pt idx="13">
                  <c:v>59.446596925921902</c:v>
                </c:pt>
                <c:pt idx="14">
                  <c:v>118.11657137157782</c:v>
                </c:pt>
                <c:pt idx="15">
                  <c:v>34.9827541921061</c:v>
                </c:pt>
                <c:pt idx="16">
                  <c:v>89.030194838173855</c:v>
                </c:pt>
                <c:pt idx="17">
                  <c:v>56.267608035960265</c:v>
                </c:pt>
                <c:pt idx="18">
                  <c:v>59.868477380209001</c:v>
                </c:pt>
                <c:pt idx="19">
                  <c:v>49.744116753029687</c:v>
                </c:pt>
                <c:pt idx="20">
                  <c:v>23.665307096276962</c:v>
                </c:pt>
                <c:pt idx="21">
                  <c:v>34.92876940874136</c:v>
                </c:pt>
                <c:pt idx="22">
                  <c:v>36.073473111194048</c:v>
                </c:pt>
                <c:pt idx="23">
                  <c:v>64.806055995506469</c:v>
                </c:pt>
                <c:pt idx="24">
                  <c:v>75.714521422745179</c:v>
                </c:pt>
                <c:pt idx="25">
                  <c:v>56.122674558385633</c:v>
                </c:pt>
                <c:pt idx="26">
                  <c:v>65.888965991972739</c:v>
                </c:pt>
                <c:pt idx="27">
                  <c:v>110.30153889110338</c:v>
                </c:pt>
                <c:pt idx="28">
                  <c:v>86.065081310975899</c:v>
                </c:pt>
                <c:pt idx="29">
                  <c:v>60.394858618521276</c:v>
                </c:pt>
                <c:pt idx="30">
                  <c:v>84.494400116530386</c:v>
                </c:pt>
                <c:pt idx="31">
                  <c:v>42.402860333916152</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pt idx="100">
                  <c:v>-999</c:v>
                </c:pt>
                <c:pt idx="101">
                  <c:v>-999</c:v>
                </c:pt>
                <c:pt idx="102">
                  <c:v>-999</c:v>
                </c:pt>
                <c:pt idx="103">
                  <c:v>-999</c:v>
                </c:pt>
                <c:pt idx="104">
                  <c:v>-999</c:v>
                </c:pt>
                <c:pt idx="105">
                  <c:v>-999</c:v>
                </c:pt>
                <c:pt idx="106">
                  <c:v>-999</c:v>
                </c:pt>
                <c:pt idx="107">
                  <c:v>-999</c:v>
                </c:pt>
                <c:pt idx="108">
                  <c:v>-999</c:v>
                </c:pt>
                <c:pt idx="109">
                  <c:v>-999</c:v>
                </c:pt>
                <c:pt idx="110">
                  <c:v>-999</c:v>
                </c:pt>
                <c:pt idx="111">
                  <c:v>-999</c:v>
                </c:pt>
                <c:pt idx="112">
                  <c:v>-999</c:v>
                </c:pt>
                <c:pt idx="113">
                  <c:v>-999</c:v>
                </c:pt>
                <c:pt idx="114">
                  <c:v>-999</c:v>
                </c:pt>
                <c:pt idx="115">
                  <c:v>-999</c:v>
                </c:pt>
                <c:pt idx="116">
                  <c:v>-999</c:v>
                </c:pt>
                <c:pt idx="117">
                  <c:v>-999</c:v>
                </c:pt>
                <c:pt idx="118">
                  <c:v>-999</c:v>
                </c:pt>
                <c:pt idx="119">
                  <c:v>-999</c:v>
                </c:pt>
                <c:pt idx="120">
                  <c:v>-999</c:v>
                </c:pt>
                <c:pt idx="121">
                  <c:v>-999</c:v>
                </c:pt>
                <c:pt idx="122">
                  <c:v>-999</c:v>
                </c:pt>
                <c:pt idx="123">
                  <c:v>-999</c:v>
                </c:pt>
                <c:pt idx="124">
                  <c:v>-999</c:v>
                </c:pt>
                <c:pt idx="125">
                  <c:v>-999</c:v>
                </c:pt>
                <c:pt idx="126">
                  <c:v>-999</c:v>
                </c:pt>
                <c:pt idx="127">
                  <c:v>-999</c:v>
                </c:pt>
                <c:pt idx="128">
                  <c:v>-999</c:v>
                </c:pt>
                <c:pt idx="129">
                  <c:v>-999</c:v>
                </c:pt>
                <c:pt idx="130">
                  <c:v>-999</c:v>
                </c:pt>
                <c:pt idx="131">
                  <c:v>-999</c:v>
                </c:pt>
                <c:pt idx="132">
                  <c:v>-999</c:v>
                </c:pt>
                <c:pt idx="133">
                  <c:v>-999</c:v>
                </c:pt>
                <c:pt idx="134">
                  <c:v>-999</c:v>
                </c:pt>
                <c:pt idx="135">
                  <c:v>-999</c:v>
                </c:pt>
                <c:pt idx="136">
                  <c:v>-999</c:v>
                </c:pt>
                <c:pt idx="137">
                  <c:v>-999</c:v>
                </c:pt>
                <c:pt idx="138">
                  <c:v>-999</c:v>
                </c:pt>
                <c:pt idx="139">
                  <c:v>-999</c:v>
                </c:pt>
                <c:pt idx="140">
                  <c:v>-999</c:v>
                </c:pt>
                <c:pt idx="141">
                  <c:v>-999</c:v>
                </c:pt>
                <c:pt idx="142">
                  <c:v>-999</c:v>
                </c:pt>
                <c:pt idx="143">
                  <c:v>-999</c:v>
                </c:pt>
                <c:pt idx="144">
                  <c:v>-999</c:v>
                </c:pt>
                <c:pt idx="145">
                  <c:v>-999</c:v>
                </c:pt>
                <c:pt idx="146">
                  <c:v>-999</c:v>
                </c:pt>
                <c:pt idx="147">
                  <c:v>-999</c:v>
                </c:pt>
                <c:pt idx="148">
                  <c:v>-999</c:v>
                </c:pt>
                <c:pt idx="149">
                  <c:v>-999</c:v>
                </c:pt>
                <c:pt idx="150">
                  <c:v>-999</c:v>
                </c:pt>
                <c:pt idx="151">
                  <c:v>-999</c:v>
                </c:pt>
                <c:pt idx="152">
                  <c:v>-999</c:v>
                </c:pt>
                <c:pt idx="153">
                  <c:v>-999</c:v>
                </c:pt>
                <c:pt idx="154">
                  <c:v>-999</c:v>
                </c:pt>
                <c:pt idx="155">
                  <c:v>-999</c:v>
                </c:pt>
                <c:pt idx="156">
                  <c:v>-999</c:v>
                </c:pt>
                <c:pt idx="157">
                  <c:v>-999</c:v>
                </c:pt>
                <c:pt idx="158">
                  <c:v>-999</c:v>
                </c:pt>
                <c:pt idx="159">
                  <c:v>-999</c:v>
                </c:pt>
                <c:pt idx="160">
                  <c:v>-999</c:v>
                </c:pt>
                <c:pt idx="161">
                  <c:v>-999</c:v>
                </c:pt>
                <c:pt idx="162">
                  <c:v>-999</c:v>
                </c:pt>
                <c:pt idx="163">
                  <c:v>-999</c:v>
                </c:pt>
                <c:pt idx="164">
                  <c:v>-999</c:v>
                </c:pt>
                <c:pt idx="165">
                  <c:v>-999</c:v>
                </c:pt>
                <c:pt idx="166">
                  <c:v>-999</c:v>
                </c:pt>
                <c:pt idx="167">
                  <c:v>-999</c:v>
                </c:pt>
                <c:pt idx="168">
                  <c:v>-999</c:v>
                </c:pt>
                <c:pt idx="169">
                  <c:v>-999</c:v>
                </c:pt>
                <c:pt idx="170">
                  <c:v>-999</c:v>
                </c:pt>
                <c:pt idx="171">
                  <c:v>-999</c:v>
                </c:pt>
                <c:pt idx="172">
                  <c:v>-999</c:v>
                </c:pt>
                <c:pt idx="173">
                  <c:v>-999</c:v>
                </c:pt>
                <c:pt idx="174">
                  <c:v>-999</c:v>
                </c:pt>
                <c:pt idx="175">
                  <c:v>-999</c:v>
                </c:pt>
                <c:pt idx="176">
                  <c:v>-999</c:v>
                </c:pt>
                <c:pt idx="177">
                  <c:v>-999</c:v>
                </c:pt>
                <c:pt idx="178">
                  <c:v>-999</c:v>
                </c:pt>
                <c:pt idx="179">
                  <c:v>-999</c:v>
                </c:pt>
                <c:pt idx="180">
                  <c:v>-999</c:v>
                </c:pt>
                <c:pt idx="181">
                  <c:v>-999</c:v>
                </c:pt>
                <c:pt idx="182">
                  <c:v>-999</c:v>
                </c:pt>
                <c:pt idx="183">
                  <c:v>-999</c:v>
                </c:pt>
                <c:pt idx="184">
                  <c:v>-999</c:v>
                </c:pt>
                <c:pt idx="185">
                  <c:v>-999</c:v>
                </c:pt>
                <c:pt idx="186">
                  <c:v>-999</c:v>
                </c:pt>
                <c:pt idx="187">
                  <c:v>-999</c:v>
                </c:pt>
                <c:pt idx="188">
                  <c:v>-999</c:v>
                </c:pt>
                <c:pt idx="189">
                  <c:v>-999</c:v>
                </c:pt>
                <c:pt idx="190">
                  <c:v>-999</c:v>
                </c:pt>
                <c:pt idx="191">
                  <c:v>-999</c:v>
                </c:pt>
                <c:pt idx="192">
                  <c:v>-999</c:v>
                </c:pt>
                <c:pt idx="193">
                  <c:v>-999</c:v>
                </c:pt>
                <c:pt idx="194">
                  <c:v>-999</c:v>
                </c:pt>
                <c:pt idx="195">
                  <c:v>-999</c:v>
                </c:pt>
                <c:pt idx="196">
                  <c:v>-999</c:v>
                </c:pt>
                <c:pt idx="197">
                  <c:v>-999</c:v>
                </c:pt>
                <c:pt idx="198">
                  <c:v>-999</c:v>
                </c:pt>
                <c:pt idx="199">
                  <c:v>-999</c:v>
                </c:pt>
              </c:numCache>
            </c:numRef>
          </c:xVal>
          <c:yVal>
            <c:numRef>
              <c:f>'Dance p'!$BR$50:$BR$249</c:f>
              <c:numCache>
                <c:formatCode>General</c:formatCode>
                <c:ptCount val="20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pt idx="100">
                  <c:v>-999</c:v>
                </c:pt>
                <c:pt idx="101">
                  <c:v>-999</c:v>
                </c:pt>
                <c:pt idx="102">
                  <c:v>-999</c:v>
                </c:pt>
                <c:pt idx="103">
                  <c:v>-999</c:v>
                </c:pt>
                <c:pt idx="104">
                  <c:v>-999</c:v>
                </c:pt>
                <c:pt idx="105">
                  <c:v>-999</c:v>
                </c:pt>
                <c:pt idx="106">
                  <c:v>-999</c:v>
                </c:pt>
                <c:pt idx="107">
                  <c:v>-999</c:v>
                </c:pt>
                <c:pt idx="108">
                  <c:v>-999</c:v>
                </c:pt>
                <c:pt idx="109">
                  <c:v>-999</c:v>
                </c:pt>
                <c:pt idx="110">
                  <c:v>-999</c:v>
                </c:pt>
                <c:pt idx="111">
                  <c:v>-999</c:v>
                </c:pt>
                <c:pt idx="112">
                  <c:v>-999</c:v>
                </c:pt>
                <c:pt idx="113">
                  <c:v>-999</c:v>
                </c:pt>
                <c:pt idx="114">
                  <c:v>-999</c:v>
                </c:pt>
                <c:pt idx="115">
                  <c:v>-999</c:v>
                </c:pt>
                <c:pt idx="116">
                  <c:v>-999</c:v>
                </c:pt>
                <c:pt idx="117">
                  <c:v>-999</c:v>
                </c:pt>
                <c:pt idx="118">
                  <c:v>-999</c:v>
                </c:pt>
                <c:pt idx="119">
                  <c:v>-999</c:v>
                </c:pt>
                <c:pt idx="120">
                  <c:v>-999</c:v>
                </c:pt>
                <c:pt idx="121">
                  <c:v>-999</c:v>
                </c:pt>
                <c:pt idx="122">
                  <c:v>-999</c:v>
                </c:pt>
                <c:pt idx="123">
                  <c:v>-999</c:v>
                </c:pt>
                <c:pt idx="124">
                  <c:v>-999</c:v>
                </c:pt>
                <c:pt idx="125">
                  <c:v>-999</c:v>
                </c:pt>
                <c:pt idx="126">
                  <c:v>-999</c:v>
                </c:pt>
                <c:pt idx="127">
                  <c:v>-999</c:v>
                </c:pt>
                <c:pt idx="128">
                  <c:v>-999</c:v>
                </c:pt>
                <c:pt idx="129">
                  <c:v>-999</c:v>
                </c:pt>
                <c:pt idx="130">
                  <c:v>-999</c:v>
                </c:pt>
                <c:pt idx="131">
                  <c:v>-999</c:v>
                </c:pt>
                <c:pt idx="132">
                  <c:v>-999</c:v>
                </c:pt>
                <c:pt idx="133">
                  <c:v>-999</c:v>
                </c:pt>
                <c:pt idx="134">
                  <c:v>-999</c:v>
                </c:pt>
                <c:pt idx="135">
                  <c:v>-999</c:v>
                </c:pt>
                <c:pt idx="136">
                  <c:v>-999</c:v>
                </c:pt>
                <c:pt idx="137">
                  <c:v>-999</c:v>
                </c:pt>
                <c:pt idx="138">
                  <c:v>-999</c:v>
                </c:pt>
                <c:pt idx="139">
                  <c:v>-999</c:v>
                </c:pt>
                <c:pt idx="140">
                  <c:v>-999</c:v>
                </c:pt>
                <c:pt idx="141">
                  <c:v>-999</c:v>
                </c:pt>
                <c:pt idx="142">
                  <c:v>-999</c:v>
                </c:pt>
                <c:pt idx="143">
                  <c:v>-999</c:v>
                </c:pt>
                <c:pt idx="144">
                  <c:v>-999</c:v>
                </c:pt>
                <c:pt idx="145">
                  <c:v>-999</c:v>
                </c:pt>
                <c:pt idx="146">
                  <c:v>-999</c:v>
                </c:pt>
                <c:pt idx="147">
                  <c:v>-999</c:v>
                </c:pt>
                <c:pt idx="148">
                  <c:v>-999</c:v>
                </c:pt>
                <c:pt idx="149">
                  <c:v>-999</c:v>
                </c:pt>
                <c:pt idx="150">
                  <c:v>-999</c:v>
                </c:pt>
                <c:pt idx="151">
                  <c:v>-999</c:v>
                </c:pt>
                <c:pt idx="152">
                  <c:v>-999</c:v>
                </c:pt>
                <c:pt idx="153">
                  <c:v>-999</c:v>
                </c:pt>
                <c:pt idx="154">
                  <c:v>-999</c:v>
                </c:pt>
                <c:pt idx="155">
                  <c:v>-999</c:v>
                </c:pt>
                <c:pt idx="156">
                  <c:v>-999</c:v>
                </c:pt>
                <c:pt idx="157">
                  <c:v>-999</c:v>
                </c:pt>
                <c:pt idx="158">
                  <c:v>-999</c:v>
                </c:pt>
                <c:pt idx="159">
                  <c:v>-999</c:v>
                </c:pt>
                <c:pt idx="160">
                  <c:v>-999</c:v>
                </c:pt>
                <c:pt idx="161">
                  <c:v>-999</c:v>
                </c:pt>
                <c:pt idx="162">
                  <c:v>-999</c:v>
                </c:pt>
                <c:pt idx="163">
                  <c:v>-999</c:v>
                </c:pt>
                <c:pt idx="164">
                  <c:v>-999</c:v>
                </c:pt>
                <c:pt idx="165">
                  <c:v>-999</c:v>
                </c:pt>
                <c:pt idx="166">
                  <c:v>-999</c:v>
                </c:pt>
                <c:pt idx="167">
                  <c:v>-999</c:v>
                </c:pt>
                <c:pt idx="168">
                  <c:v>-999</c:v>
                </c:pt>
                <c:pt idx="169">
                  <c:v>-999</c:v>
                </c:pt>
                <c:pt idx="170">
                  <c:v>-999</c:v>
                </c:pt>
                <c:pt idx="171">
                  <c:v>-999</c:v>
                </c:pt>
                <c:pt idx="172">
                  <c:v>-999</c:v>
                </c:pt>
                <c:pt idx="173">
                  <c:v>-999</c:v>
                </c:pt>
                <c:pt idx="174">
                  <c:v>-999</c:v>
                </c:pt>
                <c:pt idx="175">
                  <c:v>-999</c:v>
                </c:pt>
                <c:pt idx="176">
                  <c:v>-999</c:v>
                </c:pt>
                <c:pt idx="177">
                  <c:v>-999</c:v>
                </c:pt>
                <c:pt idx="178">
                  <c:v>-999</c:v>
                </c:pt>
                <c:pt idx="179">
                  <c:v>-999</c:v>
                </c:pt>
                <c:pt idx="180">
                  <c:v>-999</c:v>
                </c:pt>
                <c:pt idx="181">
                  <c:v>-999</c:v>
                </c:pt>
                <c:pt idx="182">
                  <c:v>-999</c:v>
                </c:pt>
                <c:pt idx="183">
                  <c:v>-999</c:v>
                </c:pt>
                <c:pt idx="184">
                  <c:v>-999</c:v>
                </c:pt>
                <c:pt idx="185">
                  <c:v>-999</c:v>
                </c:pt>
                <c:pt idx="186">
                  <c:v>-999</c:v>
                </c:pt>
                <c:pt idx="187">
                  <c:v>-999</c:v>
                </c:pt>
                <c:pt idx="188">
                  <c:v>-999</c:v>
                </c:pt>
                <c:pt idx="189">
                  <c:v>-999</c:v>
                </c:pt>
                <c:pt idx="190">
                  <c:v>-999</c:v>
                </c:pt>
                <c:pt idx="191">
                  <c:v>-999</c:v>
                </c:pt>
                <c:pt idx="192">
                  <c:v>-999</c:v>
                </c:pt>
                <c:pt idx="193">
                  <c:v>-999</c:v>
                </c:pt>
                <c:pt idx="194">
                  <c:v>-999</c:v>
                </c:pt>
                <c:pt idx="195">
                  <c:v>-999</c:v>
                </c:pt>
                <c:pt idx="196">
                  <c:v>-999</c:v>
                </c:pt>
                <c:pt idx="197">
                  <c:v>-999</c:v>
                </c:pt>
                <c:pt idx="198">
                  <c:v>-999</c:v>
                </c:pt>
                <c:pt idx="199">
                  <c:v>-999</c:v>
                </c:pt>
              </c:numCache>
            </c:numRef>
          </c:yVal>
          <c:smooth val="0"/>
          <c:extLst>
            <c:ext xmlns:c16="http://schemas.microsoft.com/office/drawing/2014/chart" uri="{C3380CC4-5D6E-409C-BE32-E72D297353CC}">
              <c16:uniqueId val="{00000004-511C-4F8D-B238-F043CE3A7D66}"/>
            </c:ext>
          </c:extLst>
        </c:ser>
        <c:ser>
          <c:idx val="3"/>
          <c:order val="5"/>
          <c:spPr>
            <a:ln w="28575">
              <a:noFill/>
            </a:ln>
          </c:spPr>
          <c:marker>
            <c:symbol val="circle"/>
            <c:size val="7"/>
            <c:spPr>
              <a:solidFill>
                <a:srgbClr val="FF0000"/>
              </a:solidFill>
              <a:ln>
                <a:solidFill>
                  <a:srgbClr val="000000"/>
                </a:solidFill>
                <a:prstDash val="solid"/>
              </a:ln>
            </c:spPr>
          </c:marker>
          <c:errBars>
            <c:errDir val="x"/>
            <c:errBarType val="both"/>
            <c:errValType val="cust"/>
            <c:noEndCap val="0"/>
            <c:plus>
              <c:numRef>
                <c:f>'Dance p'!$BP$46</c:f>
                <c:numCache>
                  <c:formatCode>General</c:formatCode>
                  <c:ptCount val="1"/>
                  <c:pt idx="0">
                    <c:v>6.9295191217483865</c:v>
                  </c:pt>
                </c:numCache>
              </c:numRef>
            </c:plus>
            <c:minus>
              <c:numRef>
                <c:f>'Dance p'!$BP$46</c:f>
                <c:numCache>
                  <c:formatCode>General</c:formatCode>
                  <c:ptCount val="1"/>
                  <c:pt idx="0">
                    <c:v>6.9295191217483865</c:v>
                  </c:pt>
                </c:numCache>
              </c:numRef>
            </c:minus>
            <c:spPr>
              <a:ln w="12700">
                <a:solidFill>
                  <a:srgbClr val="FF0000"/>
                </a:solidFill>
                <a:prstDash val="solid"/>
              </a:ln>
            </c:spPr>
          </c:errBars>
          <c:xVal>
            <c:numRef>
              <c:f>'Dance p'!$BQ$48</c:f>
              <c:numCache>
                <c:formatCode>General</c:formatCode>
                <c:ptCount val="1"/>
                <c:pt idx="0">
                  <c:v>62.743674781219603</c:v>
                </c:pt>
              </c:numCache>
            </c:numRef>
          </c:xVal>
          <c:yVal>
            <c:numRef>
              <c:f>'Dance p'!$BR$48</c:f>
              <c:numCache>
                <c:formatCode>General</c:formatCode>
                <c:ptCount val="1"/>
                <c:pt idx="0">
                  <c:v>2.8</c:v>
                </c:pt>
              </c:numCache>
            </c:numRef>
          </c:yVal>
          <c:smooth val="0"/>
          <c:extLst>
            <c:ext xmlns:c16="http://schemas.microsoft.com/office/drawing/2014/chart" uri="{C3380CC4-5D6E-409C-BE32-E72D297353CC}">
              <c16:uniqueId val="{00000005-511C-4F8D-B238-F043CE3A7D66}"/>
            </c:ext>
          </c:extLst>
        </c:ser>
        <c:ser>
          <c:idx val="6"/>
          <c:order val="6"/>
          <c:spPr>
            <a:ln w="25400">
              <a:solidFill>
                <a:srgbClr val="000000"/>
              </a:solidFill>
              <a:prstDash val="solid"/>
            </a:ln>
          </c:spPr>
          <c:marker>
            <c:symbol val="star"/>
            <c:size val="9"/>
            <c:spPr>
              <a:noFill/>
              <a:ln>
                <a:solidFill>
                  <a:srgbClr val="000000"/>
                </a:solidFill>
                <a:prstDash val="solid"/>
              </a:ln>
            </c:spPr>
          </c:marker>
          <c:dPt>
            <c:idx val="0"/>
            <c:marker>
              <c:symbol val="none"/>
            </c:marker>
            <c:bubble3D val="0"/>
            <c:extLst>
              <c:ext xmlns:c16="http://schemas.microsoft.com/office/drawing/2014/chart" uri="{C3380CC4-5D6E-409C-BE32-E72D297353CC}">
                <c16:uniqueId val="{00000006-511C-4F8D-B238-F043CE3A7D66}"/>
              </c:ext>
            </c:extLst>
          </c:dPt>
          <c:dPt>
            <c:idx val="1"/>
            <c:marker>
              <c:symbol val="x"/>
              <c:size val="9"/>
            </c:marker>
            <c:bubble3D val="0"/>
            <c:extLst>
              <c:ext xmlns:c16="http://schemas.microsoft.com/office/drawing/2014/chart" uri="{C3380CC4-5D6E-409C-BE32-E72D297353CC}">
                <c16:uniqueId val="{00000007-511C-4F8D-B238-F043CE3A7D66}"/>
              </c:ext>
            </c:extLst>
          </c:dPt>
          <c:xVal>
            <c:numRef>
              <c:f>'Dance p'!$BP$44:$BP$45</c:f>
              <c:numCache>
                <c:formatCode>General</c:formatCode>
                <c:ptCount val="2"/>
                <c:pt idx="0">
                  <c:v>50.132995426615409</c:v>
                </c:pt>
                <c:pt idx="1">
                  <c:v>62.743674781219603</c:v>
                </c:pt>
              </c:numCache>
            </c:numRef>
          </c:xVal>
          <c:yVal>
            <c:numRef>
              <c:f>'Dance p'!$BQ$44:$BQ$45</c:f>
              <c:numCache>
                <c:formatCode>General</c:formatCode>
                <c:ptCount val="2"/>
                <c:pt idx="0">
                  <c:v>7</c:v>
                </c:pt>
                <c:pt idx="1">
                  <c:v>7</c:v>
                </c:pt>
              </c:numCache>
            </c:numRef>
          </c:yVal>
          <c:smooth val="0"/>
          <c:extLst>
            <c:ext xmlns:c16="http://schemas.microsoft.com/office/drawing/2014/chart" uri="{C3380CC4-5D6E-409C-BE32-E72D297353CC}">
              <c16:uniqueId val="{00000008-511C-4F8D-B238-F043CE3A7D66}"/>
            </c:ext>
          </c:extLst>
        </c:ser>
        <c:ser>
          <c:idx val="7"/>
          <c:order val="7"/>
          <c:spPr>
            <a:ln w="28575">
              <a:noFill/>
            </a:ln>
          </c:spPr>
          <c:marker>
            <c:symbol val="plus"/>
            <c:size val="9"/>
            <c:spPr>
              <a:noFill/>
              <a:ln>
                <a:solidFill>
                  <a:srgbClr val="000000"/>
                </a:solidFill>
                <a:prstDash val="solid"/>
              </a:ln>
            </c:spPr>
          </c:marker>
          <c:dLbls>
            <c:dLbl>
              <c:idx val="0"/>
              <c:delete val="1"/>
              <c:extLst>
                <c:ext xmlns:c15="http://schemas.microsoft.com/office/drawing/2012/chart" uri="{CE6537A1-D6FC-4f65-9D91-7224C49458BB}"/>
                <c:ext xmlns:c16="http://schemas.microsoft.com/office/drawing/2014/chart" uri="{C3380CC4-5D6E-409C-BE32-E72D297353CC}">
                  <c16:uniqueId val="{00000009-511C-4F8D-B238-F043CE3A7D66}"/>
                </c:ext>
              </c:extLst>
            </c:dLbl>
            <c:dLbl>
              <c:idx val="1"/>
              <c:tx>
                <c:strRef>
                  <c:f>'Dance p'!$BO$15</c:f>
                  <c:strCache>
                    <c:ptCount val="1"/>
                    <c:pt idx="0">
                      <c:v>-90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{5658F0C8-9F67-4A0A-B970-ED5F0A5EEC77}</c15:txfldGUID>
                      <c15:f>'Dance p'!$BO$15</c15:f>
                      <c15:dlblFieldTableCache>
                        <c:ptCount val="1"/>
                        <c:pt idx="0">
                          <c:v>-90</c:v>
                        </c:pt>
                      </c15:dlblFieldTableCache>
                    </c15:dlblFTEntry>
                  </c15:dlblFieldTable>
                  <c15:showDataLabelsRange val="0"/>
                </c:ext>
                <c:ext xmlns:c16="http://schemas.microsoft.com/office/drawing/2014/chart" uri="{C3380CC4-5D6E-409C-BE32-E72D297353CC}">
                  <c16:uniqueId val="{0000000A-511C-4F8D-B238-F043CE3A7D66}"/>
                </c:ext>
              </c:extLst>
            </c:dLbl>
            <c:dLbl>
              <c:idx val="2"/>
              <c:tx>
                <c:strRef>
                  <c:f>'Dance p'!$BO$16</c:f>
                  <c:strCache>
                    <c:ptCount val="1"/>
                    <c:pt idx="0">
                      <c:v>-80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{FD8CF58F-D2BA-4B3E-B914-95541C6DE927}</c15:txfldGUID>
                      <c15:f>'Dance p'!$BO$16</c15:f>
                      <c15:dlblFieldTableCache>
                        <c:ptCount val="1"/>
                        <c:pt idx="0">
                          <c:v>-80</c:v>
                        </c:pt>
                      </c15:dlblFieldTableCache>
                    </c15:dlblFTEntry>
                  </c15:dlblFieldTable>
                  <c15:showDataLabelsRange val="0"/>
                </c:ext>
                <c:ext xmlns:c16="http://schemas.microsoft.com/office/drawing/2014/chart" uri="{C3380CC4-5D6E-409C-BE32-E72D297353CC}">
                  <c16:uniqueId val="{0000000B-511C-4F8D-B238-F043CE3A7D66}"/>
                </c:ext>
              </c:extLst>
            </c:dLbl>
            <c:dLbl>
              <c:idx val="3"/>
              <c:tx>
                <c:strRef>
                  <c:f>'Dance p'!$BO$17</c:f>
                  <c:strCache>
                    <c:ptCount val="1"/>
                    <c:pt idx="0">
                      <c:v>-70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{5FF0D9B3-F7B3-4C75-8BED-D182DDD1AC53}</c15:txfldGUID>
                      <c15:f>'Dance p'!$BO$17</c15:f>
                      <c15:dlblFieldTableCache>
                        <c:ptCount val="1"/>
                        <c:pt idx="0">
                          <c:v>-70</c:v>
                        </c:pt>
                      </c15:dlblFieldTableCache>
                    </c15:dlblFTEntry>
                  </c15:dlblFieldTable>
                  <c15:showDataLabelsRange val="0"/>
                </c:ext>
                <c:ext xmlns:c16="http://schemas.microsoft.com/office/drawing/2014/chart" uri="{C3380CC4-5D6E-409C-BE32-E72D297353CC}">
                  <c16:uniqueId val="{0000000C-511C-4F8D-B238-F043CE3A7D66}"/>
                </c:ext>
              </c:extLst>
            </c:dLbl>
            <c:dLbl>
              <c:idx val="4"/>
              <c:tx>
                <c:strRef>
                  <c:f>'Dance p'!$BO$18</c:f>
                  <c:strCache>
                    <c:ptCount val="1"/>
                    <c:pt idx="0">
                      <c:v>-60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{FF86CCEF-6928-4D43-BF79-288D09330835}</c15:txfldGUID>
                      <c15:f>'Dance p'!$BO$18</c15:f>
                      <c15:dlblFieldTableCache>
                        <c:ptCount val="1"/>
                        <c:pt idx="0">
                          <c:v>-60</c:v>
                        </c:pt>
                      </c15:dlblFieldTableCache>
                    </c15:dlblFTEntry>
                  </c15:dlblFieldTable>
                  <c15:showDataLabelsRange val="0"/>
                </c:ext>
                <c:ext xmlns:c16="http://schemas.microsoft.com/office/drawing/2014/chart" uri="{C3380CC4-5D6E-409C-BE32-E72D297353CC}">
                  <c16:uniqueId val="{0000000D-511C-4F8D-B238-F043CE3A7D66}"/>
                </c:ext>
              </c:extLst>
            </c:dLbl>
            <c:dLbl>
              <c:idx val="5"/>
              <c:layout/>
              <c:tx>
                <c:strRef>
                  <c:f>'Dance p'!$BO$19</c:f>
                  <c:strCache>
                    <c:ptCount val="1"/>
                    <c:pt idx="0">
                      <c:v>-50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{B3E5B2D5-5904-4475-B7EF-FF1311DCE025}</c15:txfldGUID>
                      <c15:f>'Dance p'!$BO$19</c15:f>
                      <c15:dlblFieldTableCache>
                        <c:ptCount val="1"/>
                        <c:pt idx="0">
                          <c:v>-50</c:v>
                        </c:pt>
                      </c15:dlblFieldTableCache>
                    </c15:dlblFTEntry>
                  </c15:dlblFieldTable>
                  <c15:showDataLabelsRange val="0"/>
                </c:ext>
                <c:ext xmlns:c16="http://schemas.microsoft.com/office/drawing/2014/chart" uri="{C3380CC4-5D6E-409C-BE32-E72D297353CC}">
                  <c16:uniqueId val="{0000000E-511C-4F8D-B238-F043CE3A7D66}"/>
                </c:ext>
              </c:extLst>
            </c:dLbl>
            <c:dLbl>
              <c:idx val="6"/>
              <c:layout/>
              <c:tx>
                <c:strRef>
                  <c:f>'Dance p'!$BO$20</c:f>
                  <c:strCache>
                    <c:ptCount val="1"/>
                    <c:pt idx="0">
                      <c:v>-40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{E876B3E0-BBF1-4F4D-A3EE-6DFD92B7F592}</c15:txfldGUID>
                      <c15:f>'Dance p'!$BO$20</c15:f>
                      <c15:dlblFieldTableCache>
                        <c:ptCount val="1"/>
                        <c:pt idx="0">
                          <c:v>-40</c:v>
                        </c:pt>
                      </c15:dlblFieldTableCache>
                    </c15:dlblFTEntry>
                  </c15:dlblFieldTable>
                  <c15:showDataLabelsRange val="0"/>
                </c:ext>
                <c:ext xmlns:c16="http://schemas.microsoft.com/office/drawing/2014/chart" uri="{C3380CC4-5D6E-409C-BE32-E72D297353CC}">
                  <c16:uniqueId val="{0000000F-511C-4F8D-B238-F043CE3A7D66}"/>
                </c:ext>
              </c:extLst>
            </c:dLbl>
            <c:dLbl>
              <c:idx val="7"/>
              <c:layout/>
              <c:tx>
                <c:strRef>
                  <c:f>'Dance p'!$BO$21</c:f>
                  <c:strCache>
                    <c:ptCount val="1"/>
                    <c:pt idx="0">
                      <c:v>-30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{465C0101-A44D-49E7-AE63-6A3FCF49F3A2}</c15:txfldGUID>
                      <c15:f>'Dance p'!$BO$21</c15:f>
                      <c15:dlblFieldTableCache>
                        <c:ptCount val="1"/>
                        <c:pt idx="0">
                          <c:v>-30</c:v>
                        </c:pt>
                      </c15:dlblFieldTableCache>
                    </c15:dlblFTEntry>
                  </c15:dlblFieldTable>
                  <c15:showDataLabelsRange val="0"/>
                </c:ext>
                <c:ext xmlns:c16="http://schemas.microsoft.com/office/drawing/2014/chart" uri="{C3380CC4-5D6E-409C-BE32-E72D297353CC}">
                  <c16:uniqueId val="{00000010-511C-4F8D-B238-F043CE3A7D66}"/>
                </c:ext>
              </c:extLst>
            </c:dLbl>
            <c:dLbl>
              <c:idx val="8"/>
              <c:layout/>
              <c:tx>
                <c:strRef>
                  <c:f>'Dance p'!$BO$22</c:f>
                  <c:strCache>
                    <c:ptCount val="1"/>
                    <c:pt idx="0">
                      <c:v>-20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{D948E6AB-B116-4346-ABDE-E579D07001BC}</c15:txfldGUID>
                      <c15:f>'Dance p'!$BO$22</c15:f>
                      <c15:dlblFieldTableCache>
                        <c:ptCount val="1"/>
                        <c:pt idx="0">
                          <c:v>-20</c:v>
                        </c:pt>
                      </c15:dlblFieldTableCache>
                    </c15:dlblFTEntry>
                  </c15:dlblFieldTable>
                  <c15:showDataLabelsRange val="0"/>
                </c:ext>
                <c:ext xmlns:c16="http://schemas.microsoft.com/office/drawing/2014/chart" uri="{C3380CC4-5D6E-409C-BE32-E72D297353CC}">
                  <c16:uniqueId val="{00000011-511C-4F8D-B238-F043CE3A7D66}"/>
                </c:ext>
              </c:extLst>
            </c:dLbl>
            <c:dLbl>
              <c:idx val="9"/>
              <c:layout/>
              <c:tx>
                <c:strRef>
                  <c:f>'Dance p'!$BO$23</c:f>
                  <c:strCache>
                    <c:ptCount val="1"/>
                    <c:pt idx="0">
                      <c:v>-10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{5AEF7909-A79A-4DCB-A9FB-947F57D5FBE5}</c15:txfldGUID>
                      <c15:f>'Dance p'!$BO$23</c15:f>
                      <c15:dlblFieldTableCache>
                        <c:ptCount val="1"/>
                        <c:pt idx="0">
                          <c:v>-10</c:v>
                        </c:pt>
                      </c15:dlblFieldTableCache>
                    </c15:dlblFTEntry>
                  </c15:dlblFieldTable>
                  <c15:showDataLabelsRange val="0"/>
                </c:ext>
                <c:ext xmlns:c16="http://schemas.microsoft.com/office/drawing/2014/chart" uri="{C3380CC4-5D6E-409C-BE32-E72D297353CC}">
                  <c16:uniqueId val="{00000012-511C-4F8D-B238-F043CE3A7D66}"/>
                </c:ext>
              </c:extLst>
            </c:dLbl>
            <c:dLbl>
              <c:idx val="10"/>
              <c:layout>
                <c:manualLayout>
                  <c:x val="-1.3608502602010403E-2"/>
                  <c:y val="3.852025092877983E-2"/>
                </c:manualLayout>
              </c:layout>
              <c:tx>
                <c:strRef>
                  <c:f>'Dance p'!$BO$24</c:f>
                  <c:strCache>
                    <c:ptCount val="1"/>
                    <c:pt idx="0">
                      <c:v>0</c:v>
                    </c:pt>
                  </c:strCache>
                </c:strRef>
              </c:tx>
              <c:dLblPos val="r"/>
              <c:showLegendKey val="0"/>
              <c:showVal val="0"/>
              <c:showCatName val="0"/>
              <c:showSerName val="0"/>
              <c:showPercent val="0"/>
              <c:showBubbleSize val="0"/>
              <c:extLst>
                <c:ext xmlns:c15="http://schemas.microsoft.com/office/drawing/2012/chart" uri="{CE6537A1-D6FC-4f65-9D91-7224C49458BB}">
                  <c15:layout/>
                  <c15:dlblFieldTable>
                    <c15:dlblFTEntry>
                      <c15:txfldGUID>{1703C261-AE87-4773-86FD-228770309CD8}</c15:txfldGUID>
                      <c15:f>'Dance p'!$BO$24</c15:f>
                      <c15:dlblFieldTableCache>
                        <c:ptCount val="1"/>
                        <c:pt idx="0">
                          <c:v>0</c:v>
                        </c:pt>
                      </c15:dlblFieldTableCache>
                    </c15:dlblFTEntry>
                  </c15:dlblFieldTable>
                  <c15:showDataLabelsRange val="0"/>
                </c:ext>
                <c:ext xmlns:c16="http://schemas.microsoft.com/office/drawing/2014/chart" uri="{C3380CC4-5D6E-409C-BE32-E72D297353CC}">
                  <c16:uniqueId val="{00000013-511C-4F8D-B238-F043CE3A7D66}"/>
                </c:ext>
              </c:extLst>
            </c:dLbl>
            <c:dLbl>
              <c:idx val="11"/>
              <c:layout/>
              <c:tx>
                <c:strRef>
                  <c:f>'Dance p'!$BO$25</c:f>
                  <c:strCache>
                    <c:ptCount val="1"/>
                    <c:pt idx="0">
                      <c:v>10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{51BC8C31-55B4-446D-8707-B319F5BF3946}</c15:txfldGUID>
                      <c15:f>'Dance p'!$BO$25</c15:f>
                      <c15:dlblFieldTableCache>
                        <c:ptCount val="1"/>
                        <c:pt idx="0">
                          <c:v>10</c:v>
                        </c:pt>
                      </c15:dlblFieldTableCache>
                    </c15:dlblFTEntry>
                  </c15:dlblFieldTable>
                  <c15:showDataLabelsRange val="0"/>
                </c:ext>
                <c:ext xmlns:c16="http://schemas.microsoft.com/office/drawing/2014/chart" uri="{C3380CC4-5D6E-409C-BE32-E72D297353CC}">
                  <c16:uniqueId val="{00000014-511C-4F8D-B238-F043CE3A7D66}"/>
                </c:ext>
              </c:extLst>
            </c:dLbl>
            <c:dLbl>
              <c:idx val="12"/>
              <c:layout/>
              <c:tx>
                <c:strRef>
                  <c:f>'Dance p'!$BO$26</c:f>
                  <c:strCache>
                    <c:ptCount val="1"/>
                    <c:pt idx="0">
                      <c:v>20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{33F21F09-005F-4B39-81C1-2341BAE92AFE}</c15:txfldGUID>
                      <c15:f>'Dance p'!$BO$26</c15:f>
                      <c15:dlblFieldTableCache>
                        <c:ptCount val="1"/>
                        <c:pt idx="0">
                          <c:v>20</c:v>
                        </c:pt>
                      </c15:dlblFieldTableCache>
                    </c15:dlblFTEntry>
                  </c15:dlblFieldTable>
                  <c15:showDataLabelsRange val="0"/>
                </c:ext>
                <c:ext xmlns:c16="http://schemas.microsoft.com/office/drawing/2014/chart" uri="{C3380CC4-5D6E-409C-BE32-E72D297353CC}">
                  <c16:uniqueId val="{00000015-511C-4F8D-B238-F043CE3A7D66}"/>
                </c:ext>
              </c:extLst>
            </c:dLbl>
            <c:dLbl>
              <c:idx val="13"/>
              <c:layout/>
              <c:tx>
                <c:strRef>
                  <c:f>'Dance p'!$BO$27</c:f>
                  <c:strCache>
                    <c:ptCount val="1"/>
                    <c:pt idx="0">
                      <c:v>30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{EC7E9CFF-A001-4FC8-A2AB-D907793CEDE4}</c15:txfldGUID>
                      <c15:f>'Dance p'!$BO$27</c15:f>
                      <c15:dlblFieldTableCache>
                        <c:ptCount val="1"/>
                        <c:pt idx="0">
                          <c:v>30</c:v>
                        </c:pt>
                      </c15:dlblFieldTableCache>
                    </c15:dlblFTEntry>
                  </c15:dlblFieldTable>
                  <c15:showDataLabelsRange val="0"/>
                </c:ext>
                <c:ext xmlns:c16="http://schemas.microsoft.com/office/drawing/2014/chart" uri="{C3380CC4-5D6E-409C-BE32-E72D297353CC}">
                  <c16:uniqueId val="{00000016-511C-4F8D-B238-F043CE3A7D66}"/>
                </c:ext>
              </c:extLst>
            </c:dLbl>
            <c:dLbl>
              <c:idx val="14"/>
              <c:layout/>
              <c:tx>
                <c:strRef>
                  <c:f>'Dance p'!$BO$28</c:f>
                  <c:strCache>
                    <c:ptCount val="1"/>
                    <c:pt idx="0">
                      <c:v>40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{AC841E27-A86C-4ECA-90D6-0D07ED7D1B16}</c15:txfldGUID>
                      <c15:f>'Dance p'!$BO$28</c15:f>
                      <c15:dlblFieldTableCache>
                        <c:ptCount val="1"/>
                        <c:pt idx="0">
                          <c:v>40</c:v>
                        </c:pt>
                      </c15:dlblFieldTableCache>
                    </c15:dlblFTEntry>
                  </c15:dlblFieldTable>
                  <c15:showDataLabelsRange val="0"/>
                </c:ext>
                <c:ext xmlns:c16="http://schemas.microsoft.com/office/drawing/2014/chart" uri="{C3380CC4-5D6E-409C-BE32-E72D297353CC}">
                  <c16:uniqueId val="{00000017-511C-4F8D-B238-F043CE3A7D66}"/>
                </c:ext>
              </c:extLst>
            </c:dLbl>
            <c:dLbl>
              <c:idx val="15"/>
              <c:layout/>
              <c:tx>
                <c:strRef>
                  <c:f>'Dance p'!$BO$29</c:f>
                  <c:strCache>
                    <c:ptCount val="1"/>
                    <c:pt idx="0">
                      <c:v>50</c:v>
                    </c:pt>
                  </c:strCache>
                </c:strRef>
              </c:tx>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{5215FE9C-EC96-4BF4-BC77-3E5A85B617A7}</c15:txfldGUID>
                      <c15:f>'Dance p'!$BO$29</c15:f>
                      <c15:dlblFieldTableCache>
                        <c:ptCount val="1"/>
                        <c:pt idx="0">
                          <c:v>50</c:v>
                        </c:pt>
                      </c15:dlblFieldTableCache>
                    </c15:dlblFTEntry>
                  </c15:dlblFieldTable>
                  <c15:showDataLabelsRange val="0"/>
                </c:ext>
                <c:ext xmlns:c16="http://schemas.microsoft.com/office/drawing/2014/chart" uri="{C3380CC4-5D6E-409C-BE32-E72D297353CC}">
                  <c16:uniqueId val="{00000018-511C-4F8D-B238-F043CE3A7D66}"/>
                </c:ext>
              </c:extLst>
            </c:dLbl>
            <c:dLbl>
              <c:idx val="16"/>
              <c:tx>
                <c:strRef>
                  <c:f>'Dance p'!$BO$30</c:f>
                  <c:strCache>
                    <c:ptCount val="1"/>
                    <c:pt idx="0">
                      <c:v>60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{92159E6C-A60E-41A6-ADE2-0F870E1A0C69}</c15:txfldGUID>
                      <c15:f>'Dance p'!$BO$30</c15:f>
                      <c15:dlblFieldTableCache>
                        <c:ptCount val="1"/>
                        <c:pt idx="0">
                          <c:v>60</c:v>
                        </c:pt>
                      </c15:dlblFieldTableCache>
                    </c15:dlblFTEntry>
                  </c15:dlblFieldTable>
                  <c15:showDataLabelsRange val="0"/>
                </c:ext>
                <c:ext xmlns:c16="http://schemas.microsoft.com/office/drawing/2014/chart" uri="{C3380CC4-5D6E-409C-BE32-E72D297353CC}">
                  <c16:uniqueId val="{00000019-511C-4F8D-B238-F043CE3A7D66}"/>
                </c:ext>
              </c:extLst>
            </c:dLbl>
            <c:dLbl>
              <c:idx val="17"/>
              <c:tx>
                <c:strRef>
                  <c:f>'Dance p'!$BO$31</c:f>
                  <c:strCache>
                    <c:ptCount val="1"/>
                    <c:pt idx="0">
                      <c:v>70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{013AB8C1-5C84-4256-AD9D-4AA599297907}</c15:txfldGUID>
                      <c15:f>'Dance p'!$BO$31</c15:f>
                      <c15:dlblFieldTableCache>
                        <c:ptCount val="1"/>
                        <c:pt idx="0">
                          <c:v>70</c:v>
                        </c:pt>
                      </c15:dlblFieldTableCache>
                    </c15:dlblFTEntry>
                  </c15:dlblFieldTable>
                  <c15:showDataLabelsRange val="0"/>
                </c:ext>
                <c:ext xmlns:c16="http://schemas.microsoft.com/office/drawing/2014/chart" uri="{C3380CC4-5D6E-409C-BE32-E72D297353CC}">
                  <c16:uniqueId val="{0000001A-511C-4F8D-B238-F043CE3A7D66}"/>
                </c:ext>
              </c:extLst>
            </c:dLbl>
            <c:dLbl>
              <c:idx val="18"/>
              <c:tx>
                <c:strRef>
                  <c:f>'Dance p'!$BO$32</c:f>
                  <c:strCache>
                    <c:ptCount val="1"/>
                    <c:pt idx="0">
                      <c:v>80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{E42DA6FB-2D82-4571-9342-290DC6EDB1C9}</c15:txfldGUID>
                      <c15:f>'Dance p'!$BO$32</c15:f>
                      <c15:dlblFieldTableCache>
                        <c:ptCount val="1"/>
                        <c:pt idx="0">
                          <c:v>80</c:v>
                        </c:pt>
                      </c15:dlblFieldTableCache>
                    </c15:dlblFTEntry>
                  </c15:dlblFieldTable>
                  <c15:showDataLabelsRange val="0"/>
                </c:ext>
                <c:ext xmlns:c16="http://schemas.microsoft.com/office/drawing/2014/chart" uri="{C3380CC4-5D6E-409C-BE32-E72D297353CC}">
                  <c16:uniqueId val="{0000001B-511C-4F8D-B238-F043CE3A7D66}"/>
                </c:ext>
              </c:extLst>
            </c:dLbl>
            <c:dLbl>
              <c:idx val="19"/>
              <c:tx>
                <c:strRef>
                  <c:f>'Dance p'!$BO$33</c:f>
                  <c:strCache>
                    <c:ptCount val="1"/>
                    <c:pt idx="0">
                      <c:v>90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{6884F80A-B8D9-4345-9941-E35D0D9A8D22}</c15:txfldGUID>
                      <c15:f>'Dance p'!$BO$33</c15:f>
                      <c15:dlblFieldTableCache>
                        <c:ptCount val="1"/>
                        <c:pt idx="0">
                          <c:v>90</c:v>
                        </c:pt>
                      </c15:dlblFieldTableCache>
                    </c15:dlblFTEntry>
                  </c15:dlblFieldTable>
                  <c15:showDataLabelsRange val="0"/>
                </c:ext>
                <c:ext xmlns:c16="http://schemas.microsoft.com/office/drawing/2014/chart" uri="{C3380CC4-5D6E-409C-BE32-E72D297353CC}">
                  <c16:uniqueId val="{0000001C-511C-4F8D-B238-F043CE3A7D66}"/>
                </c:ext>
              </c:extLst>
            </c:dLbl>
            <c:dLbl>
              <c:idx val="20"/>
              <c:tx>
                <c:strRef>
                  <c:f>'Dance p'!$BO$34</c:f>
                  <c:strCache>
                    <c:ptCount val="1"/>
                    <c:pt idx="0">
                      <c:v>100</c:v>
                    </c:pt>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{B6740D80-B0A2-4CFE-A15A-186DC16ECA6D}</c15:txfldGUID>
                      <c15:f>'Dance p'!$BO$34</c15:f>
                      <c15:dlblFieldTableCache>
                        <c:ptCount val="1"/>
                        <c:pt idx="0">
                          <c:v>100</c:v>
                        </c:pt>
                      </c15:dlblFieldTableCache>
                    </c15:dlblFTEntry>
                  </c15:dlblFieldTable>
                  <c15:showDataLabelsRange val="0"/>
                </c:ext>
                <c:ext xmlns:c16="http://schemas.microsoft.com/office/drawing/2014/chart" uri="{C3380CC4-5D6E-409C-BE32-E72D297353CC}">
                  <c16:uniqueId val="{0000001D-511C-4F8D-B238-F043CE3A7D66}"/>
                </c:ext>
              </c:extLst>
            </c:dLbl>
            <c:spPr>
              <a:noFill/>
              <a:ln w="25400">
                <a:noFill/>
              </a:ln>
            </c:spPr>
            <c:txPr>
              <a:bodyPr/>
              <a:lstStyle/>
              <a:p>
                <a:pPr>
                  <a:defRPr sz="875"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'Dance p'!$BP$14:$BP$34</c:f>
              <c:numCache>
                <c:formatCode>General</c:formatCode>
                <c:ptCount val="21"/>
                <c:pt idx="0">
                  <c:v>-49.867004573384591</c:v>
                </c:pt>
                <c:pt idx="1">
                  <c:v>-39.867004573384591</c:v>
                </c:pt>
                <c:pt idx="2">
                  <c:v>-29.867004573384591</c:v>
                </c:pt>
                <c:pt idx="3">
                  <c:v>-19.867004573384591</c:v>
                </c:pt>
                <c:pt idx="4">
                  <c:v>-9.867004573384591</c:v>
                </c:pt>
                <c:pt idx="5">
                  <c:v>0.13299542661540897</c:v>
                </c:pt>
                <c:pt idx="6">
                  <c:v>10.132995426615409</c:v>
                </c:pt>
                <c:pt idx="7">
                  <c:v>20.132995426615409</c:v>
                </c:pt>
                <c:pt idx="8">
                  <c:v>30.132995426615409</c:v>
                </c:pt>
                <c:pt idx="9">
                  <c:v>40.132995426615409</c:v>
                </c:pt>
                <c:pt idx="10">
                  <c:v>50.132995426615409</c:v>
                </c:pt>
                <c:pt idx="11">
                  <c:v>60.132995426615409</c:v>
                </c:pt>
                <c:pt idx="12">
                  <c:v>70.132995426615409</c:v>
                </c:pt>
                <c:pt idx="13">
                  <c:v>80.132995426615409</c:v>
                </c:pt>
                <c:pt idx="14">
                  <c:v>90.132995426615409</c:v>
                </c:pt>
                <c:pt idx="15">
                  <c:v>100.13299542661541</c:v>
                </c:pt>
                <c:pt idx="16">
                  <c:v>110.13299542661541</c:v>
                </c:pt>
                <c:pt idx="17">
                  <c:v>120.13299542661541</c:v>
                </c:pt>
                <c:pt idx="18">
                  <c:v>130.13299542661542</c:v>
                </c:pt>
                <c:pt idx="19">
                  <c:v>140.13299542661542</c:v>
                </c:pt>
                <c:pt idx="20">
                  <c:v>150.13299542661542</c:v>
                </c:pt>
              </c:numCache>
            </c:numRef>
          </c:xVal>
          <c:yVal>
            <c:numRef>
              <c:f>'Dance p'!$BQ$14:$BQ$34</c:f>
              <c:numCache>
                <c:formatCode>General</c:formatCode>
                <c:ptCount val="21"/>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numCache>
            </c:numRef>
          </c:yVal>
          <c:smooth val="0"/>
          <c:extLst>
            <c:ext xmlns:c16="http://schemas.microsoft.com/office/drawing/2014/chart" uri="{C3380CC4-5D6E-409C-BE32-E72D297353CC}">
              <c16:uniqueId val="{0000001E-511C-4F8D-B238-F043CE3A7D66}"/>
            </c:ext>
          </c:extLst>
        </c:ser>
        <c:ser>
          <c:idx val="8"/>
          <c:order val="8"/>
          <c:spPr>
            <a:ln w="12700">
              <a:solidFill>
                <a:srgbClr val="000000"/>
              </a:solidFill>
              <a:prstDash val="solid"/>
            </a:ln>
          </c:spPr>
          <c:marker>
            <c:symbol val="plus"/>
            <c:size val="5"/>
            <c:spPr>
              <a:noFill/>
              <a:ln>
                <a:solidFill>
                  <a:srgbClr val="000000"/>
                </a:solidFill>
                <a:prstDash val="solid"/>
              </a:ln>
            </c:spPr>
          </c:marker>
          <c:xVal>
            <c:numRef>
              <c:f>'Dance p'!$AZ$92:$AZ$192</c:f>
              <c:numCache>
                <c:formatCode>General</c:formatCode>
                <c:ptCount val="101"/>
                <c:pt idx="0">
                  <c:v>-49.867004573384591</c:v>
                </c:pt>
                <c:pt idx="1">
                  <c:v>-47.867004573384591</c:v>
                </c:pt>
                <c:pt idx="2">
                  <c:v>-45.867004573384591</c:v>
                </c:pt>
                <c:pt idx="3">
                  <c:v>-43.867004573384591</c:v>
                </c:pt>
                <c:pt idx="4">
                  <c:v>-41.867004573384591</c:v>
                </c:pt>
                <c:pt idx="5">
                  <c:v>-39.867004573384591</c:v>
                </c:pt>
                <c:pt idx="6">
                  <c:v>-37.867004573384591</c:v>
                </c:pt>
                <c:pt idx="7">
                  <c:v>-35.867004573384591</c:v>
                </c:pt>
                <c:pt idx="8">
                  <c:v>-33.867004573384591</c:v>
                </c:pt>
                <c:pt idx="9">
                  <c:v>-31.867004573384591</c:v>
                </c:pt>
                <c:pt idx="10">
                  <c:v>-29.867004573384591</c:v>
                </c:pt>
                <c:pt idx="11">
                  <c:v>-27.867004573384591</c:v>
                </c:pt>
                <c:pt idx="12">
                  <c:v>-25.867004573384591</c:v>
                </c:pt>
                <c:pt idx="13">
                  <c:v>-23.867004573384591</c:v>
                </c:pt>
                <c:pt idx="14">
                  <c:v>-21.867004573384591</c:v>
                </c:pt>
                <c:pt idx="15">
                  <c:v>-19.867004573384591</c:v>
                </c:pt>
                <c:pt idx="16">
                  <c:v>-17.867004573384591</c:v>
                </c:pt>
                <c:pt idx="17">
                  <c:v>-15.867004573384591</c:v>
                </c:pt>
                <c:pt idx="18">
                  <c:v>-13.867004573384591</c:v>
                </c:pt>
                <c:pt idx="19">
                  <c:v>-11.867004573384591</c:v>
                </c:pt>
                <c:pt idx="20">
                  <c:v>-9.867004573384591</c:v>
                </c:pt>
                <c:pt idx="21">
                  <c:v>-7.867004573384591</c:v>
                </c:pt>
                <c:pt idx="22">
                  <c:v>-5.867004573384591</c:v>
                </c:pt>
                <c:pt idx="23">
                  <c:v>-3.867004573384591</c:v>
                </c:pt>
                <c:pt idx="24">
                  <c:v>-1.867004573384591</c:v>
                </c:pt>
                <c:pt idx="25">
                  <c:v>0.13299542661540897</c:v>
                </c:pt>
                <c:pt idx="26">
                  <c:v>2.132995426615409</c:v>
                </c:pt>
                <c:pt idx="27">
                  <c:v>4.132995426615409</c:v>
                </c:pt>
                <c:pt idx="28">
                  <c:v>6.132995426615409</c:v>
                </c:pt>
                <c:pt idx="29">
                  <c:v>8.132995426615409</c:v>
                </c:pt>
                <c:pt idx="30">
                  <c:v>10.132995426615409</c:v>
                </c:pt>
                <c:pt idx="31">
                  <c:v>12.132995426615409</c:v>
                </c:pt>
                <c:pt idx="32">
                  <c:v>14.132995426615409</c:v>
                </c:pt>
                <c:pt idx="33">
                  <c:v>16.132995426615409</c:v>
                </c:pt>
                <c:pt idx="34">
                  <c:v>18.132995426615409</c:v>
                </c:pt>
                <c:pt idx="35">
                  <c:v>20.132995426615409</c:v>
                </c:pt>
                <c:pt idx="36">
                  <c:v>22.132995426615409</c:v>
                </c:pt>
                <c:pt idx="37">
                  <c:v>24.132995426615409</c:v>
                </c:pt>
                <c:pt idx="38">
                  <c:v>26.132995426615409</c:v>
                </c:pt>
                <c:pt idx="39">
                  <c:v>28.132995426615409</c:v>
                </c:pt>
                <c:pt idx="40">
                  <c:v>30.132995426615409</c:v>
                </c:pt>
                <c:pt idx="41">
                  <c:v>32.132995426615409</c:v>
                </c:pt>
                <c:pt idx="42">
                  <c:v>34.132995426615409</c:v>
                </c:pt>
                <c:pt idx="43">
                  <c:v>36.132995426615409</c:v>
                </c:pt>
                <c:pt idx="44">
                  <c:v>38.132995426615409</c:v>
                </c:pt>
                <c:pt idx="45">
                  <c:v>40.132995426615409</c:v>
                </c:pt>
                <c:pt idx="46">
                  <c:v>42.132995426615409</c:v>
                </c:pt>
                <c:pt idx="47">
                  <c:v>44.132995426615409</c:v>
                </c:pt>
                <c:pt idx="48">
                  <c:v>46.132995426615409</c:v>
                </c:pt>
                <c:pt idx="49">
                  <c:v>48.132995426615409</c:v>
                </c:pt>
                <c:pt idx="50">
                  <c:v>50.132995426615409</c:v>
                </c:pt>
                <c:pt idx="51">
                  <c:v>52.132995426615409</c:v>
                </c:pt>
                <c:pt idx="52">
                  <c:v>54.132995426615409</c:v>
                </c:pt>
                <c:pt idx="53">
                  <c:v>56.132995426615409</c:v>
                </c:pt>
                <c:pt idx="54">
                  <c:v>58.132995426615409</c:v>
                </c:pt>
                <c:pt idx="55">
                  <c:v>60.132995426615409</c:v>
                </c:pt>
                <c:pt idx="56">
                  <c:v>62.132995426615409</c:v>
                </c:pt>
                <c:pt idx="57">
                  <c:v>64.132995426615409</c:v>
                </c:pt>
                <c:pt idx="58">
                  <c:v>66.132995426615409</c:v>
                </c:pt>
                <c:pt idx="59">
                  <c:v>68.132995426615409</c:v>
                </c:pt>
                <c:pt idx="60">
                  <c:v>70.132995426615409</c:v>
                </c:pt>
                <c:pt idx="61">
                  <c:v>72.132995426615409</c:v>
                </c:pt>
                <c:pt idx="62">
                  <c:v>74.132995426615409</c:v>
                </c:pt>
                <c:pt idx="63">
                  <c:v>76.132995426615409</c:v>
                </c:pt>
                <c:pt idx="64">
                  <c:v>78.132995426615409</c:v>
                </c:pt>
                <c:pt idx="65">
                  <c:v>80.132995426615409</c:v>
                </c:pt>
                <c:pt idx="66">
                  <c:v>82.132995426615409</c:v>
                </c:pt>
                <c:pt idx="67">
                  <c:v>84.132995426615409</c:v>
                </c:pt>
                <c:pt idx="68">
                  <c:v>86.132995426615409</c:v>
                </c:pt>
                <c:pt idx="69">
                  <c:v>88.132995426615409</c:v>
                </c:pt>
                <c:pt idx="70">
                  <c:v>90.132995426615409</c:v>
                </c:pt>
                <c:pt idx="71">
                  <c:v>92.132995426615409</c:v>
                </c:pt>
                <c:pt idx="72">
                  <c:v>94.132995426615409</c:v>
                </c:pt>
                <c:pt idx="73">
                  <c:v>96.132995426615409</c:v>
                </c:pt>
                <c:pt idx="74">
                  <c:v>98.132995426615409</c:v>
                </c:pt>
                <c:pt idx="75">
                  <c:v>100.13299542661541</c:v>
                </c:pt>
                <c:pt idx="76">
                  <c:v>102.13299542661541</c:v>
                </c:pt>
                <c:pt idx="77">
                  <c:v>104.13299542661541</c:v>
                </c:pt>
                <c:pt idx="78">
                  <c:v>106.13299542661541</c:v>
                </c:pt>
                <c:pt idx="79">
                  <c:v>108.13299542661541</c:v>
                </c:pt>
                <c:pt idx="80">
                  <c:v>110.13299542661541</c:v>
                </c:pt>
                <c:pt idx="81">
                  <c:v>112.13299542661541</c:v>
                </c:pt>
                <c:pt idx="82">
                  <c:v>114.13299542661541</c:v>
                </c:pt>
                <c:pt idx="83">
                  <c:v>116.13299542661541</c:v>
                </c:pt>
                <c:pt idx="84">
                  <c:v>118.13299542661541</c:v>
                </c:pt>
                <c:pt idx="85">
                  <c:v>120.13299542661541</c:v>
                </c:pt>
                <c:pt idx="86">
                  <c:v>122.13299542661541</c:v>
                </c:pt>
                <c:pt idx="87">
                  <c:v>124.13299542661541</c:v>
                </c:pt>
                <c:pt idx="88">
                  <c:v>126.13299542661541</c:v>
                </c:pt>
                <c:pt idx="89">
                  <c:v>128.13299542661542</c:v>
                </c:pt>
                <c:pt idx="90">
                  <c:v>130.13299542661542</c:v>
                </c:pt>
                <c:pt idx="91">
                  <c:v>132.13299542661542</c:v>
                </c:pt>
                <c:pt idx="92">
                  <c:v>134.13299542661542</c:v>
                </c:pt>
                <c:pt idx="93">
                  <c:v>136.13299542661542</c:v>
                </c:pt>
                <c:pt idx="94">
                  <c:v>138.13299542661542</c:v>
                </c:pt>
                <c:pt idx="95">
                  <c:v>140.13299542661542</c:v>
                </c:pt>
                <c:pt idx="96">
                  <c:v>142.13299542661542</c:v>
                </c:pt>
                <c:pt idx="97">
                  <c:v>144.13299542661542</c:v>
                </c:pt>
                <c:pt idx="98">
                  <c:v>146.13299542661542</c:v>
                </c:pt>
                <c:pt idx="99">
                  <c:v>148.13299542661542</c:v>
                </c:pt>
                <c:pt idx="100">
                  <c:v>150.13299542661542</c:v>
                </c:pt>
              </c:numCache>
            </c:numRef>
          </c:xVal>
          <c:yVal>
            <c:numRef>
              <c:f>'Dance p'!$BA$92:$BA$192</c:f>
              <c:numCache>
                <c:formatCode>General</c:formatCode>
                <c:ptCount val="101"/>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numCache>
            </c:numRef>
          </c:yVal>
          <c:smooth val="0"/>
          <c:extLst>
            <c:ext xmlns:c16="http://schemas.microsoft.com/office/drawing/2014/chart" uri="{C3380CC4-5D6E-409C-BE32-E72D297353CC}">
              <c16:uniqueId val="{0000001F-511C-4F8D-B238-F043CE3A7D66}"/>
            </c:ext>
          </c:extLst>
        </c:ser>
        <c:ser>
          <c:idx val="9"/>
          <c:order val="9"/>
          <c:spPr>
            <a:ln w="28575">
              <a:noFill/>
            </a:ln>
          </c:spPr>
          <c:marker>
            <c:symbol val="none"/>
          </c:marker>
          <c:errBars>
            <c:errDir val="y"/>
            <c:errBarType val="both"/>
            <c:errValType val="cust"/>
            <c:noEndCap val="1"/>
            <c:plus>
              <c:numLit>
                <c:formatCode>General</c:formatCode>
                <c:ptCount val="1"/>
                <c:pt idx="0">
                  <c:v>99</c:v>
                </c:pt>
              </c:numLit>
            </c:plus>
            <c:minus>
              <c:numLit>
                <c:formatCode>General</c:formatCode>
                <c:ptCount val="1"/>
                <c:pt idx="0">
                  <c:v>30.6</c:v>
                </c:pt>
              </c:numLit>
            </c:minus>
            <c:spPr>
              <a:ln w="12700">
                <a:solidFill>
                  <a:srgbClr val="000000"/>
                </a:solidFill>
                <a:prstDash val="solid"/>
              </a:ln>
            </c:spPr>
          </c:errBars>
          <c:xVal>
            <c:numRef>
              <c:f>'Dance p'!$BP$36</c:f>
              <c:numCache>
                <c:formatCode>General</c:formatCode>
                <c:ptCount val="1"/>
                <c:pt idx="0">
                  <c:v>50.132995426615409</c:v>
                </c:pt>
              </c:numCache>
            </c:numRef>
          </c:xVal>
          <c:yVal>
            <c:numRef>
              <c:f>'Dance p'!$BQ$36</c:f>
              <c:numCache>
                <c:formatCode>General</c:formatCode>
                <c:ptCount val="1"/>
                <c:pt idx="0">
                  <c:v>4.5</c:v>
                </c:pt>
              </c:numCache>
            </c:numRef>
          </c:yVal>
          <c:smooth val="0"/>
          <c:extLst>
            <c:ext xmlns:c16="http://schemas.microsoft.com/office/drawing/2014/chart" uri="{C3380CC4-5D6E-409C-BE32-E72D297353CC}">
              <c16:uniqueId val="{00000020-511C-4F8D-B238-F043CE3A7D66}"/>
            </c:ext>
          </c:extLst>
        </c:ser>
        <c:ser>
          <c:idx val="10"/>
          <c:order val="10"/>
          <c:spPr>
            <a:ln w="28575">
              <a:noFill/>
            </a:ln>
          </c:spPr>
          <c:marker>
            <c:symbol val="none"/>
          </c:marker>
          <c:dLbls>
            <c:dLbl>
              <c:idx val="0"/>
              <c:tx>
                <c:strRef>
                  <c:f>'Dance p'!$BZ$15</c:f>
                  <c:strCache>
                    <c:ptCount val="1"/>
                    <c:pt idx="0">
                      <c:v>.012</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{A99E7057-2DD1-40A8-9D41-E672E815861A}</c15:txfldGUID>
                      <c15:f>'Dance p'!$BZ$15</c15:f>
                      <c15:dlblFieldTableCache>
                        <c:ptCount val="1"/>
                        <c:pt idx="0">
                          <c:v>.012</c:v>
                        </c:pt>
                      </c15:dlblFieldTableCache>
                    </c15:dlblFTEntry>
                  </c15:dlblFieldTable>
                  <c15:showDataLabelsRange val="0"/>
                </c:ext>
                <c:ext xmlns:c16="http://schemas.microsoft.com/office/drawing/2014/chart" uri="{C3380CC4-5D6E-409C-BE32-E72D297353CC}">
                  <c16:uniqueId val="{00000021-511C-4F8D-B238-F043CE3A7D66}"/>
                </c:ext>
              </c:extLst>
            </c:dLbl>
            <c:dLbl>
              <c:idx val="1"/>
              <c:tx>
                <c:strRef>
                  <c:f>'Dance p'!$BZ$16</c:f>
                  <c:strCache>
                    <c:ptCount val="1"/>
                    <c:pt idx="0">
                      <c:v>.910</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{24067A24-214A-43EB-9B8B-9D3DCDB6819A}</c15:txfldGUID>
                      <c15:f>'Dance p'!$BZ$16</c15:f>
                      <c15:dlblFieldTableCache>
                        <c:ptCount val="1"/>
                        <c:pt idx="0">
                          <c:v>.910</c:v>
                        </c:pt>
                      </c15:dlblFieldTableCache>
                    </c15:dlblFTEntry>
                  </c15:dlblFieldTable>
                  <c15:showDataLabelsRange val="0"/>
                </c:ext>
                <c:ext xmlns:c16="http://schemas.microsoft.com/office/drawing/2014/chart" uri="{C3380CC4-5D6E-409C-BE32-E72D297353CC}">
                  <c16:uniqueId val="{00000022-511C-4F8D-B238-F043CE3A7D66}"/>
                </c:ext>
              </c:extLst>
            </c:dLbl>
            <c:dLbl>
              <c:idx val="2"/>
              <c:tx>
                <c:strRef>
                  <c:f>'Dance p'!$BZ$17</c:f>
                  <c:strCache>
                    <c:ptCount val="1"/>
                    <c:pt idx="0">
                      <c:v>.000</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{56DCBE7F-622F-484D-88DC-5C3E467AE127}</c15:txfldGUID>
                      <c15:f>'Dance p'!$BZ$17</c15:f>
                      <c15:dlblFieldTableCache>
                        <c:ptCount val="1"/>
                        <c:pt idx="0">
                          <c:v>.000</c:v>
                        </c:pt>
                      </c15:dlblFieldTableCache>
                    </c15:dlblFTEntry>
                  </c15:dlblFieldTable>
                  <c15:showDataLabelsRange val="0"/>
                </c:ext>
                <c:ext xmlns:c16="http://schemas.microsoft.com/office/drawing/2014/chart" uri="{C3380CC4-5D6E-409C-BE32-E72D297353CC}">
                  <c16:uniqueId val="{00000023-511C-4F8D-B238-F043CE3A7D66}"/>
                </c:ext>
              </c:extLst>
            </c:dLbl>
            <c:dLbl>
              <c:idx val="3"/>
              <c:tx>
                <c:strRef>
                  <c:f>'Dance p'!$BZ$18</c:f>
                  <c:strCache>
                    <c:ptCount val="1"/>
                    <c:pt idx="0">
                      <c:v>.017</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{D95E0BDC-0559-4014-A89C-BB0A4C9A845C}</c15:txfldGUID>
                      <c15:f>'Dance p'!$BZ$18</c15:f>
                      <c15:dlblFieldTableCache>
                        <c:ptCount val="1"/>
                        <c:pt idx="0">
                          <c:v>.017</c:v>
                        </c:pt>
                      </c15:dlblFieldTableCache>
                    </c15:dlblFTEntry>
                  </c15:dlblFieldTable>
                  <c15:showDataLabelsRange val="0"/>
                </c:ext>
                <c:ext xmlns:c16="http://schemas.microsoft.com/office/drawing/2014/chart" uri="{C3380CC4-5D6E-409C-BE32-E72D297353CC}">
                  <c16:uniqueId val="{00000024-511C-4F8D-B238-F043CE3A7D66}"/>
                </c:ext>
              </c:extLst>
            </c:dLbl>
            <c:dLbl>
              <c:idx val="4"/>
              <c:tx>
                <c:strRef>
                  <c:f>'Dance p'!$BZ$19</c:f>
                  <c:strCache>
                    <c:ptCount val="1"/>
                    <c:pt idx="0">
                      <c:v>.097</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{F981B4E0-7402-4ABE-8C9A-CB6209E6C122}</c15:txfldGUID>
                      <c15:f>'Dance p'!$BZ$19</c15:f>
                      <c15:dlblFieldTableCache>
                        <c:ptCount val="1"/>
                        <c:pt idx="0">
                          <c:v>.097</c:v>
                        </c:pt>
                      </c15:dlblFieldTableCache>
                    </c15:dlblFTEntry>
                  </c15:dlblFieldTable>
                  <c15:showDataLabelsRange val="0"/>
                </c:ext>
                <c:ext xmlns:c16="http://schemas.microsoft.com/office/drawing/2014/chart" uri="{C3380CC4-5D6E-409C-BE32-E72D297353CC}">
                  <c16:uniqueId val="{00000025-511C-4F8D-B238-F043CE3A7D66}"/>
                </c:ext>
              </c:extLst>
            </c:dLbl>
            <c:dLbl>
              <c:idx val="5"/>
              <c:tx>
                <c:strRef>
                  <c:f>'Dance p'!$BZ$20</c:f>
                  <c:strCache>
                    <c:ptCount val="1"/>
                    <c:pt idx="0">
                      <c:v>.032</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{0306ACD9-5B2B-4D79-BFC1-26C4C1914756}</c15:txfldGUID>
                      <c15:f>'Dance p'!$BZ$20</c15:f>
                      <c15:dlblFieldTableCache>
                        <c:ptCount val="1"/>
                        <c:pt idx="0">
                          <c:v>.032</c:v>
                        </c:pt>
                      </c15:dlblFieldTableCache>
                    </c15:dlblFTEntry>
                  </c15:dlblFieldTable>
                  <c15:showDataLabelsRange val="0"/>
                </c:ext>
                <c:ext xmlns:c16="http://schemas.microsoft.com/office/drawing/2014/chart" uri="{C3380CC4-5D6E-409C-BE32-E72D297353CC}">
                  <c16:uniqueId val="{00000026-511C-4F8D-B238-F043CE3A7D66}"/>
                </c:ext>
              </c:extLst>
            </c:dLbl>
            <c:dLbl>
              <c:idx val="6"/>
              <c:tx>
                <c:strRef>
                  <c:f>'Dance p'!$BZ$21</c:f>
                  <c:strCache>
                    <c:ptCount val="1"/>
                    <c:pt idx="0">
                      <c:v>.000</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{E7795F24-09E7-4B18-9C8C-6BED7D8BF5F7}</c15:txfldGUID>
                      <c15:f>'Dance p'!$BZ$21</c15:f>
                      <c15:dlblFieldTableCache>
                        <c:ptCount val="1"/>
                        <c:pt idx="0">
                          <c:v>.000</c:v>
                        </c:pt>
                      </c15:dlblFieldTableCache>
                    </c15:dlblFTEntry>
                  </c15:dlblFieldTable>
                  <c15:showDataLabelsRange val="0"/>
                </c:ext>
                <c:ext xmlns:c16="http://schemas.microsoft.com/office/drawing/2014/chart" uri="{C3380CC4-5D6E-409C-BE32-E72D297353CC}">
                  <c16:uniqueId val="{00000027-511C-4F8D-B238-F043CE3A7D66}"/>
                </c:ext>
              </c:extLst>
            </c:dLbl>
            <c:dLbl>
              <c:idx val="7"/>
              <c:tx>
                <c:strRef>
                  <c:f>'Dance p'!$BZ$22</c:f>
                  <c:strCache>
                    <c:ptCount val="1"/>
                    <c:pt idx="0">
                      <c:v>.251</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{30592DCC-81DC-4255-9CC4-372C262C2F22}</c15:txfldGUID>
                      <c15:f>'Dance p'!$BZ$22</c15:f>
                      <c15:dlblFieldTableCache>
                        <c:ptCount val="1"/>
                        <c:pt idx="0">
                          <c:v>.251</c:v>
                        </c:pt>
                      </c15:dlblFieldTableCache>
                    </c15:dlblFTEntry>
                  </c15:dlblFieldTable>
                  <c15:showDataLabelsRange val="0"/>
                </c:ext>
                <c:ext xmlns:c16="http://schemas.microsoft.com/office/drawing/2014/chart" uri="{C3380CC4-5D6E-409C-BE32-E72D297353CC}">
                  <c16:uniqueId val="{00000028-511C-4F8D-B238-F043CE3A7D66}"/>
                </c:ext>
              </c:extLst>
            </c:dLbl>
            <c:dLbl>
              <c:idx val="8"/>
              <c:tx>
                <c:strRef>
                  <c:f>'Dance p'!$BZ$23</c:f>
                  <c:strCache>
                    <c:ptCount val="1"/>
                    <c:pt idx="0">
                      <c:v>.000</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{37E2B054-8BB1-4E89-A073-278BCA9E6A5D}</c15:txfldGUID>
                      <c15:f>'Dance p'!$BZ$23</c15:f>
                      <c15:dlblFieldTableCache>
                        <c:ptCount val="1"/>
                        <c:pt idx="0">
                          <c:v>.000</c:v>
                        </c:pt>
                      </c15:dlblFieldTableCache>
                    </c15:dlblFTEntry>
                  </c15:dlblFieldTable>
                  <c15:showDataLabelsRange val="0"/>
                </c:ext>
                <c:ext xmlns:c16="http://schemas.microsoft.com/office/drawing/2014/chart" uri="{C3380CC4-5D6E-409C-BE32-E72D297353CC}">
                  <c16:uniqueId val="{00000029-511C-4F8D-B238-F043CE3A7D66}"/>
                </c:ext>
              </c:extLst>
            </c:dLbl>
            <c:dLbl>
              <c:idx val="9"/>
              <c:tx>
                <c:strRef>
                  <c:f>'Dance p'!$BZ$24</c:f>
                  <c:strCache>
                    <c:ptCount val="1"/>
                    <c:pt idx="0">
                      <c:v>.422</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{3B510B20-C410-4481-9B9E-5BB70F820674}</c15:txfldGUID>
                      <c15:f>'Dance p'!$BZ$24</c15:f>
                      <c15:dlblFieldTableCache>
                        <c:ptCount val="1"/>
                        <c:pt idx="0">
                          <c:v>.422</c:v>
                        </c:pt>
                      </c15:dlblFieldTableCache>
                    </c15:dlblFTEntry>
                  </c15:dlblFieldTable>
                  <c15:showDataLabelsRange val="0"/>
                </c:ext>
                <c:ext xmlns:c16="http://schemas.microsoft.com/office/drawing/2014/chart" uri="{C3380CC4-5D6E-409C-BE32-E72D297353CC}">
                  <c16:uniqueId val="{0000002A-511C-4F8D-B238-F043CE3A7D66}"/>
                </c:ext>
              </c:extLst>
            </c:dLbl>
            <c:dLbl>
              <c:idx val="10"/>
              <c:tx>
                <c:strRef>
                  <c:f>'Dance p'!$BZ$25</c:f>
                  <c:strCache>
                    <c:ptCount val="1"/>
                    <c:pt idx="0">
                      <c:v>.100</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{F2CB5EB1-C1E0-49B1-91AC-55191A94B236}</c15:txfldGUID>
                      <c15:f>'Dance p'!$BZ$25</c15:f>
                      <c15:dlblFieldTableCache>
                        <c:ptCount val="1"/>
                        <c:pt idx="0">
                          <c:v>.100</c:v>
                        </c:pt>
                      </c15:dlblFieldTableCache>
                    </c15:dlblFTEntry>
                  </c15:dlblFieldTable>
                  <c15:showDataLabelsRange val="0"/>
                </c:ext>
                <c:ext xmlns:c16="http://schemas.microsoft.com/office/drawing/2014/chart" uri="{C3380CC4-5D6E-409C-BE32-E72D297353CC}">
                  <c16:uniqueId val="{0000002B-511C-4F8D-B238-F043CE3A7D66}"/>
                </c:ext>
              </c:extLst>
            </c:dLbl>
            <c:dLbl>
              <c:idx val="11"/>
              <c:tx>
                <c:strRef>
                  <c:f>'Dance p'!$BZ$26</c:f>
                  <c:strCache>
                    <c:ptCount val="1"/>
                    <c:pt idx="0">
                      <c:v>.211</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{AADE472D-ECA5-4703-AA44-1000B15DB4B9}</c15:txfldGUID>
                      <c15:f>'Dance p'!$BZ$26</c15:f>
                      <c15:dlblFieldTableCache>
                        <c:ptCount val="1"/>
                        <c:pt idx="0">
                          <c:v>.211</c:v>
                        </c:pt>
                      </c15:dlblFieldTableCache>
                    </c15:dlblFTEntry>
                  </c15:dlblFieldTable>
                  <c15:showDataLabelsRange val="0"/>
                </c:ext>
                <c:ext xmlns:c16="http://schemas.microsoft.com/office/drawing/2014/chart" uri="{C3380CC4-5D6E-409C-BE32-E72D297353CC}">
                  <c16:uniqueId val="{0000002C-511C-4F8D-B238-F043CE3A7D66}"/>
                </c:ext>
              </c:extLst>
            </c:dLbl>
            <c:dLbl>
              <c:idx val="12"/>
              <c:tx>
                <c:strRef>
                  <c:f>'Dance p'!$BZ$27</c:f>
                  <c:strCache>
                    <c:ptCount val="1"/>
                    <c:pt idx="0">
                      <c:v>.001</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{36263E65-DF93-4FFE-84D4-4931258A2BF0}</c15:txfldGUID>
                      <c15:f>'Dance p'!$BZ$27</c15:f>
                      <c15:dlblFieldTableCache>
                        <c:ptCount val="1"/>
                        <c:pt idx="0">
                          <c:v>.001</c:v>
                        </c:pt>
                      </c15:dlblFieldTableCache>
                    </c15:dlblFTEntry>
                  </c15:dlblFieldTable>
                  <c15:showDataLabelsRange val="0"/>
                </c:ext>
                <c:ext xmlns:c16="http://schemas.microsoft.com/office/drawing/2014/chart" uri="{C3380CC4-5D6E-409C-BE32-E72D297353CC}">
                  <c16:uniqueId val="{0000002D-511C-4F8D-B238-F043CE3A7D66}"/>
                </c:ext>
              </c:extLst>
            </c:dLbl>
            <c:dLbl>
              <c:idx val="13"/>
              <c:tx>
                <c:strRef>
                  <c:f>'Dance p'!$BZ$28</c:f>
                  <c:strCache>
                    <c:ptCount val="1"/>
                    <c:pt idx="0">
                      <c:v>.008</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{BEABF0B8-0BAF-4E1B-AE04-D2C62FA27083}</c15:txfldGUID>
                      <c15:f>'Dance p'!$BZ$28</c15:f>
                      <c15:dlblFieldTableCache>
                        <c:ptCount val="1"/>
                        <c:pt idx="0">
                          <c:v>.008</c:v>
                        </c:pt>
                      </c15:dlblFieldTableCache>
                    </c15:dlblFTEntry>
                  </c15:dlblFieldTable>
                  <c15:showDataLabelsRange val="0"/>
                </c:ext>
                <c:ext xmlns:c16="http://schemas.microsoft.com/office/drawing/2014/chart" uri="{C3380CC4-5D6E-409C-BE32-E72D297353CC}">
                  <c16:uniqueId val="{0000002E-511C-4F8D-B238-F043CE3A7D66}"/>
                </c:ext>
              </c:extLst>
            </c:dLbl>
            <c:dLbl>
              <c:idx val="14"/>
              <c:tx>
                <c:strRef>
                  <c:f>'Dance p'!$BZ$29</c:f>
                  <c:strCache>
                    <c:ptCount val="1"/>
                    <c:pt idx="0">
                      <c:v>.019</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{5BE2ACA7-790D-487B-850A-CEC21F11DA86}</c15:txfldGUID>
                      <c15:f>'Dance p'!$BZ$29</c15:f>
                      <c15:dlblFieldTableCache>
                        <c:ptCount val="1"/>
                        <c:pt idx="0">
                          <c:v>.019</c:v>
                        </c:pt>
                      </c15:dlblFieldTableCache>
                    </c15:dlblFTEntry>
                  </c15:dlblFieldTable>
                  <c15:showDataLabelsRange val="0"/>
                </c:ext>
                <c:ext xmlns:c16="http://schemas.microsoft.com/office/drawing/2014/chart" uri="{C3380CC4-5D6E-409C-BE32-E72D297353CC}">
                  <c16:uniqueId val="{0000002F-511C-4F8D-B238-F043CE3A7D66}"/>
                </c:ext>
              </c:extLst>
            </c:dLbl>
            <c:dLbl>
              <c:idx val="15"/>
              <c:tx>
                <c:strRef>
                  <c:f>'Dance p'!$BZ$30</c:f>
                  <c:strCache>
                    <c:ptCount val="1"/>
                    <c:pt idx="0">
                      <c:v>.006</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{DE474F2E-35CF-4553-93EE-F17AA69C80E1}</c15:txfldGUID>
                      <c15:f>'Dance p'!$BZ$30</c15:f>
                      <c15:dlblFieldTableCache>
                        <c:ptCount val="1"/>
                        <c:pt idx="0">
                          <c:v>.006</c:v>
                        </c:pt>
                      </c15:dlblFieldTableCache>
                    </c15:dlblFTEntry>
                  </c15:dlblFieldTable>
                  <c15:showDataLabelsRange val="0"/>
                </c:ext>
                <c:ext xmlns:c16="http://schemas.microsoft.com/office/drawing/2014/chart" uri="{C3380CC4-5D6E-409C-BE32-E72D297353CC}">
                  <c16:uniqueId val="{00000030-511C-4F8D-B238-F043CE3A7D66}"/>
                </c:ext>
              </c:extLst>
            </c:dLbl>
            <c:dLbl>
              <c:idx val="16"/>
              <c:tx>
                <c:strRef>
                  <c:f>'Dance p'!$BZ$31</c:f>
                  <c:strCache>
                    <c:ptCount val="1"/>
                    <c:pt idx="0">
                      <c:v>.001</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{88E1E25A-3785-4C9A-B502-AF4463041263}</c15:txfldGUID>
                      <c15:f>'Dance p'!$BZ$31</c15:f>
                      <c15:dlblFieldTableCache>
                        <c:ptCount val="1"/>
                        <c:pt idx="0">
                          <c:v>.001</c:v>
                        </c:pt>
                      </c15:dlblFieldTableCache>
                    </c15:dlblFTEntry>
                  </c15:dlblFieldTable>
                  <c15:showDataLabelsRange val="0"/>
                </c:ext>
                <c:ext xmlns:c16="http://schemas.microsoft.com/office/drawing/2014/chart" uri="{C3380CC4-5D6E-409C-BE32-E72D297353CC}">
                  <c16:uniqueId val="{00000031-511C-4F8D-B238-F043CE3A7D66}"/>
                </c:ext>
              </c:extLst>
            </c:dLbl>
            <c:dLbl>
              <c:idx val="17"/>
              <c:tx>
                <c:strRef>
                  <c:f>'Dance p'!$BZ$32</c:f>
                  <c:strCache>
                    <c:ptCount val="1"/>
                    <c:pt idx="0">
                      <c:v>.000</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{0E0443F2-27F7-48BB-99B6-FB6D75BA5417}</c15:txfldGUID>
                      <c15:f>'Dance p'!$BZ$32</c15:f>
                      <c15:dlblFieldTableCache>
                        <c:ptCount val="1"/>
                        <c:pt idx="0">
                          <c:v>.000</c:v>
                        </c:pt>
                      </c15:dlblFieldTableCache>
                    </c15:dlblFTEntry>
                  </c15:dlblFieldTable>
                  <c15:showDataLabelsRange val="0"/>
                </c:ext>
                <c:ext xmlns:c16="http://schemas.microsoft.com/office/drawing/2014/chart" uri="{C3380CC4-5D6E-409C-BE32-E72D297353CC}">
                  <c16:uniqueId val="{00000032-511C-4F8D-B238-F043CE3A7D66}"/>
                </c:ext>
              </c:extLst>
            </c:dLbl>
            <c:dLbl>
              <c:idx val="18"/>
              <c:tx>
                <c:strRef>
                  <c:f>'Dance p'!$BZ$33</c:f>
                  <c:strCache>
                    <c:ptCount val="1"/>
                    <c:pt idx="0">
                      <c:v>.071</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{CFACDEDB-D387-48AC-B9D3-3DD66030C175}</c15:txfldGUID>
                      <c15:f>'Dance p'!$BZ$33</c15:f>
                      <c15:dlblFieldTableCache>
                        <c:ptCount val="1"/>
                        <c:pt idx="0">
                          <c:v>.071</c:v>
                        </c:pt>
                      </c15:dlblFieldTableCache>
                    </c15:dlblFTEntry>
                  </c15:dlblFieldTable>
                  <c15:showDataLabelsRange val="0"/>
                </c:ext>
                <c:ext xmlns:c16="http://schemas.microsoft.com/office/drawing/2014/chart" uri="{C3380CC4-5D6E-409C-BE32-E72D297353CC}">
                  <c16:uniqueId val="{00000033-511C-4F8D-B238-F043CE3A7D66}"/>
                </c:ext>
              </c:extLst>
            </c:dLbl>
            <c:dLbl>
              <c:idx val="19"/>
              <c:tx>
                <c:strRef>
                  <c:f>'Dance p'!$BZ$34</c:f>
                  <c:strCache>
                    <c:ptCount val="1"/>
                    <c:pt idx="0">
                      <c:v>.000</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{72CD8C42-2461-4F04-8818-7B7E7F1D9A27}</c15:txfldGUID>
                      <c15:f>'Dance p'!$BZ$34</c15:f>
                      <c15:dlblFieldTableCache>
                        <c:ptCount val="1"/>
                        <c:pt idx="0">
                          <c:v>.000</c:v>
                        </c:pt>
                      </c15:dlblFieldTableCache>
                    </c15:dlblFTEntry>
                  </c15:dlblFieldTable>
                  <c15:showDataLabelsRange val="0"/>
                </c:ext>
                <c:ext xmlns:c16="http://schemas.microsoft.com/office/drawing/2014/chart" uri="{C3380CC4-5D6E-409C-BE32-E72D297353CC}">
                  <c16:uniqueId val="{00000034-511C-4F8D-B238-F043CE3A7D66}"/>
                </c:ext>
              </c:extLst>
            </c:dLbl>
            <c:dLbl>
              <c:idx val="20"/>
              <c:tx>
                <c:strRef>
                  <c:f>'Dance p'!$BZ$35</c:f>
                  <c:strCache>
                    <c:ptCount val="1"/>
                    <c:pt idx="0">
                      <c:v>.008</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{F2A8898F-9D9E-4BE3-88C2-A0C29C97F091}</c15:txfldGUID>
                      <c15:f>'Dance p'!$BZ$35</c15:f>
                      <c15:dlblFieldTableCache>
                        <c:ptCount val="1"/>
                        <c:pt idx="0">
                          <c:v>.008</c:v>
                        </c:pt>
                      </c15:dlblFieldTableCache>
                    </c15:dlblFTEntry>
                  </c15:dlblFieldTable>
                  <c15:showDataLabelsRange val="0"/>
                </c:ext>
                <c:ext xmlns:c16="http://schemas.microsoft.com/office/drawing/2014/chart" uri="{C3380CC4-5D6E-409C-BE32-E72D297353CC}">
                  <c16:uniqueId val="{00000035-511C-4F8D-B238-F043CE3A7D66}"/>
                </c:ext>
              </c:extLst>
            </c:dLbl>
            <c:dLbl>
              <c:idx val="21"/>
              <c:tx>
                <c:strRef>
                  <c:f>'Dance p'!$BZ$36</c:f>
                  <c:strCache>
                    <c:ptCount val="1"/>
                    <c:pt idx="0">
                      <c:v>.467</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{BBF21F2F-61E1-497B-9213-36C871C6FD6A}</c15:txfldGUID>
                      <c15:f>'Dance p'!$BZ$36</c15:f>
                      <c15:dlblFieldTableCache>
                        <c:ptCount val="1"/>
                        <c:pt idx="0">
                          <c:v>.467</c:v>
                        </c:pt>
                      </c15:dlblFieldTableCache>
                    </c15:dlblFTEntry>
                  </c15:dlblFieldTable>
                  <c15:showDataLabelsRange val="0"/>
                </c:ext>
                <c:ext xmlns:c16="http://schemas.microsoft.com/office/drawing/2014/chart" uri="{C3380CC4-5D6E-409C-BE32-E72D297353CC}">
                  <c16:uniqueId val="{00000036-511C-4F8D-B238-F043CE3A7D66}"/>
                </c:ext>
              </c:extLst>
            </c:dLbl>
            <c:dLbl>
              <c:idx val="22"/>
              <c:tx>
                <c:strRef>
                  <c:f>'Dance p'!$BZ$37</c:f>
                  <c:strCache>
                    <c:ptCount val="1"/>
                    <c:pt idx="0">
                      <c:v>.005</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{2A64A835-9135-46C9-A5D3-EA3B88D25FEE}</c15:txfldGUID>
                      <c15:f>'Dance p'!$BZ$37</c15:f>
                      <c15:dlblFieldTableCache>
                        <c:ptCount val="1"/>
                        <c:pt idx="0">
                          <c:v>.005</c:v>
                        </c:pt>
                      </c15:dlblFieldTableCache>
                    </c15:dlblFTEntry>
                  </c15:dlblFieldTable>
                  <c15:showDataLabelsRange val="0"/>
                </c:ext>
                <c:ext xmlns:c16="http://schemas.microsoft.com/office/drawing/2014/chart" uri="{C3380CC4-5D6E-409C-BE32-E72D297353CC}">
                  <c16:uniqueId val="{00000037-511C-4F8D-B238-F043CE3A7D66}"/>
                </c:ext>
              </c:extLst>
            </c:dLbl>
            <c:dLbl>
              <c:idx val="23"/>
              <c:tx>
                <c:strRef>
                  <c:f>'Dance p'!$BZ$38</c:f>
                  <c:strCache>
                    <c:ptCount val="1"/>
                    <c:pt idx="0">
                      <c:v>.083</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{09B340C5-E18B-4868-90D7-25E6A921A499}</c15:txfldGUID>
                      <c15:f>'Dance p'!$BZ$38</c15:f>
                      <c15:dlblFieldTableCache>
                        <c:ptCount val="1"/>
                        <c:pt idx="0">
                          <c:v>.083</c:v>
                        </c:pt>
                      </c15:dlblFieldTableCache>
                    </c15:dlblFTEntry>
                  </c15:dlblFieldTable>
                  <c15:showDataLabelsRange val="0"/>
                </c:ext>
                <c:ext xmlns:c16="http://schemas.microsoft.com/office/drawing/2014/chart" uri="{C3380CC4-5D6E-409C-BE32-E72D297353CC}">
                  <c16:uniqueId val="{00000038-511C-4F8D-B238-F043CE3A7D66}"/>
                </c:ext>
              </c:extLst>
            </c:dLbl>
            <c:dLbl>
              <c:idx val="24"/>
              <c:tx>
                <c:strRef>
                  <c:f>'Dance p'!$BZ$39</c:f>
                  <c:strCache>
                    <c:ptCount val="1"/>
                    <c:pt idx="0">
                      <c:v>.838</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{CAA7594D-85EB-4BD3-A39A-C49510D67868}</c15:txfldGUID>
                      <c15:f>'Dance p'!$BZ$39</c15:f>
                      <c15:dlblFieldTableCache>
                        <c:ptCount val="1"/>
                        <c:pt idx="0">
                          <c:v>.838</c:v>
                        </c:pt>
                      </c15:dlblFieldTableCache>
                    </c15:dlblFTEntry>
                  </c15:dlblFieldTable>
                  <c15:showDataLabelsRange val="0"/>
                </c:ext>
                <c:ext xmlns:c16="http://schemas.microsoft.com/office/drawing/2014/chart" uri="{C3380CC4-5D6E-409C-BE32-E72D297353CC}">
                  <c16:uniqueId val="{00000039-511C-4F8D-B238-F043CE3A7D66}"/>
                </c:ext>
              </c:extLst>
            </c:dLbl>
            <c:spPr>
              <a:noFill/>
              <a:ln w="25400">
                <a:noFill/>
              </a:ln>
            </c:spPr>
            <c:txPr>
              <a:bodyPr/>
              <a:lstStyle/>
              <a:p>
                <a:pPr>
                  <a:defRPr sz="875" b="0" i="0" u="none" strike="noStrike" baseline="0">
                    <a:solidFill>
                      <a:srgbClr val="000000"/>
                    </a:solidFill>
                    <a:latin typeface="Arial"/>
                    <a:ea typeface="Arial"/>
                    <a:cs typeface="Arial"/>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'Dance p'!$CC$15:$CC$39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p'!$CD$15:$CD$39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3A-511C-4F8D-B238-F043CE3A7D66}"/>
            </c:ext>
          </c:extLst>
        </c:ser>
        <c:ser>
          <c:idx val="11"/>
          <c:order val="11"/>
          <c:spPr>
            <a:ln w="28575">
              <a:noFill/>
            </a:ln>
          </c:spPr>
          <c:marker>
            <c:symbol val="none"/>
          </c:marker>
          <c:dLbls>
            <c:dLbl>
              <c:idx val="0"/>
              <c:tx>
                <c:strRef>
                  <c:f>'Dance p'!$BY$15</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{79B88EBE-AF36-462D-BFCF-916068BBA2C5}</c15:txfldGUID>
                      <c15:f>'Dance p'!$BY$15</c15:f>
                      <c15:dlblFieldTableCache>
                        <c:ptCount val="1"/>
                        <c:pt idx="0">
                          <c:v>* </c:v>
                        </c:pt>
                      </c15:dlblFieldTableCache>
                    </c15:dlblFTEntry>
                  </c15:dlblFieldTable>
                  <c15:showDataLabelsRange val="0"/>
                </c:ext>
                <c:ext xmlns:c16="http://schemas.microsoft.com/office/drawing/2014/chart" uri="{C3380CC4-5D6E-409C-BE32-E72D297353CC}">
                  <c16:uniqueId val="{0000003B-511C-4F8D-B238-F043CE3A7D66}"/>
                </c:ext>
              </c:extLst>
            </c:dLbl>
            <c:dLbl>
              <c:idx val="1"/>
              <c:tx>
                <c:strRef>
                  <c:f>'Dance p'!$BY$16</c:f>
                  <c:strCache>
                    <c:ptCount val="1"/>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{6F3616CF-E079-4124-B3DD-AFB36A9A9DFA}</c15:txfldGUID>
                      <c15:f>'Dance p'!$BY$16</c15:f>
                      <c15:dlblFieldTableCache>
                        <c:ptCount val="1"/>
                      </c15:dlblFieldTableCache>
                    </c15:dlblFTEntry>
                  </c15:dlblFieldTable>
                  <c15:showDataLabelsRange val="0"/>
                </c:ext>
                <c:ext xmlns:c16="http://schemas.microsoft.com/office/drawing/2014/chart" uri="{C3380CC4-5D6E-409C-BE32-E72D297353CC}">
                  <c16:uniqueId val="{0000003C-511C-4F8D-B238-F043CE3A7D66}"/>
                </c:ext>
              </c:extLst>
            </c:dLbl>
            <c:dLbl>
              <c:idx val="2"/>
              <c:tx>
                <c:strRef>
                  <c:f>'Dance p'!$BY$17</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{1588547E-8AF2-4DA2-990F-8003D881AC4C}</c15:txfldGUID>
                      <c15:f>'Dance p'!$BY$17</c15:f>
                      <c15:dlblFieldTableCache>
                        <c:ptCount val="1"/>
                        <c:pt idx="0">
                          <c:v>*** </c:v>
                        </c:pt>
                      </c15:dlblFieldTableCache>
                    </c15:dlblFTEntry>
                  </c15:dlblFieldTable>
                  <c15:showDataLabelsRange val="0"/>
                </c:ext>
                <c:ext xmlns:c16="http://schemas.microsoft.com/office/drawing/2014/chart" uri="{C3380CC4-5D6E-409C-BE32-E72D297353CC}">
                  <c16:uniqueId val="{0000003D-511C-4F8D-B238-F043CE3A7D66}"/>
                </c:ext>
              </c:extLst>
            </c:dLbl>
            <c:dLbl>
              <c:idx val="3"/>
              <c:tx>
                <c:strRef>
                  <c:f>'Dance p'!$BY$18</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{8B650CBB-B0E1-409B-A02F-E75EA2F3BA66}</c15:txfldGUID>
                      <c15:f>'Dance p'!$BY$18</c15:f>
                      <c15:dlblFieldTableCache>
                        <c:ptCount val="1"/>
                        <c:pt idx="0">
                          <c:v>* </c:v>
                        </c:pt>
                      </c15:dlblFieldTableCache>
                    </c15:dlblFTEntry>
                  </c15:dlblFieldTable>
                  <c15:showDataLabelsRange val="0"/>
                </c:ext>
                <c:ext xmlns:c16="http://schemas.microsoft.com/office/drawing/2014/chart" uri="{C3380CC4-5D6E-409C-BE32-E72D297353CC}">
                  <c16:uniqueId val="{0000003E-511C-4F8D-B238-F043CE3A7D66}"/>
                </c:ext>
              </c:extLst>
            </c:dLbl>
            <c:dLbl>
              <c:idx val="4"/>
              <c:tx>
                <c:strRef>
                  <c:f>'Dance p'!$BY$19</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{60BEB33D-2C9C-4C3C-BA08-A01366B174B8}</c15:txfldGUID>
                      <c15:f>'Dance p'!$BY$19</c15:f>
                      <c15:dlblFieldTableCache>
                        <c:ptCount val="1"/>
                        <c:pt idx="0">
                          <c:v>? </c:v>
                        </c:pt>
                      </c15:dlblFieldTableCache>
                    </c15:dlblFTEntry>
                  </c15:dlblFieldTable>
                  <c15:showDataLabelsRange val="0"/>
                </c:ext>
                <c:ext xmlns:c16="http://schemas.microsoft.com/office/drawing/2014/chart" uri="{C3380CC4-5D6E-409C-BE32-E72D297353CC}">
                  <c16:uniqueId val="{0000003F-511C-4F8D-B238-F043CE3A7D66}"/>
                </c:ext>
              </c:extLst>
            </c:dLbl>
            <c:dLbl>
              <c:idx val="5"/>
              <c:tx>
                <c:strRef>
                  <c:f>'Dance p'!$BY$20</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{053F4493-D8A4-4759-A300-1A8A20155473}</c15:txfldGUID>
                      <c15:f>'Dance p'!$BY$20</c15:f>
                      <c15:dlblFieldTableCache>
                        <c:ptCount val="1"/>
                        <c:pt idx="0">
                          <c:v>* </c:v>
                        </c:pt>
                      </c15:dlblFieldTableCache>
                    </c15:dlblFTEntry>
                  </c15:dlblFieldTable>
                  <c15:showDataLabelsRange val="0"/>
                </c:ext>
                <c:ext xmlns:c16="http://schemas.microsoft.com/office/drawing/2014/chart" uri="{C3380CC4-5D6E-409C-BE32-E72D297353CC}">
                  <c16:uniqueId val="{00000040-511C-4F8D-B238-F043CE3A7D66}"/>
                </c:ext>
              </c:extLst>
            </c:dLbl>
            <c:dLbl>
              <c:idx val="6"/>
              <c:tx>
                <c:strRef>
                  <c:f>'Dance p'!$BY$21</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{40F0A7AF-5CF9-463E-AEA5-48BF7D0A1C87}</c15:txfldGUID>
                      <c15:f>'Dance p'!$BY$21</c15:f>
                      <c15:dlblFieldTableCache>
                        <c:ptCount val="1"/>
                        <c:pt idx="0">
                          <c:v>*** </c:v>
                        </c:pt>
                      </c15:dlblFieldTableCache>
                    </c15:dlblFTEntry>
                  </c15:dlblFieldTable>
                  <c15:showDataLabelsRange val="0"/>
                </c:ext>
                <c:ext xmlns:c16="http://schemas.microsoft.com/office/drawing/2014/chart" uri="{C3380CC4-5D6E-409C-BE32-E72D297353CC}">
                  <c16:uniqueId val="{00000041-511C-4F8D-B238-F043CE3A7D66}"/>
                </c:ext>
              </c:extLst>
            </c:dLbl>
            <c:dLbl>
              <c:idx val="7"/>
              <c:tx>
                <c:strRef>
                  <c:f>'Dance p'!$BY$22</c:f>
                  <c:strCache>
                    <c:ptCount val="1"/>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{4D27241B-28D5-454E-8E3B-2BC875A826A8}</c15:txfldGUID>
                      <c15:f>'Dance p'!$BY$22</c15:f>
                      <c15:dlblFieldTableCache>
                        <c:ptCount val="1"/>
                      </c15:dlblFieldTableCache>
                    </c15:dlblFTEntry>
                  </c15:dlblFieldTable>
                  <c15:showDataLabelsRange val="0"/>
                </c:ext>
                <c:ext xmlns:c16="http://schemas.microsoft.com/office/drawing/2014/chart" uri="{C3380CC4-5D6E-409C-BE32-E72D297353CC}">
                  <c16:uniqueId val="{00000042-511C-4F8D-B238-F043CE3A7D66}"/>
                </c:ext>
              </c:extLst>
            </c:dLbl>
            <c:dLbl>
              <c:idx val="8"/>
              <c:tx>
                <c:strRef>
                  <c:f>'Dance p'!$BY$23</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{F34F350A-ECE8-4687-973E-AB8154284C8F}</c15:txfldGUID>
                      <c15:f>'Dance p'!$BY$23</c15:f>
                      <c15:dlblFieldTableCache>
                        <c:ptCount val="1"/>
                        <c:pt idx="0">
                          <c:v>*** </c:v>
                        </c:pt>
                      </c15:dlblFieldTableCache>
                    </c15:dlblFTEntry>
                  </c15:dlblFieldTable>
                  <c15:showDataLabelsRange val="0"/>
                </c:ext>
                <c:ext xmlns:c16="http://schemas.microsoft.com/office/drawing/2014/chart" uri="{C3380CC4-5D6E-409C-BE32-E72D297353CC}">
                  <c16:uniqueId val="{00000043-511C-4F8D-B238-F043CE3A7D66}"/>
                </c:ext>
              </c:extLst>
            </c:dLbl>
            <c:dLbl>
              <c:idx val="9"/>
              <c:tx>
                <c:strRef>
                  <c:f>'Dance p'!$BY$24</c:f>
                  <c:strCache>
                    <c:ptCount val="1"/>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{8E156F76-6E54-4249-8C3E-4EB63DDF60A0}</c15:txfldGUID>
                      <c15:f>'Dance p'!$BY$24</c15:f>
                      <c15:dlblFieldTableCache>
                        <c:ptCount val="1"/>
                      </c15:dlblFieldTableCache>
                    </c15:dlblFTEntry>
                  </c15:dlblFieldTable>
                  <c15:showDataLabelsRange val="0"/>
                </c:ext>
                <c:ext xmlns:c16="http://schemas.microsoft.com/office/drawing/2014/chart" uri="{C3380CC4-5D6E-409C-BE32-E72D297353CC}">
                  <c16:uniqueId val="{00000044-511C-4F8D-B238-F043CE3A7D66}"/>
                </c:ext>
              </c:extLst>
            </c:dLbl>
            <c:dLbl>
              <c:idx val="10"/>
              <c:tx>
                <c:strRef>
                  <c:f>'Dance p'!$BY$25</c:f>
                  <c:strCache>
                    <c:ptCount val="1"/>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{A5A8764C-67B8-44ED-BC94-09AE0ED188D2}</c15:txfldGUID>
                      <c15:f>'Dance p'!$BY$25</c15:f>
                      <c15:dlblFieldTableCache>
                        <c:ptCount val="1"/>
                      </c15:dlblFieldTableCache>
                    </c15:dlblFTEntry>
                  </c15:dlblFieldTable>
                  <c15:showDataLabelsRange val="0"/>
                </c:ext>
                <c:ext xmlns:c16="http://schemas.microsoft.com/office/drawing/2014/chart" uri="{C3380CC4-5D6E-409C-BE32-E72D297353CC}">
                  <c16:uniqueId val="{00000045-511C-4F8D-B238-F043CE3A7D66}"/>
                </c:ext>
              </c:extLst>
            </c:dLbl>
            <c:dLbl>
              <c:idx val="11"/>
              <c:tx>
                <c:strRef>
                  <c:f>'Dance p'!$BY$26</c:f>
                  <c:strCache>
                    <c:ptCount val="1"/>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{E90E57D6-74D1-4440-A96A-D2CBEF3A9E9E}</c15:txfldGUID>
                      <c15:f>'Dance p'!$BY$26</c15:f>
                      <c15:dlblFieldTableCache>
                        <c:ptCount val="1"/>
                      </c15:dlblFieldTableCache>
                    </c15:dlblFTEntry>
                  </c15:dlblFieldTable>
                  <c15:showDataLabelsRange val="0"/>
                </c:ext>
                <c:ext xmlns:c16="http://schemas.microsoft.com/office/drawing/2014/chart" uri="{C3380CC4-5D6E-409C-BE32-E72D297353CC}">
                  <c16:uniqueId val="{00000046-511C-4F8D-B238-F043CE3A7D66}"/>
                </c:ext>
              </c:extLst>
            </c:dLbl>
            <c:dLbl>
              <c:idx val="12"/>
              <c:tx>
                <c:strRef>
                  <c:f>'Dance p'!$BY$27</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{12BA92D7-9213-4215-AE0E-33E2063065AD}</c15:txfldGUID>
                      <c15:f>'Dance p'!$BY$27</c15:f>
                      <c15:dlblFieldTableCache>
                        <c:ptCount val="1"/>
                        <c:pt idx="0">
                          <c:v>*** </c:v>
                        </c:pt>
                      </c15:dlblFieldTableCache>
                    </c15:dlblFTEntry>
                  </c15:dlblFieldTable>
                  <c15:showDataLabelsRange val="0"/>
                </c:ext>
                <c:ext xmlns:c16="http://schemas.microsoft.com/office/drawing/2014/chart" uri="{C3380CC4-5D6E-409C-BE32-E72D297353CC}">
                  <c16:uniqueId val="{00000047-511C-4F8D-B238-F043CE3A7D66}"/>
                </c:ext>
              </c:extLst>
            </c:dLbl>
            <c:dLbl>
              <c:idx val="13"/>
              <c:tx>
                <c:strRef>
                  <c:f>'Dance p'!$BY$28</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{0E7EE34F-D625-4F20-A16A-49CE98CFCD07}</c15:txfldGUID>
                      <c15:f>'Dance p'!$BY$28</c15:f>
                      <c15:dlblFieldTableCache>
                        <c:ptCount val="1"/>
                        <c:pt idx="0">
                          <c:v>** </c:v>
                        </c:pt>
                      </c15:dlblFieldTableCache>
                    </c15:dlblFTEntry>
                  </c15:dlblFieldTable>
                  <c15:showDataLabelsRange val="0"/>
                </c:ext>
                <c:ext xmlns:c16="http://schemas.microsoft.com/office/drawing/2014/chart" uri="{C3380CC4-5D6E-409C-BE32-E72D297353CC}">
                  <c16:uniqueId val="{00000048-511C-4F8D-B238-F043CE3A7D66}"/>
                </c:ext>
              </c:extLst>
            </c:dLbl>
            <c:dLbl>
              <c:idx val="14"/>
              <c:tx>
                <c:strRef>
                  <c:f>'Dance p'!$BY$29</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{08D02639-BE6E-4782-8797-C8BF5EB9C616}</c15:txfldGUID>
                      <c15:f>'Dance p'!$BY$29</c15:f>
                      <c15:dlblFieldTableCache>
                        <c:ptCount val="1"/>
                        <c:pt idx="0">
                          <c:v>* </c:v>
                        </c:pt>
                      </c15:dlblFieldTableCache>
                    </c15:dlblFTEntry>
                  </c15:dlblFieldTable>
                  <c15:showDataLabelsRange val="0"/>
                </c:ext>
                <c:ext xmlns:c16="http://schemas.microsoft.com/office/drawing/2014/chart" uri="{C3380CC4-5D6E-409C-BE32-E72D297353CC}">
                  <c16:uniqueId val="{00000049-511C-4F8D-B238-F043CE3A7D66}"/>
                </c:ext>
              </c:extLst>
            </c:dLbl>
            <c:dLbl>
              <c:idx val="15"/>
              <c:tx>
                <c:strRef>
                  <c:f>'Dance p'!$BY$30</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{4DE66527-8AC8-4950-BAAF-3A1F0DDB1363}</c15:txfldGUID>
                      <c15:f>'Dance p'!$BY$30</c15:f>
                      <c15:dlblFieldTableCache>
                        <c:ptCount val="1"/>
                        <c:pt idx="0">
                          <c:v>** </c:v>
                        </c:pt>
                      </c15:dlblFieldTableCache>
                    </c15:dlblFTEntry>
                  </c15:dlblFieldTable>
                  <c15:showDataLabelsRange val="0"/>
                </c:ext>
                <c:ext xmlns:c16="http://schemas.microsoft.com/office/drawing/2014/chart" uri="{C3380CC4-5D6E-409C-BE32-E72D297353CC}">
                  <c16:uniqueId val="{0000004A-511C-4F8D-B238-F043CE3A7D66}"/>
                </c:ext>
              </c:extLst>
            </c:dLbl>
            <c:dLbl>
              <c:idx val="16"/>
              <c:tx>
                <c:strRef>
                  <c:f>'Dance p'!$BY$31</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{D16441EA-6D1D-44EA-B14C-CD8FE9B73646}</c15:txfldGUID>
                      <c15:f>'Dance p'!$BY$31</c15:f>
                      <c15:dlblFieldTableCache>
                        <c:ptCount val="1"/>
                        <c:pt idx="0">
                          <c:v>** </c:v>
                        </c:pt>
                      </c15:dlblFieldTableCache>
                    </c15:dlblFTEntry>
                  </c15:dlblFieldTable>
                  <c15:showDataLabelsRange val="0"/>
                </c:ext>
                <c:ext xmlns:c16="http://schemas.microsoft.com/office/drawing/2014/chart" uri="{C3380CC4-5D6E-409C-BE32-E72D297353CC}">
                  <c16:uniqueId val="{0000004B-511C-4F8D-B238-F043CE3A7D66}"/>
                </c:ext>
              </c:extLst>
            </c:dLbl>
            <c:dLbl>
              <c:idx val="17"/>
              <c:tx>
                <c:strRef>
                  <c:f>'Dance p'!$BY$32</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{BE06AD9C-0B05-413C-8479-C6AD00FEA8A6}</c15:txfldGUID>
                      <c15:f>'Dance p'!$BY$32</c15:f>
                      <c15:dlblFieldTableCache>
                        <c:ptCount val="1"/>
                        <c:pt idx="0">
                          <c:v>*** </c:v>
                        </c:pt>
                      </c15:dlblFieldTableCache>
                    </c15:dlblFTEntry>
                  </c15:dlblFieldTable>
                  <c15:showDataLabelsRange val="0"/>
                </c:ext>
                <c:ext xmlns:c16="http://schemas.microsoft.com/office/drawing/2014/chart" uri="{C3380CC4-5D6E-409C-BE32-E72D297353CC}">
                  <c16:uniqueId val="{0000004C-511C-4F8D-B238-F043CE3A7D66}"/>
                </c:ext>
              </c:extLst>
            </c:dLbl>
            <c:dLbl>
              <c:idx val="18"/>
              <c:tx>
                <c:strRef>
                  <c:f>'Dance p'!$BY$33</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{8584AD2A-8587-4699-867D-9A44AD4573F3}</c15:txfldGUID>
                      <c15:f>'Dance p'!$BY$33</c15:f>
                      <c15:dlblFieldTableCache>
                        <c:ptCount val="1"/>
                        <c:pt idx="0">
                          <c:v>? </c:v>
                        </c:pt>
                      </c15:dlblFieldTableCache>
                    </c15:dlblFTEntry>
                  </c15:dlblFieldTable>
                  <c15:showDataLabelsRange val="0"/>
                </c:ext>
                <c:ext xmlns:c16="http://schemas.microsoft.com/office/drawing/2014/chart" uri="{C3380CC4-5D6E-409C-BE32-E72D297353CC}">
                  <c16:uniqueId val="{0000004D-511C-4F8D-B238-F043CE3A7D66}"/>
                </c:ext>
              </c:extLst>
            </c:dLbl>
            <c:dLbl>
              <c:idx val="19"/>
              <c:tx>
                <c:strRef>
                  <c:f>'Dance p'!$BY$34</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{9AA20DAD-7EF8-4C5F-9BBB-A3BD00250E25}</c15:txfldGUID>
                      <c15:f>'Dance p'!$BY$34</c15:f>
                      <c15:dlblFieldTableCache>
                        <c:ptCount val="1"/>
                        <c:pt idx="0">
                          <c:v>*** </c:v>
                        </c:pt>
                      </c15:dlblFieldTableCache>
                    </c15:dlblFTEntry>
                  </c15:dlblFieldTable>
                  <c15:showDataLabelsRange val="0"/>
                </c:ext>
                <c:ext xmlns:c16="http://schemas.microsoft.com/office/drawing/2014/chart" uri="{C3380CC4-5D6E-409C-BE32-E72D297353CC}">
                  <c16:uniqueId val="{0000004E-511C-4F8D-B238-F043CE3A7D66}"/>
                </c:ext>
              </c:extLst>
            </c:dLbl>
            <c:dLbl>
              <c:idx val="20"/>
              <c:tx>
                <c:strRef>
                  <c:f>'Dance p'!$BY$35</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{2EBB2CF2-CCFE-457F-B0F2-A3DC6E7A349C}</c15:txfldGUID>
                      <c15:f>'Dance p'!$BY$35</c15:f>
                      <c15:dlblFieldTableCache>
                        <c:ptCount val="1"/>
                        <c:pt idx="0">
                          <c:v>** </c:v>
                        </c:pt>
                      </c15:dlblFieldTableCache>
                    </c15:dlblFTEntry>
                  </c15:dlblFieldTable>
                  <c15:showDataLabelsRange val="0"/>
                </c:ext>
                <c:ext xmlns:c16="http://schemas.microsoft.com/office/drawing/2014/chart" uri="{C3380CC4-5D6E-409C-BE32-E72D297353CC}">
                  <c16:uniqueId val="{0000004F-511C-4F8D-B238-F043CE3A7D66}"/>
                </c:ext>
              </c:extLst>
            </c:dLbl>
            <c:dLbl>
              <c:idx val="21"/>
              <c:tx>
                <c:strRef>
                  <c:f>'Dance p'!$BY$36</c:f>
                  <c:strCache>
                    <c:ptCount val="1"/>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{F1EAAC31-7DF1-4E2D-B888-5AFC36389E40}</c15:txfldGUID>
                      <c15:f>'Dance p'!$BY$36</c15:f>
                      <c15:dlblFieldTableCache>
                        <c:ptCount val="1"/>
                      </c15:dlblFieldTableCache>
                    </c15:dlblFTEntry>
                  </c15:dlblFieldTable>
                  <c15:showDataLabelsRange val="0"/>
                </c:ext>
                <c:ext xmlns:c16="http://schemas.microsoft.com/office/drawing/2014/chart" uri="{C3380CC4-5D6E-409C-BE32-E72D297353CC}">
                  <c16:uniqueId val="{00000050-511C-4F8D-B238-F043CE3A7D66}"/>
                </c:ext>
              </c:extLst>
            </c:dLbl>
            <c:dLbl>
              <c:idx val="22"/>
              <c:tx>
                <c:strRef>
                  <c:f>'Dance p'!$BY$37</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{FF31C387-8529-4274-9B56-12774EA2D361}</c15:txfldGUID>
                      <c15:f>'Dance p'!$BY$37</c15:f>
                      <c15:dlblFieldTableCache>
                        <c:ptCount val="1"/>
                        <c:pt idx="0">
                          <c:v>** </c:v>
                        </c:pt>
                      </c15:dlblFieldTableCache>
                    </c15:dlblFTEntry>
                  </c15:dlblFieldTable>
                  <c15:showDataLabelsRange val="0"/>
                </c:ext>
                <c:ext xmlns:c16="http://schemas.microsoft.com/office/drawing/2014/chart" uri="{C3380CC4-5D6E-409C-BE32-E72D297353CC}">
                  <c16:uniqueId val="{00000051-511C-4F8D-B238-F043CE3A7D66}"/>
                </c:ext>
              </c:extLst>
            </c:dLbl>
            <c:dLbl>
              <c:idx val="23"/>
              <c:tx>
                <c:strRef>
                  <c:f>'Dance p'!$BY$38</c:f>
                  <c:strCache>
                    <c:ptCount val="1"/>
                    <c:pt idx="0">
                      <c:v>? </c:v>
                    </c:pt>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{49A3D7AF-4B4B-480C-AA06-079A3B86FF78}</c15:txfldGUID>
                      <c15:f>'Dance p'!$BY$38</c15:f>
                      <c15:dlblFieldTableCache>
                        <c:ptCount val="1"/>
                        <c:pt idx="0">
                          <c:v>? </c:v>
                        </c:pt>
                      </c15:dlblFieldTableCache>
                    </c15:dlblFTEntry>
                  </c15:dlblFieldTable>
                  <c15:showDataLabelsRange val="0"/>
                </c:ext>
                <c:ext xmlns:c16="http://schemas.microsoft.com/office/drawing/2014/chart" uri="{C3380CC4-5D6E-409C-BE32-E72D297353CC}">
                  <c16:uniqueId val="{00000052-511C-4F8D-B238-F043CE3A7D66}"/>
                </c:ext>
              </c:extLst>
            </c:dLbl>
            <c:dLbl>
              <c:idx val="24"/>
              <c:tx>
                <c:strRef>
                  <c:f>'Dance p'!$BY$39</c:f>
                  <c:strCache>
                    <c:ptCount val="1"/>
                  </c:strCache>
                </c:strRef>
              </c:tx>
              <c:dLblPos val="l"/>
              <c:showLegendKey val="0"/>
              <c:showVal val="0"/>
              <c:showCatName val="0"/>
              <c:showSerName val="0"/>
              <c:showPercent val="0"/>
              <c:showBubbleSize val="0"/>
              <c:extLst>
                <c:ext xmlns:c15="http://schemas.microsoft.com/office/drawing/2012/chart" uri="{CE6537A1-D6FC-4f65-9D91-7224C49458BB}">
                  <c15:dlblFieldTable>
                    <c15:dlblFTEntry>
                      <c15:txfldGUID>{72FA7AF8-2E04-4EB2-AA3F-EF1CA9CAC50A}</c15:txfldGUID>
                      <c15:f>'Dance p'!$BY$39</c15:f>
                      <c15:dlblFieldTableCache>
                        <c:ptCount val="1"/>
                      </c15:dlblFieldTableCache>
                    </c15:dlblFTEntry>
                  </c15:dlblFieldTable>
                  <c15:showDataLabelsRange val="0"/>
                </c:ext>
                <c:ext xmlns:c16="http://schemas.microsoft.com/office/drawing/2014/chart" uri="{C3380CC4-5D6E-409C-BE32-E72D297353CC}">
                  <c16:uniqueId val="{00000053-511C-4F8D-B238-F043CE3A7D66}"/>
                </c:ext>
              </c:extLst>
            </c:dLbl>
            <c:spPr>
              <a:noFill/>
              <a:ln w="25400">
                <a:noFill/>
              </a:ln>
            </c:spPr>
            <c:txPr>
              <a:bodyPr/>
              <a:lstStyle/>
              <a:p>
                <a:pPr>
                  <a:defRPr sz="975" b="0" i="0" u="none" strike="noStrike" baseline="0">
                    <a:solidFill>
                      <a:srgbClr val="000000"/>
                    </a:solidFill>
                    <a:latin typeface="Arial"/>
                    <a:ea typeface="Arial"/>
                    <a:cs typeface="Arial"/>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'Dance p'!$CA$15:$CA$39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p'!$CB$15:$CB$39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54-511C-4F8D-B238-F043CE3A7D66}"/>
            </c:ext>
          </c:extLst>
        </c:ser>
        <c:ser>
          <c:idx val="12"/>
          <c:order val="12"/>
          <c:spPr>
            <a:ln w="28575">
              <a:noFill/>
            </a:ln>
          </c:spPr>
          <c:marker>
            <c:symbol val="none"/>
          </c:marker>
          <c:errBars>
            <c:errDir val="y"/>
            <c:errBarType val="both"/>
            <c:errValType val="cust"/>
            <c:noEndCap val="0"/>
            <c:plus>
              <c:numLit>
                <c:formatCode>General</c:formatCode>
                <c:ptCount val="1"/>
                <c:pt idx="0">
                  <c:v>99</c:v>
                </c:pt>
              </c:numLit>
            </c:plus>
            <c:minus>
              <c:numLit>
                <c:formatCode>General</c:formatCode>
                <c:ptCount val="1"/>
                <c:pt idx="0">
                  <c:v>9</c:v>
                </c:pt>
              </c:numLit>
            </c:minus>
            <c:spPr>
              <a:ln w="12700">
                <a:solidFill>
                  <a:srgbClr val="000000"/>
                </a:solidFill>
                <a:prstDash val="sysDash"/>
              </a:ln>
            </c:spPr>
          </c:errBars>
          <c:xVal>
            <c:numRef>
              <c:f>'Dance p'!$BT$41</c:f>
              <c:numCache>
                <c:formatCode>General</c:formatCode>
                <c:ptCount val="1"/>
                <c:pt idx="0">
                  <c:v>60.832995426615412</c:v>
                </c:pt>
              </c:numCache>
            </c:numRef>
          </c:xVal>
          <c:yVal>
            <c:numRef>
              <c:f>'Dance p'!$BU$41</c:f>
              <c:numCache>
                <c:formatCode>General</c:formatCode>
                <c:ptCount val="1"/>
                <c:pt idx="0">
                  <c:v>4.5</c:v>
                </c:pt>
              </c:numCache>
            </c:numRef>
          </c:yVal>
          <c:smooth val="0"/>
          <c:extLst>
            <c:ext xmlns:c16="http://schemas.microsoft.com/office/drawing/2014/chart" uri="{C3380CC4-5D6E-409C-BE32-E72D297353CC}">
              <c16:uniqueId val="{00000055-511C-4F8D-B238-F043CE3A7D66}"/>
            </c:ext>
          </c:extLst>
        </c:ser>
        <c:ser>
          <c:idx val="13"/>
          <c:order val="13"/>
          <c:spPr>
            <a:ln w="28575">
              <a:noFill/>
            </a:ln>
          </c:spPr>
          <c:marker>
            <c:symbol val="picture"/>
            <c:spPr>
              <a:blipFill dpi="0" rotWithShape="0">
                <a:blip xmlns:r="http://schemas.openxmlformats.org/officeDocument/2006/relationships" r:embed="rId1"/>
                <a:srcRect/>
                <a:stretch>
                  <a:fillRect/>
                </a:stretch>
              </a:blipFill>
              <a:ln w="9525">
                <a:noFill/>
              </a:ln>
            </c:spPr>
          </c:marker>
          <c:xVal>
            <c:numRef>
              <c:f>'Dance p'!$CE$15:$CE$39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p'!$CJ$15:$CJ$39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56-511C-4F8D-B238-F043CE3A7D66}"/>
            </c:ext>
          </c:extLst>
        </c:ser>
        <c:ser>
          <c:idx val="14"/>
          <c:order val="14"/>
          <c:spPr>
            <a:ln w="28575">
              <a:noFill/>
            </a:ln>
          </c:spPr>
          <c:marker>
            <c:symbol val="picture"/>
            <c:spPr>
              <a:blipFill dpi="0" rotWithShape="0">
                <a:blip xmlns:r="http://schemas.openxmlformats.org/officeDocument/2006/relationships" r:embed="rId2"/>
                <a:srcRect/>
                <a:stretch>
                  <a:fillRect/>
                </a:stretch>
              </a:blipFill>
              <a:ln w="9525">
                <a:noFill/>
              </a:ln>
            </c:spPr>
          </c:marker>
          <c:xVal>
            <c:numRef>
              <c:f>'Dance p'!$CF$15:$CF$39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p'!$CJ$15:$CJ$39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57-511C-4F8D-B238-F043CE3A7D66}"/>
            </c:ext>
          </c:extLst>
        </c:ser>
        <c:ser>
          <c:idx val="15"/>
          <c:order val="15"/>
          <c:spPr>
            <a:ln w="28575">
              <a:noFill/>
            </a:ln>
          </c:spPr>
          <c:marker>
            <c:symbol val="picture"/>
            <c:spPr>
              <a:blipFill dpi="0" rotWithShape="0">
                <a:blip xmlns:r="http://schemas.openxmlformats.org/officeDocument/2006/relationships" r:embed="rId3"/>
                <a:srcRect/>
                <a:stretch>
                  <a:fillRect/>
                </a:stretch>
              </a:blipFill>
              <a:ln w="9525">
                <a:noFill/>
              </a:ln>
            </c:spPr>
          </c:marker>
          <c:xVal>
            <c:numRef>
              <c:f>'Dance p'!$CG$15:$CG$39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p'!$CJ$15:$CJ$39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58-511C-4F8D-B238-F043CE3A7D66}"/>
            </c:ext>
          </c:extLst>
        </c:ser>
        <c:ser>
          <c:idx val="16"/>
          <c:order val="16"/>
          <c:spPr>
            <a:ln w="28575">
              <a:noFill/>
            </a:ln>
          </c:spPr>
          <c:marker>
            <c:symbol val="picture"/>
            <c:spPr>
              <a:blipFill dpi="0" rotWithShape="0">
                <a:blip xmlns:r="http://schemas.openxmlformats.org/officeDocument/2006/relationships" r:embed="rId4"/>
                <a:srcRect/>
                <a:stretch>
                  <a:fillRect/>
                </a:stretch>
              </a:blipFill>
              <a:ln w="9525">
                <a:noFill/>
              </a:ln>
            </c:spPr>
          </c:marker>
          <c:xVal>
            <c:numRef>
              <c:f>'Dance p'!$CH$15:$CH$39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p'!$CJ$15:$CJ$39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59-511C-4F8D-B238-F043CE3A7D66}"/>
            </c:ext>
          </c:extLst>
        </c:ser>
        <c:ser>
          <c:idx val="17"/>
          <c:order val="17"/>
          <c:spPr>
            <a:ln w="28575">
              <a:noFill/>
            </a:ln>
          </c:spPr>
          <c:marker>
            <c:symbol val="picture"/>
            <c:spPr>
              <a:blipFill dpi="0" rotWithShape="0">
                <a:blip xmlns:r="http://schemas.openxmlformats.org/officeDocument/2006/relationships" r:embed="rId5"/>
                <a:srcRect/>
                <a:stretch>
                  <a:fillRect/>
                </a:stretch>
              </a:blipFill>
              <a:ln w="9525">
                <a:noFill/>
              </a:ln>
            </c:spPr>
          </c:marker>
          <c:xVal>
            <c:numRef>
              <c:f>'Dance p'!$CI$15:$CI$39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p'!$CJ$15:$CJ$39</c:f>
              <c:numCache>
                <c:formatCode>General</c:formatCode>
                <c:ptCount val="25"/>
                <c:pt idx="0">
                  <c:v>8</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5A-511C-4F8D-B238-F043CE3A7D66}"/>
            </c:ext>
          </c:extLst>
        </c:ser>
        <c:ser>
          <c:idx val="18"/>
          <c:order val="18"/>
          <c:spPr>
            <a:ln w="28575">
              <a:noFill/>
            </a:ln>
          </c:spPr>
          <c:marker>
            <c:symbol val="none"/>
          </c:marker>
          <c:dLbls>
            <c:dLbl>
              <c:idx val="0"/>
              <c:layout/>
              <c:tx>
                <c:rich>
                  <a:bodyPr/>
                  <a:lstStyle/>
                  <a:p>
                    <a:pPr>
                      <a:defRPr sz="950" b="0" i="0" u="none" strike="noStrike" baseline="0">
                        <a:solidFill>
                          <a:srgbClr val="000000"/>
                        </a:solidFill>
                        <a:latin typeface="Arial"/>
                        <a:ea typeface="Arial"/>
                        <a:cs typeface="Arial"/>
                      </a:defRPr>
                    </a:pPr>
                    <a:r>
                      <a:rPr lang="en-US" sz="1000" b="0" i="0" u="none" strike="noStrike" baseline="0">
                        <a:solidFill>
                          <a:srgbClr val="000000"/>
                        </a:solidFill>
                        <a:latin typeface="Arial"/>
                        <a:cs typeface="Arial"/>
                      </a:rPr>
                      <a:t>H</a:t>
                    </a:r>
                    <a:r>
                      <a:rPr lang="en-US" sz="1100" b="0" i="0" u="none" strike="noStrike" baseline="-25000">
                        <a:solidFill>
                          <a:srgbClr val="000000"/>
                        </a:solidFill>
                        <a:latin typeface="Arial"/>
                        <a:cs typeface="Arial"/>
                      </a:rPr>
                      <a:t>0</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5B-511C-4F8D-B238-F043CE3A7D6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p'!$BP$35</c:f>
              <c:numCache>
                <c:formatCode>General</c:formatCode>
                <c:ptCount val="1"/>
                <c:pt idx="0">
                  <c:v>52.132995426615409</c:v>
                </c:pt>
              </c:numCache>
            </c:numRef>
          </c:xVal>
          <c:yVal>
            <c:numRef>
              <c:f>'Dance p'!$BQ$35</c:f>
              <c:numCache>
                <c:formatCode>General</c:formatCode>
                <c:ptCount val="1"/>
                <c:pt idx="0">
                  <c:v>33</c:v>
                </c:pt>
              </c:numCache>
            </c:numRef>
          </c:yVal>
          <c:smooth val="0"/>
          <c:extLst>
            <c:ext xmlns:c16="http://schemas.microsoft.com/office/drawing/2014/chart" uri="{C3380CC4-5D6E-409C-BE32-E72D297353CC}">
              <c16:uniqueId val="{0000005C-511C-4F8D-B238-F043CE3A7D66}"/>
            </c:ext>
          </c:extLst>
        </c:ser>
        <c:ser>
          <c:idx val="19"/>
          <c:order val="19"/>
          <c:spPr>
            <a:ln w="28575">
              <a:noFill/>
            </a:ln>
          </c:spPr>
          <c:marker>
            <c:symbol val="none"/>
          </c:marker>
          <c:dLbls>
            <c:dLbl>
              <c:idx val="0"/>
              <c:layout/>
              <c:tx>
                <c:rich>
                  <a:bodyPr/>
                  <a:lstStyle/>
                  <a:p>
                    <a:pPr>
                      <a:defRPr sz="950" b="0" i="0" u="none" strike="noStrike" baseline="0">
                        <a:solidFill>
                          <a:srgbClr val="000000"/>
                        </a:solidFill>
                        <a:latin typeface="Arial"/>
                        <a:ea typeface="Arial"/>
                        <a:cs typeface="Arial"/>
                      </a:defRPr>
                    </a:pPr>
                    <a:r>
                      <a:rPr lang="en-US" sz="1400" b="0" i="0" u="none" strike="noStrike" baseline="0">
                        <a:solidFill>
                          <a:srgbClr val="000000"/>
                        </a:solidFill>
                        <a:latin typeface="Symbol"/>
                      </a:rPr>
                      <a:t>m</a:t>
                    </a:r>
                    <a:r>
                      <a:rPr lang="en-US" sz="1300" b="0" i="0" u="none" strike="noStrike" baseline="-25000">
                        <a:solidFill>
                          <a:srgbClr val="000000"/>
                        </a:solidFill>
                        <a:latin typeface="Arial"/>
                        <a:cs typeface="Arial"/>
                      </a:rPr>
                      <a:t>diff</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5D-511C-4F8D-B238-F043CE3A7D66}"/>
                </c:ext>
              </c:extLst>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p'!$BT$42</c:f>
              <c:numCache>
                <c:formatCode>General</c:formatCode>
                <c:ptCount val="1"/>
                <c:pt idx="0">
                  <c:v>64.332995426615412</c:v>
                </c:pt>
              </c:numCache>
            </c:numRef>
          </c:xVal>
          <c:yVal>
            <c:numRef>
              <c:f>'Dance p'!$BU$42</c:f>
              <c:numCache>
                <c:formatCode>General</c:formatCode>
                <c:ptCount val="1"/>
                <c:pt idx="0">
                  <c:v>33</c:v>
                </c:pt>
              </c:numCache>
            </c:numRef>
          </c:yVal>
          <c:smooth val="0"/>
          <c:extLst>
            <c:ext xmlns:c16="http://schemas.microsoft.com/office/drawing/2014/chart" uri="{C3380CC4-5D6E-409C-BE32-E72D297353CC}">
              <c16:uniqueId val="{0000005E-511C-4F8D-B238-F043CE3A7D66}"/>
            </c:ext>
          </c:extLst>
        </c:ser>
        <c:dLbls>
          <c:showLegendKey val="0"/>
          <c:showVal val="0"/>
          <c:showCatName val="0"/>
          <c:showSerName val="0"/>
          <c:showPercent val="0"/>
          <c:showBubbleSize val="0"/>
        </c:dLbls>
        <c:axId val="188772352"/>
        <c:axId val="188773888"/>
      </c:scatterChart>
      <c:valAx>
        <c:axId val="188772352"/>
        <c:scaling>
          <c:orientation val="minMax"/>
          <c:max val="100"/>
          <c:min val="0"/>
        </c:scaling>
        <c:delete val="0"/>
        <c:axPos val="b"/>
        <c:numFmt formatCode="General" sourceLinked="1"/>
        <c:majorTickMark val="none"/>
        <c:minorTickMark val="none"/>
        <c:tickLblPos val="none"/>
        <c:spPr>
          <a:ln w="9525">
            <a:noFill/>
          </a:ln>
        </c:spPr>
        <c:crossAx val="188773888"/>
        <c:crosses val="max"/>
        <c:crossBetween val="midCat"/>
        <c:majorUnit val="10"/>
        <c:minorUnit val="2"/>
      </c:valAx>
      <c:valAx>
        <c:axId val="188773888"/>
        <c:scaling>
          <c:orientation val="maxMin"/>
          <c:max val="34"/>
          <c:min val="0"/>
        </c:scaling>
        <c:delete val="0"/>
        <c:axPos val="l"/>
        <c:title>
          <c:tx>
            <c:rich>
              <a:bodyPr/>
              <a:lstStyle/>
              <a:p>
                <a:pPr>
                  <a:defRPr sz="875" b="0" i="0" u="none" strike="noStrike" baseline="0">
                    <a:solidFill>
                      <a:srgbClr val="000000"/>
                    </a:solidFill>
                    <a:latin typeface="Arial"/>
                    <a:ea typeface="Arial"/>
                    <a:cs typeface="Arial"/>
                  </a:defRPr>
                </a:pPr>
                <a:r>
                  <a:rPr lang="en-US"/>
                  <a:t>Successive experiments</a:t>
                </a:r>
              </a:p>
            </c:rich>
          </c:tx>
          <c:layout>
            <c:manualLayout>
              <c:xMode val="edge"/>
              <c:yMode val="edge"/>
              <c:x val="8.5470085470085479E-3"/>
              <c:y val="0.34573350103665923"/>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188772352"/>
        <c:crossesAt val="0"/>
        <c:crossBetween val="midCat"/>
        <c:majorUnit val="1"/>
        <c:min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2594473928578017E-2"/>
          <c:y val="1.2376237623762377E-2"/>
          <c:w val="0.97733117685765414"/>
          <c:h val="0.92326732673267331"/>
        </c:manualLayout>
      </c:layout>
      <c:scatterChart>
        <c:scatterStyle val="lineMarker"/>
        <c:varyColors val="0"/>
        <c:ser>
          <c:idx val="17"/>
          <c:order val="0"/>
          <c:spPr>
            <a:ln w="12700">
              <a:solidFill>
                <a:srgbClr val="000000"/>
              </a:solidFill>
              <a:prstDash val="solid"/>
            </a:ln>
          </c:spPr>
          <c:marker>
            <c:symbol val="none"/>
          </c:marker>
          <c:xVal>
            <c:numRef>
              <c:f>'Dance p'!$O$103:$O$106</c:f>
              <c:numCache>
                <c:formatCode>General</c:formatCode>
                <c:ptCount val="4"/>
                <c:pt idx="0">
                  <c:v>17</c:v>
                </c:pt>
                <c:pt idx="1">
                  <c:v>17</c:v>
                </c:pt>
                <c:pt idx="2">
                  <c:v>183</c:v>
                </c:pt>
                <c:pt idx="3">
                  <c:v>183</c:v>
                </c:pt>
              </c:numCache>
            </c:numRef>
          </c:xVal>
          <c:yVal>
            <c:numRef>
              <c:f>'Dance p'!$P$103:$P$106</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0-E39F-470B-B5CD-D5A3D761E019}"/>
            </c:ext>
          </c:extLst>
        </c:ser>
        <c:ser>
          <c:idx val="16"/>
          <c:order val="1"/>
          <c:spPr>
            <a:ln w="12700">
              <a:solidFill>
                <a:srgbClr val="000000"/>
              </a:solidFill>
              <a:prstDash val="solid"/>
            </a:ln>
          </c:spPr>
          <c:marker>
            <c:symbol val="none"/>
          </c:marker>
          <c:xVal>
            <c:numRef>
              <c:f>'Dance p'!$O$98:$O$101</c:f>
              <c:numCache>
                <c:formatCode>General</c:formatCode>
                <c:ptCount val="4"/>
                <c:pt idx="0">
                  <c:v>217</c:v>
                </c:pt>
                <c:pt idx="1">
                  <c:v>217</c:v>
                </c:pt>
                <c:pt idx="2">
                  <c:v>383</c:v>
                </c:pt>
                <c:pt idx="3">
                  <c:v>383</c:v>
                </c:pt>
              </c:numCache>
            </c:numRef>
          </c:xVal>
          <c:yVal>
            <c:numRef>
              <c:f>'Dance p'!$P$98:$P$101</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1-E39F-470B-B5CD-D5A3D761E019}"/>
            </c:ext>
          </c:extLst>
        </c:ser>
        <c:ser>
          <c:idx val="15"/>
          <c:order val="2"/>
          <c:spPr>
            <a:ln w="12700">
              <a:solidFill>
                <a:srgbClr val="000000"/>
              </a:solidFill>
              <a:prstDash val="solid"/>
            </a:ln>
          </c:spPr>
          <c:marker>
            <c:symbol val="none"/>
          </c:marker>
          <c:xVal>
            <c:numRef>
              <c:f>'Dance p'!$O$93:$O$96</c:f>
              <c:numCache>
                <c:formatCode>General</c:formatCode>
                <c:ptCount val="4"/>
                <c:pt idx="0">
                  <c:v>417</c:v>
                </c:pt>
                <c:pt idx="1">
                  <c:v>417</c:v>
                </c:pt>
                <c:pt idx="2">
                  <c:v>583</c:v>
                </c:pt>
                <c:pt idx="3">
                  <c:v>583</c:v>
                </c:pt>
              </c:numCache>
            </c:numRef>
          </c:xVal>
          <c:yVal>
            <c:numRef>
              <c:f>'Dance p'!$P$93:$P$96</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2-E39F-470B-B5CD-D5A3D761E019}"/>
            </c:ext>
          </c:extLst>
        </c:ser>
        <c:ser>
          <c:idx val="14"/>
          <c:order val="3"/>
          <c:spPr>
            <a:ln w="12700">
              <a:solidFill>
                <a:srgbClr val="000000"/>
              </a:solidFill>
              <a:prstDash val="solid"/>
            </a:ln>
          </c:spPr>
          <c:marker>
            <c:symbol val="none"/>
          </c:marker>
          <c:xVal>
            <c:numRef>
              <c:f>'Dance p'!$O$88:$O$91</c:f>
              <c:numCache>
                <c:formatCode>General</c:formatCode>
                <c:ptCount val="4"/>
                <c:pt idx="0">
                  <c:v>617</c:v>
                </c:pt>
                <c:pt idx="1">
                  <c:v>617</c:v>
                </c:pt>
                <c:pt idx="2">
                  <c:v>783</c:v>
                </c:pt>
                <c:pt idx="3">
                  <c:v>783</c:v>
                </c:pt>
              </c:numCache>
            </c:numRef>
          </c:xVal>
          <c:yVal>
            <c:numRef>
              <c:f>'Dance p'!$P$88:$P$91</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3-E39F-470B-B5CD-D5A3D761E019}"/>
            </c:ext>
          </c:extLst>
        </c:ser>
        <c:ser>
          <c:idx val="13"/>
          <c:order val="4"/>
          <c:spPr>
            <a:ln w="12700">
              <a:solidFill>
                <a:srgbClr val="000000"/>
              </a:solidFill>
              <a:prstDash val="solid"/>
            </a:ln>
          </c:spPr>
          <c:marker>
            <c:symbol val="none"/>
          </c:marker>
          <c:xVal>
            <c:numRef>
              <c:f>'Dance p'!$O$84:$O$87</c:f>
              <c:numCache>
                <c:formatCode>General</c:formatCode>
                <c:ptCount val="4"/>
                <c:pt idx="0">
                  <c:v>817</c:v>
                </c:pt>
                <c:pt idx="1">
                  <c:v>817</c:v>
                </c:pt>
                <c:pt idx="2">
                  <c:v>983</c:v>
                </c:pt>
                <c:pt idx="3">
                  <c:v>983</c:v>
                </c:pt>
              </c:numCache>
            </c:numRef>
          </c:xVal>
          <c:yVal>
            <c:numRef>
              <c:f>'Dance p'!$P$84:$P$87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4-E39F-470B-B5CD-D5A3D761E019}"/>
            </c:ext>
          </c:extLst>
        </c:ser>
        <c:ser>
          <c:idx val="5"/>
          <c:order val="5"/>
          <c:spPr>
            <a:ln w="28575">
              <a:noFill/>
            </a:ln>
          </c:spPr>
          <c:marker>
            <c:symbol val="none"/>
          </c:marker>
          <c:dLbls>
            <c:dLbl>
              <c:idx val="0"/>
              <c:layout/>
              <c:tx>
                <c:strRef>
                  <c:f>'Dance p'!$AK$83</c:f>
                  <c:strCache>
                    <c:ptCount val="1"/>
                    <c:pt idx="0">
                      <c:v>8</c:v>
                    </c:pt>
                  </c:strCache>
                </c:strRef>
              </c:tx>
              <c:dLblPos val="t"/>
              <c:showLegendKey val="0"/>
              <c:showVal val="0"/>
              <c:showCatName val="0"/>
              <c:showSerName val="0"/>
              <c:showPercent val="0"/>
              <c:showBubbleSize val="0"/>
              <c:extLst>
                <c:ext xmlns:c15="http://schemas.microsoft.com/office/drawing/2012/chart" uri="{CE6537A1-D6FC-4f65-9D91-7224C49458BB}">
                  <c15:layout/>
                  <c15:dlblFieldTable>
                    <c15:dlblFTEntry>
                      <c15:txfldGUID>{7F0A5B30-2915-402D-844C-CCAA23C34D5E}</c15:txfldGUID>
                      <c15:f>'Dance p'!$AK$83</c15:f>
                      <c15:dlblFieldTableCache>
                        <c:ptCount val="1"/>
                        <c:pt idx="0">
                          <c:v>8</c:v>
                        </c:pt>
                      </c15:dlblFieldTableCache>
                    </c15:dlblFTEntry>
                  </c15:dlblFieldTable>
                  <c15:showDataLabelsRange val="0"/>
                </c:ext>
                <c:ext xmlns:c16="http://schemas.microsoft.com/office/drawing/2014/chart" uri="{C3380CC4-5D6E-409C-BE32-E72D297353CC}">
                  <c16:uniqueId val="{00000005-E39F-470B-B5CD-D5A3D761E019}"/>
                </c:ext>
              </c:extLst>
            </c:dLbl>
            <c:dLbl>
              <c:idx val="1"/>
              <c:layout/>
              <c:tx>
                <c:strRef>
                  <c:f>'Dance p'!$AJ$83</c:f>
                  <c:strCache>
                    <c:ptCount val="1"/>
                    <c:pt idx="0">
                      <c:v>3</c:v>
                    </c:pt>
                  </c:strCache>
                </c:strRef>
              </c:tx>
              <c:dLblPos val="t"/>
              <c:showLegendKey val="0"/>
              <c:showVal val="0"/>
              <c:showCatName val="0"/>
              <c:showSerName val="0"/>
              <c:showPercent val="0"/>
              <c:showBubbleSize val="0"/>
              <c:extLst>
                <c:ext xmlns:c15="http://schemas.microsoft.com/office/drawing/2012/chart" uri="{CE6537A1-D6FC-4f65-9D91-7224C49458BB}">
                  <c15:layout/>
                  <c15:dlblFieldTable>
                    <c15:dlblFTEntry>
                      <c15:txfldGUID>{8EDCA3AA-F0E9-4840-B2F5-C988A86B54E5}</c15:txfldGUID>
                      <c15:f>'Dance p'!$AJ$83</c15:f>
                      <c15:dlblFieldTableCache>
                        <c:ptCount val="1"/>
                        <c:pt idx="0">
                          <c:v>3</c:v>
                        </c:pt>
                      </c15:dlblFieldTableCache>
                    </c15:dlblFTEntry>
                  </c15:dlblFieldTable>
                  <c15:showDataLabelsRange val="0"/>
                </c:ext>
                <c:ext xmlns:c16="http://schemas.microsoft.com/office/drawing/2014/chart" uri="{C3380CC4-5D6E-409C-BE32-E72D297353CC}">
                  <c16:uniqueId val="{00000006-E39F-470B-B5CD-D5A3D761E019}"/>
                </c:ext>
              </c:extLst>
            </c:dLbl>
            <c:dLbl>
              <c:idx val="2"/>
              <c:layout/>
              <c:tx>
                <c:strRef>
                  <c:f>'Dance p'!$AI$83</c:f>
                  <c:strCache>
                    <c:ptCount val="1"/>
                    <c:pt idx="0">
                      <c:v>6</c:v>
                    </c:pt>
                  </c:strCache>
                </c:strRef>
              </c:tx>
              <c:dLblPos val="t"/>
              <c:showLegendKey val="0"/>
              <c:showVal val="0"/>
              <c:showCatName val="0"/>
              <c:showSerName val="0"/>
              <c:showPercent val="0"/>
              <c:showBubbleSize val="0"/>
              <c:extLst>
                <c:ext xmlns:c15="http://schemas.microsoft.com/office/drawing/2012/chart" uri="{CE6537A1-D6FC-4f65-9D91-7224C49458BB}">
                  <c15:layout/>
                  <c15:dlblFieldTable>
                    <c15:dlblFTEntry>
                      <c15:txfldGUID>{D65D8946-AAF2-4ECB-8F2F-FC87F0B0CD50}</c15:txfldGUID>
                      <c15:f>'Dance p'!$AI$83</c15:f>
                      <c15:dlblFieldTableCache>
                        <c:ptCount val="1"/>
                        <c:pt idx="0">
                          <c:v>6</c:v>
                        </c:pt>
                      </c15:dlblFieldTableCache>
                    </c15:dlblFTEntry>
                  </c15:dlblFieldTable>
                  <c15:showDataLabelsRange val="0"/>
                </c:ext>
                <c:ext xmlns:c16="http://schemas.microsoft.com/office/drawing/2014/chart" uri="{C3380CC4-5D6E-409C-BE32-E72D297353CC}">
                  <c16:uniqueId val="{00000007-E39F-470B-B5CD-D5A3D761E019}"/>
                </c:ext>
              </c:extLst>
            </c:dLbl>
            <c:dLbl>
              <c:idx val="3"/>
              <c:layout/>
              <c:tx>
                <c:strRef>
                  <c:f>'Dance p'!$AH$83</c:f>
                  <c:strCache>
                    <c:ptCount val="1"/>
                    <c:pt idx="0">
                      <c:v>6</c:v>
                    </c:pt>
                  </c:strCache>
                </c:strRef>
              </c:tx>
              <c:dLblPos val="t"/>
              <c:showLegendKey val="0"/>
              <c:showVal val="0"/>
              <c:showCatName val="0"/>
              <c:showSerName val="0"/>
              <c:showPercent val="0"/>
              <c:showBubbleSize val="0"/>
              <c:extLst>
                <c:ext xmlns:c15="http://schemas.microsoft.com/office/drawing/2012/chart" uri="{CE6537A1-D6FC-4f65-9D91-7224C49458BB}">
                  <c15:layout/>
                  <c15:dlblFieldTable>
                    <c15:dlblFTEntry>
                      <c15:txfldGUID>{D00547B8-3EA3-48A0-929B-41524DD8F675}</c15:txfldGUID>
                      <c15:f>'Dance p'!$AH$83</c15:f>
                      <c15:dlblFieldTableCache>
                        <c:ptCount val="1"/>
                        <c:pt idx="0">
                          <c:v>6</c:v>
                        </c:pt>
                      </c15:dlblFieldTableCache>
                    </c15:dlblFTEntry>
                  </c15:dlblFieldTable>
                  <c15:showDataLabelsRange val="0"/>
                </c:ext>
                <c:ext xmlns:c16="http://schemas.microsoft.com/office/drawing/2014/chart" uri="{C3380CC4-5D6E-409C-BE32-E72D297353CC}">
                  <c16:uniqueId val="{00000008-E39F-470B-B5CD-D5A3D761E019}"/>
                </c:ext>
              </c:extLst>
            </c:dLbl>
            <c:dLbl>
              <c:idx val="4"/>
              <c:layout/>
              <c:tx>
                <c:strRef>
                  <c:f>'Dance p'!$AG$83</c:f>
                  <c:strCache>
                    <c:ptCount val="1"/>
                    <c:pt idx="0">
                      <c:v>6</c:v>
                    </c:pt>
                  </c:strCache>
                </c:strRef>
              </c:tx>
              <c:dLblPos val="t"/>
              <c:showLegendKey val="0"/>
              <c:showVal val="0"/>
              <c:showCatName val="0"/>
              <c:showSerName val="0"/>
              <c:showPercent val="0"/>
              <c:showBubbleSize val="0"/>
              <c:extLst>
                <c:ext xmlns:c15="http://schemas.microsoft.com/office/drawing/2012/chart" uri="{CE6537A1-D6FC-4f65-9D91-7224C49458BB}">
                  <c15:layout/>
                  <c15:dlblFieldTable>
                    <c15:dlblFTEntry>
                      <c15:txfldGUID>{94F67AC9-0C26-4572-985D-EA7903460F36}</c15:txfldGUID>
                      <c15:f>'Dance p'!$AG$83</c15:f>
                      <c15:dlblFieldTableCache>
                        <c:ptCount val="1"/>
                        <c:pt idx="0">
                          <c:v>6</c:v>
                        </c:pt>
                      </c15:dlblFieldTableCache>
                    </c15:dlblFTEntry>
                  </c15:dlblFieldTable>
                  <c15:showDataLabelsRange val="0"/>
                </c:ext>
                <c:ext xmlns:c16="http://schemas.microsoft.com/office/drawing/2014/chart" uri="{C3380CC4-5D6E-409C-BE32-E72D297353CC}">
                  <c16:uniqueId val="{00000009-E39F-470B-B5CD-D5A3D761E019}"/>
                </c:ext>
              </c:extLst>
            </c:dLbl>
            <c:spPr>
              <a:solidFill>
                <a:srgbClr val="FFFFFF"/>
              </a:solidFill>
              <a:ln w="25400">
                <a:noFill/>
              </a:ln>
            </c:spPr>
            <c:txPr>
              <a:bodyPr/>
              <a:lstStyle/>
              <a:p>
                <a:pPr>
                  <a:defRPr sz="900" b="0" i="0" u="none" strike="noStrike" baseline="0">
                    <a:solidFill>
                      <a:srgbClr val="000000"/>
                    </a:solidFill>
                    <a:latin typeface="Arial"/>
                    <a:ea typeface="Arial"/>
                    <a:cs typeface="Arial"/>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p'!$AN$81:$AN$85</c:f>
              <c:numCache>
                <c:formatCode>General</c:formatCode>
                <c:ptCount val="5"/>
                <c:pt idx="0">
                  <c:v>100</c:v>
                </c:pt>
                <c:pt idx="1">
                  <c:v>300</c:v>
                </c:pt>
                <c:pt idx="2">
                  <c:v>500</c:v>
                </c:pt>
                <c:pt idx="3">
                  <c:v>700</c:v>
                </c:pt>
                <c:pt idx="4">
                  <c:v>900</c:v>
                </c:pt>
              </c:numCache>
            </c:numRef>
          </c:xVal>
          <c:yVal>
            <c:numRef>
              <c:f>'Dance p'!$AO$81:$AO$85</c:f>
              <c:numCache>
                <c:formatCode>General</c:formatCode>
                <c:ptCount val="5"/>
                <c:pt idx="0">
                  <c:v>86.4</c:v>
                </c:pt>
                <c:pt idx="1">
                  <c:v>86.4</c:v>
                </c:pt>
                <c:pt idx="2">
                  <c:v>86.4</c:v>
                </c:pt>
                <c:pt idx="3">
                  <c:v>86.4</c:v>
                </c:pt>
                <c:pt idx="4">
                  <c:v>86.4</c:v>
                </c:pt>
              </c:numCache>
            </c:numRef>
          </c:yVal>
          <c:smooth val="0"/>
          <c:extLst>
            <c:ext xmlns:c16="http://schemas.microsoft.com/office/drawing/2014/chart" uri="{C3380CC4-5D6E-409C-BE32-E72D297353CC}">
              <c16:uniqueId val="{0000000A-E39F-470B-B5CD-D5A3D761E019}"/>
            </c:ext>
          </c:extLst>
        </c:ser>
        <c:ser>
          <c:idx val="6"/>
          <c:order val="6"/>
          <c:spPr>
            <a:ln w="28575">
              <a:noFill/>
            </a:ln>
          </c:spPr>
          <c:marker>
            <c:symbol val="none"/>
          </c:marker>
          <c:dLbls>
            <c:dLbl>
              <c:idx val="0"/>
              <c:layout/>
              <c:tx>
                <c:strRef>
                  <c:f>'Dance p'!$AK$85</c:f>
                  <c:strCache>
                    <c:ptCount val="1"/>
                    <c:pt idx="0">
                      <c:v>27.6%</c:v>
                    </c:pt>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{B3A40DFF-0128-4C50-AD29-53391DFC19E0}</c15:txfldGUID>
                      <c15:f>'Dance p'!$AK$85</c15:f>
                      <c15:dlblFieldTableCache>
                        <c:ptCount val="1"/>
                        <c:pt idx="0">
                          <c:v>27.6%</c:v>
                        </c:pt>
                      </c15:dlblFieldTableCache>
                    </c15:dlblFTEntry>
                  </c15:dlblFieldTable>
                  <c15:showDataLabelsRange val="0"/>
                </c:ext>
                <c:ext xmlns:c16="http://schemas.microsoft.com/office/drawing/2014/chart" uri="{C3380CC4-5D6E-409C-BE32-E72D297353CC}">
                  <c16:uniqueId val="{0000000B-E39F-470B-B5CD-D5A3D761E019}"/>
                </c:ext>
              </c:extLst>
            </c:dLbl>
            <c:dLbl>
              <c:idx val="1"/>
              <c:layout/>
              <c:tx>
                <c:strRef>
                  <c:f>'Dance p'!$AJ$85</c:f>
                  <c:strCache>
                    <c:ptCount val="1"/>
                    <c:pt idx="0">
                      <c:v>10.3%</c:v>
                    </c:pt>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{19CE1260-2C06-499E-91C0-4A67D34D0FF3}</c15:txfldGUID>
                      <c15:f>'Dance p'!$AJ$85</c15:f>
                      <c15:dlblFieldTableCache>
                        <c:ptCount val="1"/>
                        <c:pt idx="0">
                          <c:v>10.3%</c:v>
                        </c:pt>
                      </c15:dlblFieldTableCache>
                    </c15:dlblFTEntry>
                  </c15:dlblFieldTable>
                  <c15:showDataLabelsRange val="0"/>
                </c:ext>
                <c:ext xmlns:c16="http://schemas.microsoft.com/office/drawing/2014/chart" uri="{C3380CC4-5D6E-409C-BE32-E72D297353CC}">
                  <c16:uniqueId val="{0000000C-E39F-470B-B5CD-D5A3D761E019}"/>
                </c:ext>
              </c:extLst>
            </c:dLbl>
            <c:dLbl>
              <c:idx val="2"/>
              <c:layout/>
              <c:tx>
                <c:strRef>
                  <c:f>'Dance p'!$AI$85</c:f>
                  <c:strCache>
                    <c:ptCount val="1"/>
                    <c:pt idx="0">
                      <c:v>20.7%</c:v>
                    </c:pt>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{9B89F61A-0D7E-446F-B6FC-396510ABC074}</c15:txfldGUID>
                      <c15:f>'Dance p'!$AI$85</c15:f>
                      <c15:dlblFieldTableCache>
                        <c:ptCount val="1"/>
                        <c:pt idx="0">
                          <c:v>20.7%</c:v>
                        </c:pt>
                      </c15:dlblFieldTableCache>
                    </c15:dlblFTEntry>
                  </c15:dlblFieldTable>
                  <c15:showDataLabelsRange val="0"/>
                </c:ext>
                <c:ext xmlns:c16="http://schemas.microsoft.com/office/drawing/2014/chart" uri="{C3380CC4-5D6E-409C-BE32-E72D297353CC}">
                  <c16:uniqueId val="{0000000D-E39F-470B-B5CD-D5A3D761E019}"/>
                </c:ext>
              </c:extLst>
            </c:dLbl>
            <c:dLbl>
              <c:idx val="3"/>
              <c:layout/>
              <c:tx>
                <c:strRef>
                  <c:f>'Dance p'!$AH$85</c:f>
                  <c:strCache>
                    <c:ptCount val="1"/>
                    <c:pt idx="0">
                      <c:v>20.7%</c:v>
                    </c:pt>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{8E54BCB5-3F22-4D22-9167-721C29DC4550}</c15:txfldGUID>
                      <c15:f>'Dance p'!$AH$85</c15:f>
                      <c15:dlblFieldTableCache>
                        <c:ptCount val="1"/>
                        <c:pt idx="0">
                          <c:v>20.7%</c:v>
                        </c:pt>
                      </c15:dlblFieldTableCache>
                    </c15:dlblFTEntry>
                  </c15:dlblFieldTable>
                  <c15:showDataLabelsRange val="0"/>
                </c:ext>
                <c:ext xmlns:c16="http://schemas.microsoft.com/office/drawing/2014/chart" uri="{C3380CC4-5D6E-409C-BE32-E72D297353CC}">
                  <c16:uniqueId val="{0000000E-E39F-470B-B5CD-D5A3D761E019}"/>
                </c:ext>
              </c:extLst>
            </c:dLbl>
            <c:dLbl>
              <c:idx val="4"/>
              <c:layout/>
              <c:tx>
                <c:strRef>
                  <c:f>'Dance p'!$AG$85</c:f>
                  <c:strCache>
                    <c:ptCount val="1"/>
                    <c:pt idx="0">
                      <c:v>20.7%</c:v>
                    </c:pt>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{B7308E74-F7E9-45CE-B558-EEDBFA5FF3E9}</c15:txfldGUID>
                      <c15:f>'Dance p'!$AG$85</c15:f>
                      <c15:dlblFieldTableCache>
                        <c:ptCount val="1"/>
                        <c:pt idx="0">
                          <c:v>20.7%</c:v>
                        </c:pt>
                      </c15:dlblFieldTableCache>
                    </c15:dlblFTEntry>
                  </c15:dlblFieldTable>
                  <c15:showDataLabelsRange val="0"/>
                </c:ext>
                <c:ext xmlns:c16="http://schemas.microsoft.com/office/drawing/2014/chart" uri="{C3380CC4-5D6E-409C-BE32-E72D297353CC}">
                  <c16:uniqueId val="{0000000F-E39F-470B-B5CD-D5A3D761E019}"/>
                </c:ext>
              </c:extLst>
            </c:dLbl>
            <c:spPr>
              <a:solidFill>
                <a:srgbClr val="FFFFFF"/>
              </a:solidFill>
              <a:ln w="25400">
                <a:noFill/>
              </a:ln>
            </c:spPr>
            <c:txPr>
              <a:bodyPr/>
              <a:lstStyle/>
              <a:p>
                <a:pPr>
                  <a:defRPr sz="9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p'!$AN$81:$AN$85</c:f>
              <c:numCache>
                <c:formatCode>General</c:formatCode>
                <c:ptCount val="5"/>
                <c:pt idx="0">
                  <c:v>100</c:v>
                </c:pt>
                <c:pt idx="1">
                  <c:v>300</c:v>
                </c:pt>
                <c:pt idx="2">
                  <c:v>500</c:v>
                </c:pt>
                <c:pt idx="3">
                  <c:v>700</c:v>
                </c:pt>
                <c:pt idx="4">
                  <c:v>900</c:v>
                </c:pt>
              </c:numCache>
            </c:numRef>
          </c:xVal>
          <c:yVal>
            <c:numRef>
              <c:f>'Dance p'!$AP$81:$AP$85</c:f>
              <c:numCache>
                <c:formatCode>General</c:formatCode>
                <c:ptCount val="5"/>
                <c:pt idx="0">
                  <c:v>87</c:v>
                </c:pt>
                <c:pt idx="1">
                  <c:v>87</c:v>
                </c:pt>
                <c:pt idx="2">
                  <c:v>87</c:v>
                </c:pt>
                <c:pt idx="3">
                  <c:v>87</c:v>
                </c:pt>
                <c:pt idx="4">
                  <c:v>87</c:v>
                </c:pt>
              </c:numCache>
            </c:numRef>
          </c:yVal>
          <c:smooth val="0"/>
          <c:extLst>
            <c:ext xmlns:c16="http://schemas.microsoft.com/office/drawing/2014/chart" uri="{C3380CC4-5D6E-409C-BE32-E72D297353CC}">
              <c16:uniqueId val="{00000010-E39F-470B-B5CD-D5A3D761E019}"/>
            </c:ext>
          </c:extLst>
        </c:ser>
        <c:ser>
          <c:idx val="7"/>
          <c:order val="7"/>
          <c:spPr>
            <a:ln w="28575">
              <a:noFill/>
            </a:ln>
          </c:spPr>
          <c:marker>
            <c:symbol val="none"/>
          </c:marker>
          <c:dLbls>
            <c:dLbl>
              <c:idx val="0"/>
              <c:layout/>
              <c:tx>
                <c:strRef>
                  <c:f>'Dance p'!$AK$86</c:f>
                  <c:strCache>
                    <c:ptCount val="1"/>
                    <c:pt idx="0">
                      <c:v>31.0%</c:v>
                    </c:pt>
                  </c:strCache>
                </c:strRef>
              </c:tx>
              <c:spPr>
                <a:solidFill>
                  <a:srgbClr val="FFFFFF"/>
                </a:solidFill>
                <a:ln w="25400">
                  <a:noFill/>
                </a:ln>
              </c:spPr>
              <c:txPr>
                <a:bodyPr/>
                <a:lstStyle/>
                <a:p>
                  <a:pPr>
                    <a:defRPr sz="900" b="0" i="0" u="none" strike="noStrike" baseline="0">
                      <a:solidFill>
                        <a:srgbClr val="FF0000"/>
                      </a:solidFill>
                      <a:latin typeface="Arial"/>
                      <a:ea typeface="Arial"/>
                      <a:cs typeface="Arial"/>
                    </a:defRPr>
                  </a:pPr>
                  <a:endParaRPr lang="en-US"/>
                </a:p>
              </c:txPr>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{F9C76F89-0D78-4956-9CF7-32396CCC50AB}</c15:txfldGUID>
                      <c15:f>'Dance p'!$AK$86</c15:f>
                      <c15:dlblFieldTableCache>
                        <c:ptCount val="1"/>
                        <c:pt idx="0">
                          <c:v>31.0%</c:v>
                        </c:pt>
                      </c15:dlblFieldTableCache>
                    </c15:dlblFTEntry>
                  </c15:dlblFieldTable>
                  <c15:showDataLabelsRange val="0"/>
                </c:ext>
                <c:ext xmlns:c16="http://schemas.microsoft.com/office/drawing/2014/chart" uri="{C3380CC4-5D6E-409C-BE32-E72D297353CC}">
                  <c16:uniqueId val="{00000011-E39F-470B-B5CD-D5A3D761E019}"/>
                </c:ext>
              </c:extLst>
            </c:dLbl>
            <c:dLbl>
              <c:idx val="1"/>
              <c:layout/>
              <c:tx>
                <c:strRef>
                  <c:f>'Dance p'!$AJ$86</c:f>
                  <c:strCache>
                    <c:ptCount val="1"/>
                    <c:pt idx="0">
                      <c:v>11.8%</c:v>
                    </c:pt>
                  </c:strCache>
                </c:strRef>
              </c:tx>
              <c:spPr>
                <a:solidFill>
                  <a:srgbClr val="FFFFFF"/>
                </a:solidFill>
                <a:ln w="25400">
                  <a:noFill/>
                </a:ln>
              </c:spPr>
              <c:txPr>
                <a:bodyPr/>
                <a:lstStyle/>
                <a:p>
                  <a:pPr>
                    <a:defRPr sz="900" b="0" i="0" u="none" strike="noStrike" baseline="0">
                      <a:solidFill>
                        <a:srgbClr val="FF0000"/>
                      </a:solidFill>
                      <a:latin typeface="Arial"/>
                      <a:ea typeface="Arial"/>
                      <a:cs typeface="Arial"/>
                    </a:defRPr>
                  </a:pPr>
                  <a:endParaRPr lang="en-US"/>
                </a:p>
              </c:txPr>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{D81B7C78-1150-4153-8C37-45A544B51ED8}</c15:txfldGUID>
                      <c15:f>'Dance p'!$AJ$86</c15:f>
                      <c15:dlblFieldTableCache>
                        <c:ptCount val="1"/>
                        <c:pt idx="0">
                          <c:v>11.8%</c:v>
                        </c:pt>
                      </c15:dlblFieldTableCache>
                    </c15:dlblFTEntry>
                  </c15:dlblFieldTable>
                  <c15:showDataLabelsRange val="0"/>
                </c:ext>
                <c:ext xmlns:c16="http://schemas.microsoft.com/office/drawing/2014/chart" uri="{C3380CC4-5D6E-409C-BE32-E72D297353CC}">
                  <c16:uniqueId val="{00000012-E39F-470B-B5CD-D5A3D761E019}"/>
                </c:ext>
              </c:extLst>
            </c:dLbl>
            <c:dLbl>
              <c:idx val="2"/>
              <c:layout/>
              <c:tx>
                <c:strRef>
                  <c:f>'Dance p'!$AI$86</c:f>
                  <c:strCache>
                    <c:ptCount val="1"/>
                    <c:pt idx="0">
                      <c:v>24.0%</c:v>
                    </c:pt>
                  </c:strCache>
                </c:strRef>
              </c:tx>
              <c:spPr>
                <a:solidFill>
                  <a:srgbClr val="FFFFFF"/>
                </a:solidFill>
                <a:ln w="25400">
                  <a:noFill/>
                </a:ln>
              </c:spPr>
              <c:txPr>
                <a:bodyPr/>
                <a:lstStyle/>
                <a:p>
                  <a:pPr>
                    <a:defRPr sz="900" b="0" i="0" u="none" strike="noStrike" baseline="0">
                      <a:solidFill>
                        <a:srgbClr val="FF0000"/>
                      </a:solidFill>
                      <a:latin typeface="Arial"/>
                      <a:ea typeface="Arial"/>
                      <a:cs typeface="Arial"/>
                    </a:defRPr>
                  </a:pPr>
                  <a:endParaRPr lang="en-US"/>
                </a:p>
              </c:txPr>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{54441EA9-E79F-4E69-A53E-806F14F92683}</c15:txfldGUID>
                      <c15:f>'Dance p'!$AI$86</c15:f>
                      <c15:dlblFieldTableCache>
                        <c:ptCount val="1"/>
                        <c:pt idx="0">
                          <c:v>24.0%</c:v>
                        </c:pt>
                      </c15:dlblFieldTableCache>
                    </c15:dlblFTEntry>
                  </c15:dlblFieldTable>
                  <c15:showDataLabelsRange val="0"/>
                </c:ext>
                <c:ext xmlns:c16="http://schemas.microsoft.com/office/drawing/2014/chart" uri="{C3380CC4-5D6E-409C-BE32-E72D297353CC}">
                  <c16:uniqueId val="{00000013-E39F-470B-B5CD-D5A3D761E019}"/>
                </c:ext>
              </c:extLst>
            </c:dLbl>
            <c:dLbl>
              <c:idx val="3"/>
              <c:layout/>
              <c:tx>
                <c:strRef>
                  <c:f>'Dance p'!$AH$86</c:f>
                  <c:strCache>
                    <c:ptCount val="1"/>
                    <c:pt idx="0">
                      <c:v>20.7%</c:v>
                    </c:pt>
                  </c:strCache>
                </c:strRef>
              </c:tx>
              <c:spPr>
                <a:solidFill>
                  <a:srgbClr val="FFFFFF"/>
                </a:solidFill>
                <a:ln w="25400">
                  <a:noFill/>
                </a:ln>
              </c:spPr>
              <c:txPr>
                <a:bodyPr/>
                <a:lstStyle/>
                <a:p>
                  <a:pPr>
                    <a:defRPr sz="900" b="0" i="0" u="none" strike="noStrike" baseline="0">
                      <a:solidFill>
                        <a:srgbClr val="FF0000"/>
                      </a:solidFill>
                      <a:latin typeface="Arial"/>
                      <a:ea typeface="Arial"/>
                      <a:cs typeface="Arial"/>
                    </a:defRPr>
                  </a:pPr>
                  <a:endParaRPr lang="en-US"/>
                </a:p>
              </c:txPr>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{FDB76648-EF7C-4F77-949B-EBCF00DE09A1}</c15:txfldGUID>
                      <c15:f>'Dance p'!$AH$86</c15:f>
                      <c15:dlblFieldTableCache>
                        <c:ptCount val="1"/>
                        <c:pt idx="0">
                          <c:v>20.7%</c:v>
                        </c:pt>
                      </c15:dlblFieldTableCache>
                    </c15:dlblFTEntry>
                  </c15:dlblFieldTable>
                  <c15:showDataLabelsRange val="0"/>
                </c:ext>
                <c:ext xmlns:c16="http://schemas.microsoft.com/office/drawing/2014/chart" uri="{C3380CC4-5D6E-409C-BE32-E72D297353CC}">
                  <c16:uniqueId val="{00000014-E39F-470B-B5CD-D5A3D761E019}"/>
                </c:ext>
              </c:extLst>
            </c:dLbl>
            <c:dLbl>
              <c:idx val="4"/>
              <c:layout/>
              <c:tx>
                <c:strRef>
                  <c:f>'Dance p'!$AG$86</c:f>
                  <c:strCache>
                    <c:ptCount val="1"/>
                    <c:pt idx="0">
                      <c:v>12.5%</c:v>
                    </c:pt>
                  </c:strCache>
                </c:strRef>
              </c:tx>
              <c:spPr>
                <a:solidFill>
                  <a:srgbClr val="FFFFFF"/>
                </a:solidFill>
                <a:ln w="25400">
                  <a:noFill/>
                </a:ln>
              </c:spPr>
              <c:txPr>
                <a:bodyPr/>
                <a:lstStyle/>
                <a:p>
                  <a:pPr>
                    <a:defRPr sz="900" b="0" i="0" u="none" strike="noStrike" baseline="0">
                      <a:solidFill>
                        <a:srgbClr val="FF0000"/>
                      </a:solidFill>
                      <a:latin typeface="Arial"/>
                      <a:ea typeface="Arial"/>
                      <a:cs typeface="Arial"/>
                    </a:defRPr>
                  </a:pPr>
                  <a:endParaRPr lang="en-US"/>
                </a:p>
              </c:txPr>
              <c:dLblPos val="b"/>
              <c:showLegendKey val="0"/>
              <c:showVal val="0"/>
              <c:showCatName val="0"/>
              <c:showSerName val="0"/>
              <c:showPercent val="0"/>
              <c:showBubbleSize val="0"/>
              <c:extLst>
                <c:ext xmlns:c15="http://schemas.microsoft.com/office/drawing/2012/chart" uri="{CE6537A1-D6FC-4f65-9D91-7224C49458BB}">
                  <c15:layout/>
                  <c15:dlblFieldTable>
                    <c15:dlblFTEntry>
                      <c15:txfldGUID>{E0A4721C-2A82-48B0-865A-0CDFE6D4FDA1}</c15:txfldGUID>
                      <c15:f>'Dance p'!$AG$86</c15:f>
                      <c15:dlblFieldTableCache>
                        <c:ptCount val="1"/>
                        <c:pt idx="0">
                          <c:v>12.5%</c:v>
                        </c:pt>
                      </c15:dlblFieldTableCache>
                    </c15:dlblFTEntry>
                  </c15:dlblFieldTable>
                  <c15:showDataLabelsRange val="0"/>
                </c:ext>
                <c:ext xmlns:c16="http://schemas.microsoft.com/office/drawing/2014/chart" uri="{C3380CC4-5D6E-409C-BE32-E72D297353CC}">
                  <c16:uniqueId val="{00000015-E39F-470B-B5CD-D5A3D761E019}"/>
                </c:ext>
              </c:extLst>
            </c:dLbl>
            <c:numFmt formatCode="0.00%" sourceLinked="0"/>
            <c:spPr>
              <a:solidFill>
                <a:srgbClr val="FFFFFF"/>
              </a:solidFill>
              <a:ln w="25400">
                <a:noFill/>
              </a:ln>
            </c:spPr>
            <c:txPr>
              <a:bodyPr/>
              <a:lstStyle/>
              <a:p>
                <a:pPr>
                  <a:defRPr sz="900" b="0" i="0" u="none" strike="noStrike" baseline="0">
                    <a:solidFill>
                      <a:srgbClr val="FF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'Dance p'!$AN$81:$AN$85</c:f>
              <c:numCache>
                <c:formatCode>General</c:formatCode>
                <c:ptCount val="5"/>
                <c:pt idx="0">
                  <c:v>100</c:v>
                </c:pt>
                <c:pt idx="1">
                  <c:v>300</c:v>
                </c:pt>
                <c:pt idx="2">
                  <c:v>500</c:v>
                </c:pt>
                <c:pt idx="3">
                  <c:v>700</c:v>
                </c:pt>
                <c:pt idx="4">
                  <c:v>900</c:v>
                </c:pt>
              </c:numCache>
            </c:numRef>
          </c:xVal>
          <c:yVal>
            <c:numRef>
              <c:f>'Dance p'!$AQ$81:$AQ$85</c:f>
              <c:numCache>
                <c:formatCode>General</c:formatCode>
                <c:ptCount val="5"/>
                <c:pt idx="0">
                  <c:v>87.5</c:v>
                </c:pt>
                <c:pt idx="1">
                  <c:v>87.5</c:v>
                </c:pt>
                <c:pt idx="2">
                  <c:v>87.5</c:v>
                </c:pt>
                <c:pt idx="3">
                  <c:v>87.5</c:v>
                </c:pt>
                <c:pt idx="4">
                  <c:v>87.5</c:v>
                </c:pt>
              </c:numCache>
            </c:numRef>
          </c:yVal>
          <c:smooth val="0"/>
          <c:extLst>
            <c:ext xmlns:c16="http://schemas.microsoft.com/office/drawing/2014/chart" uri="{C3380CC4-5D6E-409C-BE32-E72D297353CC}">
              <c16:uniqueId val="{00000016-E39F-470B-B5CD-D5A3D761E019}"/>
            </c:ext>
          </c:extLst>
        </c:ser>
        <c:ser>
          <c:idx val="9"/>
          <c:order val="8"/>
          <c:spPr>
            <a:ln w="25400">
              <a:solidFill>
                <a:srgbClr val="FF0000"/>
              </a:solidFill>
              <a:prstDash val="solid"/>
            </a:ln>
          </c:spPr>
          <c:marker>
            <c:symbol val="none"/>
          </c:marker>
          <c:xVal>
            <c:numRef>
              <c:f>'Dance p'!$AX$83:$AX$84</c:f>
              <c:numCache>
                <c:formatCode>General</c:formatCode>
                <c:ptCount val="2"/>
                <c:pt idx="0">
                  <c:v>595</c:v>
                </c:pt>
                <c:pt idx="1">
                  <c:v>805</c:v>
                </c:pt>
              </c:numCache>
            </c:numRef>
          </c:xVal>
          <c:yVal>
            <c:numRef>
              <c:f>'Dance p'!$AY$83:$AY$84</c:f>
              <c:numCache>
                <c:formatCode>General</c:formatCode>
                <c:ptCount val="2"/>
                <c:pt idx="0">
                  <c:v>0.80352700472057237</c:v>
                </c:pt>
                <c:pt idx="1">
                  <c:v>0.80352700472057237</c:v>
                </c:pt>
              </c:numCache>
            </c:numRef>
          </c:yVal>
          <c:smooth val="0"/>
          <c:extLst>
            <c:ext xmlns:c16="http://schemas.microsoft.com/office/drawing/2014/chart" uri="{C3380CC4-5D6E-409C-BE32-E72D297353CC}">
              <c16:uniqueId val="{00000017-E39F-470B-B5CD-D5A3D761E019}"/>
            </c:ext>
          </c:extLst>
        </c:ser>
        <c:ser>
          <c:idx val="10"/>
          <c:order val="9"/>
          <c:spPr>
            <a:ln w="25400">
              <a:solidFill>
                <a:srgbClr val="FF0000"/>
              </a:solidFill>
              <a:prstDash val="solid"/>
            </a:ln>
          </c:spPr>
          <c:marker>
            <c:symbol val="none"/>
          </c:marker>
          <c:xVal>
            <c:numRef>
              <c:f>'Dance p'!$AX$85:$AX$86</c:f>
              <c:numCache>
                <c:formatCode>General</c:formatCode>
                <c:ptCount val="2"/>
                <c:pt idx="0">
                  <c:v>395</c:v>
                </c:pt>
                <c:pt idx="1">
                  <c:v>605</c:v>
                </c:pt>
              </c:numCache>
            </c:numRef>
          </c:xVal>
          <c:yVal>
            <c:numRef>
              <c:f>'Dance p'!$AY$85:$AY$86</c:f>
              <c:numCache>
                <c:formatCode>General</c:formatCode>
                <c:ptCount val="2"/>
                <c:pt idx="0">
                  <c:v>0.93371058676012142</c:v>
                </c:pt>
                <c:pt idx="1">
                  <c:v>0.93371058676012142</c:v>
                </c:pt>
              </c:numCache>
            </c:numRef>
          </c:yVal>
          <c:smooth val="0"/>
          <c:extLst>
            <c:ext xmlns:c16="http://schemas.microsoft.com/office/drawing/2014/chart" uri="{C3380CC4-5D6E-409C-BE32-E72D297353CC}">
              <c16:uniqueId val="{00000018-E39F-470B-B5CD-D5A3D761E019}"/>
            </c:ext>
          </c:extLst>
        </c:ser>
        <c:ser>
          <c:idx val="8"/>
          <c:order val="10"/>
          <c:spPr>
            <a:ln w="25400">
              <a:solidFill>
                <a:srgbClr val="FF0000"/>
              </a:solidFill>
              <a:prstDash val="solid"/>
            </a:ln>
          </c:spPr>
          <c:marker>
            <c:symbol val="none"/>
          </c:marker>
          <c:xVal>
            <c:numRef>
              <c:f>'Dance p'!$AX$81:$AX$82</c:f>
              <c:numCache>
                <c:formatCode>General</c:formatCode>
                <c:ptCount val="2"/>
                <c:pt idx="0">
                  <c:v>795</c:v>
                </c:pt>
                <c:pt idx="1">
                  <c:v>1005</c:v>
                </c:pt>
              </c:numCache>
            </c:numRef>
          </c:xVal>
          <c:yVal>
            <c:numRef>
              <c:f>'Dance p'!$AY$81:$AY$82</c:f>
              <c:numCache>
                <c:formatCode>General</c:formatCode>
                <c:ptCount val="2"/>
                <c:pt idx="0">
                  <c:v>0.48621224254749812</c:v>
                </c:pt>
                <c:pt idx="1">
                  <c:v>0.48621224254749812</c:v>
                </c:pt>
              </c:numCache>
            </c:numRef>
          </c:yVal>
          <c:smooth val="0"/>
          <c:extLst>
            <c:ext xmlns:c16="http://schemas.microsoft.com/office/drawing/2014/chart" uri="{C3380CC4-5D6E-409C-BE32-E72D297353CC}">
              <c16:uniqueId val="{00000019-E39F-470B-B5CD-D5A3D761E019}"/>
            </c:ext>
          </c:extLst>
        </c:ser>
        <c:ser>
          <c:idx val="12"/>
          <c:order val="11"/>
          <c:spPr>
            <a:ln w="25400">
              <a:solidFill>
                <a:srgbClr val="FF0000"/>
              </a:solidFill>
              <a:prstDash val="solid"/>
            </a:ln>
          </c:spPr>
          <c:marker>
            <c:symbol val="none"/>
          </c:marker>
          <c:xVal>
            <c:numRef>
              <c:f>'Dance p'!$AX$89:$AX$90</c:f>
              <c:numCache>
                <c:formatCode>General</c:formatCode>
                <c:ptCount val="2"/>
                <c:pt idx="0">
                  <c:v>-5</c:v>
                </c:pt>
                <c:pt idx="1">
                  <c:v>205</c:v>
                </c:pt>
              </c:numCache>
            </c:numRef>
          </c:xVal>
          <c:yVal>
            <c:numRef>
              <c:f>'Dance p'!$AY$89:$AY$90</c:f>
              <c:numCache>
                <c:formatCode>General</c:formatCode>
                <c:ptCount val="2"/>
                <c:pt idx="0">
                  <c:v>1.2068256165688636</c:v>
                </c:pt>
                <c:pt idx="1">
                  <c:v>1.2068256165688636</c:v>
                </c:pt>
              </c:numCache>
            </c:numRef>
          </c:yVal>
          <c:smooth val="0"/>
          <c:extLst>
            <c:ext xmlns:c16="http://schemas.microsoft.com/office/drawing/2014/chart" uri="{C3380CC4-5D6E-409C-BE32-E72D297353CC}">
              <c16:uniqueId val="{0000001A-E39F-470B-B5CD-D5A3D761E019}"/>
            </c:ext>
          </c:extLst>
        </c:ser>
        <c:ser>
          <c:idx val="11"/>
          <c:order val="12"/>
          <c:spPr>
            <a:ln w="25400">
              <a:solidFill>
                <a:srgbClr val="FF0000"/>
              </a:solidFill>
              <a:prstDash val="solid"/>
            </a:ln>
          </c:spPr>
          <c:marker>
            <c:symbol val="none"/>
          </c:marker>
          <c:xVal>
            <c:numRef>
              <c:f>'Dance p'!$AX$87:$AX$88</c:f>
              <c:numCache>
                <c:formatCode>General</c:formatCode>
                <c:ptCount val="2"/>
                <c:pt idx="0">
                  <c:v>195</c:v>
                </c:pt>
                <c:pt idx="1">
                  <c:v>405</c:v>
                </c:pt>
              </c:numCache>
            </c:numRef>
          </c:xVal>
          <c:yVal>
            <c:numRef>
              <c:f>'Dance p'!$AY$87:$AY$88</c:f>
              <c:numCache>
                <c:formatCode>General</c:formatCode>
                <c:ptCount val="2"/>
                <c:pt idx="0">
                  <c:v>0.46055788273627812</c:v>
                </c:pt>
                <c:pt idx="1">
                  <c:v>0.46055788273627812</c:v>
                </c:pt>
              </c:numCache>
            </c:numRef>
          </c:yVal>
          <c:smooth val="0"/>
          <c:extLst>
            <c:ext xmlns:c16="http://schemas.microsoft.com/office/drawing/2014/chart" uri="{C3380CC4-5D6E-409C-BE32-E72D297353CC}">
              <c16:uniqueId val="{0000001B-E39F-470B-B5CD-D5A3D761E019}"/>
            </c:ext>
          </c:extLst>
        </c:ser>
        <c:ser>
          <c:idx val="18"/>
          <c:order val="13"/>
          <c:spPr>
            <a:ln w="28575">
              <a:noFill/>
            </a:ln>
          </c:spPr>
          <c:marker>
            <c:symbol val="none"/>
          </c:marker>
          <c:errBars>
            <c:errDir val="y"/>
            <c:errBarType val="plus"/>
            <c:errValType val="cust"/>
            <c:noEndCap val="1"/>
            <c:plus>
              <c:numRef>
                <c:f>'Dance p'!$O$109</c:f>
                <c:numCache>
                  <c:formatCode>General</c:formatCode>
                  <c:ptCount val="1"/>
                  <c:pt idx="0">
                    <c:v>0.28621224254749811</c:v>
                  </c:pt>
                </c:numCache>
              </c:numRef>
            </c:plus>
            <c:spPr>
              <a:ln w="12700">
                <a:solidFill>
                  <a:srgbClr val="FF0000"/>
                </a:solidFill>
                <a:prstDash val="solid"/>
              </a:ln>
            </c:spPr>
          </c:errBars>
          <c:xVal>
            <c:numRef>
              <c:f>'Dance p'!$O$111:$O$311</c:f>
              <c:numCache>
                <c:formatCode>General</c:formatCode>
                <c:ptCount val="201"/>
                <c:pt idx="0">
                  <c:v>819.5</c:v>
                </c:pt>
                <c:pt idx="1">
                  <c:v>820.30499999999995</c:v>
                </c:pt>
                <c:pt idx="2">
                  <c:v>821.1099999999999</c:v>
                </c:pt>
                <c:pt idx="3">
                  <c:v>821.91499999999985</c:v>
                </c:pt>
                <c:pt idx="4">
                  <c:v>822.7199999999998</c:v>
                </c:pt>
                <c:pt idx="5">
                  <c:v>823.52499999999975</c:v>
                </c:pt>
                <c:pt idx="6">
                  <c:v>824.3299999999997</c:v>
                </c:pt>
                <c:pt idx="7">
                  <c:v>825.13499999999965</c:v>
                </c:pt>
                <c:pt idx="8">
                  <c:v>825.9399999999996</c:v>
                </c:pt>
                <c:pt idx="9">
                  <c:v>826.74499999999955</c:v>
                </c:pt>
                <c:pt idx="10">
                  <c:v>827.5499999999995</c:v>
                </c:pt>
                <c:pt idx="11">
                  <c:v>828.35499999999945</c:v>
                </c:pt>
                <c:pt idx="12">
                  <c:v>829.1599999999994</c:v>
                </c:pt>
                <c:pt idx="13">
                  <c:v>829.96499999999935</c:v>
                </c:pt>
                <c:pt idx="14">
                  <c:v>830.7699999999993</c:v>
                </c:pt>
                <c:pt idx="15">
                  <c:v>831.57499999999925</c:v>
                </c:pt>
                <c:pt idx="16">
                  <c:v>832.3799999999992</c:v>
                </c:pt>
                <c:pt idx="17">
                  <c:v>833.18499999999915</c:v>
                </c:pt>
                <c:pt idx="18">
                  <c:v>833.9899999999991</c:v>
                </c:pt>
                <c:pt idx="19">
                  <c:v>834.79499999999905</c:v>
                </c:pt>
                <c:pt idx="20">
                  <c:v>835.599999999999</c:v>
                </c:pt>
                <c:pt idx="21">
                  <c:v>836.40499999999895</c:v>
                </c:pt>
                <c:pt idx="22">
                  <c:v>837.2099999999989</c:v>
                </c:pt>
                <c:pt idx="23">
                  <c:v>838.01499999999885</c:v>
                </c:pt>
                <c:pt idx="24">
                  <c:v>838.8199999999988</c:v>
                </c:pt>
                <c:pt idx="25">
                  <c:v>839.62499999999875</c:v>
                </c:pt>
                <c:pt idx="26">
                  <c:v>840.4299999999987</c:v>
                </c:pt>
                <c:pt idx="27">
                  <c:v>841.23499999999865</c:v>
                </c:pt>
                <c:pt idx="28">
                  <c:v>842.0399999999986</c:v>
                </c:pt>
                <c:pt idx="29">
                  <c:v>842.84499999999855</c:v>
                </c:pt>
                <c:pt idx="30">
                  <c:v>843.6499999999985</c:v>
                </c:pt>
                <c:pt idx="31">
                  <c:v>844.45499999999845</c:v>
                </c:pt>
                <c:pt idx="32">
                  <c:v>845.2599999999984</c:v>
                </c:pt>
                <c:pt idx="33">
                  <c:v>846.06499999999835</c:v>
                </c:pt>
                <c:pt idx="34">
                  <c:v>846.8699999999983</c:v>
                </c:pt>
                <c:pt idx="35">
                  <c:v>847.67499999999825</c:v>
                </c:pt>
                <c:pt idx="36">
                  <c:v>848.4799999999982</c:v>
                </c:pt>
                <c:pt idx="37">
                  <c:v>849.28499999999815</c:v>
                </c:pt>
                <c:pt idx="38">
                  <c:v>850.0899999999981</c:v>
                </c:pt>
                <c:pt idx="39">
                  <c:v>850.89499999999805</c:v>
                </c:pt>
                <c:pt idx="40">
                  <c:v>851.699999999998</c:v>
                </c:pt>
                <c:pt idx="41">
                  <c:v>852.50499999999795</c:v>
                </c:pt>
                <c:pt idx="42">
                  <c:v>853.3099999999979</c:v>
                </c:pt>
                <c:pt idx="43">
                  <c:v>854.11499999999785</c:v>
                </c:pt>
                <c:pt idx="44">
                  <c:v>854.9199999999978</c:v>
                </c:pt>
                <c:pt idx="45">
                  <c:v>855.72499999999775</c:v>
                </c:pt>
                <c:pt idx="46">
                  <c:v>856.5299999999977</c:v>
                </c:pt>
                <c:pt idx="47">
                  <c:v>857.33499999999765</c:v>
                </c:pt>
                <c:pt idx="48">
                  <c:v>858.1399999999976</c:v>
                </c:pt>
                <c:pt idx="49">
                  <c:v>858.94499999999755</c:v>
                </c:pt>
                <c:pt idx="50">
                  <c:v>859.7499999999975</c:v>
                </c:pt>
                <c:pt idx="51">
                  <c:v>860.55499999999745</c:v>
                </c:pt>
                <c:pt idx="52">
                  <c:v>861.3599999999974</c:v>
                </c:pt>
                <c:pt idx="53">
                  <c:v>862.16499999999735</c:v>
                </c:pt>
                <c:pt idx="54">
                  <c:v>862.9699999999973</c:v>
                </c:pt>
                <c:pt idx="55">
                  <c:v>863.77499999999725</c:v>
                </c:pt>
                <c:pt idx="56">
                  <c:v>864.5799999999972</c:v>
                </c:pt>
                <c:pt idx="57">
                  <c:v>865.38499999999715</c:v>
                </c:pt>
                <c:pt idx="58">
                  <c:v>866.1899999999971</c:v>
                </c:pt>
                <c:pt idx="59">
                  <c:v>866.99499999999705</c:v>
                </c:pt>
                <c:pt idx="60">
                  <c:v>867.799999999997</c:v>
                </c:pt>
                <c:pt idx="61">
                  <c:v>868.60499999999695</c:v>
                </c:pt>
                <c:pt idx="62">
                  <c:v>869.4099999999969</c:v>
                </c:pt>
                <c:pt idx="63">
                  <c:v>870.21499999999685</c:v>
                </c:pt>
                <c:pt idx="64">
                  <c:v>871.0199999999968</c:v>
                </c:pt>
                <c:pt idx="65">
                  <c:v>871.82499999999675</c:v>
                </c:pt>
                <c:pt idx="66">
                  <c:v>872.6299999999967</c:v>
                </c:pt>
                <c:pt idx="67">
                  <c:v>873.43499999999665</c:v>
                </c:pt>
                <c:pt idx="68">
                  <c:v>874.2399999999966</c:v>
                </c:pt>
                <c:pt idx="69">
                  <c:v>875.04499999999655</c:v>
                </c:pt>
                <c:pt idx="70">
                  <c:v>875.8499999999965</c:v>
                </c:pt>
                <c:pt idx="71">
                  <c:v>876.65499999999645</c:v>
                </c:pt>
                <c:pt idx="72">
                  <c:v>877.4599999999964</c:v>
                </c:pt>
                <c:pt idx="73">
                  <c:v>878.26499999999635</c:v>
                </c:pt>
                <c:pt idx="74">
                  <c:v>879.0699999999963</c:v>
                </c:pt>
                <c:pt idx="75">
                  <c:v>879.87499999999625</c:v>
                </c:pt>
                <c:pt idx="76">
                  <c:v>880.6799999999962</c:v>
                </c:pt>
                <c:pt idx="77">
                  <c:v>881.48499999999615</c:v>
                </c:pt>
                <c:pt idx="78">
                  <c:v>882.2899999999961</c:v>
                </c:pt>
                <c:pt idx="79">
                  <c:v>883.09499999999605</c:v>
                </c:pt>
                <c:pt idx="80">
                  <c:v>883.899999999996</c:v>
                </c:pt>
                <c:pt idx="81">
                  <c:v>884.70499999999595</c:v>
                </c:pt>
                <c:pt idx="82">
                  <c:v>885.5099999999959</c:v>
                </c:pt>
                <c:pt idx="83">
                  <c:v>886.31499999999585</c:v>
                </c:pt>
                <c:pt idx="84">
                  <c:v>887.1199999999958</c:v>
                </c:pt>
                <c:pt idx="85">
                  <c:v>887.92499999999575</c:v>
                </c:pt>
                <c:pt idx="86">
                  <c:v>888.7299999999957</c:v>
                </c:pt>
                <c:pt idx="87">
                  <c:v>889.53499999999565</c:v>
                </c:pt>
                <c:pt idx="88">
                  <c:v>890.3399999999956</c:v>
                </c:pt>
                <c:pt idx="89">
                  <c:v>891.14499999999555</c:v>
                </c:pt>
                <c:pt idx="90">
                  <c:v>891.9499999999955</c:v>
                </c:pt>
                <c:pt idx="91">
                  <c:v>892.75499999999545</c:v>
                </c:pt>
                <c:pt idx="92">
                  <c:v>893.5599999999954</c:v>
                </c:pt>
                <c:pt idx="93">
                  <c:v>894.36499999999535</c:v>
                </c:pt>
                <c:pt idx="94">
                  <c:v>895.1699999999953</c:v>
                </c:pt>
                <c:pt idx="95">
                  <c:v>895.97499999999525</c:v>
                </c:pt>
                <c:pt idx="96">
                  <c:v>896.7799999999952</c:v>
                </c:pt>
                <c:pt idx="97">
                  <c:v>897.58499999999515</c:v>
                </c:pt>
                <c:pt idx="98">
                  <c:v>898.3899999999951</c:v>
                </c:pt>
                <c:pt idx="99">
                  <c:v>899.19499999999505</c:v>
                </c:pt>
                <c:pt idx="100">
                  <c:v>899.999999999995</c:v>
                </c:pt>
                <c:pt idx="101">
                  <c:v>900.80499999999495</c:v>
                </c:pt>
                <c:pt idx="102">
                  <c:v>901.6099999999949</c:v>
                </c:pt>
                <c:pt idx="103">
                  <c:v>902.41499999999485</c:v>
                </c:pt>
                <c:pt idx="104">
                  <c:v>903.2199999999948</c:v>
                </c:pt>
                <c:pt idx="105">
                  <c:v>904.02499999999475</c:v>
                </c:pt>
                <c:pt idx="106">
                  <c:v>904.8299999999947</c:v>
                </c:pt>
                <c:pt idx="107">
                  <c:v>905.63499999999465</c:v>
                </c:pt>
                <c:pt idx="108">
                  <c:v>906.4399999999946</c:v>
                </c:pt>
                <c:pt idx="109">
                  <c:v>907.24499999999455</c:v>
                </c:pt>
                <c:pt idx="110">
                  <c:v>908.0499999999945</c:v>
                </c:pt>
                <c:pt idx="111">
                  <c:v>908.85499999999445</c:v>
                </c:pt>
                <c:pt idx="112">
                  <c:v>909.6599999999944</c:v>
                </c:pt>
                <c:pt idx="113">
                  <c:v>910.46499999999435</c:v>
                </c:pt>
                <c:pt idx="114">
                  <c:v>911.2699999999943</c:v>
                </c:pt>
                <c:pt idx="115">
                  <c:v>912.07499999999425</c:v>
                </c:pt>
                <c:pt idx="116">
                  <c:v>912.8799999999942</c:v>
                </c:pt>
                <c:pt idx="117">
                  <c:v>913.68499999999415</c:v>
                </c:pt>
                <c:pt idx="118">
                  <c:v>914.4899999999941</c:v>
                </c:pt>
                <c:pt idx="119">
                  <c:v>915.29499999999405</c:v>
                </c:pt>
                <c:pt idx="120">
                  <c:v>916.099999999994</c:v>
                </c:pt>
                <c:pt idx="121">
                  <c:v>916.90499999999395</c:v>
                </c:pt>
                <c:pt idx="122">
                  <c:v>917.7099999999939</c:v>
                </c:pt>
                <c:pt idx="123">
                  <c:v>918.51499999999385</c:v>
                </c:pt>
                <c:pt idx="124">
                  <c:v>919.3199999999938</c:v>
                </c:pt>
                <c:pt idx="125">
                  <c:v>920.12499999999375</c:v>
                </c:pt>
                <c:pt idx="126">
                  <c:v>920.9299999999937</c:v>
                </c:pt>
                <c:pt idx="127">
                  <c:v>921.73499999999365</c:v>
                </c:pt>
                <c:pt idx="128">
                  <c:v>922.5399999999936</c:v>
                </c:pt>
                <c:pt idx="129">
                  <c:v>923.34499999999355</c:v>
                </c:pt>
                <c:pt idx="130">
                  <c:v>924.1499999999935</c:v>
                </c:pt>
                <c:pt idx="131">
                  <c:v>924.95499999999345</c:v>
                </c:pt>
                <c:pt idx="132">
                  <c:v>925.7599999999934</c:v>
                </c:pt>
                <c:pt idx="133">
                  <c:v>926.56499999999335</c:v>
                </c:pt>
                <c:pt idx="134">
                  <c:v>927.3699999999933</c:v>
                </c:pt>
                <c:pt idx="135">
                  <c:v>928.17499999999325</c:v>
                </c:pt>
                <c:pt idx="136">
                  <c:v>928.9799999999932</c:v>
                </c:pt>
                <c:pt idx="137">
                  <c:v>929.78499999999315</c:v>
                </c:pt>
                <c:pt idx="138">
                  <c:v>930.5899999999931</c:v>
                </c:pt>
                <c:pt idx="139">
                  <c:v>931.39499999999305</c:v>
                </c:pt>
                <c:pt idx="140">
                  <c:v>932.199999999993</c:v>
                </c:pt>
                <c:pt idx="141">
                  <c:v>933.00499999999295</c:v>
                </c:pt>
                <c:pt idx="142">
                  <c:v>933.8099999999929</c:v>
                </c:pt>
                <c:pt idx="143">
                  <c:v>934.61499999999285</c:v>
                </c:pt>
                <c:pt idx="144">
                  <c:v>935.4199999999928</c:v>
                </c:pt>
                <c:pt idx="145">
                  <c:v>936.22499999999275</c:v>
                </c:pt>
                <c:pt idx="146">
                  <c:v>937.0299999999927</c:v>
                </c:pt>
                <c:pt idx="147">
                  <c:v>937.83499999999265</c:v>
                </c:pt>
                <c:pt idx="148">
                  <c:v>938.6399999999926</c:v>
                </c:pt>
                <c:pt idx="149">
                  <c:v>939.44499999999255</c:v>
                </c:pt>
                <c:pt idx="150">
                  <c:v>940.2499999999925</c:v>
                </c:pt>
                <c:pt idx="151">
                  <c:v>941.05499999999245</c:v>
                </c:pt>
                <c:pt idx="152">
                  <c:v>941.8599999999924</c:v>
                </c:pt>
                <c:pt idx="153">
                  <c:v>942.66499999999235</c:v>
                </c:pt>
                <c:pt idx="154">
                  <c:v>943.4699999999923</c:v>
                </c:pt>
                <c:pt idx="155">
                  <c:v>944.27499999999225</c:v>
                </c:pt>
                <c:pt idx="156">
                  <c:v>945.0799999999922</c:v>
                </c:pt>
                <c:pt idx="157">
                  <c:v>945.88499999999215</c:v>
                </c:pt>
                <c:pt idx="158">
                  <c:v>946.6899999999921</c:v>
                </c:pt>
                <c:pt idx="159">
                  <c:v>947.49499999999205</c:v>
                </c:pt>
                <c:pt idx="160">
                  <c:v>948.299999999992</c:v>
                </c:pt>
                <c:pt idx="161">
                  <c:v>949.10499999999195</c:v>
                </c:pt>
                <c:pt idx="162">
                  <c:v>949.9099999999919</c:v>
                </c:pt>
                <c:pt idx="163">
                  <c:v>950.71499999999185</c:v>
                </c:pt>
                <c:pt idx="164">
                  <c:v>951.5199999999918</c:v>
                </c:pt>
                <c:pt idx="165">
                  <c:v>952.32499999999175</c:v>
                </c:pt>
                <c:pt idx="166">
                  <c:v>953.1299999999917</c:v>
                </c:pt>
                <c:pt idx="167">
                  <c:v>953.93499999999165</c:v>
                </c:pt>
                <c:pt idx="168">
                  <c:v>954.7399999999916</c:v>
                </c:pt>
                <c:pt idx="169">
                  <c:v>955.54499999999155</c:v>
                </c:pt>
                <c:pt idx="170">
                  <c:v>956.3499999999915</c:v>
                </c:pt>
                <c:pt idx="171">
                  <c:v>957.15499999999145</c:v>
                </c:pt>
                <c:pt idx="172">
                  <c:v>957.9599999999914</c:v>
                </c:pt>
                <c:pt idx="173">
                  <c:v>958.76499999999135</c:v>
                </c:pt>
                <c:pt idx="174">
                  <c:v>959.5699999999913</c:v>
                </c:pt>
                <c:pt idx="175">
                  <c:v>960.37499999999125</c:v>
                </c:pt>
                <c:pt idx="176">
                  <c:v>961.1799999999912</c:v>
                </c:pt>
                <c:pt idx="177">
                  <c:v>961.98499999999115</c:v>
                </c:pt>
                <c:pt idx="178">
                  <c:v>962.7899999999911</c:v>
                </c:pt>
                <c:pt idx="179">
                  <c:v>963.59499999999105</c:v>
                </c:pt>
                <c:pt idx="180">
                  <c:v>964.399999999991</c:v>
                </c:pt>
                <c:pt idx="181">
                  <c:v>965.20499999999095</c:v>
                </c:pt>
                <c:pt idx="182">
                  <c:v>966.0099999999909</c:v>
                </c:pt>
                <c:pt idx="183">
                  <c:v>966.81499999999085</c:v>
                </c:pt>
                <c:pt idx="184">
                  <c:v>967.6199999999908</c:v>
                </c:pt>
                <c:pt idx="185">
                  <c:v>968.42499999999075</c:v>
                </c:pt>
                <c:pt idx="186">
                  <c:v>969.2299999999907</c:v>
                </c:pt>
                <c:pt idx="187">
                  <c:v>970.03499999999065</c:v>
                </c:pt>
                <c:pt idx="188">
                  <c:v>970.8399999999906</c:v>
                </c:pt>
                <c:pt idx="189">
                  <c:v>971.64499999999055</c:v>
                </c:pt>
                <c:pt idx="190">
                  <c:v>972.4499999999905</c:v>
                </c:pt>
                <c:pt idx="191">
                  <c:v>973.25499999999045</c:v>
                </c:pt>
                <c:pt idx="192">
                  <c:v>974.0599999999904</c:v>
                </c:pt>
                <c:pt idx="193">
                  <c:v>974.86499999999035</c:v>
                </c:pt>
                <c:pt idx="194">
                  <c:v>975.6699999999903</c:v>
                </c:pt>
                <c:pt idx="195">
                  <c:v>976.47499999999025</c:v>
                </c:pt>
                <c:pt idx="196">
                  <c:v>977.2799999999902</c:v>
                </c:pt>
                <c:pt idx="197">
                  <c:v>978.08499999999015</c:v>
                </c:pt>
                <c:pt idx="198">
                  <c:v>978.8899999999901</c:v>
                </c:pt>
                <c:pt idx="199">
                  <c:v>979.69499999999005</c:v>
                </c:pt>
                <c:pt idx="200">
                  <c:v>980.49999999999</c:v>
                </c:pt>
              </c:numCache>
            </c:numRef>
          </c:xVal>
          <c:yVal>
            <c:numRef>
              <c:f>'Dance p'!$AB$116:$AB$316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1C-E39F-470B-B5CD-D5A3D761E019}"/>
            </c:ext>
          </c:extLst>
        </c:ser>
        <c:ser>
          <c:idx val="19"/>
          <c:order val="14"/>
          <c:spPr>
            <a:ln w="28575">
              <a:noFill/>
            </a:ln>
          </c:spPr>
          <c:marker>
            <c:symbol val="none"/>
          </c:marker>
          <c:errBars>
            <c:errDir val="y"/>
            <c:errBarType val="plus"/>
            <c:errValType val="cust"/>
            <c:noEndCap val="1"/>
            <c:plus>
              <c:numRef>
                <c:f>'Dance p'!$P$109</c:f>
                <c:numCache>
                  <c:formatCode>General</c:formatCode>
                  <c:ptCount val="1"/>
                  <c:pt idx="0">
                    <c:v>0.6035270047205723</c:v>
                  </c:pt>
                </c:numCache>
              </c:numRef>
            </c:plus>
            <c:spPr>
              <a:ln w="12700">
                <a:solidFill>
                  <a:srgbClr val="FF8080"/>
                </a:solidFill>
                <a:prstDash val="solid"/>
              </a:ln>
            </c:spPr>
          </c:errBars>
          <c:xVal>
            <c:numRef>
              <c:f>'Dance p'!$P$111:$P$311</c:f>
              <c:numCache>
                <c:formatCode>General</c:formatCode>
                <c:ptCount val="201"/>
                <c:pt idx="0">
                  <c:v>619.5</c:v>
                </c:pt>
                <c:pt idx="1">
                  <c:v>620.30499999999995</c:v>
                </c:pt>
                <c:pt idx="2">
                  <c:v>621.1099999999999</c:v>
                </c:pt>
                <c:pt idx="3">
                  <c:v>621.91499999999985</c:v>
                </c:pt>
                <c:pt idx="4">
                  <c:v>622.7199999999998</c:v>
                </c:pt>
                <c:pt idx="5">
                  <c:v>623.52499999999975</c:v>
                </c:pt>
                <c:pt idx="6">
                  <c:v>624.3299999999997</c:v>
                </c:pt>
                <c:pt idx="7">
                  <c:v>625.13499999999965</c:v>
                </c:pt>
                <c:pt idx="8">
                  <c:v>625.9399999999996</c:v>
                </c:pt>
                <c:pt idx="9">
                  <c:v>626.74499999999955</c:v>
                </c:pt>
                <c:pt idx="10">
                  <c:v>627.5499999999995</c:v>
                </c:pt>
                <c:pt idx="11">
                  <c:v>628.35499999999945</c:v>
                </c:pt>
                <c:pt idx="12">
                  <c:v>629.1599999999994</c:v>
                </c:pt>
                <c:pt idx="13">
                  <c:v>629.96499999999935</c:v>
                </c:pt>
                <c:pt idx="14">
                  <c:v>630.7699999999993</c:v>
                </c:pt>
                <c:pt idx="15">
                  <c:v>631.57499999999925</c:v>
                </c:pt>
                <c:pt idx="16">
                  <c:v>632.3799999999992</c:v>
                </c:pt>
                <c:pt idx="17">
                  <c:v>633.18499999999915</c:v>
                </c:pt>
                <c:pt idx="18">
                  <c:v>633.9899999999991</c:v>
                </c:pt>
                <c:pt idx="19">
                  <c:v>634.79499999999905</c:v>
                </c:pt>
                <c:pt idx="20">
                  <c:v>635.599999999999</c:v>
                </c:pt>
                <c:pt idx="21">
                  <c:v>636.40499999999895</c:v>
                </c:pt>
                <c:pt idx="22">
                  <c:v>637.2099999999989</c:v>
                </c:pt>
                <c:pt idx="23">
                  <c:v>638.01499999999885</c:v>
                </c:pt>
                <c:pt idx="24">
                  <c:v>638.8199999999988</c:v>
                </c:pt>
                <c:pt idx="25">
                  <c:v>639.62499999999875</c:v>
                </c:pt>
                <c:pt idx="26">
                  <c:v>640.4299999999987</c:v>
                </c:pt>
                <c:pt idx="27">
                  <c:v>641.23499999999865</c:v>
                </c:pt>
                <c:pt idx="28">
                  <c:v>642.0399999999986</c:v>
                </c:pt>
                <c:pt idx="29">
                  <c:v>642.84499999999855</c:v>
                </c:pt>
                <c:pt idx="30">
                  <c:v>643.6499999999985</c:v>
                </c:pt>
                <c:pt idx="31">
                  <c:v>644.45499999999845</c:v>
                </c:pt>
                <c:pt idx="32">
                  <c:v>645.2599999999984</c:v>
                </c:pt>
                <c:pt idx="33">
                  <c:v>646.06499999999835</c:v>
                </c:pt>
                <c:pt idx="34">
                  <c:v>646.8699999999983</c:v>
                </c:pt>
                <c:pt idx="35">
                  <c:v>647.67499999999825</c:v>
                </c:pt>
                <c:pt idx="36">
                  <c:v>648.4799999999982</c:v>
                </c:pt>
                <c:pt idx="37">
                  <c:v>649.28499999999815</c:v>
                </c:pt>
                <c:pt idx="38">
                  <c:v>650.0899999999981</c:v>
                </c:pt>
                <c:pt idx="39">
                  <c:v>650.89499999999805</c:v>
                </c:pt>
                <c:pt idx="40">
                  <c:v>651.699999999998</c:v>
                </c:pt>
                <c:pt idx="41">
                  <c:v>652.50499999999795</c:v>
                </c:pt>
                <c:pt idx="42">
                  <c:v>653.3099999999979</c:v>
                </c:pt>
                <c:pt idx="43">
                  <c:v>654.11499999999785</c:v>
                </c:pt>
                <c:pt idx="44">
                  <c:v>654.9199999999978</c:v>
                </c:pt>
                <c:pt idx="45">
                  <c:v>655.72499999999775</c:v>
                </c:pt>
                <c:pt idx="46">
                  <c:v>656.5299999999977</c:v>
                </c:pt>
                <c:pt idx="47">
                  <c:v>657.33499999999765</c:v>
                </c:pt>
                <c:pt idx="48">
                  <c:v>658.1399999999976</c:v>
                </c:pt>
                <c:pt idx="49">
                  <c:v>658.94499999999755</c:v>
                </c:pt>
                <c:pt idx="50">
                  <c:v>659.7499999999975</c:v>
                </c:pt>
                <c:pt idx="51">
                  <c:v>660.55499999999745</c:v>
                </c:pt>
                <c:pt idx="52">
                  <c:v>661.3599999999974</c:v>
                </c:pt>
                <c:pt idx="53">
                  <c:v>662.16499999999735</c:v>
                </c:pt>
                <c:pt idx="54">
                  <c:v>662.9699999999973</c:v>
                </c:pt>
                <c:pt idx="55">
                  <c:v>663.77499999999725</c:v>
                </c:pt>
                <c:pt idx="56">
                  <c:v>664.5799999999972</c:v>
                </c:pt>
                <c:pt idx="57">
                  <c:v>665.38499999999715</c:v>
                </c:pt>
                <c:pt idx="58">
                  <c:v>666.1899999999971</c:v>
                </c:pt>
                <c:pt idx="59">
                  <c:v>666.99499999999705</c:v>
                </c:pt>
                <c:pt idx="60">
                  <c:v>667.799999999997</c:v>
                </c:pt>
                <c:pt idx="61">
                  <c:v>668.60499999999695</c:v>
                </c:pt>
                <c:pt idx="62">
                  <c:v>669.4099999999969</c:v>
                </c:pt>
                <c:pt idx="63">
                  <c:v>670.21499999999685</c:v>
                </c:pt>
                <c:pt idx="64">
                  <c:v>671.0199999999968</c:v>
                </c:pt>
                <c:pt idx="65">
                  <c:v>671.82499999999675</c:v>
                </c:pt>
                <c:pt idx="66">
                  <c:v>672.6299999999967</c:v>
                </c:pt>
                <c:pt idx="67">
                  <c:v>673.43499999999665</c:v>
                </c:pt>
                <c:pt idx="68">
                  <c:v>674.2399999999966</c:v>
                </c:pt>
                <c:pt idx="69">
                  <c:v>675.04499999999655</c:v>
                </c:pt>
                <c:pt idx="70">
                  <c:v>675.8499999999965</c:v>
                </c:pt>
                <c:pt idx="71">
                  <c:v>676.65499999999645</c:v>
                </c:pt>
                <c:pt idx="72">
                  <c:v>677.4599999999964</c:v>
                </c:pt>
                <c:pt idx="73">
                  <c:v>678.26499999999635</c:v>
                </c:pt>
                <c:pt idx="74">
                  <c:v>679.0699999999963</c:v>
                </c:pt>
                <c:pt idx="75">
                  <c:v>679.87499999999625</c:v>
                </c:pt>
                <c:pt idx="76">
                  <c:v>680.6799999999962</c:v>
                </c:pt>
                <c:pt idx="77">
                  <c:v>681.48499999999615</c:v>
                </c:pt>
                <c:pt idx="78">
                  <c:v>682.2899999999961</c:v>
                </c:pt>
                <c:pt idx="79">
                  <c:v>683.09499999999605</c:v>
                </c:pt>
                <c:pt idx="80">
                  <c:v>683.899999999996</c:v>
                </c:pt>
                <c:pt idx="81">
                  <c:v>684.70499999999595</c:v>
                </c:pt>
                <c:pt idx="82">
                  <c:v>685.5099999999959</c:v>
                </c:pt>
                <c:pt idx="83">
                  <c:v>686.31499999999585</c:v>
                </c:pt>
                <c:pt idx="84">
                  <c:v>687.1199999999958</c:v>
                </c:pt>
                <c:pt idx="85">
                  <c:v>687.92499999999575</c:v>
                </c:pt>
                <c:pt idx="86">
                  <c:v>688.7299999999957</c:v>
                </c:pt>
                <c:pt idx="87">
                  <c:v>689.53499999999565</c:v>
                </c:pt>
                <c:pt idx="88">
                  <c:v>690.3399999999956</c:v>
                </c:pt>
                <c:pt idx="89">
                  <c:v>691.14499999999555</c:v>
                </c:pt>
                <c:pt idx="90">
                  <c:v>691.9499999999955</c:v>
                </c:pt>
                <c:pt idx="91">
                  <c:v>692.75499999999545</c:v>
                </c:pt>
                <c:pt idx="92">
                  <c:v>693.5599999999954</c:v>
                </c:pt>
                <c:pt idx="93">
                  <c:v>694.36499999999535</c:v>
                </c:pt>
                <c:pt idx="94">
                  <c:v>695.1699999999953</c:v>
                </c:pt>
                <c:pt idx="95">
                  <c:v>695.97499999999525</c:v>
                </c:pt>
                <c:pt idx="96">
                  <c:v>696.7799999999952</c:v>
                </c:pt>
                <c:pt idx="97">
                  <c:v>697.58499999999515</c:v>
                </c:pt>
                <c:pt idx="98">
                  <c:v>698.3899999999951</c:v>
                </c:pt>
                <c:pt idx="99">
                  <c:v>699.19499999999505</c:v>
                </c:pt>
                <c:pt idx="100">
                  <c:v>699.999999999995</c:v>
                </c:pt>
                <c:pt idx="101">
                  <c:v>700.80499999999495</c:v>
                </c:pt>
                <c:pt idx="102">
                  <c:v>701.6099999999949</c:v>
                </c:pt>
                <c:pt idx="103">
                  <c:v>702.41499999999485</c:v>
                </c:pt>
                <c:pt idx="104">
                  <c:v>703.2199999999948</c:v>
                </c:pt>
                <c:pt idx="105">
                  <c:v>704.02499999999475</c:v>
                </c:pt>
                <c:pt idx="106">
                  <c:v>704.8299999999947</c:v>
                </c:pt>
                <c:pt idx="107">
                  <c:v>705.63499999999465</c:v>
                </c:pt>
                <c:pt idx="108">
                  <c:v>706.4399999999946</c:v>
                </c:pt>
                <c:pt idx="109">
                  <c:v>707.24499999999455</c:v>
                </c:pt>
                <c:pt idx="110">
                  <c:v>708.0499999999945</c:v>
                </c:pt>
                <c:pt idx="111">
                  <c:v>708.85499999999445</c:v>
                </c:pt>
                <c:pt idx="112">
                  <c:v>709.6599999999944</c:v>
                </c:pt>
                <c:pt idx="113">
                  <c:v>710.46499999999435</c:v>
                </c:pt>
                <c:pt idx="114">
                  <c:v>711.2699999999943</c:v>
                </c:pt>
                <c:pt idx="115">
                  <c:v>712.07499999999425</c:v>
                </c:pt>
                <c:pt idx="116">
                  <c:v>712.8799999999942</c:v>
                </c:pt>
                <c:pt idx="117">
                  <c:v>713.68499999999415</c:v>
                </c:pt>
                <c:pt idx="118">
                  <c:v>714.4899999999941</c:v>
                </c:pt>
                <c:pt idx="119">
                  <c:v>715.29499999999405</c:v>
                </c:pt>
                <c:pt idx="120">
                  <c:v>716.099999999994</c:v>
                </c:pt>
                <c:pt idx="121">
                  <c:v>716.90499999999395</c:v>
                </c:pt>
                <c:pt idx="122">
                  <c:v>717.7099999999939</c:v>
                </c:pt>
                <c:pt idx="123">
                  <c:v>718.51499999999385</c:v>
                </c:pt>
                <c:pt idx="124">
                  <c:v>719.3199999999938</c:v>
                </c:pt>
                <c:pt idx="125">
                  <c:v>720.12499999999375</c:v>
                </c:pt>
                <c:pt idx="126">
                  <c:v>720.9299999999937</c:v>
                </c:pt>
                <c:pt idx="127">
                  <c:v>721.73499999999365</c:v>
                </c:pt>
                <c:pt idx="128">
                  <c:v>722.5399999999936</c:v>
                </c:pt>
                <c:pt idx="129">
                  <c:v>723.34499999999355</c:v>
                </c:pt>
                <c:pt idx="130">
                  <c:v>724.1499999999935</c:v>
                </c:pt>
                <c:pt idx="131">
                  <c:v>724.95499999999345</c:v>
                </c:pt>
                <c:pt idx="132">
                  <c:v>725.7599999999934</c:v>
                </c:pt>
                <c:pt idx="133">
                  <c:v>726.56499999999335</c:v>
                </c:pt>
                <c:pt idx="134">
                  <c:v>727.3699999999933</c:v>
                </c:pt>
                <c:pt idx="135">
                  <c:v>728.17499999999325</c:v>
                </c:pt>
                <c:pt idx="136">
                  <c:v>728.9799999999932</c:v>
                </c:pt>
                <c:pt idx="137">
                  <c:v>729.78499999999315</c:v>
                </c:pt>
                <c:pt idx="138">
                  <c:v>730.5899999999931</c:v>
                </c:pt>
                <c:pt idx="139">
                  <c:v>731.39499999999305</c:v>
                </c:pt>
                <c:pt idx="140">
                  <c:v>732.199999999993</c:v>
                </c:pt>
                <c:pt idx="141">
                  <c:v>733.00499999999295</c:v>
                </c:pt>
                <c:pt idx="142">
                  <c:v>733.8099999999929</c:v>
                </c:pt>
                <c:pt idx="143">
                  <c:v>734.61499999999285</c:v>
                </c:pt>
                <c:pt idx="144">
                  <c:v>735.4199999999928</c:v>
                </c:pt>
                <c:pt idx="145">
                  <c:v>736.22499999999275</c:v>
                </c:pt>
                <c:pt idx="146">
                  <c:v>737.0299999999927</c:v>
                </c:pt>
                <c:pt idx="147">
                  <c:v>737.83499999999265</c:v>
                </c:pt>
                <c:pt idx="148">
                  <c:v>738.6399999999926</c:v>
                </c:pt>
                <c:pt idx="149">
                  <c:v>739.44499999999255</c:v>
                </c:pt>
                <c:pt idx="150">
                  <c:v>740.2499999999925</c:v>
                </c:pt>
                <c:pt idx="151">
                  <c:v>741.05499999999245</c:v>
                </c:pt>
                <c:pt idx="152">
                  <c:v>741.8599999999924</c:v>
                </c:pt>
                <c:pt idx="153">
                  <c:v>742.66499999999235</c:v>
                </c:pt>
                <c:pt idx="154">
                  <c:v>743.4699999999923</c:v>
                </c:pt>
                <c:pt idx="155">
                  <c:v>744.27499999999225</c:v>
                </c:pt>
                <c:pt idx="156">
                  <c:v>745.0799999999922</c:v>
                </c:pt>
                <c:pt idx="157">
                  <c:v>745.88499999999215</c:v>
                </c:pt>
                <c:pt idx="158">
                  <c:v>746.6899999999921</c:v>
                </c:pt>
                <c:pt idx="159">
                  <c:v>747.49499999999205</c:v>
                </c:pt>
                <c:pt idx="160">
                  <c:v>748.299999999992</c:v>
                </c:pt>
                <c:pt idx="161">
                  <c:v>749.10499999999195</c:v>
                </c:pt>
                <c:pt idx="162">
                  <c:v>749.9099999999919</c:v>
                </c:pt>
                <c:pt idx="163">
                  <c:v>750.71499999999185</c:v>
                </c:pt>
                <c:pt idx="164">
                  <c:v>751.5199999999918</c:v>
                </c:pt>
                <c:pt idx="165">
                  <c:v>752.32499999999175</c:v>
                </c:pt>
                <c:pt idx="166">
                  <c:v>753.1299999999917</c:v>
                </c:pt>
                <c:pt idx="167">
                  <c:v>753.93499999999165</c:v>
                </c:pt>
                <c:pt idx="168">
                  <c:v>754.7399999999916</c:v>
                </c:pt>
                <c:pt idx="169">
                  <c:v>755.54499999999155</c:v>
                </c:pt>
                <c:pt idx="170">
                  <c:v>756.3499999999915</c:v>
                </c:pt>
                <c:pt idx="171">
                  <c:v>757.15499999999145</c:v>
                </c:pt>
                <c:pt idx="172">
                  <c:v>757.9599999999914</c:v>
                </c:pt>
                <c:pt idx="173">
                  <c:v>758.76499999999135</c:v>
                </c:pt>
                <c:pt idx="174">
                  <c:v>759.5699999999913</c:v>
                </c:pt>
                <c:pt idx="175">
                  <c:v>760.37499999999125</c:v>
                </c:pt>
                <c:pt idx="176">
                  <c:v>761.1799999999912</c:v>
                </c:pt>
                <c:pt idx="177">
                  <c:v>761.98499999999115</c:v>
                </c:pt>
                <c:pt idx="178">
                  <c:v>762.7899999999911</c:v>
                </c:pt>
                <c:pt idx="179">
                  <c:v>763.59499999999105</c:v>
                </c:pt>
                <c:pt idx="180">
                  <c:v>764.399999999991</c:v>
                </c:pt>
                <c:pt idx="181">
                  <c:v>765.20499999999095</c:v>
                </c:pt>
                <c:pt idx="182">
                  <c:v>766.0099999999909</c:v>
                </c:pt>
                <c:pt idx="183">
                  <c:v>766.81499999999085</c:v>
                </c:pt>
                <c:pt idx="184">
                  <c:v>767.6199999999908</c:v>
                </c:pt>
                <c:pt idx="185">
                  <c:v>768.42499999999075</c:v>
                </c:pt>
                <c:pt idx="186">
                  <c:v>769.2299999999907</c:v>
                </c:pt>
                <c:pt idx="187">
                  <c:v>770.03499999999065</c:v>
                </c:pt>
                <c:pt idx="188">
                  <c:v>770.8399999999906</c:v>
                </c:pt>
                <c:pt idx="189">
                  <c:v>771.64499999999055</c:v>
                </c:pt>
                <c:pt idx="190">
                  <c:v>772.4499999999905</c:v>
                </c:pt>
                <c:pt idx="191">
                  <c:v>773.25499999999045</c:v>
                </c:pt>
                <c:pt idx="192">
                  <c:v>774.0599999999904</c:v>
                </c:pt>
                <c:pt idx="193">
                  <c:v>774.86499999999035</c:v>
                </c:pt>
                <c:pt idx="194">
                  <c:v>775.6699999999903</c:v>
                </c:pt>
                <c:pt idx="195">
                  <c:v>776.47499999999025</c:v>
                </c:pt>
                <c:pt idx="196">
                  <c:v>777.2799999999902</c:v>
                </c:pt>
                <c:pt idx="197">
                  <c:v>778.08499999999015</c:v>
                </c:pt>
                <c:pt idx="198">
                  <c:v>778.8899999999901</c:v>
                </c:pt>
                <c:pt idx="199">
                  <c:v>779.69499999999005</c:v>
                </c:pt>
                <c:pt idx="200">
                  <c:v>780.49999999999</c:v>
                </c:pt>
              </c:numCache>
            </c:numRef>
          </c:xVal>
          <c:yVal>
            <c:numRef>
              <c:f>'Dance p'!$AB$116:$AB$316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1D-E39F-470B-B5CD-D5A3D761E019}"/>
            </c:ext>
          </c:extLst>
        </c:ser>
        <c:ser>
          <c:idx val="20"/>
          <c:order val="15"/>
          <c:spPr>
            <a:ln w="28575">
              <a:noFill/>
            </a:ln>
          </c:spPr>
          <c:marker>
            <c:symbol val="none"/>
          </c:marker>
          <c:errBars>
            <c:errDir val="y"/>
            <c:errBarType val="plus"/>
            <c:errValType val="cust"/>
            <c:noEndCap val="1"/>
            <c:plus>
              <c:numRef>
                <c:f>'Dance p'!$R$109</c:f>
                <c:numCache>
                  <c:formatCode>General</c:formatCode>
                  <c:ptCount val="1"/>
                  <c:pt idx="0">
                    <c:v>0.73371058676012146</c:v>
                  </c:pt>
                </c:numCache>
              </c:numRef>
            </c:plus>
            <c:spPr>
              <a:ln w="12700">
                <a:solidFill>
                  <a:srgbClr val="FFCC99"/>
                </a:solidFill>
                <a:prstDash val="solid"/>
              </a:ln>
            </c:spPr>
          </c:errBars>
          <c:xVal>
            <c:numRef>
              <c:f>'Dance p'!$R$111:$R$311</c:f>
              <c:numCache>
                <c:formatCode>General</c:formatCode>
                <c:ptCount val="201"/>
                <c:pt idx="0">
                  <c:v>419.5</c:v>
                </c:pt>
                <c:pt idx="1">
                  <c:v>420.30500000000001</c:v>
                </c:pt>
                <c:pt idx="2">
                  <c:v>421.11</c:v>
                </c:pt>
                <c:pt idx="3">
                  <c:v>421.91500000000002</c:v>
                </c:pt>
                <c:pt idx="4">
                  <c:v>422.72</c:v>
                </c:pt>
                <c:pt idx="5">
                  <c:v>423.52500000000003</c:v>
                </c:pt>
                <c:pt idx="6">
                  <c:v>424.33000000000004</c:v>
                </c:pt>
                <c:pt idx="7">
                  <c:v>425.13500000000005</c:v>
                </c:pt>
                <c:pt idx="8">
                  <c:v>425.94000000000005</c:v>
                </c:pt>
                <c:pt idx="9">
                  <c:v>426.74500000000006</c:v>
                </c:pt>
                <c:pt idx="10">
                  <c:v>427.55000000000007</c:v>
                </c:pt>
                <c:pt idx="11">
                  <c:v>428.35500000000008</c:v>
                </c:pt>
                <c:pt idx="12">
                  <c:v>429.16000000000008</c:v>
                </c:pt>
                <c:pt idx="13">
                  <c:v>429.96500000000009</c:v>
                </c:pt>
                <c:pt idx="14">
                  <c:v>430.7700000000001</c:v>
                </c:pt>
                <c:pt idx="15">
                  <c:v>431.5750000000001</c:v>
                </c:pt>
                <c:pt idx="16">
                  <c:v>432.38000000000011</c:v>
                </c:pt>
                <c:pt idx="17">
                  <c:v>433.18500000000012</c:v>
                </c:pt>
                <c:pt idx="18">
                  <c:v>433.99000000000012</c:v>
                </c:pt>
                <c:pt idx="19">
                  <c:v>434.79500000000013</c:v>
                </c:pt>
                <c:pt idx="20">
                  <c:v>435.60000000000014</c:v>
                </c:pt>
                <c:pt idx="21">
                  <c:v>436.40500000000014</c:v>
                </c:pt>
                <c:pt idx="22">
                  <c:v>437.21000000000015</c:v>
                </c:pt>
                <c:pt idx="23">
                  <c:v>438.01500000000016</c:v>
                </c:pt>
                <c:pt idx="24">
                  <c:v>438.82000000000016</c:v>
                </c:pt>
                <c:pt idx="25">
                  <c:v>439.62500000000017</c:v>
                </c:pt>
                <c:pt idx="26">
                  <c:v>440.43000000000018</c:v>
                </c:pt>
                <c:pt idx="27">
                  <c:v>441.23500000000018</c:v>
                </c:pt>
                <c:pt idx="28">
                  <c:v>442.04000000000019</c:v>
                </c:pt>
                <c:pt idx="29">
                  <c:v>442.8450000000002</c:v>
                </c:pt>
                <c:pt idx="30">
                  <c:v>443.6500000000002</c:v>
                </c:pt>
                <c:pt idx="31">
                  <c:v>444.45500000000021</c:v>
                </c:pt>
                <c:pt idx="32">
                  <c:v>445.26000000000022</c:v>
                </c:pt>
                <c:pt idx="33">
                  <c:v>446.06500000000023</c:v>
                </c:pt>
                <c:pt idx="34">
                  <c:v>446.87000000000023</c:v>
                </c:pt>
                <c:pt idx="35">
                  <c:v>447.67500000000024</c:v>
                </c:pt>
                <c:pt idx="36">
                  <c:v>448.48000000000025</c:v>
                </c:pt>
                <c:pt idx="37">
                  <c:v>449.28500000000025</c:v>
                </c:pt>
                <c:pt idx="38">
                  <c:v>450.09000000000026</c:v>
                </c:pt>
                <c:pt idx="39">
                  <c:v>450.89500000000027</c:v>
                </c:pt>
                <c:pt idx="40">
                  <c:v>451.70000000000027</c:v>
                </c:pt>
                <c:pt idx="41">
                  <c:v>452.50500000000028</c:v>
                </c:pt>
                <c:pt idx="42">
                  <c:v>453.31000000000029</c:v>
                </c:pt>
                <c:pt idx="43">
                  <c:v>454.11500000000029</c:v>
                </c:pt>
                <c:pt idx="44">
                  <c:v>454.9200000000003</c:v>
                </c:pt>
                <c:pt idx="45">
                  <c:v>455.72500000000031</c:v>
                </c:pt>
                <c:pt idx="46">
                  <c:v>456.53000000000031</c:v>
                </c:pt>
                <c:pt idx="47">
                  <c:v>457.33500000000032</c:v>
                </c:pt>
                <c:pt idx="48">
                  <c:v>458.14000000000033</c:v>
                </c:pt>
                <c:pt idx="49">
                  <c:v>458.94500000000033</c:v>
                </c:pt>
                <c:pt idx="50">
                  <c:v>459.75000000000034</c:v>
                </c:pt>
                <c:pt idx="51">
                  <c:v>460.55500000000035</c:v>
                </c:pt>
                <c:pt idx="52">
                  <c:v>461.36000000000035</c:v>
                </c:pt>
                <c:pt idx="53">
                  <c:v>462.16500000000036</c:v>
                </c:pt>
                <c:pt idx="54">
                  <c:v>462.97000000000037</c:v>
                </c:pt>
                <c:pt idx="55">
                  <c:v>463.77500000000038</c:v>
                </c:pt>
                <c:pt idx="56">
                  <c:v>464.58000000000038</c:v>
                </c:pt>
                <c:pt idx="57">
                  <c:v>465.38500000000039</c:v>
                </c:pt>
                <c:pt idx="58">
                  <c:v>466.1900000000004</c:v>
                </c:pt>
                <c:pt idx="59">
                  <c:v>466.9950000000004</c:v>
                </c:pt>
                <c:pt idx="60">
                  <c:v>467.80000000000041</c:v>
                </c:pt>
                <c:pt idx="61">
                  <c:v>468.60500000000042</c:v>
                </c:pt>
                <c:pt idx="62">
                  <c:v>469.41000000000042</c:v>
                </c:pt>
                <c:pt idx="63">
                  <c:v>470.21500000000043</c:v>
                </c:pt>
                <c:pt idx="64">
                  <c:v>471.02000000000044</c:v>
                </c:pt>
                <c:pt idx="65">
                  <c:v>471.82500000000044</c:v>
                </c:pt>
                <c:pt idx="66">
                  <c:v>472.63000000000045</c:v>
                </c:pt>
                <c:pt idx="67">
                  <c:v>473.43500000000046</c:v>
                </c:pt>
                <c:pt idx="68">
                  <c:v>474.24000000000046</c:v>
                </c:pt>
                <c:pt idx="69">
                  <c:v>475.04500000000047</c:v>
                </c:pt>
                <c:pt idx="70">
                  <c:v>475.85000000000048</c:v>
                </c:pt>
                <c:pt idx="71">
                  <c:v>476.65500000000048</c:v>
                </c:pt>
                <c:pt idx="72">
                  <c:v>477.46000000000049</c:v>
                </c:pt>
                <c:pt idx="73">
                  <c:v>478.2650000000005</c:v>
                </c:pt>
                <c:pt idx="74">
                  <c:v>479.0700000000005</c:v>
                </c:pt>
                <c:pt idx="75">
                  <c:v>479.87500000000051</c:v>
                </c:pt>
                <c:pt idx="76">
                  <c:v>480.68000000000052</c:v>
                </c:pt>
                <c:pt idx="77">
                  <c:v>481.48500000000053</c:v>
                </c:pt>
                <c:pt idx="78">
                  <c:v>482.29000000000053</c:v>
                </c:pt>
                <c:pt idx="79">
                  <c:v>483.09500000000054</c:v>
                </c:pt>
                <c:pt idx="80">
                  <c:v>483.90000000000055</c:v>
                </c:pt>
                <c:pt idx="81">
                  <c:v>484.70500000000055</c:v>
                </c:pt>
                <c:pt idx="82">
                  <c:v>485.51000000000056</c:v>
                </c:pt>
                <c:pt idx="83">
                  <c:v>486.31500000000057</c:v>
                </c:pt>
                <c:pt idx="84">
                  <c:v>487.12000000000057</c:v>
                </c:pt>
                <c:pt idx="85">
                  <c:v>487.92500000000058</c:v>
                </c:pt>
                <c:pt idx="86">
                  <c:v>488.73000000000059</c:v>
                </c:pt>
                <c:pt idx="87">
                  <c:v>489.53500000000059</c:v>
                </c:pt>
                <c:pt idx="88">
                  <c:v>490.3400000000006</c:v>
                </c:pt>
                <c:pt idx="89">
                  <c:v>491.14500000000061</c:v>
                </c:pt>
                <c:pt idx="90">
                  <c:v>491.95000000000061</c:v>
                </c:pt>
                <c:pt idx="91">
                  <c:v>492.75500000000062</c:v>
                </c:pt>
                <c:pt idx="92">
                  <c:v>493.56000000000063</c:v>
                </c:pt>
                <c:pt idx="93">
                  <c:v>494.36500000000063</c:v>
                </c:pt>
                <c:pt idx="94">
                  <c:v>495.17000000000064</c:v>
                </c:pt>
                <c:pt idx="95">
                  <c:v>495.97500000000065</c:v>
                </c:pt>
                <c:pt idx="96">
                  <c:v>496.78000000000065</c:v>
                </c:pt>
                <c:pt idx="97">
                  <c:v>497.58500000000066</c:v>
                </c:pt>
                <c:pt idx="98">
                  <c:v>498.39000000000067</c:v>
                </c:pt>
                <c:pt idx="99">
                  <c:v>499.19500000000068</c:v>
                </c:pt>
                <c:pt idx="100">
                  <c:v>500.00000000000068</c:v>
                </c:pt>
                <c:pt idx="101">
                  <c:v>500.80500000000069</c:v>
                </c:pt>
                <c:pt idx="102">
                  <c:v>501.6100000000007</c:v>
                </c:pt>
                <c:pt idx="103">
                  <c:v>502.4150000000007</c:v>
                </c:pt>
                <c:pt idx="104">
                  <c:v>503.22000000000071</c:v>
                </c:pt>
                <c:pt idx="105">
                  <c:v>504.02500000000072</c:v>
                </c:pt>
                <c:pt idx="106">
                  <c:v>504.83000000000072</c:v>
                </c:pt>
                <c:pt idx="107">
                  <c:v>505.63500000000073</c:v>
                </c:pt>
                <c:pt idx="108">
                  <c:v>506.44000000000074</c:v>
                </c:pt>
                <c:pt idx="109">
                  <c:v>507.24500000000074</c:v>
                </c:pt>
                <c:pt idx="110">
                  <c:v>508.05000000000075</c:v>
                </c:pt>
                <c:pt idx="111">
                  <c:v>508.85500000000076</c:v>
                </c:pt>
                <c:pt idx="112">
                  <c:v>509.66000000000076</c:v>
                </c:pt>
                <c:pt idx="113">
                  <c:v>510.46500000000077</c:v>
                </c:pt>
                <c:pt idx="114">
                  <c:v>511.27000000000078</c:v>
                </c:pt>
                <c:pt idx="115">
                  <c:v>512.07500000000073</c:v>
                </c:pt>
                <c:pt idx="116">
                  <c:v>512.88000000000068</c:v>
                </c:pt>
                <c:pt idx="117">
                  <c:v>513.68500000000063</c:v>
                </c:pt>
                <c:pt idx="118">
                  <c:v>514.49000000000058</c:v>
                </c:pt>
                <c:pt idx="119">
                  <c:v>515.29500000000053</c:v>
                </c:pt>
                <c:pt idx="120">
                  <c:v>516.10000000000048</c:v>
                </c:pt>
                <c:pt idx="121">
                  <c:v>516.90500000000043</c:v>
                </c:pt>
                <c:pt idx="122">
                  <c:v>517.71000000000038</c:v>
                </c:pt>
                <c:pt idx="123">
                  <c:v>518.51500000000033</c:v>
                </c:pt>
                <c:pt idx="124">
                  <c:v>519.32000000000028</c:v>
                </c:pt>
                <c:pt idx="125">
                  <c:v>520.12500000000023</c:v>
                </c:pt>
                <c:pt idx="126">
                  <c:v>520.93000000000018</c:v>
                </c:pt>
                <c:pt idx="127">
                  <c:v>521.73500000000013</c:v>
                </c:pt>
                <c:pt idx="128">
                  <c:v>522.54000000000008</c:v>
                </c:pt>
                <c:pt idx="129">
                  <c:v>523.34500000000003</c:v>
                </c:pt>
                <c:pt idx="130">
                  <c:v>524.15</c:v>
                </c:pt>
                <c:pt idx="131">
                  <c:v>524.95499999999993</c:v>
                </c:pt>
                <c:pt idx="132">
                  <c:v>525.75999999999988</c:v>
                </c:pt>
                <c:pt idx="133">
                  <c:v>526.56499999999983</c:v>
                </c:pt>
                <c:pt idx="134">
                  <c:v>527.36999999999978</c:v>
                </c:pt>
                <c:pt idx="135">
                  <c:v>528.17499999999973</c:v>
                </c:pt>
                <c:pt idx="136">
                  <c:v>528.97999999999968</c:v>
                </c:pt>
                <c:pt idx="137">
                  <c:v>529.78499999999963</c:v>
                </c:pt>
                <c:pt idx="138">
                  <c:v>530.58999999999958</c:v>
                </c:pt>
                <c:pt idx="139">
                  <c:v>531.39499999999953</c:v>
                </c:pt>
                <c:pt idx="140">
                  <c:v>532.19999999999948</c:v>
                </c:pt>
                <c:pt idx="141">
                  <c:v>533.00499999999943</c:v>
                </c:pt>
                <c:pt idx="142">
                  <c:v>533.80999999999938</c:v>
                </c:pt>
                <c:pt idx="143">
                  <c:v>534.61499999999933</c:v>
                </c:pt>
                <c:pt idx="144">
                  <c:v>535.41999999999928</c:v>
                </c:pt>
                <c:pt idx="145">
                  <c:v>536.22499999999923</c:v>
                </c:pt>
                <c:pt idx="146">
                  <c:v>537.02999999999918</c:v>
                </c:pt>
                <c:pt idx="147">
                  <c:v>537.83499999999913</c:v>
                </c:pt>
                <c:pt idx="148">
                  <c:v>538.63999999999908</c:v>
                </c:pt>
                <c:pt idx="149">
                  <c:v>539.44499999999903</c:v>
                </c:pt>
                <c:pt idx="150">
                  <c:v>540.24999999999898</c:v>
                </c:pt>
                <c:pt idx="151">
                  <c:v>541.05499999999893</c:v>
                </c:pt>
                <c:pt idx="152">
                  <c:v>541.85999999999888</c:v>
                </c:pt>
                <c:pt idx="153">
                  <c:v>542.66499999999883</c:v>
                </c:pt>
                <c:pt idx="154">
                  <c:v>543.46999999999878</c:v>
                </c:pt>
                <c:pt idx="155">
                  <c:v>544.27499999999873</c:v>
                </c:pt>
                <c:pt idx="156">
                  <c:v>545.07999999999868</c:v>
                </c:pt>
                <c:pt idx="157">
                  <c:v>545.88499999999863</c:v>
                </c:pt>
                <c:pt idx="158">
                  <c:v>546.68999999999858</c:v>
                </c:pt>
                <c:pt idx="159">
                  <c:v>547.49499999999853</c:v>
                </c:pt>
                <c:pt idx="160">
                  <c:v>548.29999999999848</c:v>
                </c:pt>
                <c:pt idx="161">
                  <c:v>549.10499999999843</c:v>
                </c:pt>
                <c:pt idx="162">
                  <c:v>549.90999999999838</c:v>
                </c:pt>
                <c:pt idx="163">
                  <c:v>550.71499999999833</c:v>
                </c:pt>
                <c:pt idx="164">
                  <c:v>551.51999999999828</c:v>
                </c:pt>
                <c:pt idx="165">
                  <c:v>552.32499999999823</c:v>
                </c:pt>
                <c:pt idx="166">
                  <c:v>553.12999999999818</c:v>
                </c:pt>
                <c:pt idx="167">
                  <c:v>553.93499999999813</c:v>
                </c:pt>
                <c:pt idx="168">
                  <c:v>554.73999999999808</c:v>
                </c:pt>
                <c:pt idx="169">
                  <c:v>555.54499999999803</c:v>
                </c:pt>
                <c:pt idx="170">
                  <c:v>556.34999999999798</c:v>
                </c:pt>
                <c:pt idx="171">
                  <c:v>557.15499999999793</c:v>
                </c:pt>
                <c:pt idx="172">
                  <c:v>557.95999999999788</c:v>
                </c:pt>
                <c:pt idx="173">
                  <c:v>558.76499999999783</c:v>
                </c:pt>
                <c:pt idx="174">
                  <c:v>559.56999999999778</c:v>
                </c:pt>
                <c:pt idx="175">
                  <c:v>560.37499999999773</c:v>
                </c:pt>
                <c:pt idx="176">
                  <c:v>561.17999999999768</c:v>
                </c:pt>
                <c:pt idx="177">
                  <c:v>561.98499999999763</c:v>
                </c:pt>
                <c:pt idx="178">
                  <c:v>562.78999999999758</c:v>
                </c:pt>
                <c:pt idx="179">
                  <c:v>563.59499999999753</c:v>
                </c:pt>
                <c:pt idx="180">
                  <c:v>564.39999999999748</c:v>
                </c:pt>
                <c:pt idx="181">
                  <c:v>565.20499999999743</c:v>
                </c:pt>
                <c:pt idx="182">
                  <c:v>566.00999999999738</c:v>
                </c:pt>
                <c:pt idx="183">
                  <c:v>566.81499999999733</c:v>
                </c:pt>
                <c:pt idx="184">
                  <c:v>567.61999999999728</c:v>
                </c:pt>
                <c:pt idx="185">
                  <c:v>568.42499999999723</c:v>
                </c:pt>
                <c:pt idx="186">
                  <c:v>569.22999999999718</c:v>
                </c:pt>
                <c:pt idx="187">
                  <c:v>570.03499999999713</c:v>
                </c:pt>
                <c:pt idx="188">
                  <c:v>570.83999999999708</c:v>
                </c:pt>
                <c:pt idx="189">
                  <c:v>571.64499999999703</c:v>
                </c:pt>
                <c:pt idx="190">
                  <c:v>572.44999999999698</c:v>
                </c:pt>
                <c:pt idx="191">
                  <c:v>573.25499999999693</c:v>
                </c:pt>
                <c:pt idx="192">
                  <c:v>574.05999999999688</c:v>
                </c:pt>
                <c:pt idx="193">
                  <c:v>574.86499999999683</c:v>
                </c:pt>
                <c:pt idx="194">
                  <c:v>575.66999999999678</c:v>
                </c:pt>
                <c:pt idx="195">
                  <c:v>576.47499999999673</c:v>
                </c:pt>
                <c:pt idx="196">
                  <c:v>577.27999999999668</c:v>
                </c:pt>
                <c:pt idx="197">
                  <c:v>578.08499999999663</c:v>
                </c:pt>
                <c:pt idx="198">
                  <c:v>578.88999999999658</c:v>
                </c:pt>
                <c:pt idx="199">
                  <c:v>579.69499999999653</c:v>
                </c:pt>
                <c:pt idx="200">
                  <c:v>580.49999999999648</c:v>
                </c:pt>
              </c:numCache>
            </c:numRef>
          </c:xVal>
          <c:yVal>
            <c:numRef>
              <c:f>'Dance p'!$AB$116:$AB$316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1E-E39F-470B-B5CD-D5A3D761E019}"/>
            </c:ext>
          </c:extLst>
        </c:ser>
        <c:ser>
          <c:idx val="21"/>
          <c:order val="16"/>
          <c:spPr>
            <a:ln w="28575">
              <a:noFill/>
            </a:ln>
          </c:spPr>
          <c:marker>
            <c:symbol val="none"/>
          </c:marker>
          <c:errBars>
            <c:errDir val="y"/>
            <c:errBarType val="plus"/>
            <c:errValType val="cust"/>
            <c:noEndCap val="1"/>
            <c:plus>
              <c:numRef>
                <c:f>'Dance p'!$Z$114</c:f>
                <c:numCache>
                  <c:formatCode>General</c:formatCode>
                  <c:ptCount val="1"/>
                  <c:pt idx="0">
                    <c:v>0.26055788273627811</c:v>
                  </c:pt>
                </c:numCache>
              </c:numRef>
            </c:plus>
            <c:spPr>
              <a:ln w="12700">
                <a:solidFill>
                  <a:srgbClr val="CCFFFF"/>
                </a:solidFill>
                <a:prstDash val="solid"/>
              </a:ln>
            </c:spPr>
          </c:errBars>
          <c:xVal>
            <c:numRef>
              <c:f>'Dance p'!$Z$116:$Z$316</c:f>
              <c:numCache>
                <c:formatCode>General</c:formatCode>
                <c:ptCount val="201"/>
                <c:pt idx="0">
                  <c:v>219.5</c:v>
                </c:pt>
                <c:pt idx="1">
                  <c:v>220.30500000000001</c:v>
                </c:pt>
                <c:pt idx="2">
                  <c:v>221.11</c:v>
                </c:pt>
                <c:pt idx="3">
                  <c:v>221.91500000000002</c:v>
                </c:pt>
                <c:pt idx="4">
                  <c:v>222.72000000000003</c:v>
                </c:pt>
                <c:pt idx="5">
                  <c:v>223.52500000000003</c:v>
                </c:pt>
                <c:pt idx="6">
                  <c:v>224.33000000000004</c:v>
                </c:pt>
                <c:pt idx="7">
                  <c:v>225.13500000000005</c:v>
                </c:pt>
                <c:pt idx="8">
                  <c:v>225.94000000000005</c:v>
                </c:pt>
                <c:pt idx="9">
                  <c:v>226.74500000000006</c:v>
                </c:pt>
                <c:pt idx="10">
                  <c:v>227.55000000000007</c:v>
                </c:pt>
                <c:pt idx="11">
                  <c:v>228.35500000000008</c:v>
                </c:pt>
                <c:pt idx="12">
                  <c:v>229.16000000000008</c:v>
                </c:pt>
                <c:pt idx="13">
                  <c:v>229.96500000000009</c:v>
                </c:pt>
                <c:pt idx="14">
                  <c:v>230.7700000000001</c:v>
                </c:pt>
                <c:pt idx="15">
                  <c:v>231.5750000000001</c:v>
                </c:pt>
                <c:pt idx="16">
                  <c:v>232.38000000000011</c:v>
                </c:pt>
                <c:pt idx="17">
                  <c:v>233.18500000000012</c:v>
                </c:pt>
                <c:pt idx="18">
                  <c:v>233.99000000000012</c:v>
                </c:pt>
                <c:pt idx="19">
                  <c:v>234.79500000000013</c:v>
                </c:pt>
                <c:pt idx="20">
                  <c:v>235.60000000000014</c:v>
                </c:pt>
                <c:pt idx="21">
                  <c:v>236.40500000000014</c:v>
                </c:pt>
                <c:pt idx="22">
                  <c:v>237.21000000000015</c:v>
                </c:pt>
                <c:pt idx="23">
                  <c:v>238.01500000000016</c:v>
                </c:pt>
                <c:pt idx="24">
                  <c:v>238.82000000000016</c:v>
                </c:pt>
                <c:pt idx="25">
                  <c:v>239.62500000000017</c:v>
                </c:pt>
                <c:pt idx="26">
                  <c:v>240.43000000000018</c:v>
                </c:pt>
                <c:pt idx="27">
                  <c:v>241.23500000000018</c:v>
                </c:pt>
                <c:pt idx="28">
                  <c:v>242.04000000000019</c:v>
                </c:pt>
                <c:pt idx="29">
                  <c:v>242.8450000000002</c:v>
                </c:pt>
                <c:pt idx="30">
                  <c:v>243.6500000000002</c:v>
                </c:pt>
                <c:pt idx="31">
                  <c:v>244.45500000000021</c:v>
                </c:pt>
                <c:pt idx="32">
                  <c:v>245.26000000000022</c:v>
                </c:pt>
                <c:pt idx="33">
                  <c:v>246.06500000000023</c:v>
                </c:pt>
                <c:pt idx="34">
                  <c:v>246.87000000000023</c:v>
                </c:pt>
                <c:pt idx="35">
                  <c:v>247.67500000000024</c:v>
                </c:pt>
                <c:pt idx="36">
                  <c:v>248.48000000000025</c:v>
                </c:pt>
                <c:pt idx="37">
                  <c:v>249.28500000000025</c:v>
                </c:pt>
                <c:pt idx="38">
                  <c:v>250.09000000000026</c:v>
                </c:pt>
                <c:pt idx="39">
                  <c:v>250.89500000000027</c:v>
                </c:pt>
                <c:pt idx="40">
                  <c:v>251.70000000000027</c:v>
                </c:pt>
                <c:pt idx="41">
                  <c:v>252.50500000000028</c:v>
                </c:pt>
                <c:pt idx="42">
                  <c:v>253.31000000000029</c:v>
                </c:pt>
                <c:pt idx="43">
                  <c:v>254.11500000000029</c:v>
                </c:pt>
                <c:pt idx="44">
                  <c:v>254.9200000000003</c:v>
                </c:pt>
                <c:pt idx="45">
                  <c:v>255.72500000000031</c:v>
                </c:pt>
                <c:pt idx="46">
                  <c:v>256.53000000000031</c:v>
                </c:pt>
                <c:pt idx="47">
                  <c:v>257.33500000000032</c:v>
                </c:pt>
                <c:pt idx="48">
                  <c:v>258.14000000000033</c:v>
                </c:pt>
                <c:pt idx="49">
                  <c:v>258.94500000000033</c:v>
                </c:pt>
                <c:pt idx="50">
                  <c:v>259.75000000000034</c:v>
                </c:pt>
                <c:pt idx="51">
                  <c:v>260.55500000000035</c:v>
                </c:pt>
                <c:pt idx="52">
                  <c:v>261.36000000000035</c:v>
                </c:pt>
                <c:pt idx="53">
                  <c:v>262.16500000000036</c:v>
                </c:pt>
                <c:pt idx="54">
                  <c:v>262.97000000000037</c:v>
                </c:pt>
                <c:pt idx="55">
                  <c:v>263.77500000000038</c:v>
                </c:pt>
                <c:pt idx="56">
                  <c:v>264.58000000000038</c:v>
                </c:pt>
                <c:pt idx="57">
                  <c:v>265.38500000000039</c:v>
                </c:pt>
                <c:pt idx="58">
                  <c:v>266.1900000000004</c:v>
                </c:pt>
                <c:pt idx="59">
                  <c:v>266.9950000000004</c:v>
                </c:pt>
                <c:pt idx="60">
                  <c:v>267.80000000000041</c:v>
                </c:pt>
                <c:pt idx="61">
                  <c:v>268.60500000000042</c:v>
                </c:pt>
                <c:pt idx="62">
                  <c:v>269.41000000000042</c:v>
                </c:pt>
                <c:pt idx="63">
                  <c:v>270.21500000000043</c:v>
                </c:pt>
                <c:pt idx="64">
                  <c:v>271.02000000000044</c:v>
                </c:pt>
                <c:pt idx="65">
                  <c:v>271.82500000000044</c:v>
                </c:pt>
                <c:pt idx="66">
                  <c:v>272.63000000000045</c:v>
                </c:pt>
                <c:pt idx="67">
                  <c:v>273.43500000000046</c:v>
                </c:pt>
                <c:pt idx="68">
                  <c:v>274.24000000000046</c:v>
                </c:pt>
                <c:pt idx="69">
                  <c:v>275.04500000000047</c:v>
                </c:pt>
                <c:pt idx="70">
                  <c:v>275.85000000000048</c:v>
                </c:pt>
                <c:pt idx="71">
                  <c:v>276.65500000000048</c:v>
                </c:pt>
                <c:pt idx="72">
                  <c:v>277.46000000000049</c:v>
                </c:pt>
                <c:pt idx="73">
                  <c:v>278.2650000000005</c:v>
                </c:pt>
                <c:pt idx="74">
                  <c:v>279.0700000000005</c:v>
                </c:pt>
                <c:pt idx="75">
                  <c:v>279.87500000000051</c:v>
                </c:pt>
                <c:pt idx="76">
                  <c:v>280.68000000000052</c:v>
                </c:pt>
                <c:pt idx="77">
                  <c:v>281.48500000000053</c:v>
                </c:pt>
                <c:pt idx="78">
                  <c:v>282.29000000000053</c:v>
                </c:pt>
                <c:pt idx="79">
                  <c:v>283.09500000000054</c:v>
                </c:pt>
                <c:pt idx="80">
                  <c:v>283.90000000000055</c:v>
                </c:pt>
                <c:pt idx="81">
                  <c:v>284.70500000000055</c:v>
                </c:pt>
                <c:pt idx="82">
                  <c:v>285.51000000000056</c:v>
                </c:pt>
                <c:pt idx="83">
                  <c:v>286.31500000000057</c:v>
                </c:pt>
                <c:pt idx="84">
                  <c:v>287.12000000000057</c:v>
                </c:pt>
                <c:pt idx="85">
                  <c:v>287.92500000000058</c:v>
                </c:pt>
                <c:pt idx="86">
                  <c:v>288.73000000000059</c:v>
                </c:pt>
                <c:pt idx="87">
                  <c:v>289.53500000000059</c:v>
                </c:pt>
                <c:pt idx="88">
                  <c:v>290.3400000000006</c:v>
                </c:pt>
                <c:pt idx="89">
                  <c:v>291.14500000000061</c:v>
                </c:pt>
                <c:pt idx="90">
                  <c:v>291.95000000000061</c:v>
                </c:pt>
                <c:pt idx="91">
                  <c:v>292.75500000000062</c:v>
                </c:pt>
                <c:pt idx="92">
                  <c:v>293.56000000000063</c:v>
                </c:pt>
                <c:pt idx="93">
                  <c:v>294.36500000000063</c:v>
                </c:pt>
                <c:pt idx="94">
                  <c:v>295.17000000000064</c:v>
                </c:pt>
                <c:pt idx="95">
                  <c:v>295.97500000000065</c:v>
                </c:pt>
                <c:pt idx="96">
                  <c:v>296.78000000000065</c:v>
                </c:pt>
                <c:pt idx="97">
                  <c:v>297.58500000000066</c:v>
                </c:pt>
                <c:pt idx="98">
                  <c:v>298.39000000000067</c:v>
                </c:pt>
                <c:pt idx="99">
                  <c:v>299.19500000000068</c:v>
                </c:pt>
                <c:pt idx="100">
                  <c:v>300.00000000000068</c:v>
                </c:pt>
                <c:pt idx="101">
                  <c:v>300.80500000000069</c:v>
                </c:pt>
                <c:pt idx="102">
                  <c:v>301.6100000000007</c:v>
                </c:pt>
                <c:pt idx="103">
                  <c:v>302.4150000000007</c:v>
                </c:pt>
                <c:pt idx="104">
                  <c:v>303.22000000000071</c:v>
                </c:pt>
                <c:pt idx="105">
                  <c:v>304.02500000000072</c:v>
                </c:pt>
                <c:pt idx="106">
                  <c:v>304.83000000000072</c:v>
                </c:pt>
                <c:pt idx="107">
                  <c:v>305.63500000000073</c:v>
                </c:pt>
                <c:pt idx="108">
                  <c:v>306.44000000000074</c:v>
                </c:pt>
                <c:pt idx="109">
                  <c:v>307.24500000000074</c:v>
                </c:pt>
                <c:pt idx="110">
                  <c:v>308.05000000000075</c:v>
                </c:pt>
                <c:pt idx="111">
                  <c:v>308.85500000000076</c:v>
                </c:pt>
                <c:pt idx="112">
                  <c:v>309.66000000000076</c:v>
                </c:pt>
                <c:pt idx="113">
                  <c:v>310.46500000000077</c:v>
                </c:pt>
                <c:pt idx="114">
                  <c:v>311.27000000000078</c:v>
                </c:pt>
                <c:pt idx="115">
                  <c:v>312.07500000000078</c:v>
                </c:pt>
                <c:pt idx="116">
                  <c:v>312.88000000000079</c:v>
                </c:pt>
                <c:pt idx="117">
                  <c:v>313.6850000000008</c:v>
                </c:pt>
                <c:pt idx="118">
                  <c:v>314.4900000000008</c:v>
                </c:pt>
                <c:pt idx="119">
                  <c:v>315.29500000000081</c:v>
                </c:pt>
                <c:pt idx="120">
                  <c:v>316.10000000000082</c:v>
                </c:pt>
                <c:pt idx="121">
                  <c:v>316.90500000000083</c:v>
                </c:pt>
                <c:pt idx="122">
                  <c:v>317.71000000000083</c:v>
                </c:pt>
                <c:pt idx="123">
                  <c:v>318.51500000000084</c:v>
                </c:pt>
                <c:pt idx="124">
                  <c:v>319.32000000000085</c:v>
                </c:pt>
                <c:pt idx="125">
                  <c:v>320.12500000000085</c:v>
                </c:pt>
                <c:pt idx="126">
                  <c:v>320.93000000000086</c:v>
                </c:pt>
                <c:pt idx="127">
                  <c:v>321.73500000000087</c:v>
                </c:pt>
                <c:pt idx="128">
                  <c:v>322.54000000000087</c:v>
                </c:pt>
                <c:pt idx="129">
                  <c:v>323.34500000000088</c:v>
                </c:pt>
                <c:pt idx="130">
                  <c:v>324.15000000000089</c:v>
                </c:pt>
                <c:pt idx="131">
                  <c:v>324.95500000000089</c:v>
                </c:pt>
                <c:pt idx="132">
                  <c:v>325.7600000000009</c:v>
                </c:pt>
                <c:pt idx="133">
                  <c:v>326.56500000000091</c:v>
                </c:pt>
                <c:pt idx="134">
                  <c:v>327.37000000000091</c:v>
                </c:pt>
                <c:pt idx="135">
                  <c:v>328.17500000000092</c:v>
                </c:pt>
                <c:pt idx="136">
                  <c:v>328.98000000000093</c:v>
                </c:pt>
                <c:pt idx="137">
                  <c:v>329.78500000000093</c:v>
                </c:pt>
                <c:pt idx="138">
                  <c:v>330.59000000000094</c:v>
                </c:pt>
                <c:pt idx="139">
                  <c:v>331.39500000000095</c:v>
                </c:pt>
                <c:pt idx="140">
                  <c:v>332.20000000000095</c:v>
                </c:pt>
                <c:pt idx="141">
                  <c:v>333.00500000000096</c:v>
                </c:pt>
                <c:pt idx="142">
                  <c:v>333.81000000000097</c:v>
                </c:pt>
                <c:pt idx="143">
                  <c:v>334.61500000000098</c:v>
                </c:pt>
                <c:pt idx="144">
                  <c:v>335.42000000000098</c:v>
                </c:pt>
                <c:pt idx="145">
                  <c:v>336.22500000000099</c:v>
                </c:pt>
                <c:pt idx="146">
                  <c:v>337.030000000001</c:v>
                </c:pt>
                <c:pt idx="147">
                  <c:v>337.835000000001</c:v>
                </c:pt>
                <c:pt idx="148">
                  <c:v>338.64000000000101</c:v>
                </c:pt>
                <c:pt idx="149">
                  <c:v>339.44500000000102</c:v>
                </c:pt>
                <c:pt idx="150">
                  <c:v>340.25000000000102</c:v>
                </c:pt>
                <c:pt idx="151">
                  <c:v>341.05500000000103</c:v>
                </c:pt>
                <c:pt idx="152">
                  <c:v>341.86000000000104</c:v>
                </c:pt>
                <c:pt idx="153">
                  <c:v>342.66500000000104</c:v>
                </c:pt>
                <c:pt idx="154">
                  <c:v>343.47000000000105</c:v>
                </c:pt>
                <c:pt idx="155">
                  <c:v>344.27500000000106</c:v>
                </c:pt>
                <c:pt idx="156">
                  <c:v>345.08000000000106</c:v>
                </c:pt>
                <c:pt idx="157">
                  <c:v>345.88500000000107</c:v>
                </c:pt>
                <c:pt idx="158">
                  <c:v>346.69000000000108</c:v>
                </c:pt>
                <c:pt idx="159">
                  <c:v>347.49500000000108</c:v>
                </c:pt>
                <c:pt idx="160">
                  <c:v>348.30000000000109</c:v>
                </c:pt>
                <c:pt idx="161">
                  <c:v>349.1050000000011</c:v>
                </c:pt>
                <c:pt idx="162">
                  <c:v>349.91000000000111</c:v>
                </c:pt>
                <c:pt idx="163">
                  <c:v>350.71500000000111</c:v>
                </c:pt>
                <c:pt idx="164">
                  <c:v>351.52000000000112</c:v>
                </c:pt>
                <c:pt idx="165">
                  <c:v>352.32500000000113</c:v>
                </c:pt>
                <c:pt idx="166">
                  <c:v>353.13000000000113</c:v>
                </c:pt>
                <c:pt idx="167">
                  <c:v>353.93500000000114</c:v>
                </c:pt>
                <c:pt idx="168">
                  <c:v>354.74000000000115</c:v>
                </c:pt>
                <c:pt idx="169">
                  <c:v>355.54500000000115</c:v>
                </c:pt>
                <c:pt idx="170">
                  <c:v>356.35000000000116</c:v>
                </c:pt>
                <c:pt idx="171">
                  <c:v>357.15500000000117</c:v>
                </c:pt>
                <c:pt idx="172">
                  <c:v>357.96000000000117</c:v>
                </c:pt>
                <c:pt idx="173">
                  <c:v>358.76500000000118</c:v>
                </c:pt>
                <c:pt idx="174">
                  <c:v>359.57000000000119</c:v>
                </c:pt>
                <c:pt idx="175">
                  <c:v>360.37500000000119</c:v>
                </c:pt>
                <c:pt idx="176">
                  <c:v>361.1800000000012</c:v>
                </c:pt>
                <c:pt idx="177">
                  <c:v>361.98500000000121</c:v>
                </c:pt>
                <c:pt idx="178">
                  <c:v>362.79000000000121</c:v>
                </c:pt>
                <c:pt idx="179">
                  <c:v>363.59500000000122</c:v>
                </c:pt>
                <c:pt idx="180">
                  <c:v>364.40000000000123</c:v>
                </c:pt>
                <c:pt idx="181">
                  <c:v>365.20500000000123</c:v>
                </c:pt>
                <c:pt idx="182">
                  <c:v>366.01000000000124</c:v>
                </c:pt>
                <c:pt idx="183">
                  <c:v>366.81500000000125</c:v>
                </c:pt>
                <c:pt idx="184">
                  <c:v>367.62000000000126</c:v>
                </c:pt>
                <c:pt idx="185">
                  <c:v>368.42500000000126</c:v>
                </c:pt>
                <c:pt idx="186">
                  <c:v>369.23000000000127</c:v>
                </c:pt>
                <c:pt idx="187">
                  <c:v>370.03500000000128</c:v>
                </c:pt>
                <c:pt idx="188">
                  <c:v>370.84000000000128</c:v>
                </c:pt>
                <c:pt idx="189">
                  <c:v>371.64500000000129</c:v>
                </c:pt>
                <c:pt idx="190">
                  <c:v>372.4500000000013</c:v>
                </c:pt>
                <c:pt idx="191">
                  <c:v>373.2550000000013</c:v>
                </c:pt>
                <c:pt idx="192">
                  <c:v>374.06000000000131</c:v>
                </c:pt>
                <c:pt idx="193">
                  <c:v>374.86500000000132</c:v>
                </c:pt>
                <c:pt idx="194">
                  <c:v>375.67000000000132</c:v>
                </c:pt>
                <c:pt idx="195">
                  <c:v>376.47500000000133</c:v>
                </c:pt>
                <c:pt idx="196">
                  <c:v>377.28000000000134</c:v>
                </c:pt>
                <c:pt idx="197">
                  <c:v>378.08500000000134</c:v>
                </c:pt>
                <c:pt idx="198">
                  <c:v>378.89000000000135</c:v>
                </c:pt>
                <c:pt idx="199">
                  <c:v>379.69500000000136</c:v>
                </c:pt>
                <c:pt idx="200">
                  <c:v>380.50000000000136</c:v>
                </c:pt>
              </c:numCache>
            </c:numRef>
          </c:xVal>
          <c:yVal>
            <c:numRef>
              <c:f>'Dance p'!$AB$116:$AB$316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1F-E39F-470B-B5CD-D5A3D761E019}"/>
            </c:ext>
          </c:extLst>
        </c:ser>
        <c:ser>
          <c:idx val="22"/>
          <c:order val="17"/>
          <c:spPr>
            <a:ln w="28575">
              <a:noFill/>
            </a:ln>
          </c:spPr>
          <c:marker>
            <c:symbol val="none"/>
          </c:marker>
          <c:errBars>
            <c:errDir val="y"/>
            <c:errBarType val="plus"/>
            <c:errValType val="cust"/>
            <c:noEndCap val="1"/>
            <c:plus>
              <c:numRef>
                <c:f>'Dance p'!$AA$114</c:f>
                <c:numCache>
                  <c:formatCode>General</c:formatCode>
                  <c:ptCount val="1"/>
                  <c:pt idx="0">
                    <c:v>1.0068256165688636</c:v>
                  </c:pt>
                </c:numCache>
              </c:numRef>
            </c:plus>
            <c:spPr>
              <a:ln w="12700">
                <a:solidFill>
                  <a:srgbClr val="0000FF"/>
                </a:solidFill>
                <a:prstDash val="solid"/>
              </a:ln>
            </c:spPr>
          </c:errBars>
          <c:xVal>
            <c:numRef>
              <c:f>'Dance p'!$AA$116:$AA$316</c:f>
              <c:numCache>
                <c:formatCode>General</c:formatCode>
                <c:ptCount val="201"/>
                <c:pt idx="0">
                  <c:v>19.5</c:v>
                </c:pt>
                <c:pt idx="1">
                  <c:v>20.305</c:v>
                </c:pt>
                <c:pt idx="2">
                  <c:v>21.11</c:v>
                </c:pt>
                <c:pt idx="3">
                  <c:v>21.914999999999999</c:v>
                </c:pt>
                <c:pt idx="4">
                  <c:v>22.72</c:v>
                </c:pt>
                <c:pt idx="5">
                  <c:v>23.524999999999999</c:v>
                </c:pt>
                <c:pt idx="6">
                  <c:v>24.33</c:v>
                </c:pt>
                <c:pt idx="7">
                  <c:v>25.134999999999998</c:v>
                </c:pt>
                <c:pt idx="8">
                  <c:v>25.939999999999998</c:v>
                </c:pt>
                <c:pt idx="9">
                  <c:v>26.744999999999997</c:v>
                </c:pt>
                <c:pt idx="10">
                  <c:v>27.549999999999997</c:v>
                </c:pt>
                <c:pt idx="11">
                  <c:v>28.354999999999997</c:v>
                </c:pt>
                <c:pt idx="12">
                  <c:v>29.159999999999997</c:v>
                </c:pt>
                <c:pt idx="13">
                  <c:v>29.964999999999996</c:v>
                </c:pt>
                <c:pt idx="14">
                  <c:v>30.769999999999996</c:v>
                </c:pt>
                <c:pt idx="15">
                  <c:v>31.574999999999996</c:v>
                </c:pt>
                <c:pt idx="16">
                  <c:v>32.379999999999995</c:v>
                </c:pt>
                <c:pt idx="17">
                  <c:v>33.184999999999995</c:v>
                </c:pt>
                <c:pt idx="18">
                  <c:v>33.989999999999995</c:v>
                </c:pt>
                <c:pt idx="19">
                  <c:v>34.794999999999995</c:v>
                </c:pt>
                <c:pt idx="20">
                  <c:v>35.599999999999994</c:v>
                </c:pt>
                <c:pt idx="21">
                  <c:v>36.404999999999994</c:v>
                </c:pt>
                <c:pt idx="22">
                  <c:v>37.209999999999994</c:v>
                </c:pt>
                <c:pt idx="23">
                  <c:v>38.014999999999993</c:v>
                </c:pt>
                <c:pt idx="24">
                  <c:v>38.819999999999993</c:v>
                </c:pt>
                <c:pt idx="25">
                  <c:v>39.624999999999993</c:v>
                </c:pt>
                <c:pt idx="26">
                  <c:v>40.429999999999993</c:v>
                </c:pt>
                <c:pt idx="27">
                  <c:v>41.234999999999992</c:v>
                </c:pt>
                <c:pt idx="28">
                  <c:v>42.039999999999992</c:v>
                </c:pt>
                <c:pt idx="29">
                  <c:v>42.844999999999992</c:v>
                </c:pt>
                <c:pt idx="30">
                  <c:v>43.649999999999991</c:v>
                </c:pt>
                <c:pt idx="31">
                  <c:v>44.454999999999991</c:v>
                </c:pt>
                <c:pt idx="32">
                  <c:v>45.259999999999991</c:v>
                </c:pt>
                <c:pt idx="33">
                  <c:v>46.064999999999991</c:v>
                </c:pt>
                <c:pt idx="34">
                  <c:v>46.86999999999999</c:v>
                </c:pt>
                <c:pt idx="35">
                  <c:v>47.67499999999999</c:v>
                </c:pt>
                <c:pt idx="36">
                  <c:v>48.47999999999999</c:v>
                </c:pt>
                <c:pt idx="37">
                  <c:v>49.284999999999989</c:v>
                </c:pt>
                <c:pt idx="38">
                  <c:v>50.089999999999989</c:v>
                </c:pt>
                <c:pt idx="39">
                  <c:v>50.894999999999989</c:v>
                </c:pt>
                <c:pt idx="40">
                  <c:v>51.699999999999989</c:v>
                </c:pt>
                <c:pt idx="41">
                  <c:v>52.504999999999988</c:v>
                </c:pt>
                <c:pt idx="42">
                  <c:v>53.309999999999988</c:v>
                </c:pt>
                <c:pt idx="43">
                  <c:v>54.114999999999988</c:v>
                </c:pt>
                <c:pt idx="44">
                  <c:v>54.919999999999987</c:v>
                </c:pt>
                <c:pt idx="45">
                  <c:v>55.724999999999987</c:v>
                </c:pt>
                <c:pt idx="46">
                  <c:v>56.529999999999987</c:v>
                </c:pt>
                <c:pt idx="47">
                  <c:v>57.334999999999987</c:v>
                </c:pt>
                <c:pt idx="48">
                  <c:v>58.139999999999986</c:v>
                </c:pt>
                <c:pt idx="49">
                  <c:v>58.944999999999986</c:v>
                </c:pt>
                <c:pt idx="50">
                  <c:v>59.749999999999986</c:v>
                </c:pt>
                <c:pt idx="51">
                  <c:v>60.554999999999986</c:v>
                </c:pt>
                <c:pt idx="52">
                  <c:v>61.359999999999985</c:v>
                </c:pt>
                <c:pt idx="53">
                  <c:v>62.164999999999985</c:v>
                </c:pt>
                <c:pt idx="54">
                  <c:v>62.969999999999985</c:v>
                </c:pt>
                <c:pt idx="55">
                  <c:v>63.774999999999984</c:v>
                </c:pt>
                <c:pt idx="56">
                  <c:v>64.579999999999984</c:v>
                </c:pt>
                <c:pt idx="57">
                  <c:v>65.384999999999991</c:v>
                </c:pt>
                <c:pt idx="58">
                  <c:v>66.19</c:v>
                </c:pt>
                <c:pt idx="59">
                  <c:v>66.995000000000005</c:v>
                </c:pt>
                <c:pt idx="60">
                  <c:v>67.800000000000011</c:v>
                </c:pt>
                <c:pt idx="61">
                  <c:v>68.605000000000018</c:v>
                </c:pt>
                <c:pt idx="62">
                  <c:v>69.410000000000025</c:v>
                </c:pt>
                <c:pt idx="63">
                  <c:v>70.215000000000032</c:v>
                </c:pt>
                <c:pt idx="64">
                  <c:v>71.020000000000039</c:v>
                </c:pt>
                <c:pt idx="65">
                  <c:v>71.825000000000045</c:v>
                </c:pt>
                <c:pt idx="66">
                  <c:v>72.630000000000052</c:v>
                </c:pt>
                <c:pt idx="67">
                  <c:v>73.435000000000059</c:v>
                </c:pt>
                <c:pt idx="68">
                  <c:v>74.240000000000066</c:v>
                </c:pt>
                <c:pt idx="69">
                  <c:v>75.045000000000073</c:v>
                </c:pt>
                <c:pt idx="70">
                  <c:v>75.85000000000008</c:v>
                </c:pt>
                <c:pt idx="71">
                  <c:v>76.655000000000086</c:v>
                </c:pt>
                <c:pt idx="72">
                  <c:v>77.460000000000093</c:v>
                </c:pt>
                <c:pt idx="73">
                  <c:v>78.2650000000001</c:v>
                </c:pt>
                <c:pt idx="74">
                  <c:v>79.070000000000107</c:v>
                </c:pt>
                <c:pt idx="75">
                  <c:v>79.875000000000114</c:v>
                </c:pt>
                <c:pt idx="76">
                  <c:v>80.680000000000121</c:v>
                </c:pt>
                <c:pt idx="77">
                  <c:v>81.485000000000127</c:v>
                </c:pt>
                <c:pt idx="78">
                  <c:v>82.290000000000134</c:v>
                </c:pt>
                <c:pt idx="79">
                  <c:v>83.095000000000141</c:v>
                </c:pt>
                <c:pt idx="80">
                  <c:v>83.900000000000148</c:v>
                </c:pt>
                <c:pt idx="81">
                  <c:v>84.705000000000155</c:v>
                </c:pt>
                <c:pt idx="82">
                  <c:v>85.510000000000161</c:v>
                </c:pt>
                <c:pt idx="83">
                  <c:v>86.315000000000168</c:v>
                </c:pt>
                <c:pt idx="84">
                  <c:v>87.120000000000175</c:v>
                </c:pt>
                <c:pt idx="85">
                  <c:v>87.925000000000182</c:v>
                </c:pt>
                <c:pt idx="86">
                  <c:v>88.730000000000189</c:v>
                </c:pt>
                <c:pt idx="87">
                  <c:v>89.535000000000196</c:v>
                </c:pt>
                <c:pt idx="88">
                  <c:v>90.340000000000202</c:v>
                </c:pt>
                <c:pt idx="89">
                  <c:v>91.145000000000209</c:v>
                </c:pt>
                <c:pt idx="90">
                  <c:v>91.950000000000216</c:v>
                </c:pt>
                <c:pt idx="91">
                  <c:v>92.755000000000223</c:v>
                </c:pt>
                <c:pt idx="92">
                  <c:v>93.56000000000023</c:v>
                </c:pt>
                <c:pt idx="93">
                  <c:v>94.365000000000236</c:v>
                </c:pt>
                <c:pt idx="94">
                  <c:v>95.170000000000243</c:v>
                </c:pt>
                <c:pt idx="95">
                  <c:v>95.97500000000025</c:v>
                </c:pt>
                <c:pt idx="96">
                  <c:v>96.780000000000257</c:v>
                </c:pt>
                <c:pt idx="97">
                  <c:v>97.585000000000264</c:v>
                </c:pt>
                <c:pt idx="98">
                  <c:v>98.390000000000271</c:v>
                </c:pt>
                <c:pt idx="99">
                  <c:v>99.195000000000277</c:v>
                </c:pt>
                <c:pt idx="100">
                  <c:v>100.00000000000028</c:v>
                </c:pt>
                <c:pt idx="101">
                  <c:v>100.80500000000029</c:v>
                </c:pt>
                <c:pt idx="102">
                  <c:v>101.6100000000003</c:v>
                </c:pt>
                <c:pt idx="103">
                  <c:v>102.4150000000003</c:v>
                </c:pt>
                <c:pt idx="104">
                  <c:v>103.22000000000031</c:v>
                </c:pt>
                <c:pt idx="105">
                  <c:v>104.02500000000032</c:v>
                </c:pt>
                <c:pt idx="106">
                  <c:v>104.83000000000033</c:v>
                </c:pt>
                <c:pt idx="107">
                  <c:v>105.63500000000033</c:v>
                </c:pt>
                <c:pt idx="108">
                  <c:v>106.44000000000034</c:v>
                </c:pt>
                <c:pt idx="109">
                  <c:v>107.24500000000035</c:v>
                </c:pt>
                <c:pt idx="110">
                  <c:v>108.05000000000035</c:v>
                </c:pt>
                <c:pt idx="111">
                  <c:v>108.85500000000036</c:v>
                </c:pt>
                <c:pt idx="112">
                  <c:v>109.66000000000037</c:v>
                </c:pt>
                <c:pt idx="113">
                  <c:v>110.46500000000037</c:v>
                </c:pt>
                <c:pt idx="114">
                  <c:v>111.27000000000038</c:v>
                </c:pt>
                <c:pt idx="115">
                  <c:v>112.07500000000039</c:v>
                </c:pt>
                <c:pt idx="116">
                  <c:v>112.88000000000039</c:v>
                </c:pt>
                <c:pt idx="117">
                  <c:v>113.6850000000004</c:v>
                </c:pt>
                <c:pt idx="118">
                  <c:v>114.49000000000041</c:v>
                </c:pt>
                <c:pt idx="119">
                  <c:v>115.29500000000041</c:v>
                </c:pt>
                <c:pt idx="120">
                  <c:v>116.10000000000042</c:v>
                </c:pt>
                <c:pt idx="121">
                  <c:v>116.90500000000043</c:v>
                </c:pt>
                <c:pt idx="122">
                  <c:v>117.71000000000043</c:v>
                </c:pt>
                <c:pt idx="123">
                  <c:v>118.51500000000044</c:v>
                </c:pt>
                <c:pt idx="124">
                  <c:v>119.32000000000045</c:v>
                </c:pt>
                <c:pt idx="125">
                  <c:v>120.12500000000045</c:v>
                </c:pt>
                <c:pt idx="126">
                  <c:v>120.93000000000046</c:v>
                </c:pt>
                <c:pt idx="127">
                  <c:v>121.73500000000047</c:v>
                </c:pt>
                <c:pt idx="128">
                  <c:v>122.54000000000048</c:v>
                </c:pt>
                <c:pt idx="129">
                  <c:v>123.34500000000048</c:v>
                </c:pt>
                <c:pt idx="130">
                  <c:v>124.15000000000049</c:v>
                </c:pt>
                <c:pt idx="131">
                  <c:v>124.9550000000005</c:v>
                </c:pt>
                <c:pt idx="132">
                  <c:v>125.7600000000005</c:v>
                </c:pt>
                <c:pt idx="133">
                  <c:v>126.56500000000051</c:v>
                </c:pt>
                <c:pt idx="134">
                  <c:v>127.37000000000052</c:v>
                </c:pt>
                <c:pt idx="135">
                  <c:v>128.17500000000052</c:v>
                </c:pt>
                <c:pt idx="136">
                  <c:v>128.98000000000053</c:v>
                </c:pt>
                <c:pt idx="137">
                  <c:v>129.78500000000054</c:v>
                </c:pt>
                <c:pt idx="138">
                  <c:v>130.59000000000054</c:v>
                </c:pt>
                <c:pt idx="139">
                  <c:v>131.39500000000055</c:v>
                </c:pt>
                <c:pt idx="140">
                  <c:v>132.20000000000056</c:v>
                </c:pt>
                <c:pt idx="141">
                  <c:v>133.00500000000056</c:v>
                </c:pt>
                <c:pt idx="142">
                  <c:v>133.81000000000057</c:v>
                </c:pt>
                <c:pt idx="143">
                  <c:v>134.61500000000058</c:v>
                </c:pt>
                <c:pt idx="144">
                  <c:v>135.42000000000058</c:v>
                </c:pt>
                <c:pt idx="145">
                  <c:v>136.22500000000059</c:v>
                </c:pt>
                <c:pt idx="146">
                  <c:v>137.0300000000006</c:v>
                </c:pt>
                <c:pt idx="147">
                  <c:v>137.8350000000006</c:v>
                </c:pt>
                <c:pt idx="148">
                  <c:v>138.64000000000061</c:v>
                </c:pt>
                <c:pt idx="149">
                  <c:v>139.44500000000062</c:v>
                </c:pt>
                <c:pt idx="150">
                  <c:v>140.25000000000063</c:v>
                </c:pt>
                <c:pt idx="151">
                  <c:v>141.05500000000063</c:v>
                </c:pt>
                <c:pt idx="152">
                  <c:v>141.86000000000064</c:v>
                </c:pt>
                <c:pt idx="153">
                  <c:v>142.66500000000065</c:v>
                </c:pt>
                <c:pt idx="154">
                  <c:v>143.47000000000065</c:v>
                </c:pt>
                <c:pt idx="155">
                  <c:v>144.27500000000066</c:v>
                </c:pt>
                <c:pt idx="156">
                  <c:v>145.08000000000067</c:v>
                </c:pt>
                <c:pt idx="157">
                  <c:v>145.88500000000067</c:v>
                </c:pt>
                <c:pt idx="158">
                  <c:v>146.69000000000068</c:v>
                </c:pt>
                <c:pt idx="159">
                  <c:v>147.49500000000069</c:v>
                </c:pt>
                <c:pt idx="160">
                  <c:v>148.30000000000069</c:v>
                </c:pt>
                <c:pt idx="161">
                  <c:v>149.1050000000007</c:v>
                </c:pt>
                <c:pt idx="162">
                  <c:v>149.91000000000071</c:v>
                </c:pt>
                <c:pt idx="163">
                  <c:v>150.71500000000071</c:v>
                </c:pt>
                <c:pt idx="164">
                  <c:v>151.52000000000072</c:v>
                </c:pt>
                <c:pt idx="165">
                  <c:v>152.32500000000073</c:v>
                </c:pt>
                <c:pt idx="166">
                  <c:v>153.13000000000073</c:v>
                </c:pt>
                <c:pt idx="167">
                  <c:v>153.93500000000074</c:v>
                </c:pt>
                <c:pt idx="168">
                  <c:v>154.74000000000075</c:v>
                </c:pt>
                <c:pt idx="169">
                  <c:v>155.54500000000075</c:v>
                </c:pt>
                <c:pt idx="170">
                  <c:v>156.35000000000076</c:v>
                </c:pt>
                <c:pt idx="171">
                  <c:v>157.15500000000077</c:v>
                </c:pt>
                <c:pt idx="172">
                  <c:v>157.96000000000078</c:v>
                </c:pt>
                <c:pt idx="173">
                  <c:v>158.76500000000078</c:v>
                </c:pt>
                <c:pt idx="174">
                  <c:v>159.57000000000079</c:v>
                </c:pt>
                <c:pt idx="175">
                  <c:v>160.3750000000008</c:v>
                </c:pt>
                <c:pt idx="176">
                  <c:v>161.1800000000008</c:v>
                </c:pt>
                <c:pt idx="177">
                  <c:v>161.98500000000081</c:v>
                </c:pt>
                <c:pt idx="178">
                  <c:v>162.79000000000082</c:v>
                </c:pt>
                <c:pt idx="179">
                  <c:v>163.59500000000082</c:v>
                </c:pt>
                <c:pt idx="180">
                  <c:v>164.40000000000083</c:v>
                </c:pt>
                <c:pt idx="181">
                  <c:v>165.20500000000084</c:v>
                </c:pt>
                <c:pt idx="182">
                  <c:v>166.01000000000084</c:v>
                </c:pt>
                <c:pt idx="183">
                  <c:v>166.81500000000085</c:v>
                </c:pt>
                <c:pt idx="184">
                  <c:v>167.62000000000086</c:v>
                </c:pt>
                <c:pt idx="185">
                  <c:v>168.42500000000086</c:v>
                </c:pt>
                <c:pt idx="186">
                  <c:v>169.23000000000087</c:v>
                </c:pt>
                <c:pt idx="187">
                  <c:v>170.03500000000088</c:v>
                </c:pt>
                <c:pt idx="188">
                  <c:v>170.84000000000088</c:v>
                </c:pt>
                <c:pt idx="189">
                  <c:v>171.64500000000089</c:v>
                </c:pt>
                <c:pt idx="190">
                  <c:v>172.4500000000009</c:v>
                </c:pt>
                <c:pt idx="191">
                  <c:v>173.2550000000009</c:v>
                </c:pt>
                <c:pt idx="192">
                  <c:v>174.06000000000091</c:v>
                </c:pt>
                <c:pt idx="193">
                  <c:v>174.86500000000092</c:v>
                </c:pt>
                <c:pt idx="194">
                  <c:v>175.67000000000093</c:v>
                </c:pt>
                <c:pt idx="195">
                  <c:v>176.47500000000093</c:v>
                </c:pt>
                <c:pt idx="196">
                  <c:v>177.28000000000094</c:v>
                </c:pt>
                <c:pt idx="197">
                  <c:v>178.08500000000095</c:v>
                </c:pt>
                <c:pt idx="198">
                  <c:v>178.89000000000095</c:v>
                </c:pt>
                <c:pt idx="199">
                  <c:v>179.69500000000096</c:v>
                </c:pt>
                <c:pt idx="200">
                  <c:v>180.50000000000097</c:v>
                </c:pt>
              </c:numCache>
            </c:numRef>
          </c:xVal>
          <c:yVal>
            <c:numRef>
              <c:f>'Dance p'!$AB$116:$AB$316</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20-E39F-470B-B5CD-D5A3D761E019}"/>
            </c:ext>
          </c:extLst>
        </c:ser>
        <c:ser>
          <c:idx val="0"/>
          <c:order val="18"/>
          <c:spPr>
            <a:ln w="28575">
              <a:noFill/>
            </a:ln>
          </c:spPr>
          <c:marker>
            <c:symbol val="square"/>
            <c:size val="5"/>
            <c:spPr>
              <a:solidFill>
                <a:srgbClr val="FF0000"/>
              </a:solidFill>
              <a:ln>
                <a:solidFill>
                  <a:srgbClr val="969696"/>
                </a:solidFill>
                <a:prstDash val="solid"/>
              </a:ln>
            </c:spPr>
          </c:marker>
          <c:xVal>
            <c:numRef>
              <c:f>'Dance p'!$AJ$92:$AJ$1091</c:f>
              <c:numCache>
                <c:formatCode>0</c:formatCode>
                <c:ptCount val="1000"/>
                <c:pt idx="0">
                  <c:v>892.28</c:v>
                </c:pt>
                <c:pt idx="1">
                  <c:v>907.72</c:v>
                </c:pt>
                <c:pt idx="2">
                  <c:v>876.84</c:v>
                </c:pt>
                <c:pt idx="3">
                  <c:v>923.16</c:v>
                </c:pt>
                <c:pt idx="4">
                  <c:v>861.4</c:v>
                </c:pt>
                <c:pt idx="5">
                  <c:v>938.6</c:v>
                </c:pt>
                <c:pt idx="6">
                  <c:v>845.96</c:v>
                </c:pt>
                <c:pt idx="7">
                  <c:v>954.04</c:v>
                </c:pt>
                <c:pt idx="8">
                  <c:v>830.52</c:v>
                </c:pt>
                <c:pt idx="9">
                  <c:v>969.48</c:v>
                </c:pt>
                <c:pt idx="10">
                  <c:v>815.08</c:v>
                </c:pt>
                <c:pt idx="11">
                  <c:v>984.92</c:v>
                </c:pt>
                <c:pt idx="12">
                  <c:v>892.28</c:v>
                </c:pt>
                <c:pt idx="13">
                  <c:v>907.72</c:v>
                </c:pt>
                <c:pt idx="14">
                  <c:v>876.84</c:v>
                </c:pt>
                <c:pt idx="15">
                  <c:v>923.16</c:v>
                </c:pt>
                <c:pt idx="16">
                  <c:v>861.4</c:v>
                </c:pt>
                <c:pt idx="17">
                  <c:v>938.6</c:v>
                </c:pt>
                <c:pt idx="18">
                  <c:v>845.96</c:v>
                </c:pt>
                <c:pt idx="19">
                  <c:v>954.04</c:v>
                </c:pt>
                <c:pt idx="20">
                  <c:v>830.52</c:v>
                </c:pt>
                <c:pt idx="21">
                  <c:v>969.48</c:v>
                </c:pt>
                <c:pt idx="22">
                  <c:v>815.08</c:v>
                </c:pt>
                <c:pt idx="23">
                  <c:v>984.92</c:v>
                </c:pt>
                <c:pt idx="24">
                  <c:v>892.28</c:v>
                </c:pt>
                <c:pt idx="25">
                  <c:v>907.72</c:v>
                </c:pt>
                <c:pt idx="26">
                  <c:v>876.84</c:v>
                </c:pt>
                <c:pt idx="27">
                  <c:v>923.16</c:v>
                </c:pt>
                <c:pt idx="28">
                  <c:v>861.4</c:v>
                </c:pt>
                <c:pt idx="29">
                  <c:v>938.6</c:v>
                </c:pt>
                <c:pt idx="30">
                  <c:v>845.96</c:v>
                </c:pt>
                <c:pt idx="31">
                  <c:v>954.04</c:v>
                </c:pt>
                <c:pt idx="32">
                  <c:v>830.52</c:v>
                </c:pt>
                <c:pt idx="33">
                  <c:v>969.48</c:v>
                </c:pt>
                <c:pt idx="34">
                  <c:v>815.08</c:v>
                </c:pt>
                <c:pt idx="35">
                  <c:v>984.92</c:v>
                </c:pt>
                <c:pt idx="36">
                  <c:v>892.28</c:v>
                </c:pt>
                <c:pt idx="37">
                  <c:v>907.72</c:v>
                </c:pt>
                <c:pt idx="38">
                  <c:v>876.84</c:v>
                </c:pt>
                <c:pt idx="39">
                  <c:v>923.16</c:v>
                </c:pt>
                <c:pt idx="40">
                  <c:v>861.4</c:v>
                </c:pt>
                <c:pt idx="41">
                  <c:v>938.6</c:v>
                </c:pt>
                <c:pt idx="42">
                  <c:v>845.96</c:v>
                </c:pt>
                <c:pt idx="43">
                  <c:v>954.04</c:v>
                </c:pt>
                <c:pt idx="44">
                  <c:v>830.52</c:v>
                </c:pt>
                <c:pt idx="45">
                  <c:v>969.48</c:v>
                </c:pt>
                <c:pt idx="46">
                  <c:v>815.08</c:v>
                </c:pt>
                <c:pt idx="47">
                  <c:v>984.92</c:v>
                </c:pt>
                <c:pt idx="48">
                  <c:v>892.28</c:v>
                </c:pt>
                <c:pt idx="49">
                  <c:v>907.72</c:v>
                </c:pt>
                <c:pt idx="50">
                  <c:v>876.84</c:v>
                </c:pt>
                <c:pt idx="51">
                  <c:v>923.16</c:v>
                </c:pt>
                <c:pt idx="52">
                  <c:v>861.4</c:v>
                </c:pt>
                <c:pt idx="53">
                  <c:v>938.6</c:v>
                </c:pt>
                <c:pt idx="54">
                  <c:v>845.96</c:v>
                </c:pt>
                <c:pt idx="55">
                  <c:v>954.04</c:v>
                </c:pt>
                <c:pt idx="56">
                  <c:v>830.52</c:v>
                </c:pt>
                <c:pt idx="57">
                  <c:v>969.48</c:v>
                </c:pt>
                <c:pt idx="58">
                  <c:v>815.08</c:v>
                </c:pt>
                <c:pt idx="59">
                  <c:v>984.92</c:v>
                </c:pt>
                <c:pt idx="60">
                  <c:v>892.28</c:v>
                </c:pt>
                <c:pt idx="61">
                  <c:v>907.72</c:v>
                </c:pt>
                <c:pt idx="62">
                  <c:v>876.84</c:v>
                </c:pt>
                <c:pt idx="63">
                  <c:v>923.16</c:v>
                </c:pt>
                <c:pt idx="64">
                  <c:v>861.4</c:v>
                </c:pt>
                <c:pt idx="65">
                  <c:v>938.6</c:v>
                </c:pt>
                <c:pt idx="66">
                  <c:v>845.96</c:v>
                </c:pt>
                <c:pt idx="67">
                  <c:v>954.04</c:v>
                </c:pt>
                <c:pt idx="68">
                  <c:v>830.52</c:v>
                </c:pt>
                <c:pt idx="69">
                  <c:v>969.48</c:v>
                </c:pt>
                <c:pt idx="70">
                  <c:v>815.08</c:v>
                </c:pt>
                <c:pt idx="71">
                  <c:v>984.92</c:v>
                </c:pt>
                <c:pt idx="72">
                  <c:v>892.28</c:v>
                </c:pt>
                <c:pt idx="73">
                  <c:v>907.72</c:v>
                </c:pt>
                <c:pt idx="74">
                  <c:v>876.84</c:v>
                </c:pt>
                <c:pt idx="75">
                  <c:v>923.16</c:v>
                </c:pt>
                <c:pt idx="76">
                  <c:v>861.4</c:v>
                </c:pt>
                <c:pt idx="77">
                  <c:v>938.6</c:v>
                </c:pt>
                <c:pt idx="78">
                  <c:v>845.96</c:v>
                </c:pt>
                <c:pt idx="79">
                  <c:v>954.04</c:v>
                </c:pt>
                <c:pt idx="80">
                  <c:v>830.52</c:v>
                </c:pt>
                <c:pt idx="81">
                  <c:v>969.48</c:v>
                </c:pt>
                <c:pt idx="82">
                  <c:v>815.08</c:v>
                </c:pt>
                <c:pt idx="83">
                  <c:v>984.92</c:v>
                </c:pt>
                <c:pt idx="84">
                  <c:v>892.28</c:v>
                </c:pt>
                <c:pt idx="85">
                  <c:v>907.72</c:v>
                </c:pt>
                <c:pt idx="86">
                  <c:v>876.84</c:v>
                </c:pt>
                <c:pt idx="87">
                  <c:v>923.16</c:v>
                </c:pt>
                <c:pt idx="88">
                  <c:v>861.4</c:v>
                </c:pt>
                <c:pt idx="89">
                  <c:v>938.6</c:v>
                </c:pt>
                <c:pt idx="90">
                  <c:v>845.96</c:v>
                </c:pt>
                <c:pt idx="91">
                  <c:v>954.04</c:v>
                </c:pt>
                <c:pt idx="92">
                  <c:v>830.52</c:v>
                </c:pt>
                <c:pt idx="93">
                  <c:v>969.48</c:v>
                </c:pt>
                <c:pt idx="94">
                  <c:v>815.08</c:v>
                </c:pt>
                <c:pt idx="95">
                  <c:v>984.92</c:v>
                </c:pt>
                <c:pt idx="96">
                  <c:v>892.28</c:v>
                </c:pt>
                <c:pt idx="97">
                  <c:v>907.72</c:v>
                </c:pt>
                <c:pt idx="98">
                  <c:v>876.84</c:v>
                </c:pt>
                <c:pt idx="99">
                  <c:v>923.16</c:v>
                </c:pt>
                <c:pt idx="100">
                  <c:v>861.4</c:v>
                </c:pt>
                <c:pt idx="101">
                  <c:v>938.6</c:v>
                </c:pt>
                <c:pt idx="102">
                  <c:v>845.96</c:v>
                </c:pt>
                <c:pt idx="103">
                  <c:v>954.04</c:v>
                </c:pt>
                <c:pt idx="104">
                  <c:v>830.52</c:v>
                </c:pt>
                <c:pt idx="105">
                  <c:v>969.48</c:v>
                </c:pt>
                <c:pt idx="106">
                  <c:v>815.08</c:v>
                </c:pt>
                <c:pt idx="107">
                  <c:v>984.92</c:v>
                </c:pt>
                <c:pt idx="108">
                  <c:v>892.28</c:v>
                </c:pt>
                <c:pt idx="109">
                  <c:v>907.72</c:v>
                </c:pt>
                <c:pt idx="110">
                  <c:v>876.84</c:v>
                </c:pt>
                <c:pt idx="111">
                  <c:v>923.16</c:v>
                </c:pt>
                <c:pt idx="112">
                  <c:v>861.4</c:v>
                </c:pt>
                <c:pt idx="113">
                  <c:v>938.6</c:v>
                </c:pt>
                <c:pt idx="114">
                  <c:v>845.96</c:v>
                </c:pt>
                <c:pt idx="115">
                  <c:v>954.04</c:v>
                </c:pt>
                <c:pt idx="116">
                  <c:v>830.52</c:v>
                </c:pt>
                <c:pt idx="117">
                  <c:v>969.48</c:v>
                </c:pt>
                <c:pt idx="118">
                  <c:v>815.08</c:v>
                </c:pt>
                <c:pt idx="119">
                  <c:v>984.92</c:v>
                </c:pt>
                <c:pt idx="120">
                  <c:v>892.28</c:v>
                </c:pt>
                <c:pt idx="121">
                  <c:v>907.72</c:v>
                </c:pt>
                <c:pt idx="122">
                  <c:v>876.84</c:v>
                </c:pt>
                <c:pt idx="123">
                  <c:v>923.16</c:v>
                </c:pt>
                <c:pt idx="124">
                  <c:v>861.4</c:v>
                </c:pt>
                <c:pt idx="125">
                  <c:v>938.6</c:v>
                </c:pt>
                <c:pt idx="126">
                  <c:v>845.96</c:v>
                </c:pt>
                <c:pt idx="127">
                  <c:v>954.04</c:v>
                </c:pt>
                <c:pt idx="128">
                  <c:v>830.52</c:v>
                </c:pt>
                <c:pt idx="129">
                  <c:v>969.48</c:v>
                </c:pt>
                <c:pt idx="130">
                  <c:v>815.08</c:v>
                </c:pt>
                <c:pt idx="131">
                  <c:v>984.92</c:v>
                </c:pt>
                <c:pt idx="132">
                  <c:v>892.28</c:v>
                </c:pt>
                <c:pt idx="133">
                  <c:v>907.72</c:v>
                </c:pt>
                <c:pt idx="134">
                  <c:v>876.84</c:v>
                </c:pt>
                <c:pt idx="135">
                  <c:v>923.16</c:v>
                </c:pt>
                <c:pt idx="136">
                  <c:v>861.4</c:v>
                </c:pt>
                <c:pt idx="137">
                  <c:v>938.6</c:v>
                </c:pt>
                <c:pt idx="138">
                  <c:v>845.96</c:v>
                </c:pt>
                <c:pt idx="139">
                  <c:v>954.04</c:v>
                </c:pt>
                <c:pt idx="140">
                  <c:v>830.52</c:v>
                </c:pt>
                <c:pt idx="141">
                  <c:v>969.48</c:v>
                </c:pt>
                <c:pt idx="142">
                  <c:v>815.08</c:v>
                </c:pt>
                <c:pt idx="143">
                  <c:v>984.92</c:v>
                </c:pt>
                <c:pt idx="144">
                  <c:v>892.28</c:v>
                </c:pt>
                <c:pt idx="145">
                  <c:v>907.72</c:v>
                </c:pt>
                <c:pt idx="146">
                  <c:v>876.84</c:v>
                </c:pt>
                <c:pt idx="147">
                  <c:v>923.16</c:v>
                </c:pt>
                <c:pt idx="148">
                  <c:v>861.4</c:v>
                </c:pt>
                <c:pt idx="149">
                  <c:v>938.6</c:v>
                </c:pt>
                <c:pt idx="150">
                  <c:v>845.96</c:v>
                </c:pt>
                <c:pt idx="151">
                  <c:v>954.04</c:v>
                </c:pt>
                <c:pt idx="152">
                  <c:v>830.52</c:v>
                </c:pt>
                <c:pt idx="153">
                  <c:v>969.48</c:v>
                </c:pt>
                <c:pt idx="154">
                  <c:v>815.08</c:v>
                </c:pt>
                <c:pt idx="155">
                  <c:v>984.92</c:v>
                </c:pt>
                <c:pt idx="156">
                  <c:v>892.28</c:v>
                </c:pt>
                <c:pt idx="157">
                  <c:v>907.72</c:v>
                </c:pt>
                <c:pt idx="158">
                  <c:v>876.84</c:v>
                </c:pt>
                <c:pt idx="159">
                  <c:v>923.16</c:v>
                </c:pt>
                <c:pt idx="160">
                  <c:v>861.4</c:v>
                </c:pt>
                <c:pt idx="161">
                  <c:v>938.6</c:v>
                </c:pt>
                <c:pt idx="162">
                  <c:v>845.96</c:v>
                </c:pt>
                <c:pt idx="163">
                  <c:v>954.04</c:v>
                </c:pt>
                <c:pt idx="164">
                  <c:v>830.52</c:v>
                </c:pt>
                <c:pt idx="165">
                  <c:v>969.48</c:v>
                </c:pt>
                <c:pt idx="166">
                  <c:v>815.08</c:v>
                </c:pt>
                <c:pt idx="167">
                  <c:v>984.92</c:v>
                </c:pt>
                <c:pt idx="168">
                  <c:v>892.28</c:v>
                </c:pt>
                <c:pt idx="169">
                  <c:v>907.72</c:v>
                </c:pt>
                <c:pt idx="170">
                  <c:v>876.84</c:v>
                </c:pt>
                <c:pt idx="171">
                  <c:v>923.16</c:v>
                </c:pt>
                <c:pt idx="172">
                  <c:v>861.4</c:v>
                </c:pt>
                <c:pt idx="173">
                  <c:v>938.6</c:v>
                </c:pt>
                <c:pt idx="174">
                  <c:v>845.96</c:v>
                </c:pt>
                <c:pt idx="175">
                  <c:v>954.04</c:v>
                </c:pt>
                <c:pt idx="176">
                  <c:v>830.52</c:v>
                </c:pt>
                <c:pt idx="177">
                  <c:v>969.48</c:v>
                </c:pt>
                <c:pt idx="178">
                  <c:v>815.08</c:v>
                </c:pt>
                <c:pt idx="179">
                  <c:v>984.92</c:v>
                </c:pt>
                <c:pt idx="180">
                  <c:v>892.28</c:v>
                </c:pt>
                <c:pt idx="181">
                  <c:v>907.72</c:v>
                </c:pt>
                <c:pt idx="182">
                  <c:v>876.84</c:v>
                </c:pt>
                <c:pt idx="183">
                  <c:v>923.16</c:v>
                </c:pt>
                <c:pt idx="184">
                  <c:v>861.4</c:v>
                </c:pt>
                <c:pt idx="185">
                  <c:v>938.6</c:v>
                </c:pt>
                <c:pt idx="186">
                  <c:v>845.96</c:v>
                </c:pt>
                <c:pt idx="187">
                  <c:v>954.04</c:v>
                </c:pt>
                <c:pt idx="188">
                  <c:v>830.52</c:v>
                </c:pt>
                <c:pt idx="189">
                  <c:v>969.48</c:v>
                </c:pt>
                <c:pt idx="190">
                  <c:v>815.08</c:v>
                </c:pt>
                <c:pt idx="191">
                  <c:v>984.92</c:v>
                </c:pt>
                <c:pt idx="192">
                  <c:v>892.28</c:v>
                </c:pt>
                <c:pt idx="193">
                  <c:v>907.72</c:v>
                </c:pt>
                <c:pt idx="194">
                  <c:v>876.84</c:v>
                </c:pt>
                <c:pt idx="195">
                  <c:v>923.16</c:v>
                </c:pt>
                <c:pt idx="196">
                  <c:v>861.4</c:v>
                </c:pt>
                <c:pt idx="197">
                  <c:v>938.6</c:v>
                </c:pt>
                <c:pt idx="198">
                  <c:v>845.96</c:v>
                </c:pt>
                <c:pt idx="199">
                  <c:v>954.04</c:v>
                </c:pt>
                <c:pt idx="200">
                  <c:v>830.52</c:v>
                </c:pt>
                <c:pt idx="201">
                  <c:v>969.48</c:v>
                </c:pt>
                <c:pt idx="202">
                  <c:v>815.08</c:v>
                </c:pt>
                <c:pt idx="203">
                  <c:v>984.92</c:v>
                </c:pt>
                <c:pt idx="204">
                  <c:v>892.28</c:v>
                </c:pt>
                <c:pt idx="205">
                  <c:v>907.72</c:v>
                </c:pt>
                <c:pt idx="206">
                  <c:v>876.84</c:v>
                </c:pt>
                <c:pt idx="207">
                  <c:v>923.16</c:v>
                </c:pt>
                <c:pt idx="208">
                  <c:v>861.4</c:v>
                </c:pt>
                <c:pt idx="209">
                  <c:v>938.6</c:v>
                </c:pt>
                <c:pt idx="210">
                  <c:v>845.96</c:v>
                </c:pt>
                <c:pt idx="211">
                  <c:v>954.04</c:v>
                </c:pt>
                <c:pt idx="212">
                  <c:v>830.52</c:v>
                </c:pt>
                <c:pt idx="213">
                  <c:v>969.48</c:v>
                </c:pt>
                <c:pt idx="214">
                  <c:v>815.08</c:v>
                </c:pt>
                <c:pt idx="215">
                  <c:v>984.92</c:v>
                </c:pt>
                <c:pt idx="216">
                  <c:v>892.28</c:v>
                </c:pt>
                <c:pt idx="217">
                  <c:v>907.72</c:v>
                </c:pt>
                <c:pt idx="218">
                  <c:v>876.84</c:v>
                </c:pt>
                <c:pt idx="219">
                  <c:v>923.16</c:v>
                </c:pt>
                <c:pt idx="220">
                  <c:v>861.4</c:v>
                </c:pt>
                <c:pt idx="221">
                  <c:v>938.6</c:v>
                </c:pt>
                <c:pt idx="222">
                  <c:v>845.96</c:v>
                </c:pt>
                <c:pt idx="223">
                  <c:v>954.04</c:v>
                </c:pt>
                <c:pt idx="224">
                  <c:v>830.52</c:v>
                </c:pt>
                <c:pt idx="225">
                  <c:v>969.48</c:v>
                </c:pt>
                <c:pt idx="226">
                  <c:v>815.08</c:v>
                </c:pt>
                <c:pt idx="227">
                  <c:v>984.92</c:v>
                </c:pt>
                <c:pt idx="228">
                  <c:v>892.28</c:v>
                </c:pt>
                <c:pt idx="229">
                  <c:v>907.72</c:v>
                </c:pt>
                <c:pt idx="230">
                  <c:v>876.84</c:v>
                </c:pt>
                <c:pt idx="231">
                  <c:v>923.16</c:v>
                </c:pt>
                <c:pt idx="232">
                  <c:v>861.4</c:v>
                </c:pt>
                <c:pt idx="233">
                  <c:v>938.6</c:v>
                </c:pt>
                <c:pt idx="234">
                  <c:v>845.96</c:v>
                </c:pt>
                <c:pt idx="235">
                  <c:v>954.04</c:v>
                </c:pt>
                <c:pt idx="236">
                  <c:v>830.52</c:v>
                </c:pt>
                <c:pt idx="237">
                  <c:v>969.48</c:v>
                </c:pt>
                <c:pt idx="238">
                  <c:v>815.08</c:v>
                </c:pt>
                <c:pt idx="239">
                  <c:v>984.92</c:v>
                </c:pt>
                <c:pt idx="240">
                  <c:v>892.28</c:v>
                </c:pt>
                <c:pt idx="241">
                  <c:v>907.72</c:v>
                </c:pt>
                <c:pt idx="242">
                  <c:v>876.84</c:v>
                </c:pt>
                <c:pt idx="243">
                  <c:v>923.16</c:v>
                </c:pt>
                <c:pt idx="244">
                  <c:v>861.4</c:v>
                </c:pt>
                <c:pt idx="245">
                  <c:v>938.6</c:v>
                </c:pt>
                <c:pt idx="246">
                  <c:v>845.96</c:v>
                </c:pt>
                <c:pt idx="247">
                  <c:v>954.04</c:v>
                </c:pt>
                <c:pt idx="248">
                  <c:v>830.52</c:v>
                </c:pt>
                <c:pt idx="249">
                  <c:v>969.48</c:v>
                </c:pt>
                <c:pt idx="250">
                  <c:v>815.08</c:v>
                </c:pt>
                <c:pt idx="251">
                  <c:v>984.92</c:v>
                </c:pt>
                <c:pt idx="252">
                  <c:v>892.28</c:v>
                </c:pt>
                <c:pt idx="253">
                  <c:v>907.72</c:v>
                </c:pt>
                <c:pt idx="254">
                  <c:v>876.84</c:v>
                </c:pt>
                <c:pt idx="255">
                  <c:v>923.16</c:v>
                </c:pt>
                <c:pt idx="256">
                  <c:v>861.4</c:v>
                </c:pt>
                <c:pt idx="257">
                  <c:v>938.6</c:v>
                </c:pt>
                <c:pt idx="258">
                  <c:v>845.96</c:v>
                </c:pt>
                <c:pt idx="259">
                  <c:v>954.04</c:v>
                </c:pt>
                <c:pt idx="260">
                  <c:v>830.52</c:v>
                </c:pt>
                <c:pt idx="261">
                  <c:v>969.48</c:v>
                </c:pt>
                <c:pt idx="262">
                  <c:v>815.08</c:v>
                </c:pt>
                <c:pt idx="263">
                  <c:v>984.92</c:v>
                </c:pt>
                <c:pt idx="264">
                  <c:v>892.28</c:v>
                </c:pt>
                <c:pt idx="265">
                  <c:v>907.72</c:v>
                </c:pt>
                <c:pt idx="266">
                  <c:v>876.84</c:v>
                </c:pt>
                <c:pt idx="267">
                  <c:v>923.16</c:v>
                </c:pt>
                <c:pt idx="268">
                  <c:v>861.4</c:v>
                </c:pt>
                <c:pt idx="269">
                  <c:v>938.6</c:v>
                </c:pt>
                <c:pt idx="270">
                  <c:v>845.96</c:v>
                </c:pt>
                <c:pt idx="271">
                  <c:v>954.04</c:v>
                </c:pt>
                <c:pt idx="272">
                  <c:v>830.52</c:v>
                </c:pt>
                <c:pt idx="273">
                  <c:v>969.48</c:v>
                </c:pt>
                <c:pt idx="274">
                  <c:v>815.08</c:v>
                </c:pt>
                <c:pt idx="275">
                  <c:v>984.92</c:v>
                </c:pt>
                <c:pt idx="276">
                  <c:v>892.28</c:v>
                </c:pt>
                <c:pt idx="277">
                  <c:v>907.72</c:v>
                </c:pt>
                <c:pt idx="278">
                  <c:v>876.84</c:v>
                </c:pt>
                <c:pt idx="279">
                  <c:v>923.16</c:v>
                </c:pt>
                <c:pt idx="280">
                  <c:v>861.4</c:v>
                </c:pt>
                <c:pt idx="281">
                  <c:v>938.6</c:v>
                </c:pt>
                <c:pt idx="282">
                  <c:v>845.96</c:v>
                </c:pt>
                <c:pt idx="283">
                  <c:v>954.04</c:v>
                </c:pt>
                <c:pt idx="284">
                  <c:v>830.52</c:v>
                </c:pt>
                <c:pt idx="285">
                  <c:v>969.48</c:v>
                </c:pt>
                <c:pt idx="286">
                  <c:v>815.08</c:v>
                </c:pt>
                <c:pt idx="287">
                  <c:v>984.92</c:v>
                </c:pt>
                <c:pt idx="288">
                  <c:v>892.28</c:v>
                </c:pt>
                <c:pt idx="289">
                  <c:v>907.72</c:v>
                </c:pt>
                <c:pt idx="290">
                  <c:v>876.84</c:v>
                </c:pt>
                <c:pt idx="291">
                  <c:v>923.16</c:v>
                </c:pt>
                <c:pt idx="292">
                  <c:v>861.4</c:v>
                </c:pt>
                <c:pt idx="293">
                  <c:v>938.6</c:v>
                </c:pt>
                <c:pt idx="294">
                  <c:v>845.96</c:v>
                </c:pt>
                <c:pt idx="295">
                  <c:v>954.04</c:v>
                </c:pt>
                <c:pt idx="296">
                  <c:v>830.52</c:v>
                </c:pt>
                <c:pt idx="297">
                  <c:v>969.48</c:v>
                </c:pt>
                <c:pt idx="298">
                  <c:v>815.08</c:v>
                </c:pt>
                <c:pt idx="299">
                  <c:v>984.92</c:v>
                </c:pt>
                <c:pt idx="300">
                  <c:v>892.28</c:v>
                </c:pt>
                <c:pt idx="301">
                  <c:v>907.72</c:v>
                </c:pt>
                <c:pt idx="302">
                  <c:v>876.84</c:v>
                </c:pt>
                <c:pt idx="303">
                  <c:v>923.16</c:v>
                </c:pt>
                <c:pt idx="304">
                  <c:v>861.4</c:v>
                </c:pt>
                <c:pt idx="305">
                  <c:v>938.6</c:v>
                </c:pt>
                <c:pt idx="306">
                  <c:v>845.96</c:v>
                </c:pt>
                <c:pt idx="307">
                  <c:v>954.04</c:v>
                </c:pt>
                <c:pt idx="308">
                  <c:v>830.52</c:v>
                </c:pt>
                <c:pt idx="309">
                  <c:v>969.48</c:v>
                </c:pt>
                <c:pt idx="310">
                  <c:v>815.08</c:v>
                </c:pt>
                <c:pt idx="311">
                  <c:v>984.92</c:v>
                </c:pt>
                <c:pt idx="312">
                  <c:v>892.28</c:v>
                </c:pt>
                <c:pt idx="313">
                  <c:v>907.72</c:v>
                </c:pt>
                <c:pt idx="314">
                  <c:v>876.84</c:v>
                </c:pt>
                <c:pt idx="315">
                  <c:v>923.16</c:v>
                </c:pt>
                <c:pt idx="316">
                  <c:v>861.4</c:v>
                </c:pt>
                <c:pt idx="317">
                  <c:v>938.6</c:v>
                </c:pt>
                <c:pt idx="318">
                  <c:v>845.96</c:v>
                </c:pt>
                <c:pt idx="319">
                  <c:v>954.04</c:v>
                </c:pt>
                <c:pt idx="320">
                  <c:v>830.52</c:v>
                </c:pt>
                <c:pt idx="321">
                  <c:v>969.48</c:v>
                </c:pt>
                <c:pt idx="322">
                  <c:v>815.08</c:v>
                </c:pt>
                <c:pt idx="323">
                  <c:v>984.92</c:v>
                </c:pt>
                <c:pt idx="324">
                  <c:v>892.28</c:v>
                </c:pt>
                <c:pt idx="325">
                  <c:v>907.72</c:v>
                </c:pt>
                <c:pt idx="326">
                  <c:v>876.84</c:v>
                </c:pt>
                <c:pt idx="327">
                  <c:v>923.16</c:v>
                </c:pt>
                <c:pt idx="328">
                  <c:v>861.4</c:v>
                </c:pt>
                <c:pt idx="329">
                  <c:v>938.6</c:v>
                </c:pt>
                <c:pt idx="330">
                  <c:v>845.96</c:v>
                </c:pt>
                <c:pt idx="331">
                  <c:v>954.04</c:v>
                </c:pt>
                <c:pt idx="332">
                  <c:v>830.52</c:v>
                </c:pt>
                <c:pt idx="333">
                  <c:v>969.48</c:v>
                </c:pt>
                <c:pt idx="334">
                  <c:v>815.08</c:v>
                </c:pt>
                <c:pt idx="335">
                  <c:v>984.92</c:v>
                </c:pt>
                <c:pt idx="336">
                  <c:v>892.28</c:v>
                </c:pt>
                <c:pt idx="337">
                  <c:v>907.72</c:v>
                </c:pt>
                <c:pt idx="338">
                  <c:v>876.84</c:v>
                </c:pt>
                <c:pt idx="339">
                  <c:v>923.16</c:v>
                </c:pt>
                <c:pt idx="340">
                  <c:v>861.4</c:v>
                </c:pt>
                <c:pt idx="341">
                  <c:v>938.6</c:v>
                </c:pt>
                <c:pt idx="342">
                  <c:v>845.96</c:v>
                </c:pt>
                <c:pt idx="343">
                  <c:v>954.04</c:v>
                </c:pt>
                <c:pt idx="344">
                  <c:v>830.52</c:v>
                </c:pt>
                <c:pt idx="345">
                  <c:v>969.48</c:v>
                </c:pt>
                <c:pt idx="346">
                  <c:v>815.08</c:v>
                </c:pt>
                <c:pt idx="347">
                  <c:v>984.92</c:v>
                </c:pt>
                <c:pt idx="348">
                  <c:v>892.28</c:v>
                </c:pt>
                <c:pt idx="349">
                  <c:v>907.72</c:v>
                </c:pt>
                <c:pt idx="350">
                  <c:v>876.84</c:v>
                </c:pt>
                <c:pt idx="351">
                  <c:v>923.16</c:v>
                </c:pt>
                <c:pt idx="352">
                  <c:v>861.4</c:v>
                </c:pt>
                <c:pt idx="353">
                  <c:v>938.6</c:v>
                </c:pt>
                <c:pt idx="354">
                  <c:v>845.96</c:v>
                </c:pt>
                <c:pt idx="355">
                  <c:v>954.04</c:v>
                </c:pt>
                <c:pt idx="356">
                  <c:v>830.52</c:v>
                </c:pt>
                <c:pt idx="357">
                  <c:v>969.48</c:v>
                </c:pt>
                <c:pt idx="358">
                  <c:v>815.08</c:v>
                </c:pt>
                <c:pt idx="359">
                  <c:v>984.92</c:v>
                </c:pt>
                <c:pt idx="360">
                  <c:v>892.28</c:v>
                </c:pt>
                <c:pt idx="361">
                  <c:v>907.72</c:v>
                </c:pt>
                <c:pt idx="362">
                  <c:v>876.84</c:v>
                </c:pt>
                <c:pt idx="363">
                  <c:v>923.16</c:v>
                </c:pt>
                <c:pt idx="364">
                  <c:v>861.4</c:v>
                </c:pt>
                <c:pt idx="365">
                  <c:v>938.6</c:v>
                </c:pt>
                <c:pt idx="366">
                  <c:v>845.96</c:v>
                </c:pt>
                <c:pt idx="367">
                  <c:v>954.04</c:v>
                </c:pt>
                <c:pt idx="368">
                  <c:v>830.52</c:v>
                </c:pt>
                <c:pt idx="369">
                  <c:v>969.48</c:v>
                </c:pt>
                <c:pt idx="370">
                  <c:v>815.08</c:v>
                </c:pt>
                <c:pt idx="371">
                  <c:v>984.92</c:v>
                </c:pt>
                <c:pt idx="372">
                  <c:v>892.28</c:v>
                </c:pt>
                <c:pt idx="373">
                  <c:v>907.72</c:v>
                </c:pt>
                <c:pt idx="374">
                  <c:v>876.84</c:v>
                </c:pt>
                <c:pt idx="375">
                  <c:v>923.16</c:v>
                </c:pt>
                <c:pt idx="376">
                  <c:v>861.4</c:v>
                </c:pt>
                <c:pt idx="377">
                  <c:v>938.6</c:v>
                </c:pt>
                <c:pt idx="378">
                  <c:v>845.96</c:v>
                </c:pt>
                <c:pt idx="379">
                  <c:v>954.04</c:v>
                </c:pt>
                <c:pt idx="380">
                  <c:v>830.52</c:v>
                </c:pt>
                <c:pt idx="381">
                  <c:v>969.48</c:v>
                </c:pt>
                <c:pt idx="382">
                  <c:v>815.08</c:v>
                </c:pt>
                <c:pt idx="383">
                  <c:v>984.92</c:v>
                </c:pt>
                <c:pt idx="384">
                  <c:v>892.28</c:v>
                </c:pt>
                <c:pt idx="385">
                  <c:v>907.72</c:v>
                </c:pt>
                <c:pt idx="386">
                  <c:v>876.84</c:v>
                </c:pt>
                <c:pt idx="387">
                  <c:v>923.16</c:v>
                </c:pt>
                <c:pt idx="388">
                  <c:v>861.4</c:v>
                </c:pt>
                <c:pt idx="389">
                  <c:v>938.6</c:v>
                </c:pt>
                <c:pt idx="390">
                  <c:v>845.96</c:v>
                </c:pt>
                <c:pt idx="391">
                  <c:v>954.04</c:v>
                </c:pt>
                <c:pt idx="392">
                  <c:v>830.52</c:v>
                </c:pt>
                <c:pt idx="393">
                  <c:v>969.48</c:v>
                </c:pt>
                <c:pt idx="394">
                  <c:v>815.08</c:v>
                </c:pt>
                <c:pt idx="395">
                  <c:v>984.92</c:v>
                </c:pt>
                <c:pt idx="396">
                  <c:v>892.28</c:v>
                </c:pt>
                <c:pt idx="397">
                  <c:v>907.72</c:v>
                </c:pt>
                <c:pt idx="398">
                  <c:v>876.84</c:v>
                </c:pt>
                <c:pt idx="399">
                  <c:v>923.16</c:v>
                </c:pt>
                <c:pt idx="400">
                  <c:v>861.4</c:v>
                </c:pt>
                <c:pt idx="401">
                  <c:v>938.6</c:v>
                </c:pt>
                <c:pt idx="402">
                  <c:v>845.96</c:v>
                </c:pt>
                <c:pt idx="403">
                  <c:v>954.04</c:v>
                </c:pt>
                <c:pt idx="404">
                  <c:v>830.52</c:v>
                </c:pt>
                <c:pt idx="405">
                  <c:v>969.48</c:v>
                </c:pt>
                <c:pt idx="406">
                  <c:v>815.08</c:v>
                </c:pt>
                <c:pt idx="407">
                  <c:v>984.92</c:v>
                </c:pt>
                <c:pt idx="408">
                  <c:v>892.28</c:v>
                </c:pt>
                <c:pt idx="409">
                  <c:v>907.72</c:v>
                </c:pt>
                <c:pt idx="410">
                  <c:v>876.84</c:v>
                </c:pt>
                <c:pt idx="411">
                  <c:v>923.16</c:v>
                </c:pt>
                <c:pt idx="412">
                  <c:v>861.4</c:v>
                </c:pt>
                <c:pt idx="413">
                  <c:v>938.6</c:v>
                </c:pt>
                <c:pt idx="414">
                  <c:v>845.96</c:v>
                </c:pt>
                <c:pt idx="415">
                  <c:v>954.04</c:v>
                </c:pt>
                <c:pt idx="416">
                  <c:v>830.52</c:v>
                </c:pt>
                <c:pt idx="417">
                  <c:v>969.48</c:v>
                </c:pt>
                <c:pt idx="418">
                  <c:v>815.08</c:v>
                </c:pt>
                <c:pt idx="419">
                  <c:v>984.92</c:v>
                </c:pt>
                <c:pt idx="420">
                  <c:v>892.28</c:v>
                </c:pt>
                <c:pt idx="421">
                  <c:v>907.72</c:v>
                </c:pt>
                <c:pt idx="422">
                  <c:v>876.84</c:v>
                </c:pt>
                <c:pt idx="423">
                  <c:v>923.16</c:v>
                </c:pt>
                <c:pt idx="424">
                  <c:v>861.4</c:v>
                </c:pt>
                <c:pt idx="425">
                  <c:v>938.6</c:v>
                </c:pt>
                <c:pt idx="426">
                  <c:v>845.96</c:v>
                </c:pt>
                <c:pt idx="427">
                  <c:v>954.04</c:v>
                </c:pt>
                <c:pt idx="428">
                  <c:v>830.52</c:v>
                </c:pt>
                <c:pt idx="429">
                  <c:v>969.48</c:v>
                </c:pt>
                <c:pt idx="430">
                  <c:v>815.08</c:v>
                </c:pt>
                <c:pt idx="431">
                  <c:v>984.92</c:v>
                </c:pt>
                <c:pt idx="432">
                  <c:v>892.28</c:v>
                </c:pt>
                <c:pt idx="433">
                  <c:v>907.72</c:v>
                </c:pt>
                <c:pt idx="434">
                  <c:v>876.84</c:v>
                </c:pt>
                <c:pt idx="435">
                  <c:v>923.16</c:v>
                </c:pt>
                <c:pt idx="436">
                  <c:v>861.4</c:v>
                </c:pt>
                <c:pt idx="437">
                  <c:v>938.6</c:v>
                </c:pt>
                <c:pt idx="438">
                  <c:v>845.96</c:v>
                </c:pt>
                <c:pt idx="439">
                  <c:v>954.04</c:v>
                </c:pt>
                <c:pt idx="440">
                  <c:v>830.52</c:v>
                </c:pt>
                <c:pt idx="441">
                  <c:v>969.48</c:v>
                </c:pt>
                <c:pt idx="442">
                  <c:v>815.08</c:v>
                </c:pt>
                <c:pt idx="443">
                  <c:v>984.92</c:v>
                </c:pt>
                <c:pt idx="444">
                  <c:v>892.28</c:v>
                </c:pt>
                <c:pt idx="445">
                  <c:v>907.72</c:v>
                </c:pt>
                <c:pt idx="446">
                  <c:v>876.84</c:v>
                </c:pt>
                <c:pt idx="447">
                  <c:v>923.16</c:v>
                </c:pt>
                <c:pt idx="448">
                  <c:v>861.4</c:v>
                </c:pt>
                <c:pt idx="449">
                  <c:v>938.6</c:v>
                </c:pt>
                <c:pt idx="450">
                  <c:v>845.96</c:v>
                </c:pt>
                <c:pt idx="451">
                  <c:v>954.04</c:v>
                </c:pt>
                <c:pt idx="452">
                  <c:v>830.52</c:v>
                </c:pt>
                <c:pt idx="453">
                  <c:v>969.48</c:v>
                </c:pt>
                <c:pt idx="454">
                  <c:v>815.08</c:v>
                </c:pt>
                <c:pt idx="455">
                  <c:v>984.92</c:v>
                </c:pt>
                <c:pt idx="456">
                  <c:v>892.28</c:v>
                </c:pt>
                <c:pt idx="457">
                  <c:v>907.72</c:v>
                </c:pt>
                <c:pt idx="458">
                  <c:v>876.84</c:v>
                </c:pt>
                <c:pt idx="459">
                  <c:v>923.16</c:v>
                </c:pt>
                <c:pt idx="460">
                  <c:v>861.4</c:v>
                </c:pt>
                <c:pt idx="461">
                  <c:v>938.6</c:v>
                </c:pt>
                <c:pt idx="462">
                  <c:v>845.96</c:v>
                </c:pt>
                <c:pt idx="463">
                  <c:v>954.04</c:v>
                </c:pt>
                <c:pt idx="464">
                  <c:v>830.52</c:v>
                </c:pt>
                <c:pt idx="465">
                  <c:v>969.48</c:v>
                </c:pt>
                <c:pt idx="466">
                  <c:v>815.08</c:v>
                </c:pt>
                <c:pt idx="467">
                  <c:v>984.92</c:v>
                </c:pt>
                <c:pt idx="468">
                  <c:v>892.28</c:v>
                </c:pt>
                <c:pt idx="469">
                  <c:v>907.72</c:v>
                </c:pt>
                <c:pt idx="470">
                  <c:v>876.84</c:v>
                </c:pt>
                <c:pt idx="471">
                  <c:v>923.16</c:v>
                </c:pt>
                <c:pt idx="472">
                  <c:v>861.4</c:v>
                </c:pt>
                <c:pt idx="473">
                  <c:v>938.6</c:v>
                </c:pt>
                <c:pt idx="474">
                  <c:v>845.96</c:v>
                </c:pt>
                <c:pt idx="475">
                  <c:v>954.04</c:v>
                </c:pt>
                <c:pt idx="476">
                  <c:v>830.52</c:v>
                </c:pt>
                <c:pt idx="477">
                  <c:v>969.48</c:v>
                </c:pt>
                <c:pt idx="478">
                  <c:v>815.08</c:v>
                </c:pt>
                <c:pt idx="479">
                  <c:v>984.92</c:v>
                </c:pt>
                <c:pt idx="480">
                  <c:v>892.28</c:v>
                </c:pt>
                <c:pt idx="481">
                  <c:v>907.72</c:v>
                </c:pt>
                <c:pt idx="482">
                  <c:v>876.84</c:v>
                </c:pt>
                <c:pt idx="483">
                  <c:v>923.16</c:v>
                </c:pt>
                <c:pt idx="484">
                  <c:v>861.4</c:v>
                </c:pt>
                <c:pt idx="485">
                  <c:v>938.6</c:v>
                </c:pt>
                <c:pt idx="486">
                  <c:v>845.96</c:v>
                </c:pt>
                <c:pt idx="487">
                  <c:v>954.04</c:v>
                </c:pt>
                <c:pt idx="488">
                  <c:v>830.52</c:v>
                </c:pt>
                <c:pt idx="489">
                  <c:v>969.48</c:v>
                </c:pt>
                <c:pt idx="490">
                  <c:v>815.08</c:v>
                </c:pt>
                <c:pt idx="491">
                  <c:v>984.92</c:v>
                </c:pt>
                <c:pt idx="492">
                  <c:v>892.28</c:v>
                </c:pt>
                <c:pt idx="493">
                  <c:v>907.72</c:v>
                </c:pt>
                <c:pt idx="494">
                  <c:v>876.84</c:v>
                </c:pt>
                <c:pt idx="495">
                  <c:v>923.16</c:v>
                </c:pt>
                <c:pt idx="496">
                  <c:v>861.4</c:v>
                </c:pt>
                <c:pt idx="497">
                  <c:v>938.6</c:v>
                </c:pt>
                <c:pt idx="498">
                  <c:v>845.96</c:v>
                </c:pt>
                <c:pt idx="499">
                  <c:v>954.04</c:v>
                </c:pt>
                <c:pt idx="500">
                  <c:v>830.52</c:v>
                </c:pt>
                <c:pt idx="501">
                  <c:v>969.48</c:v>
                </c:pt>
                <c:pt idx="502">
                  <c:v>815.08</c:v>
                </c:pt>
                <c:pt idx="503">
                  <c:v>984.92</c:v>
                </c:pt>
                <c:pt idx="504">
                  <c:v>892.28</c:v>
                </c:pt>
                <c:pt idx="505">
                  <c:v>907.72</c:v>
                </c:pt>
                <c:pt idx="506">
                  <c:v>876.84</c:v>
                </c:pt>
                <c:pt idx="507">
                  <c:v>923.16</c:v>
                </c:pt>
                <c:pt idx="508">
                  <c:v>861.4</c:v>
                </c:pt>
                <c:pt idx="509">
                  <c:v>938.6</c:v>
                </c:pt>
                <c:pt idx="510">
                  <c:v>845.96</c:v>
                </c:pt>
                <c:pt idx="511">
                  <c:v>954.04</c:v>
                </c:pt>
                <c:pt idx="512">
                  <c:v>830.52</c:v>
                </c:pt>
                <c:pt idx="513">
                  <c:v>969.48</c:v>
                </c:pt>
                <c:pt idx="514">
                  <c:v>815.08</c:v>
                </c:pt>
                <c:pt idx="515">
                  <c:v>984.92</c:v>
                </c:pt>
                <c:pt idx="516">
                  <c:v>892.28</c:v>
                </c:pt>
                <c:pt idx="517">
                  <c:v>907.72</c:v>
                </c:pt>
                <c:pt idx="518">
                  <c:v>876.84</c:v>
                </c:pt>
                <c:pt idx="519">
                  <c:v>923.16</c:v>
                </c:pt>
                <c:pt idx="520">
                  <c:v>861.4</c:v>
                </c:pt>
                <c:pt idx="521">
                  <c:v>938.6</c:v>
                </c:pt>
                <c:pt idx="522">
                  <c:v>845.96</c:v>
                </c:pt>
                <c:pt idx="523">
                  <c:v>954.04</c:v>
                </c:pt>
                <c:pt idx="524">
                  <c:v>830.52</c:v>
                </c:pt>
                <c:pt idx="525">
                  <c:v>969.48</c:v>
                </c:pt>
                <c:pt idx="526">
                  <c:v>815.08</c:v>
                </c:pt>
                <c:pt idx="527">
                  <c:v>984.92</c:v>
                </c:pt>
                <c:pt idx="528">
                  <c:v>892.28</c:v>
                </c:pt>
                <c:pt idx="529">
                  <c:v>907.72</c:v>
                </c:pt>
                <c:pt idx="530">
                  <c:v>876.84</c:v>
                </c:pt>
                <c:pt idx="531">
                  <c:v>923.16</c:v>
                </c:pt>
                <c:pt idx="532">
                  <c:v>861.4</c:v>
                </c:pt>
                <c:pt idx="533">
                  <c:v>938.6</c:v>
                </c:pt>
                <c:pt idx="534">
                  <c:v>845.96</c:v>
                </c:pt>
                <c:pt idx="535">
                  <c:v>954.04</c:v>
                </c:pt>
                <c:pt idx="536">
                  <c:v>830.52</c:v>
                </c:pt>
                <c:pt idx="537">
                  <c:v>969.48</c:v>
                </c:pt>
                <c:pt idx="538">
                  <c:v>815.08</c:v>
                </c:pt>
                <c:pt idx="539">
                  <c:v>984.92</c:v>
                </c:pt>
                <c:pt idx="540">
                  <c:v>892.28</c:v>
                </c:pt>
                <c:pt idx="541">
                  <c:v>907.72</c:v>
                </c:pt>
                <c:pt idx="542">
                  <c:v>876.84</c:v>
                </c:pt>
                <c:pt idx="543">
                  <c:v>923.16</c:v>
                </c:pt>
                <c:pt idx="544">
                  <c:v>861.4</c:v>
                </c:pt>
                <c:pt idx="545">
                  <c:v>938.6</c:v>
                </c:pt>
                <c:pt idx="546">
                  <c:v>845.96</c:v>
                </c:pt>
                <c:pt idx="547">
                  <c:v>954.04</c:v>
                </c:pt>
                <c:pt idx="548">
                  <c:v>830.52</c:v>
                </c:pt>
                <c:pt idx="549">
                  <c:v>969.48</c:v>
                </c:pt>
                <c:pt idx="550">
                  <c:v>815.08</c:v>
                </c:pt>
                <c:pt idx="551">
                  <c:v>984.92</c:v>
                </c:pt>
                <c:pt idx="552">
                  <c:v>892.28</c:v>
                </c:pt>
                <c:pt idx="553">
                  <c:v>907.72</c:v>
                </c:pt>
                <c:pt idx="554">
                  <c:v>876.84</c:v>
                </c:pt>
                <c:pt idx="555">
                  <c:v>923.16</c:v>
                </c:pt>
                <c:pt idx="556">
                  <c:v>861.4</c:v>
                </c:pt>
                <c:pt idx="557">
                  <c:v>938.6</c:v>
                </c:pt>
                <c:pt idx="558">
                  <c:v>845.96</c:v>
                </c:pt>
                <c:pt idx="559">
                  <c:v>954.04</c:v>
                </c:pt>
                <c:pt idx="560">
                  <c:v>830.52</c:v>
                </c:pt>
                <c:pt idx="561">
                  <c:v>969.48</c:v>
                </c:pt>
                <c:pt idx="562">
                  <c:v>815.08</c:v>
                </c:pt>
                <c:pt idx="563">
                  <c:v>984.92</c:v>
                </c:pt>
                <c:pt idx="564">
                  <c:v>892.28</c:v>
                </c:pt>
                <c:pt idx="565">
                  <c:v>907.72</c:v>
                </c:pt>
                <c:pt idx="566">
                  <c:v>876.84</c:v>
                </c:pt>
                <c:pt idx="567">
                  <c:v>923.16</c:v>
                </c:pt>
                <c:pt idx="568">
                  <c:v>861.4</c:v>
                </c:pt>
                <c:pt idx="569">
                  <c:v>938.6</c:v>
                </c:pt>
                <c:pt idx="570">
                  <c:v>845.96</c:v>
                </c:pt>
                <c:pt idx="571">
                  <c:v>954.04</c:v>
                </c:pt>
                <c:pt idx="572">
                  <c:v>830.52</c:v>
                </c:pt>
                <c:pt idx="573">
                  <c:v>969.48</c:v>
                </c:pt>
                <c:pt idx="574">
                  <c:v>815.08</c:v>
                </c:pt>
                <c:pt idx="575">
                  <c:v>984.92</c:v>
                </c:pt>
                <c:pt idx="576">
                  <c:v>892.28</c:v>
                </c:pt>
                <c:pt idx="577">
                  <c:v>907.72</c:v>
                </c:pt>
                <c:pt idx="578">
                  <c:v>876.84</c:v>
                </c:pt>
                <c:pt idx="579">
                  <c:v>923.16</c:v>
                </c:pt>
                <c:pt idx="580">
                  <c:v>861.4</c:v>
                </c:pt>
                <c:pt idx="581">
                  <c:v>938.6</c:v>
                </c:pt>
                <c:pt idx="582">
                  <c:v>845.96</c:v>
                </c:pt>
                <c:pt idx="583">
                  <c:v>954.04</c:v>
                </c:pt>
                <c:pt idx="584">
                  <c:v>830.52</c:v>
                </c:pt>
                <c:pt idx="585">
                  <c:v>969.48</c:v>
                </c:pt>
                <c:pt idx="586">
                  <c:v>815.08</c:v>
                </c:pt>
                <c:pt idx="587">
                  <c:v>984.92</c:v>
                </c:pt>
                <c:pt idx="588">
                  <c:v>892.28</c:v>
                </c:pt>
                <c:pt idx="589">
                  <c:v>907.72</c:v>
                </c:pt>
                <c:pt idx="590">
                  <c:v>876.84</c:v>
                </c:pt>
                <c:pt idx="591">
                  <c:v>923.16</c:v>
                </c:pt>
                <c:pt idx="592">
                  <c:v>861.4</c:v>
                </c:pt>
                <c:pt idx="593">
                  <c:v>938.6</c:v>
                </c:pt>
                <c:pt idx="594">
                  <c:v>845.96</c:v>
                </c:pt>
                <c:pt idx="595">
                  <c:v>954.04</c:v>
                </c:pt>
                <c:pt idx="596">
                  <c:v>830.52</c:v>
                </c:pt>
                <c:pt idx="597">
                  <c:v>969.48</c:v>
                </c:pt>
                <c:pt idx="598">
                  <c:v>815.08</c:v>
                </c:pt>
                <c:pt idx="599">
                  <c:v>984.92</c:v>
                </c:pt>
                <c:pt idx="600">
                  <c:v>892.28</c:v>
                </c:pt>
                <c:pt idx="601">
                  <c:v>907.72</c:v>
                </c:pt>
                <c:pt idx="602">
                  <c:v>876.84</c:v>
                </c:pt>
                <c:pt idx="603">
                  <c:v>923.16</c:v>
                </c:pt>
                <c:pt idx="604">
                  <c:v>861.4</c:v>
                </c:pt>
                <c:pt idx="605">
                  <c:v>938.6</c:v>
                </c:pt>
                <c:pt idx="606">
                  <c:v>845.96</c:v>
                </c:pt>
                <c:pt idx="607">
                  <c:v>954.04</c:v>
                </c:pt>
                <c:pt idx="608">
                  <c:v>830.52</c:v>
                </c:pt>
                <c:pt idx="609">
                  <c:v>969.48</c:v>
                </c:pt>
                <c:pt idx="610">
                  <c:v>815.08</c:v>
                </c:pt>
                <c:pt idx="611">
                  <c:v>984.92</c:v>
                </c:pt>
                <c:pt idx="612">
                  <c:v>892.28</c:v>
                </c:pt>
                <c:pt idx="613">
                  <c:v>907.72</c:v>
                </c:pt>
                <c:pt idx="614">
                  <c:v>876.84</c:v>
                </c:pt>
                <c:pt idx="615">
                  <c:v>923.16</c:v>
                </c:pt>
                <c:pt idx="616">
                  <c:v>861.4</c:v>
                </c:pt>
                <c:pt idx="617">
                  <c:v>938.6</c:v>
                </c:pt>
                <c:pt idx="618">
                  <c:v>845.96</c:v>
                </c:pt>
                <c:pt idx="619">
                  <c:v>954.04</c:v>
                </c:pt>
                <c:pt idx="620">
                  <c:v>830.52</c:v>
                </c:pt>
                <c:pt idx="621">
                  <c:v>969.48</c:v>
                </c:pt>
                <c:pt idx="622">
                  <c:v>815.08</c:v>
                </c:pt>
                <c:pt idx="623">
                  <c:v>984.92</c:v>
                </c:pt>
                <c:pt idx="624">
                  <c:v>892.28</c:v>
                </c:pt>
                <c:pt idx="625">
                  <c:v>907.72</c:v>
                </c:pt>
                <c:pt idx="626">
                  <c:v>876.84</c:v>
                </c:pt>
                <c:pt idx="627">
                  <c:v>923.16</c:v>
                </c:pt>
                <c:pt idx="628">
                  <c:v>861.4</c:v>
                </c:pt>
                <c:pt idx="629">
                  <c:v>938.6</c:v>
                </c:pt>
                <c:pt idx="630">
                  <c:v>845.96</c:v>
                </c:pt>
                <c:pt idx="631">
                  <c:v>954.04</c:v>
                </c:pt>
                <c:pt idx="632">
                  <c:v>830.52</c:v>
                </c:pt>
                <c:pt idx="633">
                  <c:v>969.48</c:v>
                </c:pt>
                <c:pt idx="634">
                  <c:v>815.08</c:v>
                </c:pt>
                <c:pt idx="635">
                  <c:v>984.92</c:v>
                </c:pt>
                <c:pt idx="636">
                  <c:v>892.28</c:v>
                </c:pt>
                <c:pt idx="637">
                  <c:v>907.72</c:v>
                </c:pt>
                <c:pt idx="638">
                  <c:v>876.84</c:v>
                </c:pt>
                <c:pt idx="639">
                  <c:v>923.16</c:v>
                </c:pt>
                <c:pt idx="640">
                  <c:v>861.4</c:v>
                </c:pt>
                <c:pt idx="641">
                  <c:v>938.6</c:v>
                </c:pt>
                <c:pt idx="642">
                  <c:v>845.96</c:v>
                </c:pt>
                <c:pt idx="643">
                  <c:v>954.04</c:v>
                </c:pt>
                <c:pt idx="644">
                  <c:v>830.52</c:v>
                </c:pt>
                <c:pt idx="645">
                  <c:v>969.48</c:v>
                </c:pt>
                <c:pt idx="646">
                  <c:v>815.08</c:v>
                </c:pt>
                <c:pt idx="647">
                  <c:v>984.92</c:v>
                </c:pt>
                <c:pt idx="648">
                  <c:v>892.28</c:v>
                </c:pt>
                <c:pt idx="649">
                  <c:v>907.72</c:v>
                </c:pt>
                <c:pt idx="650">
                  <c:v>876.84</c:v>
                </c:pt>
                <c:pt idx="651">
                  <c:v>923.16</c:v>
                </c:pt>
                <c:pt idx="652">
                  <c:v>861.4</c:v>
                </c:pt>
                <c:pt idx="653">
                  <c:v>938.6</c:v>
                </c:pt>
                <c:pt idx="654">
                  <c:v>845.96</c:v>
                </c:pt>
                <c:pt idx="655">
                  <c:v>954.04</c:v>
                </c:pt>
                <c:pt idx="656">
                  <c:v>830.52</c:v>
                </c:pt>
                <c:pt idx="657">
                  <c:v>969.48</c:v>
                </c:pt>
                <c:pt idx="658">
                  <c:v>815.08</c:v>
                </c:pt>
                <c:pt idx="659">
                  <c:v>984.92</c:v>
                </c:pt>
                <c:pt idx="660">
                  <c:v>892.28</c:v>
                </c:pt>
                <c:pt idx="661">
                  <c:v>907.72</c:v>
                </c:pt>
                <c:pt idx="662">
                  <c:v>876.84</c:v>
                </c:pt>
                <c:pt idx="663">
                  <c:v>923.16</c:v>
                </c:pt>
                <c:pt idx="664">
                  <c:v>861.4</c:v>
                </c:pt>
                <c:pt idx="665">
                  <c:v>938.6</c:v>
                </c:pt>
                <c:pt idx="666">
                  <c:v>845.96</c:v>
                </c:pt>
                <c:pt idx="667">
                  <c:v>954.04</c:v>
                </c:pt>
                <c:pt idx="668">
                  <c:v>830.52</c:v>
                </c:pt>
                <c:pt idx="669">
                  <c:v>969.48</c:v>
                </c:pt>
                <c:pt idx="670">
                  <c:v>815.08</c:v>
                </c:pt>
                <c:pt idx="671">
                  <c:v>984.92</c:v>
                </c:pt>
                <c:pt idx="672">
                  <c:v>892.28</c:v>
                </c:pt>
                <c:pt idx="673">
                  <c:v>907.72</c:v>
                </c:pt>
                <c:pt idx="674">
                  <c:v>876.84</c:v>
                </c:pt>
                <c:pt idx="675">
                  <c:v>923.16</c:v>
                </c:pt>
                <c:pt idx="676">
                  <c:v>861.4</c:v>
                </c:pt>
                <c:pt idx="677">
                  <c:v>938.6</c:v>
                </c:pt>
                <c:pt idx="678">
                  <c:v>845.96</c:v>
                </c:pt>
                <c:pt idx="679">
                  <c:v>954.04</c:v>
                </c:pt>
                <c:pt idx="680">
                  <c:v>830.52</c:v>
                </c:pt>
                <c:pt idx="681">
                  <c:v>969.48</c:v>
                </c:pt>
                <c:pt idx="682">
                  <c:v>815.08</c:v>
                </c:pt>
                <c:pt idx="683">
                  <c:v>984.92</c:v>
                </c:pt>
                <c:pt idx="684">
                  <c:v>892.28</c:v>
                </c:pt>
                <c:pt idx="685">
                  <c:v>907.72</c:v>
                </c:pt>
                <c:pt idx="686">
                  <c:v>876.84</c:v>
                </c:pt>
                <c:pt idx="687">
                  <c:v>923.16</c:v>
                </c:pt>
                <c:pt idx="688">
                  <c:v>861.4</c:v>
                </c:pt>
                <c:pt idx="689">
                  <c:v>938.6</c:v>
                </c:pt>
                <c:pt idx="690">
                  <c:v>845.96</c:v>
                </c:pt>
                <c:pt idx="691">
                  <c:v>954.04</c:v>
                </c:pt>
                <c:pt idx="692">
                  <c:v>830.52</c:v>
                </c:pt>
                <c:pt idx="693">
                  <c:v>969.48</c:v>
                </c:pt>
                <c:pt idx="694">
                  <c:v>815.08</c:v>
                </c:pt>
                <c:pt idx="695">
                  <c:v>984.92</c:v>
                </c:pt>
                <c:pt idx="696">
                  <c:v>892.28</c:v>
                </c:pt>
                <c:pt idx="697">
                  <c:v>907.72</c:v>
                </c:pt>
                <c:pt idx="698">
                  <c:v>876.84</c:v>
                </c:pt>
                <c:pt idx="699">
                  <c:v>923.16</c:v>
                </c:pt>
                <c:pt idx="700">
                  <c:v>861.4</c:v>
                </c:pt>
                <c:pt idx="701">
                  <c:v>938.6</c:v>
                </c:pt>
                <c:pt idx="702">
                  <c:v>845.96</c:v>
                </c:pt>
                <c:pt idx="703">
                  <c:v>954.04</c:v>
                </c:pt>
                <c:pt idx="704">
                  <c:v>830.52</c:v>
                </c:pt>
                <c:pt idx="705">
                  <c:v>969.48</c:v>
                </c:pt>
                <c:pt idx="706">
                  <c:v>815.08</c:v>
                </c:pt>
                <c:pt idx="707">
                  <c:v>984.92</c:v>
                </c:pt>
                <c:pt idx="708">
                  <c:v>892.28</c:v>
                </c:pt>
                <c:pt idx="709">
                  <c:v>907.72</c:v>
                </c:pt>
                <c:pt idx="710">
                  <c:v>876.84</c:v>
                </c:pt>
                <c:pt idx="711">
                  <c:v>923.16</c:v>
                </c:pt>
                <c:pt idx="712">
                  <c:v>861.4</c:v>
                </c:pt>
                <c:pt idx="713">
                  <c:v>938.6</c:v>
                </c:pt>
                <c:pt idx="714">
                  <c:v>845.96</c:v>
                </c:pt>
                <c:pt idx="715">
                  <c:v>954.04</c:v>
                </c:pt>
                <c:pt idx="716">
                  <c:v>830.52</c:v>
                </c:pt>
                <c:pt idx="717">
                  <c:v>969.48</c:v>
                </c:pt>
                <c:pt idx="718">
                  <c:v>815.08</c:v>
                </c:pt>
                <c:pt idx="719">
                  <c:v>984.92</c:v>
                </c:pt>
                <c:pt idx="720">
                  <c:v>892.28</c:v>
                </c:pt>
                <c:pt idx="721">
                  <c:v>907.72</c:v>
                </c:pt>
                <c:pt idx="722">
                  <c:v>876.84</c:v>
                </c:pt>
                <c:pt idx="723">
                  <c:v>923.16</c:v>
                </c:pt>
                <c:pt idx="724">
                  <c:v>861.4</c:v>
                </c:pt>
                <c:pt idx="725">
                  <c:v>938.6</c:v>
                </c:pt>
                <c:pt idx="726">
                  <c:v>845.96</c:v>
                </c:pt>
                <c:pt idx="727">
                  <c:v>954.04</c:v>
                </c:pt>
                <c:pt idx="728">
                  <c:v>830.52</c:v>
                </c:pt>
                <c:pt idx="729">
                  <c:v>969.48</c:v>
                </c:pt>
                <c:pt idx="730">
                  <c:v>815.08</c:v>
                </c:pt>
                <c:pt idx="731">
                  <c:v>984.92</c:v>
                </c:pt>
                <c:pt idx="732">
                  <c:v>892.28</c:v>
                </c:pt>
                <c:pt idx="733">
                  <c:v>907.72</c:v>
                </c:pt>
                <c:pt idx="734">
                  <c:v>876.84</c:v>
                </c:pt>
                <c:pt idx="735">
                  <c:v>923.16</c:v>
                </c:pt>
                <c:pt idx="736">
                  <c:v>861.4</c:v>
                </c:pt>
                <c:pt idx="737">
                  <c:v>938.6</c:v>
                </c:pt>
                <c:pt idx="738">
                  <c:v>845.96</c:v>
                </c:pt>
                <c:pt idx="739">
                  <c:v>954.04</c:v>
                </c:pt>
                <c:pt idx="740">
                  <c:v>830.52</c:v>
                </c:pt>
                <c:pt idx="741">
                  <c:v>969.48</c:v>
                </c:pt>
                <c:pt idx="742">
                  <c:v>815.08</c:v>
                </c:pt>
                <c:pt idx="743">
                  <c:v>984.92</c:v>
                </c:pt>
                <c:pt idx="744">
                  <c:v>892.28</c:v>
                </c:pt>
                <c:pt idx="745">
                  <c:v>907.72</c:v>
                </c:pt>
                <c:pt idx="746">
                  <c:v>876.84</c:v>
                </c:pt>
                <c:pt idx="747">
                  <c:v>923.16</c:v>
                </c:pt>
                <c:pt idx="748">
                  <c:v>861.4</c:v>
                </c:pt>
                <c:pt idx="749">
                  <c:v>938.6</c:v>
                </c:pt>
                <c:pt idx="750">
                  <c:v>845.96</c:v>
                </c:pt>
                <c:pt idx="751">
                  <c:v>954.04</c:v>
                </c:pt>
                <c:pt idx="752">
                  <c:v>830.52</c:v>
                </c:pt>
                <c:pt idx="753">
                  <c:v>969.48</c:v>
                </c:pt>
                <c:pt idx="754">
                  <c:v>815.08</c:v>
                </c:pt>
                <c:pt idx="755">
                  <c:v>984.92</c:v>
                </c:pt>
                <c:pt idx="756">
                  <c:v>892.28</c:v>
                </c:pt>
                <c:pt idx="757">
                  <c:v>907.72</c:v>
                </c:pt>
                <c:pt idx="758">
                  <c:v>876.84</c:v>
                </c:pt>
                <c:pt idx="759">
                  <c:v>923.16</c:v>
                </c:pt>
                <c:pt idx="760">
                  <c:v>861.4</c:v>
                </c:pt>
                <c:pt idx="761">
                  <c:v>938.6</c:v>
                </c:pt>
                <c:pt idx="762">
                  <c:v>845.96</c:v>
                </c:pt>
                <c:pt idx="763">
                  <c:v>954.04</c:v>
                </c:pt>
                <c:pt idx="764">
                  <c:v>830.52</c:v>
                </c:pt>
                <c:pt idx="765">
                  <c:v>969.48</c:v>
                </c:pt>
                <c:pt idx="766">
                  <c:v>815.08</c:v>
                </c:pt>
                <c:pt idx="767">
                  <c:v>984.92</c:v>
                </c:pt>
                <c:pt idx="768">
                  <c:v>892.28</c:v>
                </c:pt>
                <c:pt idx="769">
                  <c:v>907.72</c:v>
                </c:pt>
                <c:pt idx="770">
                  <c:v>876.84</c:v>
                </c:pt>
                <c:pt idx="771">
                  <c:v>923.16</c:v>
                </c:pt>
                <c:pt idx="772">
                  <c:v>861.4</c:v>
                </c:pt>
                <c:pt idx="773">
                  <c:v>938.6</c:v>
                </c:pt>
                <c:pt idx="774">
                  <c:v>845.96</c:v>
                </c:pt>
                <c:pt idx="775">
                  <c:v>954.04</c:v>
                </c:pt>
                <c:pt idx="776">
                  <c:v>830.52</c:v>
                </c:pt>
                <c:pt idx="777">
                  <c:v>969.48</c:v>
                </c:pt>
                <c:pt idx="778">
                  <c:v>815.08</c:v>
                </c:pt>
                <c:pt idx="779">
                  <c:v>984.92</c:v>
                </c:pt>
                <c:pt idx="780">
                  <c:v>892.28</c:v>
                </c:pt>
                <c:pt idx="781">
                  <c:v>907.72</c:v>
                </c:pt>
                <c:pt idx="782">
                  <c:v>876.84</c:v>
                </c:pt>
                <c:pt idx="783">
                  <c:v>923.16</c:v>
                </c:pt>
                <c:pt idx="784">
                  <c:v>861.4</c:v>
                </c:pt>
                <c:pt idx="785">
                  <c:v>938.6</c:v>
                </c:pt>
                <c:pt idx="786">
                  <c:v>845.96</c:v>
                </c:pt>
                <c:pt idx="787">
                  <c:v>954.04</c:v>
                </c:pt>
                <c:pt idx="788">
                  <c:v>830.52</c:v>
                </c:pt>
                <c:pt idx="789">
                  <c:v>969.48</c:v>
                </c:pt>
                <c:pt idx="790">
                  <c:v>815.08</c:v>
                </c:pt>
                <c:pt idx="791">
                  <c:v>984.92</c:v>
                </c:pt>
                <c:pt idx="792">
                  <c:v>892.28</c:v>
                </c:pt>
                <c:pt idx="793">
                  <c:v>907.72</c:v>
                </c:pt>
                <c:pt idx="794">
                  <c:v>876.84</c:v>
                </c:pt>
                <c:pt idx="795">
                  <c:v>923.16</c:v>
                </c:pt>
                <c:pt idx="796">
                  <c:v>861.4</c:v>
                </c:pt>
                <c:pt idx="797">
                  <c:v>938.6</c:v>
                </c:pt>
                <c:pt idx="798">
                  <c:v>845.96</c:v>
                </c:pt>
                <c:pt idx="799">
                  <c:v>954.04</c:v>
                </c:pt>
                <c:pt idx="800">
                  <c:v>830.52</c:v>
                </c:pt>
                <c:pt idx="801">
                  <c:v>969.48</c:v>
                </c:pt>
                <c:pt idx="802">
                  <c:v>815.08</c:v>
                </c:pt>
                <c:pt idx="803">
                  <c:v>984.92</c:v>
                </c:pt>
                <c:pt idx="804">
                  <c:v>892.28</c:v>
                </c:pt>
                <c:pt idx="805">
                  <c:v>907.72</c:v>
                </c:pt>
                <c:pt idx="806">
                  <c:v>876.84</c:v>
                </c:pt>
                <c:pt idx="807">
                  <c:v>923.16</c:v>
                </c:pt>
                <c:pt idx="808">
                  <c:v>861.4</c:v>
                </c:pt>
                <c:pt idx="809">
                  <c:v>938.6</c:v>
                </c:pt>
                <c:pt idx="810">
                  <c:v>845.96</c:v>
                </c:pt>
                <c:pt idx="811">
                  <c:v>954.04</c:v>
                </c:pt>
                <c:pt idx="812">
                  <c:v>830.52</c:v>
                </c:pt>
                <c:pt idx="813">
                  <c:v>969.48</c:v>
                </c:pt>
                <c:pt idx="814">
                  <c:v>815.08</c:v>
                </c:pt>
                <c:pt idx="815">
                  <c:v>984.92</c:v>
                </c:pt>
                <c:pt idx="816">
                  <c:v>892.28</c:v>
                </c:pt>
                <c:pt idx="817">
                  <c:v>907.72</c:v>
                </c:pt>
                <c:pt idx="818">
                  <c:v>876.84</c:v>
                </c:pt>
                <c:pt idx="819">
                  <c:v>923.16</c:v>
                </c:pt>
                <c:pt idx="820">
                  <c:v>861.4</c:v>
                </c:pt>
                <c:pt idx="821">
                  <c:v>938.6</c:v>
                </c:pt>
                <c:pt idx="822">
                  <c:v>845.96</c:v>
                </c:pt>
                <c:pt idx="823">
                  <c:v>954.04</c:v>
                </c:pt>
                <c:pt idx="824">
                  <c:v>830.52</c:v>
                </c:pt>
                <c:pt idx="825">
                  <c:v>969.48</c:v>
                </c:pt>
                <c:pt idx="826">
                  <c:v>815.08</c:v>
                </c:pt>
                <c:pt idx="827">
                  <c:v>984.92</c:v>
                </c:pt>
                <c:pt idx="828">
                  <c:v>892.28</c:v>
                </c:pt>
                <c:pt idx="829">
                  <c:v>907.72</c:v>
                </c:pt>
                <c:pt idx="830">
                  <c:v>876.84</c:v>
                </c:pt>
                <c:pt idx="831">
                  <c:v>923.16</c:v>
                </c:pt>
                <c:pt idx="832">
                  <c:v>861.4</c:v>
                </c:pt>
                <c:pt idx="833">
                  <c:v>938.6</c:v>
                </c:pt>
                <c:pt idx="834">
                  <c:v>845.96</c:v>
                </c:pt>
                <c:pt idx="835">
                  <c:v>954.04</c:v>
                </c:pt>
                <c:pt idx="836">
                  <c:v>830.52</c:v>
                </c:pt>
                <c:pt idx="837">
                  <c:v>969.48</c:v>
                </c:pt>
                <c:pt idx="838">
                  <c:v>815.08</c:v>
                </c:pt>
                <c:pt idx="839">
                  <c:v>984.92</c:v>
                </c:pt>
                <c:pt idx="840">
                  <c:v>892.28</c:v>
                </c:pt>
                <c:pt idx="841">
                  <c:v>907.72</c:v>
                </c:pt>
                <c:pt idx="842">
                  <c:v>876.84</c:v>
                </c:pt>
                <c:pt idx="843">
                  <c:v>923.16</c:v>
                </c:pt>
                <c:pt idx="844">
                  <c:v>861.4</c:v>
                </c:pt>
                <c:pt idx="845">
                  <c:v>938.6</c:v>
                </c:pt>
                <c:pt idx="846">
                  <c:v>845.96</c:v>
                </c:pt>
                <c:pt idx="847">
                  <c:v>954.04</c:v>
                </c:pt>
                <c:pt idx="848">
                  <c:v>830.52</c:v>
                </c:pt>
                <c:pt idx="849">
                  <c:v>969.48</c:v>
                </c:pt>
                <c:pt idx="850">
                  <c:v>815.08</c:v>
                </c:pt>
                <c:pt idx="851">
                  <c:v>984.92</c:v>
                </c:pt>
                <c:pt idx="852">
                  <c:v>892.28</c:v>
                </c:pt>
                <c:pt idx="853">
                  <c:v>907.72</c:v>
                </c:pt>
                <c:pt idx="854">
                  <c:v>876.84</c:v>
                </c:pt>
                <c:pt idx="855">
                  <c:v>923.16</c:v>
                </c:pt>
                <c:pt idx="856">
                  <c:v>861.4</c:v>
                </c:pt>
                <c:pt idx="857">
                  <c:v>938.6</c:v>
                </c:pt>
                <c:pt idx="858">
                  <c:v>845.96</c:v>
                </c:pt>
                <c:pt idx="859">
                  <c:v>954.04</c:v>
                </c:pt>
                <c:pt idx="860">
                  <c:v>830.52</c:v>
                </c:pt>
                <c:pt idx="861">
                  <c:v>969.48</c:v>
                </c:pt>
                <c:pt idx="862">
                  <c:v>815.08</c:v>
                </c:pt>
                <c:pt idx="863">
                  <c:v>984.92</c:v>
                </c:pt>
                <c:pt idx="864">
                  <c:v>892.28</c:v>
                </c:pt>
                <c:pt idx="865">
                  <c:v>907.72</c:v>
                </c:pt>
                <c:pt idx="866">
                  <c:v>876.84</c:v>
                </c:pt>
                <c:pt idx="867">
                  <c:v>923.16</c:v>
                </c:pt>
                <c:pt idx="868">
                  <c:v>861.4</c:v>
                </c:pt>
                <c:pt idx="869">
                  <c:v>938.6</c:v>
                </c:pt>
                <c:pt idx="870">
                  <c:v>845.96</c:v>
                </c:pt>
                <c:pt idx="871">
                  <c:v>954.04</c:v>
                </c:pt>
                <c:pt idx="872">
                  <c:v>830.52</c:v>
                </c:pt>
                <c:pt idx="873">
                  <c:v>969.48</c:v>
                </c:pt>
                <c:pt idx="874">
                  <c:v>815.08</c:v>
                </c:pt>
                <c:pt idx="875">
                  <c:v>984.92</c:v>
                </c:pt>
                <c:pt idx="876">
                  <c:v>892.28</c:v>
                </c:pt>
                <c:pt idx="877">
                  <c:v>907.72</c:v>
                </c:pt>
                <c:pt idx="878">
                  <c:v>876.84</c:v>
                </c:pt>
                <c:pt idx="879">
                  <c:v>923.16</c:v>
                </c:pt>
                <c:pt idx="880">
                  <c:v>861.4</c:v>
                </c:pt>
                <c:pt idx="881">
                  <c:v>938.6</c:v>
                </c:pt>
                <c:pt idx="882">
                  <c:v>845.96</c:v>
                </c:pt>
                <c:pt idx="883">
                  <c:v>954.04</c:v>
                </c:pt>
                <c:pt idx="884">
                  <c:v>830.52</c:v>
                </c:pt>
                <c:pt idx="885">
                  <c:v>969.48</c:v>
                </c:pt>
                <c:pt idx="886">
                  <c:v>815.08</c:v>
                </c:pt>
                <c:pt idx="887">
                  <c:v>984.92</c:v>
                </c:pt>
                <c:pt idx="888">
                  <c:v>892.28</c:v>
                </c:pt>
                <c:pt idx="889">
                  <c:v>907.72</c:v>
                </c:pt>
                <c:pt idx="890">
                  <c:v>876.84</c:v>
                </c:pt>
                <c:pt idx="891">
                  <c:v>923.16</c:v>
                </c:pt>
                <c:pt idx="892">
                  <c:v>861.4</c:v>
                </c:pt>
                <c:pt idx="893">
                  <c:v>938.6</c:v>
                </c:pt>
                <c:pt idx="894">
                  <c:v>845.96</c:v>
                </c:pt>
                <c:pt idx="895">
                  <c:v>954.04</c:v>
                </c:pt>
                <c:pt idx="896">
                  <c:v>830.52</c:v>
                </c:pt>
                <c:pt idx="897">
                  <c:v>969.48</c:v>
                </c:pt>
                <c:pt idx="898">
                  <c:v>815.08</c:v>
                </c:pt>
                <c:pt idx="899">
                  <c:v>984.92</c:v>
                </c:pt>
                <c:pt idx="900">
                  <c:v>892.28</c:v>
                </c:pt>
                <c:pt idx="901">
                  <c:v>907.72</c:v>
                </c:pt>
                <c:pt idx="902">
                  <c:v>876.84</c:v>
                </c:pt>
                <c:pt idx="903">
                  <c:v>923.16</c:v>
                </c:pt>
                <c:pt idx="904">
                  <c:v>861.4</c:v>
                </c:pt>
                <c:pt idx="905">
                  <c:v>938.6</c:v>
                </c:pt>
                <c:pt idx="906">
                  <c:v>845.96</c:v>
                </c:pt>
                <c:pt idx="907">
                  <c:v>954.04</c:v>
                </c:pt>
                <c:pt idx="908">
                  <c:v>830.52</c:v>
                </c:pt>
                <c:pt idx="909">
                  <c:v>969.48</c:v>
                </c:pt>
                <c:pt idx="910">
                  <c:v>815.08</c:v>
                </c:pt>
                <c:pt idx="911">
                  <c:v>984.92</c:v>
                </c:pt>
                <c:pt idx="912">
                  <c:v>892.28</c:v>
                </c:pt>
                <c:pt idx="913">
                  <c:v>907.72</c:v>
                </c:pt>
                <c:pt idx="914">
                  <c:v>876.84</c:v>
                </c:pt>
                <c:pt idx="915">
                  <c:v>923.16</c:v>
                </c:pt>
                <c:pt idx="916">
                  <c:v>861.4</c:v>
                </c:pt>
                <c:pt idx="917">
                  <c:v>938.6</c:v>
                </c:pt>
                <c:pt idx="918">
                  <c:v>845.96</c:v>
                </c:pt>
                <c:pt idx="919">
                  <c:v>954.04</c:v>
                </c:pt>
                <c:pt idx="920">
                  <c:v>830.52</c:v>
                </c:pt>
                <c:pt idx="921">
                  <c:v>969.48</c:v>
                </c:pt>
                <c:pt idx="922">
                  <c:v>815.08</c:v>
                </c:pt>
                <c:pt idx="923">
                  <c:v>984.92</c:v>
                </c:pt>
                <c:pt idx="924">
                  <c:v>892.28</c:v>
                </c:pt>
                <c:pt idx="925">
                  <c:v>907.72</c:v>
                </c:pt>
                <c:pt idx="926">
                  <c:v>876.84</c:v>
                </c:pt>
                <c:pt idx="927">
                  <c:v>923.16</c:v>
                </c:pt>
                <c:pt idx="928">
                  <c:v>861.4</c:v>
                </c:pt>
                <c:pt idx="929">
                  <c:v>938.6</c:v>
                </c:pt>
                <c:pt idx="930">
                  <c:v>845.96</c:v>
                </c:pt>
                <c:pt idx="931">
                  <c:v>954.04</c:v>
                </c:pt>
                <c:pt idx="932">
                  <c:v>830.52</c:v>
                </c:pt>
                <c:pt idx="933">
                  <c:v>969.48</c:v>
                </c:pt>
                <c:pt idx="934">
                  <c:v>815.08</c:v>
                </c:pt>
                <c:pt idx="935">
                  <c:v>984.92</c:v>
                </c:pt>
                <c:pt idx="936">
                  <c:v>892.28</c:v>
                </c:pt>
                <c:pt idx="937">
                  <c:v>907.72</c:v>
                </c:pt>
                <c:pt idx="938">
                  <c:v>876.84</c:v>
                </c:pt>
                <c:pt idx="939">
                  <c:v>923.16</c:v>
                </c:pt>
                <c:pt idx="940">
                  <c:v>861.4</c:v>
                </c:pt>
                <c:pt idx="941">
                  <c:v>938.6</c:v>
                </c:pt>
                <c:pt idx="942">
                  <c:v>845.96</c:v>
                </c:pt>
                <c:pt idx="943">
                  <c:v>954.04</c:v>
                </c:pt>
                <c:pt idx="944">
                  <c:v>830.52</c:v>
                </c:pt>
                <c:pt idx="945">
                  <c:v>969.48</c:v>
                </c:pt>
                <c:pt idx="946">
                  <c:v>815.08</c:v>
                </c:pt>
                <c:pt idx="947">
                  <c:v>984.92</c:v>
                </c:pt>
                <c:pt idx="948">
                  <c:v>892.28</c:v>
                </c:pt>
                <c:pt idx="949">
                  <c:v>907.72</c:v>
                </c:pt>
                <c:pt idx="950">
                  <c:v>876.84</c:v>
                </c:pt>
                <c:pt idx="951">
                  <c:v>923.16</c:v>
                </c:pt>
                <c:pt idx="952">
                  <c:v>861.4</c:v>
                </c:pt>
                <c:pt idx="953">
                  <c:v>938.6</c:v>
                </c:pt>
                <c:pt idx="954">
                  <c:v>845.96</c:v>
                </c:pt>
                <c:pt idx="955">
                  <c:v>954.04</c:v>
                </c:pt>
                <c:pt idx="956">
                  <c:v>830.52</c:v>
                </c:pt>
                <c:pt idx="957">
                  <c:v>969.48</c:v>
                </c:pt>
                <c:pt idx="958">
                  <c:v>815.08</c:v>
                </c:pt>
                <c:pt idx="959">
                  <c:v>984.92</c:v>
                </c:pt>
                <c:pt idx="960">
                  <c:v>892.28</c:v>
                </c:pt>
                <c:pt idx="961">
                  <c:v>907.72</c:v>
                </c:pt>
                <c:pt idx="962">
                  <c:v>876.84</c:v>
                </c:pt>
                <c:pt idx="963">
                  <c:v>923.16</c:v>
                </c:pt>
                <c:pt idx="964">
                  <c:v>861.4</c:v>
                </c:pt>
                <c:pt idx="965">
                  <c:v>938.6</c:v>
                </c:pt>
                <c:pt idx="966">
                  <c:v>845.96</c:v>
                </c:pt>
                <c:pt idx="967">
                  <c:v>954.04</c:v>
                </c:pt>
                <c:pt idx="968">
                  <c:v>830.52</c:v>
                </c:pt>
                <c:pt idx="969">
                  <c:v>969.48</c:v>
                </c:pt>
                <c:pt idx="970">
                  <c:v>815.08</c:v>
                </c:pt>
                <c:pt idx="971">
                  <c:v>984.92</c:v>
                </c:pt>
                <c:pt idx="972">
                  <c:v>892.28</c:v>
                </c:pt>
                <c:pt idx="973">
                  <c:v>907.72</c:v>
                </c:pt>
                <c:pt idx="974">
                  <c:v>876.84</c:v>
                </c:pt>
                <c:pt idx="975">
                  <c:v>923.16</c:v>
                </c:pt>
                <c:pt idx="976">
                  <c:v>861.4</c:v>
                </c:pt>
                <c:pt idx="977">
                  <c:v>938.6</c:v>
                </c:pt>
                <c:pt idx="978">
                  <c:v>845.96</c:v>
                </c:pt>
                <c:pt idx="979">
                  <c:v>954.04</c:v>
                </c:pt>
                <c:pt idx="980">
                  <c:v>830.52</c:v>
                </c:pt>
                <c:pt idx="981">
                  <c:v>969.48</c:v>
                </c:pt>
                <c:pt idx="982">
                  <c:v>815.08</c:v>
                </c:pt>
                <c:pt idx="983">
                  <c:v>984.92</c:v>
                </c:pt>
                <c:pt idx="984">
                  <c:v>892.28</c:v>
                </c:pt>
                <c:pt idx="985">
                  <c:v>907.72</c:v>
                </c:pt>
                <c:pt idx="986">
                  <c:v>876.84</c:v>
                </c:pt>
                <c:pt idx="987">
                  <c:v>923.16</c:v>
                </c:pt>
                <c:pt idx="988">
                  <c:v>861.4</c:v>
                </c:pt>
                <c:pt idx="989">
                  <c:v>938.6</c:v>
                </c:pt>
                <c:pt idx="990">
                  <c:v>845.96</c:v>
                </c:pt>
                <c:pt idx="991">
                  <c:v>954.04</c:v>
                </c:pt>
                <c:pt idx="992">
                  <c:v>830.52</c:v>
                </c:pt>
                <c:pt idx="993">
                  <c:v>969.48</c:v>
                </c:pt>
                <c:pt idx="994">
                  <c:v>815.08</c:v>
                </c:pt>
                <c:pt idx="995">
                  <c:v>984.92</c:v>
                </c:pt>
                <c:pt idx="996">
                  <c:v>892.28</c:v>
                </c:pt>
                <c:pt idx="997">
                  <c:v>907.72</c:v>
                </c:pt>
                <c:pt idx="998">
                  <c:v>876.84</c:v>
                </c:pt>
                <c:pt idx="999">
                  <c:v>923.16</c:v>
                </c:pt>
              </c:numCache>
            </c:numRef>
          </c:xVal>
          <c:yVal>
            <c:numRef>
              <c:f>'Dance p'!$AK$92:$AK$1091</c:f>
              <c:numCache>
                <c:formatCode>General</c:formatCode>
                <c:ptCount val="1000"/>
                <c:pt idx="0">
                  <c:v>0.80500000000000005</c:v>
                </c:pt>
                <c:pt idx="1">
                  <c:v>0.80500000000000005</c:v>
                </c:pt>
                <c:pt idx="2">
                  <c:v>0.80500000000000005</c:v>
                </c:pt>
                <c:pt idx="3">
                  <c:v>0.80500000000000005</c:v>
                </c:pt>
                <c:pt idx="4">
                  <c:v>0.80500000000000005</c:v>
                </c:pt>
                <c:pt idx="5">
                  <c:v>0.80500000000000005</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21-E39F-470B-B5CD-D5A3D761E019}"/>
            </c:ext>
          </c:extLst>
        </c:ser>
        <c:ser>
          <c:idx val="1"/>
          <c:order val="19"/>
          <c:spPr>
            <a:ln w="28575">
              <a:noFill/>
            </a:ln>
          </c:spPr>
          <c:marker>
            <c:symbol val="square"/>
            <c:size val="5"/>
            <c:spPr>
              <a:solidFill>
                <a:srgbClr val="FF8080"/>
              </a:solidFill>
              <a:ln>
                <a:solidFill>
                  <a:srgbClr val="969696"/>
                </a:solidFill>
                <a:prstDash val="solid"/>
              </a:ln>
            </c:spPr>
          </c:marker>
          <c:xVal>
            <c:numRef>
              <c:f>'Dance p'!$AL$92:$AL$1091</c:f>
              <c:numCache>
                <c:formatCode>General</c:formatCode>
                <c:ptCount val="1000"/>
                <c:pt idx="0">
                  <c:v>692.28</c:v>
                </c:pt>
                <c:pt idx="1">
                  <c:v>707.72</c:v>
                </c:pt>
                <c:pt idx="2">
                  <c:v>676.84</c:v>
                </c:pt>
                <c:pt idx="3">
                  <c:v>723.16</c:v>
                </c:pt>
                <c:pt idx="4">
                  <c:v>661.4</c:v>
                </c:pt>
                <c:pt idx="5">
                  <c:v>738.6</c:v>
                </c:pt>
                <c:pt idx="6">
                  <c:v>645.96</c:v>
                </c:pt>
                <c:pt idx="7">
                  <c:v>754.04</c:v>
                </c:pt>
                <c:pt idx="8">
                  <c:v>630.52</c:v>
                </c:pt>
                <c:pt idx="9">
                  <c:v>769.48</c:v>
                </c:pt>
                <c:pt idx="10">
                  <c:v>615.08000000000004</c:v>
                </c:pt>
                <c:pt idx="11">
                  <c:v>784.92</c:v>
                </c:pt>
                <c:pt idx="12">
                  <c:v>692.28</c:v>
                </c:pt>
                <c:pt idx="13">
                  <c:v>707.72</c:v>
                </c:pt>
                <c:pt idx="14">
                  <c:v>676.84</c:v>
                </c:pt>
                <c:pt idx="15">
                  <c:v>723.16</c:v>
                </c:pt>
                <c:pt idx="16">
                  <c:v>661.4</c:v>
                </c:pt>
                <c:pt idx="17">
                  <c:v>738.6</c:v>
                </c:pt>
                <c:pt idx="18">
                  <c:v>645.96</c:v>
                </c:pt>
                <c:pt idx="19">
                  <c:v>754.04</c:v>
                </c:pt>
                <c:pt idx="20">
                  <c:v>630.52</c:v>
                </c:pt>
                <c:pt idx="21">
                  <c:v>769.48</c:v>
                </c:pt>
                <c:pt idx="22">
                  <c:v>615.08000000000004</c:v>
                </c:pt>
                <c:pt idx="23">
                  <c:v>784.92</c:v>
                </c:pt>
                <c:pt idx="24">
                  <c:v>692.28</c:v>
                </c:pt>
                <c:pt idx="25">
                  <c:v>707.72</c:v>
                </c:pt>
                <c:pt idx="26">
                  <c:v>676.84</c:v>
                </c:pt>
                <c:pt idx="27">
                  <c:v>723.16</c:v>
                </c:pt>
                <c:pt idx="28">
                  <c:v>661.4</c:v>
                </c:pt>
                <c:pt idx="29">
                  <c:v>738.6</c:v>
                </c:pt>
                <c:pt idx="30">
                  <c:v>645.96</c:v>
                </c:pt>
                <c:pt idx="31">
                  <c:v>754.04</c:v>
                </c:pt>
                <c:pt idx="32">
                  <c:v>630.52</c:v>
                </c:pt>
                <c:pt idx="33">
                  <c:v>769.48</c:v>
                </c:pt>
                <c:pt idx="34">
                  <c:v>615.08000000000004</c:v>
                </c:pt>
                <c:pt idx="35">
                  <c:v>784.92</c:v>
                </c:pt>
                <c:pt idx="36">
                  <c:v>692.28</c:v>
                </c:pt>
                <c:pt idx="37">
                  <c:v>707.72</c:v>
                </c:pt>
                <c:pt idx="38">
                  <c:v>676.84</c:v>
                </c:pt>
                <c:pt idx="39">
                  <c:v>723.16</c:v>
                </c:pt>
                <c:pt idx="40">
                  <c:v>661.4</c:v>
                </c:pt>
                <c:pt idx="41">
                  <c:v>738.6</c:v>
                </c:pt>
                <c:pt idx="42">
                  <c:v>645.96</c:v>
                </c:pt>
                <c:pt idx="43">
                  <c:v>754.04</c:v>
                </c:pt>
                <c:pt idx="44">
                  <c:v>630.52</c:v>
                </c:pt>
                <c:pt idx="45">
                  <c:v>769.48</c:v>
                </c:pt>
                <c:pt idx="46">
                  <c:v>615.08000000000004</c:v>
                </c:pt>
                <c:pt idx="47">
                  <c:v>784.92</c:v>
                </c:pt>
                <c:pt idx="48">
                  <c:v>692.28</c:v>
                </c:pt>
                <c:pt idx="49">
                  <c:v>707.72</c:v>
                </c:pt>
                <c:pt idx="50">
                  <c:v>676.84</c:v>
                </c:pt>
                <c:pt idx="51">
                  <c:v>723.16</c:v>
                </c:pt>
                <c:pt idx="52">
                  <c:v>661.4</c:v>
                </c:pt>
                <c:pt idx="53">
                  <c:v>738.6</c:v>
                </c:pt>
                <c:pt idx="54">
                  <c:v>645.96</c:v>
                </c:pt>
                <c:pt idx="55">
                  <c:v>754.04</c:v>
                </c:pt>
                <c:pt idx="56">
                  <c:v>630.52</c:v>
                </c:pt>
                <c:pt idx="57">
                  <c:v>769.48</c:v>
                </c:pt>
                <c:pt idx="58">
                  <c:v>615.08000000000004</c:v>
                </c:pt>
                <c:pt idx="59">
                  <c:v>784.92</c:v>
                </c:pt>
                <c:pt idx="60">
                  <c:v>692.28</c:v>
                </c:pt>
                <c:pt idx="61">
                  <c:v>707.72</c:v>
                </c:pt>
                <c:pt idx="62">
                  <c:v>676.84</c:v>
                </c:pt>
                <c:pt idx="63">
                  <c:v>723.16</c:v>
                </c:pt>
                <c:pt idx="64">
                  <c:v>661.4</c:v>
                </c:pt>
                <c:pt idx="65">
                  <c:v>738.6</c:v>
                </c:pt>
                <c:pt idx="66">
                  <c:v>645.96</c:v>
                </c:pt>
                <c:pt idx="67">
                  <c:v>754.04</c:v>
                </c:pt>
                <c:pt idx="68">
                  <c:v>630.52</c:v>
                </c:pt>
                <c:pt idx="69">
                  <c:v>769.48</c:v>
                </c:pt>
                <c:pt idx="70">
                  <c:v>615.08000000000004</c:v>
                </c:pt>
                <c:pt idx="71">
                  <c:v>784.92</c:v>
                </c:pt>
                <c:pt idx="72">
                  <c:v>692.28</c:v>
                </c:pt>
                <c:pt idx="73">
                  <c:v>707.72</c:v>
                </c:pt>
                <c:pt idx="74">
                  <c:v>676.84</c:v>
                </c:pt>
                <c:pt idx="75">
                  <c:v>723.16</c:v>
                </c:pt>
                <c:pt idx="76">
                  <c:v>661.4</c:v>
                </c:pt>
                <c:pt idx="77">
                  <c:v>738.6</c:v>
                </c:pt>
                <c:pt idx="78">
                  <c:v>645.96</c:v>
                </c:pt>
                <c:pt idx="79">
                  <c:v>754.04</c:v>
                </c:pt>
                <c:pt idx="80">
                  <c:v>630.52</c:v>
                </c:pt>
                <c:pt idx="81">
                  <c:v>769.48</c:v>
                </c:pt>
                <c:pt idx="82">
                  <c:v>615.08000000000004</c:v>
                </c:pt>
                <c:pt idx="83">
                  <c:v>784.92</c:v>
                </c:pt>
                <c:pt idx="84">
                  <c:v>692.28</c:v>
                </c:pt>
                <c:pt idx="85">
                  <c:v>707.72</c:v>
                </c:pt>
                <c:pt idx="86">
                  <c:v>676.84</c:v>
                </c:pt>
                <c:pt idx="87">
                  <c:v>723.16</c:v>
                </c:pt>
                <c:pt idx="88">
                  <c:v>661.4</c:v>
                </c:pt>
                <c:pt idx="89">
                  <c:v>738.6</c:v>
                </c:pt>
                <c:pt idx="90">
                  <c:v>645.96</c:v>
                </c:pt>
                <c:pt idx="91">
                  <c:v>754.04</c:v>
                </c:pt>
                <c:pt idx="92">
                  <c:v>630.52</c:v>
                </c:pt>
                <c:pt idx="93">
                  <c:v>769.48</c:v>
                </c:pt>
                <c:pt idx="94">
                  <c:v>615.08000000000004</c:v>
                </c:pt>
                <c:pt idx="95">
                  <c:v>784.92</c:v>
                </c:pt>
                <c:pt idx="96">
                  <c:v>692.28</c:v>
                </c:pt>
                <c:pt idx="97">
                  <c:v>707.72</c:v>
                </c:pt>
                <c:pt idx="98">
                  <c:v>676.84</c:v>
                </c:pt>
                <c:pt idx="99">
                  <c:v>723.16</c:v>
                </c:pt>
                <c:pt idx="100">
                  <c:v>661.4</c:v>
                </c:pt>
                <c:pt idx="101">
                  <c:v>738.6</c:v>
                </c:pt>
                <c:pt idx="102">
                  <c:v>645.96</c:v>
                </c:pt>
                <c:pt idx="103">
                  <c:v>754.04</c:v>
                </c:pt>
                <c:pt idx="104">
                  <c:v>630.52</c:v>
                </c:pt>
                <c:pt idx="105">
                  <c:v>769.48</c:v>
                </c:pt>
                <c:pt idx="106">
                  <c:v>615.08000000000004</c:v>
                </c:pt>
                <c:pt idx="107">
                  <c:v>784.92</c:v>
                </c:pt>
                <c:pt idx="108">
                  <c:v>692.28</c:v>
                </c:pt>
                <c:pt idx="109">
                  <c:v>707.72</c:v>
                </c:pt>
                <c:pt idx="110">
                  <c:v>676.84</c:v>
                </c:pt>
                <c:pt idx="111">
                  <c:v>723.16</c:v>
                </c:pt>
                <c:pt idx="112">
                  <c:v>661.4</c:v>
                </c:pt>
                <c:pt idx="113">
                  <c:v>738.6</c:v>
                </c:pt>
                <c:pt idx="114">
                  <c:v>645.96</c:v>
                </c:pt>
                <c:pt idx="115">
                  <c:v>754.04</c:v>
                </c:pt>
                <c:pt idx="116">
                  <c:v>630.52</c:v>
                </c:pt>
                <c:pt idx="117">
                  <c:v>769.48</c:v>
                </c:pt>
                <c:pt idx="118">
                  <c:v>615.08000000000004</c:v>
                </c:pt>
                <c:pt idx="119">
                  <c:v>784.92</c:v>
                </c:pt>
                <c:pt idx="120">
                  <c:v>692.28</c:v>
                </c:pt>
                <c:pt idx="121">
                  <c:v>707.72</c:v>
                </c:pt>
                <c:pt idx="122">
                  <c:v>676.84</c:v>
                </c:pt>
                <c:pt idx="123">
                  <c:v>723.16</c:v>
                </c:pt>
                <c:pt idx="124">
                  <c:v>661.4</c:v>
                </c:pt>
                <c:pt idx="125">
                  <c:v>738.6</c:v>
                </c:pt>
                <c:pt idx="126">
                  <c:v>645.96</c:v>
                </c:pt>
                <c:pt idx="127">
                  <c:v>754.04</c:v>
                </c:pt>
                <c:pt idx="128">
                  <c:v>630.52</c:v>
                </c:pt>
                <c:pt idx="129">
                  <c:v>769.48</c:v>
                </c:pt>
                <c:pt idx="130">
                  <c:v>615.08000000000004</c:v>
                </c:pt>
                <c:pt idx="131">
                  <c:v>784.92</c:v>
                </c:pt>
                <c:pt idx="132">
                  <c:v>692.28</c:v>
                </c:pt>
                <c:pt idx="133">
                  <c:v>707.72</c:v>
                </c:pt>
                <c:pt idx="134">
                  <c:v>676.84</c:v>
                </c:pt>
                <c:pt idx="135">
                  <c:v>723.16</c:v>
                </c:pt>
                <c:pt idx="136">
                  <c:v>661.4</c:v>
                </c:pt>
                <c:pt idx="137">
                  <c:v>738.6</c:v>
                </c:pt>
                <c:pt idx="138">
                  <c:v>645.96</c:v>
                </c:pt>
                <c:pt idx="139">
                  <c:v>754.04</c:v>
                </c:pt>
                <c:pt idx="140">
                  <c:v>630.52</c:v>
                </c:pt>
                <c:pt idx="141">
                  <c:v>769.48</c:v>
                </c:pt>
                <c:pt idx="142">
                  <c:v>615.08000000000004</c:v>
                </c:pt>
                <c:pt idx="143">
                  <c:v>784.92</c:v>
                </c:pt>
                <c:pt idx="144">
                  <c:v>692.28</c:v>
                </c:pt>
                <c:pt idx="145">
                  <c:v>707.72</c:v>
                </c:pt>
                <c:pt idx="146">
                  <c:v>676.84</c:v>
                </c:pt>
                <c:pt idx="147">
                  <c:v>723.16</c:v>
                </c:pt>
                <c:pt idx="148">
                  <c:v>661.4</c:v>
                </c:pt>
                <c:pt idx="149">
                  <c:v>738.6</c:v>
                </c:pt>
                <c:pt idx="150">
                  <c:v>645.96</c:v>
                </c:pt>
                <c:pt idx="151">
                  <c:v>754.04</c:v>
                </c:pt>
                <c:pt idx="152">
                  <c:v>630.52</c:v>
                </c:pt>
                <c:pt idx="153">
                  <c:v>769.48</c:v>
                </c:pt>
                <c:pt idx="154">
                  <c:v>615.08000000000004</c:v>
                </c:pt>
                <c:pt idx="155">
                  <c:v>784.92</c:v>
                </c:pt>
                <c:pt idx="156">
                  <c:v>692.28</c:v>
                </c:pt>
                <c:pt idx="157">
                  <c:v>707.72</c:v>
                </c:pt>
                <c:pt idx="158">
                  <c:v>676.84</c:v>
                </c:pt>
                <c:pt idx="159">
                  <c:v>723.16</c:v>
                </c:pt>
                <c:pt idx="160">
                  <c:v>661.4</c:v>
                </c:pt>
                <c:pt idx="161">
                  <c:v>738.6</c:v>
                </c:pt>
                <c:pt idx="162">
                  <c:v>645.96</c:v>
                </c:pt>
                <c:pt idx="163">
                  <c:v>754.04</c:v>
                </c:pt>
                <c:pt idx="164">
                  <c:v>630.52</c:v>
                </c:pt>
                <c:pt idx="165">
                  <c:v>769.48</c:v>
                </c:pt>
                <c:pt idx="166">
                  <c:v>615.08000000000004</c:v>
                </c:pt>
                <c:pt idx="167">
                  <c:v>784.92</c:v>
                </c:pt>
                <c:pt idx="168">
                  <c:v>692.28</c:v>
                </c:pt>
                <c:pt idx="169">
                  <c:v>707.72</c:v>
                </c:pt>
                <c:pt idx="170">
                  <c:v>676.84</c:v>
                </c:pt>
                <c:pt idx="171">
                  <c:v>723.16</c:v>
                </c:pt>
                <c:pt idx="172">
                  <c:v>661.4</c:v>
                </c:pt>
                <c:pt idx="173">
                  <c:v>738.6</c:v>
                </c:pt>
                <c:pt idx="174">
                  <c:v>645.96</c:v>
                </c:pt>
                <c:pt idx="175">
                  <c:v>754.04</c:v>
                </c:pt>
                <c:pt idx="176">
                  <c:v>630.52</c:v>
                </c:pt>
                <c:pt idx="177">
                  <c:v>769.48</c:v>
                </c:pt>
                <c:pt idx="178">
                  <c:v>615.08000000000004</c:v>
                </c:pt>
                <c:pt idx="179">
                  <c:v>784.92</c:v>
                </c:pt>
                <c:pt idx="180">
                  <c:v>692.28</c:v>
                </c:pt>
                <c:pt idx="181">
                  <c:v>707.72</c:v>
                </c:pt>
                <c:pt idx="182">
                  <c:v>676.84</c:v>
                </c:pt>
                <c:pt idx="183">
                  <c:v>723.16</c:v>
                </c:pt>
                <c:pt idx="184">
                  <c:v>661.4</c:v>
                </c:pt>
                <c:pt idx="185">
                  <c:v>738.6</c:v>
                </c:pt>
                <c:pt idx="186">
                  <c:v>645.96</c:v>
                </c:pt>
                <c:pt idx="187">
                  <c:v>754.04</c:v>
                </c:pt>
                <c:pt idx="188">
                  <c:v>630.52</c:v>
                </c:pt>
                <c:pt idx="189">
                  <c:v>769.48</c:v>
                </c:pt>
                <c:pt idx="190">
                  <c:v>615.08000000000004</c:v>
                </c:pt>
                <c:pt idx="191">
                  <c:v>784.92</c:v>
                </c:pt>
                <c:pt idx="192">
                  <c:v>692.28</c:v>
                </c:pt>
                <c:pt idx="193">
                  <c:v>707.72</c:v>
                </c:pt>
                <c:pt idx="194">
                  <c:v>676.84</c:v>
                </c:pt>
                <c:pt idx="195">
                  <c:v>723.16</c:v>
                </c:pt>
                <c:pt idx="196">
                  <c:v>661.4</c:v>
                </c:pt>
                <c:pt idx="197">
                  <c:v>738.6</c:v>
                </c:pt>
                <c:pt idx="198">
                  <c:v>645.96</c:v>
                </c:pt>
                <c:pt idx="199">
                  <c:v>754.04</c:v>
                </c:pt>
                <c:pt idx="200">
                  <c:v>630.52</c:v>
                </c:pt>
                <c:pt idx="201">
                  <c:v>769.48</c:v>
                </c:pt>
                <c:pt idx="202">
                  <c:v>615.08000000000004</c:v>
                </c:pt>
                <c:pt idx="203">
                  <c:v>784.92</c:v>
                </c:pt>
                <c:pt idx="204">
                  <c:v>692.28</c:v>
                </c:pt>
                <c:pt idx="205">
                  <c:v>707.72</c:v>
                </c:pt>
                <c:pt idx="206">
                  <c:v>676.84</c:v>
                </c:pt>
                <c:pt idx="207">
                  <c:v>723.16</c:v>
                </c:pt>
                <c:pt idx="208">
                  <c:v>661.4</c:v>
                </c:pt>
                <c:pt idx="209">
                  <c:v>738.6</c:v>
                </c:pt>
                <c:pt idx="210">
                  <c:v>645.96</c:v>
                </c:pt>
                <c:pt idx="211">
                  <c:v>754.04</c:v>
                </c:pt>
                <c:pt idx="212">
                  <c:v>630.52</c:v>
                </c:pt>
                <c:pt idx="213">
                  <c:v>769.48</c:v>
                </c:pt>
                <c:pt idx="214">
                  <c:v>615.08000000000004</c:v>
                </c:pt>
                <c:pt idx="215">
                  <c:v>784.92</c:v>
                </c:pt>
                <c:pt idx="216">
                  <c:v>692.28</c:v>
                </c:pt>
                <c:pt idx="217">
                  <c:v>707.72</c:v>
                </c:pt>
                <c:pt idx="218">
                  <c:v>676.84</c:v>
                </c:pt>
                <c:pt idx="219">
                  <c:v>723.16</c:v>
                </c:pt>
                <c:pt idx="220">
                  <c:v>661.4</c:v>
                </c:pt>
                <c:pt idx="221">
                  <c:v>738.6</c:v>
                </c:pt>
                <c:pt idx="222">
                  <c:v>645.96</c:v>
                </c:pt>
                <c:pt idx="223">
                  <c:v>754.04</c:v>
                </c:pt>
                <c:pt idx="224">
                  <c:v>630.52</c:v>
                </c:pt>
                <c:pt idx="225">
                  <c:v>769.48</c:v>
                </c:pt>
                <c:pt idx="226">
                  <c:v>615.08000000000004</c:v>
                </c:pt>
                <c:pt idx="227">
                  <c:v>784.92</c:v>
                </c:pt>
                <c:pt idx="228">
                  <c:v>692.28</c:v>
                </c:pt>
                <c:pt idx="229">
                  <c:v>707.72</c:v>
                </c:pt>
                <c:pt idx="230">
                  <c:v>676.84</c:v>
                </c:pt>
                <c:pt idx="231">
                  <c:v>723.16</c:v>
                </c:pt>
                <c:pt idx="232">
                  <c:v>661.4</c:v>
                </c:pt>
                <c:pt idx="233">
                  <c:v>738.6</c:v>
                </c:pt>
                <c:pt idx="234">
                  <c:v>645.96</c:v>
                </c:pt>
                <c:pt idx="235">
                  <c:v>754.04</c:v>
                </c:pt>
                <c:pt idx="236">
                  <c:v>630.52</c:v>
                </c:pt>
                <c:pt idx="237">
                  <c:v>769.48</c:v>
                </c:pt>
                <c:pt idx="238">
                  <c:v>615.08000000000004</c:v>
                </c:pt>
                <c:pt idx="239">
                  <c:v>784.92</c:v>
                </c:pt>
                <c:pt idx="240">
                  <c:v>692.28</c:v>
                </c:pt>
                <c:pt idx="241">
                  <c:v>707.72</c:v>
                </c:pt>
                <c:pt idx="242">
                  <c:v>676.84</c:v>
                </c:pt>
                <c:pt idx="243">
                  <c:v>723.16</c:v>
                </c:pt>
                <c:pt idx="244">
                  <c:v>661.4</c:v>
                </c:pt>
                <c:pt idx="245">
                  <c:v>738.6</c:v>
                </c:pt>
                <c:pt idx="246">
                  <c:v>645.96</c:v>
                </c:pt>
                <c:pt idx="247">
                  <c:v>754.04</c:v>
                </c:pt>
                <c:pt idx="248">
                  <c:v>630.52</c:v>
                </c:pt>
                <c:pt idx="249">
                  <c:v>769.48</c:v>
                </c:pt>
                <c:pt idx="250">
                  <c:v>615.08000000000004</c:v>
                </c:pt>
                <c:pt idx="251">
                  <c:v>784.92</c:v>
                </c:pt>
                <c:pt idx="252">
                  <c:v>692.28</c:v>
                </c:pt>
                <c:pt idx="253">
                  <c:v>707.72</c:v>
                </c:pt>
                <c:pt idx="254">
                  <c:v>676.84</c:v>
                </c:pt>
                <c:pt idx="255">
                  <c:v>723.16</c:v>
                </c:pt>
                <c:pt idx="256">
                  <c:v>661.4</c:v>
                </c:pt>
                <c:pt idx="257">
                  <c:v>738.6</c:v>
                </c:pt>
                <c:pt idx="258">
                  <c:v>645.96</c:v>
                </c:pt>
                <c:pt idx="259">
                  <c:v>754.04</c:v>
                </c:pt>
                <c:pt idx="260">
                  <c:v>630.52</c:v>
                </c:pt>
                <c:pt idx="261">
                  <c:v>769.48</c:v>
                </c:pt>
                <c:pt idx="262">
                  <c:v>615.08000000000004</c:v>
                </c:pt>
                <c:pt idx="263">
                  <c:v>784.92</c:v>
                </c:pt>
                <c:pt idx="264">
                  <c:v>692.28</c:v>
                </c:pt>
                <c:pt idx="265">
                  <c:v>707.72</c:v>
                </c:pt>
                <c:pt idx="266">
                  <c:v>676.84</c:v>
                </c:pt>
                <c:pt idx="267">
                  <c:v>723.16</c:v>
                </c:pt>
                <c:pt idx="268">
                  <c:v>661.4</c:v>
                </c:pt>
                <c:pt idx="269">
                  <c:v>738.6</c:v>
                </c:pt>
                <c:pt idx="270">
                  <c:v>645.96</c:v>
                </c:pt>
                <c:pt idx="271">
                  <c:v>754.04</c:v>
                </c:pt>
                <c:pt idx="272">
                  <c:v>630.52</c:v>
                </c:pt>
                <c:pt idx="273">
                  <c:v>769.48</c:v>
                </c:pt>
                <c:pt idx="274">
                  <c:v>615.08000000000004</c:v>
                </c:pt>
                <c:pt idx="275">
                  <c:v>784.92</c:v>
                </c:pt>
                <c:pt idx="276">
                  <c:v>692.28</c:v>
                </c:pt>
                <c:pt idx="277">
                  <c:v>707.72</c:v>
                </c:pt>
                <c:pt idx="278">
                  <c:v>676.84</c:v>
                </c:pt>
                <c:pt idx="279">
                  <c:v>723.16</c:v>
                </c:pt>
                <c:pt idx="280">
                  <c:v>661.4</c:v>
                </c:pt>
                <c:pt idx="281">
                  <c:v>738.6</c:v>
                </c:pt>
                <c:pt idx="282">
                  <c:v>645.96</c:v>
                </c:pt>
                <c:pt idx="283">
                  <c:v>754.04</c:v>
                </c:pt>
                <c:pt idx="284">
                  <c:v>630.52</c:v>
                </c:pt>
                <c:pt idx="285">
                  <c:v>769.48</c:v>
                </c:pt>
                <c:pt idx="286">
                  <c:v>615.08000000000004</c:v>
                </c:pt>
                <c:pt idx="287">
                  <c:v>784.92</c:v>
                </c:pt>
                <c:pt idx="288">
                  <c:v>692.28</c:v>
                </c:pt>
                <c:pt idx="289">
                  <c:v>707.72</c:v>
                </c:pt>
                <c:pt idx="290">
                  <c:v>676.84</c:v>
                </c:pt>
                <c:pt idx="291">
                  <c:v>723.16</c:v>
                </c:pt>
                <c:pt idx="292">
                  <c:v>661.4</c:v>
                </c:pt>
                <c:pt idx="293">
                  <c:v>738.6</c:v>
                </c:pt>
                <c:pt idx="294">
                  <c:v>645.96</c:v>
                </c:pt>
                <c:pt idx="295">
                  <c:v>754.04</c:v>
                </c:pt>
                <c:pt idx="296">
                  <c:v>630.52</c:v>
                </c:pt>
                <c:pt idx="297">
                  <c:v>769.48</c:v>
                </c:pt>
                <c:pt idx="298">
                  <c:v>615.08000000000004</c:v>
                </c:pt>
                <c:pt idx="299">
                  <c:v>784.92</c:v>
                </c:pt>
                <c:pt idx="300">
                  <c:v>692.28</c:v>
                </c:pt>
                <c:pt idx="301">
                  <c:v>707.72</c:v>
                </c:pt>
                <c:pt idx="302">
                  <c:v>676.84</c:v>
                </c:pt>
                <c:pt idx="303">
                  <c:v>723.16</c:v>
                </c:pt>
                <c:pt idx="304">
                  <c:v>661.4</c:v>
                </c:pt>
                <c:pt idx="305">
                  <c:v>738.6</c:v>
                </c:pt>
                <c:pt idx="306">
                  <c:v>645.96</c:v>
                </c:pt>
                <c:pt idx="307">
                  <c:v>754.04</c:v>
                </c:pt>
                <c:pt idx="308">
                  <c:v>630.52</c:v>
                </c:pt>
                <c:pt idx="309">
                  <c:v>769.48</c:v>
                </c:pt>
                <c:pt idx="310">
                  <c:v>615.08000000000004</c:v>
                </c:pt>
                <c:pt idx="311">
                  <c:v>784.92</c:v>
                </c:pt>
                <c:pt idx="312">
                  <c:v>692.28</c:v>
                </c:pt>
                <c:pt idx="313">
                  <c:v>707.72</c:v>
                </c:pt>
                <c:pt idx="314">
                  <c:v>676.84</c:v>
                </c:pt>
                <c:pt idx="315">
                  <c:v>723.16</c:v>
                </c:pt>
                <c:pt idx="316">
                  <c:v>661.4</c:v>
                </c:pt>
                <c:pt idx="317">
                  <c:v>738.6</c:v>
                </c:pt>
                <c:pt idx="318">
                  <c:v>645.96</c:v>
                </c:pt>
                <c:pt idx="319">
                  <c:v>754.04</c:v>
                </c:pt>
                <c:pt idx="320">
                  <c:v>630.52</c:v>
                </c:pt>
                <c:pt idx="321">
                  <c:v>769.48</c:v>
                </c:pt>
                <c:pt idx="322">
                  <c:v>615.08000000000004</c:v>
                </c:pt>
                <c:pt idx="323">
                  <c:v>784.92</c:v>
                </c:pt>
                <c:pt idx="324">
                  <c:v>692.28</c:v>
                </c:pt>
                <c:pt idx="325">
                  <c:v>707.72</c:v>
                </c:pt>
                <c:pt idx="326">
                  <c:v>676.84</c:v>
                </c:pt>
                <c:pt idx="327">
                  <c:v>723.16</c:v>
                </c:pt>
                <c:pt idx="328">
                  <c:v>661.4</c:v>
                </c:pt>
                <c:pt idx="329">
                  <c:v>738.6</c:v>
                </c:pt>
                <c:pt idx="330">
                  <c:v>645.96</c:v>
                </c:pt>
                <c:pt idx="331">
                  <c:v>754.04</c:v>
                </c:pt>
                <c:pt idx="332">
                  <c:v>630.52</c:v>
                </c:pt>
                <c:pt idx="333">
                  <c:v>769.48</c:v>
                </c:pt>
                <c:pt idx="334">
                  <c:v>615.08000000000004</c:v>
                </c:pt>
                <c:pt idx="335">
                  <c:v>784.92</c:v>
                </c:pt>
                <c:pt idx="336">
                  <c:v>692.28</c:v>
                </c:pt>
                <c:pt idx="337">
                  <c:v>707.72</c:v>
                </c:pt>
                <c:pt idx="338">
                  <c:v>676.84</c:v>
                </c:pt>
                <c:pt idx="339">
                  <c:v>723.16</c:v>
                </c:pt>
                <c:pt idx="340">
                  <c:v>661.4</c:v>
                </c:pt>
                <c:pt idx="341">
                  <c:v>738.6</c:v>
                </c:pt>
                <c:pt idx="342">
                  <c:v>645.96</c:v>
                </c:pt>
                <c:pt idx="343">
                  <c:v>754.04</c:v>
                </c:pt>
                <c:pt idx="344">
                  <c:v>630.52</c:v>
                </c:pt>
                <c:pt idx="345">
                  <c:v>769.48</c:v>
                </c:pt>
                <c:pt idx="346">
                  <c:v>615.08000000000004</c:v>
                </c:pt>
                <c:pt idx="347">
                  <c:v>784.92</c:v>
                </c:pt>
                <c:pt idx="348">
                  <c:v>692.28</c:v>
                </c:pt>
                <c:pt idx="349">
                  <c:v>707.72</c:v>
                </c:pt>
                <c:pt idx="350">
                  <c:v>676.84</c:v>
                </c:pt>
                <c:pt idx="351">
                  <c:v>723.16</c:v>
                </c:pt>
                <c:pt idx="352">
                  <c:v>661.4</c:v>
                </c:pt>
                <c:pt idx="353">
                  <c:v>738.6</c:v>
                </c:pt>
                <c:pt idx="354">
                  <c:v>645.96</c:v>
                </c:pt>
                <c:pt idx="355">
                  <c:v>754.04</c:v>
                </c:pt>
                <c:pt idx="356">
                  <c:v>630.52</c:v>
                </c:pt>
                <c:pt idx="357">
                  <c:v>769.48</c:v>
                </c:pt>
                <c:pt idx="358">
                  <c:v>615.08000000000004</c:v>
                </c:pt>
                <c:pt idx="359">
                  <c:v>784.92</c:v>
                </c:pt>
                <c:pt idx="360">
                  <c:v>692.28</c:v>
                </c:pt>
                <c:pt idx="361">
                  <c:v>707.72</c:v>
                </c:pt>
                <c:pt idx="362">
                  <c:v>676.84</c:v>
                </c:pt>
                <c:pt idx="363">
                  <c:v>723.16</c:v>
                </c:pt>
                <c:pt idx="364">
                  <c:v>661.4</c:v>
                </c:pt>
                <c:pt idx="365">
                  <c:v>738.6</c:v>
                </c:pt>
                <c:pt idx="366">
                  <c:v>645.96</c:v>
                </c:pt>
                <c:pt idx="367">
                  <c:v>754.04</c:v>
                </c:pt>
                <c:pt idx="368">
                  <c:v>630.52</c:v>
                </c:pt>
                <c:pt idx="369">
                  <c:v>769.48</c:v>
                </c:pt>
                <c:pt idx="370">
                  <c:v>615.08000000000004</c:v>
                </c:pt>
                <c:pt idx="371">
                  <c:v>784.92</c:v>
                </c:pt>
                <c:pt idx="372">
                  <c:v>692.28</c:v>
                </c:pt>
                <c:pt idx="373">
                  <c:v>707.72</c:v>
                </c:pt>
                <c:pt idx="374">
                  <c:v>676.84</c:v>
                </c:pt>
                <c:pt idx="375">
                  <c:v>723.16</c:v>
                </c:pt>
                <c:pt idx="376">
                  <c:v>661.4</c:v>
                </c:pt>
                <c:pt idx="377">
                  <c:v>738.6</c:v>
                </c:pt>
                <c:pt idx="378">
                  <c:v>645.96</c:v>
                </c:pt>
                <c:pt idx="379">
                  <c:v>754.04</c:v>
                </c:pt>
                <c:pt idx="380">
                  <c:v>630.52</c:v>
                </c:pt>
                <c:pt idx="381">
                  <c:v>769.48</c:v>
                </c:pt>
                <c:pt idx="382">
                  <c:v>615.08000000000004</c:v>
                </c:pt>
                <c:pt idx="383">
                  <c:v>784.92</c:v>
                </c:pt>
                <c:pt idx="384">
                  <c:v>692.28</c:v>
                </c:pt>
                <c:pt idx="385">
                  <c:v>707.72</c:v>
                </c:pt>
                <c:pt idx="386">
                  <c:v>676.84</c:v>
                </c:pt>
                <c:pt idx="387">
                  <c:v>723.16</c:v>
                </c:pt>
                <c:pt idx="388">
                  <c:v>661.4</c:v>
                </c:pt>
                <c:pt idx="389">
                  <c:v>738.6</c:v>
                </c:pt>
                <c:pt idx="390">
                  <c:v>645.96</c:v>
                </c:pt>
                <c:pt idx="391">
                  <c:v>754.04</c:v>
                </c:pt>
                <c:pt idx="392">
                  <c:v>630.52</c:v>
                </c:pt>
                <c:pt idx="393">
                  <c:v>769.48</c:v>
                </c:pt>
                <c:pt idx="394">
                  <c:v>615.08000000000004</c:v>
                </c:pt>
                <c:pt idx="395">
                  <c:v>784.92</c:v>
                </c:pt>
                <c:pt idx="396">
                  <c:v>692.28</c:v>
                </c:pt>
                <c:pt idx="397">
                  <c:v>707.72</c:v>
                </c:pt>
                <c:pt idx="398">
                  <c:v>676.84</c:v>
                </c:pt>
                <c:pt idx="399">
                  <c:v>723.16</c:v>
                </c:pt>
                <c:pt idx="400">
                  <c:v>661.4</c:v>
                </c:pt>
                <c:pt idx="401">
                  <c:v>738.6</c:v>
                </c:pt>
                <c:pt idx="402">
                  <c:v>645.96</c:v>
                </c:pt>
                <c:pt idx="403">
                  <c:v>754.04</c:v>
                </c:pt>
                <c:pt idx="404">
                  <c:v>630.52</c:v>
                </c:pt>
                <c:pt idx="405">
                  <c:v>769.48</c:v>
                </c:pt>
                <c:pt idx="406">
                  <c:v>615.08000000000004</c:v>
                </c:pt>
                <c:pt idx="407">
                  <c:v>784.92</c:v>
                </c:pt>
                <c:pt idx="408">
                  <c:v>692.28</c:v>
                </c:pt>
                <c:pt idx="409">
                  <c:v>707.72</c:v>
                </c:pt>
                <c:pt idx="410">
                  <c:v>676.84</c:v>
                </c:pt>
                <c:pt idx="411">
                  <c:v>723.16</c:v>
                </c:pt>
                <c:pt idx="412">
                  <c:v>661.4</c:v>
                </c:pt>
                <c:pt idx="413">
                  <c:v>738.6</c:v>
                </c:pt>
                <c:pt idx="414">
                  <c:v>645.96</c:v>
                </c:pt>
                <c:pt idx="415">
                  <c:v>754.04</c:v>
                </c:pt>
                <c:pt idx="416">
                  <c:v>630.52</c:v>
                </c:pt>
                <c:pt idx="417">
                  <c:v>769.48</c:v>
                </c:pt>
                <c:pt idx="418">
                  <c:v>615.08000000000004</c:v>
                </c:pt>
                <c:pt idx="419">
                  <c:v>784.92</c:v>
                </c:pt>
                <c:pt idx="420">
                  <c:v>692.28</c:v>
                </c:pt>
                <c:pt idx="421">
                  <c:v>707.72</c:v>
                </c:pt>
                <c:pt idx="422">
                  <c:v>676.84</c:v>
                </c:pt>
                <c:pt idx="423">
                  <c:v>723.16</c:v>
                </c:pt>
                <c:pt idx="424">
                  <c:v>661.4</c:v>
                </c:pt>
                <c:pt idx="425">
                  <c:v>738.6</c:v>
                </c:pt>
                <c:pt idx="426">
                  <c:v>645.96</c:v>
                </c:pt>
                <c:pt idx="427">
                  <c:v>754.04</c:v>
                </c:pt>
                <c:pt idx="428">
                  <c:v>630.52</c:v>
                </c:pt>
                <c:pt idx="429">
                  <c:v>769.48</c:v>
                </c:pt>
                <c:pt idx="430">
                  <c:v>615.08000000000004</c:v>
                </c:pt>
                <c:pt idx="431">
                  <c:v>784.92</c:v>
                </c:pt>
                <c:pt idx="432">
                  <c:v>692.28</c:v>
                </c:pt>
                <c:pt idx="433">
                  <c:v>707.72</c:v>
                </c:pt>
                <c:pt idx="434">
                  <c:v>676.84</c:v>
                </c:pt>
                <c:pt idx="435">
                  <c:v>723.16</c:v>
                </c:pt>
                <c:pt idx="436">
                  <c:v>661.4</c:v>
                </c:pt>
                <c:pt idx="437">
                  <c:v>738.6</c:v>
                </c:pt>
                <c:pt idx="438">
                  <c:v>645.96</c:v>
                </c:pt>
                <c:pt idx="439">
                  <c:v>754.04</c:v>
                </c:pt>
                <c:pt idx="440">
                  <c:v>630.52</c:v>
                </c:pt>
                <c:pt idx="441">
                  <c:v>769.48</c:v>
                </c:pt>
                <c:pt idx="442">
                  <c:v>615.08000000000004</c:v>
                </c:pt>
                <c:pt idx="443">
                  <c:v>784.92</c:v>
                </c:pt>
                <c:pt idx="444">
                  <c:v>692.28</c:v>
                </c:pt>
                <c:pt idx="445">
                  <c:v>707.72</c:v>
                </c:pt>
                <c:pt idx="446">
                  <c:v>676.84</c:v>
                </c:pt>
                <c:pt idx="447">
                  <c:v>723.16</c:v>
                </c:pt>
                <c:pt idx="448">
                  <c:v>661.4</c:v>
                </c:pt>
                <c:pt idx="449">
                  <c:v>738.6</c:v>
                </c:pt>
                <c:pt idx="450">
                  <c:v>645.96</c:v>
                </c:pt>
                <c:pt idx="451">
                  <c:v>754.04</c:v>
                </c:pt>
                <c:pt idx="452">
                  <c:v>630.52</c:v>
                </c:pt>
                <c:pt idx="453">
                  <c:v>769.48</c:v>
                </c:pt>
                <c:pt idx="454">
                  <c:v>615.08000000000004</c:v>
                </c:pt>
                <c:pt idx="455">
                  <c:v>784.92</c:v>
                </c:pt>
                <c:pt idx="456">
                  <c:v>692.28</c:v>
                </c:pt>
                <c:pt idx="457">
                  <c:v>707.72</c:v>
                </c:pt>
                <c:pt idx="458">
                  <c:v>676.84</c:v>
                </c:pt>
                <c:pt idx="459">
                  <c:v>723.16</c:v>
                </c:pt>
                <c:pt idx="460">
                  <c:v>661.4</c:v>
                </c:pt>
                <c:pt idx="461">
                  <c:v>738.6</c:v>
                </c:pt>
                <c:pt idx="462">
                  <c:v>645.96</c:v>
                </c:pt>
                <c:pt idx="463">
                  <c:v>754.04</c:v>
                </c:pt>
                <c:pt idx="464">
                  <c:v>630.52</c:v>
                </c:pt>
                <c:pt idx="465">
                  <c:v>769.48</c:v>
                </c:pt>
                <c:pt idx="466">
                  <c:v>615.08000000000004</c:v>
                </c:pt>
                <c:pt idx="467">
                  <c:v>784.92</c:v>
                </c:pt>
                <c:pt idx="468">
                  <c:v>692.28</c:v>
                </c:pt>
                <c:pt idx="469">
                  <c:v>707.72</c:v>
                </c:pt>
                <c:pt idx="470">
                  <c:v>676.84</c:v>
                </c:pt>
                <c:pt idx="471">
                  <c:v>723.16</c:v>
                </c:pt>
                <c:pt idx="472">
                  <c:v>661.4</c:v>
                </c:pt>
                <c:pt idx="473">
                  <c:v>738.6</c:v>
                </c:pt>
                <c:pt idx="474">
                  <c:v>645.96</c:v>
                </c:pt>
                <c:pt idx="475">
                  <c:v>754.04</c:v>
                </c:pt>
                <c:pt idx="476">
                  <c:v>630.52</c:v>
                </c:pt>
                <c:pt idx="477">
                  <c:v>769.48</c:v>
                </c:pt>
                <c:pt idx="478">
                  <c:v>615.08000000000004</c:v>
                </c:pt>
                <c:pt idx="479">
                  <c:v>784.92</c:v>
                </c:pt>
                <c:pt idx="480">
                  <c:v>692.28</c:v>
                </c:pt>
                <c:pt idx="481">
                  <c:v>707.72</c:v>
                </c:pt>
                <c:pt idx="482">
                  <c:v>676.84</c:v>
                </c:pt>
                <c:pt idx="483">
                  <c:v>723.16</c:v>
                </c:pt>
                <c:pt idx="484">
                  <c:v>661.4</c:v>
                </c:pt>
                <c:pt idx="485">
                  <c:v>738.6</c:v>
                </c:pt>
                <c:pt idx="486">
                  <c:v>645.96</c:v>
                </c:pt>
                <c:pt idx="487">
                  <c:v>754.04</c:v>
                </c:pt>
                <c:pt idx="488">
                  <c:v>630.52</c:v>
                </c:pt>
                <c:pt idx="489">
                  <c:v>769.48</c:v>
                </c:pt>
                <c:pt idx="490">
                  <c:v>615.08000000000004</c:v>
                </c:pt>
                <c:pt idx="491">
                  <c:v>784.92</c:v>
                </c:pt>
                <c:pt idx="492">
                  <c:v>692.28</c:v>
                </c:pt>
                <c:pt idx="493">
                  <c:v>707.72</c:v>
                </c:pt>
                <c:pt idx="494">
                  <c:v>676.84</c:v>
                </c:pt>
                <c:pt idx="495">
                  <c:v>723.16</c:v>
                </c:pt>
                <c:pt idx="496">
                  <c:v>661.4</c:v>
                </c:pt>
                <c:pt idx="497">
                  <c:v>738.6</c:v>
                </c:pt>
                <c:pt idx="498">
                  <c:v>645.96</c:v>
                </c:pt>
                <c:pt idx="499">
                  <c:v>754.04</c:v>
                </c:pt>
                <c:pt idx="500">
                  <c:v>630.52</c:v>
                </c:pt>
                <c:pt idx="501">
                  <c:v>769.48</c:v>
                </c:pt>
                <c:pt idx="502">
                  <c:v>615.08000000000004</c:v>
                </c:pt>
                <c:pt idx="503">
                  <c:v>784.92</c:v>
                </c:pt>
                <c:pt idx="504">
                  <c:v>692.28</c:v>
                </c:pt>
                <c:pt idx="505">
                  <c:v>707.72</c:v>
                </c:pt>
                <c:pt idx="506">
                  <c:v>676.84</c:v>
                </c:pt>
                <c:pt idx="507">
                  <c:v>723.16</c:v>
                </c:pt>
                <c:pt idx="508">
                  <c:v>661.4</c:v>
                </c:pt>
                <c:pt idx="509">
                  <c:v>738.6</c:v>
                </c:pt>
                <c:pt idx="510">
                  <c:v>645.96</c:v>
                </c:pt>
                <c:pt idx="511">
                  <c:v>754.04</c:v>
                </c:pt>
                <c:pt idx="512">
                  <c:v>630.52</c:v>
                </c:pt>
                <c:pt idx="513">
                  <c:v>769.48</c:v>
                </c:pt>
                <c:pt idx="514">
                  <c:v>615.08000000000004</c:v>
                </c:pt>
                <c:pt idx="515">
                  <c:v>784.92</c:v>
                </c:pt>
                <c:pt idx="516">
                  <c:v>692.28</c:v>
                </c:pt>
                <c:pt idx="517">
                  <c:v>707.72</c:v>
                </c:pt>
                <c:pt idx="518">
                  <c:v>676.84</c:v>
                </c:pt>
                <c:pt idx="519">
                  <c:v>723.16</c:v>
                </c:pt>
                <c:pt idx="520">
                  <c:v>661.4</c:v>
                </c:pt>
                <c:pt idx="521">
                  <c:v>738.6</c:v>
                </c:pt>
                <c:pt idx="522">
                  <c:v>645.96</c:v>
                </c:pt>
                <c:pt idx="523">
                  <c:v>754.04</c:v>
                </c:pt>
                <c:pt idx="524">
                  <c:v>630.52</c:v>
                </c:pt>
                <c:pt idx="525">
                  <c:v>769.48</c:v>
                </c:pt>
                <c:pt idx="526">
                  <c:v>615.08000000000004</c:v>
                </c:pt>
                <c:pt idx="527">
                  <c:v>784.92</c:v>
                </c:pt>
                <c:pt idx="528">
                  <c:v>692.28</c:v>
                </c:pt>
                <c:pt idx="529">
                  <c:v>707.72</c:v>
                </c:pt>
                <c:pt idx="530">
                  <c:v>676.84</c:v>
                </c:pt>
                <c:pt idx="531">
                  <c:v>723.16</c:v>
                </c:pt>
                <c:pt idx="532">
                  <c:v>661.4</c:v>
                </c:pt>
                <c:pt idx="533">
                  <c:v>738.6</c:v>
                </c:pt>
                <c:pt idx="534">
                  <c:v>645.96</c:v>
                </c:pt>
                <c:pt idx="535">
                  <c:v>754.04</c:v>
                </c:pt>
                <c:pt idx="536">
                  <c:v>630.52</c:v>
                </c:pt>
                <c:pt idx="537">
                  <c:v>769.48</c:v>
                </c:pt>
                <c:pt idx="538">
                  <c:v>615.08000000000004</c:v>
                </c:pt>
                <c:pt idx="539">
                  <c:v>784.92</c:v>
                </c:pt>
                <c:pt idx="540">
                  <c:v>692.28</c:v>
                </c:pt>
                <c:pt idx="541">
                  <c:v>707.72</c:v>
                </c:pt>
                <c:pt idx="542">
                  <c:v>676.84</c:v>
                </c:pt>
                <c:pt idx="543">
                  <c:v>723.16</c:v>
                </c:pt>
                <c:pt idx="544">
                  <c:v>661.4</c:v>
                </c:pt>
                <c:pt idx="545">
                  <c:v>738.6</c:v>
                </c:pt>
                <c:pt idx="546">
                  <c:v>645.96</c:v>
                </c:pt>
                <c:pt idx="547">
                  <c:v>754.04</c:v>
                </c:pt>
                <c:pt idx="548">
                  <c:v>630.52</c:v>
                </c:pt>
                <c:pt idx="549">
                  <c:v>769.48</c:v>
                </c:pt>
                <c:pt idx="550">
                  <c:v>615.08000000000004</c:v>
                </c:pt>
                <c:pt idx="551">
                  <c:v>784.92</c:v>
                </c:pt>
                <c:pt idx="552">
                  <c:v>692.28</c:v>
                </c:pt>
                <c:pt idx="553">
                  <c:v>707.72</c:v>
                </c:pt>
                <c:pt idx="554">
                  <c:v>676.84</c:v>
                </c:pt>
                <c:pt idx="555">
                  <c:v>723.16</c:v>
                </c:pt>
                <c:pt idx="556">
                  <c:v>661.4</c:v>
                </c:pt>
                <c:pt idx="557">
                  <c:v>738.6</c:v>
                </c:pt>
                <c:pt idx="558">
                  <c:v>645.96</c:v>
                </c:pt>
                <c:pt idx="559">
                  <c:v>754.04</c:v>
                </c:pt>
                <c:pt idx="560">
                  <c:v>630.52</c:v>
                </c:pt>
                <c:pt idx="561">
                  <c:v>769.48</c:v>
                </c:pt>
                <c:pt idx="562">
                  <c:v>615.08000000000004</c:v>
                </c:pt>
                <c:pt idx="563">
                  <c:v>784.92</c:v>
                </c:pt>
                <c:pt idx="564">
                  <c:v>692.28</c:v>
                </c:pt>
                <c:pt idx="565">
                  <c:v>707.72</c:v>
                </c:pt>
                <c:pt idx="566">
                  <c:v>676.84</c:v>
                </c:pt>
                <c:pt idx="567">
                  <c:v>723.16</c:v>
                </c:pt>
                <c:pt idx="568">
                  <c:v>661.4</c:v>
                </c:pt>
                <c:pt idx="569">
                  <c:v>738.6</c:v>
                </c:pt>
                <c:pt idx="570">
                  <c:v>645.96</c:v>
                </c:pt>
                <c:pt idx="571">
                  <c:v>754.04</c:v>
                </c:pt>
                <c:pt idx="572">
                  <c:v>630.52</c:v>
                </c:pt>
                <c:pt idx="573">
                  <c:v>769.48</c:v>
                </c:pt>
                <c:pt idx="574">
                  <c:v>615.08000000000004</c:v>
                </c:pt>
                <c:pt idx="575">
                  <c:v>784.92</c:v>
                </c:pt>
                <c:pt idx="576">
                  <c:v>692.28</c:v>
                </c:pt>
                <c:pt idx="577">
                  <c:v>707.72</c:v>
                </c:pt>
                <c:pt idx="578">
                  <c:v>676.84</c:v>
                </c:pt>
                <c:pt idx="579">
                  <c:v>723.16</c:v>
                </c:pt>
                <c:pt idx="580">
                  <c:v>661.4</c:v>
                </c:pt>
                <c:pt idx="581">
                  <c:v>738.6</c:v>
                </c:pt>
                <c:pt idx="582">
                  <c:v>645.96</c:v>
                </c:pt>
                <c:pt idx="583">
                  <c:v>754.04</c:v>
                </c:pt>
                <c:pt idx="584">
                  <c:v>630.52</c:v>
                </c:pt>
                <c:pt idx="585">
                  <c:v>769.48</c:v>
                </c:pt>
                <c:pt idx="586">
                  <c:v>615.08000000000004</c:v>
                </c:pt>
                <c:pt idx="587">
                  <c:v>784.92</c:v>
                </c:pt>
                <c:pt idx="588">
                  <c:v>692.28</c:v>
                </c:pt>
                <c:pt idx="589">
                  <c:v>707.72</c:v>
                </c:pt>
                <c:pt idx="590">
                  <c:v>676.84</c:v>
                </c:pt>
                <c:pt idx="591">
                  <c:v>723.16</c:v>
                </c:pt>
                <c:pt idx="592">
                  <c:v>661.4</c:v>
                </c:pt>
                <c:pt idx="593">
                  <c:v>738.6</c:v>
                </c:pt>
                <c:pt idx="594">
                  <c:v>645.96</c:v>
                </c:pt>
                <c:pt idx="595">
                  <c:v>754.04</c:v>
                </c:pt>
                <c:pt idx="596">
                  <c:v>630.52</c:v>
                </c:pt>
                <c:pt idx="597">
                  <c:v>769.48</c:v>
                </c:pt>
                <c:pt idx="598">
                  <c:v>615.08000000000004</c:v>
                </c:pt>
                <c:pt idx="599">
                  <c:v>784.92</c:v>
                </c:pt>
                <c:pt idx="600">
                  <c:v>692.28</c:v>
                </c:pt>
                <c:pt idx="601">
                  <c:v>707.72</c:v>
                </c:pt>
                <c:pt idx="602">
                  <c:v>676.84</c:v>
                </c:pt>
                <c:pt idx="603">
                  <c:v>723.16</c:v>
                </c:pt>
                <c:pt idx="604">
                  <c:v>661.4</c:v>
                </c:pt>
                <c:pt idx="605">
                  <c:v>738.6</c:v>
                </c:pt>
                <c:pt idx="606">
                  <c:v>645.96</c:v>
                </c:pt>
                <c:pt idx="607">
                  <c:v>754.04</c:v>
                </c:pt>
                <c:pt idx="608">
                  <c:v>630.52</c:v>
                </c:pt>
                <c:pt idx="609">
                  <c:v>769.48</c:v>
                </c:pt>
                <c:pt idx="610">
                  <c:v>615.08000000000004</c:v>
                </c:pt>
                <c:pt idx="611">
                  <c:v>784.92</c:v>
                </c:pt>
                <c:pt idx="612">
                  <c:v>692.28</c:v>
                </c:pt>
                <c:pt idx="613">
                  <c:v>707.72</c:v>
                </c:pt>
                <c:pt idx="614">
                  <c:v>676.84</c:v>
                </c:pt>
                <c:pt idx="615">
                  <c:v>723.16</c:v>
                </c:pt>
                <c:pt idx="616">
                  <c:v>661.4</c:v>
                </c:pt>
                <c:pt idx="617">
                  <c:v>738.6</c:v>
                </c:pt>
                <c:pt idx="618">
                  <c:v>645.96</c:v>
                </c:pt>
                <c:pt idx="619">
                  <c:v>754.04</c:v>
                </c:pt>
                <c:pt idx="620">
                  <c:v>630.52</c:v>
                </c:pt>
                <c:pt idx="621">
                  <c:v>769.48</c:v>
                </c:pt>
                <c:pt idx="622">
                  <c:v>615.08000000000004</c:v>
                </c:pt>
                <c:pt idx="623">
                  <c:v>784.92</c:v>
                </c:pt>
                <c:pt idx="624">
                  <c:v>692.28</c:v>
                </c:pt>
                <c:pt idx="625">
                  <c:v>707.72</c:v>
                </c:pt>
                <c:pt idx="626">
                  <c:v>676.84</c:v>
                </c:pt>
                <c:pt idx="627">
                  <c:v>723.16</c:v>
                </c:pt>
                <c:pt idx="628">
                  <c:v>661.4</c:v>
                </c:pt>
                <c:pt idx="629">
                  <c:v>738.6</c:v>
                </c:pt>
                <c:pt idx="630">
                  <c:v>645.96</c:v>
                </c:pt>
                <c:pt idx="631">
                  <c:v>754.04</c:v>
                </c:pt>
                <c:pt idx="632">
                  <c:v>630.52</c:v>
                </c:pt>
                <c:pt idx="633">
                  <c:v>769.48</c:v>
                </c:pt>
                <c:pt idx="634">
                  <c:v>615.08000000000004</c:v>
                </c:pt>
                <c:pt idx="635">
                  <c:v>784.92</c:v>
                </c:pt>
                <c:pt idx="636">
                  <c:v>692.28</c:v>
                </c:pt>
                <c:pt idx="637">
                  <c:v>707.72</c:v>
                </c:pt>
                <c:pt idx="638">
                  <c:v>676.84</c:v>
                </c:pt>
                <c:pt idx="639">
                  <c:v>723.16</c:v>
                </c:pt>
                <c:pt idx="640">
                  <c:v>661.4</c:v>
                </c:pt>
                <c:pt idx="641">
                  <c:v>738.6</c:v>
                </c:pt>
                <c:pt idx="642">
                  <c:v>645.96</c:v>
                </c:pt>
                <c:pt idx="643">
                  <c:v>754.04</c:v>
                </c:pt>
                <c:pt idx="644">
                  <c:v>630.52</c:v>
                </c:pt>
                <c:pt idx="645">
                  <c:v>769.48</c:v>
                </c:pt>
                <c:pt idx="646">
                  <c:v>615.08000000000004</c:v>
                </c:pt>
                <c:pt idx="647">
                  <c:v>784.92</c:v>
                </c:pt>
                <c:pt idx="648">
                  <c:v>692.28</c:v>
                </c:pt>
                <c:pt idx="649">
                  <c:v>707.72</c:v>
                </c:pt>
                <c:pt idx="650">
                  <c:v>676.84</c:v>
                </c:pt>
                <c:pt idx="651">
                  <c:v>723.16</c:v>
                </c:pt>
                <c:pt idx="652">
                  <c:v>661.4</c:v>
                </c:pt>
                <c:pt idx="653">
                  <c:v>738.6</c:v>
                </c:pt>
                <c:pt idx="654">
                  <c:v>645.96</c:v>
                </c:pt>
                <c:pt idx="655">
                  <c:v>754.04</c:v>
                </c:pt>
                <c:pt idx="656">
                  <c:v>630.52</c:v>
                </c:pt>
                <c:pt idx="657">
                  <c:v>769.48</c:v>
                </c:pt>
                <c:pt idx="658">
                  <c:v>615.08000000000004</c:v>
                </c:pt>
                <c:pt idx="659">
                  <c:v>784.92</c:v>
                </c:pt>
                <c:pt idx="660">
                  <c:v>692.28</c:v>
                </c:pt>
                <c:pt idx="661">
                  <c:v>707.72</c:v>
                </c:pt>
                <c:pt idx="662">
                  <c:v>676.84</c:v>
                </c:pt>
                <c:pt idx="663">
                  <c:v>723.16</c:v>
                </c:pt>
                <c:pt idx="664">
                  <c:v>661.4</c:v>
                </c:pt>
                <c:pt idx="665">
                  <c:v>738.6</c:v>
                </c:pt>
                <c:pt idx="666">
                  <c:v>645.96</c:v>
                </c:pt>
                <c:pt idx="667">
                  <c:v>754.04</c:v>
                </c:pt>
                <c:pt idx="668">
                  <c:v>630.52</c:v>
                </c:pt>
                <c:pt idx="669">
                  <c:v>769.48</c:v>
                </c:pt>
                <c:pt idx="670">
                  <c:v>615.08000000000004</c:v>
                </c:pt>
                <c:pt idx="671">
                  <c:v>784.92</c:v>
                </c:pt>
                <c:pt idx="672">
                  <c:v>692.28</c:v>
                </c:pt>
                <c:pt idx="673">
                  <c:v>707.72</c:v>
                </c:pt>
                <c:pt idx="674">
                  <c:v>676.84</c:v>
                </c:pt>
                <c:pt idx="675">
                  <c:v>723.16</c:v>
                </c:pt>
                <c:pt idx="676">
                  <c:v>661.4</c:v>
                </c:pt>
                <c:pt idx="677">
                  <c:v>738.6</c:v>
                </c:pt>
                <c:pt idx="678">
                  <c:v>645.96</c:v>
                </c:pt>
                <c:pt idx="679">
                  <c:v>754.04</c:v>
                </c:pt>
                <c:pt idx="680">
                  <c:v>630.52</c:v>
                </c:pt>
                <c:pt idx="681">
                  <c:v>769.48</c:v>
                </c:pt>
                <c:pt idx="682">
                  <c:v>615.08000000000004</c:v>
                </c:pt>
                <c:pt idx="683">
                  <c:v>784.92</c:v>
                </c:pt>
                <c:pt idx="684">
                  <c:v>692.28</c:v>
                </c:pt>
                <c:pt idx="685">
                  <c:v>707.72</c:v>
                </c:pt>
                <c:pt idx="686">
                  <c:v>676.84</c:v>
                </c:pt>
                <c:pt idx="687">
                  <c:v>723.16</c:v>
                </c:pt>
                <c:pt idx="688">
                  <c:v>661.4</c:v>
                </c:pt>
                <c:pt idx="689">
                  <c:v>738.6</c:v>
                </c:pt>
                <c:pt idx="690">
                  <c:v>645.96</c:v>
                </c:pt>
                <c:pt idx="691">
                  <c:v>754.04</c:v>
                </c:pt>
                <c:pt idx="692">
                  <c:v>630.52</c:v>
                </c:pt>
                <c:pt idx="693">
                  <c:v>769.48</c:v>
                </c:pt>
                <c:pt idx="694">
                  <c:v>615.08000000000004</c:v>
                </c:pt>
                <c:pt idx="695">
                  <c:v>784.92</c:v>
                </c:pt>
                <c:pt idx="696">
                  <c:v>692.28</c:v>
                </c:pt>
                <c:pt idx="697">
                  <c:v>707.72</c:v>
                </c:pt>
                <c:pt idx="698">
                  <c:v>676.84</c:v>
                </c:pt>
                <c:pt idx="699">
                  <c:v>723.16</c:v>
                </c:pt>
                <c:pt idx="700">
                  <c:v>661.4</c:v>
                </c:pt>
                <c:pt idx="701">
                  <c:v>738.6</c:v>
                </c:pt>
                <c:pt idx="702">
                  <c:v>645.96</c:v>
                </c:pt>
                <c:pt idx="703">
                  <c:v>754.04</c:v>
                </c:pt>
                <c:pt idx="704">
                  <c:v>630.52</c:v>
                </c:pt>
                <c:pt idx="705">
                  <c:v>769.48</c:v>
                </c:pt>
                <c:pt idx="706">
                  <c:v>615.08000000000004</c:v>
                </c:pt>
                <c:pt idx="707">
                  <c:v>784.92</c:v>
                </c:pt>
                <c:pt idx="708">
                  <c:v>692.28</c:v>
                </c:pt>
                <c:pt idx="709">
                  <c:v>707.72</c:v>
                </c:pt>
                <c:pt idx="710">
                  <c:v>676.84</c:v>
                </c:pt>
                <c:pt idx="711">
                  <c:v>723.16</c:v>
                </c:pt>
                <c:pt idx="712">
                  <c:v>661.4</c:v>
                </c:pt>
                <c:pt idx="713">
                  <c:v>738.6</c:v>
                </c:pt>
                <c:pt idx="714">
                  <c:v>645.96</c:v>
                </c:pt>
                <c:pt idx="715">
                  <c:v>754.04</c:v>
                </c:pt>
                <c:pt idx="716">
                  <c:v>630.52</c:v>
                </c:pt>
                <c:pt idx="717">
                  <c:v>769.48</c:v>
                </c:pt>
                <c:pt idx="718">
                  <c:v>615.08000000000004</c:v>
                </c:pt>
                <c:pt idx="719">
                  <c:v>784.92</c:v>
                </c:pt>
                <c:pt idx="720">
                  <c:v>692.28</c:v>
                </c:pt>
                <c:pt idx="721">
                  <c:v>707.72</c:v>
                </c:pt>
                <c:pt idx="722">
                  <c:v>676.84</c:v>
                </c:pt>
                <c:pt idx="723">
                  <c:v>723.16</c:v>
                </c:pt>
                <c:pt idx="724">
                  <c:v>661.4</c:v>
                </c:pt>
                <c:pt idx="725">
                  <c:v>738.6</c:v>
                </c:pt>
                <c:pt idx="726">
                  <c:v>645.96</c:v>
                </c:pt>
                <c:pt idx="727">
                  <c:v>754.04</c:v>
                </c:pt>
                <c:pt idx="728">
                  <c:v>630.52</c:v>
                </c:pt>
                <c:pt idx="729">
                  <c:v>769.48</c:v>
                </c:pt>
                <c:pt idx="730">
                  <c:v>615.08000000000004</c:v>
                </c:pt>
                <c:pt idx="731">
                  <c:v>784.92</c:v>
                </c:pt>
                <c:pt idx="732">
                  <c:v>692.28</c:v>
                </c:pt>
                <c:pt idx="733">
                  <c:v>707.72</c:v>
                </c:pt>
                <c:pt idx="734">
                  <c:v>676.84</c:v>
                </c:pt>
                <c:pt idx="735">
                  <c:v>723.16</c:v>
                </c:pt>
                <c:pt idx="736">
                  <c:v>661.4</c:v>
                </c:pt>
                <c:pt idx="737">
                  <c:v>738.6</c:v>
                </c:pt>
                <c:pt idx="738">
                  <c:v>645.96</c:v>
                </c:pt>
                <c:pt idx="739">
                  <c:v>754.04</c:v>
                </c:pt>
                <c:pt idx="740">
                  <c:v>630.52</c:v>
                </c:pt>
                <c:pt idx="741">
                  <c:v>769.48</c:v>
                </c:pt>
                <c:pt idx="742">
                  <c:v>615.08000000000004</c:v>
                </c:pt>
                <c:pt idx="743">
                  <c:v>784.92</c:v>
                </c:pt>
                <c:pt idx="744">
                  <c:v>692.28</c:v>
                </c:pt>
                <c:pt idx="745">
                  <c:v>707.72</c:v>
                </c:pt>
                <c:pt idx="746">
                  <c:v>676.84</c:v>
                </c:pt>
                <c:pt idx="747">
                  <c:v>723.16</c:v>
                </c:pt>
                <c:pt idx="748">
                  <c:v>661.4</c:v>
                </c:pt>
                <c:pt idx="749">
                  <c:v>738.6</c:v>
                </c:pt>
                <c:pt idx="750">
                  <c:v>645.96</c:v>
                </c:pt>
                <c:pt idx="751">
                  <c:v>754.04</c:v>
                </c:pt>
                <c:pt idx="752">
                  <c:v>630.52</c:v>
                </c:pt>
                <c:pt idx="753">
                  <c:v>769.48</c:v>
                </c:pt>
                <c:pt idx="754">
                  <c:v>615.08000000000004</c:v>
                </c:pt>
                <c:pt idx="755">
                  <c:v>784.92</c:v>
                </c:pt>
                <c:pt idx="756">
                  <c:v>692.28</c:v>
                </c:pt>
                <c:pt idx="757">
                  <c:v>707.72</c:v>
                </c:pt>
                <c:pt idx="758">
                  <c:v>676.84</c:v>
                </c:pt>
                <c:pt idx="759">
                  <c:v>723.16</c:v>
                </c:pt>
                <c:pt idx="760">
                  <c:v>661.4</c:v>
                </c:pt>
                <c:pt idx="761">
                  <c:v>738.6</c:v>
                </c:pt>
                <c:pt idx="762">
                  <c:v>645.96</c:v>
                </c:pt>
                <c:pt idx="763">
                  <c:v>754.04</c:v>
                </c:pt>
                <c:pt idx="764">
                  <c:v>630.52</c:v>
                </c:pt>
                <c:pt idx="765">
                  <c:v>769.48</c:v>
                </c:pt>
                <c:pt idx="766">
                  <c:v>615.08000000000004</c:v>
                </c:pt>
                <c:pt idx="767">
                  <c:v>784.92</c:v>
                </c:pt>
                <c:pt idx="768">
                  <c:v>692.28</c:v>
                </c:pt>
                <c:pt idx="769">
                  <c:v>707.72</c:v>
                </c:pt>
                <c:pt idx="770">
                  <c:v>676.84</c:v>
                </c:pt>
                <c:pt idx="771">
                  <c:v>723.16</c:v>
                </c:pt>
                <c:pt idx="772">
                  <c:v>661.4</c:v>
                </c:pt>
                <c:pt idx="773">
                  <c:v>738.6</c:v>
                </c:pt>
                <c:pt idx="774">
                  <c:v>645.96</c:v>
                </c:pt>
                <c:pt idx="775">
                  <c:v>754.04</c:v>
                </c:pt>
                <c:pt idx="776">
                  <c:v>630.52</c:v>
                </c:pt>
                <c:pt idx="777">
                  <c:v>769.48</c:v>
                </c:pt>
                <c:pt idx="778">
                  <c:v>615.08000000000004</c:v>
                </c:pt>
                <c:pt idx="779">
                  <c:v>784.92</c:v>
                </c:pt>
                <c:pt idx="780">
                  <c:v>692.28</c:v>
                </c:pt>
                <c:pt idx="781">
                  <c:v>707.72</c:v>
                </c:pt>
                <c:pt idx="782">
                  <c:v>676.84</c:v>
                </c:pt>
                <c:pt idx="783">
                  <c:v>723.16</c:v>
                </c:pt>
                <c:pt idx="784">
                  <c:v>661.4</c:v>
                </c:pt>
                <c:pt idx="785">
                  <c:v>738.6</c:v>
                </c:pt>
                <c:pt idx="786">
                  <c:v>645.96</c:v>
                </c:pt>
                <c:pt idx="787">
                  <c:v>754.04</c:v>
                </c:pt>
                <c:pt idx="788">
                  <c:v>630.52</c:v>
                </c:pt>
                <c:pt idx="789">
                  <c:v>769.48</c:v>
                </c:pt>
                <c:pt idx="790">
                  <c:v>615.08000000000004</c:v>
                </c:pt>
                <c:pt idx="791">
                  <c:v>784.92</c:v>
                </c:pt>
                <c:pt idx="792">
                  <c:v>692.28</c:v>
                </c:pt>
                <c:pt idx="793">
                  <c:v>707.72</c:v>
                </c:pt>
                <c:pt idx="794">
                  <c:v>676.84</c:v>
                </c:pt>
                <c:pt idx="795">
                  <c:v>723.16</c:v>
                </c:pt>
                <c:pt idx="796">
                  <c:v>661.4</c:v>
                </c:pt>
                <c:pt idx="797">
                  <c:v>738.6</c:v>
                </c:pt>
                <c:pt idx="798">
                  <c:v>645.96</c:v>
                </c:pt>
                <c:pt idx="799">
                  <c:v>754.04</c:v>
                </c:pt>
                <c:pt idx="800">
                  <c:v>630.52</c:v>
                </c:pt>
                <c:pt idx="801">
                  <c:v>769.48</c:v>
                </c:pt>
                <c:pt idx="802">
                  <c:v>615.08000000000004</c:v>
                </c:pt>
                <c:pt idx="803">
                  <c:v>784.92</c:v>
                </c:pt>
                <c:pt idx="804">
                  <c:v>692.28</c:v>
                </c:pt>
                <c:pt idx="805">
                  <c:v>707.72</c:v>
                </c:pt>
                <c:pt idx="806">
                  <c:v>676.84</c:v>
                </c:pt>
                <c:pt idx="807">
                  <c:v>723.16</c:v>
                </c:pt>
                <c:pt idx="808">
                  <c:v>661.4</c:v>
                </c:pt>
                <c:pt idx="809">
                  <c:v>738.6</c:v>
                </c:pt>
                <c:pt idx="810">
                  <c:v>645.96</c:v>
                </c:pt>
                <c:pt idx="811">
                  <c:v>754.04</c:v>
                </c:pt>
                <c:pt idx="812">
                  <c:v>630.52</c:v>
                </c:pt>
                <c:pt idx="813">
                  <c:v>769.48</c:v>
                </c:pt>
                <c:pt idx="814">
                  <c:v>615.08000000000004</c:v>
                </c:pt>
                <c:pt idx="815">
                  <c:v>784.92</c:v>
                </c:pt>
                <c:pt idx="816">
                  <c:v>692.28</c:v>
                </c:pt>
                <c:pt idx="817">
                  <c:v>707.72</c:v>
                </c:pt>
                <c:pt idx="818">
                  <c:v>676.84</c:v>
                </c:pt>
                <c:pt idx="819">
                  <c:v>723.16</c:v>
                </c:pt>
                <c:pt idx="820">
                  <c:v>661.4</c:v>
                </c:pt>
                <c:pt idx="821">
                  <c:v>738.6</c:v>
                </c:pt>
                <c:pt idx="822">
                  <c:v>645.96</c:v>
                </c:pt>
                <c:pt idx="823">
                  <c:v>754.04</c:v>
                </c:pt>
                <c:pt idx="824">
                  <c:v>630.52</c:v>
                </c:pt>
                <c:pt idx="825">
                  <c:v>769.48</c:v>
                </c:pt>
                <c:pt idx="826">
                  <c:v>615.08000000000004</c:v>
                </c:pt>
                <c:pt idx="827">
                  <c:v>784.92</c:v>
                </c:pt>
                <c:pt idx="828">
                  <c:v>692.28</c:v>
                </c:pt>
                <c:pt idx="829">
                  <c:v>707.72</c:v>
                </c:pt>
                <c:pt idx="830">
                  <c:v>676.84</c:v>
                </c:pt>
                <c:pt idx="831">
                  <c:v>723.16</c:v>
                </c:pt>
                <c:pt idx="832">
                  <c:v>661.4</c:v>
                </c:pt>
                <c:pt idx="833">
                  <c:v>738.6</c:v>
                </c:pt>
                <c:pt idx="834">
                  <c:v>645.96</c:v>
                </c:pt>
                <c:pt idx="835">
                  <c:v>754.04</c:v>
                </c:pt>
                <c:pt idx="836">
                  <c:v>630.52</c:v>
                </c:pt>
                <c:pt idx="837">
                  <c:v>769.48</c:v>
                </c:pt>
                <c:pt idx="838">
                  <c:v>615.08000000000004</c:v>
                </c:pt>
                <c:pt idx="839">
                  <c:v>784.92</c:v>
                </c:pt>
                <c:pt idx="840">
                  <c:v>692.28</c:v>
                </c:pt>
                <c:pt idx="841">
                  <c:v>707.72</c:v>
                </c:pt>
                <c:pt idx="842">
                  <c:v>676.84</c:v>
                </c:pt>
                <c:pt idx="843">
                  <c:v>723.16</c:v>
                </c:pt>
                <c:pt idx="844">
                  <c:v>661.4</c:v>
                </c:pt>
                <c:pt idx="845">
                  <c:v>738.6</c:v>
                </c:pt>
                <c:pt idx="846">
                  <c:v>645.96</c:v>
                </c:pt>
                <c:pt idx="847">
                  <c:v>754.04</c:v>
                </c:pt>
                <c:pt idx="848">
                  <c:v>630.52</c:v>
                </c:pt>
                <c:pt idx="849">
                  <c:v>769.48</c:v>
                </c:pt>
                <c:pt idx="850">
                  <c:v>615.08000000000004</c:v>
                </c:pt>
                <c:pt idx="851">
                  <c:v>784.92</c:v>
                </c:pt>
                <c:pt idx="852">
                  <c:v>692.28</c:v>
                </c:pt>
                <c:pt idx="853">
                  <c:v>707.72</c:v>
                </c:pt>
                <c:pt idx="854">
                  <c:v>676.84</c:v>
                </c:pt>
                <c:pt idx="855">
                  <c:v>723.16</c:v>
                </c:pt>
                <c:pt idx="856">
                  <c:v>661.4</c:v>
                </c:pt>
                <c:pt idx="857">
                  <c:v>738.6</c:v>
                </c:pt>
                <c:pt idx="858">
                  <c:v>645.96</c:v>
                </c:pt>
                <c:pt idx="859">
                  <c:v>754.04</c:v>
                </c:pt>
                <c:pt idx="860">
                  <c:v>630.52</c:v>
                </c:pt>
                <c:pt idx="861">
                  <c:v>769.48</c:v>
                </c:pt>
                <c:pt idx="862">
                  <c:v>615.08000000000004</c:v>
                </c:pt>
                <c:pt idx="863">
                  <c:v>784.92</c:v>
                </c:pt>
                <c:pt idx="864">
                  <c:v>692.28</c:v>
                </c:pt>
                <c:pt idx="865">
                  <c:v>707.72</c:v>
                </c:pt>
                <c:pt idx="866">
                  <c:v>676.84</c:v>
                </c:pt>
                <c:pt idx="867">
                  <c:v>723.16</c:v>
                </c:pt>
                <c:pt idx="868">
                  <c:v>661.4</c:v>
                </c:pt>
                <c:pt idx="869">
                  <c:v>738.6</c:v>
                </c:pt>
                <c:pt idx="870">
                  <c:v>645.96</c:v>
                </c:pt>
                <c:pt idx="871">
                  <c:v>754.04</c:v>
                </c:pt>
                <c:pt idx="872">
                  <c:v>630.52</c:v>
                </c:pt>
                <c:pt idx="873">
                  <c:v>769.48</c:v>
                </c:pt>
                <c:pt idx="874">
                  <c:v>615.08000000000004</c:v>
                </c:pt>
                <c:pt idx="875">
                  <c:v>784.92</c:v>
                </c:pt>
                <c:pt idx="876">
                  <c:v>692.28</c:v>
                </c:pt>
                <c:pt idx="877">
                  <c:v>707.72</c:v>
                </c:pt>
                <c:pt idx="878">
                  <c:v>676.84</c:v>
                </c:pt>
                <c:pt idx="879">
                  <c:v>723.16</c:v>
                </c:pt>
                <c:pt idx="880">
                  <c:v>661.4</c:v>
                </c:pt>
                <c:pt idx="881">
                  <c:v>738.6</c:v>
                </c:pt>
                <c:pt idx="882">
                  <c:v>645.96</c:v>
                </c:pt>
                <c:pt idx="883">
                  <c:v>754.04</c:v>
                </c:pt>
                <c:pt idx="884">
                  <c:v>630.52</c:v>
                </c:pt>
                <c:pt idx="885">
                  <c:v>769.48</c:v>
                </c:pt>
                <c:pt idx="886">
                  <c:v>615.08000000000004</c:v>
                </c:pt>
                <c:pt idx="887">
                  <c:v>784.92</c:v>
                </c:pt>
                <c:pt idx="888">
                  <c:v>692.28</c:v>
                </c:pt>
                <c:pt idx="889">
                  <c:v>707.72</c:v>
                </c:pt>
                <c:pt idx="890">
                  <c:v>676.84</c:v>
                </c:pt>
                <c:pt idx="891">
                  <c:v>723.16</c:v>
                </c:pt>
                <c:pt idx="892">
                  <c:v>661.4</c:v>
                </c:pt>
                <c:pt idx="893">
                  <c:v>738.6</c:v>
                </c:pt>
                <c:pt idx="894">
                  <c:v>645.96</c:v>
                </c:pt>
                <c:pt idx="895">
                  <c:v>754.04</c:v>
                </c:pt>
                <c:pt idx="896">
                  <c:v>630.52</c:v>
                </c:pt>
                <c:pt idx="897">
                  <c:v>769.48</c:v>
                </c:pt>
                <c:pt idx="898">
                  <c:v>615.08000000000004</c:v>
                </c:pt>
                <c:pt idx="899">
                  <c:v>784.92</c:v>
                </c:pt>
                <c:pt idx="900">
                  <c:v>692.28</c:v>
                </c:pt>
                <c:pt idx="901">
                  <c:v>707.72</c:v>
                </c:pt>
                <c:pt idx="902">
                  <c:v>676.84</c:v>
                </c:pt>
                <c:pt idx="903">
                  <c:v>723.16</c:v>
                </c:pt>
                <c:pt idx="904">
                  <c:v>661.4</c:v>
                </c:pt>
                <c:pt idx="905">
                  <c:v>738.6</c:v>
                </c:pt>
                <c:pt idx="906">
                  <c:v>645.96</c:v>
                </c:pt>
                <c:pt idx="907">
                  <c:v>754.04</c:v>
                </c:pt>
                <c:pt idx="908">
                  <c:v>630.52</c:v>
                </c:pt>
                <c:pt idx="909">
                  <c:v>769.48</c:v>
                </c:pt>
                <c:pt idx="910">
                  <c:v>615.08000000000004</c:v>
                </c:pt>
                <c:pt idx="911">
                  <c:v>784.92</c:v>
                </c:pt>
                <c:pt idx="912">
                  <c:v>692.28</c:v>
                </c:pt>
                <c:pt idx="913">
                  <c:v>707.72</c:v>
                </c:pt>
                <c:pt idx="914">
                  <c:v>676.84</c:v>
                </c:pt>
                <c:pt idx="915">
                  <c:v>723.16</c:v>
                </c:pt>
                <c:pt idx="916">
                  <c:v>661.4</c:v>
                </c:pt>
                <c:pt idx="917">
                  <c:v>738.6</c:v>
                </c:pt>
                <c:pt idx="918">
                  <c:v>645.96</c:v>
                </c:pt>
                <c:pt idx="919">
                  <c:v>754.04</c:v>
                </c:pt>
                <c:pt idx="920">
                  <c:v>630.52</c:v>
                </c:pt>
                <c:pt idx="921">
                  <c:v>769.48</c:v>
                </c:pt>
                <c:pt idx="922">
                  <c:v>615.08000000000004</c:v>
                </c:pt>
                <c:pt idx="923">
                  <c:v>784.92</c:v>
                </c:pt>
                <c:pt idx="924">
                  <c:v>692.28</c:v>
                </c:pt>
                <c:pt idx="925">
                  <c:v>707.72</c:v>
                </c:pt>
                <c:pt idx="926">
                  <c:v>676.84</c:v>
                </c:pt>
                <c:pt idx="927">
                  <c:v>723.16</c:v>
                </c:pt>
                <c:pt idx="928">
                  <c:v>661.4</c:v>
                </c:pt>
                <c:pt idx="929">
                  <c:v>738.6</c:v>
                </c:pt>
                <c:pt idx="930">
                  <c:v>645.96</c:v>
                </c:pt>
                <c:pt idx="931">
                  <c:v>754.04</c:v>
                </c:pt>
                <c:pt idx="932">
                  <c:v>630.52</c:v>
                </c:pt>
                <c:pt idx="933">
                  <c:v>769.48</c:v>
                </c:pt>
                <c:pt idx="934">
                  <c:v>615.08000000000004</c:v>
                </c:pt>
                <c:pt idx="935">
                  <c:v>784.92</c:v>
                </c:pt>
                <c:pt idx="936">
                  <c:v>692.28</c:v>
                </c:pt>
                <c:pt idx="937">
                  <c:v>707.72</c:v>
                </c:pt>
                <c:pt idx="938">
                  <c:v>676.84</c:v>
                </c:pt>
                <c:pt idx="939">
                  <c:v>723.16</c:v>
                </c:pt>
                <c:pt idx="940">
                  <c:v>661.4</c:v>
                </c:pt>
                <c:pt idx="941">
                  <c:v>738.6</c:v>
                </c:pt>
                <c:pt idx="942">
                  <c:v>645.96</c:v>
                </c:pt>
                <c:pt idx="943">
                  <c:v>754.04</c:v>
                </c:pt>
                <c:pt idx="944">
                  <c:v>630.52</c:v>
                </c:pt>
                <c:pt idx="945">
                  <c:v>769.48</c:v>
                </c:pt>
                <c:pt idx="946">
                  <c:v>615.08000000000004</c:v>
                </c:pt>
                <c:pt idx="947">
                  <c:v>784.92</c:v>
                </c:pt>
                <c:pt idx="948">
                  <c:v>692.28</c:v>
                </c:pt>
                <c:pt idx="949">
                  <c:v>707.72</c:v>
                </c:pt>
                <c:pt idx="950">
                  <c:v>676.84</c:v>
                </c:pt>
                <c:pt idx="951">
                  <c:v>723.16</c:v>
                </c:pt>
                <c:pt idx="952">
                  <c:v>661.4</c:v>
                </c:pt>
                <c:pt idx="953">
                  <c:v>738.6</c:v>
                </c:pt>
                <c:pt idx="954">
                  <c:v>645.96</c:v>
                </c:pt>
                <c:pt idx="955">
                  <c:v>754.04</c:v>
                </c:pt>
                <c:pt idx="956">
                  <c:v>630.52</c:v>
                </c:pt>
                <c:pt idx="957">
                  <c:v>769.48</c:v>
                </c:pt>
                <c:pt idx="958">
                  <c:v>615.08000000000004</c:v>
                </c:pt>
                <c:pt idx="959">
                  <c:v>784.92</c:v>
                </c:pt>
                <c:pt idx="960">
                  <c:v>692.28</c:v>
                </c:pt>
                <c:pt idx="961">
                  <c:v>707.72</c:v>
                </c:pt>
                <c:pt idx="962">
                  <c:v>676.84</c:v>
                </c:pt>
                <c:pt idx="963">
                  <c:v>723.16</c:v>
                </c:pt>
                <c:pt idx="964">
                  <c:v>661.4</c:v>
                </c:pt>
                <c:pt idx="965">
                  <c:v>738.6</c:v>
                </c:pt>
                <c:pt idx="966">
                  <c:v>645.96</c:v>
                </c:pt>
                <c:pt idx="967">
                  <c:v>754.04</c:v>
                </c:pt>
                <c:pt idx="968">
                  <c:v>630.52</c:v>
                </c:pt>
                <c:pt idx="969">
                  <c:v>769.48</c:v>
                </c:pt>
                <c:pt idx="970">
                  <c:v>615.08000000000004</c:v>
                </c:pt>
                <c:pt idx="971">
                  <c:v>784.92</c:v>
                </c:pt>
                <c:pt idx="972">
                  <c:v>692.28</c:v>
                </c:pt>
                <c:pt idx="973">
                  <c:v>707.72</c:v>
                </c:pt>
                <c:pt idx="974">
                  <c:v>676.84</c:v>
                </c:pt>
                <c:pt idx="975">
                  <c:v>723.16</c:v>
                </c:pt>
                <c:pt idx="976">
                  <c:v>661.4</c:v>
                </c:pt>
                <c:pt idx="977">
                  <c:v>738.6</c:v>
                </c:pt>
                <c:pt idx="978">
                  <c:v>645.96</c:v>
                </c:pt>
                <c:pt idx="979">
                  <c:v>754.04</c:v>
                </c:pt>
                <c:pt idx="980">
                  <c:v>630.52</c:v>
                </c:pt>
                <c:pt idx="981">
                  <c:v>769.48</c:v>
                </c:pt>
                <c:pt idx="982">
                  <c:v>615.08000000000004</c:v>
                </c:pt>
                <c:pt idx="983">
                  <c:v>784.92</c:v>
                </c:pt>
                <c:pt idx="984">
                  <c:v>692.28</c:v>
                </c:pt>
                <c:pt idx="985">
                  <c:v>707.72</c:v>
                </c:pt>
                <c:pt idx="986">
                  <c:v>676.84</c:v>
                </c:pt>
                <c:pt idx="987">
                  <c:v>723.16</c:v>
                </c:pt>
                <c:pt idx="988">
                  <c:v>661.4</c:v>
                </c:pt>
                <c:pt idx="989">
                  <c:v>738.6</c:v>
                </c:pt>
                <c:pt idx="990">
                  <c:v>645.96</c:v>
                </c:pt>
                <c:pt idx="991">
                  <c:v>754.04</c:v>
                </c:pt>
                <c:pt idx="992">
                  <c:v>630.52</c:v>
                </c:pt>
                <c:pt idx="993">
                  <c:v>769.48</c:v>
                </c:pt>
                <c:pt idx="994">
                  <c:v>615.08000000000004</c:v>
                </c:pt>
                <c:pt idx="995">
                  <c:v>784.92</c:v>
                </c:pt>
                <c:pt idx="996">
                  <c:v>692.28</c:v>
                </c:pt>
                <c:pt idx="997">
                  <c:v>707.72</c:v>
                </c:pt>
                <c:pt idx="998">
                  <c:v>676.84</c:v>
                </c:pt>
                <c:pt idx="999">
                  <c:v>723.16</c:v>
                </c:pt>
              </c:numCache>
            </c:numRef>
          </c:xVal>
          <c:yVal>
            <c:numRef>
              <c:f>'Dance p'!$AM$92:$AM$1091</c:f>
              <c:numCache>
                <c:formatCode>General</c:formatCode>
                <c:ptCount val="1000"/>
                <c:pt idx="0">
                  <c:v>0.80500000000000005</c:v>
                </c:pt>
                <c:pt idx="1">
                  <c:v>0.80500000000000005</c:v>
                </c:pt>
                <c:pt idx="2">
                  <c:v>0.80500000000000005</c:v>
                </c:pt>
                <c:pt idx="3">
                  <c:v>0.80500000000000005</c:v>
                </c:pt>
                <c:pt idx="4">
                  <c:v>0.80500000000000005</c:v>
                </c:pt>
                <c:pt idx="5">
                  <c:v>0.80500000000000005</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22-E39F-470B-B5CD-D5A3D761E019}"/>
            </c:ext>
          </c:extLst>
        </c:ser>
        <c:ser>
          <c:idx val="2"/>
          <c:order val="20"/>
          <c:spPr>
            <a:ln w="28575">
              <a:noFill/>
            </a:ln>
          </c:spPr>
          <c:marker>
            <c:symbol val="square"/>
            <c:size val="5"/>
            <c:spPr>
              <a:solidFill>
                <a:srgbClr val="FFCC99"/>
              </a:solidFill>
              <a:ln>
                <a:solidFill>
                  <a:srgbClr val="969696"/>
                </a:solidFill>
                <a:prstDash val="solid"/>
              </a:ln>
            </c:spPr>
          </c:marker>
          <c:xVal>
            <c:numRef>
              <c:f>'Dance p'!$AN$92:$AN$1091</c:f>
              <c:numCache>
                <c:formatCode>General</c:formatCode>
                <c:ptCount val="1000"/>
                <c:pt idx="0">
                  <c:v>492.28</c:v>
                </c:pt>
                <c:pt idx="1">
                  <c:v>507.72</c:v>
                </c:pt>
                <c:pt idx="2">
                  <c:v>476.84</c:v>
                </c:pt>
                <c:pt idx="3">
                  <c:v>523.16</c:v>
                </c:pt>
                <c:pt idx="4">
                  <c:v>461.4</c:v>
                </c:pt>
                <c:pt idx="5">
                  <c:v>538.6</c:v>
                </c:pt>
                <c:pt idx="6">
                  <c:v>445.96</c:v>
                </c:pt>
                <c:pt idx="7">
                  <c:v>554.04</c:v>
                </c:pt>
                <c:pt idx="8">
                  <c:v>430.52</c:v>
                </c:pt>
                <c:pt idx="9">
                  <c:v>569.48</c:v>
                </c:pt>
                <c:pt idx="10">
                  <c:v>415.08</c:v>
                </c:pt>
                <c:pt idx="11">
                  <c:v>584.91999999999996</c:v>
                </c:pt>
                <c:pt idx="12">
                  <c:v>492.28</c:v>
                </c:pt>
                <c:pt idx="13">
                  <c:v>507.72</c:v>
                </c:pt>
                <c:pt idx="14">
                  <c:v>476.84</c:v>
                </c:pt>
                <c:pt idx="15">
                  <c:v>523.16</c:v>
                </c:pt>
                <c:pt idx="16">
                  <c:v>461.4</c:v>
                </c:pt>
                <c:pt idx="17">
                  <c:v>538.6</c:v>
                </c:pt>
                <c:pt idx="18">
                  <c:v>445.96</c:v>
                </c:pt>
                <c:pt idx="19">
                  <c:v>554.04</c:v>
                </c:pt>
                <c:pt idx="20">
                  <c:v>430.52</c:v>
                </c:pt>
                <c:pt idx="21">
                  <c:v>569.48</c:v>
                </c:pt>
                <c:pt idx="22">
                  <c:v>415.08</c:v>
                </c:pt>
                <c:pt idx="23">
                  <c:v>584.91999999999996</c:v>
                </c:pt>
                <c:pt idx="24">
                  <c:v>492.28</c:v>
                </c:pt>
                <c:pt idx="25">
                  <c:v>507.72</c:v>
                </c:pt>
                <c:pt idx="26">
                  <c:v>476.84</c:v>
                </c:pt>
                <c:pt idx="27">
                  <c:v>523.16</c:v>
                </c:pt>
                <c:pt idx="28">
                  <c:v>461.4</c:v>
                </c:pt>
                <c:pt idx="29">
                  <c:v>538.6</c:v>
                </c:pt>
                <c:pt idx="30">
                  <c:v>445.96</c:v>
                </c:pt>
                <c:pt idx="31">
                  <c:v>554.04</c:v>
                </c:pt>
                <c:pt idx="32">
                  <c:v>430.52</c:v>
                </c:pt>
                <c:pt idx="33">
                  <c:v>569.48</c:v>
                </c:pt>
                <c:pt idx="34">
                  <c:v>415.08</c:v>
                </c:pt>
                <c:pt idx="35">
                  <c:v>584.91999999999996</c:v>
                </c:pt>
                <c:pt idx="36">
                  <c:v>492.28</c:v>
                </c:pt>
                <c:pt idx="37">
                  <c:v>507.72</c:v>
                </c:pt>
                <c:pt idx="38">
                  <c:v>476.84</c:v>
                </c:pt>
                <c:pt idx="39">
                  <c:v>523.16</c:v>
                </c:pt>
                <c:pt idx="40">
                  <c:v>461.4</c:v>
                </c:pt>
                <c:pt idx="41">
                  <c:v>538.6</c:v>
                </c:pt>
                <c:pt idx="42">
                  <c:v>445.96</c:v>
                </c:pt>
                <c:pt idx="43">
                  <c:v>554.04</c:v>
                </c:pt>
                <c:pt idx="44">
                  <c:v>430.52</c:v>
                </c:pt>
                <c:pt idx="45">
                  <c:v>569.48</c:v>
                </c:pt>
                <c:pt idx="46">
                  <c:v>415.08</c:v>
                </c:pt>
                <c:pt idx="47">
                  <c:v>584.91999999999996</c:v>
                </c:pt>
                <c:pt idx="48">
                  <c:v>492.28</c:v>
                </c:pt>
                <c:pt idx="49">
                  <c:v>507.72</c:v>
                </c:pt>
                <c:pt idx="50">
                  <c:v>476.84</c:v>
                </c:pt>
                <c:pt idx="51">
                  <c:v>523.16</c:v>
                </c:pt>
                <c:pt idx="52">
                  <c:v>461.4</c:v>
                </c:pt>
                <c:pt idx="53">
                  <c:v>538.6</c:v>
                </c:pt>
                <c:pt idx="54">
                  <c:v>445.96</c:v>
                </c:pt>
                <c:pt idx="55">
                  <c:v>554.04</c:v>
                </c:pt>
                <c:pt idx="56">
                  <c:v>430.52</c:v>
                </c:pt>
                <c:pt idx="57">
                  <c:v>569.48</c:v>
                </c:pt>
                <c:pt idx="58">
                  <c:v>415.08</c:v>
                </c:pt>
                <c:pt idx="59">
                  <c:v>584.91999999999996</c:v>
                </c:pt>
                <c:pt idx="60">
                  <c:v>492.28</c:v>
                </c:pt>
                <c:pt idx="61">
                  <c:v>507.72</c:v>
                </c:pt>
                <c:pt idx="62">
                  <c:v>476.84</c:v>
                </c:pt>
                <c:pt idx="63">
                  <c:v>523.16</c:v>
                </c:pt>
                <c:pt idx="64">
                  <c:v>461.4</c:v>
                </c:pt>
                <c:pt idx="65">
                  <c:v>538.6</c:v>
                </c:pt>
                <c:pt idx="66">
                  <c:v>445.96</c:v>
                </c:pt>
                <c:pt idx="67">
                  <c:v>554.04</c:v>
                </c:pt>
                <c:pt idx="68">
                  <c:v>430.52</c:v>
                </c:pt>
                <c:pt idx="69">
                  <c:v>569.48</c:v>
                </c:pt>
                <c:pt idx="70">
                  <c:v>415.08</c:v>
                </c:pt>
                <c:pt idx="71">
                  <c:v>584.91999999999996</c:v>
                </c:pt>
                <c:pt idx="72">
                  <c:v>492.28</c:v>
                </c:pt>
                <c:pt idx="73">
                  <c:v>507.72</c:v>
                </c:pt>
                <c:pt idx="74">
                  <c:v>476.84</c:v>
                </c:pt>
                <c:pt idx="75">
                  <c:v>523.16</c:v>
                </c:pt>
                <c:pt idx="76">
                  <c:v>461.4</c:v>
                </c:pt>
                <c:pt idx="77">
                  <c:v>538.6</c:v>
                </c:pt>
                <c:pt idx="78">
                  <c:v>445.96</c:v>
                </c:pt>
                <c:pt idx="79">
                  <c:v>554.04</c:v>
                </c:pt>
                <c:pt idx="80">
                  <c:v>430.52</c:v>
                </c:pt>
                <c:pt idx="81">
                  <c:v>569.48</c:v>
                </c:pt>
                <c:pt idx="82">
                  <c:v>415.08</c:v>
                </c:pt>
                <c:pt idx="83">
                  <c:v>584.91999999999996</c:v>
                </c:pt>
                <c:pt idx="84">
                  <c:v>492.28</c:v>
                </c:pt>
                <c:pt idx="85">
                  <c:v>507.72</c:v>
                </c:pt>
                <c:pt idx="86">
                  <c:v>476.84</c:v>
                </c:pt>
                <c:pt idx="87">
                  <c:v>523.16</c:v>
                </c:pt>
                <c:pt idx="88">
                  <c:v>461.4</c:v>
                </c:pt>
                <c:pt idx="89">
                  <c:v>538.6</c:v>
                </c:pt>
                <c:pt idx="90">
                  <c:v>445.96</c:v>
                </c:pt>
                <c:pt idx="91">
                  <c:v>554.04</c:v>
                </c:pt>
                <c:pt idx="92">
                  <c:v>430.52</c:v>
                </c:pt>
                <c:pt idx="93">
                  <c:v>569.48</c:v>
                </c:pt>
                <c:pt idx="94">
                  <c:v>415.08</c:v>
                </c:pt>
                <c:pt idx="95">
                  <c:v>584.91999999999996</c:v>
                </c:pt>
                <c:pt idx="96">
                  <c:v>492.28</c:v>
                </c:pt>
                <c:pt idx="97">
                  <c:v>507.72</c:v>
                </c:pt>
                <c:pt idx="98">
                  <c:v>476.84</c:v>
                </c:pt>
                <c:pt idx="99">
                  <c:v>523.16</c:v>
                </c:pt>
                <c:pt idx="100">
                  <c:v>461.4</c:v>
                </c:pt>
                <c:pt idx="101">
                  <c:v>538.6</c:v>
                </c:pt>
                <c:pt idx="102">
                  <c:v>445.96</c:v>
                </c:pt>
                <c:pt idx="103">
                  <c:v>554.04</c:v>
                </c:pt>
                <c:pt idx="104">
                  <c:v>430.52</c:v>
                </c:pt>
                <c:pt idx="105">
                  <c:v>569.48</c:v>
                </c:pt>
                <c:pt idx="106">
                  <c:v>415.08</c:v>
                </c:pt>
                <c:pt idx="107">
                  <c:v>584.91999999999996</c:v>
                </c:pt>
                <c:pt idx="108">
                  <c:v>492.28</c:v>
                </c:pt>
                <c:pt idx="109">
                  <c:v>507.72</c:v>
                </c:pt>
                <c:pt idx="110">
                  <c:v>476.84</c:v>
                </c:pt>
                <c:pt idx="111">
                  <c:v>523.16</c:v>
                </c:pt>
                <c:pt idx="112">
                  <c:v>461.4</c:v>
                </c:pt>
                <c:pt idx="113">
                  <c:v>538.6</c:v>
                </c:pt>
                <c:pt idx="114">
                  <c:v>445.96</c:v>
                </c:pt>
                <c:pt idx="115">
                  <c:v>554.04</c:v>
                </c:pt>
                <c:pt idx="116">
                  <c:v>430.52</c:v>
                </c:pt>
                <c:pt idx="117">
                  <c:v>569.48</c:v>
                </c:pt>
                <c:pt idx="118">
                  <c:v>415.08</c:v>
                </c:pt>
                <c:pt idx="119">
                  <c:v>584.91999999999996</c:v>
                </c:pt>
                <c:pt idx="120">
                  <c:v>492.28</c:v>
                </c:pt>
                <c:pt idx="121">
                  <c:v>507.72</c:v>
                </c:pt>
                <c:pt idx="122">
                  <c:v>476.84</c:v>
                </c:pt>
                <c:pt idx="123">
                  <c:v>523.16</c:v>
                </c:pt>
                <c:pt idx="124">
                  <c:v>461.4</c:v>
                </c:pt>
                <c:pt idx="125">
                  <c:v>538.6</c:v>
                </c:pt>
                <c:pt idx="126">
                  <c:v>445.96</c:v>
                </c:pt>
                <c:pt idx="127">
                  <c:v>554.04</c:v>
                </c:pt>
                <c:pt idx="128">
                  <c:v>430.52</c:v>
                </c:pt>
                <c:pt idx="129">
                  <c:v>569.48</c:v>
                </c:pt>
                <c:pt idx="130">
                  <c:v>415.08</c:v>
                </c:pt>
                <c:pt idx="131">
                  <c:v>584.91999999999996</c:v>
                </c:pt>
                <c:pt idx="132">
                  <c:v>492.28</c:v>
                </c:pt>
                <c:pt idx="133">
                  <c:v>507.72</c:v>
                </c:pt>
                <c:pt idx="134">
                  <c:v>476.84</c:v>
                </c:pt>
                <c:pt idx="135">
                  <c:v>523.16</c:v>
                </c:pt>
                <c:pt idx="136">
                  <c:v>461.4</c:v>
                </c:pt>
                <c:pt idx="137">
                  <c:v>538.6</c:v>
                </c:pt>
                <c:pt idx="138">
                  <c:v>445.96</c:v>
                </c:pt>
                <c:pt idx="139">
                  <c:v>554.04</c:v>
                </c:pt>
                <c:pt idx="140">
                  <c:v>430.52</c:v>
                </c:pt>
                <c:pt idx="141">
                  <c:v>569.48</c:v>
                </c:pt>
                <c:pt idx="142">
                  <c:v>415.08</c:v>
                </c:pt>
                <c:pt idx="143">
                  <c:v>584.91999999999996</c:v>
                </c:pt>
                <c:pt idx="144">
                  <c:v>492.28</c:v>
                </c:pt>
                <c:pt idx="145">
                  <c:v>507.72</c:v>
                </c:pt>
                <c:pt idx="146">
                  <c:v>476.84</c:v>
                </c:pt>
                <c:pt idx="147">
                  <c:v>523.16</c:v>
                </c:pt>
                <c:pt idx="148">
                  <c:v>461.4</c:v>
                </c:pt>
                <c:pt idx="149">
                  <c:v>538.6</c:v>
                </c:pt>
                <c:pt idx="150">
                  <c:v>445.96</c:v>
                </c:pt>
                <c:pt idx="151">
                  <c:v>554.04</c:v>
                </c:pt>
                <c:pt idx="152">
                  <c:v>430.52</c:v>
                </c:pt>
                <c:pt idx="153">
                  <c:v>569.48</c:v>
                </c:pt>
                <c:pt idx="154">
                  <c:v>415.08</c:v>
                </c:pt>
                <c:pt idx="155">
                  <c:v>584.91999999999996</c:v>
                </c:pt>
                <c:pt idx="156">
                  <c:v>492.28</c:v>
                </c:pt>
                <c:pt idx="157">
                  <c:v>507.72</c:v>
                </c:pt>
                <c:pt idx="158">
                  <c:v>476.84</c:v>
                </c:pt>
                <c:pt idx="159">
                  <c:v>523.16</c:v>
                </c:pt>
                <c:pt idx="160">
                  <c:v>461.4</c:v>
                </c:pt>
                <c:pt idx="161">
                  <c:v>538.6</c:v>
                </c:pt>
                <c:pt idx="162">
                  <c:v>445.96</c:v>
                </c:pt>
                <c:pt idx="163">
                  <c:v>554.04</c:v>
                </c:pt>
                <c:pt idx="164">
                  <c:v>430.52</c:v>
                </c:pt>
                <c:pt idx="165">
                  <c:v>569.48</c:v>
                </c:pt>
                <c:pt idx="166">
                  <c:v>415.08</c:v>
                </c:pt>
                <c:pt idx="167">
                  <c:v>584.91999999999996</c:v>
                </c:pt>
                <c:pt idx="168">
                  <c:v>492.28</c:v>
                </c:pt>
                <c:pt idx="169">
                  <c:v>507.72</c:v>
                </c:pt>
                <c:pt idx="170">
                  <c:v>476.84</c:v>
                </c:pt>
                <c:pt idx="171">
                  <c:v>523.16</c:v>
                </c:pt>
                <c:pt idx="172">
                  <c:v>461.4</c:v>
                </c:pt>
                <c:pt idx="173">
                  <c:v>538.6</c:v>
                </c:pt>
                <c:pt idx="174">
                  <c:v>445.96</c:v>
                </c:pt>
                <c:pt idx="175">
                  <c:v>554.04</c:v>
                </c:pt>
                <c:pt idx="176">
                  <c:v>430.52</c:v>
                </c:pt>
                <c:pt idx="177">
                  <c:v>569.48</c:v>
                </c:pt>
                <c:pt idx="178">
                  <c:v>415.08</c:v>
                </c:pt>
                <c:pt idx="179">
                  <c:v>584.91999999999996</c:v>
                </c:pt>
                <c:pt idx="180">
                  <c:v>492.28</c:v>
                </c:pt>
                <c:pt idx="181">
                  <c:v>507.72</c:v>
                </c:pt>
                <c:pt idx="182">
                  <c:v>476.84</c:v>
                </c:pt>
                <c:pt idx="183">
                  <c:v>523.16</c:v>
                </c:pt>
                <c:pt idx="184">
                  <c:v>461.4</c:v>
                </c:pt>
                <c:pt idx="185">
                  <c:v>538.6</c:v>
                </c:pt>
                <c:pt idx="186">
                  <c:v>445.96</c:v>
                </c:pt>
                <c:pt idx="187">
                  <c:v>554.04</c:v>
                </c:pt>
                <c:pt idx="188">
                  <c:v>430.52</c:v>
                </c:pt>
                <c:pt idx="189">
                  <c:v>569.48</c:v>
                </c:pt>
                <c:pt idx="190">
                  <c:v>415.08</c:v>
                </c:pt>
                <c:pt idx="191">
                  <c:v>584.91999999999996</c:v>
                </c:pt>
                <c:pt idx="192">
                  <c:v>492.28</c:v>
                </c:pt>
                <c:pt idx="193">
                  <c:v>507.72</c:v>
                </c:pt>
                <c:pt idx="194">
                  <c:v>476.84</c:v>
                </c:pt>
                <c:pt idx="195">
                  <c:v>523.16</c:v>
                </c:pt>
                <c:pt idx="196">
                  <c:v>461.4</c:v>
                </c:pt>
                <c:pt idx="197">
                  <c:v>538.6</c:v>
                </c:pt>
                <c:pt idx="198">
                  <c:v>445.96</c:v>
                </c:pt>
                <c:pt idx="199">
                  <c:v>554.04</c:v>
                </c:pt>
                <c:pt idx="200">
                  <c:v>430.52</c:v>
                </c:pt>
                <c:pt idx="201">
                  <c:v>569.48</c:v>
                </c:pt>
                <c:pt idx="202">
                  <c:v>415.08</c:v>
                </c:pt>
                <c:pt idx="203">
                  <c:v>584.91999999999996</c:v>
                </c:pt>
                <c:pt idx="204">
                  <c:v>492.28</c:v>
                </c:pt>
                <c:pt idx="205">
                  <c:v>507.72</c:v>
                </c:pt>
                <c:pt idx="206">
                  <c:v>476.84</c:v>
                </c:pt>
                <c:pt idx="207">
                  <c:v>523.16</c:v>
                </c:pt>
                <c:pt idx="208">
                  <c:v>461.4</c:v>
                </c:pt>
                <c:pt idx="209">
                  <c:v>538.6</c:v>
                </c:pt>
                <c:pt idx="210">
                  <c:v>445.96</c:v>
                </c:pt>
                <c:pt idx="211">
                  <c:v>554.04</c:v>
                </c:pt>
                <c:pt idx="212">
                  <c:v>430.52</c:v>
                </c:pt>
                <c:pt idx="213">
                  <c:v>569.48</c:v>
                </c:pt>
                <c:pt idx="214">
                  <c:v>415.08</c:v>
                </c:pt>
                <c:pt idx="215">
                  <c:v>584.91999999999996</c:v>
                </c:pt>
                <c:pt idx="216">
                  <c:v>492.28</c:v>
                </c:pt>
                <c:pt idx="217">
                  <c:v>507.72</c:v>
                </c:pt>
                <c:pt idx="218">
                  <c:v>476.84</c:v>
                </c:pt>
                <c:pt idx="219">
                  <c:v>523.16</c:v>
                </c:pt>
                <c:pt idx="220">
                  <c:v>461.4</c:v>
                </c:pt>
                <c:pt idx="221">
                  <c:v>538.6</c:v>
                </c:pt>
                <c:pt idx="222">
                  <c:v>445.96</c:v>
                </c:pt>
                <c:pt idx="223">
                  <c:v>554.04</c:v>
                </c:pt>
                <c:pt idx="224">
                  <c:v>430.52</c:v>
                </c:pt>
                <c:pt idx="225">
                  <c:v>569.48</c:v>
                </c:pt>
                <c:pt idx="226">
                  <c:v>415.08</c:v>
                </c:pt>
                <c:pt idx="227">
                  <c:v>584.91999999999996</c:v>
                </c:pt>
                <c:pt idx="228">
                  <c:v>492.28</c:v>
                </c:pt>
                <c:pt idx="229">
                  <c:v>507.72</c:v>
                </c:pt>
                <c:pt idx="230">
                  <c:v>476.84</c:v>
                </c:pt>
                <c:pt idx="231">
                  <c:v>523.16</c:v>
                </c:pt>
                <c:pt idx="232">
                  <c:v>461.4</c:v>
                </c:pt>
                <c:pt idx="233">
                  <c:v>538.6</c:v>
                </c:pt>
                <c:pt idx="234">
                  <c:v>445.96</c:v>
                </c:pt>
                <c:pt idx="235">
                  <c:v>554.04</c:v>
                </c:pt>
                <c:pt idx="236">
                  <c:v>430.52</c:v>
                </c:pt>
                <c:pt idx="237">
                  <c:v>569.48</c:v>
                </c:pt>
                <c:pt idx="238">
                  <c:v>415.08</c:v>
                </c:pt>
                <c:pt idx="239">
                  <c:v>584.91999999999996</c:v>
                </c:pt>
                <c:pt idx="240">
                  <c:v>492.28</c:v>
                </c:pt>
                <c:pt idx="241">
                  <c:v>507.72</c:v>
                </c:pt>
                <c:pt idx="242">
                  <c:v>476.84</c:v>
                </c:pt>
                <c:pt idx="243">
                  <c:v>523.16</c:v>
                </c:pt>
                <c:pt idx="244">
                  <c:v>461.4</c:v>
                </c:pt>
                <c:pt idx="245">
                  <c:v>538.6</c:v>
                </c:pt>
                <c:pt idx="246">
                  <c:v>445.96</c:v>
                </c:pt>
                <c:pt idx="247">
                  <c:v>554.04</c:v>
                </c:pt>
                <c:pt idx="248">
                  <c:v>430.52</c:v>
                </c:pt>
                <c:pt idx="249">
                  <c:v>569.48</c:v>
                </c:pt>
                <c:pt idx="250">
                  <c:v>415.08</c:v>
                </c:pt>
                <c:pt idx="251">
                  <c:v>584.91999999999996</c:v>
                </c:pt>
                <c:pt idx="252">
                  <c:v>492.28</c:v>
                </c:pt>
                <c:pt idx="253">
                  <c:v>507.72</c:v>
                </c:pt>
                <c:pt idx="254">
                  <c:v>476.84</c:v>
                </c:pt>
                <c:pt idx="255">
                  <c:v>523.16</c:v>
                </c:pt>
                <c:pt idx="256">
                  <c:v>461.4</c:v>
                </c:pt>
                <c:pt idx="257">
                  <c:v>538.6</c:v>
                </c:pt>
                <c:pt idx="258">
                  <c:v>445.96</c:v>
                </c:pt>
                <c:pt idx="259">
                  <c:v>554.04</c:v>
                </c:pt>
                <c:pt idx="260">
                  <c:v>430.52</c:v>
                </c:pt>
                <c:pt idx="261">
                  <c:v>569.48</c:v>
                </c:pt>
                <c:pt idx="262">
                  <c:v>415.08</c:v>
                </c:pt>
                <c:pt idx="263">
                  <c:v>584.91999999999996</c:v>
                </c:pt>
                <c:pt idx="264">
                  <c:v>492.28</c:v>
                </c:pt>
                <c:pt idx="265">
                  <c:v>507.72</c:v>
                </c:pt>
                <c:pt idx="266">
                  <c:v>476.84</c:v>
                </c:pt>
                <c:pt idx="267">
                  <c:v>523.16</c:v>
                </c:pt>
                <c:pt idx="268">
                  <c:v>461.4</c:v>
                </c:pt>
                <c:pt idx="269">
                  <c:v>538.6</c:v>
                </c:pt>
                <c:pt idx="270">
                  <c:v>445.96</c:v>
                </c:pt>
                <c:pt idx="271">
                  <c:v>554.04</c:v>
                </c:pt>
                <c:pt idx="272">
                  <c:v>430.52</c:v>
                </c:pt>
                <c:pt idx="273">
                  <c:v>569.48</c:v>
                </c:pt>
                <c:pt idx="274">
                  <c:v>415.08</c:v>
                </c:pt>
                <c:pt idx="275">
                  <c:v>584.91999999999996</c:v>
                </c:pt>
                <c:pt idx="276">
                  <c:v>492.28</c:v>
                </c:pt>
                <c:pt idx="277">
                  <c:v>507.72</c:v>
                </c:pt>
                <c:pt idx="278">
                  <c:v>476.84</c:v>
                </c:pt>
                <c:pt idx="279">
                  <c:v>523.16</c:v>
                </c:pt>
                <c:pt idx="280">
                  <c:v>461.4</c:v>
                </c:pt>
                <c:pt idx="281">
                  <c:v>538.6</c:v>
                </c:pt>
                <c:pt idx="282">
                  <c:v>445.96</c:v>
                </c:pt>
                <c:pt idx="283">
                  <c:v>554.04</c:v>
                </c:pt>
                <c:pt idx="284">
                  <c:v>430.52</c:v>
                </c:pt>
                <c:pt idx="285">
                  <c:v>569.48</c:v>
                </c:pt>
                <c:pt idx="286">
                  <c:v>415.08</c:v>
                </c:pt>
                <c:pt idx="287">
                  <c:v>584.91999999999996</c:v>
                </c:pt>
                <c:pt idx="288">
                  <c:v>492.28</c:v>
                </c:pt>
                <c:pt idx="289">
                  <c:v>507.72</c:v>
                </c:pt>
                <c:pt idx="290">
                  <c:v>476.84</c:v>
                </c:pt>
                <c:pt idx="291">
                  <c:v>523.16</c:v>
                </c:pt>
                <c:pt idx="292">
                  <c:v>461.4</c:v>
                </c:pt>
                <c:pt idx="293">
                  <c:v>538.6</c:v>
                </c:pt>
                <c:pt idx="294">
                  <c:v>445.96</c:v>
                </c:pt>
                <c:pt idx="295">
                  <c:v>554.04</c:v>
                </c:pt>
                <c:pt idx="296">
                  <c:v>430.52</c:v>
                </c:pt>
                <c:pt idx="297">
                  <c:v>569.48</c:v>
                </c:pt>
                <c:pt idx="298">
                  <c:v>415.08</c:v>
                </c:pt>
                <c:pt idx="299">
                  <c:v>584.91999999999996</c:v>
                </c:pt>
                <c:pt idx="300">
                  <c:v>492.28</c:v>
                </c:pt>
                <c:pt idx="301">
                  <c:v>507.72</c:v>
                </c:pt>
                <c:pt idx="302">
                  <c:v>476.84</c:v>
                </c:pt>
                <c:pt idx="303">
                  <c:v>523.16</c:v>
                </c:pt>
                <c:pt idx="304">
                  <c:v>461.4</c:v>
                </c:pt>
                <c:pt idx="305">
                  <c:v>538.6</c:v>
                </c:pt>
                <c:pt idx="306">
                  <c:v>445.96</c:v>
                </c:pt>
                <c:pt idx="307">
                  <c:v>554.04</c:v>
                </c:pt>
                <c:pt idx="308">
                  <c:v>430.52</c:v>
                </c:pt>
                <c:pt idx="309">
                  <c:v>569.48</c:v>
                </c:pt>
                <c:pt idx="310">
                  <c:v>415.08</c:v>
                </c:pt>
                <c:pt idx="311">
                  <c:v>584.91999999999996</c:v>
                </c:pt>
                <c:pt idx="312">
                  <c:v>492.28</c:v>
                </c:pt>
                <c:pt idx="313">
                  <c:v>507.72</c:v>
                </c:pt>
                <c:pt idx="314">
                  <c:v>476.84</c:v>
                </c:pt>
                <c:pt idx="315">
                  <c:v>523.16</c:v>
                </c:pt>
                <c:pt idx="316">
                  <c:v>461.4</c:v>
                </c:pt>
                <c:pt idx="317">
                  <c:v>538.6</c:v>
                </c:pt>
                <c:pt idx="318">
                  <c:v>445.96</c:v>
                </c:pt>
                <c:pt idx="319">
                  <c:v>554.04</c:v>
                </c:pt>
                <c:pt idx="320">
                  <c:v>430.52</c:v>
                </c:pt>
                <c:pt idx="321">
                  <c:v>569.48</c:v>
                </c:pt>
                <c:pt idx="322">
                  <c:v>415.08</c:v>
                </c:pt>
                <c:pt idx="323">
                  <c:v>584.91999999999996</c:v>
                </c:pt>
                <c:pt idx="324">
                  <c:v>492.28</c:v>
                </c:pt>
                <c:pt idx="325">
                  <c:v>507.72</c:v>
                </c:pt>
                <c:pt idx="326">
                  <c:v>476.84</c:v>
                </c:pt>
                <c:pt idx="327">
                  <c:v>523.16</c:v>
                </c:pt>
                <c:pt idx="328">
                  <c:v>461.4</c:v>
                </c:pt>
                <c:pt idx="329">
                  <c:v>538.6</c:v>
                </c:pt>
                <c:pt idx="330">
                  <c:v>445.96</c:v>
                </c:pt>
                <c:pt idx="331">
                  <c:v>554.04</c:v>
                </c:pt>
                <c:pt idx="332">
                  <c:v>430.52</c:v>
                </c:pt>
                <c:pt idx="333">
                  <c:v>569.48</c:v>
                </c:pt>
                <c:pt idx="334">
                  <c:v>415.08</c:v>
                </c:pt>
                <c:pt idx="335">
                  <c:v>584.91999999999996</c:v>
                </c:pt>
                <c:pt idx="336">
                  <c:v>492.28</c:v>
                </c:pt>
                <c:pt idx="337">
                  <c:v>507.72</c:v>
                </c:pt>
                <c:pt idx="338">
                  <c:v>476.84</c:v>
                </c:pt>
                <c:pt idx="339">
                  <c:v>523.16</c:v>
                </c:pt>
                <c:pt idx="340">
                  <c:v>461.4</c:v>
                </c:pt>
                <c:pt idx="341">
                  <c:v>538.6</c:v>
                </c:pt>
                <c:pt idx="342">
                  <c:v>445.96</c:v>
                </c:pt>
                <c:pt idx="343">
                  <c:v>554.04</c:v>
                </c:pt>
                <c:pt idx="344">
                  <c:v>430.52</c:v>
                </c:pt>
                <c:pt idx="345">
                  <c:v>569.48</c:v>
                </c:pt>
                <c:pt idx="346">
                  <c:v>415.08</c:v>
                </c:pt>
                <c:pt idx="347">
                  <c:v>584.91999999999996</c:v>
                </c:pt>
                <c:pt idx="348">
                  <c:v>492.28</c:v>
                </c:pt>
                <c:pt idx="349">
                  <c:v>507.72</c:v>
                </c:pt>
                <c:pt idx="350">
                  <c:v>476.84</c:v>
                </c:pt>
                <c:pt idx="351">
                  <c:v>523.16</c:v>
                </c:pt>
                <c:pt idx="352">
                  <c:v>461.4</c:v>
                </c:pt>
                <c:pt idx="353">
                  <c:v>538.6</c:v>
                </c:pt>
                <c:pt idx="354">
                  <c:v>445.96</c:v>
                </c:pt>
                <c:pt idx="355">
                  <c:v>554.04</c:v>
                </c:pt>
                <c:pt idx="356">
                  <c:v>430.52</c:v>
                </c:pt>
                <c:pt idx="357">
                  <c:v>569.48</c:v>
                </c:pt>
                <c:pt idx="358">
                  <c:v>415.08</c:v>
                </c:pt>
                <c:pt idx="359">
                  <c:v>584.91999999999996</c:v>
                </c:pt>
                <c:pt idx="360">
                  <c:v>492.28</c:v>
                </c:pt>
                <c:pt idx="361">
                  <c:v>507.72</c:v>
                </c:pt>
                <c:pt idx="362">
                  <c:v>476.84</c:v>
                </c:pt>
                <c:pt idx="363">
                  <c:v>523.16</c:v>
                </c:pt>
                <c:pt idx="364">
                  <c:v>461.4</c:v>
                </c:pt>
                <c:pt idx="365">
                  <c:v>538.6</c:v>
                </c:pt>
                <c:pt idx="366">
                  <c:v>445.96</c:v>
                </c:pt>
                <c:pt idx="367">
                  <c:v>554.04</c:v>
                </c:pt>
                <c:pt idx="368">
                  <c:v>430.52</c:v>
                </c:pt>
                <c:pt idx="369">
                  <c:v>569.48</c:v>
                </c:pt>
                <c:pt idx="370">
                  <c:v>415.08</c:v>
                </c:pt>
                <c:pt idx="371">
                  <c:v>584.91999999999996</c:v>
                </c:pt>
                <c:pt idx="372">
                  <c:v>492.28</c:v>
                </c:pt>
                <c:pt idx="373">
                  <c:v>507.72</c:v>
                </c:pt>
                <c:pt idx="374">
                  <c:v>476.84</c:v>
                </c:pt>
                <c:pt idx="375">
                  <c:v>523.16</c:v>
                </c:pt>
                <c:pt idx="376">
                  <c:v>461.4</c:v>
                </c:pt>
                <c:pt idx="377">
                  <c:v>538.6</c:v>
                </c:pt>
                <c:pt idx="378">
                  <c:v>445.96</c:v>
                </c:pt>
                <c:pt idx="379">
                  <c:v>554.04</c:v>
                </c:pt>
                <c:pt idx="380">
                  <c:v>430.52</c:v>
                </c:pt>
                <c:pt idx="381">
                  <c:v>569.48</c:v>
                </c:pt>
                <c:pt idx="382">
                  <c:v>415.08</c:v>
                </c:pt>
                <c:pt idx="383">
                  <c:v>584.91999999999996</c:v>
                </c:pt>
                <c:pt idx="384">
                  <c:v>492.28</c:v>
                </c:pt>
                <c:pt idx="385">
                  <c:v>507.72</c:v>
                </c:pt>
                <c:pt idx="386">
                  <c:v>476.84</c:v>
                </c:pt>
                <c:pt idx="387">
                  <c:v>523.16</c:v>
                </c:pt>
                <c:pt idx="388">
                  <c:v>461.4</c:v>
                </c:pt>
                <c:pt idx="389">
                  <c:v>538.6</c:v>
                </c:pt>
                <c:pt idx="390">
                  <c:v>445.96</c:v>
                </c:pt>
                <c:pt idx="391">
                  <c:v>554.04</c:v>
                </c:pt>
                <c:pt idx="392">
                  <c:v>430.52</c:v>
                </c:pt>
                <c:pt idx="393">
                  <c:v>569.48</c:v>
                </c:pt>
                <c:pt idx="394">
                  <c:v>415.08</c:v>
                </c:pt>
                <c:pt idx="395">
                  <c:v>584.91999999999996</c:v>
                </c:pt>
                <c:pt idx="396">
                  <c:v>492.28</c:v>
                </c:pt>
                <c:pt idx="397">
                  <c:v>507.72</c:v>
                </c:pt>
                <c:pt idx="398">
                  <c:v>476.84</c:v>
                </c:pt>
                <c:pt idx="399">
                  <c:v>523.16</c:v>
                </c:pt>
                <c:pt idx="400">
                  <c:v>461.4</c:v>
                </c:pt>
                <c:pt idx="401">
                  <c:v>538.6</c:v>
                </c:pt>
                <c:pt idx="402">
                  <c:v>445.96</c:v>
                </c:pt>
                <c:pt idx="403">
                  <c:v>554.04</c:v>
                </c:pt>
                <c:pt idx="404">
                  <c:v>430.52</c:v>
                </c:pt>
                <c:pt idx="405">
                  <c:v>569.48</c:v>
                </c:pt>
                <c:pt idx="406">
                  <c:v>415.08</c:v>
                </c:pt>
                <c:pt idx="407">
                  <c:v>584.91999999999996</c:v>
                </c:pt>
                <c:pt idx="408">
                  <c:v>492.28</c:v>
                </c:pt>
                <c:pt idx="409">
                  <c:v>507.72</c:v>
                </c:pt>
                <c:pt idx="410">
                  <c:v>476.84</c:v>
                </c:pt>
                <c:pt idx="411">
                  <c:v>523.16</c:v>
                </c:pt>
                <c:pt idx="412">
                  <c:v>461.4</c:v>
                </c:pt>
                <c:pt idx="413">
                  <c:v>538.6</c:v>
                </c:pt>
                <c:pt idx="414">
                  <c:v>445.96</c:v>
                </c:pt>
                <c:pt idx="415">
                  <c:v>554.04</c:v>
                </c:pt>
                <c:pt idx="416">
                  <c:v>430.52</c:v>
                </c:pt>
                <c:pt idx="417">
                  <c:v>569.48</c:v>
                </c:pt>
                <c:pt idx="418">
                  <c:v>415.08</c:v>
                </c:pt>
                <c:pt idx="419">
                  <c:v>584.91999999999996</c:v>
                </c:pt>
                <c:pt idx="420">
                  <c:v>492.28</c:v>
                </c:pt>
                <c:pt idx="421">
                  <c:v>507.72</c:v>
                </c:pt>
                <c:pt idx="422">
                  <c:v>476.84</c:v>
                </c:pt>
                <c:pt idx="423">
                  <c:v>523.16</c:v>
                </c:pt>
                <c:pt idx="424">
                  <c:v>461.4</c:v>
                </c:pt>
                <c:pt idx="425">
                  <c:v>538.6</c:v>
                </c:pt>
                <c:pt idx="426">
                  <c:v>445.96</c:v>
                </c:pt>
                <c:pt idx="427">
                  <c:v>554.04</c:v>
                </c:pt>
                <c:pt idx="428">
                  <c:v>430.52</c:v>
                </c:pt>
                <c:pt idx="429">
                  <c:v>569.48</c:v>
                </c:pt>
                <c:pt idx="430">
                  <c:v>415.08</c:v>
                </c:pt>
                <c:pt idx="431">
                  <c:v>584.91999999999996</c:v>
                </c:pt>
                <c:pt idx="432">
                  <c:v>492.28</c:v>
                </c:pt>
                <c:pt idx="433">
                  <c:v>507.72</c:v>
                </c:pt>
                <c:pt idx="434">
                  <c:v>476.84</c:v>
                </c:pt>
                <c:pt idx="435">
                  <c:v>523.16</c:v>
                </c:pt>
                <c:pt idx="436">
                  <c:v>461.4</c:v>
                </c:pt>
                <c:pt idx="437">
                  <c:v>538.6</c:v>
                </c:pt>
                <c:pt idx="438">
                  <c:v>445.96</c:v>
                </c:pt>
                <c:pt idx="439">
                  <c:v>554.04</c:v>
                </c:pt>
                <c:pt idx="440">
                  <c:v>430.52</c:v>
                </c:pt>
                <c:pt idx="441">
                  <c:v>569.48</c:v>
                </c:pt>
                <c:pt idx="442">
                  <c:v>415.08</c:v>
                </c:pt>
                <c:pt idx="443">
                  <c:v>584.91999999999996</c:v>
                </c:pt>
                <c:pt idx="444">
                  <c:v>492.28</c:v>
                </c:pt>
                <c:pt idx="445">
                  <c:v>507.72</c:v>
                </c:pt>
                <c:pt idx="446">
                  <c:v>476.84</c:v>
                </c:pt>
                <c:pt idx="447">
                  <c:v>523.16</c:v>
                </c:pt>
                <c:pt idx="448">
                  <c:v>461.4</c:v>
                </c:pt>
                <c:pt idx="449">
                  <c:v>538.6</c:v>
                </c:pt>
                <c:pt idx="450">
                  <c:v>445.96</c:v>
                </c:pt>
                <c:pt idx="451">
                  <c:v>554.04</c:v>
                </c:pt>
                <c:pt idx="452">
                  <c:v>430.52</c:v>
                </c:pt>
                <c:pt idx="453">
                  <c:v>569.48</c:v>
                </c:pt>
                <c:pt idx="454">
                  <c:v>415.08</c:v>
                </c:pt>
                <c:pt idx="455">
                  <c:v>584.91999999999996</c:v>
                </c:pt>
                <c:pt idx="456">
                  <c:v>492.28</c:v>
                </c:pt>
                <c:pt idx="457">
                  <c:v>507.72</c:v>
                </c:pt>
                <c:pt idx="458">
                  <c:v>476.84</c:v>
                </c:pt>
                <c:pt idx="459">
                  <c:v>523.16</c:v>
                </c:pt>
                <c:pt idx="460">
                  <c:v>461.4</c:v>
                </c:pt>
                <c:pt idx="461">
                  <c:v>538.6</c:v>
                </c:pt>
                <c:pt idx="462">
                  <c:v>445.96</c:v>
                </c:pt>
                <c:pt idx="463">
                  <c:v>554.04</c:v>
                </c:pt>
                <c:pt idx="464">
                  <c:v>430.52</c:v>
                </c:pt>
                <c:pt idx="465">
                  <c:v>569.48</c:v>
                </c:pt>
                <c:pt idx="466">
                  <c:v>415.08</c:v>
                </c:pt>
                <c:pt idx="467">
                  <c:v>584.91999999999996</c:v>
                </c:pt>
                <c:pt idx="468">
                  <c:v>492.28</c:v>
                </c:pt>
                <c:pt idx="469">
                  <c:v>507.72</c:v>
                </c:pt>
                <c:pt idx="470">
                  <c:v>476.84</c:v>
                </c:pt>
                <c:pt idx="471">
                  <c:v>523.16</c:v>
                </c:pt>
                <c:pt idx="472">
                  <c:v>461.4</c:v>
                </c:pt>
                <c:pt idx="473">
                  <c:v>538.6</c:v>
                </c:pt>
                <c:pt idx="474">
                  <c:v>445.96</c:v>
                </c:pt>
                <c:pt idx="475">
                  <c:v>554.04</c:v>
                </c:pt>
                <c:pt idx="476">
                  <c:v>430.52</c:v>
                </c:pt>
                <c:pt idx="477">
                  <c:v>569.48</c:v>
                </c:pt>
                <c:pt idx="478">
                  <c:v>415.08</c:v>
                </c:pt>
                <c:pt idx="479">
                  <c:v>584.91999999999996</c:v>
                </c:pt>
                <c:pt idx="480">
                  <c:v>492.28</c:v>
                </c:pt>
                <c:pt idx="481">
                  <c:v>507.72</c:v>
                </c:pt>
                <c:pt idx="482">
                  <c:v>476.84</c:v>
                </c:pt>
                <c:pt idx="483">
                  <c:v>523.16</c:v>
                </c:pt>
                <c:pt idx="484">
                  <c:v>461.4</c:v>
                </c:pt>
                <c:pt idx="485">
                  <c:v>538.6</c:v>
                </c:pt>
                <c:pt idx="486">
                  <c:v>445.96</c:v>
                </c:pt>
                <c:pt idx="487">
                  <c:v>554.04</c:v>
                </c:pt>
                <c:pt idx="488">
                  <c:v>430.52</c:v>
                </c:pt>
                <c:pt idx="489">
                  <c:v>569.48</c:v>
                </c:pt>
                <c:pt idx="490">
                  <c:v>415.08</c:v>
                </c:pt>
                <c:pt idx="491">
                  <c:v>584.91999999999996</c:v>
                </c:pt>
                <c:pt idx="492">
                  <c:v>492.28</c:v>
                </c:pt>
                <c:pt idx="493">
                  <c:v>507.72</c:v>
                </c:pt>
                <c:pt idx="494">
                  <c:v>476.84</c:v>
                </c:pt>
                <c:pt idx="495">
                  <c:v>523.16</c:v>
                </c:pt>
                <c:pt idx="496">
                  <c:v>461.4</c:v>
                </c:pt>
                <c:pt idx="497">
                  <c:v>538.6</c:v>
                </c:pt>
                <c:pt idx="498">
                  <c:v>445.96</c:v>
                </c:pt>
                <c:pt idx="499">
                  <c:v>554.04</c:v>
                </c:pt>
                <c:pt idx="500">
                  <c:v>430.52</c:v>
                </c:pt>
                <c:pt idx="501">
                  <c:v>569.48</c:v>
                </c:pt>
                <c:pt idx="502">
                  <c:v>415.08</c:v>
                </c:pt>
                <c:pt idx="503">
                  <c:v>584.91999999999996</c:v>
                </c:pt>
                <c:pt idx="504">
                  <c:v>492.28</c:v>
                </c:pt>
                <c:pt idx="505">
                  <c:v>507.72</c:v>
                </c:pt>
                <c:pt idx="506">
                  <c:v>476.84</c:v>
                </c:pt>
                <c:pt idx="507">
                  <c:v>523.16</c:v>
                </c:pt>
                <c:pt idx="508">
                  <c:v>461.4</c:v>
                </c:pt>
                <c:pt idx="509">
                  <c:v>538.6</c:v>
                </c:pt>
                <c:pt idx="510">
                  <c:v>445.96</c:v>
                </c:pt>
                <c:pt idx="511">
                  <c:v>554.04</c:v>
                </c:pt>
                <c:pt idx="512">
                  <c:v>430.52</c:v>
                </c:pt>
                <c:pt idx="513">
                  <c:v>569.48</c:v>
                </c:pt>
                <c:pt idx="514">
                  <c:v>415.08</c:v>
                </c:pt>
                <c:pt idx="515">
                  <c:v>584.91999999999996</c:v>
                </c:pt>
                <c:pt idx="516">
                  <c:v>492.28</c:v>
                </c:pt>
                <c:pt idx="517">
                  <c:v>507.72</c:v>
                </c:pt>
                <c:pt idx="518">
                  <c:v>476.84</c:v>
                </c:pt>
                <c:pt idx="519">
                  <c:v>523.16</c:v>
                </c:pt>
                <c:pt idx="520">
                  <c:v>461.4</c:v>
                </c:pt>
                <c:pt idx="521">
                  <c:v>538.6</c:v>
                </c:pt>
                <c:pt idx="522">
                  <c:v>445.96</c:v>
                </c:pt>
                <c:pt idx="523">
                  <c:v>554.04</c:v>
                </c:pt>
                <c:pt idx="524">
                  <c:v>430.52</c:v>
                </c:pt>
                <c:pt idx="525">
                  <c:v>569.48</c:v>
                </c:pt>
                <c:pt idx="526">
                  <c:v>415.08</c:v>
                </c:pt>
                <c:pt idx="527">
                  <c:v>584.91999999999996</c:v>
                </c:pt>
                <c:pt idx="528">
                  <c:v>492.28</c:v>
                </c:pt>
                <c:pt idx="529">
                  <c:v>507.72</c:v>
                </c:pt>
                <c:pt idx="530">
                  <c:v>476.84</c:v>
                </c:pt>
                <c:pt idx="531">
                  <c:v>523.16</c:v>
                </c:pt>
                <c:pt idx="532">
                  <c:v>461.4</c:v>
                </c:pt>
                <c:pt idx="533">
                  <c:v>538.6</c:v>
                </c:pt>
                <c:pt idx="534">
                  <c:v>445.96</c:v>
                </c:pt>
                <c:pt idx="535">
                  <c:v>554.04</c:v>
                </c:pt>
                <c:pt idx="536">
                  <c:v>430.52</c:v>
                </c:pt>
                <c:pt idx="537">
                  <c:v>569.48</c:v>
                </c:pt>
                <c:pt idx="538">
                  <c:v>415.08</c:v>
                </c:pt>
                <c:pt idx="539">
                  <c:v>584.91999999999996</c:v>
                </c:pt>
                <c:pt idx="540">
                  <c:v>492.28</c:v>
                </c:pt>
                <c:pt idx="541">
                  <c:v>507.72</c:v>
                </c:pt>
                <c:pt idx="542">
                  <c:v>476.84</c:v>
                </c:pt>
                <c:pt idx="543">
                  <c:v>523.16</c:v>
                </c:pt>
                <c:pt idx="544">
                  <c:v>461.4</c:v>
                </c:pt>
                <c:pt idx="545">
                  <c:v>538.6</c:v>
                </c:pt>
                <c:pt idx="546">
                  <c:v>445.96</c:v>
                </c:pt>
                <c:pt idx="547">
                  <c:v>554.04</c:v>
                </c:pt>
                <c:pt idx="548">
                  <c:v>430.52</c:v>
                </c:pt>
                <c:pt idx="549">
                  <c:v>569.48</c:v>
                </c:pt>
                <c:pt idx="550">
                  <c:v>415.08</c:v>
                </c:pt>
                <c:pt idx="551">
                  <c:v>584.91999999999996</c:v>
                </c:pt>
                <c:pt idx="552">
                  <c:v>492.28</c:v>
                </c:pt>
                <c:pt idx="553">
                  <c:v>507.72</c:v>
                </c:pt>
                <c:pt idx="554">
                  <c:v>476.84</c:v>
                </c:pt>
                <c:pt idx="555">
                  <c:v>523.16</c:v>
                </c:pt>
                <c:pt idx="556">
                  <c:v>461.4</c:v>
                </c:pt>
                <c:pt idx="557">
                  <c:v>538.6</c:v>
                </c:pt>
                <c:pt idx="558">
                  <c:v>445.96</c:v>
                </c:pt>
                <c:pt idx="559">
                  <c:v>554.04</c:v>
                </c:pt>
                <c:pt idx="560">
                  <c:v>430.52</c:v>
                </c:pt>
                <c:pt idx="561">
                  <c:v>569.48</c:v>
                </c:pt>
                <c:pt idx="562">
                  <c:v>415.08</c:v>
                </c:pt>
                <c:pt idx="563">
                  <c:v>584.91999999999996</c:v>
                </c:pt>
                <c:pt idx="564">
                  <c:v>492.28</c:v>
                </c:pt>
                <c:pt idx="565">
                  <c:v>507.72</c:v>
                </c:pt>
                <c:pt idx="566">
                  <c:v>476.84</c:v>
                </c:pt>
                <c:pt idx="567">
                  <c:v>523.16</c:v>
                </c:pt>
                <c:pt idx="568">
                  <c:v>461.4</c:v>
                </c:pt>
                <c:pt idx="569">
                  <c:v>538.6</c:v>
                </c:pt>
                <c:pt idx="570">
                  <c:v>445.96</c:v>
                </c:pt>
                <c:pt idx="571">
                  <c:v>554.04</c:v>
                </c:pt>
                <c:pt idx="572">
                  <c:v>430.52</c:v>
                </c:pt>
                <c:pt idx="573">
                  <c:v>569.48</c:v>
                </c:pt>
                <c:pt idx="574">
                  <c:v>415.08</c:v>
                </c:pt>
                <c:pt idx="575">
                  <c:v>584.91999999999996</c:v>
                </c:pt>
                <c:pt idx="576">
                  <c:v>492.28</c:v>
                </c:pt>
                <c:pt idx="577">
                  <c:v>507.72</c:v>
                </c:pt>
                <c:pt idx="578">
                  <c:v>476.84</c:v>
                </c:pt>
                <c:pt idx="579">
                  <c:v>523.16</c:v>
                </c:pt>
                <c:pt idx="580">
                  <c:v>461.4</c:v>
                </c:pt>
                <c:pt idx="581">
                  <c:v>538.6</c:v>
                </c:pt>
                <c:pt idx="582">
                  <c:v>445.96</c:v>
                </c:pt>
                <c:pt idx="583">
                  <c:v>554.04</c:v>
                </c:pt>
                <c:pt idx="584">
                  <c:v>430.52</c:v>
                </c:pt>
                <c:pt idx="585">
                  <c:v>569.48</c:v>
                </c:pt>
                <c:pt idx="586">
                  <c:v>415.08</c:v>
                </c:pt>
                <c:pt idx="587">
                  <c:v>584.91999999999996</c:v>
                </c:pt>
                <c:pt idx="588">
                  <c:v>492.28</c:v>
                </c:pt>
                <c:pt idx="589">
                  <c:v>507.72</c:v>
                </c:pt>
                <c:pt idx="590">
                  <c:v>476.84</c:v>
                </c:pt>
                <c:pt idx="591">
                  <c:v>523.16</c:v>
                </c:pt>
                <c:pt idx="592">
                  <c:v>461.4</c:v>
                </c:pt>
                <c:pt idx="593">
                  <c:v>538.6</c:v>
                </c:pt>
                <c:pt idx="594">
                  <c:v>445.96</c:v>
                </c:pt>
                <c:pt idx="595">
                  <c:v>554.04</c:v>
                </c:pt>
                <c:pt idx="596">
                  <c:v>430.52</c:v>
                </c:pt>
                <c:pt idx="597">
                  <c:v>569.48</c:v>
                </c:pt>
                <c:pt idx="598">
                  <c:v>415.08</c:v>
                </c:pt>
                <c:pt idx="599">
                  <c:v>584.91999999999996</c:v>
                </c:pt>
                <c:pt idx="600">
                  <c:v>492.28</c:v>
                </c:pt>
                <c:pt idx="601">
                  <c:v>507.72</c:v>
                </c:pt>
                <c:pt idx="602">
                  <c:v>476.84</c:v>
                </c:pt>
                <c:pt idx="603">
                  <c:v>523.16</c:v>
                </c:pt>
                <c:pt idx="604">
                  <c:v>461.4</c:v>
                </c:pt>
                <c:pt idx="605">
                  <c:v>538.6</c:v>
                </c:pt>
                <c:pt idx="606">
                  <c:v>445.96</c:v>
                </c:pt>
                <c:pt idx="607">
                  <c:v>554.04</c:v>
                </c:pt>
                <c:pt idx="608">
                  <c:v>430.52</c:v>
                </c:pt>
                <c:pt idx="609">
                  <c:v>569.48</c:v>
                </c:pt>
                <c:pt idx="610">
                  <c:v>415.08</c:v>
                </c:pt>
                <c:pt idx="611">
                  <c:v>584.91999999999996</c:v>
                </c:pt>
                <c:pt idx="612">
                  <c:v>492.28</c:v>
                </c:pt>
                <c:pt idx="613">
                  <c:v>507.72</c:v>
                </c:pt>
                <c:pt idx="614">
                  <c:v>476.84</c:v>
                </c:pt>
                <c:pt idx="615">
                  <c:v>523.16</c:v>
                </c:pt>
                <c:pt idx="616">
                  <c:v>461.4</c:v>
                </c:pt>
                <c:pt idx="617">
                  <c:v>538.6</c:v>
                </c:pt>
                <c:pt idx="618">
                  <c:v>445.96</c:v>
                </c:pt>
                <c:pt idx="619">
                  <c:v>554.04</c:v>
                </c:pt>
                <c:pt idx="620">
                  <c:v>430.52</c:v>
                </c:pt>
                <c:pt idx="621">
                  <c:v>569.48</c:v>
                </c:pt>
                <c:pt idx="622">
                  <c:v>415.08</c:v>
                </c:pt>
                <c:pt idx="623">
                  <c:v>584.91999999999996</c:v>
                </c:pt>
                <c:pt idx="624">
                  <c:v>492.28</c:v>
                </c:pt>
                <c:pt idx="625">
                  <c:v>507.72</c:v>
                </c:pt>
                <c:pt idx="626">
                  <c:v>476.84</c:v>
                </c:pt>
                <c:pt idx="627">
                  <c:v>523.16</c:v>
                </c:pt>
                <c:pt idx="628">
                  <c:v>461.4</c:v>
                </c:pt>
                <c:pt idx="629">
                  <c:v>538.6</c:v>
                </c:pt>
                <c:pt idx="630">
                  <c:v>445.96</c:v>
                </c:pt>
                <c:pt idx="631">
                  <c:v>554.04</c:v>
                </c:pt>
                <c:pt idx="632">
                  <c:v>430.52</c:v>
                </c:pt>
                <c:pt idx="633">
                  <c:v>569.48</c:v>
                </c:pt>
                <c:pt idx="634">
                  <c:v>415.08</c:v>
                </c:pt>
                <c:pt idx="635">
                  <c:v>584.91999999999996</c:v>
                </c:pt>
                <c:pt idx="636">
                  <c:v>492.28</c:v>
                </c:pt>
                <c:pt idx="637">
                  <c:v>507.72</c:v>
                </c:pt>
                <c:pt idx="638">
                  <c:v>476.84</c:v>
                </c:pt>
                <c:pt idx="639">
                  <c:v>523.16</c:v>
                </c:pt>
                <c:pt idx="640">
                  <c:v>461.4</c:v>
                </c:pt>
                <c:pt idx="641">
                  <c:v>538.6</c:v>
                </c:pt>
                <c:pt idx="642">
                  <c:v>445.96</c:v>
                </c:pt>
                <c:pt idx="643">
                  <c:v>554.04</c:v>
                </c:pt>
                <c:pt idx="644">
                  <c:v>430.52</c:v>
                </c:pt>
                <c:pt idx="645">
                  <c:v>569.48</c:v>
                </c:pt>
                <c:pt idx="646">
                  <c:v>415.08</c:v>
                </c:pt>
                <c:pt idx="647">
                  <c:v>584.91999999999996</c:v>
                </c:pt>
                <c:pt idx="648">
                  <c:v>492.28</c:v>
                </c:pt>
                <c:pt idx="649">
                  <c:v>507.72</c:v>
                </c:pt>
                <c:pt idx="650">
                  <c:v>476.84</c:v>
                </c:pt>
                <c:pt idx="651">
                  <c:v>523.16</c:v>
                </c:pt>
                <c:pt idx="652">
                  <c:v>461.4</c:v>
                </c:pt>
                <c:pt idx="653">
                  <c:v>538.6</c:v>
                </c:pt>
                <c:pt idx="654">
                  <c:v>445.96</c:v>
                </c:pt>
                <c:pt idx="655">
                  <c:v>554.04</c:v>
                </c:pt>
                <c:pt idx="656">
                  <c:v>430.52</c:v>
                </c:pt>
                <c:pt idx="657">
                  <c:v>569.48</c:v>
                </c:pt>
                <c:pt idx="658">
                  <c:v>415.08</c:v>
                </c:pt>
                <c:pt idx="659">
                  <c:v>584.91999999999996</c:v>
                </c:pt>
                <c:pt idx="660">
                  <c:v>492.28</c:v>
                </c:pt>
                <c:pt idx="661">
                  <c:v>507.72</c:v>
                </c:pt>
                <c:pt idx="662">
                  <c:v>476.84</c:v>
                </c:pt>
                <c:pt idx="663">
                  <c:v>523.16</c:v>
                </c:pt>
                <c:pt idx="664">
                  <c:v>461.4</c:v>
                </c:pt>
                <c:pt idx="665">
                  <c:v>538.6</c:v>
                </c:pt>
                <c:pt idx="666">
                  <c:v>445.96</c:v>
                </c:pt>
                <c:pt idx="667">
                  <c:v>554.04</c:v>
                </c:pt>
                <c:pt idx="668">
                  <c:v>430.52</c:v>
                </c:pt>
                <c:pt idx="669">
                  <c:v>569.48</c:v>
                </c:pt>
                <c:pt idx="670">
                  <c:v>415.08</c:v>
                </c:pt>
                <c:pt idx="671">
                  <c:v>584.91999999999996</c:v>
                </c:pt>
                <c:pt idx="672">
                  <c:v>492.28</c:v>
                </c:pt>
                <c:pt idx="673">
                  <c:v>507.72</c:v>
                </c:pt>
                <c:pt idx="674">
                  <c:v>476.84</c:v>
                </c:pt>
                <c:pt idx="675">
                  <c:v>523.16</c:v>
                </c:pt>
                <c:pt idx="676">
                  <c:v>461.4</c:v>
                </c:pt>
                <c:pt idx="677">
                  <c:v>538.6</c:v>
                </c:pt>
                <c:pt idx="678">
                  <c:v>445.96</c:v>
                </c:pt>
                <c:pt idx="679">
                  <c:v>554.04</c:v>
                </c:pt>
                <c:pt idx="680">
                  <c:v>430.52</c:v>
                </c:pt>
                <c:pt idx="681">
                  <c:v>569.48</c:v>
                </c:pt>
                <c:pt idx="682">
                  <c:v>415.08</c:v>
                </c:pt>
                <c:pt idx="683">
                  <c:v>584.91999999999996</c:v>
                </c:pt>
                <c:pt idx="684">
                  <c:v>492.28</c:v>
                </c:pt>
                <c:pt idx="685">
                  <c:v>507.72</c:v>
                </c:pt>
                <c:pt idx="686">
                  <c:v>476.84</c:v>
                </c:pt>
                <c:pt idx="687">
                  <c:v>523.16</c:v>
                </c:pt>
                <c:pt idx="688">
                  <c:v>461.4</c:v>
                </c:pt>
                <c:pt idx="689">
                  <c:v>538.6</c:v>
                </c:pt>
                <c:pt idx="690">
                  <c:v>445.96</c:v>
                </c:pt>
                <c:pt idx="691">
                  <c:v>554.04</c:v>
                </c:pt>
                <c:pt idx="692">
                  <c:v>430.52</c:v>
                </c:pt>
                <c:pt idx="693">
                  <c:v>569.48</c:v>
                </c:pt>
                <c:pt idx="694">
                  <c:v>415.08</c:v>
                </c:pt>
                <c:pt idx="695">
                  <c:v>584.91999999999996</c:v>
                </c:pt>
                <c:pt idx="696">
                  <c:v>492.28</c:v>
                </c:pt>
                <c:pt idx="697">
                  <c:v>507.72</c:v>
                </c:pt>
                <c:pt idx="698">
                  <c:v>476.84</c:v>
                </c:pt>
                <c:pt idx="699">
                  <c:v>523.16</c:v>
                </c:pt>
                <c:pt idx="700">
                  <c:v>461.4</c:v>
                </c:pt>
                <c:pt idx="701">
                  <c:v>538.6</c:v>
                </c:pt>
                <c:pt idx="702">
                  <c:v>445.96</c:v>
                </c:pt>
                <c:pt idx="703">
                  <c:v>554.04</c:v>
                </c:pt>
                <c:pt idx="704">
                  <c:v>430.52</c:v>
                </c:pt>
                <c:pt idx="705">
                  <c:v>569.48</c:v>
                </c:pt>
                <c:pt idx="706">
                  <c:v>415.08</c:v>
                </c:pt>
                <c:pt idx="707">
                  <c:v>584.91999999999996</c:v>
                </c:pt>
                <c:pt idx="708">
                  <c:v>492.28</c:v>
                </c:pt>
                <c:pt idx="709">
                  <c:v>507.72</c:v>
                </c:pt>
                <c:pt idx="710">
                  <c:v>476.84</c:v>
                </c:pt>
                <c:pt idx="711">
                  <c:v>523.16</c:v>
                </c:pt>
                <c:pt idx="712">
                  <c:v>461.4</c:v>
                </c:pt>
                <c:pt idx="713">
                  <c:v>538.6</c:v>
                </c:pt>
                <c:pt idx="714">
                  <c:v>445.96</c:v>
                </c:pt>
                <c:pt idx="715">
                  <c:v>554.04</c:v>
                </c:pt>
                <c:pt idx="716">
                  <c:v>430.52</c:v>
                </c:pt>
                <c:pt idx="717">
                  <c:v>569.48</c:v>
                </c:pt>
                <c:pt idx="718">
                  <c:v>415.08</c:v>
                </c:pt>
                <c:pt idx="719">
                  <c:v>584.91999999999996</c:v>
                </c:pt>
                <c:pt idx="720">
                  <c:v>492.28</c:v>
                </c:pt>
                <c:pt idx="721">
                  <c:v>507.72</c:v>
                </c:pt>
                <c:pt idx="722">
                  <c:v>476.84</c:v>
                </c:pt>
                <c:pt idx="723">
                  <c:v>523.16</c:v>
                </c:pt>
                <c:pt idx="724">
                  <c:v>461.4</c:v>
                </c:pt>
                <c:pt idx="725">
                  <c:v>538.6</c:v>
                </c:pt>
                <c:pt idx="726">
                  <c:v>445.96</c:v>
                </c:pt>
                <c:pt idx="727">
                  <c:v>554.04</c:v>
                </c:pt>
                <c:pt idx="728">
                  <c:v>430.52</c:v>
                </c:pt>
                <c:pt idx="729">
                  <c:v>569.48</c:v>
                </c:pt>
                <c:pt idx="730">
                  <c:v>415.08</c:v>
                </c:pt>
                <c:pt idx="731">
                  <c:v>584.91999999999996</c:v>
                </c:pt>
                <c:pt idx="732">
                  <c:v>492.28</c:v>
                </c:pt>
                <c:pt idx="733">
                  <c:v>507.72</c:v>
                </c:pt>
                <c:pt idx="734">
                  <c:v>476.84</c:v>
                </c:pt>
                <c:pt idx="735">
                  <c:v>523.16</c:v>
                </c:pt>
                <c:pt idx="736">
                  <c:v>461.4</c:v>
                </c:pt>
                <c:pt idx="737">
                  <c:v>538.6</c:v>
                </c:pt>
                <c:pt idx="738">
                  <c:v>445.96</c:v>
                </c:pt>
                <c:pt idx="739">
                  <c:v>554.04</c:v>
                </c:pt>
                <c:pt idx="740">
                  <c:v>430.52</c:v>
                </c:pt>
                <c:pt idx="741">
                  <c:v>569.48</c:v>
                </c:pt>
                <c:pt idx="742">
                  <c:v>415.08</c:v>
                </c:pt>
                <c:pt idx="743">
                  <c:v>584.91999999999996</c:v>
                </c:pt>
                <c:pt idx="744">
                  <c:v>492.28</c:v>
                </c:pt>
                <c:pt idx="745">
                  <c:v>507.72</c:v>
                </c:pt>
                <c:pt idx="746">
                  <c:v>476.84</c:v>
                </c:pt>
                <c:pt idx="747">
                  <c:v>523.16</c:v>
                </c:pt>
                <c:pt idx="748">
                  <c:v>461.4</c:v>
                </c:pt>
                <c:pt idx="749">
                  <c:v>538.6</c:v>
                </c:pt>
                <c:pt idx="750">
                  <c:v>445.96</c:v>
                </c:pt>
                <c:pt idx="751">
                  <c:v>554.04</c:v>
                </c:pt>
                <c:pt idx="752">
                  <c:v>430.52</c:v>
                </c:pt>
                <c:pt idx="753">
                  <c:v>569.48</c:v>
                </c:pt>
                <c:pt idx="754">
                  <c:v>415.08</c:v>
                </c:pt>
                <c:pt idx="755">
                  <c:v>584.91999999999996</c:v>
                </c:pt>
                <c:pt idx="756">
                  <c:v>492.28</c:v>
                </c:pt>
                <c:pt idx="757">
                  <c:v>507.72</c:v>
                </c:pt>
                <c:pt idx="758">
                  <c:v>476.84</c:v>
                </c:pt>
                <c:pt idx="759">
                  <c:v>523.16</c:v>
                </c:pt>
                <c:pt idx="760">
                  <c:v>461.4</c:v>
                </c:pt>
                <c:pt idx="761">
                  <c:v>538.6</c:v>
                </c:pt>
                <c:pt idx="762">
                  <c:v>445.96</c:v>
                </c:pt>
                <c:pt idx="763">
                  <c:v>554.04</c:v>
                </c:pt>
                <c:pt idx="764">
                  <c:v>430.52</c:v>
                </c:pt>
                <c:pt idx="765">
                  <c:v>569.48</c:v>
                </c:pt>
                <c:pt idx="766">
                  <c:v>415.08</c:v>
                </c:pt>
                <c:pt idx="767">
                  <c:v>584.91999999999996</c:v>
                </c:pt>
                <c:pt idx="768">
                  <c:v>492.28</c:v>
                </c:pt>
                <c:pt idx="769">
                  <c:v>507.72</c:v>
                </c:pt>
                <c:pt idx="770">
                  <c:v>476.84</c:v>
                </c:pt>
                <c:pt idx="771">
                  <c:v>523.16</c:v>
                </c:pt>
                <c:pt idx="772">
                  <c:v>461.4</c:v>
                </c:pt>
                <c:pt idx="773">
                  <c:v>538.6</c:v>
                </c:pt>
                <c:pt idx="774">
                  <c:v>445.96</c:v>
                </c:pt>
                <c:pt idx="775">
                  <c:v>554.04</c:v>
                </c:pt>
                <c:pt idx="776">
                  <c:v>430.52</c:v>
                </c:pt>
                <c:pt idx="777">
                  <c:v>569.48</c:v>
                </c:pt>
                <c:pt idx="778">
                  <c:v>415.08</c:v>
                </c:pt>
                <c:pt idx="779">
                  <c:v>584.91999999999996</c:v>
                </c:pt>
                <c:pt idx="780">
                  <c:v>492.28</c:v>
                </c:pt>
                <c:pt idx="781">
                  <c:v>507.72</c:v>
                </c:pt>
                <c:pt idx="782">
                  <c:v>476.84</c:v>
                </c:pt>
                <c:pt idx="783">
                  <c:v>523.16</c:v>
                </c:pt>
                <c:pt idx="784">
                  <c:v>461.4</c:v>
                </c:pt>
                <c:pt idx="785">
                  <c:v>538.6</c:v>
                </c:pt>
                <c:pt idx="786">
                  <c:v>445.96</c:v>
                </c:pt>
                <c:pt idx="787">
                  <c:v>554.04</c:v>
                </c:pt>
                <c:pt idx="788">
                  <c:v>430.52</c:v>
                </c:pt>
                <c:pt idx="789">
                  <c:v>569.48</c:v>
                </c:pt>
                <c:pt idx="790">
                  <c:v>415.08</c:v>
                </c:pt>
                <c:pt idx="791">
                  <c:v>584.91999999999996</c:v>
                </c:pt>
                <c:pt idx="792">
                  <c:v>492.28</c:v>
                </c:pt>
                <c:pt idx="793">
                  <c:v>507.72</c:v>
                </c:pt>
                <c:pt idx="794">
                  <c:v>476.84</c:v>
                </c:pt>
                <c:pt idx="795">
                  <c:v>523.16</c:v>
                </c:pt>
                <c:pt idx="796">
                  <c:v>461.4</c:v>
                </c:pt>
                <c:pt idx="797">
                  <c:v>538.6</c:v>
                </c:pt>
                <c:pt idx="798">
                  <c:v>445.96</c:v>
                </c:pt>
                <c:pt idx="799">
                  <c:v>554.04</c:v>
                </c:pt>
                <c:pt idx="800">
                  <c:v>430.52</c:v>
                </c:pt>
                <c:pt idx="801">
                  <c:v>569.48</c:v>
                </c:pt>
                <c:pt idx="802">
                  <c:v>415.08</c:v>
                </c:pt>
                <c:pt idx="803">
                  <c:v>584.91999999999996</c:v>
                </c:pt>
                <c:pt idx="804">
                  <c:v>492.28</c:v>
                </c:pt>
                <c:pt idx="805">
                  <c:v>507.72</c:v>
                </c:pt>
                <c:pt idx="806">
                  <c:v>476.84</c:v>
                </c:pt>
                <c:pt idx="807">
                  <c:v>523.16</c:v>
                </c:pt>
                <c:pt idx="808">
                  <c:v>461.4</c:v>
                </c:pt>
                <c:pt idx="809">
                  <c:v>538.6</c:v>
                </c:pt>
                <c:pt idx="810">
                  <c:v>445.96</c:v>
                </c:pt>
                <c:pt idx="811">
                  <c:v>554.04</c:v>
                </c:pt>
                <c:pt idx="812">
                  <c:v>430.52</c:v>
                </c:pt>
                <c:pt idx="813">
                  <c:v>569.48</c:v>
                </c:pt>
                <c:pt idx="814">
                  <c:v>415.08</c:v>
                </c:pt>
                <c:pt idx="815">
                  <c:v>584.91999999999996</c:v>
                </c:pt>
                <c:pt idx="816">
                  <c:v>492.28</c:v>
                </c:pt>
                <c:pt idx="817">
                  <c:v>507.72</c:v>
                </c:pt>
                <c:pt idx="818">
                  <c:v>476.84</c:v>
                </c:pt>
                <c:pt idx="819">
                  <c:v>523.16</c:v>
                </c:pt>
                <c:pt idx="820">
                  <c:v>461.4</c:v>
                </c:pt>
                <c:pt idx="821">
                  <c:v>538.6</c:v>
                </c:pt>
                <c:pt idx="822">
                  <c:v>445.96</c:v>
                </c:pt>
                <c:pt idx="823">
                  <c:v>554.04</c:v>
                </c:pt>
                <c:pt idx="824">
                  <c:v>430.52</c:v>
                </c:pt>
                <c:pt idx="825">
                  <c:v>569.48</c:v>
                </c:pt>
                <c:pt idx="826">
                  <c:v>415.08</c:v>
                </c:pt>
                <c:pt idx="827">
                  <c:v>584.91999999999996</c:v>
                </c:pt>
                <c:pt idx="828">
                  <c:v>492.28</c:v>
                </c:pt>
                <c:pt idx="829">
                  <c:v>507.72</c:v>
                </c:pt>
                <c:pt idx="830">
                  <c:v>476.84</c:v>
                </c:pt>
                <c:pt idx="831">
                  <c:v>523.16</c:v>
                </c:pt>
                <c:pt idx="832">
                  <c:v>461.4</c:v>
                </c:pt>
                <c:pt idx="833">
                  <c:v>538.6</c:v>
                </c:pt>
                <c:pt idx="834">
                  <c:v>445.96</c:v>
                </c:pt>
                <c:pt idx="835">
                  <c:v>554.04</c:v>
                </c:pt>
                <c:pt idx="836">
                  <c:v>430.52</c:v>
                </c:pt>
                <c:pt idx="837">
                  <c:v>569.48</c:v>
                </c:pt>
                <c:pt idx="838">
                  <c:v>415.08</c:v>
                </c:pt>
                <c:pt idx="839">
                  <c:v>584.91999999999996</c:v>
                </c:pt>
                <c:pt idx="840">
                  <c:v>492.28</c:v>
                </c:pt>
                <c:pt idx="841">
                  <c:v>507.72</c:v>
                </c:pt>
                <c:pt idx="842">
                  <c:v>476.84</c:v>
                </c:pt>
                <c:pt idx="843">
                  <c:v>523.16</c:v>
                </c:pt>
                <c:pt idx="844">
                  <c:v>461.4</c:v>
                </c:pt>
                <c:pt idx="845">
                  <c:v>538.6</c:v>
                </c:pt>
                <c:pt idx="846">
                  <c:v>445.96</c:v>
                </c:pt>
                <c:pt idx="847">
                  <c:v>554.04</c:v>
                </c:pt>
                <c:pt idx="848">
                  <c:v>430.52</c:v>
                </c:pt>
                <c:pt idx="849">
                  <c:v>569.48</c:v>
                </c:pt>
                <c:pt idx="850">
                  <c:v>415.08</c:v>
                </c:pt>
                <c:pt idx="851">
                  <c:v>584.91999999999996</c:v>
                </c:pt>
                <c:pt idx="852">
                  <c:v>492.28</c:v>
                </c:pt>
                <c:pt idx="853">
                  <c:v>507.72</c:v>
                </c:pt>
                <c:pt idx="854">
                  <c:v>476.84</c:v>
                </c:pt>
                <c:pt idx="855">
                  <c:v>523.16</c:v>
                </c:pt>
                <c:pt idx="856">
                  <c:v>461.4</c:v>
                </c:pt>
                <c:pt idx="857">
                  <c:v>538.6</c:v>
                </c:pt>
                <c:pt idx="858">
                  <c:v>445.96</c:v>
                </c:pt>
                <c:pt idx="859">
                  <c:v>554.04</c:v>
                </c:pt>
                <c:pt idx="860">
                  <c:v>430.52</c:v>
                </c:pt>
                <c:pt idx="861">
                  <c:v>569.48</c:v>
                </c:pt>
                <c:pt idx="862">
                  <c:v>415.08</c:v>
                </c:pt>
                <c:pt idx="863">
                  <c:v>584.91999999999996</c:v>
                </c:pt>
                <c:pt idx="864">
                  <c:v>492.28</c:v>
                </c:pt>
                <c:pt idx="865">
                  <c:v>507.72</c:v>
                </c:pt>
                <c:pt idx="866">
                  <c:v>476.84</c:v>
                </c:pt>
                <c:pt idx="867">
                  <c:v>523.16</c:v>
                </c:pt>
                <c:pt idx="868">
                  <c:v>461.4</c:v>
                </c:pt>
                <c:pt idx="869">
                  <c:v>538.6</c:v>
                </c:pt>
                <c:pt idx="870">
                  <c:v>445.96</c:v>
                </c:pt>
                <c:pt idx="871">
                  <c:v>554.04</c:v>
                </c:pt>
                <c:pt idx="872">
                  <c:v>430.52</c:v>
                </c:pt>
                <c:pt idx="873">
                  <c:v>569.48</c:v>
                </c:pt>
                <c:pt idx="874">
                  <c:v>415.08</c:v>
                </c:pt>
                <c:pt idx="875">
                  <c:v>584.91999999999996</c:v>
                </c:pt>
                <c:pt idx="876">
                  <c:v>492.28</c:v>
                </c:pt>
                <c:pt idx="877">
                  <c:v>507.72</c:v>
                </c:pt>
                <c:pt idx="878">
                  <c:v>476.84</c:v>
                </c:pt>
                <c:pt idx="879">
                  <c:v>523.16</c:v>
                </c:pt>
                <c:pt idx="880">
                  <c:v>461.4</c:v>
                </c:pt>
                <c:pt idx="881">
                  <c:v>538.6</c:v>
                </c:pt>
                <c:pt idx="882">
                  <c:v>445.96</c:v>
                </c:pt>
                <c:pt idx="883">
                  <c:v>554.04</c:v>
                </c:pt>
                <c:pt idx="884">
                  <c:v>430.52</c:v>
                </c:pt>
                <c:pt idx="885">
                  <c:v>569.48</c:v>
                </c:pt>
                <c:pt idx="886">
                  <c:v>415.08</c:v>
                </c:pt>
                <c:pt idx="887">
                  <c:v>584.91999999999996</c:v>
                </c:pt>
                <c:pt idx="888">
                  <c:v>492.28</c:v>
                </c:pt>
                <c:pt idx="889">
                  <c:v>507.72</c:v>
                </c:pt>
                <c:pt idx="890">
                  <c:v>476.84</c:v>
                </c:pt>
                <c:pt idx="891">
                  <c:v>523.16</c:v>
                </c:pt>
                <c:pt idx="892">
                  <c:v>461.4</c:v>
                </c:pt>
                <c:pt idx="893">
                  <c:v>538.6</c:v>
                </c:pt>
                <c:pt idx="894">
                  <c:v>445.96</c:v>
                </c:pt>
                <c:pt idx="895">
                  <c:v>554.04</c:v>
                </c:pt>
                <c:pt idx="896">
                  <c:v>430.52</c:v>
                </c:pt>
                <c:pt idx="897">
                  <c:v>569.48</c:v>
                </c:pt>
                <c:pt idx="898">
                  <c:v>415.08</c:v>
                </c:pt>
                <c:pt idx="899">
                  <c:v>584.91999999999996</c:v>
                </c:pt>
                <c:pt idx="900">
                  <c:v>492.28</c:v>
                </c:pt>
                <c:pt idx="901">
                  <c:v>507.72</c:v>
                </c:pt>
                <c:pt idx="902">
                  <c:v>476.84</c:v>
                </c:pt>
                <c:pt idx="903">
                  <c:v>523.16</c:v>
                </c:pt>
                <c:pt idx="904">
                  <c:v>461.4</c:v>
                </c:pt>
                <c:pt idx="905">
                  <c:v>538.6</c:v>
                </c:pt>
                <c:pt idx="906">
                  <c:v>445.96</c:v>
                </c:pt>
                <c:pt idx="907">
                  <c:v>554.04</c:v>
                </c:pt>
                <c:pt idx="908">
                  <c:v>430.52</c:v>
                </c:pt>
                <c:pt idx="909">
                  <c:v>569.48</c:v>
                </c:pt>
                <c:pt idx="910">
                  <c:v>415.08</c:v>
                </c:pt>
                <c:pt idx="911">
                  <c:v>584.91999999999996</c:v>
                </c:pt>
                <c:pt idx="912">
                  <c:v>492.28</c:v>
                </c:pt>
                <c:pt idx="913">
                  <c:v>507.72</c:v>
                </c:pt>
                <c:pt idx="914">
                  <c:v>476.84</c:v>
                </c:pt>
                <c:pt idx="915">
                  <c:v>523.16</c:v>
                </c:pt>
                <c:pt idx="916">
                  <c:v>461.4</c:v>
                </c:pt>
                <c:pt idx="917">
                  <c:v>538.6</c:v>
                </c:pt>
                <c:pt idx="918">
                  <c:v>445.96</c:v>
                </c:pt>
                <c:pt idx="919">
                  <c:v>554.04</c:v>
                </c:pt>
                <c:pt idx="920">
                  <c:v>430.52</c:v>
                </c:pt>
                <c:pt idx="921">
                  <c:v>569.48</c:v>
                </c:pt>
                <c:pt idx="922">
                  <c:v>415.08</c:v>
                </c:pt>
                <c:pt idx="923">
                  <c:v>584.91999999999996</c:v>
                </c:pt>
                <c:pt idx="924">
                  <c:v>492.28</c:v>
                </c:pt>
                <c:pt idx="925">
                  <c:v>507.72</c:v>
                </c:pt>
                <c:pt idx="926">
                  <c:v>476.84</c:v>
                </c:pt>
                <c:pt idx="927">
                  <c:v>523.16</c:v>
                </c:pt>
                <c:pt idx="928">
                  <c:v>461.4</c:v>
                </c:pt>
                <c:pt idx="929">
                  <c:v>538.6</c:v>
                </c:pt>
                <c:pt idx="930">
                  <c:v>445.96</c:v>
                </c:pt>
                <c:pt idx="931">
                  <c:v>554.04</c:v>
                </c:pt>
                <c:pt idx="932">
                  <c:v>430.52</c:v>
                </c:pt>
                <c:pt idx="933">
                  <c:v>569.48</c:v>
                </c:pt>
                <c:pt idx="934">
                  <c:v>415.08</c:v>
                </c:pt>
                <c:pt idx="935">
                  <c:v>584.91999999999996</c:v>
                </c:pt>
                <c:pt idx="936">
                  <c:v>492.28</c:v>
                </c:pt>
                <c:pt idx="937">
                  <c:v>507.72</c:v>
                </c:pt>
                <c:pt idx="938">
                  <c:v>476.84</c:v>
                </c:pt>
                <c:pt idx="939">
                  <c:v>523.16</c:v>
                </c:pt>
                <c:pt idx="940">
                  <c:v>461.4</c:v>
                </c:pt>
                <c:pt idx="941">
                  <c:v>538.6</c:v>
                </c:pt>
                <c:pt idx="942">
                  <c:v>445.96</c:v>
                </c:pt>
                <c:pt idx="943">
                  <c:v>554.04</c:v>
                </c:pt>
                <c:pt idx="944">
                  <c:v>430.52</c:v>
                </c:pt>
                <c:pt idx="945">
                  <c:v>569.48</c:v>
                </c:pt>
                <c:pt idx="946">
                  <c:v>415.08</c:v>
                </c:pt>
                <c:pt idx="947">
                  <c:v>584.91999999999996</c:v>
                </c:pt>
                <c:pt idx="948">
                  <c:v>492.28</c:v>
                </c:pt>
                <c:pt idx="949">
                  <c:v>507.72</c:v>
                </c:pt>
                <c:pt idx="950">
                  <c:v>476.84</c:v>
                </c:pt>
                <c:pt idx="951">
                  <c:v>523.16</c:v>
                </c:pt>
                <c:pt idx="952">
                  <c:v>461.4</c:v>
                </c:pt>
                <c:pt idx="953">
                  <c:v>538.6</c:v>
                </c:pt>
                <c:pt idx="954">
                  <c:v>445.96</c:v>
                </c:pt>
                <c:pt idx="955">
                  <c:v>554.04</c:v>
                </c:pt>
                <c:pt idx="956">
                  <c:v>430.52</c:v>
                </c:pt>
                <c:pt idx="957">
                  <c:v>569.48</c:v>
                </c:pt>
                <c:pt idx="958">
                  <c:v>415.08</c:v>
                </c:pt>
                <c:pt idx="959">
                  <c:v>584.91999999999996</c:v>
                </c:pt>
                <c:pt idx="960">
                  <c:v>492.28</c:v>
                </c:pt>
                <c:pt idx="961">
                  <c:v>507.72</c:v>
                </c:pt>
                <c:pt idx="962">
                  <c:v>476.84</c:v>
                </c:pt>
                <c:pt idx="963">
                  <c:v>523.16</c:v>
                </c:pt>
                <c:pt idx="964">
                  <c:v>461.4</c:v>
                </c:pt>
                <c:pt idx="965">
                  <c:v>538.6</c:v>
                </c:pt>
                <c:pt idx="966">
                  <c:v>445.96</c:v>
                </c:pt>
                <c:pt idx="967">
                  <c:v>554.04</c:v>
                </c:pt>
                <c:pt idx="968">
                  <c:v>430.52</c:v>
                </c:pt>
                <c:pt idx="969">
                  <c:v>569.48</c:v>
                </c:pt>
                <c:pt idx="970">
                  <c:v>415.08</c:v>
                </c:pt>
                <c:pt idx="971">
                  <c:v>584.91999999999996</c:v>
                </c:pt>
                <c:pt idx="972">
                  <c:v>492.28</c:v>
                </c:pt>
                <c:pt idx="973">
                  <c:v>507.72</c:v>
                </c:pt>
                <c:pt idx="974">
                  <c:v>476.84</c:v>
                </c:pt>
                <c:pt idx="975">
                  <c:v>523.16</c:v>
                </c:pt>
                <c:pt idx="976">
                  <c:v>461.4</c:v>
                </c:pt>
                <c:pt idx="977">
                  <c:v>538.6</c:v>
                </c:pt>
                <c:pt idx="978">
                  <c:v>445.96</c:v>
                </c:pt>
                <c:pt idx="979">
                  <c:v>554.04</c:v>
                </c:pt>
                <c:pt idx="980">
                  <c:v>430.52</c:v>
                </c:pt>
                <c:pt idx="981">
                  <c:v>569.48</c:v>
                </c:pt>
                <c:pt idx="982">
                  <c:v>415.08</c:v>
                </c:pt>
                <c:pt idx="983">
                  <c:v>584.91999999999996</c:v>
                </c:pt>
                <c:pt idx="984">
                  <c:v>492.28</c:v>
                </c:pt>
                <c:pt idx="985">
                  <c:v>507.72</c:v>
                </c:pt>
                <c:pt idx="986">
                  <c:v>476.84</c:v>
                </c:pt>
                <c:pt idx="987">
                  <c:v>523.16</c:v>
                </c:pt>
                <c:pt idx="988">
                  <c:v>461.4</c:v>
                </c:pt>
                <c:pt idx="989">
                  <c:v>538.6</c:v>
                </c:pt>
                <c:pt idx="990">
                  <c:v>445.96</c:v>
                </c:pt>
                <c:pt idx="991">
                  <c:v>554.04</c:v>
                </c:pt>
                <c:pt idx="992">
                  <c:v>430.52</c:v>
                </c:pt>
                <c:pt idx="993">
                  <c:v>569.48</c:v>
                </c:pt>
                <c:pt idx="994">
                  <c:v>415.08</c:v>
                </c:pt>
                <c:pt idx="995">
                  <c:v>584.91999999999996</c:v>
                </c:pt>
                <c:pt idx="996">
                  <c:v>492.28</c:v>
                </c:pt>
                <c:pt idx="997">
                  <c:v>507.72</c:v>
                </c:pt>
                <c:pt idx="998">
                  <c:v>476.84</c:v>
                </c:pt>
                <c:pt idx="999">
                  <c:v>523.16</c:v>
                </c:pt>
              </c:numCache>
            </c:numRef>
          </c:xVal>
          <c:yVal>
            <c:numRef>
              <c:f>'Dance p'!$AO$92:$AO$1091</c:f>
              <c:numCache>
                <c:formatCode>General</c:formatCode>
                <c:ptCount val="1000"/>
                <c:pt idx="0">
                  <c:v>0.80500000000000005</c:v>
                </c:pt>
                <c:pt idx="1">
                  <c:v>0.80500000000000005</c:v>
                </c:pt>
                <c:pt idx="2">
                  <c:v>0.80500000000000005</c:v>
                </c:pt>
                <c:pt idx="3">
                  <c:v>0.80500000000000005</c:v>
                </c:pt>
                <c:pt idx="4">
                  <c:v>0.80500000000000005</c:v>
                </c:pt>
                <c:pt idx="5">
                  <c:v>0.80500000000000005</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23-E39F-470B-B5CD-D5A3D761E019}"/>
            </c:ext>
          </c:extLst>
        </c:ser>
        <c:ser>
          <c:idx val="3"/>
          <c:order val="21"/>
          <c:spPr>
            <a:ln w="28575">
              <a:noFill/>
            </a:ln>
          </c:spPr>
          <c:marker>
            <c:symbol val="square"/>
            <c:size val="5"/>
            <c:spPr>
              <a:solidFill>
                <a:srgbClr val="CCFFFF"/>
              </a:solidFill>
              <a:ln>
                <a:solidFill>
                  <a:srgbClr val="969696"/>
                </a:solidFill>
                <a:prstDash val="solid"/>
              </a:ln>
            </c:spPr>
          </c:marker>
          <c:xVal>
            <c:numRef>
              <c:f>'Dance p'!$AP$92:$AP$1091</c:f>
              <c:numCache>
                <c:formatCode>General</c:formatCode>
                <c:ptCount val="1000"/>
                <c:pt idx="0">
                  <c:v>292.27999999999997</c:v>
                </c:pt>
                <c:pt idx="1">
                  <c:v>307.72000000000003</c:v>
                </c:pt>
                <c:pt idx="2">
                  <c:v>276.83999999999997</c:v>
                </c:pt>
                <c:pt idx="3">
                  <c:v>323.16000000000003</c:v>
                </c:pt>
                <c:pt idx="4">
                  <c:v>261.39999999999998</c:v>
                </c:pt>
                <c:pt idx="5">
                  <c:v>338.6</c:v>
                </c:pt>
                <c:pt idx="6">
                  <c:v>245.96</c:v>
                </c:pt>
                <c:pt idx="7">
                  <c:v>354.04</c:v>
                </c:pt>
                <c:pt idx="8">
                  <c:v>230.51999999999998</c:v>
                </c:pt>
                <c:pt idx="9">
                  <c:v>369.48</c:v>
                </c:pt>
                <c:pt idx="10">
                  <c:v>215.07999999999998</c:v>
                </c:pt>
                <c:pt idx="11">
                  <c:v>384.92</c:v>
                </c:pt>
                <c:pt idx="12">
                  <c:v>292.27999999999997</c:v>
                </c:pt>
                <c:pt idx="13">
                  <c:v>307.72000000000003</c:v>
                </c:pt>
                <c:pt idx="14">
                  <c:v>276.83999999999997</c:v>
                </c:pt>
                <c:pt idx="15">
                  <c:v>323.16000000000003</c:v>
                </c:pt>
                <c:pt idx="16">
                  <c:v>261.39999999999998</c:v>
                </c:pt>
                <c:pt idx="17">
                  <c:v>338.6</c:v>
                </c:pt>
                <c:pt idx="18">
                  <c:v>245.96</c:v>
                </c:pt>
                <c:pt idx="19">
                  <c:v>354.04</c:v>
                </c:pt>
                <c:pt idx="20">
                  <c:v>230.51999999999998</c:v>
                </c:pt>
                <c:pt idx="21">
                  <c:v>369.48</c:v>
                </c:pt>
                <c:pt idx="22">
                  <c:v>215.07999999999998</c:v>
                </c:pt>
                <c:pt idx="23">
                  <c:v>384.92</c:v>
                </c:pt>
                <c:pt idx="24">
                  <c:v>292.27999999999997</c:v>
                </c:pt>
                <c:pt idx="25">
                  <c:v>307.72000000000003</c:v>
                </c:pt>
                <c:pt idx="26">
                  <c:v>276.83999999999997</c:v>
                </c:pt>
                <c:pt idx="27">
                  <c:v>323.16000000000003</c:v>
                </c:pt>
                <c:pt idx="28">
                  <c:v>261.39999999999998</c:v>
                </c:pt>
                <c:pt idx="29">
                  <c:v>338.6</c:v>
                </c:pt>
                <c:pt idx="30">
                  <c:v>245.96</c:v>
                </c:pt>
                <c:pt idx="31">
                  <c:v>354.04</c:v>
                </c:pt>
                <c:pt idx="32">
                  <c:v>230.51999999999998</c:v>
                </c:pt>
                <c:pt idx="33">
                  <c:v>369.48</c:v>
                </c:pt>
                <c:pt idx="34">
                  <c:v>215.07999999999998</c:v>
                </c:pt>
                <c:pt idx="35">
                  <c:v>384.92</c:v>
                </c:pt>
                <c:pt idx="36">
                  <c:v>292.27999999999997</c:v>
                </c:pt>
                <c:pt idx="37">
                  <c:v>307.72000000000003</c:v>
                </c:pt>
                <c:pt idx="38">
                  <c:v>276.83999999999997</c:v>
                </c:pt>
                <c:pt idx="39">
                  <c:v>323.16000000000003</c:v>
                </c:pt>
                <c:pt idx="40">
                  <c:v>261.39999999999998</c:v>
                </c:pt>
                <c:pt idx="41">
                  <c:v>338.6</c:v>
                </c:pt>
                <c:pt idx="42">
                  <c:v>245.96</c:v>
                </c:pt>
                <c:pt idx="43">
                  <c:v>354.04</c:v>
                </c:pt>
                <c:pt idx="44">
                  <c:v>230.51999999999998</c:v>
                </c:pt>
                <c:pt idx="45">
                  <c:v>369.48</c:v>
                </c:pt>
                <c:pt idx="46">
                  <c:v>215.07999999999998</c:v>
                </c:pt>
                <c:pt idx="47">
                  <c:v>384.92</c:v>
                </c:pt>
                <c:pt idx="48">
                  <c:v>292.27999999999997</c:v>
                </c:pt>
                <c:pt idx="49">
                  <c:v>307.72000000000003</c:v>
                </c:pt>
                <c:pt idx="50">
                  <c:v>276.83999999999997</c:v>
                </c:pt>
                <c:pt idx="51">
                  <c:v>323.16000000000003</c:v>
                </c:pt>
                <c:pt idx="52">
                  <c:v>261.39999999999998</c:v>
                </c:pt>
                <c:pt idx="53">
                  <c:v>338.6</c:v>
                </c:pt>
                <c:pt idx="54">
                  <c:v>245.96</c:v>
                </c:pt>
                <c:pt idx="55">
                  <c:v>354.04</c:v>
                </c:pt>
                <c:pt idx="56">
                  <c:v>230.51999999999998</c:v>
                </c:pt>
                <c:pt idx="57">
                  <c:v>369.48</c:v>
                </c:pt>
                <c:pt idx="58">
                  <c:v>215.07999999999998</c:v>
                </c:pt>
                <c:pt idx="59">
                  <c:v>384.92</c:v>
                </c:pt>
                <c:pt idx="60">
                  <c:v>292.27999999999997</c:v>
                </c:pt>
                <c:pt idx="61">
                  <c:v>307.72000000000003</c:v>
                </c:pt>
                <c:pt idx="62">
                  <c:v>276.83999999999997</c:v>
                </c:pt>
                <c:pt idx="63">
                  <c:v>323.16000000000003</c:v>
                </c:pt>
                <c:pt idx="64">
                  <c:v>261.39999999999998</c:v>
                </c:pt>
                <c:pt idx="65">
                  <c:v>338.6</c:v>
                </c:pt>
                <c:pt idx="66">
                  <c:v>245.96</c:v>
                </c:pt>
                <c:pt idx="67">
                  <c:v>354.04</c:v>
                </c:pt>
                <c:pt idx="68">
                  <c:v>230.51999999999998</c:v>
                </c:pt>
                <c:pt idx="69">
                  <c:v>369.48</c:v>
                </c:pt>
                <c:pt idx="70">
                  <c:v>215.07999999999998</c:v>
                </c:pt>
                <c:pt idx="71">
                  <c:v>384.92</c:v>
                </c:pt>
                <c:pt idx="72">
                  <c:v>292.27999999999997</c:v>
                </c:pt>
                <c:pt idx="73">
                  <c:v>307.72000000000003</c:v>
                </c:pt>
                <c:pt idx="74">
                  <c:v>276.83999999999997</c:v>
                </c:pt>
                <c:pt idx="75">
                  <c:v>323.16000000000003</c:v>
                </c:pt>
                <c:pt idx="76">
                  <c:v>261.39999999999998</c:v>
                </c:pt>
                <c:pt idx="77">
                  <c:v>338.6</c:v>
                </c:pt>
                <c:pt idx="78">
                  <c:v>245.96</c:v>
                </c:pt>
                <c:pt idx="79">
                  <c:v>354.04</c:v>
                </c:pt>
                <c:pt idx="80">
                  <c:v>230.51999999999998</c:v>
                </c:pt>
                <c:pt idx="81">
                  <c:v>369.48</c:v>
                </c:pt>
                <c:pt idx="82">
                  <c:v>215.07999999999998</c:v>
                </c:pt>
                <c:pt idx="83">
                  <c:v>384.92</c:v>
                </c:pt>
                <c:pt idx="84">
                  <c:v>292.27999999999997</c:v>
                </c:pt>
                <c:pt idx="85">
                  <c:v>307.72000000000003</c:v>
                </c:pt>
                <c:pt idx="86">
                  <c:v>276.83999999999997</c:v>
                </c:pt>
                <c:pt idx="87">
                  <c:v>323.16000000000003</c:v>
                </c:pt>
                <c:pt idx="88">
                  <c:v>261.39999999999998</c:v>
                </c:pt>
                <c:pt idx="89">
                  <c:v>338.6</c:v>
                </c:pt>
                <c:pt idx="90">
                  <c:v>245.96</c:v>
                </c:pt>
                <c:pt idx="91">
                  <c:v>354.04</c:v>
                </c:pt>
                <c:pt idx="92">
                  <c:v>230.51999999999998</c:v>
                </c:pt>
                <c:pt idx="93">
                  <c:v>369.48</c:v>
                </c:pt>
                <c:pt idx="94">
                  <c:v>215.07999999999998</c:v>
                </c:pt>
                <c:pt idx="95">
                  <c:v>384.92</c:v>
                </c:pt>
                <c:pt idx="96">
                  <c:v>292.27999999999997</c:v>
                </c:pt>
                <c:pt idx="97">
                  <c:v>307.72000000000003</c:v>
                </c:pt>
                <c:pt idx="98">
                  <c:v>276.83999999999997</c:v>
                </c:pt>
                <c:pt idx="99">
                  <c:v>323.16000000000003</c:v>
                </c:pt>
                <c:pt idx="100">
                  <c:v>261.39999999999998</c:v>
                </c:pt>
                <c:pt idx="101">
                  <c:v>338.6</c:v>
                </c:pt>
                <c:pt idx="102">
                  <c:v>245.96</c:v>
                </c:pt>
                <c:pt idx="103">
                  <c:v>354.04</c:v>
                </c:pt>
                <c:pt idx="104">
                  <c:v>230.51999999999998</c:v>
                </c:pt>
                <c:pt idx="105">
                  <c:v>369.48</c:v>
                </c:pt>
                <c:pt idx="106">
                  <c:v>215.07999999999998</c:v>
                </c:pt>
                <c:pt idx="107">
                  <c:v>384.92</c:v>
                </c:pt>
                <c:pt idx="108">
                  <c:v>292.27999999999997</c:v>
                </c:pt>
                <c:pt idx="109">
                  <c:v>307.72000000000003</c:v>
                </c:pt>
                <c:pt idx="110">
                  <c:v>276.83999999999997</c:v>
                </c:pt>
                <c:pt idx="111">
                  <c:v>323.16000000000003</c:v>
                </c:pt>
                <c:pt idx="112">
                  <c:v>261.39999999999998</c:v>
                </c:pt>
                <c:pt idx="113">
                  <c:v>338.6</c:v>
                </c:pt>
                <c:pt idx="114">
                  <c:v>245.96</c:v>
                </c:pt>
                <c:pt idx="115">
                  <c:v>354.04</c:v>
                </c:pt>
                <c:pt idx="116">
                  <c:v>230.51999999999998</c:v>
                </c:pt>
                <c:pt idx="117">
                  <c:v>369.48</c:v>
                </c:pt>
                <c:pt idx="118">
                  <c:v>215.07999999999998</c:v>
                </c:pt>
                <c:pt idx="119">
                  <c:v>384.92</c:v>
                </c:pt>
                <c:pt idx="120">
                  <c:v>292.27999999999997</c:v>
                </c:pt>
                <c:pt idx="121">
                  <c:v>307.72000000000003</c:v>
                </c:pt>
                <c:pt idx="122">
                  <c:v>276.83999999999997</c:v>
                </c:pt>
                <c:pt idx="123">
                  <c:v>323.16000000000003</c:v>
                </c:pt>
                <c:pt idx="124">
                  <c:v>261.39999999999998</c:v>
                </c:pt>
                <c:pt idx="125">
                  <c:v>338.6</c:v>
                </c:pt>
                <c:pt idx="126">
                  <c:v>245.96</c:v>
                </c:pt>
                <c:pt idx="127">
                  <c:v>354.04</c:v>
                </c:pt>
                <c:pt idx="128">
                  <c:v>230.51999999999998</c:v>
                </c:pt>
                <c:pt idx="129">
                  <c:v>369.48</c:v>
                </c:pt>
                <c:pt idx="130">
                  <c:v>215.07999999999998</c:v>
                </c:pt>
                <c:pt idx="131">
                  <c:v>384.92</c:v>
                </c:pt>
                <c:pt idx="132">
                  <c:v>292.27999999999997</c:v>
                </c:pt>
                <c:pt idx="133">
                  <c:v>307.72000000000003</c:v>
                </c:pt>
                <c:pt idx="134">
                  <c:v>276.83999999999997</c:v>
                </c:pt>
                <c:pt idx="135">
                  <c:v>323.16000000000003</c:v>
                </c:pt>
                <c:pt idx="136">
                  <c:v>261.39999999999998</c:v>
                </c:pt>
                <c:pt idx="137">
                  <c:v>338.6</c:v>
                </c:pt>
                <c:pt idx="138">
                  <c:v>245.96</c:v>
                </c:pt>
                <c:pt idx="139">
                  <c:v>354.04</c:v>
                </c:pt>
                <c:pt idx="140">
                  <c:v>230.51999999999998</c:v>
                </c:pt>
                <c:pt idx="141">
                  <c:v>369.48</c:v>
                </c:pt>
                <c:pt idx="142">
                  <c:v>215.07999999999998</c:v>
                </c:pt>
                <c:pt idx="143">
                  <c:v>384.92</c:v>
                </c:pt>
                <c:pt idx="144">
                  <c:v>292.27999999999997</c:v>
                </c:pt>
                <c:pt idx="145">
                  <c:v>307.72000000000003</c:v>
                </c:pt>
                <c:pt idx="146">
                  <c:v>276.83999999999997</c:v>
                </c:pt>
                <c:pt idx="147">
                  <c:v>323.16000000000003</c:v>
                </c:pt>
                <c:pt idx="148">
                  <c:v>261.39999999999998</c:v>
                </c:pt>
                <c:pt idx="149">
                  <c:v>338.6</c:v>
                </c:pt>
                <c:pt idx="150">
                  <c:v>245.96</c:v>
                </c:pt>
                <c:pt idx="151">
                  <c:v>354.04</c:v>
                </c:pt>
                <c:pt idx="152">
                  <c:v>230.51999999999998</c:v>
                </c:pt>
                <c:pt idx="153">
                  <c:v>369.48</c:v>
                </c:pt>
                <c:pt idx="154">
                  <c:v>215.07999999999998</c:v>
                </c:pt>
                <c:pt idx="155">
                  <c:v>384.92</c:v>
                </c:pt>
                <c:pt idx="156">
                  <c:v>292.27999999999997</c:v>
                </c:pt>
                <c:pt idx="157">
                  <c:v>307.72000000000003</c:v>
                </c:pt>
                <c:pt idx="158">
                  <c:v>276.83999999999997</c:v>
                </c:pt>
                <c:pt idx="159">
                  <c:v>323.16000000000003</c:v>
                </c:pt>
                <c:pt idx="160">
                  <c:v>261.39999999999998</c:v>
                </c:pt>
                <c:pt idx="161">
                  <c:v>338.6</c:v>
                </c:pt>
                <c:pt idx="162">
                  <c:v>245.96</c:v>
                </c:pt>
                <c:pt idx="163">
                  <c:v>354.04</c:v>
                </c:pt>
                <c:pt idx="164">
                  <c:v>230.51999999999998</c:v>
                </c:pt>
                <c:pt idx="165">
                  <c:v>369.48</c:v>
                </c:pt>
                <c:pt idx="166">
                  <c:v>215.07999999999998</c:v>
                </c:pt>
                <c:pt idx="167">
                  <c:v>384.92</c:v>
                </c:pt>
                <c:pt idx="168">
                  <c:v>292.27999999999997</c:v>
                </c:pt>
                <c:pt idx="169">
                  <c:v>307.72000000000003</c:v>
                </c:pt>
                <c:pt idx="170">
                  <c:v>276.83999999999997</c:v>
                </c:pt>
                <c:pt idx="171">
                  <c:v>323.16000000000003</c:v>
                </c:pt>
                <c:pt idx="172">
                  <c:v>261.39999999999998</c:v>
                </c:pt>
                <c:pt idx="173">
                  <c:v>338.6</c:v>
                </c:pt>
                <c:pt idx="174">
                  <c:v>245.96</c:v>
                </c:pt>
                <c:pt idx="175">
                  <c:v>354.04</c:v>
                </c:pt>
                <c:pt idx="176">
                  <c:v>230.51999999999998</c:v>
                </c:pt>
                <c:pt idx="177">
                  <c:v>369.48</c:v>
                </c:pt>
                <c:pt idx="178">
                  <c:v>215.07999999999998</c:v>
                </c:pt>
                <c:pt idx="179">
                  <c:v>384.92</c:v>
                </c:pt>
                <c:pt idx="180">
                  <c:v>292.27999999999997</c:v>
                </c:pt>
                <c:pt idx="181">
                  <c:v>307.72000000000003</c:v>
                </c:pt>
                <c:pt idx="182">
                  <c:v>276.83999999999997</c:v>
                </c:pt>
                <c:pt idx="183">
                  <c:v>323.16000000000003</c:v>
                </c:pt>
                <c:pt idx="184">
                  <c:v>261.39999999999998</c:v>
                </c:pt>
                <c:pt idx="185">
                  <c:v>338.6</c:v>
                </c:pt>
                <c:pt idx="186">
                  <c:v>245.96</c:v>
                </c:pt>
                <c:pt idx="187">
                  <c:v>354.04</c:v>
                </c:pt>
                <c:pt idx="188">
                  <c:v>230.51999999999998</c:v>
                </c:pt>
                <c:pt idx="189">
                  <c:v>369.48</c:v>
                </c:pt>
                <c:pt idx="190">
                  <c:v>215.07999999999998</c:v>
                </c:pt>
                <c:pt idx="191">
                  <c:v>384.92</c:v>
                </c:pt>
                <c:pt idx="192">
                  <c:v>292.27999999999997</c:v>
                </c:pt>
                <c:pt idx="193">
                  <c:v>307.72000000000003</c:v>
                </c:pt>
                <c:pt idx="194">
                  <c:v>276.83999999999997</c:v>
                </c:pt>
                <c:pt idx="195">
                  <c:v>323.16000000000003</c:v>
                </c:pt>
                <c:pt idx="196">
                  <c:v>261.39999999999998</c:v>
                </c:pt>
                <c:pt idx="197">
                  <c:v>338.6</c:v>
                </c:pt>
                <c:pt idx="198">
                  <c:v>245.96</c:v>
                </c:pt>
                <c:pt idx="199">
                  <c:v>354.04</c:v>
                </c:pt>
                <c:pt idx="200">
                  <c:v>230.51999999999998</c:v>
                </c:pt>
                <c:pt idx="201">
                  <c:v>369.48</c:v>
                </c:pt>
                <c:pt idx="202">
                  <c:v>215.07999999999998</c:v>
                </c:pt>
                <c:pt idx="203">
                  <c:v>384.92</c:v>
                </c:pt>
                <c:pt idx="204">
                  <c:v>292.27999999999997</c:v>
                </c:pt>
                <c:pt idx="205">
                  <c:v>307.72000000000003</c:v>
                </c:pt>
                <c:pt idx="206">
                  <c:v>276.83999999999997</c:v>
                </c:pt>
                <c:pt idx="207">
                  <c:v>323.16000000000003</c:v>
                </c:pt>
                <c:pt idx="208">
                  <c:v>261.39999999999998</c:v>
                </c:pt>
                <c:pt idx="209">
                  <c:v>338.6</c:v>
                </c:pt>
                <c:pt idx="210">
                  <c:v>245.96</c:v>
                </c:pt>
                <c:pt idx="211">
                  <c:v>354.04</c:v>
                </c:pt>
                <c:pt idx="212">
                  <c:v>230.51999999999998</c:v>
                </c:pt>
                <c:pt idx="213">
                  <c:v>369.48</c:v>
                </c:pt>
                <c:pt idx="214">
                  <c:v>215.07999999999998</c:v>
                </c:pt>
                <c:pt idx="215">
                  <c:v>384.92</c:v>
                </c:pt>
                <c:pt idx="216">
                  <c:v>292.27999999999997</c:v>
                </c:pt>
                <c:pt idx="217">
                  <c:v>307.72000000000003</c:v>
                </c:pt>
                <c:pt idx="218">
                  <c:v>276.83999999999997</c:v>
                </c:pt>
                <c:pt idx="219">
                  <c:v>323.16000000000003</c:v>
                </c:pt>
                <c:pt idx="220">
                  <c:v>261.39999999999998</c:v>
                </c:pt>
                <c:pt idx="221">
                  <c:v>338.6</c:v>
                </c:pt>
                <c:pt idx="222">
                  <c:v>245.96</c:v>
                </c:pt>
                <c:pt idx="223">
                  <c:v>354.04</c:v>
                </c:pt>
                <c:pt idx="224">
                  <c:v>230.51999999999998</c:v>
                </c:pt>
                <c:pt idx="225">
                  <c:v>369.48</c:v>
                </c:pt>
                <c:pt idx="226">
                  <c:v>215.07999999999998</c:v>
                </c:pt>
                <c:pt idx="227">
                  <c:v>384.92</c:v>
                </c:pt>
                <c:pt idx="228">
                  <c:v>292.27999999999997</c:v>
                </c:pt>
                <c:pt idx="229">
                  <c:v>307.72000000000003</c:v>
                </c:pt>
                <c:pt idx="230">
                  <c:v>276.83999999999997</c:v>
                </c:pt>
                <c:pt idx="231">
                  <c:v>323.16000000000003</c:v>
                </c:pt>
                <c:pt idx="232">
                  <c:v>261.39999999999998</c:v>
                </c:pt>
                <c:pt idx="233">
                  <c:v>338.6</c:v>
                </c:pt>
                <c:pt idx="234">
                  <c:v>245.96</c:v>
                </c:pt>
                <c:pt idx="235">
                  <c:v>354.04</c:v>
                </c:pt>
                <c:pt idx="236">
                  <c:v>230.51999999999998</c:v>
                </c:pt>
                <c:pt idx="237">
                  <c:v>369.48</c:v>
                </c:pt>
                <c:pt idx="238">
                  <c:v>215.07999999999998</c:v>
                </c:pt>
                <c:pt idx="239">
                  <c:v>384.92</c:v>
                </c:pt>
                <c:pt idx="240">
                  <c:v>292.27999999999997</c:v>
                </c:pt>
                <c:pt idx="241">
                  <c:v>307.72000000000003</c:v>
                </c:pt>
                <c:pt idx="242">
                  <c:v>276.83999999999997</c:v>
                </c:pt>
                <c:pt idx="243">
                  <c:v>323.16000000000003</c:v>
                </c:pt>
                <c:pt idx="244">
                  <c:v>261.39999999999998</c:v>
                </c:pt>
                <c:pt idx="245">
                  <c:v>338.6</c:v>
                </c:pt>
                <c:pt idx="246">
                  <c:v>245.96</c:v>
                </c:pt>
                <c:pt idx="247">
                  <c:v>354.04</c:v>
                </c:pt>
                <c:pt idx="248">
                  <c:v>230.51999999999998</c:v>
                </c:pt>
                <c:pt idx="249">
                  <c:v>369.48</c:v>
                </c:pt>
                <c:pt idx="250">
                  <c:v>215.07999999999998</c:v>
                </c:pt>
                <c:pt idx="251">
                  <c:v>384.92</c:v>
                </c:pt>
                <c:pt idx="252">
                  <c:v>292.27999999999997</c:v>
                </c:pt>
                <c:pt idx="253">
                  <c:v>307.72000000000003</c:v>
                </c:pt>
                <c:pt idx="254">
                  <c:v>276.83999999999997</c:v>
                </c:pt>
                <c:pt idx="255">
                  <c:v>323.16000000000003</c:v>
                </c:pt>
                <c:pt idx="256">
                  <c:v>261.39999999999998</c:v>
                </c:pt>
                <c:pt idx="257">
                  <c:v>338.6</c:v>
                </c:pt>
                <c:pt idx="258">
                  <c:v>245.96</c:v>
                </c:pt>
                <c:pt idx="259">
                  <c:v>354.04</c:v>
                </c:pt>
                <c:pt idx="260">
                  <c:v>230.51999999999998</c:v>
                </c:pt>
                <c:pt idx="261">
                  <c:v>369.48</c:v>
                </c:pt>
                <c:pt idx="262">
                  <c:v>215.07999999999998</c:v>
                </c:pt>
                <c:pt idx="263">
                  <c:v>384.92</c:v>
                </c:pt>
                <c:pt idx="264">
                  <c:v>292.27999999999997</c:v>
                </c:pt>
                <c:pt idx="265">
                  <c:v>307.72000000000003</c:v>
                </c:pt>
                <c:pt idx="266">
                  <c:v>276.83999999999997</c:v>
                </c:pt>
                <c:pt idx="267">
                  <c:v>323.16000000000003</c:v>
                </c:pt>
                <c:pt idx="268">
                  <c:v>261.39999999999998</c:v>
                </c:pt>
                <c:pt idx="269">
                  <c:v>338.6</c:v>
                </c:pt>
                <c:pt idx="270">
                  <c:v>245.96</c:v>
                </c:pt>
                <c:pt idx="271">
                  <c:v>354.04</c:v>
                </c:pt>
                <c:pt idx="272">
                  <c:v>230.51999999999998</c:v>
                </c:pt>
                <c:pt idx="273">
                  <c:v>369.48</c:v>
                </c:pt>
                <c:pt idx="274">
                  <c:v>215.07999999999998</c:v>
                </c:pt>
                <c:pt idx="275">
                  <c:v>384.92</c:v>
                </c:pt>
                <c:pt idx="276">
                  <c:v>292.27999999999997</c:v>
                </c:pt>
                <c:pt idx="277">
                  <c:v>307.72000000000003</c:v>
                </c:pt>
                <c:pt idx="278">
                  <c:v>276.83999999999997</c:v>
                </c:pt>
                <c:pt idx="279">
                  <c:v>323.16000000000003</c:v>
                </c:pt>
                <c:pt idx="280">
                  <c:v>261.39999999999998</c:v>
                </c:pt>
                <c:pt idx="281">
                  <c:v>338.6</c:v>
                </c:pt>
                <c:pt idx="282">
                  <c:v>245.96</c:v>
                </c:pt>
                <c:pt idx="283">
                  <c:v>354.04</c:v>
                </c:pt>
                <c:pt idx="284">
                  <c:v>230.51999999999998</c:v>
                </c:pt>
                <c:pt idx="285">
                  <c:v>369.48</c:v>
                </c:pt>
                <c:pt idx="286">
                  <c:v>215.07999999999998</c:v>
                </c:pt>
                <c:pt idx="287">
                  <c:v>384.92</c:v>
                </c:pt>
                <c:pt idx="288">
                  <c:v>292.27999999999997</c:v>
                </c:pt>
                <c:pt idx="289">
                  <c:v>307.72000000000003</c:v>
                </c:pt>
                <c:pt idx="290">
                  <c:v>276.83999999999997</c:v>
                </c:pt>
                <c:pt idx="291">
                  <c:v>323.16000000000003</c:v>
                </c:pt>
                <c:pt idx="292">
                  <c:v>261.39999999999998</c:v>
                </c:pt>
                <c:pt idx="293">
                  <c:v>338.6</c:v>
                </c:pt>
                <c:pt idx="294">
                  <c:v>245.96</c:v>
                </c:pt>
                <c:pt idx="295">
                  <c:v>354.04</c:v>
                </c:pt>
                <c:pt idx="296">
                  <c:v>230.51999999999998</c:v>
                </c:pt>
                <c:pt idx="297">
                  <c:v>369.48</c:v>
                </c:pt>
                <c:pt idx="298">
                  <c:v>215.07999999999998</c:v>
                </c:pt>
                <c:pt idx="299">
                  <c:v>384.92</c:v>
                </c:pt>
                <c:pt idx="300">
                  <c:v>292.27999999999997</c:v>
                </c:pt>
                <c:pt idx="301">
                  <c:v>307.72000000000003</c:v>
                </c:pt>
                <c:pt idx="302">
                  <c:v>276.83999999999997</c:v>
                </c:pt>
                <c:pt idx="303">
                  <c:v>323.16000000000003</c:v>
                </c:pt>
                <c:pt idx="304">
                  <c:v>261.39999999999998</c:v>
                </c:pt>
                <c:pt idx="305">
                  <c:v>338.6</c:v>
                </c:pt>
                <c:pt idx="306">
                  <c:v>245.96</c:v>
                </c:pt>
                <c:pt idx="307">
                  <c:v>354.04</c:v>
                </c:pt>
                <c:pt idx="308">
                  <c:v>230.51999999999998</c:v>
                </c:pt>
                <c:pt idx="309">
                  <c:v>369.48</c:v>
                </c:pt>
                <c:pt idx="310">
                  <c:v>215.07999999999998</c:v>
                </c:pt>
                <c:pt idx="311">
                  <c:v>384.92</c:v>
                </c:pt>
                <c:pt idx="312">
                  <c:v>292.27999999999997</c:v>
                </c:pt>
                <c:pt idx="313">
                  <c:v>307.72000000000003</c:v>
                </c:pt>
                <c:pt idx="314">
                  <c:v>276.83999999999997</c:v>
                </c:pt>
                <c:pt idx="315">
                  <c:v>323.16000000000003</c:v>
                </c:pt>
                <c:pt idx="316">
                  <c:v>261.39999999999998</c:v>
                </c:pt>
                <c:pt idx="317">
                  <c:v>338.6</c:v>
                </c:pt>
                <c:pt idx="318">
                  <c:v>245.96</c:v>
                </c:pt>
                <c:pt idx="319">
                  <c:v>354.04</c:v>
                </c:pt>
                <c:pt idx="320">
                  <c:v>230.51999999999998</c:v>
                </c:pt>
                <c:pt idx="321">
                  <c:v>369.48</c:v>
                </c:pt>
                <c:pt idx="322">
                  <c:v>215.07999999999998</c:v>
                </c:pt>
                <c:pt idx="323">
                  <c:v>384.92</c:v>
                </c:pt>
                <c:pt idx="324">
                  <c:v>292.27999999999997</c:v>
                </c:pt>
                <c:pt idx="325">
                  <c:v>307.72000000000003</c:v>
                </c:pt>
                <c:pt idx="326">
                  <c:v>276.83999999999997</c:v>
                </c:pt>
                <c:pt idx="327">
                  <c:v>323.16000000000003</c:v>
                </c:pt>
                <c:pt idx="328">
                  <c:v>261.39999999999998</c:v>
                </c:pt>
                <c:pt idx="329">
                  <c:v>338.6</c:v>
                </c:pt>
                <c:pt idx="330">
                  <c:v>245.96</c:v>
                </c:pt>
                <c:pt idx="331">
                  <c:v>354.04</c:v>
                </c:pt>
                <c:pt idx="332">
                  <c:v>230.51999999999998</c:v>
                </c:pt>
                <c:pt idx="333">
                  <c:v>369.48</c:v>
                </c:pt>
                <c:pt idx="334">
                  <c:v>215.07999999999998</c:v>
                </c:pt>
                <c:pt idx="335">
                  <c:v>384.92</c:v>
                </c:pt>
                <c:pt idx="336">
                  <c:v>292.27999999999997</c:v>
                </c:pt>
                <c:pt idx="337">
                  <c:v>307.72000000000003</c:v>
                </c:pt>
                <c:pt idx="338">
                  <c:v>276.83999999999997</c:v>
                </c:pt>
                <c:pt idx="339">
                  <c:v>323.16000000000003</c:v>
                </c:pt>
                <c:pt idx="340">
                  <c:v>261.39999999999998</c:v>
                </c:pt>
                <c:pt idx="341">
                  <c:v>338.6</c:v>
                </c:pt>
                <c:pt idx="342">
                  <c:v>245.96</c:v>
                </c:pt>
                <c:pt idx="343">
                  <c:v>354.04</c:v>
                </c:pt>
                <c:pt idx="344">
                  <c:v>230.51999999999998</c:v>
                </c:pt>
                <c:pt idx="345">
                  <c:v>369.48</c:v>
                </c:pt>
                <c:pt idx="346">
                  <c:v>215.07999999999998</c:v>
                </c:pt>
                <c:pt idx="347">
                  <c:v>384.92</c:v>
                </c:pt>
                <c:pt idx="348">
                  <c:v>292.27999999999997</c:v>
                </c:pt>
                <c:pt idx="349">
                  <c:v>307.72000000000003</c:v>
                </c:pt>
                <c:pt idx="350">
                  <c:v>276.83999999999997</c:v>
                </c:pt>
                <c:pt idx="351">
                  <c:v>323.16000000000003</c:v>
                </c:pt>
                <c:pt idx="352">
                  <c:v>261.39999999999998</c:v>
                </c:pt>
                <c:pt idx="353">
                  <c:v>338.6</c:v>
                </c:pt>
                <c:pt idx="354">
                  <c:v>245.96</c:v>
                </c:pt>
                <c:pt idx="355">
                  <c:v>354.04</c:v>
                </c:pt>
                <c:pt idx="356">
                  <c:v>230.51999999999998</c:v>
                </c:pt>
                <c:pt idx="357">
                  <c:v>369.48</c:v>
                </c:pt>
                <c:pt idx="358">
                  <c:v>215.07999999999998</c:v>
                </c:pt>
                <c:pt idx="359">
                  <c:v>384.92</c:v>
                </c:pt>
                <c:pt idx="360">
                  <c:v>292.27999999999997</c:v>
                </c:pt>
                <c:pt idx="361">
                  <c:v>307.72000000000003</c:v>
                </c:pt>
                <c:pt idx="362">
                  <c:v>276.83999999999997</c:v>
                </c:pt>
                <c:pt idx="363">
                  <c:v>323.16000000000003</c:v>
                </c:pt>
                <c:pt idx="364">
                  <c:v>261.39999999999998</c:v>
                </c:pt>
                <c:pt idx="365">
                  <c:v>338.6</c:v>
                </c:pt>
                <c:pt idx="366">
                  <c:v>245.96</c:v>
                </c:pt>
                <c:pt idx="367">
                  <c:v>354.04</c:v>
                </c:pt>
                <c:pt idx="368">
                  <c:v>230.51999999999998</c:v>
                </c:pt>
                <c:pt idx="369">
                  <c:v>369.48</c:v>
                </c:pt>
                <c:pt idx="370">
                  <c:v>215.07999999999998</c:v>
                </c:pt>
                <c:pt idx="371">
                  <c:v>384.92</c:v>
                </c:pt>
                <c:pt idx="372">
                  <c:v>292.27999999999997</c:v>
                </c:pt>
                <c:pt idx="373">
                  <c:v>307.72000000000003</c:v>
                </c:pt>
                <c:pt idx="374">
                  <c:v>276.83999999999997</c:v>
                </c:pt>
                <c:pt idx="375">
                  <c:v>323.16000000000003</c:v>
                </c:pt>
                <c:pt idx="376">
                  <c:v>261.39999999999998</c:v>
                </c:pt>
                <c:pt idx="377">
                  <c:v>338.6</c:v>
                </c:pt>
                <c:pt idx="378">
                  <c:v>245.96</c:v>
                </c:pt>
                <c:pt idx="379">
                  <c:v>354.04</c:v>
                </c:pt>
                <c:pt idx="380">
                  <c:v>230.51999999999998</c:v>
                </c:pt>
                <c:pt idx="381">
                  <c:v>369.48</c:v>
                </c:pt>
                <c:pt idx="382">
                  <c:v>215.07999999999998</c:v>
                </c:pt>
                <c:pt idx="383">
                  <c:v>384.92</c:v>
                </c:pt>
                <c:pt idx="384">
                  <c:v>292.27999999999997</c:v>
                </c:pt>
                <c:pt idx="385">
                  <c:v>307.72000000000003</c:v>
                </c:pt>
                <c:pt idx="386">
                  <c:v>276.83999999999997</c:v>
                </c:pt>
                <c:pt idx="387">
                  <c:v>323.16000000000003</c:v>
                </c:pt>
                <c:pt idx="388">
                  <c:v>261.39999999999998</c:v>
                </c:pt>
                <c:pt idx="389">
                  <c:v>338.6</c:v>
                </c:pt>
                <c:pt idx="390">
                  <c:v>245.96</c:v>
                </c:pt>
                <c:pt idx="391">
                  <c:v>354.04</c:v>
                </c:pt>
                <c:pt idx="392">
                  <c:v>230.51999999999998</c:v>
                </c:pt>
                <c:pt idx="393">
                  <c:v>369.48</c:v>
                </c:pt>
                <c:pt idx="394">
                  <c:v>215.07999999999998</c:v>
                </c:pt>
                <c:pt idx="395">
                  <c:v>384.92</c:v>
                </c:pt>
                <c:pt idx="396">
                  <c:v>292.27999999999997</c:v>
                </c:pt>
                <c:pt idx="397">
                  <c:v>307.72000000000003</c:v>
                </c:pt>
                <c:pt idx="398">
                  <c:v>276.83999999999997</c:v>
                </c:pt>
                <c:pt idx="399">
                  <c:v>323.16000000000003</c:v>
                </c:pt>
                <c:pt idx="400">
                  <c:v>261.39999999999998</c:v>
                </c:pt>
                <c:pt idx="401">
                  <c:v>338.6</c:v>
                </c:pt>
                <c:pt idx="402">
                  <c:v>245.96</c:v>
                </c:pt>
                <c:pt idx="403">
                  <c:v>354.04</c:v>
                </c:pt>
                <c:pt idx="404">
                  <c:v>230.51999999999998</c:v>
                </c:pt>
                <c:pt idx="405">
                  <c:v>369.48</c:v>
                </c:pt>
                <c:pt idx="406">
                  <c:v>215.07999999999998</c:v>
                </c:pt>
                <c:pt idx="407">
                  <c:v>384.92</c:v>
                </c:pt>
                <c:pt idx="408">
                  <c:v>292.27999999999997</c:v>
                </c:pt>
                <c:pt idx="409">
                  <c:v>307.72000000000003</c:v>
                </c:pt>
                <c:pt idx="410">
                  <c:v>276.83999999999997</c:v>
                </c:pt>
                <c:pt idx="411">
                  <c:v>323.16000000000003</c:v>
                </c:pt>
                <c:pt idx="412">
                  <c:v>261.39999999999998</c:v>
                </c:pt>
                <c:pt idx="413">
                  <c:v>338.6</c:v>
                </c:pt>
                <c:pt idx="414">
                  <c:v>245.96</c:v>
                </c:pt>
                <c:pt idx="415">
                  <c:v>354.04</c:v>
                </c:pt>
                <c:pt idx="416">
                  <c:v>230.51999999999998</c:v>
                </c:pt>
                <c:pt idx="417">
                  <c:v>369.48</c:v>
                </c:pt>
                <c:pt idx="418">
                  <c:v>215.07999999999998</c:v>
                </c:pt>
                <c:pt idx="419">
                  <c:v>384.92</c:v>
                </c:pt>
                <c:pt idx="420">
                  <c:v>292.27999999999997</c:v>
                </c:pt>
                <c:pt idx="421">
                  <c:v>307.72000000000003</c:v>
                </c:pt>
                <c:pt idx="422">
                  <c:v>276.83999999999997</c:v>
                </c:pt>
                <c:pt idx="423">
                  <c:v>323.16000000000003</c:v>
                </c:pt>
                <c:pt idx="424">
                  <c:v>261.39999999999998</c:v>
                </c:pt>
                <c:pt idx="425">
                  <c:v>338.6</c:v>
                </c:pt>
                <c:pt idx="426">
                  <c:v>245.96</c:v>
                </c:pt>
                <c:pt idx="427">
                  <c:v>354.04</c:v>
                </c:pt>
                <c:pt idx="428">
                  <c:v>230.51999999999998</c:v>
                </c:pt>
                <c:pt idx="429">
                  <c:v>369.48</c:v>
                </c:pt>
                <c:pt idx="430">
                  <c:v>215.07999999999998</c:v>
                </c:pt>
                <c:pt idx="431">
                  <c:v>384.92</c:v>
                </c:pt>
                <c:pt idx="432">
                  <c:v>292.27999999999997</c:v>
                </c:pt>
                <c:pt idx="433">
                  <c:v>307.72000000000003</c:v>
                </c:pt>
                <c:pt idx="434">
                  <c:v>276.83999999999997</c:v>
                </c:pt>
                <c:pt idx="435">
                  <c:v>323.16000000000003</c:v>
                </c:pt>
                <c:pt idx="436">
                  <c:v>261.39999999999998</c:v>
                </c:pt>
                <c:pt idx="437">
                  <c:v>338.6</c:v>
                </c:pt>
                <c:pt idx="438">
                  <c:v>245.96</c:v>
                </c:pt>
                <c:pt idx="439">
                  <c:v>354.04</c:v>
                </c:pt>
                <c:pt idx="440">
                  <c:v>230.51999999999998</c:v>
                </c:pt>
                <c:pt idx="441">
                  <c:v>369.48</c:v>
                </c:pt>
                <c:pt idx="442">
                  <c:v>215.07999999999998</c:v>
                </c:pt>
                <c:pt idx="443">
                  <c:v>384.92</c:v>
                </c:pt>
                <c:pt idx="444">
                  <c:v>292.27999999999997</c:v>
                </c:pt>
                <c:pt idx="445">
                  <c:v>307.72000000000003</c:v>
                </c:pt>
                <c:pt idx="446">
                  <c:v>276.83999999999997</c:v>
                </c:pt>
                <c:pt idx="447">
                  <c:v>323.16000000000003</c:v>
                </c:pt>
                <c:pt idx="448">
                  <c:v>261.39999999999998</c:v>
                </c:pt>
                <c:pt idx="449">
                  <c:v>338.6</c:v>
                </c:pt>
                <c:pt idx="450">
                  <c:v>245.96</c:v>
                </c:pt>
                <c:pt idx="451">
                  <c:v>354.04</c:v>
                </c:pt>
                <c:pt idx="452">
                  <c:v>230.51999999999998</c:v>
                </c:pt>
                <c:pt idx="453">
                  <c:v>369.48</c:v>
                </c:pt>
                <c:pt idx="454">
                  <c:v>215.07999999999998</c:v>
                </c:pt>
                <c:pt idx="455">
                  <c:v>384.92</c:v>
                </c:pt>
                <c:pt idx="456">
                  <c:v>292.27999999999997</c:v>
                </c:pt>
                <c:pt idx="457">
                  <c:v>307.72000000000003</c:v>
                </c:pt>
                <c:pt idx="458">
                  <c:v>276.83999999999997</c:v>
                </c:pt>
                <c:pt idx="459">
                  <c:v>323.16000000000003</c:v>
                </c:pt>
                <c:pt idx="460">
                  <c:v>261.39999999999998</c:v>
                </c:pt>
                <c:pt idx="461">
                  <c:v>338.6</c:v>
                </c:pt>
                <c:pt idx="462">
                  <c:v>245.96</c:v>
                </c:pt>
                <c:pt idx="463">
                  <c:v>354.04</c:v>
                </c:pt>
                <c:pt idx="464">
                  <c:v>230.51999999999998</c:v>
                </c:pt>
                <c:pt idx="465">
                  <c:v>369.48</c:v>
                </c:pt>
                <c:pt idx="466">
                  <c:v>215.07999999999998</c:v>
                </c:pt>
                <c:pt idx="467">
                  <c:v>384.92</c:v>
                </c:pt>
                <c:pt idx="468">
                  <c:v>292.27999999999997</c:v>
                </c:pt>
                <c:pt idx="469">
                  <c:v>307.72000000000003</c:v>
                </c:pt>
                <c:pt idx="470">
                  <c:v>276.83999999999997</c:v>
                </c:pt>
                <c:pt idx="471">
                  <c:v>323.16000000000003</c:v>
                </c:pt>
                <c:pt idx="472">
                  <c:v>261.39999999999998</c:v>
                </c:pt>
                <c:pt idx="473">
                  <c:v>338.6</c:v>
                </c:pt>
                <c:pt idx="474">
                  <c:v>245.96</c:v>
                </c:pt>
                <c:pt idx="475">
                  <c:v>354.04</c:v>
                </c:pt>
                <c:pt idx="476">
                  <c:v>230.51999999999998</c:v>
                </c:pt>
                <c:pt idx="477">
                  <c:v>369.48</c:v>
                </c:pt>
                <c:pt idx="478">
                  <c:v>215.07999999999998</c:v>
                </c:pt>
                <c:pt idx="479">
                  <c:v>384.92</c:v>
                </c:pt>
                <c:pt idx="480">
                  <c:v>292.27999999999997</c:v>
                </c:pt>
                <c:pt idx="481">
                  <c:v>307.72000000000003</c:v>
                </c:pt>
                <c:pt idx="482">
                  <c:v>276.83999999999997</c:v>
                </c:pt>
                <c:pt idx="483">
                  <c:v>323.16000000000003</c:v>
                </c:pt>
                <c:pt idx="484">
                  <c:v>261.39999999999998</c:v>
                </c:pt>
                <c:pt idx="485">
                  <c:v>338.6</c:v>
                </c:pt>
                <c:pt idx="486">
                  <c:v>245.96</c:v>
                </c:pt>
                <c:pt idx="487">
                  <c:v>354.04</c:v>
                </c:pt>
                <c:pt idx="488">
                  <c:v>230.51999999999998</c:v>
                </c:pt>
                <c:pt idx="489">
                  <c:v>369.48</c:v>
                </c:pt>
                <c:pt idx="490">
                  <c:v>215.07999999999998</c:v>
                </c:pt>
                <c:pt idx="491">
                  <c:v>384.92</c:v>
                </c:pt>
                <c:pt idx="492">
                  <c:v>292.27999999999997</c:v>
                </c:pt>
                <c:pt idx="493">
                  <c:v>307.72000000000003</c:v>
                </c:pt>
                <c:pt idx="494">
                  <c:v>276.83999999999997</c:v>
                </c:pt>
                <c:pt idx="495">
                  <c:v>323.16000000000003</c:v>
                </c:pt>
                <c:pt idx="496">
                  <c:v>261.39999999999998</c:v>
                </c:pt>
                <c:pt idx="497">
                  <c:v>338.6</c:v>
                </c:pt>
                <c:pt idx="498">
                  <c:v>245.96</c:v>
                </c:pt>
                <c:pt idx="499">
                  <c:v>354.04</c:v>
                </c:pt>
                <c:pt idx="500">
                  <c:v>230.51999999999998</c:v>
                </c:pt>
                <c:pt idx="501">
                  <c:v>369.48</c:v>
                </c:pt>
                <c:pt idx="502">
                  <c:v>215.07999999999998</c:v>
                </c:pt>
                <c:pt idx="503">
                  <c:v>384.92</c:v>
                </c:pt>
                <c:pt idx="504">
                  <c:v>292.27999999999997</c:v>
                </c:pt>
                <c:pt idx="505">
                  <c:v>307.72000000000003</c:v>
                </c:pt>
                <c:pt idx="506">
                  <c:v>276.83999999999997</c:v>
                </c:pt>
                <c:pt idx="507">
                  <c:v>323.16000000000003</c:v>
                </c:pt>
                <c:pt idx="508">
                  <c:v>261.39999999999998</c:v>
                </c:pt>
                <c:pt idx="509">
                  <c:v>338.6</c:v>
                </c:pt>
                <c:pt idx="510">
                  <c:v>245.96</c:v>
                </c:pt>
                <c:pt idx="511">
                  <c:v>354.04</c:v>
                </c:pt>
                <c:pt idx="512">
                  <c:v>230.51999999999998</c:v>
                </c:pt>
                <c:pt idx="513">
                  <c:v>369.48</c:v>
                </c:pt>
                <c:pt idx="514">
                  <c:v>215.07999999999998</c:v>
                </c:pt>
                <c:pt idx="515">
                  <c:v>384.92</c:v>
                </c:pt>
                <c:pt idx="516">
                  <c:v>292.27999999999997</c:v>
                </c:pt>
                <c:pt idx="517">
                  <c:v>307.72000000000003</c:v>
                </c:pt>
                <c:pt idx="518">
                  <c:v>276.83999999999997</c:v>
                </c:pt>
                <c:pt idx="519">
                  <c:v>323.16000000000003</c:v>
                </c:pt>
                <c:pt idx="520">
                  <c:v>261.39999999999998</c:v>
                </c:pt>
                <c:pt idx="521">
                  <c:v>338.6</c:v>
                </c:pt>
                <c:pt idx="522">
                  <c:v>245.96</c:v>
                </c:pt>
                <c:pt idx="523">
                  <c:v>354.04</c:v>
                </c:pt>
                <c:pt idx="524">
                  <c:v>230.51999999999998</c:v>
                </c:pt>
                <c:pt idx="525">
                  <c:v>369.48</c:v>
                </c:pt>
                <c:pt idx="526">
                  <c:v>215.07999999999998</c:v>
                </c:pt>
                <c:pt idx="527">
                  <c:v>384.92</c:v>
                </c:pt>
                <c:pt idx="528">
                  <c:v>292.27999999999997</c:v>
                </c:pt>
                <c:pt idx="529">
                  <c:v>307.72000000000003</c:v>
                </c:pt>
                <c:pt idx="530">
                  <c:v>276.83999999999997</c:v>
                </c:pt>
                <c:pt idx="531">
                  <c:v>323.16000000000003</c:v>
                </c:pt>
                <c:pt idx="532">
                  <c:v>261.39999999999998</c:v>
                </c:pt>
                <c:pt idx="533">
                  <c:v>338.6</c:v>
                </c:pt>
                <c:pt idx="534">
                  <c:v>245.96</c:v>
                </c:pt>
                <c:pt idx="535">
                  <c:v>354.04</c:v>
                </c:pt>
                <c:pt idx="536">
                  <c:v>230.51999999999998</c:v>
                </c:pt>
                <c:pt idx="537">
                  <c:v>369.48</c:v>
                </c:pt>
                <c:pt idx="538">
                  <c:v>215.07999999999998</c:v>
                </c:pt>
                <c:pt idx="539">
                  <c:v>384.92</c:v>
                </c:pt>
                <c:pt idx="540">
                  <c:v>292.27999999999997</c:v>
                </c:pt>
                <c:pt idx="541">
                  <c:v>307.72000000000003</c:v>
                </c:pt>
                <c:pt idx="542">
                  <c:v>276.83999999999997</c:v>
                </c:pt>
                <c:pt idx="543">
                  <c:v>323.16000000000003</c:v>
                </c:pt>
                <c:pt idx="544">
                  <c:v>261.39999999999998</c:v>
                </c:pt>
                <c:pt idx="545">
                  <c:v>338.6</c:v>
                </c:pt>
                <c:pt idx="546">
                  <c:v>245.96</c:v>
                </c:pt>
                <c:pt idx="547">
                  <c:v>354.04</c:v>
                </c:pt>
                <c:pt idx="548">
                  <c:v>230.51999999999998</c:v>
                </c:pt>
                <c:pt idx="549">
                  <c:v>369.48</c:v>
                </c:pt>
                <c:pt idx="550">
                  <c:v>215.07999999999998</c:v>
                </c:pt>
                <c:pt idx="551">
                  <c:v>384.92</c:v>
                </c:pt>
                <c:pt idx="552">
                  <c:v>292.27999999999997</c:v>
                </c:pt>
                <c:pt idx="553">
                  <c:v>307.72000000000003</c:v>
                </c:pt>
                <c:pt idx="554">
                  <c:v>276.83999999999997</c:v>
                </c:pt>
                <c:pt idx="555">
                  <c:v>323.16000000000003</c:v>
                </c:pt>
                <c:pt idx="556">
                  <c:v>261.39999999999998</c:v>
                </c:pt>
                <c:pt idx="557">
                  <c:v>338.6</c:v>
                </c:pt>
                <c:pt idx="558">
                  <c:v>245.96</c:v>
                </c:pt>
                <c:pt idx="559">
                  <c:v>354.04</c:v>
                </c:pt>
                <c:pt idx="560">
                  <c:v>230.51999999999998</c:v>
                </c:pt>
                <c:pt idx="561">
                  <c:v>369.48</c:v>
                </c:pt>
                <c:pt idx="562">
                  <c:v>215.07999999999998</c:v>
                </c:pt>
                <c:pt idx="563">
                  <c:v>384.92</c:v>
                </c:pt>
                <c:pt idx="564">
                  <c:v>292.27999999999997</c:v>
                </c:pt>
                <c:pt idx="565">
                  <c:v>307.72000000000003</c:v>
                </c:pt>
                <c:pt idx="566">
                  <c:v>276.83999999999997</c:v>
                </c:pt>
                <c:pt idx="567">
                  <c:v>323.16000000000003</c:v>
                </c:pt>
                <c:pt idx="568">
                  <c:v>261.39999999999998</c:v>
                </c:pt>
                <c:pt idx="569">
                  <c:v>338.6</c:v>
                </c:pt>
                <c:pt idx="570">
                  <c:v>245.96</c:v>
                </c:pt>
                <c:pt idx="571">
                  <c:v>354.04</c:v>
                </c:pt>
                <c:pt idx="572">
                  <c:v>230.51999999999998</c:v>
                </c:pt>
                <c:pt idx="573">
                  <c:v>369.48</c:v>
                </c:pt>
                <c:pt idx="574">
                  <c:v>215.07999999999998</c:v>
                </c:pt>
                <c:pt idx="575">
                  <c:v>384.92</c:v>
                </c:pt>
                <c:pt idx="576">
                  <c:v>292.27999999999997</c:v>
                </c:pt>
                <c:pt idx="577">
                  <c:v>307.72000000000003</c:v>
                </c:pt>
                <c:pt idx="578">
                  <c:v>276.83999999999997</c:v>
                </c:pt>
                <c:pt idx="579">
                  <c:v>323.16000000000003</c:v>
                </c:pt>
                <c:pt idx="580">
                  <c:v>261.39999999999998</c:v>
                </c:pt>
                <c:pt idx="581">
                  <c:v>338.6</c:v>
                </c:pt>
                <c:pt idx="582">
                  <c:v>245.96</c:v>
                </c:pt>
                <c:pt idx="583">
                  <c:v>354.04</c:v>
                </c:pt>
                <c:pt idx="584">
                  <c:v>230.51999999999998</c:v>
                </c:pt>
                <c:pt idx="585">
                  <c:v>369.48</c:v>
                </c:pt>
                <c:pt idx="586">
                  <c:v>215.07999999999998</c:v>
                </c:pt>
                <c:pt idx="587">
                  <c:v>384.92</c:v>
                </c:pt>
                <c:pt idx="588">
                  <c:v>292.27999999999997</c:v>
                </c:pt>
                <c:pt idx="589">
                  <c:v>307.72000000000003</c:v>
                </c:pt>
                <c:pt idx="590">
                  <c:v>276.83999999999997</c:v>
                </c:pt>
                <c:pt idx="591">
                  <c:v>323.16000000000003</c:v>
                </c:pt>
                <c:pt idx="592">
                  <c:v>261.39999999999998</c:v>
                </c:pt>
                <c:pt idx="593">
                  <c:v>338.6</c:v>
                </c:pt>
                <c:pt idx="594">
                  <c:v>245.96</c:v>
                </c:pt>
                <c:pt idx="595">
                  <c:v>354.04</c:v>
                </c:pt>
                <c:pt idx="596">
                  <c:v>230.51999999999998</c:v>
                </c:pt>
                <c:pt idx="597">
                  <c:v>369.48</c:v>
                </c:pt>
                <c:pt idx="598">
                  <c:v>215.07999999999998</c:v>
                </c:pt>
                <c:pt idx="599">
                  <c:v>384.92</c:v>
                </c:pt>
                <c:pt idx="600">
                  <c:v>292.27999999999997</c:v>
                </c:pt>
                <c:pt idx="601">
                  <c:v>307.72000000000003</c:v>
                </c:pt>
                <c:pt idx="602">
                  <c:v>276.83999999999997</c:v>
                </c:pt>
                <c:pt idx="603">
                  <c:v>323.16000000000003</c:v>
                </c:pt>
                <c:pt idx="604">
                  <c:v>261.39999999999998</c:v>
                </c:pt>
                <c:pt idx="605">
                  <c:v>338.6</c:v>
                </c:pt>
                <c:pt idx="606">
                  <c:v>245.96</c:v>
                </c:pt>
                <c:pt idx="607">
                  <c:v>354.04</c:v>
                </c:pt>
                <c:pt idx="608">
                  <c:v>230.51999999999998</c:v>
                </c:pt>
                <c:pt idx="609">
                  <c:v>369.48</c:v>
                </c:pt>
                <c:pt idx="610">
                  <c:v>215.07999999999998</c:v>
                </c:pt>
                <c:pt idx="611">
                  <c:v>384.92</c:v>
                </c:pt>
                <c:pt idx="612">
                  <c:v>292.27999999999997</c:v>
                </c:pt>
                <c:pt idx="613">
                  <c:v>307.72000000000003</c:v>
                </c:pt>
                <c:pt idx="614">
                  <c:v>276.83999999999997</c:v>
                </c:pt>
                <c:pt idx="615">
                  <c:v>323.16000000000003</c:v>
                </c:pt>
                <c:pt idx="616">
                  <c:v>261.39999999999998</c:v>
                </c:pt>
                <c:pt idx="617">
                  <c:v>338.6</c:v>
                </c:pt>
                <c:pt idx="618">
                  <c:v>245.96</c:v>
                </c:pt>
                <c:pt idx="619">
                  <c:v>354.04</c:v>
                </c:pt>
                <c:pt idx="620">
                  <c:v>230.51999999999998</c:v>
                </c:pt>
                <c:pt idx="621">
                  <c:v>369.48</c:v>
                </c:pt>
                <c:pt idx="622">
                  <c:v>215.07999999999998</c:v>
                </c:pt>
                <c:pt idx="623">
                  <c:v>384.92</c:v>
                </c:pt>
                <c:pt idx="624">
                  <c:v>292.27999999999997</c:v>
                </c:pt>
                <c:pt idx="625">
                  <c:v>307.72000000000003</c:v>
                </c:pt>
                <c:pt idx="626">
                  <c:v>276.83999999999997</c:v>
                </c:pt>
                <c:pt idx="627">
                  <c:v>323.16000000000003</c:v>
                </c:pt>
                <c:pt idx="628">
                  <c:v>261.39999999999998</c:v>
                </c:pt>
                <c:pt idx="629">
                  <c:v>338.6</c:v>
                </c:pt>
                <c:pt idx="630">
                  <c:v>245.96</c:v>
                </c:pt>
                <c:pt idx="631">
                  <c:v>354.04</c:v>
                </c:pt>
                <c:pt idx="632">
                  <c:v>230.51999999999998</c:v>
                </c:pt>
                <c:pt idx="633">
                  <c:v>369.48</c:v>
                </c:pt>
                <c:pt idx="634">
                  <c:v>215.07999999999998</c:v>
                </c:pt>
                <c:pt idx="635">
                  <c:v>384.92</c:v>
                </c:pt>
                <c:pt idx="636">
                  <c:v>292.27999999999997</c:v>
                </c:pt>
                <c:pt idx="637">
                  <c:v>307.72000000000003</c:v>
                </c:pt>
                <c:pt idx="638">
                  <c:v>276.83999999999997</c:v>
                </c:pt>
                <c:pt idx="639">
                  <c:v>323.16000000000003</c:v>
                </c:pt>
                <c:pt idx="640">
                  <c:v>261.39999999999998</c:v>
                </c:pt>
                <c:pt idx="641">
                  <c:v>338.6</c:v>
                </c:pt>
                <c:pt idx="642">
                  <c:v>245.96</c:v>
                </c:pt>
                <c:pt idx="643">
                  <c:v>354.04</c:v>
                </c:pt>
                <c:pt idx="644">
                  <c:v>230.51999999999998</c:v>
                </c:pt>
                <c:pt idx="645">
                  <c:v>369.48</c:v>
                </c:pt>
                <c:pt idx="646">
                  <c:v>215.07999999999998</c:v>
                </c:pt>
                <c:pt idx="647">
                  <c:v>384.92</c:v>
                </c:pt>
                <c:pt idx="648">
                  <c:v>292.27999999999997</c:v>
                </c:pt>
                <c:pt idx="649">
                  <c:v>307.72000000000003</c:v>
                </c:pt>
                <c:pt idx="650">
                  <c:v>276.83999999999997</c:v>
                </c:pt>
                <c:pt idx="651">
                  <c:v>323.16000000000003</c:v>
                </c:pt>
                <c:pt idx="652">
                  <c:v>261.39999999999998</c:v>
                </c:pt>
                <c:pt idx="653">
                  <c:v>338.6</c:v>
                </c:pt>
                <c:pt idx="654">
                  <c:v>245.96</c:v>
                </c:pt>
                <c:pt idx="655">
                  <c:v>354.04</c:v>
                </c:pt>
                <c:pt idx="656">
                  <c:v>230.51999999999998</c:v>
                </c:pt>
                <c:pt idx="657">
                  <c:v>369.48</c:v>
                </c:pt>
                <c:pt idx="658">
                  <c:v>215.07999999999998</c:v>
                </c:pt>
                <c:pt idx="659">
                  <c:v>384.92</c:v>
                </c:pt>
                <c:pt idx="660">
                  <c:v>292.27999999999997</c:v>
                </c:pt>
                <c:pt idx="661">
                  <c:v>307.72000000000003</c:v>
                </c:pt>
                <c:pt idx="662">
                  <c:v>276.83999999999997</c:v>
                </c:pt>
                <c:pt idx="663">
                  <c:v>323.16000000000003</c:v>
                </c:pt>
                <c:pt idx="664">
                  <c:v>261.39999999999998</c:v>
                </c:pt>
                <c:pt idx="665">
                  <c:v>338.6</c:v>
                </c:pt>
                <c:pt idx="666">
                  <c:v>245.96</c:v>
                </c:pt>
                <c:pt idx="667">
                  <c:v>354.04</c:v>
                </c:pt>
                <c:pt idx="668">
                  <c:v>230.51999999999998</c:v>
                </c:pt>
                <c:pt idx="669">
                  <c:v>369.48</c:v>
                </c:pt>
                <c:pt idx="670">
                  <c:v>215.07999999999998</c:v>
                </c:pt>
                <c:pt idx="671">
                  <c:v>384.92</c:v>
                </c:pt>
                <c:pt idx="672">
                  <c:v>292.27999999999997</c:v>
                </c:pt>
                <c:pt idx="673">
                  <c:v>307.72000000000003</c:v>
                </c:pt>
                <c:pt idx="674">
                  <c:v>276.83999999999997</c:v>
                </c:pt>
                <c:pt idx="675">
                  <c:v>323.16000000000003</c:v>
                </c:pt>
                <c:pt idx="676">
                  <c:v>261.39999999999998</c:v>
                </c:pt>
                <c:pt idx="677">
                  <c:v>338.6</c:v>
                </c:pt>
                <c:pt idx="678">
                  <c:v>245.96</c:v>
                </c:pt>
                <c:pt idx="679">
                  <c:v>354.04</c:v>
                </c:pt>
                <c:pt idx="680">
                  <c:v>230.51999999999998</c:v>
                </c:pt>
                <c:pt idx="681">
                  <c:v>369.48</c:v>
                </c:pt>
                <c:pt idx="682">
                  <c:v>215.07999999999998</c:v>
                </c:pt>
                <c:pt idx="683">
                  <c:v>384.92</c:v>
                </c:pt>
                <c:pt idx="684">
                  <c:v>292.27999999999997</c:v>
                </c:pt>
                <c:pt idx="685">
                  <c:v>307.72000000000003</c:v>
                </c:pt>
                <c:pt idx="686">
                  <c:v>276.83999999999997</c:v>
                </c:pt>
                <c:pt idx="687">
                  <c:v>323.16000000000003</c:v>
                </c:pt>
                <c:pt idx="688">
                  <c:v>261.39999999999998</c:v>
                </c:pt>
                <c:pt idx="689">
                  <c:v>338.6</c:v>
                </c:pt>
                <c:pt idx="690">
                  <c:v>245.96</c:v>
                </c:pt>
                <c:pt idx="691">
                  <c:v>354.04</c:v>
                </c:pt>
                <c:pt idx="692">
                  <c:v>230.51999999999998</c:v>
                </c:pt>
                <c:pt idx="693">
                  <c:v>369.48</c:v>
                </c:pt>
                <c:pt idx="694">
                  <c:v>215.07999999999998</c:v>
                </c:pt>
                <c:pt idx="695">
                  <c:v>384.92</c:v>
                </c:pt>
                <c:pt idx="696">
                  <c:v>292.27999999999997</c:v>
                </c:pt>
                <c:pt idx="697">
                  <c:v>307.72000000000003</c:v>
                </c:pt>
                <c:pt idx="698">
                  <c:v>276.83999999999997</c:v>
                </c:pt>
                <c:pt idx="699">
                  <c:v>323.16000000000003</c:v>
                </c:pt>
                <c:pt idx="700">
                  <c:v>261.39999999999998</c:v>
                </c:pt>
                <c:pt idx="701">
                  <c:v>338.6</c:v>
                </c:pt>
                <c:pt idx="702">
                  <c:v>245.96</c:v>
                </c:pt>
                <c:pt idx="703">
                  <c:v>354.04</c:v>
                </c:pt>
                <c:pt idx="704">
                  <c:v>230.51999999999998</c:v>
                </c:pt>
                <c:pt idx="705">
                  <c:v>369.48</c:v>
                </c:pt>
                <c:pt idx="706">
                  <c:v>215.07999999999998</c:v>
                </c:pt>
                <c:pt idx="707">
                  <c:v>384.92</c:v>
                </c:pt>
                <c:pt idx="708">
                  <c:v>292.27999999999997</c:v>
                </c:pt>
                <c:pt idx="709">
                  <c:v>307.72000000000003</c:v>
                </c:pt>
                <c:pt idx="710">
                  <c:v>276.83999999999997</c:v>
                </c:pt>
                <c:pt idx="711">
                  <c:v>323.16000000000003</c:v>
                </c:pt>
                <c:pt idx="712">
                  <c:v>261.39999999999998</c:v>
                </c:pt>
                <c:pt idx="713">
                  <c:v>338.6</c:v>
                </c:pt>
                <c:pt idx="714">
                  <c:v>245.96</c:v>
                </c:pt>
                <c:pt idx="715">
                  <c:v>354.04</c:v>
                </c:pt>
                <c:pt idx="716">
                  <c:v>230.51999999999998</c:v>
                </c:pt>
                <c:pt idx="717">
                  <c:v>369.48</c:v>
                </c:pt>
                <c:pt idx="718">
                  <c:v>215.07999999999998</c:v>
                </c:pt>
                <c:pt idx="719">
                  <c:v>384.92</c:v>
                </c:pt>
                <c:pt idx="720">
                  <c:v>292.27999999999997</c:v>
                </c:pt>
                <c:pt idx="721">
                  <c:v>307.72000000000003</c:v>
                </c:pt>
                <c:pt idx="722">
                  <c:v>276.83999999999997</c:v>
                </c:pt>
                <c:pt idx="723">
                  <c:v>323.16000000000003</c:v>
                </c:pt>
                <c:pt idx="724">
                  <c:v>261.39999999999998</c:v>
                </c:pt>
                <c:pt idx="725">
                  <c:v>338.6</c:v>
                </c:pt>
                <c:pt idx="726">
                  <c:v>245.96</c:v>
                </c:pt>
                <c:pt idx="727">
                  <c:v>354.04</c:v>
                </c:pt>
                <c:pt idx="728">
                  <c:v>230.51999999999998</c:v>
                </c:pt>
                <c:pt idx="729">
                  <c:v>369.48</c:v>
                </c:pt>
                <c:pt idx="730">
                  <c:v>215.07999999999998</c:v>
                </c:pt>
                <c:pt idx="731">
                  <c:v>384.92</c:v>
                </c:pt>
                <c:pt idx="732">
                  <c:v>292.27999999999997</c:v>
                </c:pt>
                <c:pt idx="733">
                  <c:v>307.72000000000003</c:v>
                </c:pt>
                <c:pt idx="734">
                  <c:v>276.83999999999997</c:v>
                </c:pt>
                <c:pt idx="735">
                  <c:v>323.16000000000003</c:v>
                </c:pt>
                <c:pt idx="736">
                  <c:v>261.39999999999998</c:v>
                </c:pt>
                <c:pt idx="737">
                  <c:v>338.6</c:v>
                </c:pt>
                <c:pt idx="738">
                  <c:v>245.96</c:v>
                </c:pt>
                <c:pt idx="739">
                  <c:v>354.04</c:v>
                </c:pt>
                <c:pt idx="740">
                  <c:v>230.51999999999998</c:v>
                </c:pt>
                <c:pt idx="741">
                  <c:v>369.48</c:v>
                </c:pt>
                <c:pt idx="742">
                  <c:v>215.07999999999998</c:v>
                </c:pt>
                <c:pt idx="743">
                  <c:v>384.92</c:v>
                </c:pt>
                <c:pt idx="744">
                  <c:v>292.27999999999997</c:v>
                </c:pt>
                <c:pt idx="745">
                  <c:v>307.72000000000003</c:v>
                </c:pt>
                <c:pt idx="746">
                  <c:v>276.83999999999997</c:v>
                </c:pt>
                <c:pt idx="747">
                  <c:v>323.16000000000003</c:v>
                </c:pt>
                <c:pt idx="748">
                  <c:v>261.39999999999998</c:v>
                </c:pt>
                <c:pt idx="749">
                  <c:v>338.6</c:v>
                </c:pt>
                <c:pt idx="750">
                  <c:v>245.96</c:v>
                </c:pt>
                <c:pt idx="751">
                  <c:v>354.04</c:v>
                </c:pt>
                <c:pt idx="752">
                  <c:v>230.51999999999998</c:v>
                </c:pt>
                <c:pt idx="753">
                  <c:v>369.48</c:v>
                </c:pt>
                <c:pt idx="754">
                  <c:v>215.07999999999998</c:v>
                </c:pt>
                <c:pt idx="755">
                  <c:v>384.92</c:v>
                </c:pt>
                <c:pt idx="756">
                  <c:v>292.27999999999997</c:v>
                </c:pt>
                <c:pt idx="757">
                  <c:v>307.72000000000003</c:v>
                </c:pt>
                <c:pt idx="758">
                  <c:v>276.83999999999997</c:v>
                </c:pt>
                <c:pt idx="759">
                  <c:v>323.16000000000003</c:v>
                </c:pt>
                <c:pt idx="760">
                  <c:v>261.39999999999998</c:v>
                </c:pt>
                <c:pt idx="761">
                  <c:v>338.6</c:v>
                </c:pt>
                <c:pt idx="762">
                  <c:v>245.96</c:v>
                </c:pt>
                <c:pt idx="763">
                  <c:v>354.04</c:v>
                </c:pt>
                <c:pt idx="764">
                  <c:v>230.51999999999998</c:v>
                </c:pt>
                <c:pt idx="765">
                  <c:v>369.48</c:v>
                </c:pt>
                <c:pt idx="766">
                  <c:v>215.07999999999998</c:v>
                </c:pt>
                <c:pt idx="767">
                  <c:v>384.92</c:v>
                </c:pt>
                <c:pt idx="768">
                  <c:v>292.27999999999997</c:v>
                </c:pt>
                <c:pt idx="769">
                  <c:v>307.72000000000003</c:v>
                </c:pt>
                <c:pt idx="770">
                  <c:v>276.83999999999997</c:v>
                </c:pt>
                <c:pt idx="771">
                  <c:v>323.16000000000003</c:v>
                </c:pt>
                <c:pt idx="772">
                  <c:v>261.39999999999998</c:v>
                </c:pt>
                <c:pt idx="773">
                  <c:v>338.6</c:v>
                </c:pt>
                <c:pt idx="774">
                  <c:v>245.96</c:v>
                </c:pt>
                <c:pt idx="775">
                  <c:v>354.04</c:v>
                </c:pt>
                <c:pt idx="776">
                  <c:v>230.51999999999998</c:v>
                </c:pt>
                <c:pt idx="777">
                  <c:v>369.48</c:v>
                </c:pt>
                <c:pt idx="778">
                  <c:v>215.07999999999998</c:v>
                </c:pt>
                <c:pt idx="779">
                  <c:v>384.92</c:v>
                </c:pt>
                <c:pt idx="780">
                  <c:v>292.27999999999997</c:v>
                </c:pt>
                <c:pt idx="781">
                  <c:v>307.72000000000003</c:v>
                </c:pt>
                <c:pt idx="782">
                  <c:v>276.83999999999997</c:v>
                </c:pt>
                <c:pt idx="783">
                  <c:v>323.16000000000003</c:v>
                </c:pt>
                <c:pt idx="784">
                  <c:v>261.39999999999998</c:v>
                </c:pt>
                <c:pt idx="785">
                  <c:v>338.6</c:v>
                </c:pt>
                <c:pt idx="786">
                  <c:v>245.96</c:v>
                </c:pt>
                <c:pt idx="787">
                  <c:v>354.04</c:v>
                </c:pt>
                <c:pt idx="788">
                  <c:v>230.51999999999998</c:v>
                </c:pt>
                <c:pt idx="789">
                  <c:v>369.48</c:v>
                </c:pt>
                <c:pt idx="790">
                  <c:v>215.07999999999998</c:v>
                </c:pt>
                <c:pt idx="791">
                  <c:v>384.92</c:v>
                </c:pt>
                <c:pt idx="792">
                  <c:v>292.27999999999997</c:v>
                </c:pt>
                <c:pt idx="793">
                  <c:v>307.72000000000003</c:v>
                </c:pt>
                <c:pt idx="794">
                  <c:v>276.83999999999997</c:v>
                </c:pt>
                <c:pt idx="795">
                  <c:v>323.16000000000003</c:v>
                </c:pt>
                <c:pt idx="796">
                  <c:v>261.39999999999998</c:v>
                </c:pt>
                <c:pt idx="797">
                  <c:v>338.6</c:v>
                </c:pt>
                <c:pt idx="798">
                  <c:v>245.96</c:v>
                </c:pt>
                <c:pt idx="799">
                  <c:v>354.04</c:v>
                </c:pt>
                <c:pt idx="800">
                  <c:v>230.51999999999998</c:v>
                </c:pt>
                <c:pt idx="801">
                  <c:v>369.48</c:v>
                </c:pt>
                <c:pt idx="802">
                  <c:v>215.07999999999998</c:v>
                </c:pt>
                <c:pt idx="803">
                  <c:v>384.92</c:v>
                </c:pt>
                <c:pt idx="804">
                  <c:v>292.27999999999997</c:v>
                </c:pt>
                <c:pt idx="805">
                  <c:v>307.72000000000003</c:v>
                </c:pt>
                <c:pt idx="806">
                  <c:v>276.83999999999997</c:v>
                </c:pt>
                <c:pt idx="807">
                  <c:v>323.16000000000003</c:v>
                </c:pt>
                <c:pt idx="808">
                  <c:v>261.39999999999998</c:v>
                </c:pt>
                <c:pt idx="809">
                  <c:v>338.6</c:v>
                </c:pt>
                <c:pt idx="810">
                  <c:v>245.96</c:v>
                </c:pt>
                <c:pt idx="811">
                  <c:v>354.04</c:v>
                </c:pt>
                <c:pt idx="812">
                  <c:v>230.51999999999998</c:v>
                </c:pt>
                <c:pt idx="813">
                  <c:v>369.48</c:v>
                </c:pt>
                <c:pt idx="814">
                  <c:v>215.07999999999998</c:v>
                </c:pt>
                <c:pt idx="815">
                  <c:v>384.92</c:v>
                </c:pt>
                <c:pt idx="816">
                  <c:v>292.27999999999997</c:v>
                </c:pt>
                <c:pt idx="817">
                  <c:v>307.72000000000003</c:v>
                </c:pt>
                <c:pt idx="818">
                  <c:v>276.83999999999997</c:v>
                </c:pt>
                <c:pt idx="819">
                  <c:v>323.16000000000003</c:v>
                </c:pt>
                <c:pt idx="820">
                  <c:v>261.39999999999998</c:v>
                </c:pt>
                <c:pt idx="821">
                  <c:v>338.6</c:v>
                </c:pt>
                <c:pt idx="822">
                  <c:v>245.96</c:v>
                </c:pt>
                <c:pt idx="823">
                  <c:v>354.04</c:v>
                </c:pt>
                <c:pt idx="824">
                  <c:v>230.51999999999998</c:v>
                </c:pt>
                <c:pt idx="825">
                  <c:v>369.48</c:v>
                </c:pt>
                <c:pt idx="826">
                  <c:v>215.07999999999998</c:v>
                </c:pt>
                <c:pt idx="827">
                  <c:v>384.92</c:v>
                </c:pt>
                <c:pt idx="828">
                  <c:v>292.27999999999997</c:v>
                </c:pt>
                <c:pt idx="829">
                  <c:v>307.72000000000003</c:v>
                </c:pt>
                <c:pt idx="830">
                  <c:v>276.83999999999997</c:v>
                </c:pt>
                <c:pt idx="831">
                  <c:v>323.16000000000003</c:v>
                </c:pt>
                <c:pt idx="832">
                  <c:v>261.39999999999998</c:v>
                </c:pt>
                <c:pt idx="833">
                  <c:v>338.6</c:v>
                </c:pt>
                <c:pt idx="834">
                  <c:v>245.96</c:v>
                </c:pt>
                <c:pt idx="835">
                  <c:v>354.04</c:v>
                </c:pt>
                <c:pt idx="836">
                  <c:v>230.51999999999998</c:v>
                </c:pt>
                <c:pt idx="837">
                  <c:v>369.48</c:v>
                </c:pt>
                <c:pt idx="838">
                  <c:v>215.07999999999998</c:v>
                </c:pt>
                <c:pt idx="839">
                  <c:v>384.92</c:v>
                </c:pt>
                <c:pt idx="840">
                  <c:v>292.27999999999997</c:v>
                </c:pt>
                <c:pt idx="841">
                  <c:v>307.72000000000003</c:v>
                </c:pt>
                <c:pt idx="842">
                  <c:v>276.83999999999997</c:v>
                </c:pt>
                <c:pt idx="843">
                  <c:v>323.16000000000003</c:v>
                </c:pt>
                <c:pt idx="844">
                  <c:v>261.39999999999998</c:v>
                </c:pt>
                <c:pt idx="845">
                  <c:v>338.6</c:v>
                </c:pt>
                <c:pt idx="846">
                  <c:v>245.96</c:v>
                </c:pt>
                <c:pt idx="847">
                  <c:v>354.04</c:v>
                </c:pt>
                <c:pt idx="848">
                  <c:v>230.51999999999998</c:v>
                </c:pt>
                <c:pt idx="849">
                  <c:v>369.48</c:v>
                </c:pt>
                <c:pt idx="850">
                  <c:v>215.07999999999998</c:v>
                </c:pt>
                <c:pt idx="851">
                  <c:v>384.92</c:v>
                </c:pt>
                <c:pt idx="852">
                  <c:v>292.27999999999997</c:v>
                </c:pt>
                <c:pt idx="853">
                  <c:v>307.72000000000003</c:v>
                </c:pt>
                <c:pt idx="854">
                  <c:v>276.83999999999997</c:v>
                </c:pt>
                <c:pt idx="855">
                  <c:v>323.16000000000003</c:v>
                </c:pt>
                <c:pt idx="856">
                  <c:v>261.39999999999998</c:v>
                </c:pt>
                <c:pt idx="857">
                  <c:v>338.6</c:v>
                </c:pt>
                <c:pt idx="858">
                  <c:v>245.96</c:v>
                </c:pt>
                <c:pt idx="859">
                  <c:v>354.04</c:v>
                </c:pt>
                <c:pt idx="860">
                  <c:v>230.51999999999998</c:v>
                </c:pt>
                <c:pt idx="861">
                  <c:v>369.48</c:v>
                </c:pt>
                <c:pt idx="862">
                  <c:v>215.07999999999998</c:v>
                </c:pt>
                <c:pt idx="863">
                  <c:v>384.92</c:v>
                </c:pt>
                <c:pt idx="864">
                  <c:v>292.27999999999997</c:v>
                </c:pt>
                <c:pt idx="865">
                  <c:v>307.72000000000003</c:v>
                </c:pt>
                <c:pt idx="866">
                  <c:v>276.83999999999997</c:v>
                </c:pt>
                <c:pt idx="867">
                  <c:v>323.16000000000003</c:v>
                </c:pt>
                <c:pt idx="868">
                  <c:v>261.39999999999998</c:v>
                </c:pt>
                <c:pt idx="869">
                  <c:v>338.6</c:v>
                </c:pt>
                <c:pt idx="870">
                  <c:v>245.96</c:v>
                </c:pt>
                <c:pt idx="871">
                  <c:v>354.04</c:v>
                </c:pt>
                <c:pt idx="872">
                  <c:v>230.51999999999998</c:v>
                </c:pt>
                <c:pt idx="873">
                  <c:v>369.48</c:v>
                </c:pt>
                <c:pt idx="874">
                  <c:v>215.07999999999998</c:v>
                </c:pt>
                <c:pt idx="875">
                  <c:v>384.92</c:v>
                </c:pt>
                <c:pt idx="876">
                  <c:v>292.27999999999997</c:v>
                </c:pt>
                <c:pt idx="877">
                  <c:v>307.72000000000003</c:v>
                </c:pt>
                <c:pt idx="878">
                  <c:v>276.83999999999997</c:v>
                </c:pt>
                <c:pt idx="879">
                  <c:v>323.16000000000003</c:v>
                </c:pt>
                <c:pt idx="880">
                  <c:v>261.39999999999998</c:v>
                </c:pt>
                <c:pt idx="881">
                  <c:v>338.6</c:v>
                </c:pt>
                <c:pt idx="882">
                  <c:v>245.96</c:v>
                </c:pt>
                <c:pt idx="883">
                  <c:v>354.04</c:v>
                </c:pt>
                <c:pt idx="884">
                  <c:v>230.51999999999998</c:v>
                </c:pt>
                <c:pt idx="885">
                  <c:v>369.48</c:v>
                </c:pt>
                <c:pt idx="886">
                  <c:v>215.07999999999998</c:v>
                </c:pt>
                <c:pt idx="887">
                  <c:v>384.92</c:v>
                </c:pt>
                <c:pt idx="888">
                  <c:v>292.27999999999997</c:v>
                </c:pt>
                <c:pt idx="889">
                  <c:v>307.72000000000003</c:v>
                </c:pt>
                <c:pt idx="890">
                  <c:v>276.83999999999997</c:v>
                </c:pt>
                <c:pt idx="891">
                  <c:v>323.16000000000003</c:v>
                </c:pt>
                <c:pt idx="892">
                  <c:v>261.39999999999998</c:v>
                </c:pt>
                <c:pt idx="893">
                  <c:v>338.6</c:v>
                </c:pt>
                <c:pt idx="894">
                  <c:v>245.96</c:v>
                </c:pt>
                <c:pt idx="895">
                  <c:v>354.04</c:v>
                </c:pt>
                <c:pt idx="896">
                  <c:v>230.51999999999998</c:v>
                </c:pt>
                <c:pt idx="897">
                  <c:v>369.48</c:v>
                </c:pt>
                <c:pt idx="898">
                  <c:v>215.07999999999998</c:v>
                </c:pt>
                <c:pt idx="899">
                  <c:v>384.92</c:v>
                </c:pt>
                <c:pt idx="900">
                  <c:v>292.27999999999997</c:v>
                </c:pt>
                <c:pt idx="901">
                  <c:v>307.72000000000003</c:v>
                </c:pt>
                <c:pt idx="902">
                  <c:v>276.83999999999997</c:v>
                </c:pt>
                <c:pt idx="903">
                  <c:v>323.16000000000003</c:v>
                </c:pt>
                <c:pt idx="904">
                  <c:v>261.39999999999998</c:v>
                </c:pt>
                <c:pt idx="905">
                  <c:v>338.6</c:v>
                </c:pt>
                <c:pt idx="906">
                  <c:v>245.96</c:v>
                </c:pt>
                <c:pt idx="907">
                  <c:v>354.04</c:v>
                </c:pt>
                <c:pt idx="908">
                  <c:v>230.51999999999998</c:v>
                </c:pt>
                <c:pt idx="909">
                  <c:v>369.48</c:v>
                </c:pt>
                <c:pt idx="910">
                  <c:v>215.07999999999998</c:v>
                </c:pt>
                <c:pt idx="911">
                  <c:v>384.92</c:v>
                </c:pt>
                <c:pt idx="912">
                  <c:v>292.27999999999997</c:v>
                </c:pt>
                <c:pt idx="913">
                  <c:v>307.72000000000003</c:v>
                </c:pt>
                <c:pt idx="914">
                  <c:v>276.83999999999997</c:v>
                </c:pt>
                <c:pt idx="915">
                  <c:v>323.16000000000003</c:v>
                </c:pt>
                <c:pt idx="916">
                  <c:v>261.39999999999998</c:v>
                </c:pt>
                <c:pt idx="917">
                  <c:v>338.6</c:v>
                </c:pt>
                <c:pt idx="918">
                  <c:v>245.96</c:v>
                </c:pt>
                <c:pt idx="919">
                  <c:v>354.04</c:v>
                </c:pt>
                <c:pt idx="920">
                  <c:v>230.51999999999998</c:v>
                </c:pt>
                <c:pt idx="921">
                  <c:v>369.48</c:v>
                </c:pt>
                <c:pt idx="922">
                  <c:v>215.07999999999998</c:v>
                </c:pt>
                <c:pt idx="923">
                  <c:v>384.92</c:v>
                </c:pt>
                <c:pt idx="924">
                  <c:v>292.27999999999997</c:v>
                </c:pt>
                <c:pt idx="925">
                  <c:v>307.72000000000003</c:v>
                </c:pt>
                <c:pt idx="926">
                  <c:v>276.83999999999997</c:v>
                </c:pt>
                <c:pt idx="927">
                  <c:v>323.16000000000003</c:v>
                </c:pt>
                <c:pt idx="928">
                  <c:v>261.39999999999998</c:v>
                </c:pt>
                <c:pt idx="929">
                  <c:v>338.6</c:v>
                </c:pt>
                <c:pt idx="930">
                  <c:v>245.96</c:v>
                </c:pt>
                <c:pt idx="931">
                  <c:v>354.04</c:v>
                </c:pt>
                <c:pt idx="932">
                  <c:v>230.51999999999998</c:v>
                </c:pt>
                <c:pt idx="933">
                  <c:v>369.48</c:v>
                </c:pt>
                <c:pt idx="934">
                  <c:v>215.07999999999998</c:v>
                </c:pt>
                <c:pt idx="935">
                  <c:v>384.92</c:v>
                </c:pt>
                <c:pt idx="936">
                  <c:v>292.27999999999997</c:v>
                </c:pt>
                <c:pt idx="937">
                  <c:v>307.72000000000003</c:v>
                </c:pt>
                <c:pt idx="938">
                  <c:v>276.83999999999997</c:v>
                </c:pt>
                <c:pt idx="939">
                  <c:v>323.16000000000003</c:v>
                </c:pt>
                <c:pt idx="940">
                  <c:v>261.39999999999998</c:v>
                </c:pt>
                <c:pt idx="941">
                  <c:v>338.6</c:v>
                </c:pt>
                <c:pt idx="942">
                  <c:v>245.96</c:v>
                </c:pt>
                <c:pt idx="943">
                  <c:v>354.04</c:v>
                </c:pt>
                <c:pt idx="944">
                  <c:v>230.51999999999998</c:v>
                </c:pt>
                <c:pt idx="945">
                  <c:v>369.48</c:v>
                </c:pt>
                <c:pt idx="946">
                  <c:v>215.07999999999998</c:v>
                </c:pt>
                <c:pt idx="947">
                  <c:v>384.92</c:v>
                </c:pt>
                <c:pt idx="948">
                  <c:v>292.27999999999997</c:v>
                </c:pt>
                <c:pt idx="949">
                  <c:v>307.72000000000003</c:v>
                </c:pt>
                <c:pt idx="950">
                  <c:v>276.83999999999997</c:v>
                </c:pt>
                <c:pt idx="951">
                  <c:v>323.16000000000003</c:v>
                </c:pt>
                <c:pt idx="952">
                  <c:v>261.39999999999998</c:v>
                </c:pt>
                <c:pt idx="953">
                  <c:v>338.6</c:v>
                </c:pt>
                <c:pt idx="954">
                  <c:v>245.96</c:v>
                </c:pt>
                <c:pt idx="955">
                  <c:v>354.04</c:v>
                </c:pt>
                <c:pt idx="956">
                  <c:v>230.51999999999998</c:v>
                </c:pt>
                <c:pt idx="957">
                  <c:v>369.48</c:v>
                </c:pt>
                <c:pt idx="958">
                  <c:v>215.07999999999998</c:v>
                </c:pt>
                <c:pt idx="959">
                  <c:v>384.92</c:v>
                </c:pt>
                <c:pt idx="960">
                  <c:v>292.27999999999997</c:v>
                </c:pt>
                <c:pt idx="961">
                  <c:v>307.72000000000003</c:v>
                </c:pt>
                <c:pt idx="962">
                  <c:v>276.83999999999997</c:v>
                </c:pt>
                <c:pt idx="963">
                  <c:v>323.16000000000003</c:v>
                </c:pt>
                <c:pt idx="964">
                  <c:v>261.39999999999998</c:v>
                </c:pt>
                <c:pt idx="965">
                  <c:v>338.6</c:v>
                </c:pt>
                <c:pt idx="966">
                  <c:v>245.96</c:v>
                </c:pt>
                <c:pt idx="967">
                  <c:v>354.04</c:v>
                </c:pt>
                <c:pt idx="968">
                  <c:v>230.51999999999998</c:v>
                </c:pt>
                <c:pt idx="969">
                  <c:v>369.48</c:v>
                </c:pt>
                <c:pt idx="970">
                  <c:v>215.07999999999998</c:v>
                </c:pt>
                <c:pt idx="971">
                  <c:v>384.92</c:v>
                </c:pt>
                <c:pt idx="972">
                  <c:v>292.27999999999997</c:v>
                </c:pt>
                <c:pt idx="973">
                  <c:v>307.72000000000003</c:v>
                </c:pt>
                <c:pt idx="974">
                  <c:v>276.83999999999997</c:v>
                </c:pt>
                <c:pt idx="975">
                  <c:v>323.16000000000003</c:v>
                </c:pt>
                <c:pt idx="976">
                  <c:v>261.39999999999998</c:v>
                </c:pt>
                <c:pt idx="977">
                  <c:v>338.6</c:v>
                </c:pt>
                <c:pt idx="978">
                  <c:v>245.96</c:v>
                </c:pt>
                <c:pt idx="979">
                  <c:v>354.04</c:v>
                </c:pt>
                <c:pt idx="980">
                  <c:v>230.51999999999998</c:v>
                </c:pt>
                <c:pt idx="981">
                  <c:v>369.48</c:v>
                </c:pt>
                <c:pt idx="982">
                  <c:v>215.07999999999998</c:v>
                </c:pt>
                <c:pt idx="983">
                  <c:v>384.92</c:v>
                </c:pt>
                <c:pt idx="984">
                  <c:v>292.27999999999997</c:v>
                </c:pt>
                <c:pt idx="985">
                  <c:v>307.72000000000003</c:v>
                </c:pt>
                <c:pt idx="986">
                  <c:v>276.83999999999997</c:v>
                </c:pt>
                <c:pt idx="987">
                  <c:v>323.16000000000003</c:v>
                </c:pt>
                <c:pt idx="988">
                  <c:v>261.39999999999998</c:v>
                </c:pt>
                <c:pt idx="989">
                  <c:v>338.6</c:v>
                </c:pt>
                <c:pt idx="990">
                  <c:v>245.96</c:v>
                </c:pt>
                <c:pt idx="991">
                  <c:v>354.04</c:v>
                </c:pt>
                <c:pt idx="992">
                  <c:v>230.51999999999998</c:v>
                </c:pt>
                <c:pt idx="993">
                  <c:v>369.48</c:v>
                </c:pt>
                <c:pt idx="994">
                  <c:v>215.07999999999998</c:v>
                </c:pt>
                <c:pt idx="995">
                  <c:v>384.92</c:v>
                </c:pt>
                <c:pt idx="996">
                  <c:v>292.27999999999997</c:v>
                </c:pt>
                <c:pt idx="997">
                  <c:v>307.72000000000003</c:v>
                </c:pt>
                <c:pt idx="998">
                  <c:v>276.83999999999997</c:v>
                </c:pt>
                <c:pt idx="999">
                  <c:v>323.16000000000003</c:v>
                </c:pt>
              </c:numCache>
            </c:numRef>
          </c:xVal>
          <c:yVal>
            <c:numRef>
              <c:f>'Dance p'!$AQ$92:$AQ$1091</c:f>
              <c:numCache>
                <c:formatCode>General</c:formatCode>
                <c:ptCount val="1000"/>
                <c:pt idx="0">
                  <c:v>0.80500000000000005</c:v>
                </c:pt>
                <c:pt idx="1">
                  <c:v>0.80500000000000005</c:v>
                </c:pt>
                <c:pt idx="2">
                  <c:v>0.80500000000000005</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24-E39F-470B-B5CD-D5A3D761E019}"/>
            </c:ext>
          </c:extLst>
        </c:ser>
        <c:ser>
          <c:idx val="4"/>
          <c:order val="22"/>
          <c:spPr>
            <a:ln w="28575">
              <a:noFill/>
            </a:ln>
          </c:spPr>
          <c:marker>
            <c:symbol val="square"/>
            <c:size val="5"/>
            <c:spPr>
              <a:solidFill>
                <a:srgbClr val="0000FF"/>
              </a:solidFill>
              <a:ln>
                <a:solidFill>
                  <a:srgbClr val="969696"/>
                </a:solidFill>
                <a:prstDash val="solid"/>
              </a:ln>
            </c:spPr>
          </c:marker>
          <c:xVal>
            <c:numRef>
              <c:f>'Dance p'!$AR$92:$AR$1091</c:f>
              <c:numCache>
                <c:formatCode>General</c:formatCode>
                <c:ptCount val="1000"/>
                <c:pt idx="0">
                  <c:v>92.28</c:v>
                </c:pt>
                <c:pt idx="1">
                  <c:v>107.72</c:v>
                </c:pt>
                <c:pt idx="2">
                  <c:v>76.84</c:v>
                </c:pt>
                <c:pt idx="3">
                  <c:v>123.16</c:v>
                </c:pt>
                <c:pt idx="4">
                  <c:v>61.4</c:v>
                </c:pt>
                <c:pt idx="5">
                  <c:v>138.6</c:v>
                </c:pt>
                <c:pt idx="6">
                  <c:v>45.96</c:v>
                </c:pt>
                <c:pt idx="7">
                  <c:v>154.04</c:v>
                </c:pt>
                <c:pt idx="8">
                  <c:v>30.519999999999996</c:v>
                </c:pt>
                <c:pt idx="9">
                  <c:v>169.48000000000002</c:v>
                </c:pt>
                <c:pt idx="10">
                  <c:v>15.079999999999998</c:v>
                </c:pt>
                <c:pt idx="11">
                  <c:v>184.92000000000002</c:v>
                </c:pt>
                <c:pt idx="12">
                  <c:v>92.28</c:v>
                </c:pt>
                <c:pt idx="13">
                  <c:v>107.72</c:v>
                </c:pt>
                <c:pt idx="14">
                  <c:v>76.84</c:v>
                </c:pt>
                <c:pt idx="15">
                  <c:v>123.16</c:v>
                </c:pt>
                <c:pt idx="16">
                  <c:v>61.4</c:v>
                </c:pt>
                <c:pt idx="17">
                  <c:v>138.6</c:v>
                </c:pt>
                <c:pt idx="18">
                  <c:v>45.96</c:v>
                </c:pt>
                <c:pt idx="19">
                  <c:v>154.04</c:v>
                </c:pt>
                <c:pt idx="20">
                  <c:v>30.519999999999996</c:v>
                </c:pt>
                <c:pt idx="21">
                  <c:v>169.48000000000002</c:v>
                </c:pt>
                <c:pt idx="22">
                  <c:v>15.079999999999998</c:v>
                </c:pt>
                <c:pt idx="23">
                  <c:v>184.92000000000002</c:v>
                </c:pt>
                <c:pt idx="24">
                  <c:v>92.28</c:v>
                </c:pt>
                <c:pt idx="25">
                  <c:v>107.72</c:v>
                </c:pt>
                <c:pt idx="26">
                  <c:v>76.84</c:v>
                </c:pt>
                <c:pt idx="27">
                  <c:v>123.16</c:v>
                </c:pt>
                <c:pt idx="28">
                  <c:v>61.4</c:v>
                </c:pt>
                <c:pt idx="29">
                  <c:v>138.6</c:v>
                </c:pt>
                <c:pt idx="30">
                  <c:v>45.96</c:v>
                </c:pt>
                <c:pt idx="31">
                  <c:v>154.04</c:v>
                </c:pt>
                <c:pt idx="32">
                  <c:v>30.519999999999996</c:v>
                </c:pt>
                <c:pt idx="33">
                  <c:v>169.48000000000002</c:v>
                </c:pt>
                <c:pt idx="34">
                  <c:v>15.079999999999998</c:v>
                </c:pt>
                <c:pt idx="35">
                  <c:v>184.92000000000002</c:v>
                </c:pt>
                <c:pt idx="36">
                  <c:v>92.28</c:v>
                </c:pt>
                <c:pt idx="37">
                  <c:v>107.72</c:v>
                </c:pt>
                <c:pt idx="38">
                  <c:v>76.84</c:v>
                </c:pt>
                <c:pt idx="39">
                  <c:v>123.16</c:v>
                </c:pt>
                <c:pt idx="40">
                  <c:v>61.4</c:v>
                </c:pt>
                <c:pt idx="41">
                  <c:v>138.6</c:v>
                </c:pt>
                <c:pt idx="42">
                  <c:v>45.96</c:v>
                </c:pt>
                <c:pt idx="43">
                  <c:v>154.04</c:v>
                </c:pt>
                <c:pt idx="44">
                  <c:v>30.519999999999996</c:v>
                </c:pt>
                <c:pt idx="45">
                  <c:v>169.48000000000002</c:v>
                </c:pt>
                <c:pt idx="46">
                  <c:v>15.079999999999998</c:v>
                </c:pt>
                <c:pt idx="47">
                  <c:v>184.92000000000002</c:v>
                </c:pt>
                <c:pt idx="48">
                  <c:v>92.28</c:v>
                </c:pt>
                <c:pt idx="49">
                  <c:v>107.72</c:v>
                </c:pt>
                <c:pt idx="50">
                  <c:v>76.84</c:v>
                </c:pt>
                <c:pt idx="51">
                  <c:v>123.16</c:v>
                </c:pt>
                <c:pt idx="52">
                  <c:v>61.4</c:v>
                </c:pt>
                <c:pt idx="53">
                  <c:v>138.6</c:v>
                </c:pt>
                <c:pt idx="54">
                  <c:v>45.96</c:v>
                </c:pt>
                <c:pt idx="55">
                  <c:v>154.04</c:v>
                </c:pt>
                <c:pt idx="56">
                  <c:v>30.519999999999996</c:v>
                </c:pt>
                <c:pt idx="57">
                  <c:v>169.48000000000002</c:v>
                </c:pt>
                <c:pt idx="58">
                  <c:v>15.079999999999998</c:v>
                </c:pt>
                <c:pt idx="59">
                  <c:v>184.92000000000002</c:v>
                </c:pt>
                <c:pt idx="60">
                  <c:v>92.28</c:v>
                </c:pt>
                <c:pt idx="61">
                  <c:v>107.72</c:v>
                </c:pt>
                <c:pt idx="62">
                  <c:v>76.84</c:v>
                </c:pt>
                <c:pt idx="63">
                  <c:v>123.16</c:v>
                </c:pt>
                <c:pt idx="64">
                  <c:v>61.4</c:v>
                </c:pt>
                <c:pt idx="65">
                  <c:v>138.6</c:v>
                </c:pt>
                <c:pt idx="66">
                  <c:v>45.96</c:v>
                </c:pt>
                <c:pt idx="67">
                  <c:v>154.04</c:v>
                </c:pt>
                <c:pt idx="68">
                  <c:v>30.519999999999996</c:v>
                </c:pt>
                <c:pt idx="69">
                  <c:v>169.48000000000002</c:v>
                </c:pt>
                <c:pt idx="70">
                  <c:v>15.079999999999998</c:v>
                </c:pt>
                <c:pt idx="71">
                  <c:v>184.92000000000002</c:v>
                </c:pt>
                <c:pt idx="72">
                  <c:v>92.28</c:v>
                </c:pt>
                <c:pt idx="73">
                  <c:v>107.72</c:v>
                </c:pt>
                <c:pt idx="74">
                  <c:v>76.84</c:v>
                </c:pt>
                <c:pt idx="75">
                  <c:v>123.16</c:v>
                </c:pt>
                <c:pt idx="76">
                  <c:v>61.4</c:v>
                </c:pt>
                <c:pt idx="77">
                  <c:v>138.6</c:v>
                </c:pt>
                <c:pt idx="78">
                  <c:v>45.96</c:v>
                </c:pt>
                <c:pt idx="79">
                  <c:v>154.04</c:v>
                </c:pt>
                <c:pt idx="80">
                  <c:v>30.519999999999996</c:v>
                </c:pt>
                <c:pt idx="81">
                  <c:v>169.48000000000002</c:v>
                </c:pt>
                <c:pt idx="82">
                  <c:v>15.079999999999998</c:v>
                </c:pt>
                <c:pt idx="83">
                  <c:v>184.92000000000002</c:v>
                </c:pt>
                <c:pt idx="84">
                  <c:v>92.28</c:v>
                </c:pt>
                <c:pt idx="85">
                  <c:v>107.72</c:v>
                </c:pt>
                <c:pt idx="86">
                  <c:v>76.84</c:v>
                </c:pt>
                <c:pt idx="87">
                  <c:v>123.16</c:v>
                </c:pt>
                <c:pt idx="88">
                  <c:v>61.4</c:v>
                </c:pt>
                <c:pt idx="89">
                  <c:v>138.6</c:v>
                </c:pt>
                <c:pt idx="90">
                  <c:v>45.96</c:v>
                </c:pt>
                <c:pt idx="91">
                  <c:v>154.04</c:v>
                </c:pt>
                <c:pt idx="92">
                  <c:v>30.519999999999996</c:v>
                </c:pt>
                <c:pt idx="93">
                  <c:v>169.48000000000002</c:v>
                </c:pt>
                <c:pt idx="94">
                  <c:v>15.079999999999998</c:v>
                </c:pt>
                <c:pt idx="95">
                  <c:v>184.92000000000002</c:v>
                </c:pt>
                <c:pt idx="96">
                  <c:v>92.28</c:v>
                </c:pt>
                <c:pt idx="97">
                  <c:v>107.72</c:v>
                </c:pt>
                <c:pt idx="98">
                  <c:v>76.84</c:v>
                </c:pt>
                <c:pt idx="99">
                  <c:v>123.16</c:v>
                </c:pt>
                <c:pt idx="100">
                  <c:v>61.4</c:v>
                </c:pt>
                <c:pt idx="101">
                  <c:v>138.6</c:v>
                </c:pt>
                <c:pt idx="102">
                  <c:v>45.96</c:v>
                </c:pt>
                <c:pt idx="103">
                  <c:v>154.04</c:v>
                </c:pt>
                <c:pt idx="104">
                  <c:v>30.519999999999996</c:v>
                </c:pt>
                <c:pt idx="105">
                  <c:v>169.48000000000002</c:v>
                </c:pt>
                <c:pt idx="106">
                  <c:v>15.079999999999998</c:v>
                </c:pt>
                <c:pt idx="107">
                  <c:v>184.92000000000002</c:v>
                </c:pt>
                <c:pt idx="108">
                  <c:v>92.28</c:v>
                </c:pt>
                <c:pt idx="109">
                  <c:v>107.72</c:v>
                </c:pt>
                <c:pt idx="110">
                  <c:v>76.84</c:v>
                </c:pt>
                <c:pt idx="111">
                  <c:v>123.16</c:v>
                </c:pt>
                <c:pt idx="112">
                  <c:v>61.4</c:v>
                </c:pt>
                <c:pt idx="113">
                  <c:v>138.6</c:v>
                </c:pt>
                <c:pt idx="114">
                  <c:v>45.96</c:v>
                </c:pt>
                <c:pt idx="115">
                  <c:v>154.04</c:v>
                </c:pt>
                <c:pt idx="116">
                  <c:v>30.519999999999996</c:v>
                </c:pt>
                <c:pt idx="117">
                  <c:v>169.48000000000002</c:v>
                </c:pt>
                <c:pt idx="118">
                  <c:v>15.079999999999998</c:v>
                </c:pt>
                <c:pt idx="119">
                  <c:v>184.92000000000002</c:v>
                </c:pt>
                <c:pt idx="120">
                  <c:v>92.28</c:v>
                </c:pt>
                <c:pt idx="121">
                  <c:v>107.72</c:v>
                </c:pt>
                <c:pt idx="122">
                  <c:v>76.84</c:v>
                </c:pt>
                <c:pt idx="123">
                  <c:v>123.16</c:v>
                </c:pt>
                <c:pt idx="124">
                  <c:v>61.4</c:v>
                </c:pt>
                <c:pt idx="125">
                  <c:v>138.6</c:v>
                </c:pt>
                <c:pt idx="126">
                  <c:v>45.96</c:v>
                </c:pt>
                <c:pt idx="127">
                  <c:v>154.04</c:v>
                </c:pt>
                <c:pt idx="128">
                  <c:v>30.519999999999996</c:v>
                </c:pt>
                <c:pt idx="129">
                  <c:v>169.48000000000002</c:v>
                </c:pt>
                <c:pt idx="130">
                  <c:v>15.079999999999998</c:v>
                </c:pt>
                <c:pt idx="131">
                  <c:v>184.92000000000002</c:v>
                </c:pt>
                <c:pt idx="132">
                  <c:v>92.28</c:v>
                </c:pt>
                <c:pt idx="133">
                  <c:v>107.72</c:v>
                </c:pt>
                <c:pt idx="134">
                  <c:v>76.84</c:v>
                </c:pt>
                <c:pt idx="135">
                  <c:v>123.16</c:v>
                </c:pt>
                <c:pt idx="136">
                  <c:v>61.4</c:v>
                </c:pt>
                <c:pt idx="137">
                  <c:v>138.6</c:v>
                </c:pt>
                <c:pt idx="138">
                  <c:v>45.96</c:v>
                </c:pt>
                <c:pt idx="139">
                  <c:v>154.04</c:v>
                </c:pt>
                <c:pt idx="140">
                  <c:v>30.519999999999996</c:v>
                </c:pt>
                <c:pt idx="141">
                  <c:v>169.48000000000002</c:v>
                </c:pt>
                <c:pt idx="142">
                  <c:v>15.079999999999998</c:v>
                </c:pt>
                <c:pt idx="143">
                  <c:v>184.92000000000002</c:v>
                </c:pt>
                <c:pt idx="144">
                  <c:v>92.28</c:v>
                </c:pt>
                <c:pt idx="145">
                  <c:v>107.72</c:v>
                </c:pt>
                <c:pt idx="146">
                  <c:v>76.84</c:v>
                </c:pt>
                <c:pt idx="147">
                  <c:v>123.16</c:v>
                </c:pt>
                <c:pt idx="148">
                  <c:v>61.4</c:v>
                </c:pt>
                <c:pt idx="149">
                  <c:v>138.6</c:v>
                </c:pt>
                <c:pt idx="150">
                  <c:v>45.96</c:v>
                </c:pt>
                <c:pt idx="151">
                  <c:v>154.04</c:v>
                </c:pt>
                <c:pt idx="152">
                  <c:v>30.519999999999996</c:v>
                </c:pt>
                <c:pt idx="153">
                  <c:v>169.48000000000002</c:v>
                </c:pt>
                <c:pt idx="154">
                  <c:v>15.079999999999998</c:v>
                </c:pt>
                <c:pt idx="155">
                  <c:v>184.92000000000002</c:v>
                </c:pt>
                <c:pt idx="156">
                  <c:v>92.28</c:v>
                </c:pt>
                <c:pt idx="157">
                  <c:v>107.72</c:v>
                </c:pt>
                <c:pt idx="158">
                  <c:v>76.84</c:v>
                </c:pt>
                <c:pt idx="159">
                  <c:v>123.16</c:v>
                </c:pt>
                <c:pt idx="160">
                  <c:v>61.4</c:v>
                </c:pt>
                <c:pt idx="161">
                  <c:v>138.6</c:v>
                </c:pt>
                <c:pt idx="162">
                  <c:v>45.96</c:v>
                </c:pt>
                <c:pt idx="163">
                  <c:v>154.04</c:v>
                </c:pt>
                <c:pt idx="164">
                  <c:v>30.519999999999996</c:v>
                </c:pt>
                <c:pt idx="165">
                  <c:v>169.48000000000002</c:v>
                </c:pt>
                <c:pt idx="166">
                  <c:v>15.079999999999998</c:v>
                </c:pt>
                <c:pt idx="167">
                  <c:v>184.92000000000002</c:v>
                </c:pt>
                <c:pt idx="168">
                  <c:v>92.28</c:v>
                </c:pt>
                <c:pt idx="169">
                  <c:v>107.72</c:v>
                </c:pt>
                <c:pt idx="170">
                  <c:v>76.84</c:v>
                </c:pt>
                <c:pt idx="171">
                  <c:v>123.16</c:v>
                </c:pt>
                <c:pt idx="172">
                  <c:v>61.4</c:v>
                </c:pt>
                <c:pt idx="173">
                  <c:v>138.6</c:v>
                </c:pt>
                <c:pt idx="174">
                  <c:v>45.96</c:v>
                </c:pt>
                <c:pt idx="175">
                  <c:v>154.04</c:v>
                </c:pt>
                <c:pt idx="176">
                  <c:v>30.519999999999996</c:v>
                </c:pt>
                <c:pt idx="177">
                  <c:v>169.48000000000002</c:v>
                </c:pt>
                <c:pt idx="178">
                  <c:v>15.079999999999998</c:v>
                </c:pt>
                <c:pt idx="179">
                  <c:v>184.92000000000002</c:v>
                </c:pt>
                <c:pt idx="180">
                  <c:v>92.28</c:v>
                </c:pt>
                <c:pt idx="181">
                  <c:v>107.72</c:v>
                </c:pt>
                <c:pt idx="182">
                  <c:v>76.84</c:v>
                </c:pt>
                <c:pt idx="183">
                  <c:v>123.16</c:v>
                </c:pt>
                <c:pt idx="184">
                  <c:v>61.4</c:v>
                </c:pt>
                <c:pt idx="185">
                  <c:v>138.6</c:v>
                </c:pt>
                <c:pt idx="186">
                  <c:v>45.96</c:v>
                </c:pt>
                <c:pt idx="187">
                  <c:v>154.04</c:v>
                </c:pt>
                <c:pt idx="188">
                  <c:v>30.519999999999996</c:v>
                </c:pt>
                <c:pt idx="189">
                  <c:v>169.48000000000002</c:v>
                </c:pt>
                <c:pt idx="190">
                  <c:v>15.079999999999998</c:v>
                </c:pt>
                <c:pt idx="191">
                  <c:v>184.92000000000002</c:v>
                </c:pt>
                <c:pt idx="192">
                  <c:v>92.28</c:v>
                </c:pt>
                <c:pt idx="193">
                  <c:v>107.72</c:v>
                </c:pt>
                <c:pt idx="194">
                  <c:v>76.84</c:v>
                </c:pt>
                <c:pt idx="195">
                  <c:v>123.16</c:v>
                </c:pt>
                <c:pt idx="196">
                  <c:v>61.4</c:v>
                </c:pt>
                <c:pt idx="197">
                  <c:v>138.6</c:v>
                </c:pt>
                <c:pt idx="198">
                  <c:v>45.96</c:v>
                </c:pt>
                <c:pt idx="199">
                  <c:v>154.04</c:v>
                </c:pt>
                <c:pt idx="200">
                  <c:v>30.519999999999996</c:v>
                </c:pt>
                <c:pt idx="201">
                  <c:v>169.48000000000002</c:v>
                </c:pt>
                <c:pt idx="202">
                  <c:v>15.079999999999998</c:v>
                </c:pt>
                <c:pt idx="203">
                  <c:v>184.92000000000002</c:v>
                </c:pt>
                <c:pt idx="204">
                  <c:v>92.28</c:v>
                </c:pt>
                <c:pt idx="205">
                  <c:v>107.72</c:v>
                </c:pt>
                <c:pt idx="206">
                  <c:v>76.84</c:v>
                </c:pt>
                <c:pt idx="207">
                  <c:v>123.16</c:v>
                </c:pt>
                <c:pt idx="208">
                  <c:v>61.4</c:v>
                </c:pt>
                <c:pt idx="209">
                  <c:v>138.6</c:v>
                </c:pt>
                <c:pt idx="210">
                  <c:v>45.96</c:v>
                </c:pt>
                <c:pt idx="211">
                  <c:v>154.04</c:v>
                </c:pt>
                <c:pt idx="212">
                  <c:v>30.519999999999996</c:v>
                </c:pt>
                <c:pt idx="213">
                  <c:v>169.48000000000002</c:v>
                </c:pt>
                <c:pt idx="214">
                  <c:v>15.079999999999998</c:v>
                </c:pt>
                <c:pt idx="215">
                  <c:v>184.92000000000002</c:v>
                </c:pt>
                <c:pt idx="216">
                  <c:v>92.28</c:v>
                </c:pt>
                <c:pt idx="217">
                  <c:v>107.72</c:v>
                </c:pt>
                <c:pt idx="218">
                  <c:v>76.84</c:v>
                </c:pt>
                <c:pt idx="219">
                  <c:v>123.16</c:v>
                </c:pt>
                <c:pt idx="220">
                  <c:v>61.4</c:v>
                </c:pt>
                <c:pt idx="221">
                  <c:v>138.6</c:v>
                </c:pt>
                <c:pt idx="222">
                  <c:v>45.96</c:v>
                </c:pt>
                <c:pt idx="223">
                  <c:v>154.04</c:v>
                </c:pt>
                <c:pt idx="224">
                  <c:v>30.519999999999996</c:v>
                </c:pt>
                <c:pt idx="225">
                  <c:v>169.48000000000002</c:v>
                </c:pt>
                <c:pt idx="226">
                  <c:v>15.079999999999998</c:v>
                </c:pt>
                <c:pt idx="227">
                  <c:v>184.92000000000002</c:v>
                </c:pt>
                <c:pt idx="228">
                  <c:v>92.28</c:v>
                </c:pt>
                <c:pt idx="229">
                  <c:v>107.72</c:v>
                </c:pt>
                <c:pt idx="230">
                  <c:v>76.84</c:v>
                </c:pt>
                <c:pt idx="231">
                  <c:v>123.16</c:v>
                </c:pt>
                <c:pt idx="232">
                  <c:v>61.4</c:v>
                </c:pt>
                <c:pt idx="233">
                  <c:v>138.6</c:v>
                </c:pt>
                <c:pt idx="234">
                  <c:v>45.96</c:v>
                </c:pt>
                <c:pt idx="235">
                  <c:v>154.04</c:v>
                </c:pt>
                <c:pt idx="236">
                  <c:v>30.519999999999996</c:v>
                </c:pt>
                <c:pt idx="237">
                  <c:v>169.48000000000002</c:v>
                </c:pt>
                <c:pt idx="238">
                  <c:v>15.079999999999998</c:v>
                </c:pt>
                <c:pt idx="239">
                  <c:v>184.92000000000002</c:v>
                </c:pt>
                <c:pt idx="240">
                  <c:v>92.28</c:v>
                </c:pt>
                <c:pt idx="241">
                  <c:v>107.72</c:v>
                </c:pt>
                <c:pt idx="242">
                  <c:v>76.84</c:v>
                </c:pt>
                <c:pt idx="243">
                  <c:v>123.16</c:v>
                </c:pt>
                <c:pt idx="244">
                  <c:v>61.4</c:v>
                </c:pt>
                <c:pt idx="245">
                  <c:v>138.6</c:v>
                </c:pt>
                <c:pt idx="246">
                  <c:v>45.96</c:v>
                </c:pt>
                <c:pt idx="247">
                  <c:v>154.04</c:v>
                </c:pt>
                <c:pt idx="248">
                  <c:v>30.519999999999996</c:v>
                </c:pt>
                <c:pt idx="249">
                  <c:v>169.48000000000002</c:v>
                </c:pt>
                <c:pt idx="250">
                  <c:v>15.079999999999998</c:v>
                </c:pt>
                <c:pt idx="251">
                  <c:v>184.92000000000002</c:v>
                </c:pt>
                <c:pt idx="252">
                  <c:v>92.28</c:v>
                </c:pt>
                <c:pt idx="253">
                  <c:v>107.72</c:v>
                </c:pt>
                <c:pt idx="254">
                  <c:v>76.84</c:v>
                </c:pt>
                <c:pt idx="255">
                  <c:v>123.16</c:v>
                </c:pt>
                <c:pt idx="256">
                  <c:v>61.4</c:v>
                </c:pt>
                <c:pt idx="257">
                  <c:v>138.6</c:v>
                </c:pt>
                <c:pt idx="258">
                  <c:v>45.96</c:v>
                </c:pt>
                <c:pt idx="259">
                  <c:v>154.04</c:v>
                </c:pt>
                <c:pt idx="260">
                  <c:v>30.519999999999996</c:v>
                </c:pt>
                <c:pt idx="261">
                  <c:v>169.48000000000002</c:v>
                </c:pt>
                <c:pt idx="262">
                  <c:v>15.079999999999998</c:v>
                </c:pt>
                <c:pt idx="263">
                  <c:v>184.92000000000002</c:v>
                </c:pt>
                <c:pt idx="264">
                  <c:v>92.28</c:v>
                </c:pt>
                <c:pt idx="265">
                  <c:v>107.72</c:v>
                </c:pt>
                <c:pt idx="266">
                  <c:v>76.84</c:v>
                </c:pt>
                <c:pt idx="267">
                  <c:v>123.16</c:v>
                </c:pt>
                <c:pt idx="268">
                  <c:v>61.4</c:v>
                </c:pt>
                <c:pt idx="269">
                  <c:v>138.6</c:v>
                </c:pt>
                <c:pt idx="270">
                  <c:v>45.96</c:v>
                </c:pt>
                <c:pt idx="271">
                  <c:v>154.04</c:v>
                </c:pt>
                <c:pt idx="272">
                  <c:v>30.519999999999996</c:v>
                </c:pt>
                <c:pt idx="273">
                  <c:v>169.48000000000002</c:v>
                </c:pt>
                <c:pt idx="274">
                  <c:v>15.079999999999998</c:v>
                </c:pt>
                <c:pt idx="275">
                  <c:v>184.92000000000002</c:v>
                </c:pt>
                <c:pt idx="276">
                  <c:v>92.28</c:v>
                </c:pt>
                <c:pt idx="277">
                  <c:v>107.72</c:v>
                </c:pt>
                <c:pt idx="278">
                  <c:v>76.84</c:v>
                </c:pt>
                <c:pt idx="279">
                  <c:v>123.16</c:v>
                </c:pt>
                <c:pt idx="280">
                  <c:v>61.4</c:v>
                </c:pt>
                <c:pt idx="281">
                  <c:v>138.6</c:v>
                </c:pt>
                <c:pt idx="282">
                  <c:v>45.96</c:v>
                </c:pt>
                <c:pt idx="283">
                  <c:v>154.04</c:v>
                </c:pt>
                <c:pt idx="284">
                  <c:v>30.519999999999996</c:v>
                </c:pt>
                <c:pt idx="285">
                  <c:v>169.48000000000002</c:v>
                </c:pt>
                <c:pt idx="286">
                  <c:v>15.079999999999998</c:v>
                </c:pt>
                <c:pt idx="287">
                  <c:v>184.92000000000002</c:v>
                </c:pt>
                <c:pt idx="288">
                  <c:v>92.28</c:v>
                </c:pt>
                <c:pt idx="289">
                  <c:v>107.72</c:v>
                </c:pt>
                <c:pt idx="290">
                  <c:v>76.84</c:v>
                </c:pt>
                <c:pt idx="291">
                  <c:v>123.16</c:v>
                </c:pt>
                <c:pt idx="292">
                  <c:v>61.4</c:v>
                </c:pt>
                <c:pt idx="293">
                  <c:v>138.6</c:v>
                </c:pt>
                <c:pt idx="294">
                  <c:v>45.96</c:v>
                </c:pt>
                <c:pt idx="295">
                  <c:v>154.04</c:v>
                </c:pt>
                <c:pt idx="296">
                  <c:v>30.519999999999996</c:v>
                </c:pt>
                <c:pt idx="297">
                  <c:v>169.48000000000002</c:v>
                </c:pt>
                <c:pt idx="298">
                  <c:v>15.079999999999998</c:v>
                </c:pt>
                <c:pt idx="299">
                  <c:v>184.92000000000002</c:v>
                </c:pt>
                <c:pt idx="300">
                  <c:v>92.28</c:v>
                </c:pt>
                <c:pt idx="301">
                  <c:v>107.72</c:v>
                </c:pt>
                <c:pt idx="302">
                  <c:v>76.84</c:v>
                </c:pt>
                <c:pt idx="303">
                  <c:v>123.16</c:v>
                </c:pt>
                <c:pt idx="304">
                  <c:v>61.4</c:v>
                </c:pt>
                <c:pt idx="305">
                  <c:v>138.6</c:v>
                </c:pt>
                <c:pt idx="306">
                  <c:v>45.96</c:v>
                </c:pt>
                <c:pt idx="307">
                  <c:v>154.04</c:v>
                </c:pt>
                <c:pt idx="308">
                  <c:v>30.519999999999996</c:v>
                </c:pt>
                <c:pt idx="309">
                  <c:v>169.48000000000002</c:v>
                </c:pt>
                <c:pt idx="310">
                  <c:v>15.079999999999998</c:v>
                </c:pt>
                <c:pt idx="311">
                  <c:v>184.92000000000002</c:v>
                </c:pt>
                <c:pt idx="312">
                  <c:v>92.28</c:v>
                </c:pt>
                <c:pt idx="313">
                  <c:v>107.72</c:v>
                </c:pt>
                <c:pt idx="314">
                  <c:v>76.84</c:v>
                </c:pt>
                <c:pt idx="315">
                  <c:v>123.16</c:v>
                </c:pt>
                <c:pt idx="316">
                  <c:v>61.4</c:v>
                </c:pt>
                <c:pt idx="317">
                  <c:v>138.6</c:v>
                </c:pt>
                <c:pt idx="318">
                  <c:v>45.96</c:v>
                </c:pt>
                <c:pt idx="319">
                  <c:v>154.04</c:v>
                </c:pt>
                <c:pt idx="320">
                  <c:v>30.519999999999996</c:v>
                </c:pt>
                <c:pt idx="321">
                  <c:v>169.48000000000002</c:v>
                </c:pt>
                <c:pt idx="322">
                  <c:v>15.079999999999998</c:v>
                </c:pt>
                <c:pt idx="323">
                  <c:v>184.92000000000002</c:v>
                </c:pt>
                <c:pt idx="324">
                  <c:v>92.28</c:v>
                </c:pt>
                <c:pt idx="325">
                  <c:v>107.72</c:v>
                </c:pt>
                <c:pt idx="326">
                  <c:v>76.84</c:v>
                </c:pt>
                <c:pt idx="327">
                  <c:v>123.16</c:v>
                </c:pt>
                <c:pt idx="328">
                  <c:v>61.4</c:v>
                </c:pt>
                <c:pt idx="329">
                  <c:v>138.6</c:v>
                </c:pt>
                <c:pt idx="330">
                  <c:v>45.96</c:v>
                </c:pt>
                <c:pt idx="331">
                  <c:v>154.04</c:v>
                </c:pt>
                <c:pt idx="332">
                  <c:v>30.519999999999996</c:v>
                </c:pt>
                <c:pt idx="333">
                  <c:v>169.48000000000002</c:v>
                </c:pt>
                <c:pt idx="334">
                  <c:v>15.079999999999998</c:v>
                </c:pt>
                <c:pt idx="335">
                  <c:v>184.92000000000002</c:v>
                </c:pt>
                <c:pt idx="336">
                  <c:v>92.28</c:v>
                </c:pt>
                <c:pt idx="337">
                  <c:v>107.72</c:v>
                </c:pt>
                <c:pt idx="338">
                  <c:v>76.84</c:v>
                </c:pt>
                <c:pt idx="339">
                  <c:v>123.16</c:v>
                </c:pt>
                <c:pt idx="340">
                  <c:v>61.4</c:v>
                </c:pt>
                <c:pt idx="341">
                  <c:v>138.6</c:v>
                </c:pt>
                <c:pt idx="342">
                  <c:v>45.96</c:v>
                </c:pt>
                <c:pt idx="343">
                  <c:v>154.04</c:v>
                </c:pt>
                <c:pt idx="344">
                  <c:v>30.519999999999996</c:v>
                </c:pt>
                <c:pt idx="345">
                  <c:v>169.48000000000002</c:v>
                </c:pt>
                <c:pt idx="346">
                  <c:v>15.079999999999998</c:v>
                </c:pt>
                <c:pt idx="347">
                  <c:v>184.92000000000002</c:v>
                </c:pt>
                <c:pt idx="348">
                  <c:v>92.28</c:v>
                </c:pt>
                <c:pt idx="349">
                  <c:v>107.72</c:v>
                </c:pt>
                <c:pt idx="350">
                  <c:v>76.84</c:v>
                </c:pt>
                <c:pt idx="351">
                  <c:v>123.16</c:v>
                </c:pt>
                <c:pt idx="352">
                  <c:v>61.4</c:v>
                </c:pt>
                <c:pt idx="353">
                  <c:v>138.6</c:v>
                </c:pt>
                <c:pt idx="354">
                  <c:v>45.96</c:v>
                </c:pt>
                <c:pt idx="355">
                  <c:v>154.04</c:v>
                </c:pt>
                <c:pt idx="356">
                  <c:v>30.519999999999996</c:v>
                </c:pt>
                <c:pt idx="357">
                  <c:v>169.48000000000002</c:v>
                </c:pt>
                <c:pt idx="358">
                  <c:v>15.079999999999998</c:v>
                </c:pt>
                <c:pt idx="359">
                  <c:v>184.92000000000002</c:v>
                </c:pt>
                <c:pt idx="360">
                  <c:v>92.28</c:v>
                </c:pt>
                <c:pt idx="361">
                  <c:v>107.72</c:v>
                </c:pt>
                <c:pt idx="362">
                  <c:v>76.84</c:v>
                </c:pt>
                <c:pt idx="363">
                  <c:v>123.16</c:v>
                </c:pt>
                <c:pt idx="364">
                  <c:v>61.4</c:v>
                </c:pt>
                <c:pt idx="365">
                  <c:v>138.6</c:v>
                </c:pt>
                <c:pt idx="366">
                  <c:v>45.96</c:v>
                </c:pt>
                <c:pt idx="367">
                  <c:v>154.04</c:v>
                </c:pt>
                <c:pt idx="368">
                  <c:v>30.519999999999996</c:v>
                </c:pt>
                <c:pt idx="369">
                  <c:v>169.48000000000002</c:v>
                </c:pt>
                <c:pt idx="370">
                  <c:v>15.079999999999998</c:v>
                </c:pt>
                <c:pt idx="371">
                  <c:v>184.92000000000002</c:v>
                </c:pt>
                <c:pt idx="372">
                  <c:v>92.28</c:v>
                </c:pt>
                <c:pt idx="373">
                  <c:v>107.72</c:v>
                </c:pt>
                <c:pt idx="374">
                  <c:v>76.84</c:v>
                </c:pt>
                <c:pt idx="375">
                  <c:v>123.16</c:v>
                </c:pt>
                <c:pt idx="376">
                  <c:v>61.4</c:v>
                </c:pt>
                <c:pt idx="377">
                  <c:v>138.6</c:v>
                </c:pt>
                <c:pt idx="378">
                  <c:v>45.96</c:v>
                </c:pt>
                <c:pt idx="379">
                  <c:v>154.04</c:v>
                </c:pt>
                <c:pt idx="380">
                  <c:v>30.519999999999996</c:v>
                </c:pt>
                <c:pt idx="381">
                  <c:v>169.48000000000002</c:v>
                </c:pt>
                <c:pt idx="382">
                  <c:v>15.079999999999998</c:v>
                </c:pt>
                <c:pt idx="383">
                  <c:v>184.92000000000002</c:v>
                </c:pt>
                <c:pt idx="384">
                  <c:v>92.28</c:v>
                </c:pt>
                <c:pt idx="385">
                  <c:v>107.72</c:v>
                </c:pt>
                <c:pt idx="386">
                  <c:v>76.84</c:v>
                </c:pt>
                <c:pt idx="387">
                  <c:v>123.16</c:v>
                </c:pt>
                <c:pt idx="388">
                  <c:v>61.4</c:v>
                </c:pt>
                <c:pt idx="389">
                  <c:v>138.6</c:v>
                </c:pt>
                <c:pt idx="390">
                  <c:v>45.96</c:v>
                </c:pt>
                <c:pt idx="391">
                  <c:v>154.04</c:v>
                </c:pt>
                <c:pt idx="392">
                  <c:v>30.519999999999996</c:v>
                </c:pt>
                <c:pt idx="393">
                  <c:v>169.48000000000002</c:v>
                </c:pt>
                <c:pt idx="394">
                  <c:v>15.079999999999998</c:v>
                </c:pt>
                <c:pt idx="395">
                  <c:v>184.92000000000002</c:v>
                </c:pt>
                <c:pt idx="396">
                  <c:v>92.28</c:v>
                </c:pt>
                <c:pt idx="397">
                  <c:v>107.72</c:v>
                </c:pt>
                <c:pt idx="398">
                  <c:v>76.84</c:v>
                </c:pt>
                <c:pt idx="399">
                  <c:v>123.16</c:v>
                </c:pt>
                <c:pt idx="400">
                  <c:v>61.4</c:v>
                </c:pt>
                <c:pt idx="401">
                  <c:v>138.6</c:v>
                </c:pt>
                <c:pt idx="402">
                  <c:v>45.96</c:v>
                </c:pt>
                <c:pt idx="403">
                  <c:v>154.04</c:v>
                </c:pt>
                <c:pt idx="404">
                  <c:v>30.519999999999996</c:v>
                </c:pt>
                <c:pt idx="405">
                  <c:v>169.48000000000002</c:v>
                </c:pt>
                <c:pt idx="406">
                  <c:v>15.079999999999998</c:v>
                </c:pt>
                <c:pt idx="407">
                  <c:v>184.92000000000002</c:v>
                </c:pt>
                <c:pt idx="408">
                  <c:v>92.28</c:v>
                </c:pt>
                <c:pt idx="409">
                  <c:v>107.72</c:v>
                </c:pt>
                <c:pt idx="410">
                  <c:v>76.84</c:v>
                </c:pt>
                <c:pt idx="411">
                  <c:v>123.16</c:v>
                </c:pt>
                <c:pt idx="412">
                  <c:v>61.4</c:v>
                </c:pt>
                <c:pt idx="413">
                  <c:v>138.6</c:v>
                </c:pt>
                <c:pt idx="414">
                  <c:v>45.96</c:v>
                </c:pt>
                <c:pt idx="415">
                  <c:v>154.04</c:v>
                </c:pt>
                <c:pt idx="416">
                  <c:v>30.519999999999996</c:v>
                </c:pt>
                <c:pt idx="417">
                  <c:v>169.48000000000002</c:v>
                </c:pt>
                <c:pt idx="418">
                  <c:v>15.079999999999998</c:v>
                </c:pt>
                <c:pt idx="419">
                  <c:v>184.92000000000002</c:v>
                </c:pt>
                <c:pt idx="420">
                  <c:v>92.28</c:v>
                </c:pt>
                <c:pt idx="421">
                  <c:v>107.72</c:v>
                </c:pt>
                <c:pt idx="422">
                  <c:v>76.84</c:v>
                </c:pt>
                <c:pt idx="423">
                  <c:v>123.16</c:v>
                </c:pt>
                <c:pt idx="424">
                  <c:v>61.4</c:v>
                </c:pt>
                <c:pt idx="425">
                  <c:v>138.6</c:v>
                </c:pt>
                <c:pt idx="426">
                  <c:v>45.96</c:v>
                </c:pt>
                <c:pt idx="427">
                  <c:v>154.04</c:v>
                </c:pt>
                <c:pt idx="428">
                  <c:v>30.519999999999996</c:v>
                </c:pt>
                <c:pt idx="429">
                  <c:v>169.48000000000002</c:v>
                </c:pt>
                <c:pt idx="430">
                  <c:v>15.079999999999998</c:v>
                </c:pt>
                <c:pt idx="431">
                  <c:v>184.92000000000002</c:v>
                </c:pt>
                <c:pt idx="432">
                  <c:v>92.28</c:v>
                </c:pt>
                <c:pt idx="433">
                  <c:v>107.72</c:v>
                </c:pt>
                <c:pt idx="434">
                  <c:v>76.84</c:v>
                </c:pt>
                <c:pt idx="435">
                  <c:v>123.16</c:v>
                </c:pt>
                <c:pt idx="436">
                  <c:v>61.4</c:v>
                </c:pt>
                <c:pt idx="437">
                  <c:v>138.6</c:v>
                </c:pt>
                <c:pt idx="438">
                  <c:v>45.96</c:v>
                </c:pt>
                <c:pt idx="439">
                  <c:v>154.04</c:v>
                </c:pt>
                <c:pt idx="440">
                  <c:v>30.519999999999996</c:v>
                </c:pt>
                <c:pt idx="441">
                  <c:v>169.48000000000002</c:v>
                </c:pt>
                <c:pt idx="442">
                  <c:v>15.079999999999998</c:v>
                </c:pt>
                <c:pt idx="443">
                  <c:v>184.92000000000002</c:v>
                </c:pt>
                <c:pt idx="444">
                  <c:v>92.28</c:v>
                </c:pt>
                <c:pt idx="445">
                  <c:v>107.72</c:v>
                </c:pt>
                <c:pt idx="446">
                  <c:v>76.84</c:v>
                </c:pt>
                <c:pt idx="447">
                  <c:v>123.16</c:v>
                </c:pt>
                <c:pt idx="448">
                  <c:v>61.4</c:v>
                </c:pt>
                <c:pt idx="449">
                  <c:v>138.6</c:v>
                </c:pt>
                <c:pt idx="450">
                  <c:v>45.96</c:v>
                </c:pt>
                <c:pt idx="451">
                  <c:v>154.04</c:v>
                </c:pt>
                <c:pt idx="452">
                  <c:v>30.519999999999996</c:v>
                </c:pt>
                <c:pt idx="453">
                  <c:v>169.48000000000002</c:v>
                </c:pt>
                <c:pt idx="454">
                  <c:v>15.079999999999998</c:v>
                </c:pt>
                <c:pt idx="455">
                  <c:v>184.92000000000002</c:v>
                </c:pt>
                <c:pt idx="456">
                  <c:v>92.28</c:v>
                </c:pt>
                <c:pt idx="457">
                  <c:v>107.72</c:v>
                </c:pt>
                <c:pt idx="458">
                  <c:v>76.84</c:v>
                </c:pt>
                <c:pt idx="459">
                  <c:v>123.16</c:v>
                </c:pt>
                <c:pt idx="460">
                  <c:v>61.4</c:v>
                </c:pt>
                <c:pt idx="461">
                  <c:v>138.6</c:v>
                </c:pt>
                <c:pt idx="462">
                  <c:v>45.96</c:v>
                </c:pt>
                <c:pt idx="463">
                  <c:v>154.04</c:v>
                </c:pt>
                <c:pt idx="464">
                  <c:v>30.519999999999996</c:v>
                </c:pt>
                <c:pt idx="465">
                  <c:v>169.48000000000002</c:v>
                </c:pt>
                <c:pt idx="466">
                  <c:v>15.079999999999998</c:v>
                </c:pt>
                <c:pt idx="467">
                  <c:v>184.92000000000002</c:v>
                </c:pt>
                <c:pt idx="468">
                  <c:v>92.28</c:v>
                </c:pt>
                <c:pt idx="469">
                  <c:v>107.72</c:v>
                </c:pt>
                <c:pt idx="470">
                  <c:v>76.84</c:v>
                </c:pt>
                <c:pt idx="471">
                  <c:v>123.16</c:v>
                </c:pt>
                <c:pt idx="472">
                  <c:v>61.4</c:v>
                </c:pt>
                <c:pt idx="473">
                  <c:v>138.6</c:v>
                </c:pt>
                <c:pt idx="474">
                  <c:v>45.96</c:v>
                </c:pt>
                <c:pt idx="475">
                  <c:v>154.04</c:v>
                </c:pt>
                <c:pt idx="476">
                  <c:v>30.519999999999996</c:v>
                </c:pt>
                <c:pt idx="477">
                  <c:v>169.48000000000002</c:v>
                </c:pt>
                <c:pt idx="478">
                  <c:v>15.079999999999998</c:v>
                </c:pt>
                <c:pt idx="479">
                  <c:v>184.92000000000002</c:v>
                </c:pt>
                <c:pt idx="480">
                  <c:v>92.28</c:v>
                </c:pt>
                <c:pt idx="481">
                  <c:v>107.72</c:v>
                </c:pt>
                <c:pt idx="482">
                  <c:v>76.84</c:v>
                </c:pt>
                <c:pt idx="483">
                  <c:v>123.16</c:v>
                </c:pt>
                <c:pt idx="484">
                  <c:v>61.4</c:v>
                </c:pt>
                <c:pt idx="485">
                  <c:v>138.6</c:v>
                </c:pt>
                <c:pt idx="486">
                  <c:v>45.96</c:v>
                </c:pt>
                <c:pt idx="487">
                  <c:v>154.04</c:v>
                </c:pt>
                <c:pt idx="488">
                  <c:v>30.519999999999996</c:v>
                </c:pt>
                <c:pt idx="489">
                  <c:v>169.48000000000002</c:v>
                </c:pt>
                <c:pt idx="490">
                  <c:v>15.079999999999998</c:v>
                </c:pt>
                <c:pt idx="491">
                  <c:v>184.92000000000002</c:v>
                </c:pt>
                <c:pt idx="492">
                  <c:v>92.28</c:v>
                </c:pt>
                <c:pt idx="493">
                  <c:v>107.72</c:v>
                </c:pt>
                <c:pt idx="494">
                  <c:v>76.84</c:v>
                </c:pt>
                <c:pt idx="495">
                  <c:v>123.16</c:v>
                </c:pt>
                <c:pt idx="496">
                  <c:v>61.4</c:v>
                </c:pt>
                <c:pt idx="497">
                  <c:v>138.6</c:v>
                </c:pt>
                <c:pt idx="498">
                  <c:v>45.96</c:v>
                </c:pt>
                <c:pt idx="499">
                  <c:v>154.04</c:v>
                </c:pt>
                <c:pt idx="500">
                  <c:v>30.519999999999996</c:v>
                </c:pt>
                <c:pt idx="501">
                  <c:v>169.48000000000002</c:v>
                </c:pt>
                <c:pt idx="502">
                  <c:v>15.079999999999998</c:v>
                </c:pt>
                <c:pt idx="503">
                  <c:v>184.92000000000002</c:v>
                </c:pt>
                <c:pt idx="504">
                  <c:v>92.28</c:v>
                </c:pt>
                <c:pt idx="505">
                  <c:v>107.72</c:v>
                </c:pt>
                <c:pt idx="506">
                  <c:v>76.84</c:v>
                </c:pt>
                <c:pt idx="507">
                  <c:v>123.16</c:v>
                </c:pt>
                <c:pt idx="508">
                  <c:v>61.4</c:v>
                </c:pt>
                <c:pt idx="509">
                  <c:v>138.6</c:v>
                </c:pt>
                <c:pt idx="510">
                  <c:v>45.96</c:v>
                </c:pt>
                <c:pt idx="511">
                  <c:v>154.04</c:v>
                </c:pt>
                <c:pt idx="512">
                  <c:v>30.519999999999996</c:v>
                </c:pt>
                <c:pt idx="513">
                  <c:v>169.48000000000002</c:v>
                </c:pt>
                <c:pt idx="514">
                  <c:v>15.079999999999998</c:v>
                </c:pt>
                <c:pt idx="515">
                  <c:v>184.92000000000002</c:v>
                </c:pt>
                <c:pt idx="516">
                  <c:v>92.28</c:v>
                </c:pt>
                <c:pt idx="517">
                  <c:v>107.72</c:v>
                </c:pt>
                <c:pt idx="518">
                  <c:v>76.84</c:v>
                </c:pt>
                <c:pt idx="519">
                  <c:v>123.16</c:v>
                </c:pt>
                <c:pt idx="520">
                  <c:v>61.4</c:v>
                </c:pt>
                <c:pt idx="521">
                  <c:v>138.6</c:v>
                </c:pt>
                <c:pt idx="522">
                  <c:v>45.96</c:v>
                </c:pt>
                <c:pt idx="523">
                  <c:v>154.04</c:v>
                </c:pt>
                <c:pt idx="524">
                  <c:v>30.519999999999996</c:v>
                </c:pt>
                <c:pt idx="525">
                  <c:v>169.48000000000002</c:v>
                </c:pt>
                <c:pt idx="526">
                  <c:v>15.079999999999998</c:v>
                </c:pt>
                <c:pt idx="527">
                  <c:v>184.92000000000002</c:v>
                </c:pt>
                <c:pt idx="528">
                  <c:v>92.28</c:v>
                </c:pt>
                <c:pt idx="529">
                  <c:v>107.72</c:v>
                </c:pt>
                <c:pt idx="530">
                  <c:v>76.84</c:v>
                </c:pt>
                <c:pt idx="531">
                  <c:v>123.16</c:v>
                </c:pt>
                <c:pt idx="532">
                  <c:v>61.4</c:v>
                </c:pt>
                <c:pt idx="533">
                  <c:v>138.6</c:v>
                </c:pt>
                <c:pt idx="534">
                  <c:v>45.96</c:v>
                </c:pt>
                <c:pt idx="535">
                  <c:v>154.04</c:v>
                </c:pt>
                <c:pt idx="536">
                  <c:v>30.519999999999996</c:v>
                </c:pt>
                <c:pt idx="537">
                  <c:v>169.48000000000002</c:v>
                </c:pt>
                <c:pt idx="538">
                  <c:v>15.079999999999998</c:v>
                </c:pt>
                <c:pt idx="539">
                  <c:v>184.92000000000002</c:v>
                </c:pt>
                <c:pt idx="540">
                  <c:v>92.28</c:v>
                </c:pt>
                <c:pt idx="541">
                  <c:v>107.72</c:v>
                </c:pt>
                <c:pt idx="542">
                  <c:v>76.84</c:v>
                </c:pt>
                <c:pt idx="543">
                  <c:v>123.16</c:v>
                </c:pt>
                <c:pt idx="544">
                  <c:v>61.4</c:v>
                </c:pt>
                <c:pt idx="545">
                  <c:v>138.6</c:v>
                </c:pt>
                <c:pt idx="546">
                  <c:v>45.96</c:v>
                </c:pt>
                <c:pt idx="547">
                  <c:v>154.04</c:v>
                </c:pt>
                <c:pt idx="548">
                  <c:v>30.519999999999996</c:v>
                </c:pt>
                <c:pt idx="549">
                  <c:v>169.48000000000002</c:v>
                </c:pt>
                <c:pt idx="550">
                  <c:v>15.079999999999998</c:v>
                </c:pt>
                <c:pt idx="551">
                  <c:v>184.92000000000002</c:v>
                </c:pt>
                <c:pt idx="552">
                  <c:v>92.28</c:v>
                </c:pt>
                <c:pt idx="553">
                  <c:v>107.72</c:v>
                </c:pt>
                <c:pt idx="554">
                  <c:v>76.84</c:v>
                </c:pt>
                <c:pt idx="555">
                  <c:v>123.16</c:v>
                </c:pt>
                <c:pt idx="556">
                  <c:v>61.4</c:v>
                </c:pt>
                <c:pt idx="557">
                  <c:v>138.6</c:v>
                </c:pt>
                <c:pt idx="558">
                  <c:v>45.96</c:v>
                </c:pt>
                <c:pt idx="559">
                  <c:v>154.04</c:v>
                </c:pt>
                <c:pt idx="560">
                  <c:v>30.519999999999996</c:v>
                </c:pt>
                <c:pt idx="561">
                  <c:v>169.48000000000002</c:v>
                </c:pt>
                <c:pt idx="562">
                  <c:v>15.079999999999998</c:v>
                </c:pt>
                <c:pt idx="563">
                  <c:v>184.92000000000002</c:v>
                </c:pt>
                <c:pt idx="564">
                  <c:v>92.28</c:v>
                </c:pt>
                <c:pt idx="565">
                  <c:v>107.72</c:v>
                </c:pt>
                <c:pt idx="566">
                  <c:v>76.84</c:v>
                </c:pt>
                <c:pt idx="567">
                  <c:v>123.16</c:v>
                </c:pt>
                <c:pt idx="568">
                  <c:v>61.4</c:v>
                </c:pt>
                <c:pt idx="569">
                  <c:v>138.6</c:v>
                </c:pt>
                <c:pt idx="570">
                  <c:v>45.96</c:v>
                </c:pt>
                <c:pt idx="571">
                  <c:v>154.04</c:v>
                </c:pt>
                <c:pt idx="572">
                  <c:v>30.519999999999996</c:v>
                </c:pt>
                <c:pt idx="573">
                  <c:v>169.48000000000002</c:v>
                </c:pt>
                <c:pt idx="574">
                  <c:v>15.079999999999998</c:v>
                </c:pt>
                <c:pt idx="575">
                  <c:v>184.92000000000002</c:v>
                </c:pt>
                <c:pt idx="576">
                  <c:v>92.28</c:v>
                </c:pt>
                <c:pt idx="577">
                  <c:v>107.72</c:v>
                </c:pt>
                <c:pt idx="578">
                  <c:v>76.84</c:v>
                </c:pt>
                <c:pt idx="579">
                  <c:v>123.16</c:v>
                </c:pt>
                <c:pt idx="580">
                  <c:v>61.4</c:v>
                </c:pt>
                <c:pt idx="581">
                  <c:v>138.6</c:v>
                </c:pt>
                <c:pt idx="582">
                  <c:v>45.96</c:v>
                </c:pt>
                <c:pt idx="583">
                  <c:v>154.04</c:v>
                </c:pt>
                <c:pt idx="584">
                  <c:v>30.519999999999996</c:v>
                </c:pt>
                <c:pt idx="585">
                  <c:v>169.48000000000002</c:v>
                </c:pt>
                <c:pt idx="586">
                  <c:v>15.079999999999998</c:v>
                </c:pt>
                <c:pt idx="587">
                  <c:v>184.92000000000002</c:v>
                </c:pt>
                <c:pt idx="588">
                  <c:v>92.28</c:v>
                </c:pt>
                <c:pt idx="589">
                  <c:v>107.72</c:v>
                </c:pt>
                <c:pt idx="590">
                  <c:v>76.84</c:v>
                </c:pt>
                <c:pt idx="591">
                  <c:v>123.16</c:v>
                </c:pt>
                <c:pt idx="592">
                  <c:v>61.4</c:v>
                </c:pt>
                <c:pt idx="593">
                  <c:v>138.6</c:v>
                </c:pt>
                <c:pt idx="594">
                  <c:v>45.96</c:v>
                </c:pt>
                <c:pt idx="595">
                  <c:v>154.04</c:v>
                </c:pt>
                <c:pt idx="596">
                  <c:v>30.519999999999996</c:v>
                </c:pt>
                <c:pt idx="597">
                  <c:v>169.48000000000002</c:v>
                </c:pt>
                <c:pt idx="598">
                  <c:v>15.079999999999998</c:v>
                </c:pt>
                <c:pt idx="599">
                  <c:v>184.92000000000002</c:v>
                </c:pt>
                <c:pt idx="600">
                  <c:v>92.28</c:v>
                </c:pt>
                <c:pt idx="601">
                  <c:v>107.72</c:v>
                </c:pt>
                <c:pt idx="602">
                  <c:v>76.84</c:v>
                </c:pt>
                <c:pt idx="603">
                  <c:v>123.16</c:v>
                </c:pt>
                <c:pt idx="604">
                  <c:v>61.4</c:v>
                </c:pt>
                <c:pt idx="605">
                  <c:v>138.6</c:v>
                </c:pt>
                <c:pt idx="606">
                  <c:v>45.96</c:v>
                </c:pt>
                <c:pt idx="607">
                  <c:v>154.04</c:v>
                </c:pt>
                <c:pt idx="608">
                  <c:v>30.519999999999996</c:v>
                </c:pt>
                <c:pt idx="609">
                  <c:v>169.48000000000002</c:v>
                </c:pt>
                <c:pt idx="610">
                  <c:v>15.079999999999998</c:v>
                </c:pt>
                <c:pt idx="611">
                  <c:v>184.92000000000002</c:v>
                </c:pt>
                <c:pt idx="612">
                  <c:v>92.28</c:v>
                </c:pt>
                <c:pt idx="613">
                  <c:v>107.72</c:v>
                </c:pt>
                <c:pt idx="614">
                  <c:v>76.84</c:v>
                </c:pt>
                <c:pt idx="615">
                  <c:v>123.16</c:v>
                </c:pt>
                <c:pt idx="616">
                  <c:v>61.4</c:v>
                </c:pt>
                <c:pt idx="617">
                  <c:v>138.6</c:v>
                </c:pt>
                <c:pt idx="618">
                  <c:v>45.96</c:v>
                </c:pt>
                <c:pt idx="619">
                  <c:v>154.04</c:v>
                </c:pt>
                <c:pt idx="620">
                  <c:v>30.519999999999996</c:v>
                </c:pt>
                <c:pt idx="621">
                  <c:v>169.48000000000002</c:v>
                </c:pt>
                <c:pt idx="622">
                  <c:v>15.079999999999998</c:v>
                </c:pt>
                <c:pt idx="623">
                  <c:v>184.92000000000002</c:v>
                </c:pt>
                <c:pt idx="624">
                  <c:v>92.28</c:v>
                </c:pt>
                <c:pt idx="625">
                  <c:v>107.72</c:v>
                </c:pt>
                <c:pt idx="626">
                  <c:v>76.84</c:v>
                </c:pt>
                <c:pt idx="627">
                  <c:v>123.16</c:v>
                </c:pt>
                <c:pt idx="628">
                  <c:v>61.4</c:v>
                </c:pt>
                <c:pt idx="629">
                  <c:v>138.6</c:v>
                </c:pt>
                <c:pt idx="630">
                  <c:v>45.96</c:v>
                </c:pt>
                <c:pt idx="631">
                  <c:v>154.04</c:v>
                </c:pt>
                <c:pt idx="632">
                  <c:v>30.519999999999996</c:v>
                </c:pt>
                <c:pt idx="633">
                  <c:v>169.48000000000002</c:v>
                </c:pt>
                <c:pt idx="634">
                  <c:v>15.079999999999998</c:v>
                </c:pt>
                <c:pt idx="635">
                  <c:v>184.92000000000002</c:v>
                </c:pt>
                <c:pt idx="636">
                  <c:v>92.28</c:v>
                </c:pt>
                <c:pt idx="637">
                  <c:v>107.72</c:v>
                </c:pt>
                <c:pt idx="638">
                  <c:v>76.84</c:v>
                </c:pt>
                <c:pt idx="639">
                  <c:v>123.16</c:v>
                </c:pt>
                <c:pt idx="640">
                  <c:v>61.4</c:v>
                </c:pt>
                <c:pt idx="641">
                  <c:v>138.6</c:v>
                </c:pt>
                <c:pt idx="642">
                  <c:v>45.96</c:v>
                </c:pt>
                <c:pt idx="643">
                  <c:v>154.04</c:v>
                </c:pt>
                <c:pt idx="644">
                  <c:v>30.519999999999996</c:v>
                </c:pt>
                <c:pt idx="645">
                  <c:v>169.48000000000002</c:v>
                </c:pt>
                <c:pt idx="646">
                  <c:v>15.079999999999998</c:v>
                </c:pt>
                <c:pt idx="647">
                  <c:v>184.92000000000002</c:v>
                </c:pt>
                <c:pt idx="648">
                  <c:v>92.28</c:v>
                </c:pt>
                <c:pt idx="649">
                  <c:v>107.72</c:v>
                </c:pt>
                <c:pt idx="650">
                  <c:v>76.84</c:v>
                </c:pt>
                <c:pt idx="651">
                  <c:v>123.16</c:v>
                </c:pt>
                <c:pt idx="652">
                  <c:v>61.4</c:v>
                </c:pt>
                <c:pt idx="653">
                  <c:v>138.6</c:v>
                </c:pt>
                <c:pt idx="654">
                  <c:v>45.96</c:v>
                </c:pt>
                <c:pt idx="655">
                  <c:v>154.04</c:v>
                </c:pt>
                <c:pt idx="656">
                  <c:v>30.519999999999996</c:v>
                </c:pt>
                <c:pt idx="657">
                  <c:v>169.48000000000002</c:v>
                </c:pt>
                <c:pt idx="658">
                  <c:v>15.079999999999998</c:v>
                </c:pt>
                <c:pt idx="659">
                  <c:v>184.92000000000002</c:v>
                </c:pt>
                <c:pt idx="660">
                  <c:v>92.28</c:v>
                </c:pt>
                <c:pt idx="661">
                  <c:v>107.72</c:v>
                </c:pt>
                <c:pt idx="662">
                  <c:v>76.84</c:v>
                </c:pt>
                <c:pt idx="663">
                  <c:v>123.16</c:v>
                </c:pt>
                <c:pt idx="664">
                  <c:v>61.4</c:v>
                </c:pt>
                <c:pt idx="665">
                  <c:v>138.6</c:v>
                </c:pt>
                <c:pt idx="666">
                  <c:v>45.96</c:v>
                </c:pt>
                <c:pt idx="667">
                  <c:v>154.04</c:v>
                </c:pt>
                <c:pt idx="668">
                  <c:v>30.519999999999996</c:v>
                </c:pt>
                <c:pt idx="669">
                  <c:v>169.48000000000002</c:v>
                </c:pt>
                <c:pt idx="670">
                  <c:v>15.079999999999998</c:v>
                </c:pt>
                <c:pt idx="671">
                  <c:v>184.92000000000002</c:v>
                </c:pt>
                <c:pt idx="672">
                  <c:v>92.28</c:v>
                </c:pt>
                <c:pt idx="673">
                  <c:v>107.72</c:v>
                </c:pt>
                <c:pt idx="674">
                  <c:v>76.84</c:v>
                </c:pt>
                <c:pt idx="675">
                  <c:v>123.16</c:v>
                </c:pt>
                <c:pt idx="676">
                  <c:v>61.4</c:v>
                </c:pt>
                <c:pt idx="677">
                  <c:v>138.6</c:v>
                </c:pt>
                <c:pt idx="678">
                  <c:v>45.96</c:v>
                </c:pt>
                <c:pt idx="679">
                  <c:v>154.04</c:v>
                </c:pt>
                <c:pt idx="680">
                  <c:v>30.519999999999996</c:v>
                </c:pt>
                <c:pt idx="681">
                  <c:v>169.48000000000002</c:v>
                </c:pt>
                <c:pt idx="682">
                  <c:v>15.079999999999998</c:v>
                </c:pt>
                <c:pt idx="683">
                  <c:v>184.92000000000002</c:v>
                </c:pt>
                <c:pt idx="684">
                  <c:v>92.28</c:v>
                </c:pt>
                <c:pt idx="685">
                  <c:v>107.72</c:v>
                </c:pt>
                <c:pt idx="686">
                  <c:v>76.84</c:v>
                </c:pt>
                <c:pt idx="687">
                  <c:v>123.16</c:v>
                </c:pt>
                <c:pt idx="688">
                  <c:v>61.4</c:v>
                </c:pt>
                <c:pt idx="689">
                  <c:v>138.6</c:v>
                </c:pt>
                <c:pt idx="690">
                  <c:v>45.96</c:v>
                </c:pt>
                <c:pt idx="691">
                  <c:v>154.04</c:v>
                </c:pt>
                <c:pt idx="692">
                  <c:v>30.519999999999996</c:v>
                </c:pt>
                <c:pt idx="693">
                  <c:v>169.48000000000002</c:v>
                </c:pt>
                <c:pt idx="694">
                  <c:v>15.079999999999998</c:v>
                </c:pt>
                <c:pt idx="695">
                  <c:v>184.92000000000002</c:v>
                </c:pt>
                <c:pt idx="696">
                  <c:v>92.28</c:v>
                </c:pt>
                <c:pt idx="697">
                  <c:v>107.72</c:v>
                </c:pt>
                <c:pt idx="698">
                  <c:v>76.84</c:v>
                </c:pt>
                <c:pt idx="699">
                  <c:v>123.16</c:v>
                </c:pt>
                <c:pt idx="700">
                  <c:v>61.4</c:v>
                </c:pt>
                <c:pt idx="701">
                  <c:v>138.6</c:v>
                </c:pt>
                <c:pt idx="702">
                  <c:v>45.96</c:v>
                </c:pt>
                <c:pt idx="703">
                  <c:v>154.04</c:v>
                </c:pt>
                <c:pt idx="704">
                  <c:v>30.519999999999996</c:v>
                </c:pt>
                <c:pt idx="705">
                  <c:v>169.48000000000002</c:v>
                </c:pt>
                <c:pt idx="706">
                  <c:v>15.079999999999998</c:v>
                </c:pt>
                <c:pt idx="707">
                  <c:v>184.92000000000002</c:v>
                </c:pt>
                <c:pt idx="708">
                  <c:v>92.28</c:v>
                </c:pt>
                <c:pt idx="709">
                  <c:v>107.72</c:v>
                </c:pt>
                <c:pt idx="710">
                  <c:v>76.84</c:v>
                </c:pt>
                <c:pt idx="711">
                  <c:v>123.16</c:v>
                </c:pt>
                <c:pt idx="712">
                  <c:v>61.4</c:v>
                </c:pt>
                <c:pt idx="713">
                  <c:v>138.6</c:v>
                </c:pt>
                <c:pt idx="714">
                  <c:v>45.96</c:v>
                </c:pt>
                <c:pt idx="715">
                  <c:v>154.04</c:v>
                </c:pt>
                <c:pt idx="716">
                  <c:v>30.519999999999996</c:v>
                </c:pt>
                <c:pt idx="717">
                  <c:v>169.48000000000002</c:v>
                </c:pt>
                <c:pt idx="718">
                  <c:v>15.079999999999998</c:v>
                </c:pt>
                <c:pt idx="719">
                  <c:v>184.92000000000002</c:v>
                </c:pt>
                <c:pt idx="720">
                  <c:v>92.28</c:v>
                </c:pt>
                <c:pt idx="721">
                  <c:v>107.72</c:v>
                </c:pt>
                <c:pt idx="722">
                  <c:v>76.84</c:v>
                </c:pt>
                <c:pt idx="723">
                  <c:v>123.16</c:v>
                </c:pt>
                <c:pt idx="724">
                  <c:v>61.4</c:v>
                </c:pt>
                <c:pt idx="725">
                  <c:v>138.6</c:v>
                </c:pt>
                <c:pt idx="726">
                  <c:v>45.96</c:v>
                </c:pt>
                <c:pt idx="727">
                  <c:v>154.04</c:v>
                </c:pt>
                <c:pt idx="728">
                  <c:v>30.519999999999996</c:v>
                </c:pt>
                <c:pt idx="729">
                  <c:v>169.48000000000002</c:v>
                </c:pt>
                <c:pt idx="730">
                  <c:v>15.079999999999998</c:v>
                </c:pt>
                <c:pt idx="731">
                  <c:v>184.92000000000002</c:v>
                </c:pt>
                <c:pt idx="732">
                  <c:v>92.28</c:v>
                </c:pt>
                <c:pt idx="733">
                  <c:v>107.72</c:v>
                </c:pt>
                <c:pt idx="734">
                  <c:v>76.84</c:v>
                </c:pt>
                <c:pt idx="735">
                  <c:v>123.16</c:v>
                </c:pt>
                <c:pt idx="736">
                  <c:v>61.4</c:v>
                </c:pt>
                <c:pt idx="737">
                  <c:v>138.6</c:v>
                </c:pt>
                <c:pt idx="738">
                  <c:v>45.96</c:v>
                </c:pt>
                <c:pt idx="739">
                  <c:v>154.04</c:v>
                </c:pt>
                <c:pt idx="740">
                  <c:v>30.519999999999996</c:v>
                </c:pt>
                <c:pt idx="741">
                  <c:v>169.48000000000002</c:v>
                </c:pt>
                <c:pt idx="742">
                  <c:v>15.079999999999998</c:v>
                </c:pt>
                <c:pt idx="743">
                  <c:v>184.92000000000002</c:v>
                </c:pt>
                <c:pt idx="744">
                  <c:v>92.28</c:v>
                </c:pt>
                <c:pt idx="745">
                  <c:v>107.72</c:v>
                </c:pt>
                <c:pt idx="746">
                  <c:v>76.84</c:v>
                </c:pt>
                <c:pt idx="747">
                  <c:v>123.16</c:v>
                </c:pt>
                <c:pt idx="748">
                  <c:v>61.4</c:v>
                </c:pt>
                <c:pt idx="749">
                  <c:v>138.6</c:v>
                </c:pt>
                <c:pt idx="750">
                  <c:v>45.96</c:v>
                </c:pt>
                <c:pt idx="751">
                  <c:v>154.04</c:v>
                </c:pt>
                <c:pt idx="752">
                  <c:v>30.519999999999996</c:v>
                </c:pt>
                <c:pt idx="753">
                  <c:v>169.48000000000002</c:v>
                </c:pt>
                <c:pt idx="754">
                  <c:v>15.079999999999998</c:v>
                </c:pt>
                <c:pt idx="755">
                  <c:v>184.92000000000002</c:v>
                </c:pt>
                <c:pt idx="756">
                  <c:v>92.28</c:v>
                </c:pt>
                <c:pt idx="757">
                  <c:v>107.72</c:v>
                </c:pt>
                <c:pt idx="758">
                  <c:v>76.84</c:v>
                </c:pt>
                <c:pt idx="759">
                  <c:v>123.16</c:v>
                </c:pt>
                <c:pt idx="760">
                  <c:v>61.4</c:v>
                </c:pt>
                <c:pt idx="761">
                  <c:v>138.6</c:v>
                </c:pt>
                <c:pt idx="762">
                  <c:v>45.96</c:v>
                </c:pt>
                <c:pt idx="763">
                  <c:v>154.04</c:v>
                </c:pt>
                <c:pt idx="764">
                  <c:v>30.519999999999996</c:v>
                </c:pt>
                <c:pt idx="765">
                  <c:v>169.48000000000002</c:v>
                </c:pt>
                <c:pt idx="766">
                  <c:v>15.079999999999998</c:v>
                </c:pt>
                <c:pt idx="767">
                  <c:v>184.92000000000002</c:v>
                </c:pt>
                <c:pt idx="768">
                  <c:v>92.28</c:v>
                </c:pt>
                <c:pt idx="769">
                  <c:v>107.72</c:v>
                </c:pt>
                <c:pt idx="770">
                  <c:v>76.84</c:v>
                </c:pt>
                <c:pt idx="771">
                  <c:v>123.16</c:v>
                </c:pt>
                <c:pt idx="772">
                  <c:v>61.4</c:v>
                </c:pt>
                <c:pt idx="773">
                  <c:v>138.6</c:v>
                </c:pt>
                <c:pt idx="774">
                  <c:v>45.96</c:v>
                </c:pt>
                <c:pt idx="775">
                  <c:v>154.04</c:v>
                </c:pt>
                <c:pt idx="776">
                  <c:v>30.519999999999996</c:v>
                </c:pt>
                <c:pt idx="777">
                  <c:v>169.48000000000002</c:v>
                </c:pt>
                <c:pt idx="778">
                  <c:v>15.079999999999998</c:v>
                </c:pt>
                <c:pt idx="779">
                  <c:v>184.92000000000002</c:v>
                </c:pt>
                <c:pt idx="780">
                  <c:v>92.28</c:v>
                </c:pt>
                <c:pt idx="781">
                  <c:v>107.72</c:v>
                </c:pt>
                <c:pt idx="782">
                  <c:v>76.84</c:v>
                </c:pt>
                <c:pt idx="783">
                  <c:v>123.16</c:v>
                </c:pt>
                <c:pt idx="784">
                  <c:v>61.4</c:v>
                </c:pt>
                <c:pt idx="785">
                  <c:v>138.6</c:v>
                </c:pt>
                <c:pt idx="786">
                  <c:v>45.96</c:v>
                </c:pt>
                <c:pt idx="787">
                  <c:v>154.04</c:v>
                </c:pt>
                <c:pt idx="788">
                  <c:v>30.519999999999996</c:v>
                </c:pt>
                <c:pt idx="789">
                  <c:v>169.48000000000002</c:v>
                </c:pt>
                <c:pt idx="790">
                  <c:v>15.079999999999998</c:v>
                </c:pt>
                <c:pt idx="791">
                  <c:v>184.92000000000002</c:v>
                </c:pt>
                <c:pt idx="792">
                  <c:v>92.28</c:v>
                </c:pt>
                <c:pt idx="793">
                  <c:v>107.72</c:v>
                </c:pt>
                <c:pt idx="794">
                  <c:v>76.84</c:v>
                </c:pt>
                <c:pt idx="795">
                  <c:v>123.16</c:v>
                </c:pt>
                <c:pt idx="796">
                  <c:v>61.4</c:v>
                </c:pt>
                <c:pt idx="797">
                  <c:v>138.6</c:v>
                </c:pt>
                <c:pt idx="798">
                  <c:v>45.96</c:v>
                </c:pt>
                <c:pt idx="799">
                  <c:v>154.04</c:v>
                </c:pt>
                <c:pt idx="800">
                  <c:v>30.519999999999996</c:v>
                </c:pt>
                <c:pt idx="801">
                  <c:v>169.48000000000002</c:v>
                </c:pt>
                <c:pt idx="802">
                  <c:v>15.079999999999998</c:v>
                </c:pt>
                <c:pt idx="803">
                  <c:v>184.92000000000002</c:v>
                </c:pt>
                <c:pt idx="804">
                  <c:v>92.28</c:v>
                </c:pt>
                <c:pt idx="805">
                  <c:v>107.72</c:v>
                </c:pt>
                <c:pt idx="806">
                  <c:v>76.84</c:v>
                </c:pt>
                <c:pt idx="807">
                  <c:v>123.16</c:v>
                </c:pt>
                <c:pt idx="808">
                  <c:v>61.4</c:v>
                </c:pt>
                <c:pt idx="809">
                  <c:v>138.6</c:v>
                </c:pt>
                <c:pt idx="810">
                  <c:v>45.96</c:v>
                </c:pt>
                <c:pt idx="811">
                  <c:v>154.04</c:v>
                </c:pt>
                <c:pt idx="812">
                  <c:v>30.519999999999996</c:v>
                </c:pt>
                <c:pt idx="813">
                  <c:v>169.48000000000002</c:v>
                </c:pt>
                <c:pt idx="814">
                  <c:v>15.079999999999998</c:v>
                </c:pt>
                <c:pt idx="815">
                  <c:v>184.92000000000002</c:v>
                </c:pt>
                <c:pt idx="816">
                  <c:v>92.28</c:v>
                </c:pt>
                <c:pt idx="817">
                  <c:v>107.72</c:v>
                </c:pt>
                <c:pt idx="818">
                  <c:v>76.84</c:v>
                </c:pt>
                <c:pt idx="819">
                  <c:v>123.16</c:v>
                </c:pt>
                <c:pt idx="820">
                  <c:v>61.4</c:v>
                </c:pt>
                <c:pt idx="821">
                  <c:v>138.6</c:v>
                </c:pt>
                <c:pt idx="822">
                  <c:v>45.96</c:v>
                </c:pt>
                <c:pt idx="823">
                  <c:v>154.04</c:v>
                </c:pt>
                <c:pt idx="824">
                  <c:v>30.519999999999996</c:v>
                </c:pt>
                <c:pt idx="825">
                  <c:v>169.48000000000002</c:v>
                </c:pt>
                <c:pt idx="826">
                  <c:v>15.079999999999998</c:v>
                </c:pt>
                <c:pt idx="827">
                  <c:v>184.92000000000002</c:v>
                </c:pt>
                <c:pt idx="828">
                  <c:v>92.28</c:v>
                </c:pt>
                <c:pt idx="829">
                  <c:v>107.72</c:v>
                </c:pt>
                <c:pt idx="830">
                  <c:v>76.84</c:v>
                </c:pt>
                <c:pt idx="831">
                  <c:v>123.16</c:v>
                </c:pt>
                <c:pt idx="832">
                  <c:v>61.4</c:v>
                </c:pt>
                <c:pt idx="833">
                  <c:v>138.6</c:v>
                </c:pt>
                <c:pt idx="834">
                  <c:v>45.96</c:v>
                </c:pt>
                <c:pt idx="835">
                  <c:v>154.04</c:v>
                </c:pt>
                <c:pt idx="836">
                  <c:v>30.519999999999996</c:v>
                </c:pt>
                <c:pt idx="837">
                  <c:v>169.48000000000002</c:v>
                </c:pt>
                <c:pt idx="838">
                  <c:v>15.079999999999998</c:v>
                </c:pt>
                <c:pt idx="839">
                  <c:v>184.92000000000002</c:v>
                </c:pt>
                <c:pt idx="840">
                  <c:v>92.28</c:v>
                </c:pt>
                <c:pt idx="841">
                  <c:v>107.72</c:v>
                </c:pt>
                <c:pt idx="842">
                  <c:v>76.84</c:v>
                </c:pt>
                <c:pt idx="843">
                  <c:v>123.16</c:v>
                </c:pt>
                <c:pt idx="844">
                  <c:v>61.4</c:v>
                </c:pt>
                <c:pt idx="845">
                  <c:v>138.6</c:v>
                </c:pt>
                <c:pt idx="846">
                  <c:v>45.96</c:v>
                </c:pt>
                <c:pt idx="847">
                  <c:v>154.04</c:v>
                </c:pt>
                <c:pt idx="848">
                  <c:v>30.519999999999996</c:v>
                </c:pt>
                <c:pt idx="849">
                  <c:v>169.48000000000002</c:v>
                </c:pt>
                <c:pt idx="850">
                  <c:v>15.079999999999998</c:v>
                </c:pt>
                <c:pt idx="851">
                  <c:v>184.92000000000002</c:v>
                </c:pt>
                <c:pt idx="852">
                  <c:v>92.28</c:v>
                </c:pt>
                <c:pt idx="853">
                  <c:v>107.72</c:v>
                </c:pt>
                <c:pt idx="854">
                  <c:v>76.84</c:v>
                </c:pt>
                <c:pt idx="855">
                  <c:v>123.16</c:v>
                </c:pt>
                <c:pt idx="856">
                  <c:v>61.4</c:v>
                </c:pt>
                <c:pt idx="857">
                  <c:v>138.6</c:v>
                </c:pt>
                <c:pt idx="858">
                  <c:v>45.96</c:v>
                </c:pt>
                <c:pt idx="859">
                  <c:v>154.04</c:v>
                </c:pt>
                <c:pt idx="860">
                  <c:v>30.519999999999996</c:v>
                </c:pt>
                <c:pt idx="861">
                  <c:v>169.48000000000002</c:v>
                </c:pt>
                <c:pt idx="862">
                  <c:v>15.079999999999998</c:v>
                </c:pt>
                <c:pt idx="863">
                  <c:v>184.92000000000002</c:v>
                </c:pt>
                <c:pt idx="864">
                  <c:v>92.28</c:v>
                </c:pt>
                <c:pt idx="865">
                  <c:v>107.72</c:v>
                </c:pt>
                <c:pt idx="866">
                  <c:v>76.84</c:v>
                </c:pt>
                <c:pt idx="867">
                  <c:v>123.16</c:v>
                </c:pt>
                <c:pt idx="868">
                  <c:v>61.4</c:v>
                </c:pt>
                <c:pt idx="869">
                  <c:v>138.6</c:v>
                </c:pt>
                <c:pt idx="870">
                  <c:v>45.96</c:v>
                </c:pt>
                <c:pt idx="871">
                  <c:v>154.04</c:v>
                </c:pt>
                <c:pt idx="872">
                  <c:v>30.519999999999996</c:v>
                </c:pt>
                <c:pt idx="873">
                  <c:v>169.48000000000002</c:v>
                </c:pt>
                <c:pt idx="874">
                  <c:v>15.079999999999998</c:v>
                </c:pt>
                <c:pt idx="875">
                  <c:v>184.92000000000002</c:v>
                </c:pt>
                <c:pt idx="876">
                  <c:v>92.28</c:v>
                </c:pt>
                <c:pt idx="877">
                  <c:v>107.72</c:v>
                </c:pt>
                <c:pt idx="878">
                  <c:v>76.84</c:v>
                </c:pt>
                <c:pt idx="879">
                  <c:v>123.16</c:v>
                </c:pt>
                <c:pt idx="880">
                  <c:v>61.4</c:v>
                </c:pt>
                <c:pt idx="881">
                  <c:v>138.6</c:v>
                </c:pt>
                <c:pt idx="882">
                  <c:v>45.96</c:v>
                </c:pt>
                <c:pt idx="883">
                  <c:v>154.04</c:v>
                </c:pt>
                <c:pt idx="884">
                  <c:v>30.519999999999996</c:v>
                </c:pt>
                <c:pt idx="885">
                  <c:v>169.48000000000002</c:v>
                </c:pt>
                <c:pt idx="886">
                  <c:v>15.079999999999998</c:v>
                </c:pt>
                <c:pt idx="887">
                  <c:v>184.92000000000002</c:v>
                </c:pt>
                <c:pt idx="888">
                  <c:v>92.28</c:v>
                </c:pt>
                <c:pt idx="889">
                  <c:v>107.72</c:v>
                </c:pt>
                <c:pt idx="890">
                  <c:v>76.84</c:v>
                </c:pt>
                <c:pt idx="891">
                  <c:v>123.16</c:v>
                </c:pt>
                <c:pt idx="892">
                  <c:v>61.4</c:v>
                </c:pt>
                <c:pt idx="893">
                  <c:v>138.6</c:v>
                </c:pt>
                <c:pt idx="894">
                  <c:v>45.96</c:v>
                </c:pt>
                <c:pt idx="895">
                  <c:v>154.04</c:v>
                </c:pt>
                <c:pt idx="896">
                  <c:v>30.519999999999996</c:v>
                </c:pt>
                <c:pt idx="897">
                  <c:v>169.48000000000002</c:v>
                </c:pt>
                <c:pt idx="898">
                  <c:v>15.079999999999998</c:v>
                </c:pt>
                <c:pt idx="899">
                  <c:v>184.92000000000002</c:v>
                </c:pt>
                <c:pt idx="900">
                  <c:v>92.28</c:v>
                </c:pt>
                <c:pt idx="901">
                  <c:v>107.72</c:v>
                </c:pt>
                <c:pt idx="902">
                  <c:v>76.84</c:v>
                </c:pt>
                <c:pt idx="903">
                  <c:v>123.16</c:v>
                </c:pt>
                <c:pt idx="904">
                  <c:v>61.4</c:v>
                </c:pt>
                <c:pt idx="905">
                  <c:v>138.6</c:v>
                </c:pt>
                <c:pt idx="906">
                  <c:v>45.96</c:v>
                </c:pt>
                <c:pt idx="907">
                  <c:v>154.04</c:v>
                </c:pt>
                <c:pt idx="908">
                  <c:v>30.519999999999996</c:v>
                </c:pt>
                <c:pt idx="909">
                  <c:v>169.48000000000002</c:v>
                </c:pt>
                <c:pt idx="910">
                  <c:v>15.079999999999998</c:v>
                </c:pt>
                <c:pt idx="911">
                  <c:v>184.92000000000002</c:v>
                </c:pt>
                <c:pt idx="912">
                  <c:v>92.28</c:v>
                </c:pt>
                <c:pt idx="913">
                  <c:v>107.72</c:v>
                </c:pt>
                <c:pt idx="914">
                  <c:v>76.84</c:v>
                </c:pt>
                <c:pt idx="915">
                  <c:v>123.16</c:v>
                </c:pt>
                <c:pt idx="916">
                  <c:v>61.4</c:v>
                </c:pt>
                <c:pt idx="917">
                  <c:v>138.6</c:v>
                </c:pt>
                <c:pt idx="918">
                  <c:v>45.96</c:v>
                </c:pt>
                <c:pt idx="919">
                  <c:v>154.04</c:v>
                </c:pt>
                <c:pt idx="920">
                  <c:v>30.519999999999996</c:v>
                </c:pt>
                <c:pt idx="921">
                  <c:v>169.48000000000002</c:v>
                </c:pt>
                <c:pt idx="922">
                  <c:v>15.079999999999998</c:v>
                </c:pt>
                <c:pt idx="923">
                  <c:v>184.92000000000002</c:v>
                </c:pt>
                <c:pt idx="924">
                  <c:v>92.28</c:v>
                </c:pt>
                <c:pt idx="925">
                  <c:v>107.72</c:v>
                </c:pt>
                <c:pt idx="926">
                  <c:v>76.84</c:v>
                </c:pt>
                <c:pt idx="927">
                  <c:v>123.16</c:v>
                </c:pt>
                <c:pt idx="928">
                  <c:v>61.4</c:v>
                </c:pt>
                <c:pt idx="929">
                  <c:v>138.6</c:v>
                </c:pt>
                <c:pt idx="930">
                  <c:v>45.96</c:v>
                </c:pt>
                <c:pt idx="931">
                  <c:v>154.04</c:v>
                </c:pt>
                <c:pt idx="932">
                  <c:v>30.519999999999996</c:v>
                </c:pt>
                <c:pt idx="933">
                  <c:v>169.48000000000002</c:v>
                </c:pt>
                <c:pt idx="934">
                  <c:v>15.079999999999998</c:v>
                </c:pt>
                <c:pt idx="935">
                  <c:v>184.92000000000002</c:v>
                </c:pt>
                <c:pt idx="936">
                  <c:v>92.28</c:v>
                </c:pt>
                <c:pt idx="937">
                  <c:v>107.72</c:v>
                </c:pt>
                <c:pt idx="938">
                  <c:v>76.84</c:v>
                </c:pt>
                <c:pt idx="939">
                  <c:v>123.16</c:v>
                </c:pt>
                <c:pt idx="940">
                  <c:v>61.4</c:v>
                </c:pt>
                <c:pt idx="941">
                  <c:v>138.6</c:v>
                </c:pt>
                <c:pt idx="942">
                  <c:v>45.96</c:v>
                </c:pt>
                <c:pt idx="943">
                  <c:v>154.04</c:v>
                </c:pt>
                <c:pt idx="944">
                  <c:v>30.519999999999996</c:v>
                </c:pt>
                <c:pt idx="945">
                  <c:v>169.48000000000002</c:v>
                </c:pt>
                <c:pt idx="946">
                  <c:v>15.079999999999998</c:v>
                </c:pt>
                <c:pt idx="947">
                  <c:v>184.92000000000002</c:v>
                </c:pt>
                <c:pt idx="948">
                  <c:v>92.28</c:v>
                </c:pt>
                <c:pt idx="949">
                  <c:v>107.72</c:v>
                </c:pt>
                <c:pt idx="950">
                  <c:v>76.84</c:v>
                </c:pt>
                <c:pt idx="951">
                  <c:v>123.16</c:v>
                </c:pt>
                <c:pt idx="952">
                  <c:v>61.4</c:v>
                </c:pt>
                <c:pt idx="953">
                  <c:v>138.6</c:v>
                </c:pt>
                <c:pt idx="954">
                  <c:v>45.96</c:v>
                </c:pt>
                <c:pt idx="955">
                  <c:v>154.04</c:v>
                </c:pt>
                <c:pt idx="956">
                  <c:v>30.519999999999996</c:v>
                </c:pt>
                <c:pt idx="957">
                  <c:v>169.48000000000002</c:v>
                </c:pt>
                <c:pt idx="958">
                  <c:v>15.079999999999998</c:v>
                </c:pt>
                <c:pt idx="959">
                  <c:v>184.92000000000002</c:v>
                </c:pt>
                <c:pt idx="960">
                  <c:v>92.28</c:v>
                </c:pt>
                <c:pt idx="961">
                  <c:v>107.72</c:v>
                </c:pt>
                <c:pt idx="962">
                  <c:v>76.84</c:v>
                </c:pt>
                <c:pt idx="963">
                  <c:v>123.16</c:v>
                </c:pt>
                <c:pt idx="964">
                  <c:v>61.4</c:v>
                </c:pt>
                <c:pt idx="965">
                  <c:v>138.6</c:v>
                </c:pt>
                <c:pt idx="966">
                  <c:v>45.96</c:v>
                </c:pt>
                <c:pt idx="967">
                  <c:v>154.04</c:v>
                </c:pt>
                <c:pt idx="968">
                  <c:v>30.519999999999996</c:v>
                </c:pt>
                <c:pt idx="969">
                  <c:v>169.48000000000002</c:v>
                </c:pt>
                <c:pt idx="970">
                  <c:v>15.079999999999998</c:v>
                </c:pt>
                <c:pt idx="971">
                  <c:v>184.92000000000002</c:v>
                </c:pt>
                <c:pt idx="972">
                  <c:v>92.28</c:v>
                </c:pt>
                <c:pt idx="973">
                  <c:v>107.72</c:v>
                </c:pt>
                <c:pt idx="974">
                  <c:v>76.84</c:v>
                </c:pt>
                <c:pt idx="975">
                  <c:v>123.16</c:v>
                </c:pt>
                <c:pt idx="976">
                  <c:v>61.4</c:v>
                </c:pt>
                <c:pt idx="977">
                  <c:v>138.6</c:v>
                </c:pt>
                <c:pt idx="978">
                  <c:v>45.96</c:v>
                </c:pt>
                <c:pt idx="979">
                  <c:v>154.04</c:v>
                </c:pt>
                <c:pt idx="980">
                  <c:v>30.519999999999996</c:v>
                </c:pt>
                <c:pt idx="981">
                  <c:v>169.48000000000002</c:v>
                </c:pt>
                <c:pt idx="982">
                  <c:v>15.079999999999998</c:v>
                </c:pt>
                <c:pt idx="983">
                  <c:v>184.92000000000002</c:v>
                </c:pt>
                <c:pt idx="984">
                  <c:v>92.28</c:v>
                </c:pt>
                <c:pt idx="985">
                  <c:v>107.72</c:v>
                </c:pt>
                <c:pt idx="986">
                  <c:v>76.84</c:v>
                </c:pt>
                <c:pt idx="987">
                  <c:v>123.16</c:v>
                </c:pt>
                <c:pt idx="988">
                  <c:v>61.4</c:v>
                </c:pt>
                <c:pt idx="989">
                  <c:v>138.6</c:v>
                </c:pt>
                <c:pt idx="990">
                  <c:v>45.96</c:v>
                </c:pt>
                <c:pt idx="991">
                  <c:v>154.04</c:v>
                </c:pt>
                <c:pt idx="992">
                  <c:v>30.519999999999996</c:v>
                </c:pt>
                <c:pt idx="993">
                  <c:v>169.48000000000002</c:v>
                </c:pt>
                <c:pt idx="994">
                  <c:v>15.079999999999998</c:v>
                </c:pt>
                <c:pt idx="995">
                  <c:v>184.92000000000002</c:v>
                </c:pt>
                <c:pt idx="996">
                  <c:v>92.28</c:v>
                </c:pt>
                <c:pt idx="997">
                  <c:v>107.72</c:v>
                </c:pt>
                <c:pt idx="998">
                  <c:v>76.84</c:v>
                </c:pt>
                <c:pt idx="999">
                  <c:v>123.16</c:v>
                </c:pt>
              </c:numCache>
            </c:numRef>
          </c:xVal>
          <c:yVal>
            <c:numRef>
              <c:f>'Dance p'!$AS$92:$AS$1091</c:f>
              <c:numCache>
                <c:formatCode>General</c:formatCode>
                <c:ptCount val="1000"/>
                <c:pt idx="0">
                  <c:v>0.80500000000000005</c:v>
                </c:pt>
                <c:pt idx="1">
                  <c:v>0.80500000000000005</c:v>
                </c:pt>
                <c:pt idx="2">
                  <c:v>0.80500000000000005</c:v>
                </c:pt>
                <c:pt idx="3">
                  <c:v>0.80500000000000005</c:v>
                </c:pt>
                <c:pt idx="4">
                  <c:v>0.80500000000000005</c:v>
                </c:pt>
                <c:pt idx="5">
                  <c:v>0.80500000000000005</c:v>
                </c:pt>
                <c:pt idx="6">
                  <c:v>0.80500000000000005</c:v>
                </c:pt>
                <c:pt idx="7">
                  <c:v>0.80500000000000005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25-E39F-470B-B5CD-D5A3D761E019}"/>
            </c:ext>
          </c:extLst>
        </c:ser>
        <c:ser>
          <c:idx val="24"/>
          <c:order val="23"/>
          <c:spPr>
            <a:ln w="28575">
              <a:noFill/>
            </a:ln>
          </c:spPr>
          <c:marker>
            <c:symbol val="square"/>
            <c:size val="6"/>
            <c:spPr>
              <a:noFill/>
              <a:ln>
                <a:solidFill>
                  <a:srgbClr val="000000"/>
                </a:solidFill>
                <a:prstDash val="solid"/>
              </a:ln>
            </c:spPr>
          </c:marker>
          <c:xVal>
            <c:numRef>
              <c:f>'Dance p'!$AA$96:$AA$100</c:f>
              <c:numCache>
                <c:formatCode>General</c:formatCode>
                <c:ptCount val="5"/>
                <c:pt idx="0">
                  <c:v>#N/A</c:v>
                </c:pt>
                <c:pt idx="1">
                  <c:v>#N/A</c:v>
                </c:pt>
                <c:pt idx="2">
                  <c:v>538.6</c:v>
                </c:pt>
                <c:pt idx="3">
                  <c:v>#N/A</c:v>
                </c:pt>
                <c:pt idx="4">
                  <c:v>#N/A</c:v>
                </c:pt>
              </c:numCache>
            </c:numRef>
          </c:xVal>
          <c:yVal>
            <c:numRef>
              <c:f>'Dance p'!$AB$96:$AB$100</c:f>
              <c:numCache>
                <c:formatCode>General</c:formatCode>
                <c:ptCount val="5"/>
                <c:pt idx="0">
                  <c:v>#N/A</c:v>
                </c:pt>
                <c:pt idx="1">
                  <c:v>#N/A</c:v>
                </c:pt>
                <c:pt idx="2">
                  <c:v>0.80500000000000005</c:v>
                </c:pt>
                <c:pt idx="3">
                  <c:v>#N/A</c:v>
                </c:pt>
                <c:pt idx="4">
                  <c:v>#N/A</c:v>
                </c:pt>
              </c:numCache>
            </c:numRef>
          </c:yVal>
          <c:smooth val="0"/>
          <c:extLst>
            <c:ext xmlns:c16="http://schemas.microsoft.com/office/drawing/2014/chart" uri="{C3380CC4-5D6E-409C-BE32-E72D297353CC}">
              <c16:uniqueId val="{00000026-E39F-470B-B5CD-D5A3D761E019}"/>
            </c:ext>
          </c:extLst>
        </c:ser>
        <c:ser>
          <c:idx val="25"/>
          <c:order val="24"/>
          <c:spPr>
            <a:ln w="28575">
              <a:noFill/>
            </a:ln>
          </c:spPr>
          <c:marker>
            <c:symbol val="square"/>
            <c:size val="7"/>
            <c:spPr>
              <a:noFill/>
              <a:ln>
                <a:solidFill>
                  <a:srgbClr val="000000"/>
                </a:solidFill>
                <a:prstDash val="solid"/>
              </a:ln>
            </c:spPr>
          </c:marker>
          <c:xVal>
            <c:numRef>
              <c:f>'Dance p'!$AA$96:$AA$100</c:f>
              <c:numCache>
                <c:formatCode>General</c:formatCode>
                <c:ptCount val="5"/>
                <c:pt idx="0">
                  <c:v>#N/A</c:v>
                </c:pt>
                <c:pt idx="1">
                  <c:v>#N/A</c:v>
                </c:pt>
                <c:pt idx="2">
                  <c:v>538.6</c:v>
                </c:pt>
                <c:pt idx="3">
                  <c:v>#N/A</c:v>
                </c:pt>
                <c:pt idx="4">
                  <c:v>#N/A</c:v>
                </c:pt>
              </c:numCache>
            </c:numRef>
          </c:xVal>
          <c:yVal>
            <c:numRef>
              <c:f>'Dance p'!$AB$96:$AB$100</c:f>
              <c:numCache>
                <c:formatCode>General</c:formatCode>
                <c:ptCount val="5"/>
                <c:pt idx="0">
                  <c:v>#N/A</c:v>
                </c:pt>
                <c:pt idx="1">
                  <c:v>#N/A</c:v>
                </c:pt>
                <c:pt idx="2">
                  <c:v>0.80500000000000005</c:v>
                </c:pt>
                <c:pt idx="3">
                  <c:v>#N/A</c:v>
                </c:pt>
                <c:pt idx="4">
                  <c:v>#N/A</c:v>
                </c:pt>
              </c:numCache>
            </c:numRef>
          </c:yVal>
          <c:smooth val="0"/>
          <c:extLst>
            <c:ext xmlns:c16="http://schemas.microsoft.com/office/drawing/2014/chart" uri="{C3380CC4-5D6E-409C-BE32-E72D297353CC}">
              <c16:uniqueId val="{00000027-E39F-470B-B5CD-D5A3D761E019}"/>
            </c:ext>
          </c:extLst>
        </c:ser>
        <c:dLbls>
          <c:showLegendKey val="0"/>
          <c:showVal val="0"/>
          <c:showCatName val="0"/>
          <c:showSerName val="0"/>
          <c:showPercent val="0"/>
          <c:showBubbleSize val="0"/>
        </c:dLbls>
        <c:axId val="191042304"/>
        <c:axId val="191044224"/>
      </c:scatterChart>
      <c:valAx>
        <c:axId val="191042304"/>
        <c:scaling>
          <c:orientation val="minMax"/>
          <c:max val="1000"/>
          <c:min val="0"/>
        </c:scaling>
        <c:delete val="0"/>
        <c:axPos val="b"/>
        <c:numFmt formatCode="General" sourceLinked="1"/>
        <c:majorTickMark val="none"/>
        <c:minorTickMark val="none"/>
        <c:tickLblPos val="none"/>
        <c:spPr>
          <a:ln w="3175">
            <a:solidFill>
              <a:srgbClr val="000000"/>
            </a:solidFill>
            <a:prstDash val="solid"/>
          </a:ln>
        </c:spPr>
        <c:crossAx val="191044224"/>
        <c:crosses val="autoZero"/>
        <c:crossBetween val="midCat"/>
      </c:valAx>
      <c:valAx>
        <c:axId val="191044224"/>
        <c:scaling>
          <c:orientation val="minMax"/>
          <c:max val="100"/>
          <c:min val="0"/>
        </c:scaling>
        <c:delete val="0"/>
        <c:axPos val="l"/>
        <c:numFmt formatCode="General" sourceLinked="1"/>
        <c:majorTickMark val="none"/>
        <c:minorTickMark val="none"/>
        <c:tickLblPos val="none"/>
        <c:spPr>
          <a:ln w="9525">
            <a:noFill/>
          </a:ln>
        </c:spPr>
        <c:crossAx val="191042304"/>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200" verticalDpi="200"/>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358490566037736E-2"/>
          <c:y val="6.7385489087696555E-3"/>
          <c:w val="0.95754716981132071"/>
          <c:h val="0.94204913744599783"/>
        </c:manualLayout>
      </c:layout>
      <c:scatterChart>
        <c:scatterStyle val="lineMarker"/>
        <c:varyColors val="0"/>
        <c:ser>
          <c:idx val="0"/>
          <c:order val="0"/>
          <c:spPr>
            <a:ln w="28575">
              <a:noFill/>
            </a:ln>
          </c:spPr>
          <c:marker>
            <c:symbol val="picture"/>
            <c:spPr>
              <a:blipFill dpi="0" rotWithShape="0">
                <a:blip xmlns:r="http://schemas.openxmlformats.org/officeDocument/2006/relationships" r:embed="rId1"/>
                <a:srcRect/>
                <a:stretch>
                  <a:fillRect/>
                </a:stretch>
              </a:blipFill>
              <a:ln w="9525">
                <a:noFill/>
              </a:ln>
            </c:spPr>
          </c:marker>
          <c:xVal>
            <c:numRef>
              <c:f>'Dance p'!$CK$15:$CK$39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p'!$CL$15:$CL$39</c:f>
              <c:numCache>
                <c:formatCode>General</c:formatCode>
                <c:ptCount val="25"/>
                <c:pt idx="0">
                  <c:v>7.9</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00-6566-4956-9EC9-A852ED36421B}"/>
            </c:ext>
          </c:extLst>
        </c:ser>
        <c:ser>
          <c:idx val="1"/>
          <c:order val="1"/>
          <c:spPr>
            <a:ln w="28575">
              <a:noFill/>
            </a:ln>
          </c:spPr>
          <c:marker>
            <c:symbol val="picture"/>
            <c:spPr>
              <a:blipFill dpi="0" rotWithShape="0">
                <a:blip xmlns:r="http://schemas.openxmlformats.org/officeDocument/2006/relationships" r:embed="rId2"/>
                <a:srcRect/>
                <a:stretch>
                  <a:fillRect/>
                </a:stretch>
              </a:blipFill>
              <a:ln w="9525">
                <a:noFill/>
              </a:ln>
            </c:spPr>
          </c:marker>
          <c:xVal>
            <c:numRef>
              <c:f>'Dance p'!$CS$15:$CS$39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p'!$CT$15:$CT$39</c:f>
              <c:numCache>
                <c:formatCode>General</c:formatCode>
                <c:ptCount val="25"/>
                <c:pt idx="0">
                  <c:v>7.9</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01-6566-4956-9EC9-A852ED36421B}"/>
            </c:ext>
          </c:extLst>
        </c:ser>
        <c:ser>
          <c:idx val="2"/>
          <c:order val="2"/>
          <c:spPr>
            <a:ln w="28575">
              <a:noFill/>
            </a:ln>
          </c:spPr>
          <c:marker>
            <c:symbol val="picture"/>
            <c:spPr>
              <a:blipFill dpi="0" rotWithShape="0">
                <a:blip xmlns:r="http://schemas.openxmlformats.org/officeDocument/2006/relationships" r:embed="rId3"/>
                <a:srcRect/>
                <a:stretch>
                  <a:fillRect/>
                </a:stretch>
              </a:blipFill>
              <a:ln w="9525">
                <a:noFill/>
              </a:ln>
            </c:spPr>
          </c:marker>
          <c:xVal>
            <c:numRef>
              <c:f>'Dance p'!$CM$15:$CM$39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p'!$CN$15:$CN$39</c:f>
              <c:numCache>
                <c:formatCode>General</c:formatCode>
                <c:ptCount val="25"/>
                <c:pt idx="0">
                  <c:v>7.9</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02-6566-4956-9EC9-A852ED36421B}"/>
            </c:ext>
          </c:extLst>
        </c:ser>
        <c:ser>
          <c:idx val="3"/>
          <c:order val="3"/>
          <c:spPr>
            <a:ln w="28575">
              <a:noFill/>
            </a:ln>
          </c:spPr>
          <c:marker>
            <c:symbol val="picture"/>
            <c:spPr>
              <a:blipFill dpi="0" rotWithShape="0">
                <a:blip xmlns:r="http://schemas.openxmlformats.org/officeDocument/2006/relationships" r:embed="rId4"/>
                <a:srcRect/>
                <a:stretch>
                  <a:fillRect/>
                </a:stretch>
              </a:blipFill>
              <a:ln w="9525">
                <a:noFill/>
              </a:ln>
            </c:spPr>
          </c:marker>
          <c:xVal>
            <c:numRef>
              <c:f>'Dance p'!$CO$15:$CO$39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p'!$CP$15:$CP$39</c:f>
              <c:numCache>
                <c:formatCode>General</c:formatCode>
                <c:ptCount val="25"/>
                <c:pt idx="0">
                  <c:v>7.9</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03-6566-4956-9EC9-A852ED36421B}"/>
            </c:ext>
          </c:extLst>
        </c:ser>
        <c:ser>
          <c:idx val="4"/>
          <c:order val="4"/>
          <c:spPr>
            <a:ln w="28575">
              <a:noFill/>
            </a:ln>
          </c:spPr>
          <c:marker>
            <c:symbol val="picture"/>
            <c:spPr>
              <a:blipFill dpi="0" rotWithShape="0">
                <a:blip xmlns:r="http://schemas.openxmlformats.org/officeDocument/2006/relationships" r:embed="rId5"/>
                <a:srcRect/>
                <a:stretch>
                  <a:fillRect/>
                </a:stretch>
              </a:blipFill>
              <a:ln w="9525">
                <a:noFill/>
              </a:ln>
            </c:spPr>
          </c:marker>
          <c:xVal>
            <c:numRef>
              <c:f>'Dance p'!$CQ$15:$CQ$39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'Dance p'!$CR$15:$CR$39</c:f>
              <c:numCache>
                <c:formatCode>General</c:formatCode>
                <c:ptCount val="25"/>
                <c:pt idx="0">
                  <c:v>7.9</c:v>
                </c:pt>
                <c:pt idx="1">
                  <c:v>9</c:v>
                </c:pt>
                <c:pt idx="2">
                  <c:v>10</c:v>
                </c:pt>
                <c:pt idx="3">
                  <c:v>11</c:v>
                </c:pt>
                <c:pt idx="4">
                  <c:v>12</c:v>
                </c:pt>
                <c:pt idx="5">
                  <c:v>13</c:v>
                </c:pt>
                <c:pt idx="6">
                  <c:v>14</c:v>
                </c:pt>
                <c:pt idx="7">
                  <c:v>15</c:v>
                </c:pt>
                <c:pt idx="8">
                  <c:v>16</c:v>
                </c:pt>
                <c:pt idx="9">
                  <c:v>17</c:v>
                </c:pt>
                <c:pt idx="10">
                  <c:v>18</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numCache>
            </c:numRef>
          </c:yVal>
          <c:smooth val="0"/>
          <c:extLst>
            <c:ext xmlns:c16="http://schemas.microsoft.com/office/drawing/2014/chart" uri="{C3380CC4-5D6E-409C-BE32-E72D297353CC}">
              <c16:uniqueId val="{00000004-6566-4956-9EC9-A852ED36421B}"/>
            </c:ext>
          </c:extLst>
        </c:ser>
        <c:dLbls>
          <c:showLegendKey val="0"/>
          <c:showVal val="0"/>
          <c:showCatName val="0"/>
          <c:showSerName val="0"/>
          <c:showPercent val="0"/>
          <c:showBubbleSize val="0"/>
        </c:dLbls>
        <c:axId val="191526016"/>
        <c:axId val="191527552"/>
      </c:scatterChart>
      <c:valAx>
        <c:axId val="191526016"/>
        <c:scaling>
          <c:orientation val="minMax"/>
          <c:max val="1000"/>
          <c:min val="0"/>
        </c:scaling>
        <c:delete val="0"/>
        <c:axPos val="b"/>
        <c:numFmt formatCode="General" sourceLinked="1"/>
        <c:majorTickMark val="none"/>
        <c:minorTickMark val="none"/>
        <c:tickLblPos val="none"/>
        <c:spPr>
          <a:ln w="9525">
            <a:noFill/>
          </a:ln>
        </c:spPr>
        <c:crossAx val="191527552"/>
        <c:crosses val="max"/>
        <c:crossBetween val="midCat"/>
      </c:valAx>
      <c:valAx>
        <c:axId val="191527552"/>
        <c:scaling>
          <c:orientation val="maxMin"/>
          <c:max val="24"/>
          <c:min val="6.1"/>
        </c:scaling>
        <c:delete val="0"/>
        <c:axPos val="l"/>
        <c:numFmt formatCode="General" sourceLinked="1"/>
        <c:majorTickMark val="none"/>
        <c:minorTickMark val="none"/>
        <c:tickLblPos val="none"/>
        <c:spPr>
          <a:ln w="9525">
            <a:noFill/>
          </a:ln>
        </c:spPr>
        <c:crossAx val="19152601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200" verticalDpi="200"/>
  </c:printSettings>
  <c:userShapes r:id="rId6"/>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782729805013928E-2"/>
          <c:y val="0.28846424714775343"/>
          <c:w val="0.91922005571030641"/>
          <c:h val="0.90385464106296065"/>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dPt>
            <c:idx val="0"/>
            <c:marker>
              <c:symbol val="picture"/>
              <c:spPr>
                <a:blipFill dpi="0" rotWithShape="0">
                  <a:blip xmlns:r="http://schemas.openxmlformats.org/officeDocument/2006/relationships" r:embed="rId1"/>
                  <a:srcRect/>
                  <a:stretch>
                    <a:fillRect/>
                  </a:stretch>
                </a:blipFill>
                <a:ln w="9525">
                  <a:noFill/>
                </a:ln>
              </c:spPr>
            </c:marker>
            <c:bubble3D val="0"/>
            <c:extLst>
              <c:ext xmlns:c16="http://schemas.microsoft.com/office/drawing/2014/chart" uri="{C3380CC4-5D6E-409C-BE32-E72D297353CC}">
                <c16:uniqueId val="{00000000-084A-4DB1-BCF9-0BD01EB997FB}"/>
              </c:ext>
            </c:extLst>
          </c:dPt>
          <c:dPt>
            <c:idx val="1"/>
            <c:marker>
              <c:symbol val="picture"/>
              <c:spPr>
                <a:blipFill dpi="0" rotWithShape="0">
                  <a:blip xmlns:r="http://schemas.openxmlformats.org/officeDocument/2006/relationships" r:embed="rId2"/>
                  <a:srcRect/>
                  <a:stretch>
                    <a:fillRect/>
                  </a:stretch>
                </a:blipFill>
                <a:ln w="9525">
                  <a:noFill/>
                </a:ln>
              </c:spPr>
            </c:marker>
            <c:bubble3D val="0"/>
            <c:extLst>
              <c:ext xmlns:c16="http://schemas.microsoft.com/office/drawing/2014/chart" uri="{C3380CC4-5D6E-409C-BE32-E72D297353CC}">
                <c16:uniqueId val="{00000001-084A-4DB1-BCF9-0BD01EB997FB}"/>
              </c:ext>
            </c:extLst>
          </c:dPt>
          <c:dPt>
            <c:idx val="2"/>
            <c:marker>
              <c:symbol val="picture"/>
              <c:spPr>
                <a:blipFill dpi="0" rotWithShape="0">
                  <a:blip xmlns:r="http://schemas.openxmlformats.org/officeDocument/2006/relationships" r:embed="rId3"/>
                  <a:srcRect/>
                  <a:stretch>
                    <a:fillRect/>
                  </a:stretch>
                </a:blipFill>
                <a:ln w="9525">
                  <a:noFill/>
                </a:ln>
              </c:spPr>
            </c:marker>
            <c:bubble3D val="0"/>
            <c:extLst>
              <c:ext xmlns:c16="http://schemas.microsoft.com/office/drawing/2014/chart" uri="{C3380CC4-5D6E-409C-BE32-E72D297353CC}">
                <c16:uniqueId val="{00000002-084A-4DB1-BCF9-0BD01EB997FB}"/>
              </c:ext>
            </c:extLst>
          </c:dPt>
          <c:dPt>
            <c:idx val="3"/>
            <c:marker>
              <c:symbol val="picture"/>
              <c:spPr>
                <a:blipFill dpi="0" rotWithShape="0">
                  <a:blip xmlns:r="http://schemas.openxmlformats.org/officeDocument/2006/relationships" r:embed="rId4"/>
                  <a:srcRect/>
                  <a:stretch>
                    <a:fillRect/>
                  </a:stretch>
                </a:blipFill>
                <a:ln w="9525">
                  <a:noFill/>
                </a:ln>
              </c:spPr>
            </c:marker>
            <c:bubble3D val="0"/>
            <c:extLst>
              <c:ext xmlns:c16="http://schemas.microsoft.com/office/drawing/2014/chart" uri="{C3380CC4-5D6E-409C-BE32-E72D297353CC}">
                <c16:uniqueId val="{00000003-084A-4DB1-BCF9-0BD01EB997FB}"/>
              </c:ext>
            </c:extLst>
          </c:dPt>
          <c:dPt>
            <c:idx val="4"/>
            <c:marker>
              <c:symbol val="picture"/>
              <c:spPr>
                <a:blipFill dpi="0" rotWithShape="0">
                  <a:blip xmlns:r="http://schemas.openxmlformats.org/officeDocument/2006/relationships" r:embed="rId5"/>
                  <a:srcRect/>
                  <a:stretch>
                    <a:fillRect/>
                  </a:stretch>
                </a:blipFill>
                <a:ln w="9525">
                  <a:noFill/>
                </a:ln>
              </c:spPr>
            </c:marker>
            <c:bubble3D val="0"/>
            <c:extLst>
              <c:ext xmlns:c16="http://schemas.microsoft.com/office/drawing/2014/chart" uri="{C3380CC4-5D6E-409C-BE32-E72D297353CC}">
                <c16:uniqueId val="{00000004-084A-4DB1-BCF9-0BD01EB997FB}"/>
              </c:ext>
            </c:extLst>
          </c:dPt>
          <c:xVal>
            <c:numRef>
              <c:f>'Dance p'!$AA$102:$AA$106</c:f>
              <c:numCache>
                <c:formatCode>General</c:formatCode>
                <c:ptCount val="5"/>
                <c:pt idx="0">
                  <c:v>#N/A</c:v>
                </c:pt>
                <c:pt idx="1">
                  <c:v>#N/A</c:v>
                </c:pt>
                <c:pt idx="2">
                  <c:v>#N/A</c:v>
                </c:pt>
                <c:pt idx="3">
                  <c:v>#N/A</c:v>
                </c:pt>
                <c:pt idx="4">
                  <c:v>#N/A</c:v>
                </c:pt>
              </c:numCache>
            </c:numRef>
          </c:xVal>
          <c:yVal>
            <c:numRef>
              <c:f>'Dance p'!$AB$102:$AB$106</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5-084A-4DB1-BCF9-0BD01EB997FB}"/>
            </c:ext>
          </c:extLst>
        </c:ser>
        <c:ser>
          <c:idx val="1"/>
          <c:order val="1"/>
          <c:spPr>
            <a:ln w="28575">
              <a:noFill/>
            </a:ln>
          </c:spPr>
          <c:marker>
            <c:symbol val="square"/>
            <c:size val="5"/>
            <c:spPr>
              <a:solidFill>
                <a:srgbClr val="FF00FF"/>
              </a:solidFill>
              <a:ln>
                <a:solidFill>
                  <a:srgbClr val="FF00FF"/>
                </a:solidFill>
                <a:prstDash val="solid"/>
              </a:ln>
            </c:spPr>
          </c:marker>
          <c:dPt>
            <c:idx val="0"/>
            <c:marker>
              <c:symbol val="picture"/>
              <c:spPr>
                <a:blipFill dpi="0" rotWithShape="0">
                  <a:blip xmlns:r="http://schemas.openxmlformats.org/officeDocument/2006/relationships" r:embed="rId6"/>
                  <a:srcRect/>
                  <a:stretch>
                    <a:fillRect/>
                  </a:stretch>
                </a:blipFill>
                <a:ln w="9525">
                  <a:noFill/>
                </a:ln>
              </c:spPr>
            </c:marker>
            <c:bubble3D val="0"/>
            <c:extLst>
              <c:ext xmlns:c16="http://schemas.microsoft.com/office/drawing/2014/chart" uri="{C3380CC4-5D6E-409C-BE32-E72D297353CC}">
                <c16:uniqueId val="{00000006-084A-4DB1-BCF9-0BD01EB997FB}"/>
              </c:ext>
            </c:extLst>
          </c:dPt>
          <c:dPt>
            <c:idx val="1"/>
            <c:marker>
              <c:symbol val="picture"/>
              <c:spPr>
                <a:blipFill dpi="0" rotWithShape="0">
                  <a:blip xmlns:r="http://schemas.openxmlformats.org/officeDocument/2006/relationships" r:embed="rId7"/>
                  <a:srcRect/>
                  <a:stretch>
                    <a:fillRect/>
                  </a:stretch>
                </a:blipFill>
                <a:ln w="9525">
                  <a:noFill/>
                </a:ln>
              </c:spPr>
            </c:marker>
            <c:bubble3D val="0"/>
            <c:extLst>
              <c:ext xmlns:c16="http://schemas.microsoft.com/office/drawing/2014/chart" uri="{C3380CC4-5D6E-409C-BE32-E72D297353CC}">
                <c16:uniqueId val="{00000007-084A-4DB1-BCF9-0BD01EB997FB}"/>
              </c:ext>
            </c:extLst>
          </c:dPt>
          <c:dPt>
            <c:idx val="2"/>
            <c:marker>
              <c:symbol val="picture"/>
              <c:spPr>
                <a:blipFill dpi="0" rotWithShape="0">
                  <a:blip xmlns:r="http://schemas.openxmlformats.org/officeDocument/2006/relationships" r:embed="rId8"/>
                  <a:srcRect/>
                  <a:stretch>
                    <a:fillRect/>
                  </a:stretch>
                </a:blipFill>
                <a:ln w="9525">
                  <a:noFill/>
                </a:ln>
              </c:spPr>
            </c:marker>
            <c:bubble3D val="0"/>
            <c:extLst>
              <c:ext xmlns:c16="http://schemas.microsoft.com/office/drawing/2014/chart" uri="{C3380CC4-5D6E-409C-BE32-E72D297353CC}">
                <c16:uniqueId val="{00000008-084A-4DB1-BCF9-0BD01EB997FB}"/>
              </c:ext>
            </c:extLst>
          </c:dPt>
          <c:dPt>
            <c:idx val="3"/>
            <c:marker>
              <c:symbol val="picture"/>
              <c:spPr>
                <a:blipFill dpi="0" rotWithShape="0">
                  <a:blip xmlns:r="http://schemas.openxmlformats.org/officeDocument/2006/relationships" r:embed="rId9"/>
                  <a:srcRect/>
                  <a:stretch>
                    <a:fillRect/>
                  </a:stretch>
                </a:blipFill>
                <a:ln w="9525">
                  <a:noFill/>
                </a:ln>
              </c:spPr>
            </c:marker>
            <c:bubble3D val="0"/>
            <c:extLst>
              <c:ext xmlns:c16="http://schemas.microsoft.com/office/drawing/2014/chart" uri="{C3380CC4-5D6E-409C-BE32-E72D297353CC}">
                <c16:uniqueId val="{00000009-084A-4DB1-BCF9-0BD01EB997FB}"/>
              </c:ext>
            </c:extLst>
          </c:dPt>
          <c:dPt>
            <c:idx val="4"/>
            <c:marker>
              <c:symbol val="picture"/>
              <c:spPr>
                <a:blipFill dpi="0" rotWithShape="0">
                  <a:blip xmlns:r="http://schemas.openxmlformats.org/officeDocument/2006/relationships" r:embed="rId10"/>
                  <a:srcRect/>
                  <a:stretch>
                    <a:fillRect/>
                  </a:stretch>
                </a:blipFill>
                <a:ln w="9525">
                  <a:noFill/>
                </a:ln>
              </c:spPr>
            </c:marker>
            <c:bubble3D val="0"/>
            <c:extLst>
              <c:ext xmlns:c16="http://schemas.microsoft.com/office/drawing/2014/chart" uri="{C3380CC4-5D6E-409C-BE32-E72D297353CC}">
                <c16:uniqueId val="{0000000A-084A-4DB1-BCF9-0BD01EB997FB}"/>
              </c:ext>
            </c:extLst>
          </c:dPt>
          <c:xVal>
            <c:numRef>
              <c:f>'Dance p'!$AA$109:$AA$113</c:f>
              <c:numCache>
                <c:formatCode>General</c:formatCode>
                <c:ptCount val="5"/>
                <c:pt idx="0">
                  <c:v>#N/A</c:v>
                </c:pt>
                <c:pt idx="1">
                  <c:v>#N/A</c:v>
                </c:pt>
                <c:pt idx="2">
                  <c:v>#N/A</c:v>
                </c:pt>
                <c:pt idx="3">
                  <c:v>#N/A</c:v>
                </c:pt>
                <c:pt idx="4">
                  <c:v>#N/A</c:v>
                </c:pt>
              </c:numCache>
            </c:numRef>
          </c:xVal>
          <c:yVal>
            <c:numRef>
              <c:f>'Dance p'!$AB$109:$AB$113</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B-084A-4DB1-BCF9-0BD01EB997FB}"/>
            </c:ext>
          </c:extLst>
        </c:ser>
        <c:dLbls>
          <c:showLegendKey val="0"/>
          <c:showVal val="0"/>
          <c:showCatName val="0"/>
          <c:showSerName val="0"/>
          <c:showPercent val="0"/>
          <c:showBubbleSize val="0"/>
        </c:dLbls>
        <c:axId val="193989248"/>
        <c:axId val="193995136"/>
      </c:scatterChart>
      <c:valAx>
        <c:axId val="193989248"/>
        <c:scaling>
          <c:orientation val="minMax"/>
          <c:max val="5.0999999999999996"/>
          <c:min val="0.9"/>
        </c:scaling>
        <c:delete val="0"/>
        <c:axPos val="b"/>
        <c:numFmt formatCode="General" sourceLinked="1"/>
        <c:majorTickMark val="none"/>
        <c:minorTickMark val="none"/>
        <c:tickLblPos val="none"/>
        <c:spPr>
          <a:ln w="9525">
            <a:noFill/>
          </a:ln>
        </c:spPr>
        <c:crossAx val="193995136"/>
        <c:crosses val="autoZero"/>
        <c:crossBetween val="midCat"/>
      </c:valAx>
      <c:valAx>
        <c:axId val="193995136"/>
        <c:scaling>
          <c:orientation val="minMax"/>
          <c:max val="1.2"/>
          <c:min val="0.6"/>
        </c:scaling>
        <c:delete val="0"/>
        <c:axPos val="l"/>
        <c:numFmt formatCode="General" sourceLinked="1"/>
        <c:majorTickMark val="none"/>
        <c:minorTickMark val="none"/>
        <c:tickLblPos val="none"/>
        <c:spPr>
          <a:ln w="9525">
            <a:noFill/>
          </a:ln>
        </c:spPr>
        <c:crossAx val="193989248"/>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2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spPr>
            <a:ln w="28575">
              <a:noFill/>
            </a:ln>
          </c:spPr>
          <c:marker>
            <c:symbol val="picture"/>
            <c:spPr>
              <a:blipFill dpi="0" rotWithShape="0">
                <a:blip xmlns:r="http://schemas.openxmlformats.org/officeDocument/2006/relationships" r:embed="rId1"/>
                <a:srcRect/>
                <a:stretch>
                  <a:fillRect/>
                </a:stretch>
              </a:blipFill>
              <a:ln w="9525">
                <a:noFill/>
              </a:ln>
            </c:spPr>
          </c:marker>
          <c:xVal>
            <c:numRef>
              <c:f>'Dance p'!$BV$5</c:f>
              <c:numCache>
                <c:formatCode>General</c:formatCode>
                <c:ptCount val="1"/>
                <c:pt idx="0">
                  <c:v>#N/A</c:v>
                </c:pt>
              </c:numCache>
            </c:numRef>
          </c:xVal>
          <c:yVal>
            <c:numRef>
              <c:f>'Dance p'!$BW$5</c:f>
              <c:numCache>
                <c:formatCode>General</c:formatCode>
                <c:ptCount val="1"/>
                <c:pt idx="0">
                  <c:v>1</c:v>
                </c:pt>
              </c:numCache>
            </c:numRef>
          </c:yVal>
          <c:smooth val="0"/>
          <c:extLst>
            <c:ext xmlns:c16="http://schemas.microsoft.com/office/drawing/2014/chart" uri="{C3380CC4-5D6E-409C-BE32-E72D297353CC}">
              <c16:uniqueId val="{00000000-1619-4523-A6C5-31715577DDBF}"/>
            </c:ext>
          </c:extLst>
        </c:ser>
        <c:ser>
          <c:idx val="0"/>
          <c:order val="1"/>
          <c:spPr>
            <a:ln w="28575">
              <a:noFill/>
            </a:ln>
          </c:spPr>
          <c:marker>
            <c:symbol val="picture"/>
            <c:spPr>
              <a:blipFill dpi="0" rotWithShape="0">
                <a:blip xmlns:r="http://schemas.openxmlformats.org/officeDocument/2006/relationships" r:embed="rId2"/>
                <a:srcRect/>
                <a:stretch>
                  <a:fillRect/>
                </a:stretch>
              </a:blipFill>
              <a:ln w="9525">
                <a:noFill/>
              </a:ln>
            </c:spPr>
          </c:marker>
          <c:xVal>
            <c:numRef>
              <c:f>'Dance p'!$BV$6</c:f>
              <c:numCache>
                <c:formatCode>General</c:formatCode>
                <c:ptCount val="1"/>
                <c:pt idx="0">
                  <c:v>#N/A</c:v>
                </c:pt>
              </c:numCache>
            </c:numRef>
          </c:xVal>
          <c:yVal>
            <c:numRef>
              <c:f>'Dance p'!$BW$6</c:f>
              <c:numCache>
                <c:formatCode>General</c:formatCode>
                <c:ptCount val="1"/>
                <c:pt idx="0">
                  <c:v>1</c:v>
                </c:pt>
              </c:numCache>
            </c:numRef>
          </c:yVal>
          <c:smooth val="0"/>
          <c:extLst>
            <c:ext xmlns:c16="http://schemas.microsoft.com/office/drawing/2014/chart" uri="{C3380CC4-5D6E-409C-BE32-E72D297353CC}">
              <c16:uniqueId val="{00000001-1619-4523-A6C5-31715577DDBF}"/>
            </c:ext>
          </c:extLst>
        </c:ser>
        <c:ser>
          <c:idx val="1"/>
          <c:order val="2"/>
          <c:spPr>
            <a:ln w="28575">
              <a:noFill/>
            </a:ln>
          </c:spPr>
          <c:marker>
            <c:symbol val="picture"/>
            <c:spPr>
              <a:blipFill dpi="0" rotWithShape="0">
                <a:blip xmlns:r="http://schemas.openxmlformats.org/officeDocument/2006/relationships" r:embed="rId3"/>
                <a:srcRect/>
                <a:stretch>
                  <a:fillRect/>
                </a:stretch>
              </a:blipFill>
              <a:ln w="9525">
                <a:noFill/>
              </a:ln>
            </c:spPr>
          </c:marker>
          <c:xVal>
            <c:numRef>
              <c:f>'Dance p'!$BV$7</c:f>
              <c:numCache>
                <c:formatCode>General</c:formatCode>
                <c:ptCount val="1"/>
                <c:pt idx="0">
                  <c:v>#N/A</c:v>
                </c:pt>
              </c:numCache>
            </c:numRef>
          </c:xVal>
          <c:yVal>
            <c:numRef>
              <c:f>'Dance p'!$BW$7</c:f>
              <c:numCache>
                <c:formatCode>General</c:formatCode>
                <c:ptCount val="1"/>
                <c:pt idx="0">
                  <c:v>1</c:v>
                </c:pt>
              </c:numCache>
            </c:numRef>
          </c:yVal>
          <c:smooth val="0"/>
          <c:extLst>
            <c:ext xmlns:c16="http://schemas.microsoft.com/office/drawing/2014/chart" uri="{C3380CC4-5D6E-409C-BE32-E72D297353CC}">
              <c16:uniqueId val="{00000002-1619-4523-A6C5-31715577DDBF}"/>
            </c:ext>
          </c:extLst>
        </c:ser>
        <c:ser>
          <c:idx val="3"/>
          <c:order val="3"/>
          <c:spPr>
            <a:ln w="28575">
              <a:noFill/>
            </a:ln>
          </c:spPr>
          <c:marker>
            <c:symbol val="picture"/>
            <c:spPr>
              <a:blipFill dpi="0" rotWithShape="0">
                <a:blip xmlns:r="http://schemas.openxmlformats.org/officeDocument/2006/relationships" r:embed="rId4"/>
                <a:srcRect/>
                <a:stretch>
                  <a:fillRect/>
                </a:stretch>
              </a:blipFill>
              <a:ln w="9525">
                <a:noFill/>
              </a:ln>
            </c:spPr>
          </c:marker>
          <c:xVal>
            <c:numRef>
              <c:f>'Dance p'!$BV$8</c:f>
              <c:numCache>
                <c:formatCode>General</c:formatCode>
                <c:ptCount val="1"/>
                <c:pt idx="0">
                  <c:v>#N/A</c:v>
                </c:pt>
              </c:numCache>
            </c:numRef>
          </c:xVal>
          <c:yVal>
            <c:numRef>
              <c:f>'Dance p'!$BW$8</c:f>
              <c:numCache>
                <c:formatCode>General</c:formatCode>
                <c:ptCount val="1"/>
                <c:pt idx="0">
                  <c:v>1</c:v>
                </c:pt>
              </c:numCache>
            </c:numRef>
          </c:yVal>
          <c:smooth val="0"/>
          <c:extLst>
            <c:ext xmlns:c16="http://schemas.microsoft.com/office/drawing/2014/chart" uri="{C3380CC4-5D6E-409C-BE32-E72D297353CC}">
              <c16:uniqueId val="{00000003-1619-4523-A6C5-31715577DDBF}"/>
            </c:ext>
          </c:extLst>
        </c:ser>
        <c:ser>
          <c:idx val="4"/>
          <c:order val="4"/>
          <c:spPr>
            <a:ln w="28575">
              <a:noFill/>
            </a:ln>
          </c:spPr>
          <c:marker>
            <c:symbol val="picture"/>
            <c:spPr>
              <a:blipFill dpi="0" rotWithShape="0">
                <a:blip xmlns:r="http://schemas.openxmlformats.org/officeDocument/2006/relationships" r:embed="rId5"/>
                <a:srcRect/>
                <a:stretch>
                  <a:fillRect/>
                </a:stretch>
              </a:blipFill>
              <a:ln w="9525">
                <a:noFill/>
              </a:ln>
            </c:spPr>
          </c:marker>
          <c:xVal>
            <c:numRef>
              <c:f>'Dance p'!$BV$9</c:f>
              <c:numCache>
                <c:formatCode>General</c:formatCode>
                <c:ptCount val="1"/>
                <c:pt idx="0">
                  <c:v>#N/A</c:v>
                </c:pt>
              </c:numCache>
            </c:numRef>
          </c:xVal>
          <c:yVal>
            <c:numRef>
              <c:f>'Dance p'!$BW$9</c:f>
              <c:numCache>
                <c:formatCode>General</c:formatCode>
                <c:ptCount val="1"/>
                <c:pt idx="0">
                  <c:v>1</c:v>
                </c:pt>
              </c:numCache>
            </c:numRef>
          </c:yVal>
          <c:smooth val="0"/>
          <c:extLst>
            <c:ext xmlns:c16="http://schemas.microsoft.com/office/drawing/2014/chart" uri="{C3380CC4-5D6E-409C-BE32-E72D297353CC}">
              <c16:uniqueId val="{00000004-1619-4523-A6C5-31715577DDBF}"/>
            </c:ext>
          </c:extLst>
        </c:ser>
        <c:dLbls>
          <c:showLegendKey val="0"/>
          <c:showVal val="0"/>
          <c:showCatName val="0"/>
          <c:showSerName val="0"/>
          <c:showPercent val="0"/>
          <c:showBubbleSize val="0"/>
        </c:dLbls>
        <c:axId val="194027520"/>
        <c:axId val="194029440"/>
      </c:scatterChart>
      <c:valAx>
        <c:axId val="194027520"/>
        <c:scaling>
          <c:orientation val="minMax"/>
          <c:max val="2"/>
          <c:min val="0.2"/>
        </c:scaling>
        <c:delete val="0"/>
        <c:axPos val="b"/>
        <c:numFmt formatCode="General" sourceLinked="1"/>
        <c:majorTickMark val="none"/>
        <c:minorTickMark val="none"/>
        <c:tickLblPos val="none"/>
        <c:spPr>
          <a:ln w="9525">
            <a:noFill/>
          </a:ln>
        </c:spPr>
        <c:crossAx val="194029440"/>
        <c:crosses val="autoZero"/>
        <c:crossBetween val="midCat"/>
      </c:valAx>
      <c:valAx>
        <c:axId val="194029440"/>
        <c:scaling>
          <c:orientation val="minMax"/>
          <c:max val="1.5"/>
          <c:min val="0.1"/>
        </c:scaling>
        <c:delete val="0"/>
        <c:axPos val="l"/>
        <c:numFmt formatCode="General" sourceLinked="1"/>
        <c:majorTickMark val="none"/>
        <c:minorTickMark val="none"/>
        <c:tickLblPos val="none"/>
        <c:spPr>
          <a:ln w="9525">
            <a:noFill/>
          </a:ln>
        </c:spPr>
        <c:crossAx val="194027520"/>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01322770386033E-2"/>
          <c:y val="1.101322770386033E-2"/>
          <c:w val="0.98017726564356933"/>
          <c:h val="0.98017726564356933"/>
        </c:manualLayout>
      </c:layout>
      <c:scatterChart>
        <c:scatterStyle val="lineMarker"/>
        <c:varyColors val="0"/>
        <c:ser>
          <c:idx val="1"/>
          <c:order val="0"/>
          <c:spPr>
            <a:ln w="28575">
              <a:noFill/>
            </a:ln>
          </c:spPr>
          <c:marker>
            <c:symbol val="circle"/>
            <c:size val="3"/>
            <c:spPr>
              <a:solidFill>
                <a:srgbClr val="000000"/>
              </a:solidFill>
              <a:ln>
                <a:solidFill>
                  <a:srgbClr val="000000"/>
                </a:solidFill>
                <a:prstDash val="solid"/>
              </a:ln>
            </c:spPr>
          </c:marker>
          <c:xVal>
            <c:numRef>
              <c:f>Random!$N$60:$N$1059</c:f>
              <c:numCache>
                <c:formatCode>General</c:formatCode>
                <c:ptCount val="1000"/>
                <c:pt idx="0">
                  <c:v>1.1797366142272949</c:v>
                </c:pt>
                <c:pt idx="1">
                  <c:v>1.2747371196746826</c:v>
                </c:pt>
                <c:pt idx="2">
                  <c:v>1.2520046234130859</c:v>
                </c:pt>
                <c:pt idx="3">
                  <c:v>1.2710239887237549</c:v>
                </c:pt>
                <c:pt idx="4">
                  <c:v>1.5000691413879395</c:v>
                </c:pt>
                <c:pt idx="5">
                  <c:v>1.8193280696868896</c:v>
                </c:pt>
                <c:pt idx="6">
                  <c:v>1.7740278244018555</c:v>
                </c:pt>
                <c:pt idx="7">
                  <c:v>1.7775595188140869</c:v>
                </c:pt>
                <c:pt idx="8">
                  <c:v>1.564603328704834</c:v>
                </c:pt>
                <c:pt idx="9">
                  <c:v>1.8942534923553467</c:v>
                </c:pt>
                <c:pt idx="10">
                  <c:v>1.503143310546875</c:v>
                </c:pt>
                <c:pt idx="11">
                  <c:v>1.3085701465606689</c:v>
                </c:pt>
                <c:pt idx="12">
                  <c:v>1.8616204261779785</c:v>
                </c:pt>
                <c:pt idx="13">
                  <c:v>1.0502946376800537</c:v>
                </c:pt>
                <c:pt idx="14">
                  <c:v>1.0526323318481445</c:v>
                </c:pt>
                <c:pt idx="15">
                  <c:v>1.539837121963501</c:v>
                </c:pt>
                <c:pt idx="16">
                  <c:v>1.129401683807373</c:v>
                </c:pt>
                <c:pt idx="17">
                  <c:v>1.0882327556610107</c:v>
                </c:pt>
                <c:pt idx="18">
                  <c:v>1.2857761383056641</c:v>
                </c:pt>
                <c:pt idx="19">
                  <c:v>1.397141695022583</c:v>
                </c:pt>
                <c:pt idx="20">
                  <c:v>1.3562283515930176</c:v>
                </c:pt>
                <c:pt idx="21">
                  <c:v>1.0588490962982178</c:v>
                </c:pt>
                <c:pt idx="22">
                  <c:v>1.3158559799194336</c:v>
                </c:pt>
                <c:pt idx="23">
                  <c:v>1.056265115737915</c:v>
                </c:pt>
                <c:pt idx="24">
                  <c:v>1.7803816795349121</c:v>
                </c:pt>
                <c:pt idx="25">
                  <c:v>1.2629249095916748</c:v>
                </c:pt>
                <c:pt idx="26">
                  <c:v>1.606745719909668</c:v>
                </c:pt>
                <c:pt idx="27">
                  <c:v>1.3473474979400635</c:v>
                </c:pt>
                <c:pt idx="28">
                  <c:v>1.4073805809020996</c:v>
                </c:pt>
                <c:pt idx="29">
                  <c:v>1.0444743633270264</c:v>
                </c:pt>
                <c:pt idx="30">
                  <c:v>1.3766098022460938</c:v>
                </c:pt>
                <c:pt idx="31">
                  <c:v>1.2102444171905518</c:v>
                </c:pt>
                <c:pt idx="32">
                  <c:v>1.1184372901916504</c:v>
                </c:pt>
                <c:pt idx="33">
                  <c:v>1.7689740657806396</c:v>
                </c:pt>
                <c:pt idx="34">
                  <c:v>1.5024919509887695</c:v>
                </c:pt>
                <c:pt idx="35">
                  <c:v>1.3696141242980957</c:v>
                </c:pt>
                <c:pt idx="36">
                  <c:v>1.0337216854095459</c:v>
                </c:pt>
                <c:pt idx="37">
                  <c:v>1.4211606979370117</c:v>
                </c:pt>
                <c:pt idx="38">
                  <c:v>1.9765722751617432</c:v>
                </c:pt>
                <c:pt idx="39">
                  <c:v>1.9658865928649902</c:v>
                </c:pt>
                <c:pt idx="40">
                  <c:v>1.1794478893280029</c:v>
                </c:pt>
                <c:pt idx="41">
                  <c:v>1.8851394653320313</c:v>
                </c:pt>
                <c:pt idx="42">
                  <c:v>1.0315086841583252</c:v>
                </c:pt>
                <c:pt idx="43">
                  <c:v>1.7008919715881348</c:v>
                </c:pt>
                <c:pt idx="44">
                  <c:v>1.81253981590271</c:v>
                </c:pt>
                <c:pt idx="45">
                  <c:v>1.0757417678833008</c:v>
                </c:pt>
                <c:pt idx="46">
                  <c:v>1.1929514408111572</c:v>
                </c:pt>
                <c:pt idx="47">
                  <c:v>1.3129115104675293</c:v>
                </c:pt>
                <c:pt idx="48">
                  <c:v>1.733778715133667</c:v>
                </c:pt>
                <c:pt idx="49">
                  <c:v>1.8562488555908203</c:v>
                </c:pt>
                <c:pt idx="50">
                  <c:v>1.3866817951202393</c:v>
                </c:pt>
                <c:pt idx="51">
                  <c:v>1.3323512077331543</c:v>
                </c:pt>
                <c:pt idx="52">
                  <c:v>1.3399419784545898</c:v>
                </c:pt>
                <c:pt idx="53">
                  <c:v>1.3711180686950684</c:v>
                </c:pt>
                <c:pt idx="54">
                  <c:v>1.8938224315643311</c:v>
                </c:pt>
                <c:pt idx="55">
                  <c:v>1.8901023864746094</c:v>
                </c:pt>
                <c:pt idx="56">
                  <c:v>1.8241302967071533</c:v>
                </c:pt>
                <c:pt idx="57">
                  <c:v>1.5438675880432129</c:v>
                </c:pt>
                <c:pt idx="58">
                  <c:v>1.9841897487640381</c:v>
                </c:pt>
                <c:pt idx="59">
                  <c:v>1.1200113296508789</c:v>
                </c:pt>
                <c:pt idx="60">
                  <c:v>1.1694109439849854</c:v>
                </c:pt>
                <c:pt idx="61">
                  <c:v>1.0467562675476074</c:v>
                </c:pt>
                <c:pt idx="62">
                  <c:v>1.0658290386199951</c:v>
                </c:pt>
                <c:pt idx="63">
                  <c:v>1.8929500579833984</c:v>
                </c:pt>
                <c:pt idx="64">
                  <c:v>1.2559187412261963</c:v>
                </c:pt>
                <c:pt idx="65">
                  <c:v>1.4157137870788574</c:v>
                </c:pt>
                <c:pt idx="66">
                  <c:v>1.2585265636444092</c:v>
                </c:pt>
                <c:pt idx="67">
                  <c:v>1.3789005279541016</c:v>
                </c:pt>
                <c:pt idx="68">
                  <c:v>1.1848556995391846</c:v>
                </c:pt>
                <c:pt idx="69">
                  <c:v>1.9760136604309082</c:v>
                </c:pt>
                <c:pt idx="70">
                  <c:v>1.2717225551605225</c:v>
                </c:pt>
                <c:pt idx="71">
                  <c:v>1.3891820907592773</c:v>
                </c:pt>
                <c:pt idx="72">
                  <c:v>1.2715685367584229</c:v>
                </c:pt>
                <c:pt idx="73">
                  <c:v>1.566159725189209</c:v>
                </c:pt>
                <c:pt idx="74">
                  <c:v>1.9524600505828857</c:v>
                </c:pt>
                <c:pt idx="75">
                  <c:v>1.7203254699707031</c:v>
                </c:pt>
                <c:pt idx="76">
                  <c:v>1.5980885028839111</c:v>
                </c:pt>
                <c:pt idx="77">
                  <c:v>1.8306832313537598</c:v>
                </c:pt>
                <c:pt idx="78">
                  <c:v>1.507770299911499</c:v>
                </c:pt>
                <c:pt idx="79">
                  <c:v>1.1418619155883789</c:v>
                </c:pt>
                <c:pt idx="80">
                  <c:v>1.4964468479156494</c:v>
                </c:pt>
                <c:pt idx="81">
                  <c:v>1.6641154289245605</c:v>
                </c:pt>
                <c:pt idx="82">
                  <c:v>1.3946845531463623</c:v>
                </c:pt>
                <c:pt idx="83">
                  <c:v>1.6733226776123047</c:v>
                </c:pt>
                <c:pt idx="84">
                  <c:v>1.8407607078552246</c:v>
                </c:pt>
                <c:pt idx="85">
                  <c:v>1.7161262035369873</c:v>
                </c:pt>
                <c:pt idx="86">
                  <c:v>1.7779579162597656</c:v>
                </c:pt>
                <c:pt idx="87">
                  <c:v>1.5216782093048096</c:v>
                </c:pt>
                <c:pt idx="88">
                  <c:v>1.3264985084533691</c:v>
                </c:pt>
                <c:pt idx="89">
                  <c:v>1.1585443019866943</c:v>
                </c:pt>
                <c:pt idx="90">
                  <c:v>1.3941421508789063</c:v>
                </c:pt>
                <c:pt idx="91">
                  <c:v>1.0486254692077637</c:v>
                </c:pt>
                <c:pt idx="92">
                  <c:v>1.9984843730926514</c:v>
                </c:pt>
                <c:pt idx="93">
                  <c:v>1.7192821502685547</c:v>
                </c:pt>
                <c:pt idx="94">
                  <c:v>1.4642536640167236</c:v>
                </c:pt>
                <c:pt idx="95">
                  <c:v>1.9954228401184082</c:v>
                </c:pt>
                <c:pt idx="96">
                  <c:v>1.2867276668548584</c:v>
                </c:pt>
                <c:pt idx="97">
                  <c:v>1.4771451950073242</c:v>
                </c:pt>
                <c:pt idx="98">
                  <c:v>1.0738165378570557</c:v>
                </c:pt>
                <c:pt idx="99">
                  <c:v>1.4051718711853027</c:v>
                </c:pt>
                <c:pt idx="100">
                  <c:v>1.2994096279144287</c:v>
                </c:pt>
                <c:pt idx="101">
                  <c:v>1.9266045093536377</c:v>
                </c:pt>
                <c:pt idx="102">
                  <c:v>1.7661538124084473</c:v>
                </c:pt>
                <c:pt idx="103">
                  <c:v>1.773604154586792</c:v>
                </c:pt>
                <c:pt idx="104">
                  <c:v>1.7642478942871094</c:v>
                </c:pt>
                <c:pt idx="105">
                  <c:v>1.1870548725128174</c:v>
                </c:pt>
                <c:pt idx="106">
                  <c:v>1.068209171295166</c:v>
                </c:pt>
                <c:pt idx="107">
                  <c:v>1.7786214351654053</c:v>
                </c:pt>
                <c:pt idx="108">
                  <c:v>1.6120538711547852</c:v>
                </c:pt>
                <c:pt idx="109">
                  <c:v>1.6132452487945557</c:v>
                </c:pt>
                <c:pt idx="110">
                  <c:v>1.6560359001159668</c:v>
                </c:pt>
                <c:pt idx="111">
                  <c:v>1.7714927196502686</c:v>
                </c:pt>
                <c:pt idx="112">
                  <c:v>1.9521315097808838</c:v>
                </c:pt>
                <c:pt idx="113">
                  <c:v>1.1893095970153809</c:v>
                </c:pt>
                <c:pt idx="114">
                  <c:v>1.7298362255096436</c:v>
                </c:pt>
                <c:pt idx="115">
                  <c:v>1.1697196960449219</c:v>
                </c:pt>
                <c:pt idx="116">
                  <c:v>1.0356323719024658</c:v>
                </c:pt>
                <c:pt idx="117">
                  <c:v>1.2380356788635254</c:v>
                </c:pt>
                <c:pt idx="118">
                  <c:v>1.7743051052093506</c:v>
                </c:pt>
                <c:pt idx="119">
                  <c:v>1.6818552017211914</c:v>
                </c:pt>
                <c:pt idx="120">
                  <c:v>1.2412645816802979</c:v>
                </c:pt>
                <c:pt idx="121">
                  <c:v>1.4294009208679199</c:v>
                </c:pt>
                <c:pt idx="122">
                  <c:v>1.9975430965423584</c:v>
                </c:pt>
                <c:pt idx="123">
                  <c:v>1.6103334426879883</c:v>
                </c:pt>
                <c:pt idx="124">
                  <c:v>1.9895155429840088</c:v>
                </c:pt>
                <c:pt idx="125">
                  <c:v>1.8995547294616699</c:v>
                </c:pt>
                <c:pt idx="126">
                  <c:v>1.8859968185424805</c:v>
                </c:pt>
                <c:pt idx="127">
                  <c:v>1.9720480442047119</c:v>
                </c:pt>
                <c:pt idx="128">
                  <c:v>1.443173885345459</c:v>
                </c:pt>
                <c:pt idx="129">
                  <c:v>1.049752950668335</c:v>
                </c:pt>
                <c:pt idx="130">
                  <c:v>1.4721441268920898</c:v>
                </c:pt>
                <c:pt idx="131">
                  <c:v>1.0539934635162354</c:v>
                </c:pt>
                <c:pt idx="132">
                  <c:v>1.0050787925720215</c:v>
                </c:pt>
                <c:pt idx="133">
                  <c:v>1.5674045085906982</c:v>
                </c:pt>
                <c:pt idx="134">
                  <c:v>1.7158913612365723</c:v>
                </c:pt>
                <c:pt idx="135">
                  <c:v>1.5911045074462891</c:v>
                </c:pt>
                <c:pt idx="136">
                  <c:v>1.253739595413208</c:v>
                </c:pt>
                <c:pt idx="137">
                  <c:v>1.8656582832336426</c:v>
                </c:pt>
                <c:pt idx="138">
                  <c:v>1.6209571361541748</c:v>
                </c:pt>
                <c:pt idx="139">
                  <c:v>1.0639019012451172</c:v>
                </c:pt>
                <c:pt idx="140">
                  <c:v>1.4167647361755371</c:v>
                </c:pt>
                <c:pt idx="141">
                  <c:v>1.3209207057952881</c:v>
                </c:pt>
                <c:pt idx="142">
                  <c:v>1.702357292175293</c:v>
                </c:pt>
                <c:pt idx="143">
                  <c:v>1.2168848514556885</c:v>
                </c:pt>
                <c:pt idx="144">
                  <c:v>1.9649062156677246</c:v>
                </c:pt>
                <c:pt idx="145">
                  <c:v>1.3290507793426514</c:v>
                </c:pt>
                <c:pt idx="146">
                  <c:v>1.5522994995117188</c:v>
                </c:pt>
                <c:pt idx="147">
                  <c:v>1.1890826225280762</c:v>
                </c:pt>
                <c:pt idx="148">
                  <c:v>1.9380137920379639</c:v>
                </c:pt>
                <c:pt idx="149">
                  <c:v>1.3836650848388672</c:v>
                </c:pt>
                <c:pt idx="150">
                  <c:v>1.627798318862915</c:v>
                </c:pt>
                <c:pt idx="151">
                  <c:v>1.3053586483001709</c:v>
                </c:pt>
                <c:pt idx="152">
                  <c:v>1.5487546920776367</c:v>
                </c:pt>
                <c:pt idx="153">
                  <c:v>1.4366858005523682</c:v>
                </c:pt>
                <c:pt idx="154">
                  <c:v>1.3600821495056152</c:v>
                </c:pt>
                <c:pt idx="155">
                  <c:v>1.5227525234222412</c:v>
                </c:pt>
                <c:pt idx="156">
                  <c:v>1.3163595199584961</c:v>
                </c:pt>
                <c:pt idx="157">
                  <c:v>1.9647727012634277</c:v>
                </c:pt>
                <c:pt idx="158">
                  <c:v>1.2075614929199219</c:v>
                </c:pt>
                <c:pt idx="159">
                  <c:v>1.1579563617706299</c:v>
                </c:pt>
                <c:pt idx="160">
                  <c:v>1.9882924556732178</c:v>
                </c:pt>
                <c:pt idx="161">
                  <c:v>1.6579065322875977</c:v>
                </c:pt>
                <c:pt idx="162">
                  <c:v>1.3898108005523682</c:v>
                </c:pt>
                <c:pt idx="163">
                  <c:v>1.6203455924987793</c:v>
                </c:pt>
                <c:pt idx="164">
                  <c:v>1.6869258880615234</c:v>
                </c:pt>
                <c:pt idx="165">
                  <c:v>1.7442848682403564</c:v>
                </c:pt>
                <c:pt idx="166">
                  <c:v>1.6491513252258301</c:v>
                </c:pt>
                <c:pt idx="167">
                  <c:v>1.4649620056152344</c:v>
                </c:pt>
                <c:pt idx="168">
                  <c:v>1.5127594470977783</c:v>
                </c:pt>
                <c:pt idx="169">
                  <c:v>1.4478287696838379</c:v>
                </c:pt>
                <c:pt idx="170">
                  <c:v>1.2593240737915039</c:v>
                </c:pt>
                <c:pt idx="171">
                  <c:v>1.5787432193756104</c:v>
                </c:pt>
                <c:pt idx="172">
                  <c:v>1.3276705741882324</c:v>
                </c:pt>
                <c:pt idx="173">
                  <c:v>1.9448878765106201</c:v>
                </c:pt>
                <c:pt idx="174">
                  <c:v>1.2217159271240234</c:v>
                </c:pt>
                <c:pt idx="175">
                  <c:v>1.1137373447418213</c:v>
                </c:pt>
                <c:pt idx="176">
                  <c:v>1.0240206718444824</c:v>
                </c:pt>
                <c:pt idx="177">
                  <c:v>1.6563842296600342</c:v>
                </c:pt>
                <c:pt idx="178">
                  <c:v>1.4677298069000244</c:v>
                </c:pt>
                <c:pt idx="179">
                  <c:v>1.1558966636657715</c:v>
                </c:pt>
                <c:pt idx="180">
                  <c:v>1.4765136241912842</c:v>
                </c:pt>
                <c:pt idx="181">
                  <c:v>1.3537139892578125</c:v>
                </c:pt>
                <c:pt idx="182">
                  <c:v>1.8922951221466064</c:v>
                </c:pt>
                <c:pt idx="183">
                  <c:v>1.830843448638916</c:v>
                </c:pt>
                <c:pt idx="184">
                  <c:v>1.6069526672363281</c:v>
                </c:pt>
                <c:pt idx="185">
                  <c:v>1.5398914813995361</c:v>
                </c:pt>
                <c:pt idx="186">
                  <c:v>1.3326022624969482</c:v>
                </c:pt>
                <c:pt idx="187">
                  <c:v>1.7672061920166016</c:v>
                </c:pt>
                <c:pt idx="188">
                  <c:v>1.0495779514312744</c:v>
                </c:pt>
                <c:pt idx="189">
                  <c:v>1.5927348136901855</c:v>
                </c:pt>
                <c:pt idx="190">
                  <c:v>1.5951061248779297</c:v>
                </c:pt>
                <c:pt idx="191">
                  <c:v>1.5083937644958496</c:v>
                </c:pt>
                <c:pt idx="192">
                  <c:v>1.9194037914276123</c:v>
                </c:pt>
                <c:pt idx="193">
                  <c:v>1.3684425354003906</c:v>
                </c:pt>
                <c:pt idx="194">
                  <c:v>1.4759323596954346</c:v>
                </c:pt>
                <c:pt idx="195">
                  <c:v>1.7460846900939941</c:v>
                </c:pt>
                <c:pt idx="196">
                  <c:v>1.2700250148773193</c:v>
                </c:pt>
                <c:pt idx="197">
                  <c:v>1.6789178848266602</c:v>
                </c:pt>
                <c:pt idx="198">
                  <c:v>1.8299801349639893</c:v>
                </c:pt>
                <c:pt idx="199">
                  <c:v>1.5045304298400879</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xVal>
          <c:yVal>
            <c:numRef>
              <c:f>Random!$O$60:$O$1059</c:f>
              <c:numCache>
                <c:formatCode>General</c:formatCode>
                <c:ptCount val="1000"/>
                <c:pt idx="0">
                  <c:v>1.4343432188034058</c:v>
                </c:pt>
                <c:pt idx="1">
                  <c:v>1.0587655305862427</c:v>
                </c:pt>
                <c:pt idx="2">
                  <c:v>1.7902930974960327</c:v>
                </c:pt>
                <c:pt idx="3">
                  <c:v>1.4629713296890259</c:v>
                </c:pt>
                <c:pt idx="4">
                  <c:v>1.8844784498214722</c:v>
                </c:pt>
                <c:pt idx="5">
                  <c:v>1.7267504930496216</c:v>
                </c:pt>
                <c:pt idx="6">
                  <c:v>1.6666063070297241</c:v>
                </c:pt>
                <c:pt idx="7">
                  <c:v>1.7763725519180298</c:v>
                </c:pt>
                <c:pt idx="8">
                  <c:v>1.1645087003707886</c:v>
                </c:pt>
                <c:pt idx="9">
                  <c:v>1.8662320375442505</c:v>
                </c:pt>
                <c:pt idx="10">
                  <c:v>1.9841426610946655</c:v>
                </c:pt>
                <c:pt idx="11">
                  <c:v>1.0788484811782837</c:v>
                </c:pt>
                <c:pt idx="12">
                  <c:v>1.809590220451355</c:v>
                </c:pt>
                <c:pt idx="13">
                  <c:v>1.8248664140701294</c:v>
                </c:pt>
                <c:pt idx="14">
                  <c:v>1.9030584096908569</c:v>
                </c:pt>
                <c:pt idx="15">
                  <c:v>1.3430553674697876</c:v>
                </c:pt>
                <c:pt idx="16">
                  <c:v>1.6048792600631714</c:v>
                </c:pt>
                <c:pt idx="17">
                  <c:v>1.2003098726272583</c:v>
                </c:pt>
                <c:pt idx="18">
                  <c:v>1.8335098028182983</c:v>
                </c:pt>
                <c:pt idx="19">
                  <c:v>1.7916494607925415</c:v>
                </c:pt>
                <c:pt idx="20">
                  <c:v>1.5855320692062378</c:v>
                </c:pt>
                <c:pt idx="21">
                  <c:v>1.8402186632156372</c:v>
                </c:pt>
                <c:pt idx="22">
                  <c:v>1.4356530904769897</c:v>
                </c:pt>
                <c:pt idx="23">
                  <c:v>1.8972870111465454</c:v>
                </c:pt>
                <c:pt idx="24">
                  <c:v>1.0367048978805542</c:v>
                </c:pt>
                <c:pt idx="25">
                  <c:v>1.8422490358352661</c:v>
                </c:pt>
                <c:pt idx="26">
                  <c:v>1.100214958190918</c:v>
                </c:pt>
                <c:pt idx="27">
                  <c:v>1.0397865772247314</c:v>
                </c:pt>
                <c:pt idx="28">
                  <c:v>1.931220531463623</c:v>
                </c:pt>
                <c:pt idx="29">
                  <c:v>1.8141286373138428</c:v>
                </c:pt>
                <c:pt idx="30">
                  <c:v>1.1470680236816406</c:v>
                </c:pt>
                <c:pt idx="31">
                  <c:v>1.3231661319732666</c:v>
                </c:pt>
                <c:pt idx="32">
                  <c:v>1.4357457160949707</c:v>
                </c:pt>
                <c:pt idx="33">
                  <c:v>1.2939498424530029</c:v>
                </c:pt>
                <c:pt idx="34">
                  <c:v>1.6883668899536133</c:v>
                </c:pt>
                <c:pt idx="35">
                  <c:v>1.8149060010910034</c:v>
                </c:pt>
                <c:pt idx="36">
                  <c:v>1.7476321458816528</c:v>
                </c:pt>
                <c:pt idx="37">
                  <c:v>1.5142701864242554</c:v>
                </c:pt>
                <c:pt idx="38">
                  <c:v>1.093396782875061</c:v>
                </c:pt>
                <c:pt idx="39">
                  <c:v>1.9997214078903198</c:v>
                </c:pt>
                <c:pt idx="40">
                  <c:v>1.1747113466262817</c:v>
                </c:pt>
                <c:pt idx="41">
                  <c:v>1.1272166967391968</c:v>
                </c:pt>
                <c:pt idx="42">
                  <c:v>1.3240953683853149</c:v>
                </c:pt>
                <c:pt idx="43">
                  <c:v>1.8308380842208862</c:v>
                </c:pt>
                <c:pt idx="44">
                  <c:v>1.2021933794021606</c:v>
                </c:pt>
                <c:pt idx="45">
                  <c:v>1.6227926015853882</c:v>
                </c:pt>
                <c:pt idx="46">
                  <c:v>1.2977749109268188</c:v>
                </c:pt>
                <c:pt idx="47">
                  <c:v>1.0934122800827026</c:v>
                </c:pt>
                <c:pt idx="48">
                  <c:v>1.4277344942092896</c:v>
                </c:pt>
                <c:pt idx="49">
                  <c:v>1.4111541509628296</c:v>
                </c:pt>
                <c:pt idx="50">
                  <c:v>1.2370916604995728</c:v>
                </c:pt>
                <c:pt idx="51">
                  <c:v>1.419980525970459</c:v>
                </c:pt>
                <c:pt idx="52">
                  <c:v>1.152457594871521</c:v>
                </c:pt>
                <c:pt idx="53">
                  <c:v>1.3035582304000854</c:v>
                </c:pt>
                <c:pt idx="54">
                  <c:v>1.1136189699172974</c:v>
                </c:pt>
                <c:pt idx="55">
                  <c:v>1.7568591833114624</c:v>
                </c:pt>
                <c:pt idx="56">
                  <c:v>1.1532617807388306</c:v>
                </c:pt>
                <c:pt idx="57">
                  <c:v>1.0714424848556519</c:v>
                </c:pt>
                <c:pt idx="58">
                  <c:v>1.0192748308181763</c:v>
                </c:pt>
                <c:pt idx="59">
                  <c:v>1.3845151662826538</c:v>
                </c:pt>
                <c:pt idx="60">
                  <c:v>1.8254276514053345</c:v>
                </c:pt>
                <c:pt idx="61">
                  <c:v>1.9114092588424683</c:v>
                </c:pt>
                <c:pt idx="62">
                  <c:v>1.0136147737503052</c:v>
                </c:pt>
                <c:pt idx="63">
                  <c:v>1.4455817937850952</c:v>
                </c:pt>
                <c:pt idx="64">
                  <c:v>1.347275972366333</c:v>
                </c:pt>
                <c:pt idx="65">
                  <c:v>1.5956740379333496</c:v>
                </c:pt>
                <c:pt idx="66">
                  <c:v>1.0176751613616943</c:v>
                </c:pt>
                <c:pt idx="67">
                  <c:v>1.6421489715576172</c:v>
                </c:pt>
                <c:pt idx="68">
                  <c:v>1.0575354099273682</c:v>
                </c:pt>
                <c:pt idx="69">
                  <c:v>1.1774697303771973</c:v>
                </c:pt>
                <c:pt idx="70">
                  <c:v>1.2564074993133545</c:v>
                </c:pt>
                <c:pt idx="71">
                  <c:v>1.1552495956420898</c:v>
                </c:pt>
                <c:pt idx="72">
                  <c:v>1.8569672107696533</c:v>
                </c:pt>
                <c:pt idx="73">
                  <c:v>1.2322268486022949</c:v>
                </c:pt>
                <c:pt idx="74">
                  <c:v>1.0550153255462646</c:v>
                </c:pt>
                <c:pt idx="75">
                  <c:v>1.2682647705078125</c:v>
                </c:pt>
                <c:pt idx="76">
                  <c:v>1.4994776248931885</c:v>
                </c:pt>
                <c:pt idx="77">
                  <c:v>1.8263516426086426</c:v>
                </c:pt>
                <c:pt idx="78">
                  <c:v>1.7924048900604248</c:v>
                </c:pt>
                <c:pt idx="79">
                  <c:v>1.6726007461547852</c:v>
                </c:pt>
                <c:pt idx="80">
                  <c:v>1.9889729022979736</c:v>
                </c:pt>
                <c:pt idx="81">
                  <c:v>1.2762503623962402</c:v>
                </c:pt>
                <c:pt idx="82">
                  <c:v>1.097482442855835</c:v>
                </c:pt>
                <c:pt idx="83">
                  <c:v>1.3096637725830078</c:v>
                </c:pt>
                <c:pt idx="84">
                  <c:v>1.9336928129196167</c:v>
                </c:pt>
                <c:pt idx="85">
                  <c:v>1.8107701539993286</c:v>
                </c:pt>
                <c:pt idx="86">
                  <c:v>1.3823550939559937</c:v>
                </c:pt>
                <c:pt idx="87">
                  <c:v>1.4746805429458618</c:v>
                </c:pt>
                <c:pt idx="88">
                  <c:v>1.2626122236251831</c:v>
                </c:pt>
                <c:pt idx="89">
                  <c:v>1.1602736711502075</c:v>
                </c:pt>
                <c:pt idx="90">
                  <c:v>1.2975959777832031</c:v>
                </c:pt>
                <c:pt idx="91">
                  <c:v>1.9448641538619995</c:v>
                </c:pt>
                <c:pt idx="92">
                  <c:v>1.3797112703323364</c:v>
                </c:pt>
                <c:pt idx="93">
                  <c:v>1.2556480169296265</c:v>
                </c:pt>
                <c:pt idx="94">
                  <c:v>1.1254698038101196</c:v>
                </c:pt>
                <c:pt idx="95">
                  <c:v>1.0156048536300659</c:v>
                </c:pt>
                <c:pt idx="96">
                  <c:v>1.3167392015457153</c:v>
                </c:pt>
                <c:pt idx="97">
                  <c:v>1.9244416952133179</c:v>
                </c:pt>
                <c:pt idx="98">
                  <c:v>1.6297889947891235</c:v>
                </c:pt>
                <c:pt idx="99">
                  <c:v>1.7599905729293823</c:v>
                </c:pt>
                <c:pt idx="100">
                  <c:v>1.6499087810516357</c:v>
                </c:pt>
                <c:pt idx="101">
                  <c:v>1.4669328927993774</c:v>
                </c:pt>
                <c:pt idx="102">
                  <c:v>1.7131775617599487</c:v>
                </c:pt>
                <c:pt idx="103">
                  <c:v>1.5681455135345459</c:v>
                </c:pt>
                <c:pt idx="104">
                  <c:v>1.2380599975585938</c:v>
                </c:pt>
                <c:pt idx="105">
                  <c:v>1.9591410160064697</c:v>
                </c:pt>
                <c:pt idx="106">
                  <c:v>1.4653363227844238</c:v>
                </c:pt>
                <c:pt idx="107">
                  <c:v>1.4564139842987061</c:v>
                </c:pt>
                <c:pt idx="108">
                  <c:v>1.8635873794555664</c:v>
                </c:pt>
                <c:pt idx="109">
                  <c:v>1.3651401996612549</c:v>
                </c:pt>
                <c:pt idx="110">
                  <c:v>1.1520514488220215</c:v>
                </c:pt>
                <c:pt idx="111">
                  <c:v>1.9436204433441162</c:v>
                </c:pt>
                <c:pt idx="112">
                  <c:v>1.9518753290176392</c:v>
                </c:pt>
                <c:pt idx="113">
                  <c:v>1.9271086454391479</c:v>
                </c:pt>
                <c:pt idx="114">
                  <c:v>1.9337025880813599</c:v>
                </c:pt>
                <c:pt idx="115">
                  <c:v>1.4961322546005249</c:v>
                </c:pt>
                <c:pt idx="116">
                  <c:v>1.3468805551528931</c:v>
                </c:pt>
                <c:pt idx="117">
                  <c:v>1.0670632123947144</c:v>
                </c:pt>
                <c:pt idx="118">
                  <c:v>1.9770537614822388</c:v>
                </c:pt>
                <c:pt idx="119">
                  <c:v>1.2771085500717163</c:v>
                </c:pt>
                <c:pt idx="120">
                  <c:v>1.437991738319397</c:v>
                </c:pt>
                <c:pt idx="121">
                  <c:v>1.8416002988815308</c:v>
                </c:pt>
                <c:pt idx="122">
                  <c:v>1.0379302501678467</c:v>
                </c:pt>
                <c:pt idx="123">
                  <c:v>1.169529914855957</c:v>
                </c:pt>
                <c:pt idx="124">
                  <c:v>1.5996105670928955</c:v>
                </c:pt>
                <c:pt idx="125">
                  <c:v>1.8472762107849121</c:v>
                </c:pt>
                <c:pt idx="126">
                  <c:v>1.4869493246078491</c:v>
                </c:pt>
                <c:pt idx="127">
                  <c:v>1.8491569757461548</c:v>
                </c:pt>
                <c:pt idx="128">
                  <c:v>1.6850470304489136</c:v>
                </c:pt>
                <c:pt idx="129">
                  <c:v>1.875441312789917</c:v>
                </c:pt>
                <c:pt idx="130">
                  <c:v>1.1094884872436523</c:v>
                </c:pt>
                <c:pt idx="131">
                  <c:v>1.9628174304962158</c:v>
                </c:pt>
                <c:pt idx="132">
                  <c:v>1.6185946464538574</c:v>
                </c:pt>
                <c:pt idx="133">
                  <c:v>1.1633069515228271</c:v>
                </c:pt>
                <c:pt idx="134">
                  <c:v>1.8738522529602051</c:v>
                </c:pt>
                <c:pt idx="135">
                  <c:v>1.0737746953964233</c:v>
                </c:pt>
                <c:pt idx="136">
                  <c:v>1.8781057596206665</c:v>
                </c:pt>
                <c:pt idx="137">
                  <c:v>1.2134922742843628</c:v>
                </c:pt>
                <c:pt idx="138">
                  <c:v>1.3717896938323975</c:v>
                </c:pt>
                <c:pt idx="139">
                  <c:v>1.3410511016845703</c:v>
                </c:pt>
                <c:pt idx="140">
                  <c:v>1.2838057279586792</c:v>
                </c:pt>
                <c:pt idx="141">
                  <c:v>1.8002192974090576</c:v>
                </c:pt>
                <c:pt idx="142">
                  <c:v>1.219630241394043</c:v>
                </c:pt>
                <c:pt idx="143">
                  <c:v>1.3374245166778564</c:v>
                </c:pt>
                <c:pt idx="144">
                  <c:v>1.664893627166748</c:v>
                </c:pt>
                <c:pt idx="145">
                  <c:v>1.8666493892669678</c:v>
                </c:pt>
                <c:pt idx="146">
                  <c:v>1.0262489318847656</c:v>
                </c:pt>
                <c:pt idx="147">
                  <c:v>1.601617693901062</c:v>
                </c:pt>
                <c:pt idx="148">
                  <c:v>1.8892480134963989</c:v>
                </c:pt>
                <c:pt idx="149">
                  <c:v>1.840624213218689</c:v>
                </c:pt>
                <c:pt idx="150">
                  <c:v>1.4113247394561768</c:v>
                </c:pt>
                <c:pt idx="151">
                  <c:v>1.5889712572097778</c:v>
                </c:pt>
                <c:pt idx="152">
                  <c:v>1.2877382040023804</c:v>
                </c:pt>
                <c:pt idx="153">
                  <c:v>1.369306206703186</c:v>
                </c:pt>
                <c:pt idx="154">
                  <c:v>1.9733847379684448</c:v>
                </c:pt>
                <c:pt idx="155">
                  <c:v>1.9330050945281982</c:v>
                </c:pt>
                <c:pt idx="156">
                  <c:v>1.1784048080444336</c:v>
                </c:pt>
                <c:pt idx="157">
                  <c:v>1.5910754203796387</c:v>
                </c:pt>
                <c:pt idx="158">
                  <c:v>1.1112442016601563</c:v>
                </c:pt>
                <c:pt idx="159">
                  <c:v>1.4995615482330322</c:v>
                </c:pt>
                <c:pt idx="160">
                  <c:v>1.7805259227752686</c:v>
                </c:pt>
                <c:pt idx="161">
                  <c:v>1.9291543960571289</c:v>
                </c:pt>
                <c:pt idx="162">
                  <c:v>1.4885685443878174</c:v>
                </c:pt>
                <c:pt idx="163">
                  <c:v>1.962247371673584</c:v>
                </c:pt>
                <c:pt idx="164">
                  <c:v>1.5735416412353516</c:v>
                </c:pt>
                <c:pt idx="165">
                  <c:v>1.6722166538238525</c:v>
                </c:pt>
                <c:pt idx="166">
                  <c:v>1.8885254859924316</c:v>
                </c:pt>
                <c:pt idx="167">
                  <c:v>1.1885303258895874</c:v>
                </c:pt>
                <c:pt idx="168">
                  <c:v>1.7436243295669556</c:v>
                </c:pt>
                <c:pt idx="169">
                  <c:v>1.5158089399337769</c:v>
                </c:pt>
                <c:pt idx="170">
                  <c:v>1.1228269338607788</c:v>
                </c:pt>
                <c:pt idx="171">
                  <c:v>1.2536808252334595</c:v>
                </c:pt>
                <c:pt idx="172">
                  <c:v>1.2249163389205933</c:v>
                </c:pt>
                <c:pt idx="173">
                  <c:v>1.0326882600784302</c:v>
                </c:pt>
                <c:pt idx="174">
                  <c:v>1.6155341863632202</c:v>
                </c:pt>
                <c:pt idx="175">
                  <c:v>1.680070161819458</c:v>
                </c:pt>
                <c:pt idx="176">
                  <c:v>1.1770033836364746</c:v>
                </c:pt>
                <c:pt idx="177">
                  <c:v>1.7303521633148193</c:v>
                </c:pt>
                <c:pt idx="178">
                  <c:v>1.1902366876602173</c:v>
                </c:pt>
                <c:pt idx="179">
                  <c:v>1.6250036954879761</c:v>
                </c:pt>
                <c:pt idx="180">
                  <c:v>1.103826642036438</c:v>
                </c:pt>
                <c:pt idx="181">
                  <c:v>1.166805624961853</c:v>
                </c:pt>
                <c:pt idx="182">
                  <c:v>1.8120485544204712</c:v>
                </c:pt>
                <c:pt idx="183">
                  <c:v>1.1362961530685425</c:v>
                </c:pt>
                <c:pt idx="184">
                  <c:v>1.0146331787109375</c:v>
                </c:pt>
                <c:pt idx="185">
                  <c:v>1.5803186893463135</c:v>
                </c:pt>
                <c:pt idx="186">
                  <c:v>1.4515763521194458</c:v>
                </c:pt>
                <c:pt idx="187">
                  <c:v>1.1235946416854858</c:v>
                </c:pt>
                <c:pt idx="188">
                  <c:v>1.2358295917510986</c:v>
                </c:pt>
                <c:pt idx="189">
                  <c:v>1.8966422080993652</c:v>
                </c:pt>
                <c:pt idx="190">
                  <c:v>1.9505634307861328</c:v>
                </c:pt>
                <c:pt idx="191">
                  <c:v>1.0870436429977417</c:v>
                </c:pt>
                <c:pt idx="192">
                  <c:v>1.8571873903274536</c:v>
                </c:pt>
                <c:pt idx="193">
                  <c:v>1.7671512365341187</c:v>
                </c:pt>
                <c:pt idx="194">
                  <c:v>1.2681680917739868</c:v>
                </c:pt>
                <c:pt idx="195">
                  <c:v>1.1601036787033081</c:v>
                </c:pt>
                <c:pt idx="196">
                  <c:v>1.4820815324783325</c:v>
                </c:pt>
                <c:pt idx="197">
                  <c:v>1.6531080007553101</c:v>
                </c:pt>
                <c:pt idx="198">
                  <c:v>1.8233339786529541</c:v>
                </c:pt>
                <c:pt idx="199">
                  <c:v>1.3868412971496582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46E6-4891-B8FC-6065DE5F85B8}"/>
            </c:ext>
          </c:extLst>
        </c:ser>
        <c:ser>
          <c:idx val="0"/>
          <c:order val="1"/>
          <c:spPr>
            <a:ln w="25400">
              <a:solidFill>
                <a:srgbClr val="000000"/>
              </a:solidFill>
              <a:prstDash val="solid"/>
            </a:ln>
          </c:spPr>
          <c:marker>
            <c:symbol val="none"/>
          </c:marker>
          <c:xVal>
            <c:numRef>
              <c:f>Random!$R$57:$R$58</c:f>
              <c:numCache>
                <c:formatCode>General</c:formatCode>
                <c:ptCount val="2"/>
                <c:pt idx="0">
                  <c:v>#N/A</c:v>
                </c:pt>
                <c:pt idx="1">
                  <c:v>#N/A</c:v>
                </c:pt>
              </c:numCache>
            </c:numRef>
          </c:xVal>
          <c:yVal>
            <c:numRef>
              <c:f>Random!$S$57:$S$58</c:f>
              <c:numCache>
                <c:formatCode>General</c:formatCode>
                <c:ptCount val="2"/>
                <c:pt idx="0">
                  <c:v>1.0049999999999999</c:v>
                </c:pt>
                <c:pt idx="1">
                  <c:v>1.0049999999999999</c:v>
                </c:pt>
              </c:numCache>
            </c:numRef>
          </c:yVal>
          <c:smooth val="0"/>
          <c:extLst>
            <c:ext xmlns:c16="http://schemas.microsoft.com/office/drawing/2014/chart" uri="{C3380CC4-5D6E-409C-BE32-E72D297353CC}">
              <c16:uniqueId val="{00000001-46E6-4891-B8FC-6065DE5F85B8}"/>
            </c:ext>
          </c:extLst>
        </c:ser>
        <c:dLbls>
          <c:showLegendKey val="0"/>
          <c:showVal val="0"/>
          <c:showCatName val="0"/>
          <c:showSerName val="0"/>
          <c:showPercent val="0"/>
          <c:showBubbleSize val="0"/>
        </c:dLbls>
        <c:axId val="190325504"/>
        <c:axId val="190327040"/>
      </c:scatterChart>
      <c:valAx>
        <c:axId val="190325504"/>
        <c:scaling>
          <c:orientation val="minMax"/>
          <c:max val="2"/>
          <c:min val="1"/>
        </c:scaling>
        <c:delete val="0"/>
        <c:axPos val="b"/>
        <c:numFmt formatCode="General" sourceLinked="1"/>
        <c:majorTickMark val="none"/>
        <c:minorTickMark val="none"/>
        <c:tickLblPos val="none"/>
        <c:spPr>
          <a:ln w="9525">
            <a:noFill/>
          </a:ln>
        </c:spPr>
        <c:crossAx val="190327040"/>
        <c:crosses val="autoZero"/>
        <c:crossBetween val="midCat"/>
      </c:valAx>
      <c:valAx>
        <c:axId val="190327040"/>
        <c:scaling>
          <c:orientation val="minMax"/>
          <c:max val="2"/>
          <c:min val="1"/>
        </c:scaling>
        <c:delete val="0"/>
        <c:axPos val="l"/>
        <c:numFmt formatCode="General" sourceLinked="1"/>
        <c:majorTickMark val="none"/>
        <c:minorTickMark val="none"/>
        <c:tickLblPos val="none"/>
        <c:spPr>
          <a:ln w="9525">
            <a:noFill/>
          </a:ln>
        </c:spPr>
        <c:crossAx val="190325504"/>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01322770386033E-2"/>
          <c:y val="1.101322770386033E-2"/>
          <c:w val="0.98017726564356933"/>
          <c:h val="0.98017726564356933"/>
        </c:manualLayout>
      </c:layout>
      <c:scatterChart>
        <c:scatterStyle val="lineMarker"/>
        <c:varyColors val="0"/>
        <c:ser>
          <c:idx val="1"/>
          <c:order val="0"/>
          <c:spPr>
            <a:ln w="28575">
              <a:noFill/>
            </a:ln>
          </c:spPr>
          <c:marker>
            <c:symbol val="circle"/>
            <c:size val="3"/>
            <c:spPr>
              <a:solidFill>
                <a:srgbClr val="000000"/>
              </a:solidFill>
              <a:ln>
                <a:solidFill>
                  <a:srgbClr val="000000"/>
                </a:solidFill>
                <a:prstDash val="solid"/>
              </a:ln>
            </c:spPr>
          </c:marker>
          <c:xVal>
            <c:numRef>
              <c:f>Random!$L$60:$L$1059</c:f>
              <c:numCache>
                <c:formatCode>General</c:formatCode>
                <c:ptCount val="1000"/>
                <c:pt idx="0">
                  <c:v>1.3654186725616455</c:v>
                </c:pt>
                <c:pt idx="1">
                  <c:v>1.1563020348548889</c:v>
                </c:pt>
                <c:pt idx="2">
                  <c:v>1.8047636151313782</c:v>
                </c:pt>
                <c:pt idx="3">
                  <c:v>1.8701906800270081</c:v>
                </c:pt>
                <c:pt idx="4">
                  <c:v>1.9129469990730286</c:v>
                </c:pt>
                <c:pt idx="5">
                  <c:v>1.5724979043006897</c:v>
                </c:pt>
                <c:pt idx="6">
                  <c:v>1.8955352902412415</c:v>
                </c:pt>
                <c:pt idx="7">
                  <c:v>1.9141026139259338</c:v>
                </c:pt>
                <c:pt idx="8">
                  <c:v>1.4737198948860168</c:v>
                </c:pt>
                <c:pt idx="9">
                  <c:v>1.3115087151527405</c:v>
                </c:pt>
                <c:pt idx="10">
                  <c:v>1.3843172192573547</c:v>
                </c:pt>
                <c:pt idx="11">
                  <c:v>1.4468451142311096</c:v>
                </c:pt>
                <c:pt idx="12">
                  <c:v>1.8797686696052551</c:v>
                </c:pt>
                <c:pt idx="13">
                  <c:v>1.7678657174110413</c:v>
                </c:pt>
                <c:pt idx="14">
                  <c:v>1.228140652179718</c:v>
                </c:pt>
                <c:pt idx="15">
                  <c:v>1.9879494309425354</c:v>
                </c:pt>
                <c:pt idx="16">
                  <c:v>1.2131245732307434</c:v>
                </c:pt>
                <c:pt idx="17">
                  <c:v>1.586100161075592</c:v>
                </c:pt>
                <c:pt idx="18">
                  <c:v>1.6340368390083313</c:v>
                </c:pt>
                <c:pt idx="19">
                  <c:v>1.3069468140602112</c:v>
                </c:pt>
                <c:pt idx="20">
                  <c:v>1.8058188557624817</c:v>
                </c:pt>
                <c:pt idx="21">
                  <c:v>1.6607432961463928</c:v>
                </c:pt>
                <c:pt idx="22">
                  <c:v>1.0590370297431946</c:v>
                </c:pt>
                <c:pt idx="23">
                  <c:v>1.423368513584137</c:v>
                </c:pt>
                <c:pt idx="24">
                  <c:v>1.23988276720047</c:v>
                </c:pt>
                <c:pt idx="25">
                  <c:v>1.1363263726234436</c:v>
                </c:pt>
                <c:pt idx="26">
                  <c:v>1.5061530470848083</c:v>
                </c:pt>
                <c:pt idx="27">
                  <c:v>1.9429885745048523</c:v>
                </c:pt>
                <c:pt idx="28">
                  <c:v>1.8901428580284119</c:v>
                </c:pt>
                <c:pt idx="29">
                  <c:v>1.2512413859367371</c:v>
                </c:pt>
                <c:pt idx="30">
                  <c:v>1.4699487090110779</c:v>
                </c:pt>
                <c:pt idx="31">
                  <c:v>1.7330934405326843</c:v>
                </c:pt>
                <c:pt idx="32">
                  <c:v>1.4237932562828064</c:v>
                </c:pt>
                <c:pt idx="33">
                  <c:v>1.8245798945426941</c:v>
                </c:pt>
                <c:pt idx="34">
                  <c:v>1.0705241560935974</c:v>
                </c:pt>
                <c:pt idx="35">
                  <c:v>1.1606047749519348</c:v>
                </c:pt>
                <c:pt idx="36">
                  <c:v>1.1640277504920959</c:v>
                </c:pt>
                <c:pt idx="37">
                  <c:v>1.8407028317451477</c:v>
                </c:pt>
                <c:pt idx="38">
                  <c:v>1.0039234757423401</c:v>
                </c:pt>
                <c:pt idx="39">
                  <c:v>1.7804597020149231</c:v>
                </c:pt>
                <c:pt idx="40">
                  <c:v>1.6886830925941467</c:v>
                </c:pt>
                <c:pt idx="41">
                  <c:v>1.966691792011261</c:v>
                </c:pt>
                <c:pt idx="42">
                  <c:v>1.1504355072975159</c:v>
                </c:pt>
                <c:pt idx="43">
                  <c:v>1.9018405079841614</c:v>
                </c:pt>
                <c:pt idx="44">
                  <c:v>1.0869346261024475</c:v>
                </c:pt>
                <c:pt idx="45">
                  <c:v>1.1039722561836243</c:v>
                </c:pt>
                <c:pt idx="46">
                  <c:v>1.4615593552589417</c:v>
                </c:pt>
                <c:pt idx="47">
                  <c:v>1.6067784428596497</c:v>
                </c:pt>
                <c:pt idx="48">
                  <c:v>1.0033136010169983</c:v>
                </c:pt>
                <c:pt idx="49">
                  <c:v>1.4595754742622375</c:v>
                </c:pt>
                <c:pt idx="50">
                  <c:v>1.7068262696266174</c:v>
                </c:pt>
                <c:pt idx="51">
                  <c:v>1.7902263998985291</c:v>
                </c:pt>
                <c:pt idx="52">
                  <c:v>1.4905326962471008</c:v>
                </c:pt>
                <c:pt idx="53">
                  <c:v>1.3454506993293762</c:v>
                </c:pt>
                <c:pt idx="54">
                  <c:v>1.2185788750648499</c:v>
                </c:pt>
                <c:pt idx="55">
                  <c:v>1.9038751721382141</c:v>
                </c:pt>
                <c:pt idx="56">
                  <c:v>1.327914297580719</c:v>
                </c:pt>
                <c:pt idx="57">
                  <c:v>1.7932475209236145</c:v>
                </c:pt>
                <c:pt idx="58">
                  <c:v>1.0565276741981506</c:v>
                </c:pt>
                <c:pt idx="59">
                  <c:v>1.6566341519355774</c:v>
                </c:pt>
                <c:pt idx="60">
                  <c:v>1.4927979111671448</c:v>
                </c:pt>
                <c:pt idx="61">
                  <c:v>1.6527264714241028</c:v>
                </c:pt>
                <c:pt idx="62">
                  <c:v>1.4907289147377014</c:v>
                </c:pt>
                <c:pt idx="63">
                  <c:v>1.9558408856391907</c:v>
                </c:pt>
                <c:pt idx="64">
                  <c:v>1.7501041293144226</c:v>
                </c:pt>
                <c:pt idx="65">
                  <c:v>1.8680652976036072</c:v>
                </c:pt>
                <c:pt idx="66">
                  <c:v>1.1895214915275574</c:v>
                </c:pt>
                <c:pt idx="67">
                  <c:v>1.3221997618675232</c:v>
                </c:pt>
                <c:pt idx="68">
                  <c:v>1.7419912219047546</c:v>
                </c:pt>
                <c:pt idx="69">
                  <c:v>1.2460760474205017</c:v>
                </c:pt>
                <c:pt idx="70">
                  <c:v>1.6560484766960144</c:v>
                </c:pt>
                <c:pt idx="71">
                  <c:v>1.7710418105125427</c:v>
                </c:pt>
                <c:pt idx="72">
                  <c:v>1.5708534121513367</c:v>
                </c:pt>
                <c:pt idx="73">
                  <c:v>1.6690697073936462</c:v>
                </c:pt>
                <c:pt idx="74">
                  <c:v>1.0161911845207214</c:v>
                </c:pt>
                <c:pt idx="75">
                  <c:v>1.8527573943138123</c:v>
                </c:pt>
                <c:pt idx="76">
                  <c:v>1.9124719500541687</c:v>
                </c:pt>
                <c:pt idx="77">
                  <c:v>1.8753275275230408</c:v>
                </c:pt>
                <c:pt idx="78">
                  <c:v>1.0707308650016785</c:v>
                </c:pt>
                <c:pt idx="79">
                  <c:v>1.4306277632713318</c:v>
                </c:pt>
                <c:pt idx="80">
                  <c:v>1.6926280856132507</c:v>
                </c:pt>
                <c:pt idx="81">
                  <c:v>1.8531307578086853</c:v>
                </c:pt>
                <c:pt idx="82">
                  <c:v>1.8704487681388855</c:v>
                </c:pt>
                <c:pt idx="83">
                  <c:v>1.6179341673851013</c:v>
                </c:pt>
                <c:pt idx="84">
                  <c:v>1.5486748814582825</c:v>
                </c:pt>
                <c:pt idx="85">
                  <c:v>1.2109876275062561</c:v>
                </c:pt>
                <c:pt idx="86">
                  <c:v>1.3202341198921204</c:v>
                </c:pt>
                <c:pt idx="87">
                  <c:v>1.5842390656471252</c:v>
                </c:pt>
                <c:pt idx="88">
                  <c:v>1.5868037343025208</c:v>
                </c:pt>
                <c:pt idx="89">
                  <c:v>1.8658309578895569</c:v>
                </c:pt>
                <c:pt idx="90">
                  <c:v>1.5239800810813904</c:v>
                </c:pt>
                <c:pt idx="91">
                  <c:v>1.692864716053009</c:v>
                </c:pt>
                <c:pt idx="92">
                  <c:v>1.2731767296791077</c:v>
                </c:pt>
                <c:pt idx="93">
                  <c:v>1.3653638958930969</c:v>
                </c:pt>
                <c:pt idx="94">
                  <c:v>1.8725634217262268</c:v>
                </c:pt>
                <c:pt idx="95">
                  <c:v>1.1988890767097473</c:v>
                </c:pt>
                <c:pt idx="96">
                  <c:v>1.3275561928749084</c:v>
                </c:pt>
                <c:pt idx="97">
                  <c:v>1.1490066647529602</c:v>
                </c:pt>
                <c:pt idx="98">
                  <c:v>1.0390339493751526</c:v>
                </c:pt>
                <c:pt idx="99">
                  <c:v>1.6869080662727356</c:v>
                </c:pt>
                <c:pt idx="100">
                  <c:v>1.3240553736686707</c:v>
                </c:pt>
                <c:pt idx="101">
                  <c:v>1.1630850434303284</c:v>
                </c:pt>
                <c:pt idx="102">
                  <c:v>1.9889529347419739</c:v>
                </c:pt>
                <c:pt idx="103">
                  <c:v>1.6612488627433777</c:v>
                </c:pt>
                <c:pt idx="104">
                  <c:v>1.3836793303489685</c:v>
                </c:pt>
                <c:pt idx="105">
                  <c:v>1.698398768901825</c:v>
                </c:pt>
                <c:pt idx="106">
                  <c:v>1.816649854183197</c:v>
                </c:pt>
                <c:pt idx="107">
                  <c:v>1.0990893244743347</c:v>
                </c:pt>
                <c:pt idx="108">
                  <c:v>1.008912980556488</c:v>
                </c:pt>
                <c:pt idx="109">
                  <c:v>1.314980685710907</c:v>
                </c:pt>
                <c:pt idx="110">
                  <c:v>1.5449413657188416</c:v>
                </c:pt>
                <c:pt idx="111">
                  <c:v>1.6883580088615417</c:v>
                </c:pt>
                <c:pt idx="112">
                  <c:v>1.7260342240333557</c:v>
                </c:pt>
                <c:pt idx="113">
                  <c:v>1.8495553135871887</c:v>
                </c:pt>
                <c:pt idx="114">
                  <c:v>1.1135526299476624</c:v>
                </c:pt>
                <c:pt idx="115">
                  <c:v>1.4592493176460266</c:v>
                </c:pt>
                <c:pt idx="116">
                  <c:v>1.3757200837135315</c:v>
                </c:pt>
                <c:pt idx="117">
                  <c:v>1.728016197681427</c:v>
                </c:pt>
                <c:pt idx="118">
                  <c:v>1.8352904915809631</c:v>
                </c:pt>
                <c:pt idx="119">
                  <c:v>1.7989223599433899</c:v>
                </c:pt>
                <c:pt idx="120">
                  <c:v>1.0806427597999573</c:v>
                </c:pt>
                <c:pt idx="121">
                  <c:v>1.3306592106819153</c:v>
                </c:pt>
                <c:pt idx="122">
                  <c:v>1.6225458979606628</c:v>
                </c:pt>
                <c:pt idx="123">
                  <c:v>1.5495204329490662</c:v>
                </c:pt>
                <c:pt idx="124">
                  <c:v>1.4948093295097351</c:v>
                </c:pt>
                <c:pt idx="125">
                  <c:v>1.7516865134239197</c:v>
                </c:pt>
                <c:pt idx="126">
                  <c:v>1.5121429562568665</c:v>
                </c:pt>
                <c:pt idx="127">
                  <c:v>1.9843235611915588</c:v>
                </c:pt>
                <c:pt idx="128">
                  <c:v>1.2866166234016418</c:v>
                </c:pt>
                <c:pt idx="129">
                  <c:v>1.1834685206413269</c:v>
                </c:pt>
                <c:pt idx="130">
                  <c:v>1.0545653700828552</c:v>
                </c:pt>
                <c:pt idx="131">
                  <c:v>1.0987617373466492</c:v>
                </c:pt>
                <c:pt idx="132">
                  <c:v>1.9921440482139587</c:v>
                </c:pt>
                <c:pt idx="133">
                  <c:v>1.7477127909660339</c:v>
                </c:pt>
                <c:pt idx="134">
                  <c:v>1.1368784308433533</c:v>
                </c:pt>
                <c:pt idx="135">
                  <c:v>1.2721288800239563</c:v>
                </c:pt>
                <c:pt idx="136">
                  <c:v>1.1174021363258362</c:v>
                </c:pt>
                <c:pt idx="137">
                  <c:v>1.5776999592781067</c:v>
                </c:pt>
                <c:pt idx="138">
                  <c:v>1.447673499584198</c:v>
                </c:pt>
                <c:pt idx="139">
                  <c:v>1.9356374144554138</c:v>
                </c:pt>
                <c:pt idx="140">
                  <c:v>1.248091995716095</c:v>
                </c:pt>
                <c:pt idx="141">
                  <c:v>1.934952437877655</c:v>
                </c:pt>
                <c:pt idx="142">
                  <c:v>1.0653876662254333</c:v>
                </c:pt>
                <c:pt idx="143">
                  <c:v>1.3659927248954773</c:v>
                </c:pt>
                <c:pt idx="144">
                  <c:v>1.2784790396690369</c:v>
                </c:pt>
                <c:pt idx="145">
                  <c:v>1.8314720988273621</c:v>
                </c:pt>
                <c:pt idx="146">
                  <c:v>1.5936364531517029</c:v>
                </c:pt>
                <c:pt idx="147">
                  <c:v>1.5661099553108215</c:v>
                </c:pt>
                <c:pt idx="148">
                  <c:v>1.0685411095619202</c:v>
                </c:pt>
                <c:pt idx="149">
                  <c:v>1.8523786664009094</c:v>
                </c:pt>
                <c:pt idx="150">
                  <c:v>1.8417713046073914</c:v>
                </c:pt>
                <c:pt idx="151">
                  <c:v>1.1317096352577209</c:v>
                </c:pt>
                <c:pt idx="152">
                  <c:v>1.3479354977607727</c:v>
                </c:pt>
                <c:pt idx="153">
                  <c:v>1.2147694230079651</c:v>
                </c:pt>
                <c:pt idx="154">
                  <c:v>1.9839814305305481</c:v>
                </c:pt>
                <c:pt idx="155">
                  <c:v>1.2342879176139832</c:v>
                </c:pt>
                <c:pt idx="156">
                  <c:v>1.4521865248680115</c:v>
                </c:pt>
                <c:pt idx="157">
                  <c:v>1.347040593624115</c:v>
                </c:pt>
                <c:pt idx="158">
                  <c:v>1.707241952419281</c:v>
                </c:pt>
                <c:pt idx="159">
                  <c:v>1.4694711565971375</c:v>
                </c:pt>
                <c:pt idx="160">
                  <c:v>1.2300249934196472</c:v>
                </c:pt>
                <c:pt idx="161">
                  <c:v>1.1772021651268005</c:v>
                </c:pt>
                <c:pt idx="162">
                  <c:v>1.5089046359062195</c:v>
                </c:pt>
                <c:pt idx="163">
                  <c:v>1.8152813315391541</c:v>
                </c:pt>
                <c:pt idx="164">
                  <c:v>1.9753484129905701</c:v>
                </c:pt>
                <c:pt idx="165">
                  <c:v>1.3814069628715515</c:v>
                </c:pt>
                <c:pt idx="166">
                  <c:v>1.5231260657310486</c:v>
                </c:pt>
                <c:pt idx="167">
                  <c:v>1.9052484631538391</c:v>
                </c:pt>
                <c:pt idx="168">
                  <c:v>1.564150869846344</c:v>
                </c:pt>
                <c:pt idx="169">
                  <c:v>1.0534098744392395</c:v>
                </c:pt>
                <c:pt idx="170">
                  <c:v>1.8318355679512024</c:v>
                </c:pt>
                <c:pt idx="171">
                  <c:v>1.8091126084327698</c:v>
                </c:pt>
                <c:pt idx="172">
                  <c:v>1.3992169499397278</c:v>
                </c:pt>
                <c:pt idx="173">
                  <c:v>1.0814576745033264</c:v>
                </c:pt>
                <c:pt idx="174">
                  <c:v>1.9298704266548157</c:v>
                </c:pt>
                <c:pt idx="175">
                  <c:v>1.5051395297050476</c:v>
                </c:pt>
                <c:pt idx="176">
                  <c:v>1.1509327292442322</c:v>
                </c:pt>
                <c:pt idx="177">
                  <c:v>1.2267834544181824</c:v>
                </c:pt>
                <c:pt idx="178">
                  <c:v>1.7303715348243713</c:v>
                </c:pt>
                <c:pt idx="179">
                  <c:v>1.7790024876594543</c:v>
                </c:pt>
                <c:pt idx="180">
                  <c:v>1.226898729801178</c:v>
                </c:pt>
                <c:pt idx="181">
                  <c:v>1.7184084057807922</c:v>
                </c:pt>
                <c:pt idx="182">
                  <c:v>1.6957312226295471</c:v>
                </c:pt>
                <c:pt idx="183">
                  <c:v>1.2270434498786926</c:v>
                </c:pt>
                <c:pt idx="184">
                  <c:v>1.4998826384544373</c:v>
                </c:pt>
                <c:pt idx="185">
                  <c:v>1.4546167254447937</c:v>
                </c:pt>
                <c:pt idx="186">
                  <c:v>1.2417245507240295</c:v>
                </c:pt>
                <c:pt idx="187">
                  <c:v>1.9271124005317688</c:v>
                </c:pt>
                <c:pt idx="188">
                  <c:v>1.0804759860038757</c:v>
                </c:pt>
                <c:pt idx="189">
                  <c:v>1.3938106894493103</c:v>
                </c:pt>
                <c:pt idx="190">
                  <c:v>1.2689656615257263</c:v>
                </c:pt>
                <c:pt idx="191">
                  <c:v>1.3381341099739075</c:v>
                </c:pt>
                <c:pt idx="192">
                  <c:v>1.2821851372718811</c:v>
                </c:pt>
                <c:pt idx="193">
                  <c:v>1.2122324109077454</c:v>
                </c:pt>
                <c:pt idx="194">
                  <c:v>1.9611006379127502</c:v>
                </c:pt>
                <c:pt idx="195">
                  <c:v>1.2375910878181458</c:v>
                </c:pt>
                <c:pt idx="196">
                  <c:v>1.7046065926551819</c:v>
                </c:pt>
                <c:pt idx="197">
                  <c:v>1.3072765469551086</c:v>
                </c:pt>
                <c:pt idx="198">
                  <c:v>1.3470918536186218</c:v>
                </c:pt>
                <c:pt idx="199">
                  <c:v>1.8451647162437439</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xVal>
          <c:yVal>
            <c:numRef>
              <c:f>Random!$M$60:$M$1059</c:f>
              <c:numCache>
                <c:formatCode>General</c:formatCode>
                <c:ptCount val="1000"/>
                <c:pt idx="0">
                  <c:v>1.6310808658599854</c:v>
                </c:pt>
                <c:pt idx="1">
                  <c:v>1.9705891609191895</c:v>
                </c:pt>
                <c:pt idx="2">
                  <c:v>1.7100188732147217</c:v>
                </c:pt>
                <c:pt idx="3">
                  <c:v>1.983708381652832</c:v>
                </c:pt>
                <c:pt idx="4">
                  <c:v>1.9230663776397705</c:v>
                </c:pt>
                <c:pt idx="5">
                  <c:v>1.4221968650817871</c:v>
                </c:pt>
                <c:pt idx="6">
                  <c:v>1.1535241603851318</c:v>
                </c:pt>
                <c:pt idx="7">
                  <c:v>1.8334178924560547</c:v>
                </c:pt>
                <c:pt idx="8">
                  <c:v>1.7378180027008057</c:v>
                </c:pt>
                <c:pt idx="9">
                  <c:v>1.4678597450256348</c:v>
                </c:pt>
                <c:pt idx="10">
                  <c:v>1.965498685836792</c:v>
                </c:pt>
                <c:pt idx="11">
                  <c:v>1.7791357040405273</c:v>
                </c:pt>
                <c:pt idx="12">
                  <c:v>1.5792419910430908</c:v>
                </c:pt>
                <c:pt idx="13">
                  <c:v>1.9239840507507324</c:v>
                </c:pt>
                <c:pt idx="14">
                  <c:v>1.2748486995697021</c:v>
                </c:pt>
                <c:pt idx="15">
                  <c:v>1.26226806640625</c:v>
                </c:pt>
                <c:pt idx="16">
                  <c:v>1.201244592666626</c:v>
                </c:pt>
                <c:pt idx="17">
                  <c:v>1.8569760322570801</c:v>
                </c:pt>
                <c:pt idx="18">
                  <c:v>1.4604804515838623</c:v>
                </c:pt>
                <c:pt idx="19">
                  <c:v>1.9742212295532227</c:v>
                </c:pt>
                <c:pt idx="20">
                  <c:v>1.6077320575714111</c:v>
                </c:pt>
                <c:pt idx="21">
                  <c:v>1.5832419395446777</c:v>
                </c:pt>
                <c:pt idx="22">
                  <c:v>1.1513001918792725</c:v>
                </c:pt>
                <c:pt idx="23">
                  <c:v>1.8564014434814453</c:v>
                </c:pt>
                <c:pt idx="24">
                  <c:v>1.0526106357574463</c:v>
                </c:pt>
                <c:pt idx="25">
                  <c:v>1.6691880226135254</c:v>
                </c:pt>
                <c:pt idx="26">
                  <c:v>1.6196445226669312</c:v>
                </c:pt>
                <c:pt idx="27">
                  <c:v>1.3826242685317993</c:v>
                </c:pt>
                <c:pt idx="28">
                  <c:v>1.4935539960861206</c:v>
                </c:pt>
                <c:pt idx="29">
                  <c:v>1.554057240486145</c:v>
                </c:pt>
                <c:pt idx="30">
                  <c:v>1.5456403493881226</c:v>
                </c:pt>
                <c:pt idx="31">
                  <c:v>1.2203174829483032</c:v>
                </c:pt>
                <c:pt idx="32">
                  <c:v>1.741235613822937</c:v>
                </c:pt>
                <c:pt idx="33">
                  <c:v>1.5732995271682739</c:v>
                </c:pt>
                <c:pt idx="34">
                  <c:v>1.623796820640564</c:v>
                </c:pt>
                <c:pt idx="35">
                  <c:v>1.9066555500030518</c:v>
                </c:pt>
                <c:pt idx="36">
                  <c:v>1.4991698265075684</c:v>
                </c:pt>
                <c:pt idx="37">
                  <c:v>1.2945840358734131</c:v>
                </c:pt>
                <c:pt idx="38">
                  <c:v>1.6655178070068359</c:v>
                </c:pt>
                <c:pt idx="39">
                  <c:v>1.0441610813140869</c:v>
                </c:pt>
                <c:pt idx="40">
                  <c:v>1.687899112701416</c:v>
                </c:pt>
                <c:pt idx="41">
                  <c:v>1.6949374675750732</c:v>
                </c:pt>
                <c:pt idx="42">
                  <c:v>1.2699270248413086</c:v>
                </c:pt>
                <c:pt idx="43">
                  <c:v>1.2395889759063721</c:v>
                </c:pt>
                <c:pt idx="44">
                  <c:v>1.8183398246765137</c:v>
                </c:pt>
                <c:pt idx="45">
                  <c:v>1.6239163875579834</c:v>
                </c:pt>
                <c:pt idx="46">
                  <c:v>1.9430007934570313</c:v>
                </c:pt>
                <c:pt idx="47">
                  <c:v>1.2468454837799072</c:v>
                </c:pt>
                <c:pt idx="48">
                  <c:v>1.9568982124328613</c:v>
                </c:pt>
                <c:pt idx="49">
                  <c:v>1.4604270458221436</c:v>
                </c:pt>
                <c:pt idx="50">
                  <c:v>1.3761453628540039</c:v>
                </c:pt>
                <c:pt idx="51">
                  <c:v>1.822600245475769</c:v>
                </c:pt>
                <c:pt idx="52">
                  <c:v>1.8333756923675537</c:v>
                </c:pt>
                <c:pt idx="53">
                  <c:v>1.9624693393707275</c:v>
                </c:pt>
                <c:pt idx="54">
                  <c:v>1.7739930152893066</c:v>
                </c:pt>
                <c:pt idx="55">
                  <c:v>1.6216685771942139</c:v>
                </c:pt>
                <c:pt idx="56">
                  <c:v>1.5382719039916992</c:v>
                </c:pt>
                <c:pt idx="57">
                  <c:v>1.4286491870880127</c:v>
                </c:pt>
                <c:pt idx="58">
                  <c:v>1.8353419303894043</c:v>
                </c:pt>
                <c:pt idx="59">
                  <c:v>1.954211950302124</c:v>
                </c:pt>
                <c:pt idx="60">
                  <c:v>1.9000663757324219</c:v>
                </c:pt>
                <c:pt idx="61">
                  <c:v>1.2222826480865479</c:v>
                </c:pt>
                <c:pt idx="62">
                  <c:v>1.670433521270752</c:v>
                </c:pt>
                <c:pt idx="63">
                  <c:v>1.2099120616912842</c:v>
                </c:pt>
                <c:pt idx="64">
                  <c:v>1.8538557291030884</c:v>
                </c:pt>
                <c:pt idx="65">
                  <c:v>1.8586148023605347</c:v>
                </c:pt>
                <c:pt idx="66">
                  <c:v>1.9442950487136841</c:v>
                </c:pt>
                <c:pt idx="67">
                  <c:v>1.6002153158187866</c:v>
                </c:pt>
                <c:pt idx="68">
                  <c:v>1.7112022638320923</c:v>
                </c:pt>
                <c:pt idx="69">
                  <c:v>1.1982153654098511</c:v>
                </c:pt>
                <c:pt idx="70">
                  <c:v>1.908971905708313</c:v>
                </c:pt>
                <c:pt idx="71">
                  <c:v>1.758571982383728</c:v>
                </c:pt>
                <c:pt idx="72">
                  <c:v>1.1201235055923462</c:v>
                </c:pt>
                <c:pt idx="73">
                  <c:v>1.4653671979904175</c:v>
                </c:pt>
                <c:pt idx="74">
                  <c:v>1.2553015947341919</c:v>
                </c:pt>
                <c:pt idx="75">
                  <c:v>1.0808080434799194</c:v>
                </c:pt>
                <c:pt idx="76">
                  <c:v>1.0532757043838501</c:v>
                </c:pt>
                <c:pt idx="77">
                  <c:v>1.4452265501022339</c:v>
                </c:pt>
                <c:pt idx="78">
                  <c:v>1.5809403657913208</c:v>
                </c:pt>
                <c:pt idx="79">
                  <c:v>1.9770797491073608</c:v>
                </c:pt>
                <c:pt idx="80">
                  <c:v>1.733315110206604</c:v>
                </c:pt>
                <c:pt idx="81">
                  <c:v>1.1729496717453003</c:v>
                </c:pt>
                <c:pt idx="82">
                  <c:v>1.7335444688796997</c:v>
                </c:pt>
                <c:pt idx="83">
                  <c:v>1.1075433492660522</c:v>
                </c:pt>
                <c:pt idx="84">
                  <c:v>1.5793592929840088</c:v>
                </c:pt>
                <c:pt idx="85">
                  <c:v>1.1483292579650879</c:v>
                </c:pt>
                <c:pt idx="86">
                  <c:v>1.8491542339324951</c:v>
                </c:pt>
                <c:pt idx="87">
                  <c:v>1.3708600997924805</c:v>
                </c:pt>
                <c:pt idx="88">
                  <c:v>1.7745430469512939</c:v>
                </c:pt>
                <c:pt idx="89">
                  <c:v>1.2589945793151855</c:v>
                </c:pt>
                <c:pt idx="90">
                  <c:v>1.9616712331771851</c:v>
                </c:pt>
                <c:pt idx="91">
                  <c:v>1.3284304141998291</c:v>
                </c:pt>
                <c:pt idx="92">
                  <c:v>1.6746525764465332</c:v>
                </c:pt>
                <c:pt idx="93">
                  <c:v>1.4579055309295654</c:v>
                </c:pt>
                <c:pt idx="94">
                  <c:v>1.7812776565551758</c:v>
                </c:pt>
                <c:pt idx="95">
                  <c:v>1.2449276447296143</c:v>
                </c:pt>
                <c:pt idx="96">
                  <c:v>1.7117094993591309</c:v>
                </c:pt>
                <c:pt idx="97">
                  <c:v>1.3227975368499756</c:v>
                </c:pt>
                <c:pt idx="98">
                  <c:v>1.7633113861083984</c:v>
                </c:pt>
                <c:pt idx="99">
                  <c:v>1.7779409885406494</c:v>
                </c:pt>
                <c:pt idx="100">
                  <c:v>1.0690137147903442</c:v>
                </c:pt>
                <c:pt idx="101">
                  <c:v>1.4351034164428711</c:v>
                </c:pt>
                <c:pt idx="102">
                  <c:v>1.4313766956329346</c:v>
                </c:pt>
                <c:pt idx="103">
                  <c:v>1.9841910600662231</c:v>
                </c:pt>
                <c:pt idx="104">
                  <c:v>1.2771047353744507</c:v>
                </c:pt>
                <c:pt idx="105">
                  <c:v>1.6095577478408813</c:v>
                </c:pt>
                <c:pt idx="106">
                  <c:v>1.6603220701217651</c:v>
                </c:pt>
                <c:pt idx="107">
                  <c:v>1.6599274873733521</c:v>
                </c:pt>
                <c:pt idx="108">
                  <c:v>1.5312865972518921</c:v>
                </c:pt>
                <c:pt idx="109">
                  <c:v>1.2803198099136353</c:v>
                </c:pt>
                <c:pt idx="110">
                  <c:v>1.6365803480148315</c:v>
                </c:pt>
                <c:pt idx="111">
                  <c:v>1.943879246711731</c:v>
                </c:pt>
                <c:pt idx="112">
                  <c:v>1.2530918121337891</c:v>
                </c:pt>
                <c:pt idx="113">
                  <c:v>1.90328049659729</c:v>
                </c:pt>
                <c:pt idx="114">
                  <c:v>1.7921967506408691</c:v>
                </c:pt>
                <c:pt idx="115">
                  <c:v>1.9086711406707764</c:v>
                </c:pt>
                <c:pt idx="116">
                  <c:v>1.5979795455932617</c:v>
                </c:pt>
                <c:pt idx="117">
                  <c:v>1.0774681568145752</c:v>
                </c:pt>
                <c:pt idx="118">
                  <c:v>1.2021784782409668</c:v>
                </c:pt>
                <c:pt idx="119">
                  <c:v>1.4804723262786865</c:v>
                </c:pt>
                <c:pt idx="120">
                  <c:v>1.3396568298339844</c:v>
                </c:pt>
                <c:pt idx="121">
                  <c:v>1.6416094303131104</c:v>
                </c:pt>
                <c:pt idx="122">
                  <c:v>1.6715890169143677</c:v>
                </c:pt>
                <c:pt idx="123">
                  <c:v>1.0539954900741577</c:v>
                </c:pt>
                <c:pt idx="124">
                  <c:v>1.4478651285171509</c:v>
                </c:pt>
                <c:pt idx="125">
                  <c:v>1.2858761548995972</c:v>
                </c:pt>
                <c:pt idx="126">
                  <c:v>1.2099511623382568</c:v>
                </c:pt>
                <c:pt idx="127">
                  <c:v>1.0290050506591797</c:v>
                </c:pt>
                <c:pt idx="128">
                  <c:v>1.2053778171539307</c:v>
                </c:pt>
                <c:pt idx="129">
                  <c:v>1.6548367738723755</c:v>
                </c:pt>
                <c:pt idx="130">
                  <c:v>1.4861263036727905</c:v>
                </c:pt>
                <c:pt idx="131">
                  <c:v>1.3645235300064087</c:v>
                </c:pt>
                <c:pt idx="132">
                  <c:v>1.57426917552948</c:v>
                </c:pt>
                <c:pt idx="133">
                  <c:v>1.3888617753982544</c:v>
                </c:pt>
                <c:pt idx="134">
                  <c:v>1.7386988401412964</c:v>
                </c:pt>
                <c:pt idx="135">
                  <c:v>1.4524543285369873</c:v>
                </c:pt>
                <c:pt idx="136">
                  <c:v>1.9491052627563477</c:v>
                </c:pt>
                <c:pt idx="137">
                  <c:v>1.1983387470245361</c:v>
                </c:pt>
                <c:pt idx="138">
                  <c:v>1.3299952745437622</c:v>
                </c:pt>
                <c:pt idx="139">
                  <c:v>1.7325586080551147</c:v>
                </c:pt>
                <c:pt idx="140">
                  <c:v>1.9342329502105713</c:v>
                </c:pt>
                <c:pt idx="141">
                  <c:v>1.4824162721633911</c:v>
                </c:pt>
                <c:pt idx="142">
                  <c:v>1.0981906652450562</c:v>
                </c:pt>
                <c:pt idx="143">
                  <c:v>1.7698618173599243</c:v>
                </c:pt>
                <c:pt idx="144">
                  <c:v>1.4847954511642456</c:v>
                </c:pt>
                <c:pt idx="145">
                  <c:v>1.46961510181427</c:v>
                </c:pt>
                <c:pt idx="146">
                  <c:v>1.3308271169662476</c:v>
                </c:pt>
                <c:pt idx="147">
                  <c:v>1.1618196964263916</c:v>
                </c:pt>
                <c:pt idx="148">
                  <c:v>1.9916844367980957</c:v>
                </c:pt>
                <c:pt idx="149">
                  <c:v>1.9499862194061279</c:v>
                </c:pt>
                <c:pt idx="150">
                  <c:v>1.8210417032241821</c:v>
                </c:pt>
                <c:pt idx="151">
                  <c:v>1.0023741722106934</c:v>
                </c:pt>
                <c:pt idx="152">
                  <c:v>1.6791360378265381</c:v>
                </c:pt>
                <c:pt idx="153">
                  <c:v>1.4392299652099609</c:v>
                </c:pt>
                <c:pt idx="154">
                  <c:v>1.3398458957672119</c:v>
                </c:pt>
                <c:pt idx="155">
                  <c:v>1.6664410829544067</c:v>
                </c:pt>
                <c:pt idx="156">
                  <c:v>1.5823253393173218</c:v>
                </c:pt>
                <c:pt idx="157">
                  <c:v>1.0486420392990112</c:v>
                </c:pt>
                <c:pt idx="158">
                  <c:v>1.8845418691635132</c:v>
                </c:pt>
                <c:pt idx="159">
                  <c:v>1.1244655847549438</c:v>
                </c:pt>
                <c:pt idx="160">
                  <c:v>1.5952454805374146</c:v>
                </c:pt>
                <c:pt idx="161">
                  <c:v>1.6045440435409546</c:v>
                </c:pt>
                <c:pt idx="162">
                  <c:v>1.5266729593276978</c:v>
                </c:pt>
                <c:pt idx="163">
                  <c:v>1.903685450553894</c:v>
                </c:pt>
                <c:pt idx="164">
                  <c:v>1.402488112449646</c:v>
                </c:pt>
                <c:pt idx="165">
                  <c:v>1.4921737909317017</c:v>
                </c:pt>
                <c:pt idx="166">
                  <c:v>1.0037840604782104</c:v>
                </c:pt>
                <c:pt idx="167">
                  <c:v>1.5237987041473389</c:v>
                </c:pt>
                <c:pt idx="168">
                  <c:v>1.2358121871948242</c:v>
                </c:pt>
                <c:pt idx="169">
                  <c:v>1.5544121265411377</c:v>
                </c:pt>
                <c:pt idx="170">
                  <c:v>1.334857702255249</c:v>
                </c:pt>
                <c:pt idx="171">
                  <c:v>1.3573722839355469</c:v>
                </c:pt>
                <c:pt idx="172">
                  <c:v>1.8890612125396729</c:v>
                </c:pt>
                <c:pt idx="173">
                  <c:v>1.304497241973877</c:v>
                </c:pt>
                <c:pt idx="174">
                  <c:v>1.1940734386444092</c:v>
                </c:pt>
                <c:pt idx="175">
                  <c:v>1.2449995279312134</c:v>
                </c:pt>
                <c:pt idx="176">
                  <c:v>1.1662625074386597</c:v>
                </c:pt>
                <c:pt idx="177">
                  <c:v>1.4887591600418091</c:v>
                </c:pt>
                <c:pt idx="178">
                  <c:v>1.9939861297607422</c:v>
                </c:pt>
                <c:pt idx="179">
                  <c:v>1.1813452243804932</c:v>
                </c:pt>
                <c:pt idx="180">
                  <c:v>1.8310647010803223</c:v>
                </c:pt>
                <c:pt idx="181">
                  <c:v>1.8226001262664795</c:v>
                </c:pt>
                <c:pt idx="182">
                  <c:v>1.6418523788452148</c:v>
                </c:pt>
                <c:pt idx="183">
                  <c:v>1.8967926502227783</c:v>
                </c:pt>
                <c:pt idx="184">
                  <c:v>1.2956823110580444</c:v>
                </c:pt>
                <c:pt idx="185">
                  <c:v>1.0830913782119751</c:v>
                </c:pt>
                <c:pt idx="186">
                  <c:v>1.9994778633117676</c:v>
                </c:pt>
                <c:pt idx="187">
                  <c:v>1.4406287670135498</c:v>
                </c:pt>
                <c:pt idx="188">
                  <c:v>1.226021409034729</c:v>
                </c:pt>
                <c:pt idx="189">
                  <c:v>1.7071598768234253</c:v>
                </c:pt>
                <c:pt idx="190">
                  <c:v>1.3106988668441772</c:v>
                </c:pt>
                <c:pt idx="191">
                  <c:v>1.1172316074371338</c:v>
                </c:pt>
                <c:pt idx="192">
                  <c:v>1.3409867286682129</c:v>
                </c:pt>
                <c:pt idx="193">
                  <c:v>1.0794093608856201</c:v>
                </c:pt>
                <c:pt idx="194">
                  <c:v>1.6465253829956055</c:v>
                </c:pt>
                <c:pt idx="195">
                  <c:v>1.7284309864044189</c:v>
                </c:pt>
                <c:pt idx="196">
                  <c:v>1.1489176750183105</c:v>
                </c:pt>
                <c:pt idx="197">
                  <c:v>1.8850972652435303</c:v>
                </c:pt>
                <c:pt idx="198">
                  <c:v>1.8626972436904907</c:v>
                </c:pt>
                <c:pt idx="199">
                  <c:v>1.7114962339401245</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E271-4DEE-98FE-86B2362EDA8D}"/>
            </c:ext>
          </c:extLst>
        </c:ser>
        <c:ser>
          <c:idx val="0"/>
          <c:order val="1"/>
          <c:spPr>
            <a:ln w="25400">
              <a:solidFill>
                <a:srgbClr val="000000"/>
              </a:solidFill>
              <a:prstDash val="solid"/>
            </a:ln>
          </c:spPr>
          <c:marker>
            <c:symbol val="none"/>
          </c:marker>
          <c:xVal>
            <c:numRef>
              <c:f>Random!$P$57:$P$58</c:f>
              <c:numCache>
                <c:formatCode>General</c:formatCode>
                <c:ptCount val="2"/>
                <c:pt idx="0">
                  <c:v>#N/A</c:v>
                </c:pt>
                <c:pt idx="1">
                  <c:v>#N/A</c:v>
                </c:pt>
              </c:numCache>
            </c:numRef>
          </c:xVal>
          <c:yVal>
            <c:numRef>
              <c:f>Random!$Q$57:$Q$58</c:f>
              <c:numCache>
                <c:formatCode>General</c:formatCode>
                <c:ptCount val="2"/>
                <c:pt idx="0">
                  <c:v>1.0049999999999999</c:v>
                </c:pt>
                <c:pt idx="1">
                  <c:v>1.0049999999999999</c:v>
                </c:pt>
              </c:numCache>
            </c:numRef>
          </c:yVal>
          <c:smooth val="0"/>
          <c:extLst>
            <c:ext xmlns:c16="http://schemas.microsoft.com/office/drawing/2014/chart" uri="{C3380CC4-5D6E-409C-BE32-E72D297353CC}">
              <c16:uniqueId val="{00000001-E271-4DEE-98FE-86B2362EDA8D}"/>
            </c:ext>
          </c:extLst>
        </c:ser>
        <c:dLbls>
          <c:showLegendKey val="0"/>
          <c:showVal val="0"/>
          <c:showCatName val="0"/>
          <c:showSerName val="0"/>
          <c:showPercent val="0"/>
          <c:showBubbleSize val="0"/>
        </c:dLbls>
        <c:axId val="185272192"/>
        <c:axId val="185273728"/>
      </c:scatterChart>
      <c:valAx>
        <c:axId val="185272192"/>
        <c:scaling>
          <c:orientation val="minMax"/>
          <c:max val="2"/>
          <c:min val="1"/>
        </c:scaling>
        <c:delete val="0"/>
        <c:axPos val="b"/>
        <c:numFmt formatCode="General" sourceLinked="1"/>
        <c:majorTickMark val="none"/>
        <c:minorTickMark val="none"/>
        <c:tickLblPos val="none"/>
        <c:spPr>
          <a:ln w="9525">
            <a:noFill/>
          </a:ln>
        </c:spPr>
        <c:crossAx val="185273728"/>
        <c:crosses val="autoZero"/>
        <c:crossBetween val="midCat"/>
      </c:valAx>
      <c:valAx>
        <c:axId val="185273728"/>
        <c:scaling>
          <c:orientation val="minMax"/>
          <c:max val="2"/>
          <c:min val="1"/>
        </c:scaling>
        <c:delete val="0"/>
        <c:axPos val="l"/>
        <c:numFmt formatCode="General" sourceLinked="1"/>
        <c:majorTickMark val="none"/>
        <c:minorTickMark val="none"/>
        <c:tickLblPos val="none"/>
        <c:spPr>
          <a:ln w="9525">
            <a:noFill/>
          </a:ln>
        </c:spPr>
        <c:crossAx val="185272192"/>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Two independent groups</a:t>
            </a:r>
          </a:p>
        </c:rich>
      </c:tx>
      <c:layout>
        <c:manualLayout>
          <c:xMode val="edge"/>
          <c:yMode val="edge"/>
          <c:x val="0.28325149011545969"/>
          <c:y val="1.1086474501108648E-2"/>
        </c:manualLayout>
      </c:layout>
      <c:overlay val="0"/>
      <c:spPr>
        <a:noFill/>
        <a:ln w="25400">
          <a:noFill/>
        </a:ln>
      </c:spPr>
    </c:title>
    <c:autoTitleDeleted val="0"/>
    <c:plotArea>
      <c:layout>
        <c:manualLayout>
          <c:layoutTarget val="inner"/>
          <c:xMode val="edge"/>
          <c:yMode val="edge"/>
          <c:x val="0.16502482901115711"/>
          <c:y val="8.2040000129919757E-2"/>
          <c:w val="0.82512414505578557"/>
          <c:h val="0.8292691905024322"/>
        </c:manualLayout>
      </c:layout>
      <c:lineChart>
        <c:grouping val="standard"/>
        <c:varyColors val="0"/>
        <c:ser>
          <c:idx val="0"/>
          <c:order val="0"/>
          <c:spPr>
            <a:ln w="28575">
              <a:noFill/>
            </a:ln>
          </c:spPr>
          <c:marker>
            <c:symbol val="circle"/>
            <c:size val="7"/>
            <c:spPr>
              <a:solidFill>
                <a:srgbClr val="000000"/>
              </a:solidFill>
              <a:ln>
                <a:solidFill>
                  <a:srgbClr val="000000"/>
                </a:solidFill>
                <a:prstDash val="solid"/>
              </a:ln>
            </c:spPr>
          </c:marker>
          <c:errBars>
            <c:errDir val="y"/>
            <c:errBarType val="both"/>
            <c:errValType val="cust"/>
            <c:noEndCap val="0"/>
            <c:plus>
              <c:numRef>
                <c:f>'Compare A B'!$K$11:$K$12</c:f>
                <c:numCache>
                  <c:formatCode>General</c:formatCode>
                  <c:ptCount val="2"/>
                  <c:pt idx="0">
                    <c:v>31.981551549288351</c:v>
                  </c:pt>
                  <c:pt idx="1">
                    <c:v>35.179706704217182</c:v>
                  </c:pt>
                </c:numCache>
              </c:numRef>
            </c:plus>
            <c:minus>
              <c:numRef>
                <c:f>'Compare A B'!$K$11:$K$12</c:f>
                <c:numCache>
                  <c:formatCode>General</c:formatCode>
                  <c:ptCount val="2"/>
                  <c:pt idx="0">
                    <c:v>31.981551549288351</c:v>
                  </c:pt>
                  <c:pt idx="1">
                    <c:v>35.179706704217182</c:v>
                  </c:pt>
                </c:numCache>
              </c:numRef>
            </c:minus>
            <c:spPr>
              <a:ln w="12700">
                <a:solidFill>
                  <a:srgbClr val="000000"/>
                </a:solidFill>
                <a:prstDash val="solid"/>
              </a:ln>
            </c:spPr>
          </c:errBars>
          <c:cat>
            <c:strRef>
              <c:f>'Compare A B'!$H$11:$H$13</c:f>
              <c:strCache>
                <c:ptCount val="2"/>
                <c:pt idx="0">
                  <c:v>         A       </c:v>
                </c:pt>
                <c:pt idx="1">
                  <c:v>B</c:v>
                </c:pt>
              </c:strCache>
            </c:strRef>
          </c:cat>
          <c:val>
            <c:numRef>
              <c:f>'Compare A B'!$I$11:$I$12</c:f>
              <c:numCache>
                <c:formatCode>General</c:formatCode>
                <c:ptCount val="2"/>
                <c:pt idx="0">
                  <c:v>50</c:v>
                </c:pt>
                <c:pt idx="1">
                  <c:v>104</c:v>
                </c:pt>
              </c:numCache>
            </c:numRef>
          </c:val>
          <c:smooth val="0"/>
          <c:extLst>
            <c:ext xmlns:c16="http://schemas.microsoft.com/office/drawing/2014/chart" uri="{C3380CC4-5D6E-409C-BE32-E72D297353CC}">
              <c16:uniqueId val="{00000000-5186-4268-9072-C284E3E930D8}"/>
            </c:ext>
          </c:extLst>
        </c:ser>
        <c:dLbls>
          <c:showLegendKey val="0"/>
          <c:showVal val="0"/>
          <c:showCatName val="0"/>
          <c:showSerName val="0"/>
          <c:showPercent val="0"/>
          <c:showBubbleSize val="0"/>
        </c:dLbls>
        <c:marker val="1"/>
        <c:smooth val="0"/>
        <c:axId val="186460032"/>
        <c:axId val="186461568"/>
      </c:lineChart>
      <c:scatterChart>
        <c:scatterStyle val="lineMarker"/>
        <c:varyColors val="0"/>
        <c:ser>
          <c:idx val="6"/>
          <c:order val="1"/>
          <c:spPr>
            <a:ln w="28575">
              <a:noFill/>
            </a:ln>
          </c:spPr>
          <c:marker>
            <c:symbol val="none"/>
          </c:marker>
          <c:errBars>
            <c:errDir val="x"/>
            <c:errBarType val="plus"/>
            <c:errValType val="cust"/>
            <c:noEndCap val="1"/>
            <c:plus>
              <c:numLit>
                <c:formatCode>General</c:formatCode>
                <c:ptCount val="1"/>
                <c:pt idx="0">
                  <c:v>1</c:v>
                </c:pt>
              </c:numLit>
            </c:plus>
            <c:spPr>
              <a:ln w="12700">
                <a:solidFill>
                  <a:srgbClr val="808080"/>
                </a:solidFill>
                <a:prstDash val="solid"/>
              </a:ln>
            </c:spPr>
          </c:errBars>
          <c:xVal>
            <c:numRef>
              <c:f>'Compare A B'!$L$26</c:f>
              <c:numCache>
                <c:formatCode>General</c:formatCode>
                <c:ptCount val="1"/>
                <c:pt idx="0">
                  <c:v>#N/A</c:v>
                </c:pt>
              </c:numCache>
            </c:numRef>
          </c:xVal>
          <c:yVal>
            <c:numRef>
              <c:f>'Compare A B'!$M$26</c:f>
              <c:numCache>
                <c:formatCode>General</c:formatCode>
                <c:ptCount val="1"/>
                <c:pt idx="0">
                  <c:v>81.981551549288355</c:v>
                </c:pt>
              </c:numCache>
            </c:numRef>
          </c:yVal>
          <c:smooth val="0"/>
          <c:extLst>
            <c:ext xmlns:c16="http://schemas.microsoft.com/office/drawing/2014/chart" uri="{C3380CC4-5D6E-409C-BE32-E72D297353CC}">
              <c16:uniqueId val="{00000001-5186-4268-9072-C284E3E930D8}"/>
            </c:ext>
          </c:extLst>
        </c:ser>
        <c:ser>
          <c:idx val="1"/>
          <c:order val="2"/>
          <c:spPr>
            <a:ln w="3175">
              <a:solidFill>
                <a:srgbClr val="000000"/>
              </a:solidFill>
              <a:prstDash val="solid"/>
            </a:ln>
          </c:spPr>
          <c:marker>
            <c:symbol val="dot"/>
            <c:size val="5"/>
            <c:spPr>
              <a:solidFill>
                <a:srgbClr val="000000"/>
              </a:solidFill>
              <a:ln>
                <a:solidFill>
                  <a:srgbClr val="000000"/>
                </a:solidFill>
                <a:prstDash val="solid"/>
              </a:ln>
            </c:spPr>
          </c:marker>
          <c:dLbls>
            <c:dLbl>
              <c:idx val="0"/>
              <c:tx>
                <c:rich>
                  <a:bodyPr/>
                  <a:lstStyle/>
                  <a:p>
                    <a:r>
                      <a:t>80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86-4268-9072-C284E3E930D8}"/>
                </c:ext>
              </c:extLst>
            </c:dLbl>
            <c:dLbl>
              <c:idx val="1"/>
              <c:delete val="1"/>
              <c:extLst>
                <c:ext xmlns:c15="http://schemas.microsoft.com/office/drawing/2012/chart" uri="{CE6537A1-D6FC-4f65-9D91-7224C49458BB}"/>
                <c:ext xmlns:c16="http://schemas.microsoft.com/office/drawing/2014/chart" uri="{C3380CC4-5D6E-409C-BE32-E72D297353CC}">
                  <c16:uniqueId val="{00000003-5186-4268-9072-C284E3E930D8}"/>
                </c:ext>
              </c:extLst>
            </c:dLbl>
            <c:dLbl>
              <c:idx val="2"/>
              <c:tx>
                <c:rich>
                  <a:bodyPr/>
                  <a:lstStyle/>
                  <a:p>
                    <a:r>
                      <a:t>60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186-4268-9072-C284E3E930D8}"/>
                </c:ext>
              </c:extLst>
            </c:dLbl>
            <c:dLbl>
              <c:idx val="3"/>
              <c:delete val="1"/>
              <c:extLst>
                <c:ext xmlns:c15="http://schemas.microsoft.com/office/drawing/2012/chart" uri="{CE6537A1-D6FC-4f65-9D91-7224C49458BB}"/>
                <c:ext xmlns:c16="http://schemas.microsoft.com/office/drawing/2014/chart" uri="{C3380CC4-5D6E-409C-BE32-E72D297353CC}">
                  <c16:uniqueId val="{00000005-5186-4268-9072-C284E3E930D8}"/>
                </c:ext>
              </c:extLst>
            </c:dLbl>
            <c:dLbl>
              <c:idx val="4"/>
              <c:tx>
                <c:rich>
                  <a:bodyPr/>
                  <a:lstStyle/>
                  <a:p>
                    <a:r>
                      <a:t>40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186-4268-9072-C284E3E930D8}"/>
                </c:ext>
              </c:extLst>
            </c:dLbl>
            <c:dLbl>
              <c:idx val="5"/>
              <c:delete val="1"/>
              <c:extLst>
                <c:ext xmlns:c15="http://schemas.microsoft.com/office/drawing/2012/chart" uri="{CE6537A1-D6FC-4f65-9D91-7224C49458BB}"/>
                <c:ext xmlns:c16="http://schemas.microsoft.com/office/drawing/2014/chart" uri="{C3380CC4-5D6E-409C-BE32-E72D297353CC}">
                  <c16:uniqueId val="{00000007-5186-4268-9072-C284E3E930D8}"/>
                </c:ext>
              </c:extLst>
            </c:dLbl>
            <c:dLbl>
              <c:idx val="6"/>
              <c:tx>
                <c:rich>
                  <a:bodyPr/>
                  <a:lstStyle/>
                  <a:p>
                    <a:r>
                      <a:t>20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186-4268-9072-C284E3E930D8}"/>
                </c:ext>
              </c:extLst>
            </c:dLbl>
            <c:dLbl>
              <c:idx val="7"/>
              <c:delete val="1"/>
              <c:extLst>
                <c:ext xmlns:c15="http://schemas.microsoft.com/office/drawing/2012/chart" uri="{CE6537A1-D6FC-4f65-9D91-7224C49458BB}"/>
                <c:ext xmlns:c16="http://schemas.microsoft.com/office/drawing/2014/chart" uri="{C3380CC4-5D6E-409C-BE32-E72D297353CC}">
                  <c16:uniqueId val="{00000009-5186-4268-9072-C284E3E930D8}"/>
                </c:ext>
              </c:extLst>
            </c:dLbl>
            <c:dLbl>
              <c:idx val="8"/>
              <c:tx>
                <c:rich>
                  <a:bodyPr/>
                  <a:lstStyle/>
                  <a:p>
                    <a:r>
                      <a:t>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186-4268-9072-C284E3E930D8}"/>
                </c:ext>
              </c:extLst>
            </c:dLbl>
            <c:dLbl>
              <c:idx val="9"/>
              <c:delete val="1"/>
              <c:extLst>
                <c:ext xmlns:c15="http://schemas.microsoft.com/office/drawing/2012/chart" uri="{CE6537A1-D6FC-4f65-9D91-7224C49458BB}"/>
                <c:ext xmlns:c16="http://schemas.microsoft.com/office/drawing/2014/chart" uri="{C3380CC4-5D6E-409C-BE32-E72D297353CC}">
                  <c16:uniqueId val="{0000000B-5186-4268-9072-C284E3E930D8}"/>
                </c:ext>
              </c:extLst>
            </c:dLbl>
            <c:dLbl>
              <c:idx val="10"/>
              <c:tx>
                <c:rich>
                  <a:bodyPr/>
                  <a:lstStyle/>
                  <a:p>
                    <a:r>
                      <a:t>-20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186-4268-9072-C284E3E930D8}"/>
                </c:ext>
              </c:extLst>
            </c:dLbl>
            <c:dLbl>
              <c:idx val="11"/>
              <c:delete val="1"/>
              <c:extLst>
                <c:ext xmlns:c15="http://schemas.microsoft.com/office/drawing/2012/chart" uri="{CE6537A1-D6FC-4f65-9D91-7224C49458BB}"/>
                <c:ext xmlns:c16="http://schemas.microsoft.com/office/drawing/2014/chart" uri="{C3380CC4-5D6E-409C-BE32-E72D297353CC}">
                  <c16:uniqueId val="{0000000D-5186-4268-9072-C284E3E930D8}"/>
                </c:ext>
              </c:extLst>
            </c:dLbl>
            <c:dLbl>
              <c:idx val="12"/>
              <c:tx>
                <c:rich>
                  <a:bodyPr/>
                  <a:lstStyle/>
                  <a:p>
                    <a:r>
                      <a:t>-40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5186-4268-9072-C284E3E930D8}"/>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'Compare A B'!$H$24:$H$36</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'Compare A B'!$I$24:$I$36</c:f>
              <c:numCache>
                <c:formatCode>General</c:formatCode>
                <c:ptCount val="13"/>
                <c:pt idx="0">
                  <c:v>130</c:v>
                </c:pt>
                <c:pt idx="1">
                  <c:v>120</c:v>
                </c:pt>
                <c:pt idx="2">
                  <c:v>110</c:v>
                </c:pt>
                <c:pt idx="3">
                  <c:v>100</c:v>
                </c:pt>
                <c:pt idx="4">
                  <c:v>90</c:v>
                </c:pt>
                <c:pt idx="5">
                  <c:v>80</c:v>
                </c:pt>
                <c:pt idx="6">
                  <c:v>70</c:v>
                </c:pt>
                <c:pt idx="7">
                  <c:v>60</c:v>
                </c:pt>
                <c:pt idx="8">
                  <c:v>50</c:v>
                </c:pt>
                <c:pt idx="9">
                  <c:v>40</c:v>
                </c:pt>
                <c:pt idx="10">
                  <c:v>30</c:v>
                </c:pt>
                <c:pt idx="11">
                  <c:v>20</c:v>
                </c:pt>
                <c:pt idx="12">
                  <c:v>10</c:v>
                </c:pt>
              </c:numCache>
            </c:numRef>
          </c:yVal>
          <c:smooth val="0"/>
          <c:extLst>
            <c:ext xmlns:c16="http://schemas.microsoft.com/office/drawing/2014/chart" uri="{C3380CC4-5D6E-409C-BE32-E72D297353CC}">
              <c16:uniqueId val="{0000000F-5186-4268-9072-C284E3E930D8}"/>
            </c:ext>
          </c:extLst>
        </c:ser>
        <c:ser>
          <c:idx val="2"/>
          <c:order val="3"/>
          <c:spPr>
            <a:ln w="3175">
              <a:solidFill>
                <a:srgbClr val="000000"/>
              </a:solidFill>
              <a:prstDash val="sysDash"/>
            </a:ln>
          </c:spPr>
          <c:marker>
            <c:symbol val="none"/>
          </c:marker>
          <c:xVal>
            <c:numRef>
              <c:f>'Compare A B'!$H$16:$H$17</c:f>
              <c:numCache>
                <c:formatCode>General</c:formatCode>
                <c:ptCount val="2"/>
                <c:pt idx="0">
                  <c:v>1</c:v>
                </c:pt>
                <c:pt idx="1">
                  <c:v>#N/A</c:v>
                </c:pt>
              </c:numCache>
            </c:numRef>
          </c:xVal>
          <c:yVal>
            <c:numRef>
              <c:f>'Compare A B'!$I$16:$I$17</c:f>
              <c:numCache>
                <c:formatCode>General</c:formatCode>
                <c:ptCount val="2"/>
                <c:pt idx="0">
                  <c:v>50</c:v>
                </c:pt>
                <c:pt idx="1">
                  <c:v>50</c:v>
                </c:pt>
              </c:numCache>
            </c:numRef>
          </c:yVal>
          <c:smooth val="0"/>
          <c:extLst>
            <c:ext xmlns:c16="http://schemas.microsoft.com/office/drawing/2014/chart" uri="{C3380CC4-5D6E-409C-BE32-E72D297353CC}">
              <c16:uniqueId val="{00000010-5186-4268-9072-C284E3E930D8}"/>
            </c:ext>
          </c:extLst>
        </c:ser>
        <c:ser>
          <c:idx val="3"/>
          <c:order val="4"/>
          <c:spPr>
            <a:ln w="12700">
              <a:solidFill>
                <a:srgbClr val="000000"/>
              </a:solidFill>
              <a:prstDash val="sysDash"/>
            </a:ln>
          </c:spPr>
          <c:marker>
            <c:symbol val="none"/>
          </c:marker>
          <c:xVal>
            <c:numRef>
              <c:f>'Compare A B'!$H$18:$H$19</c:f>
              <c:numCache>
                <c:formatCode>General</c:formatCode>
                <c:ptCount val="2"/>
                <c:pt idx="0">
                  <c:v>2</c:v>
                </c:pt>
                <c:pt idx="1">
                  <c:v>#N/A</c:v>
                </c:pt>
              </c:numCache>
            </c:numRef>
          </c:xVal>
          <c:yVal>
            <c:numRef>
              <c:f>'Compare A B'!$I$18:$I$19</c:f>
              <c:numCache>
                <c:formatCode>General</c:formatCode>
                <c:ptCount val="2"/>
                <c:pt idx="0">
                  <c:v>104</c:v>
                </c:pt>
                <c:pt idx="1">
                  <c:v>104</c:v>
                </c:pt>
              </c:numCache>
            </c:numRef>
          </c:yVal>
          <c:smooth val="0"/>
          <c:extLst>
            <c:ext xmlns:c16="http://schemas.microsoft.com/office/drawing/2014/chart" uri="{C3380CC4-5D6E-409C-BE32-E72D297353CC}">
              <c16:uniqueId val="{00000011-5186-4268-9072-C284E3E930D8}"/>
            </c:ext>
          </c:extLst>
        </c:ser>
        <c:ser>
          <c:idx val="4"/>
          <c:order val="5"/>
          <c:spPr>
            <a:ln w="28575">
              <a:noFill/>
            </a:ln>
          </c:spPr>
          <c:marker>
            <c:symbol val="triangle"/>
            <c:size val="7"/>
            <c:spPr>
              <a:solidFill>
                <a:srgbClr val="000000"/>
              </a:solidFill>
              <a:ln>
                <a:solidFill>
                  <a:srgbClr val="000000"/>
                </a:solidFill>
                <a:prstDash val="solid"/>
              </a:ln>
            </c:spPr>
          </c:marker>
          <c:errBars>
            <c:errDir val="y"/>
            <c:errBarType val="both"/>
            <c:errValType val="cust"/>
            <c:noEndCap val="0"/>
            <c:plus>
              <c:numRef>
                <c:f>'Compare A B'!$K$13</c:f>
                <c:numCache>
                  <c:formatCode>General</c:formatCode>
                  <c:ptCount val="1"/>
                  <c:pt idx="0">
                    <c:v>46.795494530951892</c:v>
                  </c:pt>
                </c:numCache>
              </c:numRef>
            </c:plus>
            <c:minus>
              <c:numRef>
                <c:f>'Compare A B'!$K$13</c:f>
                <c:numCache>
                  <c:formatCode>General</c:formatCode>
                  <c:ptCount val="1"/>
                  <c:pt idx="0">
                    <c:v>46.795494530951892</c:v>
                  </c:pt>
                </c:numCache>
              </c:numRef>
            </c:minus>
            <c:spPr>
              <a:ln w="12700">
                <a:solidFill>
                  <a:srgbClr val="000000"/>
                </a:solidFill>
                <a:prstDash val="solid"/>
              </a:ln>
            </c:spPr>
          </c:errBars>
          <c:xVal>
            <c:numRef>
              <c:f>'Compare A B'!$H$22</c:f>
              <c:numCache>
                <c:formatCode>General</c:formatCode>
                <c:ptCount val="1"/>
                <c:pt idx="0">
                  <c:v>#N/A</c:v>
                </c:pt>
              </c:numCache>
            </c:numRef>
          </c:xVal>
          <c:yVal>
            <c:numRef>
              <c:f>'Compare A B'!$I$22</c:f>
              <c:numCache>
                <c:formatCode>General</c:formatCode>
                <c:ptCount val="1"/>
                <c:pt idx="0">
                  <c:v>104</c:v>
                </c:pt>
              </c:numCache>
            </c:numRef>
          </c:yVal>
          <c:smooth val="0"/>
          <c:extLst>
            <c:ext xmlns:c16="http://schemas.microsoft.com/office/drawing/2014/chart" uri="{C3380CC4-5D6E-409C-BE32-E72D297353CC}">
              <c16:uniqueId val="{00000012-5186-4268-9072-C284E3E930D8}"/>
            </c:ext>
          </c:extLst>
        </c:ser>
        <c:ser>
          <c:idx val="5"/>
          <c:order val="6"/>
          <c:spPr>
            <a:ln w="28575">
              <a:noFill/>
            </a:ln>
          </c:spPr>
          <c:marker>
            <c:symbol val="none"/>
          </c:marker>
          <c:xVal>
            <c:numRef>
              <c:f>'Compare A B'!$M$20:$M$22</c:f>
              <c:numCache>
                <c:formatCode>General</c:formatCode>
                <c:ptCount val="3"/>
                <c:pt idx="0">
                  <c:v>2.5</c:v>
                </c:pt>
                <c:pt idx="1">
                  <c:v>2.8</c:v>
                </c:pt>
                <c:pt idx="2">
                  <c:v>2.5</c:v>
                </c:pt>
              </c:numCache>
            </c:numRef>
          </c:xVal>
          <c:yVal>
            <c:numRef>
              <c:f>'Compare A B'!$N$20:$N$22</c:f>
              <c:numCache>
                <c:formatCode>General</c:formatCode>
                <c:ptCount val="3"/>
                <c:pt idx="0">
                  <c:v>6</c:v>
                </c:pt>
                <c:pt idx="1">
                  <c:v>6</c:v>
                </c:pt>
                <c:pt idx="2">
                  <c:v>6</c:v>
                </c:pt>
              </c:numCache>
            </c:numRef>
          </c:yVal>
          <c:smooth val="0"/>
          <c:extLst>
            <c:ext xmlns:c16="http://schemas.microsoft.com/office/drawing/2014/chart" uri="{C3380CC4-5D6E-409C-BE32-E72D297353CC}">
              <c16:uniqueId val="{00000013-5186-4268-9072-C284E3E930D8}"/>
            </c:ext>
          </c:extLst>
        </c:ser>
        <c:ser>
          <c:idx val="7"/>
          <c:order val="7"/>
          <c:spPr>
            <a:ln w="28575">
              <a:noFill/>
            </a:ln>
          </c:spPr>
          <c:marker>
            <c:symbol val="none"/>
          </c:marker>
          <c:errBars>
            <c:errDir val="x"/>
            <c:errBarType val="plus"/>
            <c:errValType val="cust"/>
            <c:noEndCap val="1"/>
            <c:plus>
              <c:numLit>
                <c:formatCode>General</c:formatCode>
                <c:ptCount val="1"/>
                <c:pt idx="0">
                  <c:v>1</c:v>
                </c:pt>
              </c:numLit>
            </c:plus>
            <c:spPr>
              <a:ln w="12700">
                <a:solidFill>
                  <a:srgbClr val="808080"/>
                </a:solidFill>
                <a:prstDash val="solid"/>
              </a:ln>
            </c:spPr>
          </c:errBars>
          <c:xVal>
            <c:numRef>
              <c:f>'Compare A B'!$L$27</c:f>
              <c:numCache>
                <c:formatCode>General</c:formatCode>
                <c:ptCount val="1"/>
                <c:pt idx="0">
                  <c:v>#N/A</c:v>
                </c:pt>
              </c:numCache>
            </c:numRef>
          </c:xVal>
          <c:yVal>
            <c:numRef>
              <c:f>'Compare A B'!$M$27</c:f>
              <c:numCache>
                <c:formatCode>General</c:formatCode>
                <c:ptCount val="1"/>
                <c:pt idx="0">
                  <c:v>68.820293295782818</c:v>
                </c:pt>
              </c:numCache>
            </c:numRef>
          </c:yVal>
          <c:smooth val="0"/>
          <c:extLst>
            <c:ext xmlns:c16="http://schemas.microsoft.com/office/drawing/2014/chart" uri="{C3380CC4-5D6E-409C-BE32-E72D297353CC}">
              <c16:uniqueId val="{00000014-5186-4268-9072-C284E3E930D8}"/>
            </c:ext>
          </c:extLst>
        </c:ser>
        <c:ser>
          <c:idx val="8"/>
          <c:order val="8"/>
          <c:spPr>
            <a:ln w="28575">
              <a:noFill/>
            </a:ln>
          </c:spPr>
          <c:marker>
            <c:symbol val="none"/>
          </c:marker>
          <c:dLbls>
            <c:dLbl>
              <c:idx val="0"/>
              <c:layout/>
              <c:tx>
                <c:strRef>
                  <c:f>'Compare A B'!$N$31</c:f>
                  <c:strCache>
                    <c:ptCount val="1"/>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{F5FB11B5-B1D9-42E8-AB34-8D7857F85193}</c15:txfldGUID>
                      <c15:f>'Compare A B'!$N$31</c15:f>
                      <c15:dlblFieldTableCache>
                        <c:ptCount val="1"/>
                      </c15:dlblFieldTableCache>
                    </c15:dlblFTEntry>
                  </c15:dlblFieldTable>
                  <c15:showDataLabelsRange val="0"/>
                </c:ext>
                <c:ext xmlns:c16="http://schemas.microsoft.com/office/drawing/2014/chart" uri="{C3380CC4-5D6E-409C-BE32-E72D297353CC}">
                  <c16:uniqueId val="{00000015-5186-4268-9072-C284E3E930D8}"/>
                </c:ext>
              </c:extLst>
            </c:dLbl>
            <c:dLbl>
              <c:idx val="1"/>
              <c:layout/>
              <c:tx>
                <c:strRef>
                  <c:f>'Compare A B'!$N$30</c:f>
                  <c:strCache>
                    <c:ptCount val="1"/>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{CB519C52-C5D9-404C-86DF-FDD43923C863}</c15:txfldGUID>
                      <c15:f>'Compare A B'!$N$30</c15:f>
                      <c15:dlblFieldTableCache>
                        <c:ptCount val="1"/>
                      </c15:dlblFieldTableCache>
                    </c15:dlblFTEntry>
                  </c15:dlblFieldTable>
                  <c15:showDataLabelsRange val="0"/>
                </c:ext>
                <c:ext xmlns:c16="http://schemas.microsoft.com/office/drawing/2014/chart" uri="{C3380CC4-5D6E-409C-BE32-E72D297353CC}">
                  <c16:uniqueId val="{00000016-5186-4268-9072-C284E3E930D8}"/>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'Compare A B'!$M$22:$M$23</c:f>
              <c:numCache>
                <c:formatCode>General</c:formatCode>
                <c:ptCount val="2"/>
                <c:pt idx="0">
                  <c:v>2.5</c:v>
                </c:pt>
                <c:pt idx="1">
                  <c:v>2.76</c:v>
                </c:pt>
              </c:numCache>
            </c:numRef>
          </c:xVal>
          <c:yVal>
            <c:numRef>
              <c:f>'Compare A B'!$N$22:$N$23</c:f>
              <c:numCache>
                <c:formatCode>General</c:formatCode>
                <c:ptCount val="2"/>
                <c:pt idx="0">
                  <c:v>6</c:v>
                </c:pt>
                <c:pt idx="1">
                  <c:v>6</c:v>
                </c:pt>
              </c:numCache>
            </c:numRef>
          </c:yVal>
          <c:smooth val="0"/>
          <c:extLst>
            <c:ext xmlns:c16="http://schemas.microsoft.com/office/drawing/2014/chart" uri="{C3380CC4-5D6E-409C-BE32-E72D297353CC}">
              <c16:uniqueId val="{00000017-5186-4268-9072-C284E3E930D8}"/>
            </c:ext>
          </c:extLst>
        </c:ser>
        <c:ser>
          <c:idx val="9"/>
          <c:order val="9"/>
          <c:spPr>
            <a:ln w="28575">
              <a:noFill/>
            </a:ln>
          </c:spPr>
          <c:marker>
            <c:symbol val="none"/>
          </c:marker>
          <c:errBars>
            <c:errDir val="x"/>
            <c:errBarType val="both"/>
            <c:errValType val="cust"/>
            <c:noEndCap val="1"/>
            <c:plus>
              <c:numRef>
                <c:f>'Compare A B'!$AO$9:$AO$1009</c:f>
                <c:numCache>
                  <c:formatCode>General</c:formatCode>
                  <c:ptCount val="1001"/>
                  <c:pt idx="0">
                    <c:v>1.6459189580480703E-3</c:v>
                  </c:pt>
                  <c:pt idx="1">
                    <c:v>1.6866881143423381E-3</c:v>
                  </c:pt>
                  <c:pt idx="2">
                    <c:v>1.7283916210376624E-3</c:v>
                  </c:pt>
                  <c:pt idx="3">
                    <c:v>1.7710485441466651E-3</c:v>
                  </c:pt>
                  <c:pt idx="4">
                    <c:v>1.8146782667432262E-3</c:v>
                  </c:pt>
                  <c:pt idx="5">
                    <c:v>1.8593004939886112E-3</c:v>
                  </c:pt>
                  <c:pt idx="6">
                    <c:v>1.9049352553028277E-3</c:v>
                  </c:pt>
                  <c:pt idx="7">
                    <c:v>1.9516029088803538E-3</c:v>
                  </c:pt>
                  <c:pt idx="8">
                    <c:v>1.9993241429358565E-3</c:v>
                  </c:pt>
                  <c:pt idx="9">
                    <c:v>2.0481199804188899E-3</c:v>
                  </c:pt>
                  <c:pt idx="10">
                    <c:v>2.0980117802942154E-3</c:v>
                  </c:pt>
                  <c:pt idx="11">
                    <c:v>2.1490212423776129E-3</c:v>
                  </c:pt>
                  <c:pt idx="12">
                    <c:v>2.201170409671601E-3</c:v>
                  </c:pt>
                  <c:pt idx="13">
                    <c:v>2.2544816697236164E-3</c:v>
                  </c:pt>
                  <c:pt idx="14">
                    <c:v>2.3089777603874616E-3</c:v>
                  </c:pt>
                  <c:pt idx="15">
                    <c:v>2.3646817690620324E-3</c:v>
                  </c:pt>
                  <c:pt idx="16">
                    <c:v>2.4216171385565729E-3</c:v>
                  </c:pt>
                  <c:pt idx="17">
                    <c:v>2.479807668526715E-3</c:v>
                  </c:pt>
                  <c:pt idx="18">
                    <c:v>2.5392775169451173E-3</c:v>
                  </c:pt>
                  <c:pt idx="19">
                    <c:v>2.6000512041673483E-3</c:v>
                  </c:pt>
                  <c:pt idx="20">
                    <c:v>2.6621536142987213E-3</c:v>
                  </c:pt>
                  <c:pt idx="21">
                    <c:v>2.7256099985162041E-3</c:v>
                  </c:pt>
                  <c:pt idx="22">
                    <c:v>2.7904459763833486E-3</c:v>
                  </c:pt>
                  <c:pt idx="23">
                    <c:v>2.8566875383590267E-3</c:v>
                  </c:pt>
                  <c:pt idx="24">
                    <c:v>2.9243610478909294E-3</c:v>
                  </c:pt>
                  <c:pt idx="25">
                    <c:v>2.9934932433360499E-3</c:v>
                  </c:pt>
                  <c:pt idx="26">
                    <c:v>3.0641112405732302E-3</c:v>
                  </c:pt>
                  <c:pt idx="27">
                    <c:v>3.1362425328474476E-3</c:v>
                  </c:pt>
                  <c:pt idx="28">
                    <c:v>3.2099149940052222E-3</c:v>
                  </c:pt>
                  <c:pt idx="29">
                    <c:v>3.2851568809687502E-3</c:v>
                  </c:pt>
                  <c:pt idx="30">
                    <c:v>3.3619968326286014E-3</c:v>
                  </c:pt>
                  <c:pt idx="31">
                    <c:v>3.4404638720929291E-3</c:v>
                  </c:pt>
                  <c:pt idx="32">
                    <c:v>3.520587408642559E-3</c:v>
                  </c:pt>
                  <c:pt idx="33">
                    <c:v>3.6023972402224247E-3</c:v>
                  </c:pt>
                  <c:pt idx="34">
                    <c:v>3.6859235483029792E-3</c:v>
                  </c:pt>
                  <c:pt idx="35">
                    <c:v>3.7711969069116535E-3</c:v>
                  </c:pt>
                  <c:pt idx="36">
                    <c:v>3.8582482776326806E-3</c:v>
                  </c:pt>
                  <c:pt idx="37">
                    <c:v>3.9471090117351986E-3</c:v>
                  </c:pt>
                  <c:pt idx="38">
                    <c:v>4.0378108503116633E-3</c:v>
                  </c:pt>
                  <c:pt idx="39">
                    <c:v>4.1303859237414985E-3</c:v>
                  </c:pt>
                  <c:pt idx="40">
                    <c:v>4.2248667554282476E-3</c:v>
                  </c:pt>
                  <c:pt idx="41">
                    <c:v>4.3212862569724196E-3</c:v>
                  </c:pt>
                  <c:pt idx="42">
                    <c:v>4.4196777289846638E-3</c:v>
                  </c:pt>
                  <c:pt idx="43">
                    <c:v>4.5200748622622805E-3</c:v>
                  </c:pt>
                  <c:pt idx="44">
                    <c:v>4.6225117373393815E-3</c:v>
                  </c:pt>
                  <c:pt idx="45">
                    <c:v>4.7270228201960803E-3</c:v>
                  </c:pt>
                  <c:pt idx="46">
                    <c:v>4.8336429664800921E-3</c:v>
                  </c:pt>
                  <c:pt idx="47">
                    <c:v>4.9424074134095672E-3</c:v>
                  </c:pt>
                  <c:pt idx="48">
                    <c:v>5.0533517856210467E-3</c:v>
                  </c:pt>
                  <c:pt idx="49">
                    <c:v>5.1665120883526124E-3</c:v>
                  </c:pt>
                  <c:pt idx="50">
                    <c:v>5.2819247100045312E-3</c:v>
                  </c:pt>
                  <c:pt idx="51">
                    <c:v>5.3996264112392217E-3</c:v>
                  </c:pt>
                  <c:pt idx="52">
                    <c:v>5.5196543368501777E-3</c:v>
                  </c:pt>
                  <c:pt idx="53">
                    <c:v>5.6420459996714455E-3</c:v>
                  </c:pt>
                  <c:pt idx="54">
                    <c:v>5.7668392851452522E-3</c:v>
                  </c:pt>
                  <c:pt idx="55">
                    <c:v>5.8940724463045317E-3</c:v>
                  </c:pt>
                  <c:pt idx="56">
                    <c:v>6.0237841011776781E-3</c:v>
                  </c:pt>
                  <c:pt idx="57">
                    <c:v>6.1560132286361527E-3</c:v>
                  </c:pt>
                  <c:pt idx="58">
                    <c:v>6.2907991648649469E-3</c:v>
                  </c:pt>
                  <c:pt idx="59">
                    <c:v>6.4281816003174917E-3</c:v>
                  </c:pt>
                  <c:pt idx="60">
                    <c:v>6.5682005711340486E-3</c:v>
                  </c:pt>
                  <c:pt idx="61">
                    <c:v>6.7108964628442543E-3</c:v>
                  </c:pt>
                  <c:pt idx="62">
                    <c:v>6.856309998013752E-3</c:v>
                  </c:pt>
                  <c:pt idx="63">
                    <c:v>7.0044822337527526E-3</c:v>
                  </c:pt>
                  <c:pt idx="64">
                    <c:v>7.1554545567331634E-3</c:v>
                  </c:pt>
                  <c:pt idx="65">
                    <c:v>7.309268676648566E-3</c:v>
                  </c:pt>
                  <c:pt idx="66">
                    <c:v>7.4659666238957945E-3</c:v>
                  </c:pt>
                  <c:pt idx="67">
                    <c:v>7.6255907341764764E-3</c:v>
                  </c:pt>
                  <c:pt idx="68">
                    <c:v>7.7881836552792759E-3</c:v>
                  </c:pt>
                  <c:pt idx="69">
                    <c:v>7.9537883257642678E-3</c:v>
                  </c:pt>
                  <c:pt idx="70">
                    <c:v>8.122447980153432E-3</c:v>
                  </c:pt>
                  <c:pt idx="71">
                    <c:v>8.2942061339474314E-3</c:v>
                  </c:pt>
                  <c:pt idx="72">
                    <c:v>8.4691065755976448E-3</c:v>
                  </c:pt>
                  <c:pt idx="73">
                    <c:v>8.6471933646375988E-3</c:v>
                  </c:pt>
                  <c:pt idx="74">
                    <c:v>8.8285108222708637E-3</c:v>
                  </c:pt>
                  <c:pt idx="75">
                    <c:v>9.0131035069411398E-3</c:v>
                  </c:pt>
                  <c:pt idx="76">
                    <c:v>9.2010162296269106E-3</c:v>
                  </c:pt>
                  <c:pt idx="77">
                    <c:v>9.3922940307264412E-3</c:v>
                  </c:pt>
                  <c:pt idx="78">
                    <c:v>9.5869821608875645E-3</c:v>
                  </c:pt>
                  <c:pt idx="79">
                    <c:v>9.785126096509951E-3</c:v>
                  </c:pt>
                  <c:pt idx="80">
                    <c:v>9.9867715085329434E-3</c:v>
                  </c:pt>
                  <c:pt idx="81">
                    <c:v>1.0191964250601237E-2</c:v>
                  </c:pt>
                  <c:pt idx="82">
                    <c:v>1.0400750364393781E-2</c:v>
                  </c:pt>
                  <c:pt idx="83">
                    <c:v>1.0613176052217978E-2</c:v>
                  </c:pt>
                  <c:pt idx="84">
                    <c:v>1.0829287668981721E-2</c:v>
                  </c:pt>
                  <c:pt idx="85">
                    <c:v>1.1049131715203532E-2</c:v>
                  </c:pt>
                  <c:pt idx="86">
                    <c:v>1.127275481701186E-2</c:v>
                  </c:pt>
                  <c:pt idx="87">
                    <c:v>1.1500203718393947E-2</c:v>
                  </c:pt>
                  <c:pt idx="88">
                    <c:v>1.1731525263478945E-2</c:v>
                  </c:pt>
                  <c:pt idx="89">
                    <c:v>1.1966766386364545E-2</c:v>
                  </c:pt>
                  <c:pt idx="90">
                    <c:v>1.2205974088071196E-2</c:v>
                  </c:pt>
                  <c:pt idx="91">
                    <c:v>1.2449195439448781E-2</c:v>
                  </c:pt>
                  <c:pt idx="92">
                    <c:v>1.2696477547126977E-2</c:v>
                  </c:pt>
                  <c:pt idx="93">
                    <c:v>1.2947867540366011E-2</c:v>
                  </c:pt>
                  <c:pt idx="94">
                    <c:v>1.3203412574724606E-2</c:v>
                  </c:pt>
                  <c:pt idx="95">
                    <c:v>1.3463159785691582E-2</c:v>
                  </c:pt>
                  <c:pt idx="96">
                    <c:v>1.3727156299551284E-2</c:v>
                  </c:pt>
                  <c:pt idx="97">
                    <c:v>1.3995449191652017E-2</c:v>
                  </c:pt>
                  <c:pt idx="98">
                    <c:v>1.4268085493811157E-2</c:v>
                  </c:pt>
                  <c:pt idx="99">
                    <c:v>1.4545112154659775E-2</c:v>
                  </c:pt>
                  <c:pt idx="100">
                    <c:v>1.4826576034452157E-2</c:v>
                  </c:pt>
                  <c:pt idx="101">
                    <c:v>1.5112523875999031E-2</c:v>
                  </c:pt>
                  <c:pt idx="102">
                    <c:v>1.5403002301414864E-2</c:v>
                  </c:pt>
                  <c:pt idx="103">
                    <c:v>1.5698057766303113E-2</c:v>
                  </c:pt>
                  <c:pt idx="104">
                    <c:v>1.5997736570552448E-2</c:v>
                  </c:pt>
                  <c:pt idx="105">
                    <c:v>1.6302084814182959E-2</c:v>
                  </c:pt>
                  <c:pt idx="106">
                    <c:v>1.6611148395131541E-2</c:v>
                  </c:pt>
                  <c:pt idx="107">
                    <c:v>1.692497296191461E-2</c:v>
                  </c:pt>
                  <c:pt idx="108">
                    <c:v>1.7243603915565887E-2</c:v>
                  </c:pt>
                  <c:pt idx="109">
                    <c:v>1.7567086386244553E-2</c:v>
                  </c:pt>
                  <c:pt idx="110">
                    <c:v>1.7895465198216758E-2</c:v>
                  </c:pt>
                  <c:pt idx="111">
                    <c:v>1.8228784855737451E-2</c:v>
                  </c:pt>
                  <c:pt idx="112">
                    <c:v>1.8567089511076967E-2</c:v>
                  </c:pt>
                  <c:pt idx="113">
                    <c:v>1.8910422949987633E-2</c:v>
                  </c:pt>
                  <c:pt idx="114">
                    <c:v>1.9258828572187508E-2</c:v>
                  </c:pt>
                  <c:pt idx="115">
                    <c:v>1.9612349348313917E-2</c:v>
                  </c:pt>
                  <c:pt idx="116">
                    <c:v>1.9971027817016762E-2</c:v>
                  </c:pt>
                  <c:pt idx="117">
                    <c:v>2.0334906035545025E-2</c:v>
                  </c:pt>
                  <c:pt idx="118">
                    <c:v>2.0704025585283302E-2</c:v>
                  </c:pt>
                  <c:pt idx="119">
                    <c:v>2.1078427509604307E-2</c:v>
                  </c:pt>
                  <c:pt idx="120">
                    <c:v>2.1458152325772379E-2</c:v>
                  </c:pt>
                  <c:pt idx="121">
                    <c:v>2.1843239957397894E-2</c:v>
                  </c:pt>
                  <c:pt idx="122">
                    <c:v>2.223372975893638E-2</c:v>
                  </c:pt>
                  <c:pt idx="123">
                    <c:v>2.2629660421429162E-2</c:v>
                  </c:pt>
                  <c:pt idx="124">
                    <c:v>2.303107001721082E-2</c:v>
                  </c:pt>
                  <c:pt idx="125">
                    <c:v>2.343799591796859E-2</c:v>
                  </c:pt>
                  <c:pt idx="126">
                    <c:v>2.3850474786714419E-2</c:v>
                  </c:pt>
                  <c:pt idx="127">
                    <c:v>2.4268542561867442E-2</c:v>
                  </c:pt>
                  <c:pt idx="128">
                    <c:v>2.469223438749377E-2</c:v>
                  </c:pt>
                  <c:pt idx="129">
                    <c:v>2.5121584645003078E-2</c:v>
                  </c:pt>
                  <c:pt idx="130">
                    <c:v>2.5556626871346459E-2</c:v>
                  </c:pt>
                  <c:pt idx="131">
                    <c:v>2.5997393756524982E-2</c:v>
                  </c:pt>
                  <c:pt idx="132">
                    <c:v>2.6443917101650501E-2</c:v>
                  </c:pt>
                  <c:pt idx="133">
                    <c:v>2.6896227794031294E-2</c:v>
                  </c:pt>
                  <c:pt idx="134">
                    <c:v>2.7354355780181503E-2</c:v>
                  </c:pt>
                  <c:pt idx="135">
                    <c:v>2.7818330036892786E-2</c:v>
                  </c:pt>
                  <c:pt idx="136">
                    <c:v>2.8288178521682406E-2</c:v>
                  </c:pt>
                  <c:pt idx="137">
                    <c:v>2.8763928157290966E-2</c:v>
                  </c:pt>
                  <c:pt idx="138">
                    <c:v>2.9245604817287441E-2</c:v>
                  </c:pt>
                  <c:pt idx="139">
                    <c:v>2.9733233260461334E-2</c:v>
                  </c:pt>
                  <c:pt idx="140">
                    <c:v>3.0226837122794743E-2</c:v>
                  </c:pt>
                  <c:pt idx="141">
                    <c:v>3.0726438881751739E-2</c:v>
                  </c:pt>
                  <c:pt idx="142">
                    <c:v>3.1232059813647139E-2</c:v>
                  </c:pt>
                  <c:pt idx="143">
                    <c:v>3.1743719972607692E-2</c:v>
                  </c:pt>
                  <c:pt idx="144">
                    <c:v>3.2261438177284434E-2</c:v>
                  </c:pt>
                  <c:pt idx="145">
                    <c:v>3.2785231921160951E-2</c:v>
                  </c:pt>
                  <c:pt idx="146">
                    <c:v>3.3315117429302793E-2</c:v>
                  </c:pt>
                  <c:pt idx="147">
                    <c:v>3.3851109521051616E-2</c:v>
                  </c:pt>
                  <c:pt idx="148">
                    <c:v>3.4393221689751154E-2</c:v>
                  </c:pt>
                  <c:pt idx="149">
                    <c:v>3.4941465964334083E-2</c:v>
                  </c:pt>
                  <c:pt idx="150">
                    <c:v>3.5495852961919011E-2</c:v>
                  </c:pt>
                  <c:pt idx="151">
                    <c:v>3.6056391814728347E-2</c:v>
                  </c:pt>
                  <c:pt idx="152">
                    <c:v>3.662309012468877E-2</c:v>
                  </c:pt>
                  <c:pt idx="153">
                    <c:v>3.7195953992498004E-2</c:v>
                  </c:pt>
                  <c:pt idx="154">
                    <c:v>3.7774987920735623E-2</c:v>
                  </c:pt>
                  <c:pt idx="155">
                    <c:v>3.8360194809710632E-2</c:v>
                  </c:pt>
                  <c:pt idx="156">
                    <c:v>3.8951575945557974E-2</c:v>
                  </c:pt>
                  <c:pt idx="157">
                    <c:v>3.9549130920512522E-2</c:v>
                  </c:pt>
                  <c:pt idx="158">
                    <c:v>4.015285765228694E-2</c:v>
                  </c:pt>
                  <c:pt idx="159">
                    <c:v>4.076275233673439E-2</c:v>
                  </c:pt>
                  <c:pt idx="160">
                    <c:v>4.1378809401618519E-2</c:v>
                  </c:pt>
                  <c:pt idx="161">
                    <c:v>4.2001021478100385E-2</c:v>
                  </c:pt>
                  <c:pt idx="162">
                    <c:v>4.2629379403506688E-2</c:v>
                  </c:pt>
                  <c:pt idx="163">
                    <c:v>4.3263872156552446E-2</c:v>
                  </c:pt>
                  <c:pt idx="164">
                    <c:v>4.3904486867029892E-2</c:v>
                  </c:pt>
                  <c:pt idx="165">
                    <c:v>4.4551208718088806E-2</c:v>
                  </c:pt>
                  <c:pt idx="166">
                    <c:v>4.5204021014058952E-2</c:v>
                  </c:pt>
                  <c:pt idx="167">
                    <c:v>4.5862905018229892E-2</c:v>
                  </c:pt>
                  <c:pt idx="168">
                    <c:v>4.6527840119777196E-2</c:v>
                  </c:pt>
                  <c:pt idx="169">
                    <c:v>4.7198803608425884E-2</c:v>
                  </c:pt>
                  <c:pt idx="170">
                    <c:v>4.7875770768848178E-2</c:v>
                  </c:pt>
                  <c:pt idx="171">
                    <c:v>4.8558714781006013E-2</c:v>
                  </c:pt>
                  <c:pt idx="172">
                    <c:v>4.9247606828390175E-2</c:v>
                  </c:pt>
                  <c:pt idx="173">
                    <c:v>4.9942415844447342E-2</c:v>
                  </c:pt>
                  <c:pt idx="174">
                    <c:v>5.0643108720753525E-2</c:v>
                  </c:pt>
                  <c:pt idx="175">
                    <c:v>5.134965018631777E-2</c:v>
                  </c:pt>
                  <c:pt idx="176">
                    <c:v>5.2062002697958951E-2</c:v>
                  </c:pt>
                  <c:pt idx="177">
                    <c:v>5.2780126583701778E-2</c:v>
                  </c:pt>
                  <c:pt idx="178">
                    <c:v>5.3503979890522371E-2</c:v>
                  </c:pt>
                  <c:pt idx="179">
                    <c:v>5.4233518450232887E-2</c:v>
                  </c:pt>
                  <c:pt idx="180">
                    <c:v>5.4968695797540955E-2</c:v>
                  </c:pt>
                  <c:pt idx="181">
                    <c:v>5.570946317281792E-2</c:v>
                  </c:pt>
                  <c:pt idx="182">
                    <c:v>5.645576952154522E-2</c:v>
                  </c:pt>
                  <c:pt idx="183">
                    <c:v>5.7207561442271002E-2</c:v>
                  </c:pt>
                  <c:pt idx="184">
                    <c:v>5.7964783175537118E-2</c:v>
                  </c:pt>
                  <c:pt idx="185">
                    <c:v>5.872737665481513E-2</c:v>
                  </c:pt>
                  <c:pt idx="186">
                    <c:v>5.9495281344839765E-2</c:v>
                  </c:pt>
                  <c:pt idx="187">
                    <c:v>6.0268434381683028E-2</c:v>
                  </c:pt>
                  <c:pt idx="188">
                    <c:v>6.1046770496350121E-2</c:v>
                  </c:pt>
                  <c:pt idx="189">
                    <c:v>6.1830221953324035E-2</c:v>
                  </c:pt>
                  <c:pt idx="190">
                    <c:v>6.2618718635828047E-2</c:v>
                  </c:pt>
                  <c:pt idx="191">
                    <c:v>6.3412187950043775E-2</c:v>
                  </c:pt>
                  <c:pt idx="192">
                    <c:v>6.4210554850025608E-2</c:v>
                  </c:pt>
                  <c:pt idx="193">
                    <c:v>6.5013741862061408E-2</c:v>
                  </c:pt>
                  <c:pt idx="194">
                    <c:v>6.5821668999963626E-2</c:v>
                  </c:pt>
                  <c:pt idx="195">
                    <c:v>6.6634253820988226E-2</c:v>
                  </c:pt>
                  <c:pt idx="196">
                    <c:v>6.7451411441336998E-2</c:v>
                  </c:pt>
                  <c:pt idx="197">
                    <c:v>6.8273054380027468E-2</c:v>
                  </c:pt>
                  <c:pt idx="198">
                    <c:v>6.9099092804714726E-2</c:v>
                  </c:pt>
                  <c:pt idx="199">
                    <c:v>6.992943434621772E-2</c:v>
                  </c:pt>
                  <c:pt idx="200">
                    <c:v>7.0763984061424576E-2</c:v>
                  </c:pt>
                  <c:pt idx="201">
                    <c:v>7.1602644629285631E-2</c:v>
                  </c:pt>
                  <c:pt idx="202">
                    <c:v>7.2445316180842045E-2</c:v>
                  </c:pt>
                  <c:pt idx="203">
                    <c:v>7.3291896351269203E-2</c:v>
                  </c:pt>
                  <c:pt idx="204">
                    <c:v>7.4142280393375434E-2</c:v>
                  </c:pt>
                  <c:pt idx="205">
                    <c:v>7.4996360931780304E-2</c:v>
                  </c:pt>
                  <c:pt idx="206">
                    <c:v>7.5854028220363037E-2</c:v>
                  </c:pt>
                  <c:pt idx="207">
                    <c:v>7.67151700282101E-2</c:v>
                  </c:pt>
                  <c:pt idx="208">
                    <c:v>7.7579671654010182E-2</c:v>
                  </c:pt>
                  <c:pt idx="209">
                    <c:v>7.8447416031801831E-2</c:v>
                  </c:pt>
                  <c:pt idx="210">
                    <c:v>7.931828357373609E-2</c:v>
                  </c:pt>
                  <c:pt idx="211">
                    <c:v>8.0192152346138051E-2</c:v>
                  </c:pt>
                  <c:pt idx="212">
                    <c:v>8.106889789953553E-2</c:v>
                  </c:pt>
                  <c:pt idx="213">
                    <c:v>8.1948393532751268E-2</c:v>
                  </c:pt>
                  <c:pt idx="214">
                    <c:v>8.2830510158365442E-2</c:v>
                  </c:pt>
                  <c:pt idx="215">
                    <c:v>8.3715116241813853E-2</c:v>
                  </c:pt>
                  <c:pt idx="216">
                    <c:v>8.460207802174162E-2</c:v>
                  </c:pt>
                  <c:pt idx="217">
                    <c:v>8.5491259398165403E-2</c:v>
                  </c:pt>
                  <c:pt idx="218">
                    <c:v>8.638252198783862E-2</c:v>
                  </c:pt>
                  <c:pt idx="219">
                    <c:v>8.7275725168543691E-2</c:v>
                  </c:pt>
                  <c:pt idx="220">
                    <c:v>8.8170725999366067E-2</c:v>
                  </c:pt>
                  <c:pt idx="221">
                    <c:v>8.9067379465408603E-2</c:v>
                  </c:pt>
                  <c:pt idx="222">
                    <c:v>8.9965538358202715E-2</c:v>
                  </c:pt>
                  <c:pt idx="223">
                    <c:v>9.0865053125114753E-2</c:v>
                  </c:pt>
                  <c:pt idx="224">
                    <c:v>9.1765772427427908E-2</c:v>
                  </c:pt>
                  <c:pt idx="225">
                    <c:v>9.2667542654235172E-2</c:v>
                  </c:pt>
                  <c:pt idx="226">
                    <c:v>9.3570208091857079E-2</c:v>
                  </c:pt>
                  <c:pt idx="227">
                    <c:v>9.4473611172985306E-2</c:v>
                  </c:pt>
                  <c:pt idx="228">
                    <c:v>9.5377592254114421E-2</c:v>
                  </c:pt>
                  <c:pt idx="229">
                    <c:v>9.6281989845861268E-2</c:v>
                  </c:pt>
                  <c:pt idx="230">
                    <c:v>9.7186640507771038E-2</c:v>
                  </c:pt>
                  <c:pt idx="231">
                    <c:v>9.8091378954618516E-2</c:v>
                  </c:pt>
                  <c:pt idx="232">
                    <c:v>9.8996038125061053E-2</c:v>
                  </c:pt>
                  <c:pt idx="233">
                    <c:v>9.990044918163854E-2</c:v>
                  </c:pt>
                  <c:pt idx="234">
                    <c:v>0.10080444158385551</c:v>
                  </c:pt>
                  <c:pt idx="235">
                    <c:v>0.10170784311254193</c:v>
                  </c:pt>
                  <c:pt idx="236">
                    <c:v>0.10261047995622292</c:v>
                  </c:pt>
                  <c:pt idx="237">
                    <c:v>0.10351217670668962</c:v>
                  </c:pt>
                  <c:pt idx="238">
                    <c:v>0.1044127564630858</c:v>
                  </c:pt>
                  <c:pt idx="239">
                    <c:v>0.10531204086512704</c:v>
                  </c:pt>
                  <c:pt idx="240">
                    <c:v>0.10620985013739294</c:v>
                  </c:pt>
                  <c:pt idx="241">
                    <c:v>0.10710600315798004</c:v>
                  </c:pt>
                  <c:pt idx="242">
                    <c:v>0.10800031750943785</c:v>
                  </c:pt>
                  <c:pt idx="243">
                    <c:v>0.10889260954077797</c:v>
                  </c:pt>
                  <c:pt idx="244">
                    <c:v>0.10978269443612691</c:v>
                  </c:pt>
                  <c:pt idx="245">
                    <c:v>0.11067038624130159</c:v>
                  </c:pt>
                  <c:pt idx="246">
                    <c:v>0.11155549797453965</c:v>
                  </c:pt>
                  <c:pt idx="247">
                    <c:v>0.11243784165086032</c:v>
                  </c:pt>
                  <c:pt idx="248">
                    <c:v>0.11331722834407344</c:v>
                  </c:pt>
                  <c:pt idx="249">
                    <c:v>0.11419346830415382</c:v>
                  </c:pt>
                  <c:pt idx="250">
                    <c:v>0.11506637094838279</c:v>
                  </c:pt>
                  <c:pt idx="251">
                    <c:v>0.11593574500308328</c:v>
                  </c:pt>
                  <c:pt idx="252">
                    <c:v>0.11680139850583439</c:v>
                  </c:pt>
                  <c:pt idx="253">
                    <c:v>0.11766313891841657</c:v>
                  </c:pt>
                  <c:pt idx="254">
                    <c:v>0.11852077318439144</c:v>
                  </c:pt>
                  <c:pt idx="255">
                    <c:v>0.11937410780439858</c:v>
                  </c:pt>
                  <c:pt idx="256">
                    <c:v>0.12022294888930614</c:v>
                  </c:pt>
                  <c:pt idx="257">
                    <c:v>0.12106710224879526</c:v>
                  </c:pt>
                  <c:pt idx="258">
                    <c:v>0.12190637348880295</c:v>
                  </c:pt>
                  <c:pt idx="259">
                    <c:v>0.12274056801595132</c:v>
                  </c:pt>
                  <c:pt idx="260">
                    <c:v>0.1235694912147163</c:v>
                  </c:pt>
                  <c:pt idx="261">
                    <c:v>0.12439294840977942</c:v>
                  </c:pt>
                  <c:pt idx="262">
                    <c:v>0.12521074502990884</c:v>
                  </c:pt>
                  <c:pt idx="263">
                    <c:v>0.12602268666111011</c:v>
                  </c:pt>
                  <c:pt idx="264">
                    <c:v>0.12682857909313283</c:v>
                  </c:pt>
                  <c:pt idx="265">
                    <c:v>0.12762822845013289</c:v>
                  </c:pt>
                  <c:pt idx="266">
                    <c:v>0.12842144120617446</c:v>
                  </c:pt>
                  <c:pt idx="267">
                    <c:v>0.12920802433582379</c:v>
                  </c:pt>
                  <c:pt idx="268">
                    <c:v>0.12998778533186578</c:v>
                  </c:pt>
                  <c:pt idx="269">
                    <c:v>0.13076053232710785</c:v>
                  </c:pt>
                  <c:pt idx="270">
                    <c:v>0.13152607415417422</c:v>
                  </c:pt>
                  <c:pt idx="271">
                    <c:v>0.1322842204340903</c:v>
                  </c:pt>
                  <c:pt idx="272">
                    <c:v>0.13303478163164817</c:v>
                  </c:pt>
                  <c:pt idx="273">
                    <c:v>0.13377756918606834</c:v>
                  </c:pt>
                  <c:pt idx="274">
                    <c:v>0.13451239554200442</c:v>
                  </c:pt>
                  <c:pt idx="275">
                    <c:v>0.13523907427134668</c:v>
                  </c:pt>
                  <c:pt idx="276">
                    <c:v>0.13595742012415804</c:v>
                  </c:pt>
                  <c:pt idx="277">
                    <c:v>0.13666724911061473</c:v>
                  </c:pt>
                  <c:pt idx="278">
                    <c:v>0.1373683786117367</c:v>
                  </c:pt>
                  <c:pt idx="279">
                    <c:v>0.13806062742367994</c:v>
                  </c:pt>
                  <c:pt idx="280">
                    <c:v>0.13874381586182302</c:v>
                  </c:pt>
                  <c:pt idx="281">
                    <c:v>0.13941776582942023</c:v>
                  </c:pt>
                  <c:pt idx="282">
                    <c:v>0.14008230090397109</c:v>
                  </c:pt>
                  <c:pt idx="283">
                    <c:v>0.1407372464169466</c:v>
                  </c:pt>
                  <c:pt idx="284">
                    <c:v>0.14138242951801275</c:v>
                  </c:pt>
                  <c:pt idx="285">
                    <c:v>0.1420176792769027</c:v>
                  </c:pt>
                  <c:pt idx="286">
                    <c:v>0.14264282674985504</c:v>
                  </c:pt>
                  <c:pt idx="287">
                    <c:v>0.14325770505712512</c:v>
                  </c:pt>
                  <c:pt idx="288">
                    <c:v>0.14386214945163808</c:v>
                  </c:pt>
                  <c:pt idx="289">
                    <c:v>0.14445599741643161</c:v>
                  </c:pt>
                  <c:pt idx="290">
                    <c:v>0.1450390887244504</c:v>
                  </c:pt>
                  <c:pt idx="291">
                    <c:v>0.1456112655116284</c:v>
                  </c:pt>
                  <c:pt idx="292">
                    <c:v>0.14617237236104386</c:v>
                  </c:pt>
                  <c:pt idx="293">
                    <c:v>0.14672225637157243</c:v>
                  </c:pt>
                  <c:pt idx="294">
                    <c:v>0.14726076722432535</c:v>
                  </c:pt>
                  <c:pt idx="295">
                    <c:v>0.14778775726901919</c:v>
                  </c:pt>
                  <c:pt idx="296">
                    <c:v>0.14830308157269745</c:v>
                  </c:pt>
                  <c:pt idx="297">
                    <c:v>0.14880659801052945</c:v>
                  </c:pt>
                  <c:pt idx="298">
                    <c:v>0.14929816732339024</c:v>
                  </c:pt>
                  <c:pt idx="299">
                    <c:v>0.14977765317544051</c:v>
                  </c:pt>
                  <c:pt idx="300">
                    <c:v>0.15024492223606703</c:v>
                  </c:pt>
                  <c:pt idx="301">
                    <c:v>0.15069984424853577</c:v>
                  </c:pt>
                  <c:pt idx="302">
                    <c:v>0.15114229206321092</c:v>
                  </c:pt>
                  <c:pt idx="303">
                    <c:v>0.15157214173056852</c:v>
                  </c:pt>
                  <c:pt idx="304">
                    <c:v>0.15198927254548877</c:v>
                  </c:pt>
                  <c:pt idx="305">
                    <c:v>0.15239356712255261</c:v>
                  </c:pt>
                  <c:pt idx="306">
                    <c:v>0.15278491142040268</c:v>
                  </c:pt>
                  <c:pt idx="307">
                    <c:v>0.15316319483254201</c:v>
                  </c:pt>
                  <c:pt idx="308">
                    <c:v>0.15352831022498278</c:v>
                  </c:pt>
                  <c:pt idx="309">
                    <c:v>0.15388015399382582</c:v>
                  </c:pt>
                  <c:pt idx="310">
                    <c:v>0.15421862611619691</c:v>
                  </c:pt>
                  <c:pt idx="311">
                    <c:v>0.15454363019232428</c:v>
                  </c:pt>
                  <c:pt idx="312">
                    <c:v>0.15485507350090383</c:v>
                  </c:pt>
                  <c:pt idx="313">
                    <c:v>0.15515286705224987</c:v>
                  </c:pt>
                  <c:pt idx="314">
                    <c:v>0.15543692561265571</c:v>
                  </c:pt>
                  <c:pt idx="315">
                    <c:v>0.15570716776640287</c:v>
                  </c:pt>
                  <c:pt idx="316">
                    <c:v>0.15596351594012173</c:v>
                  </c:pt>
                  <c:pt idx="317">
                    <c:v>0.15620589646037139</c:v>
                  </c:pt>
                  <c:pt idx="318">
                    <c:v>0.15643423957578587</c:v>
                  </c:pt>
                  <c:pt idx="319">
                    <c:v>0.15664847949029309</c:v>
                  </c:pt>
                  <c:pt idx="320">
                    <c:v>0.15684855441405102</c:v>
                  </c:pt>
                  <c:pt idx="321">
                    <c:v>0.15703440657009157</c:v>
                  </c:pt>
                  <c:pt idx="322">
                    <c:v>0.15720598224747109</c:v>
                  </c:pt>
                  <c:pt idx="323">
                    <c:v>0.15736323180791428</c:v>
                  </c:pt>
                  <c:pt idx="324">
                    <c:v>0.15750610973010643</c:v>
                  </c:pt>
                  <c:pt idx="325">
                    <c:v>0.15763457461412256</c:v>
                  </c:pt>
                  <c:pt idx="326">
                    <c:v>0.15774858921243201</c:v>
                  </c:pt>
                  <c:pt idx="327">
                    <c:v>0.15784812044540075</c:v>
                  </c:pt>
                  <c:pt idx="328">
                    <c:v>0.15793313943229581</c:v>
                  </c:pt>
                  <c:pt idx="329">
                    <c:v>0.1580036214735685</c:v>
                  </c:pt>
                  <c:pt idx="330">
                    <c:v>0.15805954609957587</c:v>
                  </c:pt>
                  <c:pt idx="331">
                    <c:v>0.15810089705950744</c:v>
                  </c:pt>
                  <c:pt idx="332">
                    <c:v>0.15812766233024397</c:v>
                  </c:pt>
                  <c:pt idx="333">
                    <c:v>0.15813983413185942</c:v>
                  </c:pt>
                  <c:pt idx="334">
                    <c:v>0.15813739866511703</c:v>
                  </c:pt>
                  <c:pt idx="335">
                    <c:v>0.15812036177437336</c:v>
                  </c:pt>
                  <c:pt idx="336">
                    <c:v>0.15808873353167607</c:v>
                  </c:pt>
                  <c:pt idx="337">
                    <c:v>0.15804252314094561</c:v>
                  </c:pt>
                  <c:pt idx="338">
                    <c:v>0.15798174402714957</c:v>
                  </c:pt>
                  <c:pt idx="339">
                    <c:v>0.15790641385401971</c:v>
                  </c:pt>
                  <c:pt idx="340">
                    <c:v>0.15781655449969123</c:v>
                  </c:pt>
                  <c:pt idx="341">
                    <c:v>0.15771219206113191</c:v>
                  </c:pt>
                  <c:pt idx="342">
                    <c:v>0.15759335681870837</c:v>
                  </c:pt>
                  <c:pt idx="343">
                    <c:v>0.15746008324725916</c:v>
                  </c:pt>
                  <c:pt idx="344">
                    <c:v>0.15731240997180257</c:v>
                  </c:pt>
                  <c:pt idx="345">
                    <c:v>0.1571503797786096</c:v>
                  </c:pt>
                  <c:pt idx="346">
                    <c:v>0.15697403955540953</c:v>
                  </c:pt>
                  <c:pt idx="347">
                    <c:v>0.15678344030689223</c:v>
                  </c:pt>
                  <c:pt idx="348">
                    <c:v>0.15657863710377204</c:v>
                  </c:pt>
                  <c:pt idx="349">
                    <c:v>0.15635968906064168</c:v>
                  </c:pt>
                  <c:pt idx="350">
                    <c:v>0.15612665930496783</c:v>
                  </c:pt>
                  <c:pt idx="351">
                    <c:v>0.15587961495494487</c:v>
                  </c:pt>
                  <c:pt idx="352">
                    <c:v>0.15561862707298812</c:v>
                  </c:pt>
                  <c:pt idx="353">
                    <c:v>0.15534377063915855</c:v>
                  </c:pt>
                  <c:pt idx="354">
                    <c:v>0.15505512451572898</c:v>
                  </c:pt>
                  <c:pt idx="355">
                    <c:v>0.15475277138738958</c:v>
                  </c:pt>
                  <c:pt idx="356">
                    <c:v>0.15443679775017491</c:v>
                  </c:pt>
                  <c:pt idx="357">
                    <c:v>0.15410729384059627</c:v>
                  </c:pt>
                  <c:pt idx="358">
                    <c:v>0.15376435360906646</c:v>
                  </c:pt>
                  <c:pt idx="359">
                    <c:v>0.1534080746733929</c:v>
                  </c:pt>
                  <c:pt idx="360">
                    <c:v>0.15303855825676868</c:v>
                  </c:pt>
                  <c:pt idx="361">
                    <c:v>0.1526559091368363</c:v>
                  </c:pt>
                  <c:pt idx="362">
                    <c:v>0.15226023562132718</c:v>
                  </c:pt>
                  <c:pt idx="363">
                    <c:v>0.15185164946390628</c:v>
                  </c:pt>
                  <c:pt idx="364">
                    <c:v>0.15143026581988009</c:v>
                  </c:pt>
                  <c:pt idx="365">
                    <c:v>0.15099620319747495</c:v>
                  </c:pt>
                  <c:pt idx="366">
                    <c:v>0.15054958338696983</c:v>
                  </c:pt>
                  <c:pt idx="367">
                    <c:v>0.15009053140754539</c:v>
                  </c:pt>
                  <c:pt idx="368">
                    <c:v>0.14961917545856271</c:v>
                  </c:pt>
                  <c:pt idx="369">
                    <c:v>0.14913564681990585</c:v>
                  </c:pt>
                  <c:pt idx="370">
                    <c:v>0.14864007984090874</c:v>
                  </c:pt>
                  <c:pt idx="371">
                    <c:v>0.14813261182962462</c:v>
                  </c:pt>
                  <c:pt idx="372">
                    <c:v>0.14761338301739235</c:v>
                  </c:pt>
                  <c:pt idx="373">
                    <c:v>0.14708253646139355</c:v>
                  </c:pt>
                  <c:pt idx="374">
                    <c:v>0.14654021801586262</c:v>
                  </c:pt>
                  <c:pt idx="375">
                    <c:v>0.14598657623021472</c:v>
                  </c:pt>
                  <c:pt idx="376">
                    <c:v>0.14542176228482204</c:v>
                  </c:pt>
                  <c:pt idx="377">
                    <c:v>0.14484592993121936</c:v>
                  </c:pt>
                  <c:pt idx="378">
                    <c:v>0.1442592354145926</c:v>
                  </c:pt>
                  <c:pt idx="379">
                    <c:v>0.14366183738962374</c:v>
                  </c:pt>
                  <c:pt idx="380">
                    <c:v>0.14305389684962319</c:v>
                  </c:pt>
                  <c:pt idx="381">
                    <c:v>0.14243557708223767</c:v>
                  </c:pt>
                  <c:pt idx="382">
                    <c:v>0.14180704352771512</c:v>
                  </c:pt>
                  <c:pt idx="383">
                    <c:v>0.14116846378333384</c:v>
                  </c:pt>
                  <c:pt idx="384">
                    <c:v>0.14052000745945301</c:v>
                  </c:pt>
                  <c:pt idx="385">
                    <c:v>0.13986184612857641</c:v>
                  </c:pt>
                  <c:pt idx="386">
                    <c:v>0.13919415326334358</c:v>
                  </c:pt>
                  <c:pt idx="387">
                    <c:v>0.13851710411915524</c:v>
                  </c:pt>
                  <c:pt idx="388">
                    <c:v>0.13783087568766669</c:v>
                  </c:pt>
                  <c:pt idx="389">
                    <c:v>0.13713564660598859</c:v>
                  </c:pt>
                  <c:pt idx="390">
                    <c:v>0.13643159707031732</c:v>
                  </c:pt>
                  <c:pt idx="391">
                    <c:v>0.13571890876506737</c:v>
                  </c:pt>
                  <c:pt idx="392">
                    <c:v>0.13499776478314535</c:v>
                  </c:pt>
                  <c:pt idx="393">
                    <c:v>0.13426834953515099</c:v>
                  </c:pt>
                  <c:pt idx="394">
                    <c:v>0.13353084867186585</c:v>
                  </c:pt>
                  <c:pt idx="395">
                    <c:v>0.13278544901117106</c:v>
                  </c:pt>
                  <c:pt idx="396">
                    <c:v>0.13203233845389226</c:v>
                  </c:pt>
                  <c:pt idx="397">
                    <c:v>0.13127170589300041</c:v>
                  </c:pt>
                  <c:pt idx="398">
                    <c:v>0.13050374114274441</c:v>
                  </c:pt>
                  <c:pt idx="399">
                    <c:v>0.12972863486778352</c:v>
                  </c:pt>
                  <c:pt idx="400">
                    <c:v>0.12894657847467142</c:v>
                  </c:pt>
                  <c:pt idx="401">
                    <c:v>0.12815776406092025</c:v>
                  </c:pt>
                  <c:pt idx="402">
                    <c:v>0.12736238429098232</c:v>
                  </c:pt>
                  <c:pt idx="403">
                    <c:v>0.12656063239625023</c:v>
                  </c:pt>
                  <c:pt idx="404">
                    <c:v>0.12575270200010263</c:v>
                  </c:pt>
                  <c:pt idx="405">
                    <c:v>0.12493878712233332</c:v>
                  </c:pt>
                  <c:pt idx="406">
                    <c:v>0.1241190820219141</c:v>
                  </c:pt>
                  <c:pt idx="407">
                    <c:v>0.12329378120363844</c:v>
                  </c:pt>
                  <c:pt idx="408">
                    <c:v>0.12246307926531352</c:v>
                  </c:pt>
                  <c:pt idx="409">
                    <c:v>0.12162717087782862</c:v>
                  </c:pt>
                  <c:pt idx="410">
                    <c:v>0.1207862506500639</c:v>
                  </c:pt>
                  <c:pt idx="411">
                    <c:v>0.11994051312003205</c:v>
                  </c:pt>
                  <c:pt idx="412">
                    <c:v>0.11909015263528926</c:v>
                  </c:pt>
                  <c:pt idx="413">
                    <c:v>0.11823536326877999</c:v>
                  </c:pt>
                  <c:pt idx="414">
                    <c:v>0.11737633880776403</c:v>
                  </c:pt>
                  <c:pt idx="415">
                    <c:v>0.11651327260100833</c:v>
                  </c:pt>
                  <c:pt idx="416">
                    <c:v>0.11564635755214313</c:v>
                  </c:pt>
                  <c:pt idx="417">
                    <c:v>0.11477578600228769</c:v>
                  </c:pt>
                  <c:pt idx="418">
                    <c:v>0.11390174970126028</c:v>
                  </c:pt>
                  <c:pt idx="419">
                    <c:v>0.11302443969241853</c:v>
                  </c:pt>
                  <c:pt idx="420">
                    <c:v>0.11214404629715709</c:v>
                  </c:pt>
                  <c:pt idx="421">
                    <c:v>0.11126075899088947</c:v>
                  </c:pt>
                  <c:pt idx="422">
                    <c:v>0.11037476639640421</c:v>
                  </c:pt>
                  <c:pt idx="423">
                    <c:v>0.10948625616649058</c:v>
                  </c:pt>
                  <c:pt idx="424">
                    <c:v>0.10859541495293393</c:v>
                  </c:pt>
                  <c:pt idx="425">
                    <c:v>0.10770242833343364</c:v>
                  </c:pt>
                  <c:pt idx="426">
                    <c:v>0.10680748074737945</c:v>
                  </c:pt>
                  <c:pt idx="427">
                    <c:v>0.10591075544048603</c:v>
                  </c:pt>
                  <c:pt idx="428">
                    <c:v>0.10501243439614032</c:v>
                  </c:pt>
                  <c:pt idx="429">
                    <c:v>0.1041126983021821</c:v>
                  </c:pt>
                  <c:pt idx="430">
                    <c:v>0.10321172646231981</c:v>
                  </c:pt>
                  <c:pt idx="431">
                    <c:v>0.10230969676955508</c:v>
                  </c:pt>
                  <c:pt idx="432">
                    <c:v>0.1014067856242422</c:v>
                  </c:pt>
                  <c:pt idx="433">
                    <c:v>0.10050316789422516</c:v>
                  </c:pt>
                  <c:pt idx="434">
                    <c:v>9.9599016892691489E-2</c:v>
                  </c:pt>
                  <c:pt idx="435">
                    <c:v>9.8694504260797955E-2</c:v>
                  </c:pt>
                  <c:pt idx="436">
                    <c:v>9.7789799987602025E-2</c:v>
                  </c:pt>
                  <c:pt idx="437">
                    <c:v>9.6885072334765149E-2</c:v>
                  </c:pt>
                  <c:pt idx="438">
                    <c:v>9.5980487759041375E-2</c:v>
                  </c:pt>
                  <c:pt idx="439">
                    <c:v>9.507621093885267E-2</c:v>
                  </c:pt>
                  <c:pt idx="440">
                    <c:v>9.417240468016802E-2</c:v>
                  </c:pt>
                  <c:pt idx="441">
                    <c:v>9.3269229810202067E-2</c:v>
                  </c:pt>
                  <c:pt idx="442">
                    <c:v>9.2366845371193593E-2</c:v>
                  </c:pt>
                  <c:pt idx="443">
                    <c:v>9.1465408305930779E-2</c:v>
                  </c:pt>
                  <c:pt idx="444">
                    <c:v>9.0565073485433883E-2</c:v>
                  </c:pt>
                  <c:pt idx="445">
                    <c:v>8.9665993972493849E-2</c:v>
                  </c:pt>
                  <c:pt idx="446">
                    <c:v>8.876832039161571E-2</c:v>
                  </c:pt>
                  <c:pt idx="447">
                    <c:v>8.7872201565718955E-2</c:v>
                  </c:pt>
                  <c:pt idx="448">
                    <c:v>8.6977783901583297E-2</c:v>
                  </c:pt>
                  <c:pt idx="449">
                    <c:v>8.608521184716561E-2</c:v>
                  </c:pt>
                  <c:pt idx="450">
                    <c:v>8.5194627494077399E-2</c:v>
                  </c:pt>
                  <c:pt idx="451">
                    <c:v>8.4306170697173791E-2</c:v>
                  </c:pt>
                  <c:pt idx="452">
                    <c:v>8.3419979127704144E-2</c:v>
                  </c:pt>
                  <c:pt idx="453">
                    <c:v>8.2536188121611231E-2</c:v>
                  </c:pt>
                  <c:pt idx="454">
                    <c:v>8.1654930714965074E-2</c:v>
                  </c:pt>
                  <c:pt idx="455">
                    <c:v>8.0776337508871643E-2</c:v>
                  </c:pt>
                  <c:pt idx="456">
                    <c:v>7.9900536902006936E-2</c:v>
                  </c:pt>
                  <c:pt idx="457">
                    <c:v>7.9027654844241679E-2</c:v>
                  </c:pt>
                  <c:pt idx="458">
                    <c:v>7.8157814955676488E-2</c:v>
                  </c:pt>
                  <c:pt idx="459">
                    <c:v>7.7291138337292814E-2</c:v>
                  </c:pt>
                  <c:pt idx="460">
                    <c:v>7.642774372320732E-2</c:v>
                  </c:pt>
                  <c:pt idx="461">
                    <c:v>7.5567747459079473E-2</c:v>
                  </c:pt>
                  <c:pt idx="462">
                    <c:v>7.4711263415741719E-2</c:v>
                  </c:pt>
                  <c:pt idx="463">
                    <c:v>7.3858402952658456E-2</c:v>
                  </c:pt>
                  <c:pt idx="464">
                    <c:v>7.3009275105614169E-2</c:v>
                  </c:pt>
                  <c:pt idx="465">
                    <c:v>7.2163986251753715E-2</c:v>
                  </c:pt>
                  <c:pt idx="466">
                    <c:v>7.1322640452293223E-2</c:v>
                  </c:pt>
                  <c:pt idx="467">
                    <c:v>7.0485339227183488E-2</c:v>
                  </c:pt>
                  <c:pt idx="468">
                    <c:v>6.9652181512478761E-2</c:v>
                  </c:pt>
                  <c:pt idx="469">
                    <c:v>6.8823263949343336E-2</c:v>
                  </c:pt>
                  <c:pt idx="470">
                    <c:v>6.7998680532482217E-2</c:v>
                  </c:pt>
                  <c:pt idx="471">
                    <c:v>6.7178522826065623E-2</c:v>
                  </c:pt>
                  <c:pt idx="472">
                    <c:v>6.6362879901166183E-2</c:v>
                  </c:pt>
                  <c:pt idx="473">
                    <c:v>6.5551838320256725E-2</c:v>
                  </c:pt>
                  <c:pt idx="474">
                    <c:v>6.4745482193129172E-2</c:v>
                  </c:pt>
                  <c:pt idx="475">
                    <c:v>6.3943893115992773E-2</c:v>
                  </c:pt>
                  <c:pt idx="476">
                    <c:v>6.3147150247878106E-2</c:v>
                  </c:pt>
                  <c:pt idx="477">
                    <c:v>6.2355330267452255E-2</c:v>
                  </c:pt>
                  <c:pt idx="478">
                    <c:v>6.1568507371357759E-2</c:v>
                  </c:pt>
                  <c:pt idx="479">
                    <c:v>6.078675335836789E-2</c:v>
                  </c:pt>
                  <c:pt idx="480">
                    <c:v>6.0010137534158361E-2</c:v>
                  </c:pt>
                  <c:pt idx="481">
                    <c:v>5.9238726802106359E-2</c:v>
                  </c:pt>
                  <c:pt idx="482">
                    <c:v>5.8472585646127333E-2</c:v>
                  </c:pt>
                  <c:pt idx="483">
                    <c:v>5.771177615448201E-2</c:v>
                  </c:pt>
                  <c:pt idx="484">
                    <c:v>5.6956358013686273E-2</c:v>
                  </c:pt>
                  <c:pt idx="485">
                    <c:v>5.6206388555571592E-2</c:v>
                  </c:pt>
                  <c:pt idx="486">
                    <c:v>5.5461922699151518E-2</c:v>
                  </c:pt>
                  <c:pt idx="487">
                    <c:v>5.4723013124468568E-2</c:v>
                  </c:pt>
                  <c:pt idx="488">
                    <c:v>5.3989710063867255E-2</c:v>
                  </c:pt>
                  <c:pt idx="489">
                    <c:v>5.3262061543940219E-2</c:v>
                  </c:pt>
                  <c:pt idx="490">
                    <c:v>5.2540113229951856E-2</c:v>
                  </c:pt>
                  <c:pt idx="491">
                    <c:v>5.1823908589719497E-2</c:v>
                  </c:pt>
                  <c:pt idx="492">
                    <c:v>5.1113488793402301E-2</c:v>
                  </c:pt>
                  <c:pt idx="493">
                    <c:v>5.0408892814265985E-2</c:v>
                  </c:pt>
                  <c:pt idx="494">
                    <c:v>4.9710157392695443E-2</c:v>
                  </c:pt>
                  <c:pt idx="495">
                    <c:v>4.9017317125886459E-2</c:v>
                  </c:pt>
                  <c:pt idx="496">
                    <c:v>4.8330404427429037E-2</c:v>
                  </c:pt>
                  <c:pt idx="497">
                    <c:v>4.7649449573260609E-2</c:v>
                  </c:pt>
                  <c:pt idx="498">
                    <c:v>4.697448076921161E-2</c:v>
                  </c:pt>
                  <c:pt idx="499">
                    <c:v>4.630552410117679E-2</c:v>
                  </c:pt>
                  <c:pt idx="500">
                    <c:v>4.564260361318017E-2</c:v>
                  </c:pt>
                  <c:pt idx="501">
                    <c:v>4.498574130156175E-2</c:v>
                  </c:pt>
                  <c:pt idx="502">
                    <c:v>4.4334957190551035E-2</c:v>
                  </c:pt>
                  <c:pt idx="503">
                    <c:v>4.3690269303477143E-2</c:v>
                  </c:pt>
                  <c:pt idx="504">
                    <c:v>4.3051693682423432E-2</c:v>
                  </c:pt>
                  <c:pt idx="505">
                    <c:v>4.2419244530239417E-2</c:v>
                  </c:pt>
                  <c:pt idx="506">
                    <c:v>4.1792934088460368E-2</c:v>
                  </c:pt>
                  <c:pt idx="507">
                    <c:v>4.1172772747760981E-2</c:v>
                  </c:pt>
                  <c:pt idx="508">
                    <c:v>4.0558769097784143E-2</c:v>
                  </c:pt>
                  <c:pt idx="509">
                    <c:v>3.9950929863470853E-2</c:v>
                  </c:pt>
                  <c:pt idx="510">
                    <c:v>3.9349260037936866E-2</c:v>
                  </c:pt>
                  <c:pt idx="511">
                    <c:v>3.8753762870845969E-2</c:v>
                  </c:pt>
                  <c:pt idx="512">
                    <c:v>3.8164439850139453E-2</c:v>
                  </c:pt>
                  <c:pt idx="513">
                    <c:v>3.7581290839618794E-2</c:v>
                  </c:pt>
                  <c:pt idx="514">
                    <c:v>3.7004313994790435E-2</c:v>
                  </c:pt>
                  <c:pt idx="515">
                    <c:v>3.6433505901555766E-2</c:v>
                  </c:pt>
                  <c:pt idx="516">
                    <c:v>3.586886148596577E-2</c:v>
                  </c:pt>
                  <c:pt idx="517">
                    <c:v>3.5310374177271675E-2</c:v>
                  </c:pt>
                  <c:pt idx="518">
                    <c:v>3.475803584037937E-2</c:v>
                  </c:pt>
                  <c:pt idx="519">
                    <c:v>3.421183685585219E-2</c:v>
                  </c:pt>
                  <c:pt idx="520">
                    <c:v>3.3671766122125524E-2</c:v>
                  </c:pt>
                  <c:pt idx="521">
                    <c:v>3.3137811117792723E-2</c:v>
                  </c:pt>
                  <c:pt idx="522">
                    <c:v>3.2609957916553745E-2</c:v>
                  </c:pt>
                  <c:pt idx="523">
                    <c:v>3.2088191221541572E-2</c:v>
                  </c:pt>
                  <c:pt idx="524">
                    <c:v>3.1572494373073412E-2</c:v>
                  </c:pt>
                  <c:pt idx="525">
                    <c:v>3.1062849441110599E-2</c:v>
                  </c:pt>
                  <c:pt idx="526">
                    <c:v>3.0559237194807767E-2</c:v>
                  </c:pt>
                  <c:pt idx="527">
                    <c:v>3.0061637161476813E-2</c:v>
                  </c:pt>
                  <c:pt idx="528">
                    <c:v>2.9570027658698757E-2</c:v>
                  </c:pt>
                  <c:pt idx="529">
                    <c:v>2.908438582588195E-2</c:v>
                  </c:pt>
                  <c:pt idx="530">
                    <c:v>2.8604687642532579E-2</c:v>
                  </c:pt>
                  <c:pt idx="531">
                    <c:v>2.8130907983896787E-2</c:v>
                  </c:pt>
                  <c:pt idx="532">
                    <c:v>2.7663020619576515E-2</c:v>
                  </c:pt>
                  <c:pt idx="533">
                    <c:v>2.7200998279690997E-2</c:v>
                  </c:pt>
                  <c:pt idx="534">
                    <c:v>2.6744812662351066E-2</c:v>
                  </c:pt>
                  <c:pt idx="535">
                    <c:v>2.6294434453590646E-2</c:v>
                  </c:pt>
                  <c:pt idx="536">
                    <c:v>2.5849833410137815E-2</c:v>
                  </c:pt>
                  <c:pt idx="537">
                    <c:v>2.541097831595308E-2</c:v>
                  </c:pt>
                  <c:pt idx="538">
                    <c:v>2.4977837089361143E-2</c:v>
                  </c:pt>
                  <c:pt idx="539">
                    <c:v>2.4550376741250129E-2</c:v>
                  </c:pt>
                  <c:pt idx="540">
                    <c:v>2.412856345853473E-2</c:v>
                  </c:pt>
                  <c:pt idx="541">
                    <c:v>2.3712362600280618E-2</c:v>
                  </c:pt>
                  <c:pt idx="542">
                    <c:v>2.3301738750578272E-2</c:v>
                  </c:pt>
                  <c:pt idx="543">
                    <c:v>2.28966557355678E-2</c:v>
                  </c:pt>
                  <c:pt idx="544">
                    <c:v>2.2497076630082762E-2</c:v>
                  </c:pt>
                  <c:pt idx="545">
                    <c:v>2.2102963849141261E-2</c:v>
                  </c:pt>
                  <c:pt idx="546">
                    <c:v>2.171427910462263E-2</c:v>
                  </c:pt>
                  <c:pt idx="547">
                    <c:v>2.1330983477242271E-2</c:v>
                  </c:pt>
                  <c:pt idx="548">
                    <c:v>2.0953037426102147E-2</c:v>
                  </c:pt>
                  <c:pt idx="549">
                    <c:v>2.0580400817895979E-2</c:v>
                  </c:pt>
                  <c:pt idx="550">
                    <c:v>2.0213032967602684E-2</c:v>
                  </c:pt>
                  <c:pt idx="551">
                    <c:v>1.9850892640424177E-2</c:v>
                  </c:pt>
                  <c:pt idx="552">
                    <c:v>1.9493938102582993E-2</c:v>
                  </c:pt>
                  <c:pt idx="553">
                    <c:v>1.9142127125059437E-2</c:v>
                  </c:pt>
                  <c:pt idx="554">
                    <c:v>1.8795417027468543E-2</c:v>
                  </c:pt>
                  <c:pt idx="555">
                    <c:v>1.8453764693423951E-2</c:v>
                  </c:pt>
                  <c:pt idx="556">
                    <c:v>1.8117126590884637E-2</c:v>
                  </c:pt>
                  <c:pt idx="557">
                    <c:v>1.7785458803989913E-2</c:v>
                  </c:pt>
                  <c:pt idx="558">
                    <c:v>1.7458717066970671E-2</c:v>
                  </c:pt>
                  <c:pt idx="559">
                    <c:v>1.7136856764564619E-2</c:v>
                  </c:pt>
                  <c:pt idx="560">
                    <c:v>1.6819832964820185E-2</c:v>
                  </c:pt>
                  <c:pt idx="561">
                    <c:v>1.6507600451069963E-2</c:v>
                  </c:pt>
                  <c:pt idx="562">
                    <c:v>1.6200113738401876E-2</c:v>
                  </c:pt>
                  <c:pt idx="563">
                    <c:v>1.5897327083071268E-2</c:v>
                  </c:pt>
                  <c:pt idx="564">
                    <c:v>1.5599194523886428E-2</c:v>
                  </c:pt>
                  <c:pt idx="565">
                    <c:v>1.5305669888021955E-2</c:v>
                  </c:pt>
                  <c:pt idx="566">
                    <c:v>1.5016706832957933E-2</c:v>
                  </c:pt>
                  <c:pt idx="567">
                    <c:v>1.4732258829731937E-2</c:v>
                  </c:pt>
                  <c:pt idx="568">
                    <c:v>1.4452279224256065E-2</c:v>
                  </c:pt>
                  <c:pt idx="569">
                    <c:v>1.4176721226866737E-2</c:v>
                  </c:pt>
                  <c:pt idx="570">
                    <c:v>1.390553794727402E-2</c:v>
                  </c:pt>
                  <c:pt idx="571">
                    <c:v>1.3638682408264526E-2</c:v>
                  </c:pt>
                  <c:pt idx="572">
                    <c:v>1.3376107563902737E-2</c:v>
                  </c:pt>
                  <c:pt idx="573">
                    <c:v>1.3117766314133604E-2</c:v>
                  </c:pt>
                  <c:pt idx="574">
                    <c:v>1.2863611532949605E-2</c:v>
                  </c:pt>
                  <c:pt idx="575">
                    <c:v>1.2613596071712675E-2</c:v>
                  </c:pt>
                  <c:pt idx="576">
                    <c:v>1.2367672786490794E-2</c:v>
                  </c:pt>
                  <c:pt idx="577">
                    <c:v>1.2125794552591369E-2</c:v>
                  </c:pt>
                  <c:pt idx="578">
                    <c:v>1.1887914268990453E-2</c:v>
                  </c:pt>
                  <c:pt idx="579">
                    <c:v>1.1653984891344284E-2</c:v>
                  </c:pt>
                  <c:pt idx="580">
                    <c:v>1.1423959440709307E-2</c:v>
                  </c:pt>
                  <c:pt idx="581">
                    <c:v>1.1197791005272347E-2</c:v>
                  </c:pt>
                  <c:pt idx="582">
                    <c:v>1.097543277647643E-2</c:v>
                  </c:pt>
                  <c:pt idx="583">
                    <c:v>1.0756838047221417E-2</c:v>
                  </c:pt>
                  <c:pt idx="584">
                    <c:v>1.0541960233940901E-2</c:v>
                  </c:pt>
                  <c:pt idx="585">
                    <c:v>1.0330752882207937E-2</c:v>
                  </c:pt>
                  <c:pt idx="586">
                    <c:v>1.0123169684659547E-2</c:v>
                  </c:pt>
                  <c:pt idx="587">
                    <c:v>9.9191644915853222E-3</c:v>
                  </c:pt>
                  <c:pt idx="588">
                    <c:v>9.7186913261528719E-3</c:v>
                  </c:pt>
                  <c:pt idx="589">
                    <c:v>9.5217043881449751E-3</c:v>
                  </c:pt>
                  <c:pt idx="590">
                    <c:v>9.3281580772821959E-3</c:v>
                  </c:pt>
                  <c:pt idx="591">
                    <c:v>9.1380069874787452E-3</c:v>
                  </c:pt>
                  <c:pt idx="592">
                    <c:v>8.9512059360476424E-3</c:v>
                  </c:pt>
                  <c:pt idx="593">
                    <c:v>8.7677099603788063E-3</c:v>
                  </c:pt>
                  <c:pt idx="594">
                    <c:v>8.587474333718155E-3</c:v>
                  </c:pt>
                  <c:pt idx="595">
                    <c:v>8.4104545701504749E-3</c:v>
                  </c:pt>
                  <c:pt idx="596">
                    <c:v>8.236606440655346E-3</c:v>
                  </c:pt>
                  <c:pt idx="597">
                    <c:v>8.0658859721382554E-3</c:v>
                  </c:pt>
                  <c:pt idx="598">
                    <c:v>7.8982494667392232E-3</c:v>
                  </c:pt>
                  <c:pt idx="599">
                    <c:v>7.7336535025940784E-3</c:v>
                  </c:pt>
                  <c:pt idx="600">
                    <c:v>7.5720549426582986E-3</c:v>
                  </c:pt>
                  <c:pt idx="601">
                    <c:v>7.4134109433924324E-3</c:v>
                  </c:pt>
                  <c:pt idx="602">
                    <c:v>7.2576789610598958E-3</c:v>
                  </c:pt>
                  <c:pt idx="603">
                    <c:v>7.10481676006637E-3</c:v>
                  </c:pt>
                  <c:pt idx="604">
                    <c:v>6.9547824185655256E-3</c:v>
                  </c:pt>
                  <c:pt idx="605">
                    <c:v>6.8075343320231681E-3</c:v>
                  </c:pt>
                  <c:pt idx="606">
                    <c:v>6.6630312226639314E-3</c:v>
                  </c:pt>
                  <c:pt idx="607">
                    <c:v>6.5212321459766969E-3</c:v>
                  </c:pt>
                  <c:pt idx="608">
                    <c:v>6.382096490506973E-3</c:v>
                  </c:pt>
                  <c:pt idx="609">
                    <c:v>6.2455839868191454E-3</c:v>
                  </c:pt>
                  <c:pt idx="610">
                    <c:v>6.1116547120641145E-3</c:v>
                  </c:pt>
                  <c:pt idx="611">
                    <c:v>5.9802690958272453E-3</c:v>
                  </c:pt>
                  <c:pt idx="612">
                    <c:v>5.8513879194709096E-3</c:v>
                  </c:pt>
                  <c:pt idx="613">
                    <c:v>5.7249723225360916E-3</c:v>
                  </c:pt>
                  <c:pt idx="614">
                    <c:v>5.6009838094208215E-3</c:v>
                  </c:pt>
                  <c:pt idx="615">
                    <c:v>5.4793842516639955E-3</c:v>
                  </c:pt>
                  <c:pt idx="616">
                    <c:v>5.3601358835507554E-3</c:v>
                  </c:pt>
                  <c:pt idx="617">
                    <c:v>5.2432013168880916E-3</c:v>
                  </c:pt>
                  <c:pt idx="618">
                    <c:v>5.1285435343610148E-3</c:v>
                  </c:pt>
                  <c:pt idx="619">
                    <c:v>5.0161258989792519E-3</c:v>
                  </c:pt>
                  <c:pt idx="620">
                    <c:v>4.9059121511013616E-3</c:v>
                  </c:pt>
                  <c:pt idx="621">
                    <c:v>4.7978664094036295E-3</c:v>
                  </c:pt>
                  <c:pt idx="622">
                    <c:v>4.6919531817108933E-3</c:v>
                  </c:pt>
                  <c:pt idx="623">
                    <c:v>4.58813735461556E-3</c:v>
                  </c:pt>
                  <c:pt idx="624">
                    <c:v>4.4863842040662096E-3</c:v>
                  </c:pt>
                  <c:pt idx="625">
                    <c:v>4.3866593919418724E-3</c:v>
                  </c:pt>
                  <c:pt idx="626">
                    <c:v>4.2889289675053606E-3</c:v>
                  </c:pt>
                  <c:pt idx="627">
                    <c:v>4.1931593710712251E-3</c:v>
                  </c:pt>
                  <c:pt idx="628">
                    <c:v>4.0993174290574778E-3</c:v>
                  </c:pt>
                  <c:pt idx="629">
                    <c:v>4.007370361494512E-3</c:v>
                  </c:pt>
                  <c:pt idx="630">
                    <c:v>3.9172857753985669E-3</c:v>
                  </c:pt>
                  <c:pt idx="631">
                    <c:v>3.8290316707234968E-3</c:v>
                  </c:pt>
                  <c:pt idx="632">
                    <c:v>3.7425764343917015E-3</c:v>
                  </c:pt>
                  <c:pt idx="633">
                    <c:v>3.6578888465919261E-3</c:v>
                  </c:pt>
                  <c:pt idx="634">
                    <c:v>3.5749380746890828E-3</c:v>
                  </c:pt>
                  <c:pt idx="635">
                    <c:v>3.4936936767364828E-3</c:v>
                  </c:pt>
                  <c:pt idx="636">
                    <c:v>3.4141255972196345E-3</c:v>
                  </c:pt>
                  <c:pt idx="637">
                    <c:v>3.3362041691324387E-3</c:v>
                  </c:pt>
                  <c:pt idx="638">
                    <c:v>3.2599001110186075E-3</c:v>
                  </c:pt>
                  <c:pt idx="639">
                    <c:v>3.1851845298610402E-3</c:v>
                  </c:pt>
                  <c:pt idx="640">
                    <c:v>3.1120289121368736E-3</c:v>
                  </c:pt>
                  <c:pt idx="641">
                    <c:v>3.0404051296827376E-3</c:v>
                  </c:pt>
                  <c:pt idx="642">
                    <c:v>2.9702854356807753E-3</c:v>
                  </c:pt>
                  <c:pt idx="643">
                    <c:v>2.9016424633437178E-3</c:v>
                  </c:pt>
                  <c:pt idx="644">
                    <c:v>2.834449222091221E-3</c:v>
                  </c:pt>
                  <c:pt idx="645">
                    <c:v>2.7686790989166956E-3</c:v>
                  </c:pt>
                  <c:pt idx="646">
                    <c:v>2.7043058549269783E-3</c:v>
                  </c:pt>
                  <c:pt idx="647">
                    <c:v>2.6413036234045478E-3</c:v>
                  </c:pt>
                  <c:pt idx="648">
                    <c:v>2.579646908717521E-3</c:v>
                  </c:pt>
                  <c:pt idx="649">
                    <c:v>2.5193105816655121E-3</c:v>
                  </c:pt>
                  <c:pt idx="650">
                    <c:v>2.4602698793239168E-3</c:v>
                  </c:pt>
                  <c:pt idx="651">
                    <c:v>2.4025004023448559E-3</c:v>
                  </c:pt>
                  <c:pt idx="652">
                    <c:v>2.3459781131059004E-3</c:v>
                  </c:pt>
                  <c:pt idx="653">
                    <c:v>2.2906793311424371E-3</c:v>
                  </c:pt>
                  <c:pt idx="654">
                    <c:v>2.2365807319019507E-3</c:v>
                  </c:pt>
                  <c:pt idx="655">
                    <c:v>2.1836593449965575E-3</c:v>
                  </c:pt>
                  <c:pt idx="656">
                    <c:v>2.1318925503101349E-3</c:v>
                  </c:pt>
                  <c:pt idx="657">
                    <c:v>2.0812580742525185E-3</c:v>
                  </c:pt>
                  <c:pt idx="658">
                    <c:v>2.0317339892923542E-3</c:v>
                  </c:pt>
                  <c:pt idx="659">
                    <c:v>1.9832987096749439E-3</c:v>
                  </c:pt>
                  <c:pt idx="660">
                    <c:v>1.9359309884636638E-3</c:v>
                  </c:pt>
                  <c:pt idx="661">
                    <c:v>1.8896099143045576E-3</c:v>
                  </c:pt>
                  <c:pt idx="662">
                    <c:v>1.8443149101546651E-3</c:v>
                  </c:pt>
                  <c:pt idx="663">
                    <c:v>1.8000257272091458E-3</c:v>
                  </c:pt>
                  <c:pt idx="664">
                    <c:v>1.7567224449877873E-3</c:v>
                  </c:pt>
                  <c:pt idx="665">
                    <c:v>1.7143854652967316E-3</c:v>
                  </c:pt>
                  <c:pt idx="666">
                    <c:v>1.6729955111211702E-3</c:v>
                  </c:pt>
                  <c:pt idx="667">
                    <c:v>1.6325336228449345E-3</c:v>
                  </c:pt>
                  <c:pt idx="668">
                    <c:v>1.5929811545998505E-3</c:v>
                  </c:pt>
                  <c:pt idx="669">
                    <c:v>1.5543197705458842E-3</c:v>
                  </c:pt>
                  <c:pt idx="670">
                    <c:v>1.5165314432015334E-3</c:v>
                  </c:pt>
                  <c:pt idx="671">
                    <c:v>1.4795984481235727E-3</c:v>
                  </c:pt>
                  <c:pt idx="672">
                    <c:v>1.4435033623499058E-3</c:v>
                  </c:pt>
                  <c:pt idx="673">
                    <c:v>1.4082290600049476E-3</c:v>
                  </c:pt>
                  <c:pt idx="674">
                    <c:v>1.3737587090296146E-3</c:v>
                  </c:pt>
                  <c:pt idx="675">
                    <c:v>1.3400757678507572E-3</c:v>
                  </c:pt>
                  <c:pt idx="676">
                    <c:v>1.3071639823187702E-3</c:v>
                  </c:pt>
                  <c:pt idx="677">
                    <c:v>1.275007381529246E-3</c:v>
                  </c:pt>
                  <c:pt idx="678">
                    <c:v>1.2435902748989954E-3</c:v>
                  </c:pt>
                  <c:pt idx="679">
                    <c:v>1.2128972492507228E-3</c:v>
                  </c:pt>
                  <c:pt idx="680">
                    <c:v>1.1829131647990438E-3</c:v>
                  </c:pt>
                  <c:pt idx="681">
                    <c:v>1.1536231508510271E-3</c:v>
                  </c:pt>
                  <c:pt idx="682">
                    <c:v>1.1250126040846813E-3</c:v>
                  </c:pt>
                  <c:pt idx="683">
                    <c:v>1.0970671838861619E-3</c:v>
                  </c:pt>
                  <c:pt idx="684">
                    <c:v>1.0697728098150803E-3</c:v>
                  </c:pt>
                  <c:pt idx="685">
                    <c:v>1.0431156570109186E-3</c:v>
                  </c:pt>
                  <c:pt idx="686">
                    <c:v>1.0170821543071492E-3</c:v>
                  </c:pt>
                  <c:pt idx="687">
                    <c:v>9.9165897904939372E-4</c:v>
                  </c:pt>
                  <c:pt idx="688">
                    <c:v>9.6683305543446491E-4</c:v>
                  </c:pt>
                  <c:pt idx="689">
                    <c:v>9.4259154964860506E-4</c:v>
                  </c:pt>
                  <c:pt idx="690">
                    <c:v>9.1892186762692317E-4</c:v>
                  </c:pt>
                  <c:pt idx="691">
                    <c:v>8.9581165072798402E-4</c:v>
                  </c:pt>
                  <c:pt idx="692">
                    <c:v>8.7324877350189662E-4</c:v>
                  </c:pt>
                  <c:pt idx="693">
                    <c:v>8.5122133909672768E-4</c:v>
                  </c:pt>
                  <c:pt idx="694">
                    <c:v>8.2971767678004151E-4</c:v>
                  </c:pt>
                  <c:pt idx="695">
                    <c:v>8.0872633854345223E-4</c:v>
                  </c:pt>
                  <c:pt idx="696">
                    <c:v>7.8823609538709644E-4</c:v>
                  </c:pt>
                  <c:pt idx="697">
                    <c:v>7.6823593413180493E-4</c:v>
                  </c:pt>
                  <c:pt idx="698">
                    <c:v>7.4871505533425525E-4</c:v>
                  </c:pt>
                  <c:pt idx="699">
                    <c:v>7.2966286811377993E-4</c:v>
                  </c:pt>
                  <c:pt idx="700">
                    <c:v>7.1106898835732169E-4</c:v>
                  </c:pt>
                  <c:pt idx="701">
                    <c:v>6.9292323499092854E-4</c:v>
                  </c:pt>
                  <c:pt idx="702">
                    <c:v>6.752156271422851E-4</c:v>
                  </c:pt>
                  <c:pt idx="703">
                    <c:v>6.5793638055927195E-4</c:v>
                  </c:pt>
                  <c:pt idx="704">
                    <c:v>6.4107590500174342E-4</c:v>
                  </c:pt>
                  <c:pt idx="705">
                    <c:v>6.246248006946904E-4</c:v>
                  </c:pt>
                  <c:pt idx="706">
                    <c:v>6.085738555556521E-4</c:v>
                  </c:pt>
                  <c:pt idx="707">
                    <c:v>5.929140422318099E-4</c:v>
                  </c:pt>
                  <c:pt idx="708">
                    <c:v>5.776365148689054E-4</c:v>
                  </c:pt>
                  <c:pt idx="709">
                    <c:v>5.6273260597099238E-4</c:v>
                  </c:pt>
                  <c:pt idx="710">
                    <c:v>5.481938242658461E-4</c:v>
                  </c:pt>
                  <c:pt idx="711">
                    <c:v>5.3401185067584382E-4</c:v>
                  </c:pt>
                  <c:pt idx="712">
                    <c:v>5.2017853630881132E-4</c:v>
                  </c:pt>
                  <c:pt idx="713">
                    <c:v>5.066858990971781E-4</c:v>
                  </c:pt>
                  <c:pt idx="714">
                    <c:v>4.9352612112054924E-4</c:v>
                  </c:pt>
                  <c:pt idx="715">
                    <c:v>4.806915460580377E-4</c:v>
                  </c:pt>
                  <c:pt idx="716">
                    <c:v>4.6817467586851189E-4</c:v>
                  </c:pt>
                  <c:pt idx="717">
                    <c:v>4.559681685284057E-4</c:v>
                  </c:pt>
                  <c:pt idx="718">
                    <c:v>4.4406483501474461E-4</c:v>
                  </c:pt>
                  <c:pt idx="719">
                    <c:v>4.324576369823999E-4</c:v>
                  </c:pt>
                  <c:pt idx="720">
                    <c:v>4.2113968358491215E-4</c:v>
                  </c:pt>
                  <c:pt idx="721">
                    <c:v>4.1010422936152777E-4</c:v>
                  </c:pt>
                  <c:pt idx="722">
                    <c:v>3.9934467140621772E-4</c:v>
                  </c:pt>
                  <c:pt idx="723">
                    <c:v>3.8885454686110208E-4</c:v>
                  </c:pt>
                  <c:pt idx="724">
                    <c:v>3.7862753025632239E-4</c:v>
                  </c:pt>
                  <c:pt idx="725">
                    <c:v>3.6865743139924119E-4</c:v>
                  </c:pt>
                  <c:pt idx="726">
                    <c:v>3.5893819239207135E-4</c:v>
                  </c:pt>
                  <c:pt idx="727">
                    <c:v>3.494638855729805E-4</c:v>
                  </c:pt>
                  <c:pt idx="728">
                    <c:v>3.4022871117171856E-4</c:v>
                  </c:pt>
                  <c:pt idx="729">
                    <c:v>3.3122699451540205E-4</c:v>
                  </c:pt>
                  <c:pt idx="730">
                    <c:v>3.2245318416426256E-4</c:v>
                  </c:pt>
                  <c:pt idx="731">
                    <c:v>3.1390184928828467E-4</c:v>
                  </c:pt>
                  <c:pt idx="732">
                    <c:v>3.055676777402357E-4</c:v>
                  </c:pt>
                  <c:pt idx="733">
                    <c:v>2.9744547327226396E-4</c:v>
                  </c:pt>
                  <c:pt idx="734">
                    <c:v>2.8953015394847276E-4</c:v>
                  </c:pt>
                  <c:pt idx="735">
                    <c:v>2.8181674944802702E-4</c:v>
                  </c:pt>
                  <c:pt idx="736">
                    <c:v>2.743003993155246E-4</c:v>
                  </c:pt>
                  <c:pt idx="737">
                    <c:v>2.6697635066744716E-4</c:v>
                  </c:pt>
                  <c:pt idx="738">
                    <c:v>2.5983995598079392E-4</c:v>
                  </c:pt>
                  <c:pt idx="739">
                    <c:v>2.5288667141374108E-4</c:v>
                  </c:pt>
                  <c:pt idx="740">
                    <c:v>2.4611205433042535E-4</c:v>
                  </c:pt>
                  <c:pt idx="741">
                    <c:v>2.3951176159240679E-4</c:v>
                  </c:pt>
                  <c:pt idx="742">
                    <c:v>2.3308154774307773E-4</c:v>
                  </c:pt>
                  <c:pt idx="743">
                    <c:v>2.2681726256380553E-4</c:v>
                  </c:pt>
                  <c:pt idx="744">
                    <c:v>2.207148497373808E-4</c:v>
                  </c:pt>
                  <c:pt idx="745">
                    <c:v>2.1477034452527168E-4</c:v>
                  </c:pt>
                  <c:pt idx="746">
                    <c:v>2.0897987234780798E-4</c:v>
                  </c:pt>
                  <c:pt idx="747">
                    <c:v>2.0333964662904507E-4</c:v>
                  </c:pt>
                  <c:pt idx="748">
                    <c:v>1.9784596712499271E-4</c:v>
                  </c:pt>
                  <c:pt idx="749">
                    <c:v>1.9249521828969122E-4</c:v>
                  </c:pt>
                  <c:pt idx="750">
                    <c:v>1.8728386729092915E-4</c:v>
                  </c:pt>
                  <c:pt idx="751">
                    <c:v>1.8220846267261008E-4</c:v>
                  </c:pt>
                  <c:pt idx="752">
                    <c:v>1.7726563238128405E-4</c:v>
                  </c:pt>
                  <c:pt idx="753">
                    <c:v>1.7245208223927737E-4</c:v>
                  </c:pt>
                  <c:pt idx="754">
                    <c:v>1.6776459430536218E-4</c:v>
                  </c:pt>
                  <c:pt idx="755">
                    <c:v>1.6320002540519797E-4</c:v>
                  </c:pt>
                  <c:pt idx="756">
                    <c:v>1.5875530535899458E-4</c:v>
                  </c:pt>
                  <c:pt idx="757">
                    <c:v>1.5442743574011939E-4</c:v>
                  </c:pt>
                  <c:pt idx="758">
                    <c:v>1.50213488037879E-4</c:v>
                  </c:pt>
                  <c:pt idx="759">
                    <c:v>1.4611060246911268E-4</c:v>
                  </c:pt>
                  <c:pt idx="760">
                    <c:v>1.4211598631993797E-4</c:v>
                  </c:pt>
                  <c:pt idx="761">
                    <c:v>1.3822691269624787E-4</c:v>
                  </c:pt>
                  <c:pt idx="762">
                    <c:v>1.3444071897683547E-4</c:v>
                  </c:pt>
                  <c:pt idx="763">
                    <c:v>1.3075480546332539E-4</c:v>
                  </c:pt>
                  <c:pt idx="764">
                    <c:v>1.2716663416689595E-4</c:v>
                  </c:pt>
                  <c:pt idx="765">
                    <c:v>1.2367372729276343E-4</c:v>
                  </c:pt>
                  <c:pt idx="766">
                    <c:v>1.2027366602420097E-4</c:v>
                  </c:pt>
                  <c:pt idx="767">
                    <c:v>1.1696408931466757E-4</c:v>
                  </c:pt>
                  <c:pt idx="768">
                    <c:v>1.137426925047581E-4</c:v>
                  </c:pt>
                  <c:pt idx="769">
                    <c:v>1.1060722611108815E-4</c:v>
                  </c:pt>
                  <c:pt idx="770">
                    <c:v>1.0755549476062113E-4</c:v>
                  </c:pt>
                  <c:pt idx="771">
                    <c:v>1.0458535581464682E-4</c:v>
                  </c:pt>
                  <c:pt idx="772">
                    <c:v>1.016947183782624E-4</c:v>
                  </c:pt>
                  <c:pt idx="773">
                    <c:v>9.8881541947600231E-5</c:v>
                  </c:pt>
                  <c:pt idx="774">
                    <c:v>9.6143835547989742E-5</c:v>
                  </c:pt>
                  <c:pt idx="775">
                    <c:v>9.3479656425520674E-5</c:v>
                  </c:pt>
                  <c:pt idx="776">
                    <c:v>9.0887109079773126E-5</c:v>
                  </c:pt>
                  <c:pt idx="777">
                    <c:v>8.8364344161919175E-5</c:v>
                  </c:pt>
                  <c:pt idx="778">
                    <c:v>8.5909557485825807E-5</c:v>
                  </c:pt>
                  <c:pt idx="779">
                    <c:v>8.3520988965625931E-5</c:v>
                  </c:pt>
                  <c:pt idx="780">
                    <c:v>8.119692164844841E-5</c:v>
                  </c:pt>
                  <c:pt idx="781">
                    <c:v>7.8935680727143019E-5</c:v>
                  </c:pt>
                  <c:pt idx="782">
                    <c:v>7.6735632595178229E-5</c:v>
                  </c:pt>
                  <c:pt idx="783">
                    <c:v>7.4595183888562729E-5</c:v>
                  </c:pt>
                  <c:pt idx="784">
                    <c:v>7.2512780620763261E-5</c:v>
                  </c:pt>
                  <c:pt idx="785">
                    <c:v>7.0486907199484713E-5</c:v>
                  </c:pt>
                  <c:pt idx="786">
                    <c:v>6.8516085622684364E-5</c:v>
                  </c:pt>
                  <c:pt idx="787">
                    <c:v>6.6598874579427137E-5</c:v>
                  </c:pt>
                  <c:pt idx="788">
                    <c:v>6.4733868597509394E-5</c:v>
                  </c:pt>
                  <c:pt idx="789">
                    <c:v>6.2919697265695904E-5</c:v>
                  </c:pt>
                  <c:pt idx="790">
                    <c:v>6.1155024313218505E-5</c:v>
                  </c:pt>
                  <c:pt idx="791">
                    <c:v>5.943854696556012E-5</c:v>
                  </c:pt>
                  <c:pt idx="792">
                    <c:v>5.7768995039092314E-5</c:v>
                  </c:pt>
                  <c:pt idx="793">
                    <c:v>5.614513022792315E-5</c:v>
                  </c:pt>
                  <c:pt idx="794">
                    <c:v>5.4565745394259483E-5</c:v>
                  </c:pt>
                  <c:pt idx="795">
                    <c:v>5.3029663760636539E-5</c:v>
                  </c:pt>
                  <c:pt idx="796">
                    <c:v>5.1535738241641911E-5</c:v>
                  </c:pt>
                  <c:pt idx="797">
                    <c:v>5.0082850758608343E-5</c:v>
                  </c:pt>
                  <c:pt idx="798">
                    <c:v>4.8669911536464092E-5</c:v>
                  </c:pt>
                  <c:pt idx="799">
                    <c:v>4.729585840599017E-5</c:v>
                  </c:pt>
                  <c:pt idx="800">
                    <c:v>4.5959656186367888E-5</c:v>
                  </c:pt>
                  <c:pt idx="801">
                    <c:v>4.4660296034474945E-5</c:v>
                  </c:pt>
                  <c:pt idx="802">
                    <c:v>4.3396794794722084E-5</c:v>
                  </c:pt>
                  <c:pt idx="803">
                    <c:v>4.2168194432153964E-5</c:v>
                  </c:pt>
                  <c:pt idx="804">
                    <c:v>4.0973561383907861E-5</c:v>
                  </c:pt>
                  <c:pt idx="805">
                    <c:v>3.9811985976094283E-5</c:v>
                  </c:pt>
                  <c:pt idx="806">
                    <c:v>3.8682581882850233E-5</c:v>
                  </c:pt>
                  <c:pt idx="807">
                    <c:v>3.7584485536596529E-5</c:v>
                  </c:pt>
                  <c:pt idx="808">
                    <c:v>3.651685557289833E-5</c:v>
                  </c:pt>
                  <c:pt idx="809">
                    <c:v>3.5478872324932796E-5</c:v>
                  </c:pt>
                  <c:pt idx="810">
                    <c:v>3.4469737242532347E-5</c:v>
                  </c:pt>
                  <c:pt idx="811">
                    <c:v>3.3488672447613518E-5</c:v>
                  </c:pt>
                  <c:pt idx="812">
                    <c:v>3.2534920153085071E-5</c:v>
                  </c:pt>
                  <c:pt idx="813">
                    <c:v>3.1607742251258128E-5</c:v>
                  </c:pt>
                  <c:pt idx="814">
                    <c:v>3.0706419765059707E-5</c:v>
                  </c:pt>
                  <c:pt idx="815">
                    <c:v>2.9830252424007261E-5</c:v>
                  </c:pt>
                  <c:pt idx="816">
                    <c:v>2.8978558171111876E-5</c:v>
                  </c:pt>
                  <c:pt idx="817">
                    <c:v>2.8150672747774006E-5</c:v>
                  </c:pt>
                  <c:pt idx="818">
                    <c:v>2.7345949227990803E-5</c:v>
                  </c:pt>
                  <c:pt idx="819">
                    <c:v>2.6563757597574745E-5</c:v>
                  </c:pt>
                  <c:pt idx="820">
                    <c:v>2.5803484333912959E-5</c:v>
                  </c:pt>
                  <c:pt idx="821">
                    <c:v>2.5064532014112038E-5</c:v>
                  </c:pt>
                  <c:pt idx="822">
                    <c:v>2.4346318883943828E-5</c:v>
                  </c:pt>
                  <c:pt idx="823">
                    <c:v>2.3648278493294399E-5</c:v>
                  </c:pt>
                  <c:pt idx="824">
                    <c:v>2.2969859286061041E-5</c:v>
                  </c:pt>
                  <c:pt idx="825">
                    <c:v>2.2310524277233316E-5</c:v>
                  </c:pt>
                  <c:pt idx="826">
                    <c:v>2.1669750624271895E-5</c:v>
                  </c:pt>
                  <c:pt idx="827">
                    <c:v>2.104702932311328E-5</c:v>
                  </c:pt>
                  <c:pt idx="828">
                    <c:v>2.0441864836995488E-5</c:v>
                  </c:pt>
                  <c:pt idx="829">
                    <c:v>1.9853774755967132E-5</c:v>
                  </c:pt>
                  <c:pt idx="830">
                    <c:v>1.9282289475590504E-5</c:v>
                  </c:pt>
                  <c:pt idx="831">
                    <c:v>1.872695186848069E-5</c:v>
                  </c:pt>
                  <c:pt idx="832">
                    <c:v>1.8187316965441697E-5</c:v>
                  </c:pt>
                  <c:pt idx="833">
                    <c:v>1.7662951651268447E-5</c:v>
                  </c:pt>
                  <c:pt idx="834">
                    <c:v>1.7153434359197024E-5</c:v>
                  </c:pt>
                  <c:pt idx="835">
                    <c:v>1.6658354782453865E-5</c:v>
                  </c:pt>
                  <c:pt idx="836">
                    <c:v>1.6177313584250493E-5</c:v>
                  </c:pt>
                  <c:pt idx="837">
                    <c:v>1.5709922118726918E-5</c:v>
                  </c:pt>
                  <c:pt idx="838">
                    <c:v>1.525580215115165E-5</c:v>
                  </c:pt>
                  <c:pt idx="839">
                    <c:v>1.4814585599140472E-5</c:v>
                  </c:pt>
                  <c:pt idx="840">
                    <c:v>1.4385914272726293E-5</c:v>
                  </c:pt>
                  <c:pt idx="841">
                    <c:v>1.3969439607602958E-5</c:v>
                  </c:pt>
                  <c:pt idx="842">
                    <c:v>1.3564822433648185E-5</c:v>
                  </c:pt>
                  <c:pt idx="843">
                    <c:v>1.3171732722224962E-5</c:v>
                  </c:pt>
                  <c:pt idx="844">
                    <c:v>1.2789849350852168E-5</c:v>
                  </c:pt>
                  <c:pt idx="845">
                    <c:v>1.2418859876188096E-5</c:v>
                  </c:pt>
                  <c:pt idx="846">
                    <c:v>1.2058460308162901E-5</c:v>
                  </c:pt>
                  <c:pt idx="847">
                    <c:v>1.1708354888571653E-5</c:v>
                  </c:pt>
                  <c:pt idx="848">
                    <c:v>1.1368255877169246E-5</c:v>
                  </c:pt>
                  <c:pt idx="849">
                    <c:v>1.103788334905194E-5</c:v>
                  </c:pt>
                  <c:pt idx="850">
                    <c:v>1.0716964980819879E-5</c:v>
                  </c:pt>
                  <c:pt idx="851">
                    <c:v>1.0405235857014945E-5</c:v>
                  </c:pt>
                  <c:pt idx="852">
                    <c:v>1.0102438281086798E-5</c:v>
                  </c:pt>
                  <c:pt idx="853">
                    <c:v>9.8083215766267384E-6</c:v>
                  </c:pt>
                  <c:pt idx="854">
                    <c:v>9.52264191343888E-6</c:v>
                  </c:pt>
                  <c:pt idx="855">
                    <c:v>9.2451621178979283E-6</c:v>
                  </c:pt>
                  <c:pt idx="856">
                    <c:v>8.9756515071642912E-6</c:v>
                  </c:pt>
                  <c:pt idx="857">
                    <c:v>8.7138857093078264E-6</c:v>
                  </c:pt>
                  <c:pt idx="858">
                    <c:v>8.459646506545486E-6</c:v>
                  </c:pt>
                  <c:pt idx="859">
                    <c:v>8.2127216611097414E-6</c:v>
                  </c:pt>
                  <c:pt idx="860">
                    <c:v>7.9729047697052771E-6</c:v>
                  </c:pt>
                  <c:pt idx="861">
                    <c:v>7.7399950984337429E-6</c:v>
                  </c:pt>
                  <c:pt idx="862">
                    <c:v>7.5137974381628245E-6</c:v>
                  </c:pt>
                  <c:pt idx="863">
                    <c:v>7.2941219567526529E-6</c:v>
                  </c:pt>
                  <c:pt idx="864">
                    <c:v>7.0807840557089796E-6</c:v>
                  </c:pt>
                  <c:pt idx="865">
                    <c:v>6.87360423095902E-6</c:v>
                  </c:pt>
                  <c:pt idx="866">
                    <c:v>6.6724079340665972E-6</c:v>
                  </c:pt>
                  <c:pt idx="867">
                    <c:v>6.4770254484172594E-6</c:v>
                  </c:pt>
                  <c:pt idx="868">
                    <c:v>6.2872917492506866E-6</c:v>
                  </c:pt>
                  <c:pt idx="869">
                    <c:v>6.1030463863001395E-6</c:v>
                  </c:pt>
                  <c:pt idx="870">
                    <c:v>5.9241333558549135E-6</c:v>
                  </c:pt>
                  <c:pt idx="871">
                    <c:v>5.7504009862045415E-6</c:v>
                  </c:pt>
                  <c:pt idx="872">
                    <c:v>5.5817018180479445E-6</c:v>
                  </c:pt>
                  <c:pt idx="873">
                    <c:v>5.4178924920327519E-6</c:v>
                  </c:pt>
                  <c:pt idx="874">
                    <c:v>5.2588336358553259E-6</c:v>
                  </c:pt>
                  <c:pt idx="875">
                    <c:v>5.104389765722491E-6</c:v>
                  </c:pt>
                  <c:pt idx="876">
                    <c:v>4.9544291660172639E-6</c:v>
                  </c:pt>
                  <c:pt idx="877">
                    <c:v>4.8088238041592184E-6</c:v>
                  </c:pt>
                  <c:pt idx="878">
                    <c:v>4.6674492204585801E-6</c:v>
                  </c:pt>
                  <c:pt idx="879">
                    <c:v>4.5301844319096306E-6</c:v>
                  </c:pt>
                  <c:pt idx="880">
                    <c:v>4.3969118431142775E-6</c:v>
                  </c:pt>
                  <c:pt idx="881">
                    <c:v>4.2675171498558104E-6</c:v>
                  </c:pt>
                  <c:pt idx="882">
                    <c:v>4.1418892499548835E-6</c:v>
                  </c:pt>
                  <c:pt idx="883">
                    <c:v>4.0199201604784598E-6</c:v>
                  </c:pt>
                  <c:pt idx="884">
                    <c:v>3.9015049261965363E-6</c:v>
                  </c:pt>
                  <c:pt idx="885">
                    <c:v>3.7865415421133739E-6</c:v>
                  </c:pt>
                  <c:pt idx="886">
                    <c:v>3.6749308709467602E-6</c:v>
                  </c:pt>
                  <c:pt idx="887">
                    <c:v>3.566576562246214E-6</c:v>
                  </c:pt>
                  <c:pt idx="888">
                    <c:v>3.4613849839298413E-6</c:v>
                  </c:pt>
                  <c:pt idx="889">
                    <c:v>3.359265137871241E-6</c:v>
                  </c:pt>
                  <c:pt idx="890">
                    <c:v>3.260128596488308E-6</c:v>
                  </c:pt>
                  <c:pt idx="891">
                    <c:v>3.1638894244296444E-6</c:v>
                  </c:pt>
                  <c:pt idx="892">
                    <c:v>3.0704641168698718E-6</c:v>
                  </c:pt>
                  <c:pt idx="893">
                    <c:v>2.9797715289513674E-6</c:v>
                  </c:pt>
                  <c:pt idx="894">
                    <c:v>2.8917328091796986E-6</c:v>
                  </c:pt>
                  <c:pt idx="895">
                    <c:v>2.8062713417402147E-6</c:v>
                  </c:pt>
                  <c:pt idx="896">
                    <c:v>2.7233126811268986E-6</c:v>
                  </c:pt>
                  <c:pt idx="897">
                    <c:v>2.6427844911473152E-6</c:v>
                  </c:pt>
                  <c:pt idx="898">
                    <c:v>2.5646164890470933E-6</c:v>
                  </c:pt>
                  <c:pt idx="899">
                    <c:v>2.4887403876237611E-6</c:v>
                  </c:pt>
                  <c:pt idx="900">
                    <c:v>2.4150898414801422E-6</c:v>
                  </c:pt>
                  <c:pt idx="901">
                    <c:v>2.3436003899576537E-6</c:v>
                  </c:pt>
                  <c:pt idx="902">
                    <c:v>2.2742094077911454E-6</c:v>
                  </c:pt>
                  <c:pt idx="903">
                    <c:v>2.2068560527900122E-6</c:v>
                  </c:pt>
                  <c:pt idx="904">
                    <c:v>2.1414812171942218E-6</c:v>
                  </c:pt>
                  <c:pt idx="905">
                    <c:v>2.0780274776870956E-6</c:v>
                  </c:pt>
                  <c:pt idx="906">
                    <c:v>2.0164390509584731E-6</c:v>
                  </c:pt>
                  <c:pt idx="907">
                    <c:v>1.9566617451621122E-6</c:v>
                  </c:pt>
                  <c:pt idx="908">
                    <c:v>1.8986429177851767E-6</c:v>
                  </c:pt>
                  <c:pt idx="909">
                    <c:v>1.8423314312198465E-6</c:v>
                  </c:pt>
                  <c:pt idx="910">
                    <c:v>1.7876776115789867E-6</c:v>
                  </c:pt>
                  <c:pt idx="911">
                    <c:v>1.7346332063628796E-6</c:v>
                  </c:pt>
                  <c:pt idx="912">
                    <c:v>1.6831513466794658E-6</c:v>
                  </c:pt>
                  <c:pt idx="913">
                    <c:v>1.6331865048350428E-6</c:v>
                  </c:pt>
                  <c:pt idx="914">
                    <c:v>1.5846944624259132E-6</c:v>
                  </c:pt>
                  <c:pt idx="915">
                    <c:v>1.5376322674475436E-6</c:v>
                  </c:pt>
                  <c:pt idx="916">
                    <c:v>1.4919582031380913E-6</c:v>
                  </c:pt>
                  <c:pt idx="917">
                    <c:v>1.4476317515249902E-6</c:v>
                  </c:pt>
                  <c:pt idx="918">
                    <c:v>1.4046135585851203E-6</c:v>
                  </c:pt>
                  <c:pt idx="919">
                    <c:v>1.3628654043470948E-6</c:v>
                  </c:pt>
                  <c:pt idx="920">
                    <c:v>1.3223501684484871E-6</c:v>
                  </c:pt>
                  <c:pt idx="921">
                    <c:v>1.2830317995960663E-6</c:v>
                  </c:pt>
                  <c:pt idx="922">
                    <c:v>1.2448752865720279E-6</c:v>
                  </c:pt>
                  <c:pt idx="923">
                    <c:v>1.2078466269001098E-6</c:v>
                  </c:pt>
                  <c:pt idx="924">
                    <c:v>1.1719128001243548E-6</c:v>
                  </c:pt>
                  <c:pt idx="925">
                    <c:v>1.1370417395883381E-6</c:v>
                  </c:pt>
                  <c:pt idx="926">
                    <c:v>1.1032023038891479E-6</c:v>
                  </c:pt>
                  <c:pt idx="927">
                    <c:v>1.0703642531383135E-6</c:v>
                  </c:pt>
                  <c:pt idx="928">
                    <c:v>1.0384982211761103E-6</c:v>
                  </c:pt>
                  <c:pt idx="929">
                    <c:v>1.0075756925716954E-6</c:v>
                  </c:pt>
                  <c:pt idx="930">
                    <c:v>9.7756897668331469E-7</c:v>
                  </c:pt>
                  <c:pt idx="931">
                    <c:v>9.4845118578625607E-7</c:v>
                  </c:pt>
                  <c:pt idx="932">
                    <c:v>9.2019621165480455E-7</c:v>
                  </c:pt>
                  <c:pt idx="933">
                    <c:v>8.9277870246522467E-7</c:v>
                  </c:pt>
                  <c:pt idx="934">
                    <c:v>8.6617404271470399E-7</c:v>
                  </c:pt>
                  <c:pt idx="935">
                    <c:v>8.4035833137887272E-7</c:v>
                  </c:pt>
                  <c:pt idx="936">
                    <c:v>8.1530836172514617E-7</c:v>
                  </c:pt>
                  <c:pt idx="937">
                    <c:v>7.9100160163717462E-7</c:v>
                  </c:pt>
                  <c:pt idx="938">
                    <c:v>7.6741617379989987E-7</c:v>
                  </c:pt>
                  <c:pt idx="939">
                    <c:v>7.445308374432809E-7</c:v>
                  </c:pt>
                  <c:pt idx="940">
                    <c:v>7.223249701536035E-7</c:v>
                  </c:pt>
                  <c:pt idx="941">
                    <c:v>7.0077855035218797E-7</c:v>
                  </c:pt>
                  <c:pt idx="942">
                    <c:v>6.7987213909825031E-7</c:v>
                  </c:pt>
                  <c:pt idx="943">
                    <c:v>6.5958686458669832E-7</c:v>
                  </c:pt>
                  <c:pt idx="944">
                    <c:v>6.3990440519285913E-7</c:v>
                  </c:pt>
                  <c:pt idx="945">
                    <c:v>6.208069738266574E-7</c:v>
                  </c:pt>
                  <c:pt idx="946">
                    <c:v>6.0227730251700358E-7</c:v>
                  </c:pt>
                  <c:pt idx="947">
                    <c:v>5.8429862800783851E-7</c:v>
                  </c:pt>
                  <c:pt idx="948">
                    <c:v>5.6685467612498336E-7</c:v>
                  </c:pt>
                  <c:pt idx="949">
                    <c:v>5.4992964892029272E-7</c:v>
                  </c:pt>
                  <c:pt idx="950">
                    <c:v>5.3350821012830567E-7</c:v>
                  </c:pt>
                  <c:pt idx="951">
                    <c:v>5.1757547228083017E-7</c:v>
                  </c:pt>
                  <c:pt idx="952">
                    <c:v>5.0211698356174972E-7</c:v>
                  </c:pt>
                  <c:pt idx="953">
                    <c:v>4.8711871556788454E-7</c:v>
                  </c:pt>
                  <c:pt idx="954">
                    <c:v>4.7256705047848928E-7</c:v>
                  </c:pt>
                  <c:pt idx="955">
                    <c:v>4.5844876968415308E-7</c:v>
                  </c:pt>
                  <c:pt idx="956">
                    <c:v>4.4475104203342543E-7</c:v>
                  </c:pt>
                  <c:pt idx="957">
                    <c:v>4.314614131755783E-7</c:v>
                  </c:pt>
                  <c:pt idx="958">
                    <c:v>4.1856779367417508E-7</c:v>
                  </c:pt>
                  <c:pt idx="959">
                    <c:v>4.0605844919252732E-7</c:v>
                  </c:pt>
                  <c:pt idx="960">
                    <c:v>3.9392198970128831E-7</c:v>
                  </c:pt>
                  <c:pt idx="961">
                    <c:v>3.8214736042001232E-7</c:v>
                  </c:pt>
                  <c:pt idx="962">
                    <c:v>3.7072383075440941E-7</c:v>
                  </c:pt>
                  <c:pt idx="963">
                    <c:v>3.5964098603835957E-7</c:v>
                  </c:pt>
                  <c:pt idx="964">
                    <c:v>3.4888871772359367E-7</c:v>
                  </c:pt>
                  <c:pt idx="965">
                    <c:v>3.3845721472464778E-7</c:v>
                  </c:pt>
                  <c:pt idx="966">
                    <c:v>3.2833695480817039E-7</c:v>
                  </c:pt>
                  <c:pt idx="967">
                    <c:v>3.1851869606670962E-7</c:v>
                  </c:pt>
                  <c:pt idx="968">
                    <c:v>3.0899346870085528E-7</c:v>
                  </c:pt>
                  <c:pt idx="969">
                    <c:v>2.9975256752580276E-7</c:v>
                  </c:pt>
                  <c:pt idx="970">
                    <c:v>2.9078754362677389E-7</c:v>
                  </c:pt>
                  <c:pt idx="971">
                    <c:v>2.820901973196645E-7</c:v>
                  </c:pt>
                  <c:pt idx="972">
                    <c:v>2.7365257094589855E-7</c:v>
                  </c:pt>
                  <c:pt idx="973">
                    <c:v>2.6546694151627286E-7</c:v>
                  </c:pt>
                  <c:pt idx="974">
                    <c:v>2.5752581405071182E-7</c:v>
                  </c:pt>
                  <c:pt idx="975">
                    <c:v>2.4982191480186084E-7</c:v>
                  </c:pt>
                  <c:pt idx="976">
                    <c:v>2.4234818494332368E-7</c:v>
                  </c:pt>
                  <c:pt idx="977">
                    <c:v>2.3509777427057192E-7</c:v>
                  </c:pt>
                  <c:pt idx="978">
                    <c:v>2.2806403495782273E-7</c:v>
                  </c:pt>
                  <c:pt idx="979">
                    <c:v>2.2124051572042397E-7</c:v>
                  </c:pt>
                  <c:pt idx="980">
                    <c:v>2.1462095621906532E-7</c:v>
                  </c:pt>
                  <c:pt idx="981">
                    <c:v>2.0819928114296265E-7</c:v>
                  </c:pt>
                  <c:pt idx="982">
                    <c:v>2.0196959506498481E-7</c:v>
                  </c:pt>
                  <c:pt idx="983">
                    <c:v>1.9592617705495424E-7</c:v>
                  </c:pt>
                  <c:pt idx="984">
                    <c:v>1.9006347569211904E-7</c:v>
                  </c:pt>
                  <c:pt idx="985">
                    <c:v>1.8437610386008703E-7</c:v>
                  </c:pt>
                  <c:pt idx="986">
                    <c:v>1.7885883411517264E-7</c:v>
                  </c:pt>
                  <c:pt idx="987">
                    <c:v>1.7350659395125482E-7</c:v>
                  </c:pt>
                  <c:pt idx="988">
                    <c:v>1.6831446127055671E-7</c:v>
                  </c:pt>
                  <c:pt idx="989">
                    <c:v>1.6327765986181721E-7</c:v>
                  </c:pt>
                  <c:pt idx="990">
                    <c:v>1.5839155528291407E-7</c:v>
                  </c:pt>
                  <c:pt idx="991">
                    <c:v>1.5365165056924532E-7</c:v>
                  </c:pt>
                  <c:pt idx="992">
                    <c:v>1.4905358218763273E-7</c:v>
                  </c:pt>
                  <c:pt idx="993">
                    <c:v>1.4459311619139501E-7</c:v>
                  </c:pt>
                  <c:pt idx="994">
                    <c:v>1.4026614435694076E-7</c:v>
                  </c:pt>
                  <c:pt idx="995">
                    <c:v>1.3606868044497039E-7</c:v>
                  </c:pt>
                  <c:pt idx="996">
                    <c:v>1.3199685678376075E-7</c:v>
                  </c:pt>
                  <c:pt idx="997">
                    <c:v>1.2804692043902229E-7</c:v>
                  </c:pt>
                  <c:pt idx="998">
                    <c:v>1.2421523022433905E-7</c:v>
                  </c:pt>
                  <c:pt idx="999">
                    <c:v>1.2049825307905964E-7</c:v>
                  </c:pt>
                  <c:pt idx="1000">
                    <c:v>1.168925611209775E-7</c:v>
                  </c:pt>
                </c:numCache>
              </c:numRef>
            </c:plus>
            <c:minus>
              <c:numRef>
                <c:f>'Compare A B'!$AO$9:$AO$1009</c:f>
                <c:numCache>
                  <c:formatCode>General</c:formatCode>
                  <c:ptCount val="1001"/>
                  <c:pt idx="0">
                    <c:v>1.6459189580480703E-3</c:v>
                  </c:pt>
                  <c:pt idx="1">
                    <c:v>1.6866881143423381E-3</c:v>
                  </c:pt>
                  <c:pt idx="2">
                    <c:v>1.7283916210376624E-3</c:v>
                  </c:pt>
                  <c:pt idx="3">
                    <c:v>1.7710485441466651E-3</c:v>
                  </c:pt>
                  <c:pt idx="4">
                    <c:v>1.8146782667432262E-3</c:v>
                  </c:pt>
                  <c:pt idx="5">
                    <c:v>1.8593004939886112E-3</c:v>
                  </c:pt>
                  <c:pt idx="6">
                    <c:v>1.9049352553028277E-3</c:v>
                  </c:pt>
                  <c:pt idx="7">
                    <c:v>1.9516029088803538E-3</c:v>
                  </c:pt>
                  <c:pt idx="8">
                    <c:v>1.9993241429358565E-3</c:v>
                  </c:pt>
                  <c:pt idx="9">
                    <c:v>2.0481199804188899E-3</c:v>
                  </c:pt>
                  <c:pt idx="10">
                    <c:v>2.0980117802942154E-3</c:v>
                  </c:pt>
                  <c:pt idx="11">
                    <c:v>2.1490212423776129E-3</c:v>
                  </c:pt>
                  <c:pt idx="12">
                    <c:v>2.201170409671601E-3</c:v>
                  </c:pt>
                  <c:pt idx="13">
                    <c:v>2.2544816697236164E-3</c:v>
                  </c:pt>
                  <c:pt idx="14">
                    <c:v>2.3089777603874616E-3</c:v>
                  </c:pt>
                  <c:pt idx="15">
                    <c:v>2.3646817690620324E-3</c:v>
                  </c:pt>
                  <c:pt idx="16">
                    <c:v>2.4216171385565729E-3</c:v>
                  </c:pt>
                  <c:pt idx="17">
                    <c:v>2.479807668526715E-3</c:v>
                  </c:pt>
                  <c:pt idx="18">
                    <c:v>2.5392775169451173E-3</c:v>
                  </c:pt>
                  <c:pt idx="19">
                    <c:v>2.6000512041673483E-3</c:v>
                  </c:pt>
                  <c:pt idx="20">
                    <c:v>2.6621536142987213E-3</c:v>
                  </c:pt>
                  <c:pt idx="21">
                    <c:v>2.7256099985162041E-3</c:v>
                  </c:pt>
                  <c:pt idx="22">
                    <c:v>2.7904459763833486E-3</c:v>
                  </c:pt>
                  <c:pt idx="23">
                    <c:v>2.8566875383590267E-3</c:v>
                  </c:pt>
                  <c:pt idx="24">
                    <c:v>2.9243610478909294E-3</c:v>
                  </c:pt>
                  <c:pt idx="25">
                    <c:v>2.9934932433360499E-3</c:v>
                  </c:pt>
                  <c:pt idx="26">
                    <c:v>3.0641112405732302E-3</c:v>
                  </c:pt>
                  <c:pt idx="27">
                    <c:v>3.1362425328474476E-3</c:v>
                  </c:pt>
                  <c:pt idx="28">
                    <c:v>3.2099149940052222E-3</c:v>
                  </c:pt>
                  <c:pt idx="29">
                    <c:v>3.2851568809687502E-3</c:v>
                  </c:pt>
                  <c:pt idx="30">
                    <c:v>3.3619968326286014E-3</c:v>
                  </c:pt>
                  <c:pt idx="31">
                    <c:v>3.4404638720929291E-3</c:v>
                  </c:pt>
                  <c:pt idx="32">
                    <c:v>3.520587408642559E-3</c:v>
                  </c:pt>
                  <c:pt idx="33">
                    <c:v>3.6023972402224247E-3</c:v>
                  </c:pt>
                  <c:pt idx="34">
                    <c:v>3.6859235483029792E-3</c:v>
                  </c:pt>
                  <c:pt idx="35">
                    <c:v>3.7711969069116535E-3</c:v>
                  </c:pt>
                  <c:pt idx="36">
                    <c:v>3.8582482776326806E-3</c:v>
                  </c:pt>
                  <c:pt idx="37">
                    <c:v>3.9471090117351986E-3</c:v>
                  </c:pt>
                  <c:pt idx="38">
                    <c:v>4.0378108503116633E-3</c:v>
                  </c:pt>
                  <c:pt idx="39">
                    <c:v>4.1303859237414985E-3</c:v>
                  </c:pt>
                  <c:pt idx="40">
                    <c:v>4.2248667554282476E-3</c:v>
                  </c:pt>
                  <c:pt idx="41">
                    <c:v>4.3212862569724196E-3</c:v>
                  </c:pt>
                  <c:pt idx="42">
                    <c:v>4.4196777289846638E-3</c:v>
                  </c:pt>
                  <c:pt idx="43">
                    <c:v>4.5200748622622805E-3</c:v>
                  </c:pt>
                  <c:pt idx="44">
                    <c:v>4.6225117373393815E-3</c:v>
                  </c:pt>
                  <c:pt idx="45">
                    <c:v>4.7270228201960803E-3</c:v>
                  </c:pt>
                  <c:pt idx="46">
                    <c:v>4.8336429664800921E-3</c:v>
                  </c:pt>
                  <c:pt idx="47">
                    <c:v>4.9424074134095672E-3</c:v>
                  </c:pt>
                  <c:pt idx="48">
                    <c:v>5.0533517856210467E-3</c:v>
                  </c:pt>
                  <c:pt idx="49">
                    <c:v>5.1665120883526124E-3</c:v>
                  </c:pt>
                  <c:pt idx="50">
                    <c:v>5.2819247100045312E-3</c:v>
                  </c:pt>
                  <c:pt idx="51">
                    <c:v>5.3996264112392217E-3</c:v>
                  </c:pt>
                  <c:pt idx="52">
                    <c:v>5.5196543368501777E-3</c:v>
                  </c:pt>
                  <c:pt idx="53">
                    <c:v>5.6420459996714455E-3</c:v>
                  </c:pt>
                  <c:pt idx="54">
                    <c:v>5.7668392851452522E-3</c:v>
                  </c:pt>
                  <c:pt idx="55">
                    <c:v>5.8940724463045317E-3</c:v>
                  </c:pt>
                  <c:pt idx="56">
                    <c:v>6.0237841011776781E-3</c:v>
                  </c:pt>
                  <c:pt idx="57">
                    <c:v>6.1560132286361527E-3</c:v>
                  </c:pt>
                  <c:pt idx="58">
                    <c:v>6.2907991648649469E-3</c:v>
                  </c:pt>
                  <c:pt idx="59">
                    <c:v>6.4281816003174917E-3</c:v>
                  </c:pt>
                  <c:pt idx="60">
                    <c:v>6.5682005711340486E-3</c:v>
                  </c:pt>
                  <c:pt idx="61">
                    <c:v>6.7108964628442543E-3</c:v>
                  </c:pt>
                  <c:pt idx="62">
                    <c:v>6.856309998013752E-3</c:v>
                  </c:pt>
                  <c:pt idx="63">
                    <c:v>7.0044822337527526E-3</c:v>
                  </c:pt>
                  <c:pt idx="64">
                    <c:v>7.1554545567331634E-3</c:v>
                  </c:pt>
                  <c:pt idx="65">
                    <c:v>7.309268676648566E-3</c:v>
                  </c:pt>
                  <c:pt idx="66">
                    <c:v>7.4659666238957945E-3</c:v>
                  </c:pt>
                  <c:pt idx="67">
                    <c:v>7.6255907341764764E-3</c:v>
                  </c:pt>
                  <c:pt idx="68">
                    <c:v>7.7881836552792759E-3</c:v>
                  </c:pt>
                  <c:pt idx="69">
                    <c:v>7.9537883257642678E-3</c:v>
                  </c:pt>
                  <c:pt idx="70">
                    <c:v>8.122447980153432E-3</c:v>
                  </c:pt>
                  <c:pt idx="71">
                    <c:v>8.2942061339474314E-3</c:v>
                  </c:pt>
                  <c:pt idx="72">
                    <c:v>8.4691065755976448E-3</c:v>
                  </c:pt>
                  <c:pt idx="73">
                    <c:v>8.6471933646375988E-3</c:v>
                  </c:pt>
                  <c:pt idx="74">
                    <c:v>8.8285108222708637E-3</c:v>
                  </c:pt>
                  <c:pt idx="75">
                    <c:v>9.0131035069411398E-3</c:v>
                  </c:pt>
                  <c:pt idx="76">
                    <c:v>9.2010162296269106E-3</c:v>
                  </c:pt>
                  <c:pt idx="77">
                    <c:v>9.3922940307264412E-3</c:v>
                  </c:pt>
                  <c:pt idx="78">
                    <c:v>9.5869821608875645E-3</c:v>
                  </c:pt>
                  <c:pt idx="79">
                    <c:v>9.785126096509951E-3</c:v>
                  </c:pt>
                  <c:pt idx="80">
                    <c:v>9.9867715085329434E-3</c:v>
                  </c:pt>
                  <c:pt idx="81">
                    <c:v>1.0191964250601237E-2</c:v>
                  </c:pt>
                  <c:pt idx="82">
                    <c:v>1.0400750364393781E-2</c:v>
                  </c:pt>
                  <c:pt idx="83">
                    <c:v>1.0613176052217978E-2</c:v>
                  </c:pt>
                  <c:pt idx="84">
                    <c:v>1.0829287668981721E-2</c:v>
                  </c:pt>
                  <c:pt idx="85">
                    <c:v>1.1049131715203532E-2</c:v>
                  </c:pt>
                  <c:pt idx="86">
                    <c:v>1.127275481701186E-2</c:v>
                  </c:pt>
                  <c:pt idx="87">
                    <c:v>1.1500203718393947E-2</c:v>
                  </c:pt>
                  <c:pt idx="88">
                    <c:v>1.1731525263478945E-2</c:v>
                  </c:pt>
                  <c:pt idx="89">
                    <c:v>1.1966766386364545E-2</c:v>
                  </c:pt>
                  <c:pt idx="90">
                    <c:v>1.2205974088071196E-2</c:v>
                  </c:pt>
                  <c:pt idx="91">
                    <c:v>1.2449195439448781E-2</c:v>
                  </c:pt>
                  <c:pt idx="92">
                    <c:v>1.2696477547126977E-2</c:v>
                  </c:pt>
                  <c:pt idx="93">
                    <c:v>1.2947867540366011E-2</c:v>
                  </c:pt>
                  <c:pt idx="94">
                    <c:v>1.3203412574724606E-2</c:v>
                  </c:pt>
                  <c:pt idx="95">
                    <c:v>1.3463159785691582E-2</c:v>
                  </c:pt>
                  <c:pt idx="96">
                    <c:v>1.3727156299551284E-2</c:v>
                  </c:pt>
                  <c:pt idx="97">
                    <c:v>1.3995449191652017E-2</c:v>
                  </c:pt>
                  <c:pt idx="98">
                    <c:v>1.4268085493811157E-2</c:v>
                  </c:pt>
                  <c:pt idx="99">
                    <c:v>1.4545112154659775E-2</c:v>
                  </c:pt>
                  <c:pt idx="100">
                    <c:v>1.4826576034452157E-2</c:v>
                  </c:pt>
                  <c:pt idx="101">
                    <c:v>1.5112523875999031E-2</c:v>
                  </c:pt>
                  <c:pt idx="102">
                    <c:v>1.5403002301414864E-2</c:v>
                  </c:pt>
                  <c:pt idx="103">
                    <c:v>1.5698057766303113E-2</c:v>
                  </c:pt>
                  <c:pt idx="104">
                    <c:v>1.5997736570552448E-2</c:v>
                  </c:pt>
                  <c:pt idx="105">
                    <c:v>1.6302084814182959E-2</c:v>
                  </c:pt>
                  <c:pt idx="106">
                    <c:v>1.6611148395131541E-2</c:v>
                  </c:pt>
                  <c:pt idx="107">
                    <c:v>1.692497296191461E-2</c:v>
                  </c:pt>
                  <c:pt idx="108">
                    <c:v>1.7243603915565887E-2</c:v>
                  </c:pt>
                  <c:pt idx="109">
                    <c:v>1.7567086386244553E-2</c:v>
                  </c:pt>
                  <c:pt idx="110">
                    <c:v>1.7895465198216758E-2</c:v>
                  </c:pt>
                  <c:pt idx="111">
                    <c:v>1.8228784855737451E-2</c:v>
                  </c:pt>
                  <c:pt idx="112">
                    <c:v>1.8567089511076967E-2</c:v>
                  </c:pt>
                  <c:pt idx="113">
                    <c:v>1.8910422949987633E-2</c:v>
                  </c:pt>
                  <c:pt idx="114">
                    <c:v>1.9258828572187508E-2</c:v>
                  </c:pt>
                  <c:pt idx="115">
                    <c:v>1.9612349348313917E-2</c:v>
                  </c:pt>
                  <c:pt idx="116">
                    <c:v>1.9971027817016762E-2</c:v>
                  </c:pt>
                  <c:pt idx="117">
                    <c:v>2.0334906035545025E-2</c:v>
                  </c:pt>
                  <c:pt idx="118">
                    <c:v>2.0704025585283302E-2</c:v>
                  </c:pt>
                  <c:pt idx="119">
                    <c:v>2.1078427509604307E-2</c:v>
                  </c:pt>
                  <c:pt idx="120">
                    <c:v>2.1458152325772379E-2</c:v>
                  </c:pt>
                  <c:pt idx="121">
                    <c:v>2.1843239957397894E-2</c:v>
                  </c:pt>
                  <c:pt idx="122">
                    <c:v>2.223372975893638E-2</c:v>
                  </c:pt>
                  <c:pt idx="123">
                    <c:v>2.2629660421429162E-2</c:v>
                  </c:pt>
                  <c:pt idx="124">
                    <c:v>2.303107001721082E-2</c:v>
                  </c:pt>
                  <c:pt idx="125">
                    <c:v>2.343799591796859E-2</c:v>
                  </c:pt>
                  <c:pt idx="126">
                    <c:v>2.3850474786714419E-2</c:v>
                  </c:pt>
                  <c:pt idx="127">
                    <c:v>2.4268542561867442E-2</c:v>
                  </c:pt>
                  <c:pt idx="128">
                    <c:v>2.469223438749377E-2</c:v>
                  </c:pt>
                  <c:pt idx="129">
                    <c:v>2.5121584645003078E-2</c:v>
                  </c:pt>
                  <c:pt idx="130">
                    <c:v>2.5556626871346459E-2</c:v>
                  </c:pt>
                  <c:pt idx="131">
                    <c:v>2.5997393756524982E-2</c:v>
                  </c:pt>
                  <c:pt idx="132">
                    <c:v>2.6443917101650501E-2</c:v>
                  </c:pt>
                  <c:pt idx="133">
                    <c:v>2.6896227794031294E-2</c:v>
                  </c:pt>
                  <c:pt idx="134">
                    <c:v>2.7354355780181503E-2</c:v>
                  </c:pt>
                  <c:pt idx="135">
                    <c:v>2.7818330036892786E-2</c:v>
                  </c:pt>
                  <c:pt idx="136">
                    <c:v>2.8288178521682406E-2</c:v>
                  </c:pt>
                  <c:pt idx="137">
                    <c:v>2.8763928157290966E-2</c:v>
                  </c:pt>
                  <c:pt idx="138">
                    <c:v>2.9245604817287441E-2</c:v>
                  </c:pt>
                  <c:pt idx="139">
                    <c:v>2.9733233260461334E-2</c:v>
                  </c:pt>
                  <c:pt idx="140">
                    <c:v>3.0226837122794743E-2</c:v>
                  </c:pt>
                  <c:pt idx="141">
                    <c:v>3.0726438881751739E-2</c:v>
                  </c:pt>
                  <c:pt idx="142">
                    <c:v>3.1232059813647139E-2</c:v>
                  </c:pt>
                  <c:pt idx="143">
                    <c:v>3.1743719972607692E-2</c:v>
                  </c:pt>
                  <c:pt idx="144">
                    <c:v>3.2261438177284434E-2</c:v>
                  </c:pt>
                  <c:pt idx="145">
                    <c:v>3.2785231921160951E-2</c:v>
                  </c:pt>
                  <c:pt idx="146">
                    <c:v>3.3315117429302793E-2</c:v>
                  </c:pt>
                  <c:pt idx="147">
                    <c:v>3.3851109521051616E-2</c:v>
                  </c:pt>
                  <c:pt idx="148">
                    <c:v>3.4393221689751154E-2</c:v>
                  </c:pt>
                  <c:pt idx="149">
                    <c:v>3.4941465964334083E-2</c:v>
                  </c:pt>
                  <c:pt idx="150">
                    <c:v>3.5495852961919011E-2</c:v>
                  </c:pt>
                  <c:pt idx="151">
                    <c:v>3.6056391814728347E-2</c:v>
                  </c:pt>
                  <c:pt idx="152">
                    <c:v>3.662309012468877E-2</c:v>
                  </c:pt>
                  <c:pt idx="153">
                    <c:v>3.7195953992498004E-2</c:v>
                  </c:pt>
                  <c:pt idx="154">
                    <c:v>3.7774987920735623E-2</c:v>
                  </c:pt>
                  <c:pt idx="155">
                    <c:v>3.8360194809710632E-2</c:v>
                  </c:pt>
                  <c:pt idx="156">
                    <c:v>3.8951575945557974E-2</c:v>
                  </c:pt>
                  <c:pt idx="157">
                    <c:v>3.9549130920512522E-2</c:v>
                  </c:pt>
                  <c:pt idx="158">
                    <c:v>4.015285765228694E-2</c:v>
                  </c:pt>
                  <c:pt idx="159">
                    <c:v>4.076275233673439E-2</c:v>
                  </c:pt>
                  <c:pt idx="160">
                    <c:v>4.1378809401618519E-2</c:v>
                  </c:pt>
                  <c:pt idx="161">
                    <c:v>4.2001021478100385E-2</c:v>
                  </c:pt>
                  <c:pt idx="162">
                    <c:v>4.2629379403506688E-2</c:v>
                  </c:pt>
                  <c:pt idx="163">
                    <c:v>4.3263872156552446E-2</c:v>
                  </c:pt>
                  <c:pt idx="164">
                    <c:v>4.3904486867029892E-2</c:v>
                  </c:pt>
                  <c:pt idx="165">
                    <c:v>4.4551208718088806E-2</c:v>
                  </c:pt>
                  <c:pt idx="166">
                    <c:v>4.5204021014058952E-2</c:v>
                  </c:pt>
                  <c:pt idx="167">
                    <c:v>4.5862905018229892E-2</c:v>
                  </c:pt>
                  <c:pt idx="168">
                    <c:v>4.6527840119777196E-2</c:v>
                  </c:pt>
                  <c:pt idx="169">
                    <c:v>4.7198803608425884E-2</c:v>
                  </c:pt>
                  <c:pt idx="170">
                    <c:v>4.7875770768848178E-2</c:v>
                  </c:pt>
                  <c:pt idx="171">
                    <c:v>4.8558714781006013E-2</c:v>
                  </c:pt>
                  <c:pt idx="172">
                    <c:v>4.9247606828390175E-2</c:v>
                  </c:pt>
                  <c:pt idx="173">
                    <c:v>4.9942415844447342E-2</c:v>
                  </c:pt>
                  <c:pt idx="174">
                    <c:v>5.0643108720753525E-2</c:v>
                  </c:pt>
                  <c:pt idx="175">
                    <c:v>5.134965018631777E-2</c:v>
                  </c:pt>
                  <c:pt idx="176">
                    <c:v>5.2062002697958951E-2</c:v>
                  </c:pt>
                  <c:pt idx="177">
                    <c:v>5.2780126583701778E-2</c:v>
                  </c:pt>
                  <c:pt idx="178">
                    <c:v>5.3503979890522371E-2</c:v>
                  </c:pt>
                  <c:pt idx="179">
                    <c:v>5.4233518450232887E-2</c:v>
                  </c:pt>
                  <c:pt idx="180">
                    <c:v>5.4968695797540955E-2</c:v>
                  </c:pt>
                  <c:pt idx="181">
                    <c:v>5.570946317281792E-2</c:v>
                  </c:pt>
                  <c:pt idx="182">
                    <c:v>5.645576952154522E-2</c:v>
                  </c:pt>
                  <c:pt idx="183">
                    <c:v>5.7207561442271002E-2</c:v>
                  </c:pt>
                  <c:pt idx="184">
                    <c:v>5.7964783175537118E-2</c:v>
                  </c:pt>
                  <c:pt idx="185">
                    <c:v>5.872737665481513E-2</c:v>
                  </c:pt>
                  <c:pt idx="186">
                    <c:v>5.9495281344839765E-2</c:v>
                  </c:pt>
                  <c:pt idx="187">
                    <c:v>6.0268434381683028E-2</c:v>
                  </c:pt>
                  <c:pt idx="188">
                    <c:v>6.1046770496350121E-2</c:v>
                  </c:pt>
                  <c:pt idx="189">
                    <c:v>6.1830221953324035E-2</c:v>
                  </c:pt>
                  <c:pt idx="190">
                    <c:v>6.2618718635828047E-2</c:v>
                  </c:pt>
                  <c:pt idx="191">
                    <c:v>6.3412187950043775E-2</c:v>
                  </c:pt>
                  <c:pt idx="192">
                    <c:v>6.4210554850025608E-2</c:v>
                  </c:pt>
                  <c:pt idx="193">
                    <c:v>6.5013741862061408E-2</c:v>
                  </c:pt>
                  <c:pt idx="194">
                    <c:v>6.5821668999963626E-2</c:v>
                  </c:pt>
                  <c:pt idx="195">
                    <c:v>6.6634253820988226E-2</c:v>
                  </c:pt>
                  <c:pt idx="196">
                    <c:v>6.7451411441336998E-2</c:v>
                  </c:pt>
                  <c:pt idx="197">
                    <c:v>6.8273054380027468E-2</c:v>
                  </c:pt>
                  <c:pt idx="198">
                    <c:v>6.9099092804714726E-2</c:v>
                  </c:pt>
                  <c:pt idx="199">
                    <c:v>6.992943434621772E-2</c:v>
                  </c:pt>
                  <c:pt idx="200">
                    <c:v>7.0763984061424576E-2</c:v>
                  </c:pt>
                  <c:pt idx="201">
                    <c:v>7.1602644629285631E-2</c:v>
                  </c:pt>
                  <c:pt idx="202">
                    <c:v>7.2445316180842045E-2</c:v>
                  </c:pt>
                  <c:pt idx="203">
                    <c:v>7.3291896351269203E-2</c:v>
                  </c:pt>
                  <c:pt idx="204">
                    <c:v>7.4142280393375434E-2</c:v>
                  </c:pt>
                  <c:pt idx="205">
                    <c:v>7.4996360931780304E-2</c:v>
                  </c:pt>
                  <c:pt idx="206">
                    <c:v>7.5854028220363037E-2</c:v>
                  </c:pt>
                  <c:pt idx="207">
                    <c:v>7.67151700282101E-2</c:v>
                  </c:pt>
                  <c:pt idx="208">
                    <c:v>7.7579671654010182E-2</c:v>
                  </c:pt>
                  <c:pt idx="209">
                    <c:v>7.8447416031801831E-2</c:v>
                  </c:pt>
                  <c:pt idx="210">
                    <c:v>7.931828357373609E-2</c:v>
                  </c:pt>
                  <c:pt idx="211">
                    <c:v>8.0192152346138051E-2</c:v>
                  </c:pt>
                  <c:pt idx="212">
                    <c:v>8.106889789953553E-2</c:v>
                  </c:pt>
                  <c:pt idx="213">
                    <c:v>8.1948393532751268E-2</c:v>
                  </c:pt>
                  <c:pt idx="214">
                    <c:v>8.2830510158365442E-2</c:v>
                  </c:pt>
                  <c:pt idx="215">
                    <c:v>8.3715116241813853E-2</c:v>
                  </c:pt>
                  <c:pt idx="216">
                    <c:v>8.460207802174162E-2</c:v>
                  </c:pt>
                  <c:pt idx="217">
                    <c:v>8.5491259398165403E-2</c:v>
                  </c:pt>
                  <c:pt idx="218">
                    <c:v>8.638252198783862E-2</c:v>
                  </c:pt>
                  <c:pt idx="219">
                    <c:v>8.7275725168543691E-2</c:v>
                  </c:pt>
                  <c:pt idx="220">
                    <c:v>8.8170725999366067E-2</c:v>
                  </c:pt>
                  <c:pt idx="221">
                    <c:v>8.9067379465408603E-2</c:v>
                  </c:pt>
                  <c:pt idx="222">
                    <c:v>8.9965538358202715E-2</c:v>
                  </c:pt>
                  <c:pt idx="223">
                    <c:v>9.0865053125114753E-2</c:v>
                  </c:pt>
                  <c:pt idx="224">
                    <c:v>9.1765772427427908E-2</c:v>
                  </c:pt>
                  <c:pt idx="225">
                    <c:v>9.2667542654235172E-2</c:v>
                  </c:pt>
                  <c:pt idx="226">
                    <c:v>9.3570208091857079E-2</c:v>
                  </c:pt>
                  <c:pt idx="227">
                    <c:v>9.4473611172985306E-2</c:v>
                  </c:pt>
                  <c:pt idx="228">
                    <c:v>9.5377592254114421E-2</c:v>
                  </c:pt>
                  <c:pt idx="229">
                    <c:v>9.6281989845861268E-2</c:v>
                  </c:pt>
                  <c:pt idx="230">
                    <c:v>9.7186640507771038E-2</c:v>
                  </c:pt>
                  <c:pt idx="231">
                    <c:v>9.8091378954618516E-2</c:v>
                  </c:pt>
                  <c:pt idx="232">
                    <c:v>9.8996038125061053E-2</c:v>
                  </c:pt>
                  <c:pt idx="233">
                    <c:v>9.990044918163854E-2</c:v>
                  </c:pt>
                  <c:pt idx="234">
                    <c:v>0.10080444158385551</c:v>
                  </c:pt>
                  <c:pt idx="235">
                    <c:v>0.10170784311254193</c:v>
                  </c:pt>
                  <c:pt idx="236">
                    <c:v>0.10261047995622292</c:v>
                  </c:pt>
                  <c:pt idx="237">
                    <c:v>0.10351217670668962</c:v>
                  </c:pt>
                  <c:pt idx="238">
                    <c:v>0.1044127564630858</c:v>
                  </c:pt>
                  <c:pt idx="239">
                    <c:v>0.10531204086512704</c:v>
                  </c:pt>
                  <c:pt idx="240">
                    <c:v>0.10620985013739294</c:v>
                  </c:pt>
                  <c:pt idx="241">
                    <c:v>0.10710600315798004</c:v>
                  </c:pt>
                  <c:pt idx="242">
                    <c:v>0.10800031750943785</c:v>
                  </c:pt>
                  <c:pt idx="243">
                    <c:v>0.10889260954077797</c:v>
                  </c:pt>
                  <c:pt idx="244">
                    <c:v>0.10978269443612691</c:v>
                  </c:pt>
                  <c:pt idx="245">
                    <c:v>0.11067038624130159</c:v>
                  </c:pt>
                  <c:pt idx="246">
                    <c:v>0.11155549797453965</c:v>
                  </c:pt>
                  <c:pt idx="247">
                    <c:v>0.11243784165086032</c:v>
                  </c:pt>
                  <c:pt idx="248">
                    <c:v>0.11331722834407344</c:v>
                  </c:pt>
                  <c:pt idx="249">
                    <c:v>0.11419346830415382</c:v>
                  </c:pt>
                  <c:pt idx="250">
                    <c:v>0.11506637094838279</c:v>
                  </c:pt>
                  <c:pt idx="251">
                    <c:v>0.11593574500308328</c:v>
                  </c:pt>
                  <c:pt idx="252">
                    <c:v>0.11680139850583439</c:v>
                  </c:pt>
                  <c:pt idx="253">
                    <c:v>0.11766313891841657</c:v>
                  </c:pt>
                  <c:pt idx="254">
                    <c:v>0.11852077318439144</c:v>
                  </c:pt>
                  <c:pt idx="255">
                    <c:v>0.11937410780439858</c:v>
                  </c:pt>
                  <c:pt idx="256">
                    <c:v>0.12022294888930614</c:v>
                  </c:pt>
                  <c:pt idx="257">
                    <c:v>0.12106710224879526</c:v>
                  </c:pt>
                  <c:pt idx="258">
                    <c:v>0.12190637348880295</c:v>
                  </c:pt>
                  <c:pt idx="259">
                    <c:v>0.12274056801595132</c:v>
                  </c:pt>
                  <c:pt idx="260">
                    <c:v>0.1235694912147163</c:v>
                  </c:pt>
                  <c:pt idx="261">
                    <c:v>0.12439294840977942</c:v>
                  </c:pt>
                  <c:pt idx="262">
                    <c:v>0.12521074502990884</c:v>
                  </c:pt>
                  <c:pt idx="263">
                    <c:v>0.12602268666111011</c:v>
                  </c:pt>
                  <c:pt idx="264">
                    <c:v>0.12682857909313283</c:v>
                  </c:pt>
                  <c:pt idx="265">
                    <c:v>0.12762822845013289</c:v>
                  </c:pt>
                  <c:pt idx="266">
                    <c:v>0.12842144120617446</c:v>
                  </c:pt>
                  <c:pt idx="267">
                    <c:v>0.12920802433582379</c:v>
                  </c:pt>
                  <c:pt idx="268">
                    <c:v>0.12998778533186578</c:v>
                  </c:pt>
                  <c:pt idx="269">
                    <c:v>0.13076053232710785</c:v>
                  </c:pt>
                  <c:pt idx="270">
                    <c:v>0.13152607415417422</c:v>
                  </c:pt>
                  <c:pt idx="271">
                    <c:v>0.1322842204340903</c:v>
                  </c:pt>
                  <c:pt idx="272">
                    <c:v>0.13303478163164817</c:v>
                  </c:pt>
                  <c:pt idx="273">
                    <c:v>0.13377756918606834</c:v>
                  </c:pt>
                  <c:pt idx="274">
                    <c:v>0.13451239554200442</c:v>
                  </c:pt>
                  <c:pt idx="275">
                    <c:v>0.13523907427134668</c:v>
                  </c:pt>
                  <c:pt idx="276">
                    <c:v>0.13595742012415804</c:v>
                  </c:pt>
                  <c:pt idx="277">
                    <c:v>0.13666724911061473</c:v>
                  </c:pt>
                  <c:pt idx="278">
                    <c:v>0.1373683786117367</c:v>
                  </c:pt>
                  <c:pt idx="279">
                    <c:v>0.13806062742367994</c:v>
                  </c:pt>
                  <c:pt idx="280">
                    <c:v>0.13874381586182302</c:v>
                  </c:pt>
                  <c:pt idx="281">
                    <c:v>0.13941776582942023</c:v>
                  </c:pt>
                  <c:pt idx="282">
                    <c:v>0.14008230090397109</c:v>
                  </c:pt>
                  <c:pt idx="283">
                    <c:v>0.1407372464169466</c:v>
                  </c:pt>
                  <c:pt idx="284">
                    <c:v>0.14138242951801275</c:v>
                  </c:pt>
                  <c:pt idx="285">
                    <c:v>0.1420176792769027</c:v>
                  </c:pt>
                  <c:pt idx="286">
                    <c:v>0.14264282674985504</c:v>
                  </c:pt>
                  <c:pt idx="287">
                    <c:v>0.14325770505712512</c:v>
                  </c:pt>
                  <c:pt idx="288">
                    <c:v>0.14386214945163808</c:v>
                  </c:pt>
                  <c:pt idx="289">
                    <c:v>0.14445599741643161</c:v>
                  </c:pt>
                  <c:pt idx="290">
                    <c:v>0.1450390887244504</c:v>
                  </c:pt>
                  <c:pt idx="291">
                    <c:v>0.1456112655116284</c:v>
                  </c:pt>
                  <c:pt idx="292">
                    <c:v>0.14617237236104386</c:v>
                  </c:pt>
                  <c:pt idx="293">
                    <c:v>0.14672225637157243</c:v>
                  </c:pt>
                  <c:pt idx="294">
                    <c:v>0.14726076722432535</c:v>
                  </c:pt>
                  <c:pt idx="295">
                    <c:v>0.14778775726901919</c:v>
                  </c:pt>
                  <c:pt idx="296">
                    <c:v>0.14830308157269745</c:v>
                  </c:pt>
                  <c:pt idx="297">
                    <c:v>0.14880659801052945</c:v>
                  </c:pt>
                  <c:pt idx="298">
                    <c:v>0.14929816732339024</c:v>
                  </c:pt>
                  <c:pt idx="299">
                    <c:v>0.14977765317544051</c:v>
                  </c:pt>
                  <c:pt idx="300">
                    <c:v>0.15024492223606703</c:v>
                  </c:pt>
                  <c:pt idx="301">
                    <c:v>0.15069984424853577</c:v>
                  </c:pt>
                  <c:pt idx="302">
                    <c:v>0.15114229206321092</c:v>
                  </c:pt>
                  <c:pt idx="303">
                    <c:v>0.15157214173056852</c:v>
                  </c:pt>
                  <c:pt idx="304">
                    <c:v>0.15198927254548877</c:v>
                  </c:pt>
                  <c:pt idx="305">
                    <c:v>0.15239356712255261</c:v>
                  </c:pt>
                  <c:pt idx="306">
                    <c:v>0.15278491142040268</c:v>
                  </c:pt>
                  <c:pt idx="307">
                    <c:v>0.15316319483254201</c:v>
                  </c:pt>
                  <c:pt idx="308">
                    <c:v>0.15352831022498278</c:v>
                  </c:pt>
                  <c:pt idx="309">
                    <c:v>0.15388015399382582</c:v>
                  </c:pt>
                  <c:pt idx="310">
                    <c:v>0.15421862611619691</c:v>
                  </c:pt>
                  <c:pt idx="311">
                    <c:v>0.15454363019232428</c:v>
                  </c:pt>
                  <c:pt idx="312">
                    <c:v>0.15485507350090383</c:v>
                  </c:pt>
                  <c:pt idx="313">
                    <c:v>0.15515286705224987</c:v>
                  </c:pt>
                  <c:pt idx="314">
                    <c:v>0.15543692561265571</c:v>
                  </c:pt>
                  <c:pt idx="315">
                    <c:v>0.15570716776640287</c:v>
                  </c:pt>
                  <c:pt idx="316">
                    <c:v>0.15596351594012173</c:v>
                  </c:pt>
                  <c:pt idx="317">
                    <c:v>0.15620589646037139</c:v>
                  </c:pt>
                  <c:pt idx="318">
                    <c:v>0.15643423957578587</c:v>
                  </c:pt>
                  <c:pt idx="319">
                    <c:v>0.15664847949029309</c:v>
                  </c:pt>
                  <c:pt idx="320">
                    <c:v>0.15684855441405102</c:v>
                  </c:pt>
                  <c:pt idx="321">
                    <c:v>0.15703440657009157</c:v>
                  </c:pt>
                  <c:pt idx="322">
                    <c:v>0.15720598224747109</c:v>
                  </c:pt>
                  <c:pt idx="323">
                    <c:v>0.15736323180791428</c:v>
                  </c:pt>
                  <c:pt idx="324">
                    <c:v>0.15750610973010643</c:v>
                  </c:pt>
                  <c:pt idx="325">
                    <c:v>0.15763457461412256</c:v>
                  </c:pt>
                  <c:pt idx="326">
                    <c:v>0.15774858921243201</c:v>
                  </c:pt>
                  <c:pt idx="327">
                    <c:v>0.15784812044540075</c:v>
                  </c:pt>
                  <c:pt idx="328">
                    <c:v>0.15793313943229581</c:v>
                  </c:pt>
                  <c:pt idx="329">
                    <c:v>0.1580036214735685</c:v>
                  </c:pt>
                  <c:pt idx="330">
                    <c:v>0.15805954609957587</c:v>
                  </c:pt>
                  <c:pt idx="331">
                    <c:v>0.15810089705950744</c:v>
                  </c:pt>
                  <c:pt idx="332">
                    <c:v>0.15812766233024397</c:v>
                  </c:pt>
                  <c:pt idx="333">
                    <c:v>0.15813983413185942</c:v>
                  </c:pt>
                  <c:pt idx="334">
                    <c:v>0.15813739866511703</c:v>
                  </c:pt>
                  <c:pt idx="335">
                    <c:v>0.15812036177437336</c:v>
                  </c:pt>
                  <c:pt idx="336">
                    <c:v>0.15808873353167607</c:v>
                  </c:pt>
                  <c:pt idx="337">
                    <c:v>0.15804252314094561</c:v>
                  </c:pt>
                  <c:pt idx="338">
                    <c:v>0.15798174402714957</c:v>
                  </c:pt>
                  <c:pt idx="339">
                    <c:v>0.15790641385401971</c:v>
                  </c:pt>
                  <c:pt idx="340">
                    <c:v>0.15781655449969123</c:v>
                  </c:pt>
                  <c:pt idx="341">
                    <c:v>0.15771219206113191</c:v>
                  </c:pt>
                  <c:pt idx="342">
                    <c:v>0.15759335681870837</c:v>
                  </c:pt>
                  <c:pt idx="343">
                    <c:v>0.15746008324725916</c:v>
                  </c:pt>
                  <c:pt idx="344">
                    <c:v>0.15731240997180257</c:v>
                  </c:pt>
                  <c:pt idx="345">
                    <c:v>0.1571503797786096</c:v>
                  </c:pt>
                  <c:pt idx="346">
                    <c:v>0.15697403955540953</c:v>
                  </c:pt>
                  <c:pt idx="347">
                    <c:v>0.15678344030689223</c:v>
                  </c:pt>
                  <c:pt idx="348">
                    <c:v>0.15657863710377204</c:v>
                  </c:pt>
                  <c:pt idx="349">
                    <c:v>0.15635968906064168</c:v>
                  </c:pt>
                  <c:pt idx="350">
                    <c:v>0.15612665930496783</c:v>
                  </c:pt>
                  <c:pt idx="351">
                    <c:v>0.15587961495494487</c:v>
                  </c:pt>
                  <c:pt idx="352">
                    <c:v>0.15561862707298812</c:v>
                  </c:pt>
                  <c:pt idx="353">
                    <c:v>0.15534377063915855</c:v>
                  </c:pt>
                  <c:pt idx="354">
                    <c:v>0.15505512451572898</c:v>
                  </c:pt>
                  <c:pt idx="355">
                    <c:v>0.15475277138738958</c:v>
                  </c:pt>
                  <c:pt idx="356">
                    <c:v>0.15443679775017491</c:v>
                  </c:pt>
                  <c:pt idx="357">
                    <c:v>0.15410729384059627</c:v>
                  </c:pt>
                  <c:pt idx="358">
                    <c:v>0.15376435360906646</c:v>
                  </c:pt>
                  <c:pt idx="359">
                    <c:v>0.1534080746733929</c:v>
                  </c:pt>
                  <c:pt idx="360">
                    <c:v>0.15303855825676868</c:v>
                  </c:pt>
                  <c:pt idx="361">
                    <c:v>0.1526559091368363</c:v>
                  </c:pt>
                  <c:pt idx="362">
                    <c:v>0.15226023562132718</c:v>
                  </c:pt>
                  <c:pt idx="363">
                    <c:v>0.15185164946390628</c:v>
                  </c:pt>
                  <c:pt idx="364">
                    <c:v>0.15143026581988009</c:v>
                  </c:pt>
                  <c:pt idx="365">
                    <c:v>0.15099620319747495</c:v>
                  </c:pt>
                  <c:pt idx="366">
                    <c:v>0.15054958338696983</c:v>
                  </c:pt>
                  <c:pt idx="367">
                    <c:v>0.15009053140754539</c:v>
                  </c:pt>
                  <c:pt idx="368">
                    <c:v>0.14961917545856271</c:v>
                  </c:pt>
                  <c:pt idx="369">
                    <c:v>0.14913564681990585</c:v>
                  </c:pt>
                  <c:pt idx="370">
                    <c:v>0.14864007984090874</c:v>
                  </c:pt>
                  <c:pt idx="371">
                    <c:v>0.14813261182962462</c:v>
                  </c:pt>
                  <c:pt idx="372">
                    <c:v>0.14761338301739235</c:v>
                  </c:pt>
                  <c:pt idx="373">
                    <c:v>0.14708253646139355</c:v>
                  </c:pt>
                  <c:pt idx="374">
                    <c:v>0.14654021801586262</c:v>
                  </c:pt>
                  <c:pt idx="375">
                    <c:v>0.14598657623021472</c:v>
                  </c:pt>
                  <c:pt idx="376">
                    <c:v>0.14542176228482204</c:v>
                  </c:pt>
                  <c:pt idx="377">
                    <c:v>0.14484592993121936</c:v>
                  </c:pt>
                  <c:pt idx="378">
                    <c:v>0.1442592354145926</c:v>
                  </c:pt>
                  <c:pt idx="379">
                    <c:v>0.14366183738962374</c:v>
                  </c:pt>
                  <c:pt idx="380">
                    <c:v>0.14305389684962319</c:v>
                  </c:pt>
                  <c:pt idx="381">
                    <c:v>0.14243557708223767</c:v>
                  </c:pt>
                  <c:pt idx="382">
                    <c:v>0.14180704352771512</c:v>
                  </c:pt>
                  <c:pt idx="383">
                    <c:v>0.14116846378333384</c:v>
                  </c:pt>
                  <c:pt idx="384">
                    <c:v>0.14052000745945301</c:v>
                  </c:pt>
                  <c:pt idx="385">
                    <c:v>0.13986184612857641</c:v>
                  </c:pt>
                  <c:pt idx="386">
                    <c:v>0.13919415326334358</c:v>
                  </c:pt>
                  <c:pt idx="387">
                    <c:v>0.13851710411915524</c:v>
                  </c:pt>
                  <c:pt idx="388">
                    <c:v>0.13783087568766669</c:v>
                  </c:pt>
                  <c:pt idx="389">
                    <c:v>0.13713564660598859</c:v>
                  </c:pt>
                  <c:pt idx="390">
                    <c:v>0.13643159707031732</c:v>
                  </c:pt>
                  <c:pt idx="391">
                    <c:v>0.13571890876506737</c:v>
                  </c:pt>
                  <c:pt idx="392">
                    <c:v>0.13499776478314535</c:v>
                  </c:pt>
                  <c:pt idx="393">
                    <c:v>0.13426834953515099</c:v>
                  </c:pt>
                  <c:pt idx="394">
                    <c:v>0.13353084867186585</c:v>
                  </c:pt>
                  <c:pt idx="395">
                    <c:v>0.13278544901117106</c:v>
                  </c:pt>
                  <c:pt idx="396">
                    <c:v>0.13203233845389226</c:v>
                  </c:pt>
                  <c:pt idx="397">
                    <c:v>0.13127170589300041</c:v>
                  </c:pt>
                  <c:pt idx="398">
                    <c:v>0.13050374114274441</c:v>
                  </c:pt>
                  <c:pt idx="399">
                    <c:v>0.12972863486778352</c:v>
                  </c:pt>
                  <c:pt idx="400">
                    <c:v>0.12894657847467142</c:v>
                  </c:pt>
                  <c:pt idx="401">
                    <c:v>0.12815776406092025</c:v>
                  </c:pt>
                  <c:pt idx="402">
                    <c:v>0.12736238429098232</c:v>
                  </c:pt>
                  <c:pt idx="403">
                    <c:v>0.12656063239625023</c:v>
                  </c:pt>
                  <c:pt idx="404">
                    <c:v>0.12575270200010263</c:v>
                  </c:pt>
                  <c:pt idx="405">
                    <c:v>0.12493878712233332</c:v>
                  </c:pt>
                  <c:pt idx="406">
                    <c:v>0.1241190820219141</c:v>
                  </c:pt>
                  <c:pt idx="407">
                    <c:v>0.12329378120363844</c:v>
                  </c:pt>
                  <c:pt idx="408">
                    <c:v>0.12246307926531352</c:v>
                  </c:pt>
                  <c:pt idx="409">
                    <c:v>0.12162717087782862</c:v>
                  </c:pt>
                  <c:pt idx="410">
                    <c:v>0.1207862506500639</c:v>
                  </c:pt>
                  <c:pt idx="411">
                    <c:v>0.11994051312003205</c:v>
                  </c:pt>
                  <c:pt idx="412">
                    <c:v>0.11909015263528926</c:v>
                  </c:pt>
                  <c:pt idx="413">
                    <c:v>0.11823536326877999</c:v>
                  </c:pt>
                  <c:pt idx="414">
                    <c:v>0.11737633880776403</c:v>
                  </c:pt>
                  <c:pt idx="415">
                    <c:v>0.11651327260100833</c:v>
                  </c:pt>
                  <c:pt idx="416">
                    <c:v>0.11564635755214313</c:v>
                  </c:pt>
                  <c:pt idx="417">
                    <c:v>0.11477578600228769</c:v>
                  </c:pt>
                  <c:pt idx="418">
                    <c:v>0.11390174970126028</c:v>
                  </c:pt>
                  <c:pt idx="419">
                    <c:v>0.11302443969241853</c:v>
                  </c:pt>
                  <c:pt idx="420">
                    <c:v>0.11214404629715709</c:v>
                  </c:pt>
                  <c:pt idx="421">
                    <c:v>0.11126075899088947</c:v>
                  </c:pt>
                  <c:pt idx="422">
                    <c:v>0.11037476639640421</c:v>
                  </c:pt>
                  <c:pt idx="423">
                    <c:v>0.10948625616649058</c:v>
                  </c:pt>
                  <c:pt idx="424">
                    <c:v>0.10859541495293393</c:v>
                  </c:pt>
                  <c:pt idx="425">
                    <c:v>0.10770242833343364</c:v>
                  </c:pt>
                  <c:pt idx="426">
                    <c:v>0.10680748074737945</c:v>
                  </c:pt>
                  <c:pt idx="427">
                    <c:v>0.10591075544048603</c:v>
                  </c:pt>
                  <c:pt idx="428">
                    <c:v>0.10501243439614032</c:v>
                  </c:pt>
                  <c:pt idx="429">
                    <c:v>0.1041126983021821</c:v>
                  </c:pt>
                  <c:pt idx="430">
                    <c:v>0.10321172646231981</c:v>
                  </c:pt>
                  <c:pt idx="431">
                    <c:v>0.10230969676955508</c:v>
                  </c:pt>
                  <c:pt idx="432">
                    <c:v>0.1014067856242422</c:v>
                  </c:pt>
                  <c:pt idx="433">
                    <c:v>0.10050316789422516</c:v>
                  </c:pt>
                  <c:pt idx="434">
                    <c:v>9.9599016892691489E-2</c:v>
                  </c:pt>
                  <c:pt idx="435">
                    <c:v>9.8694504260797955E-2</c:v>
                  </c:pt>
                  <c:pt idx="436">
                    <c:v>9.7789799987602025E-2</c:v>
                  </c:pt>
                  <c:pt idx="437">
                    <c:v>9.6885072334765149E-2</c:v>
                  </c:pt>
                  <c:pt idx="438">
                    <c:v>9.5980487759041375E-2</c:v>
                  </c:pt>
                  <c:pt idx="439">
                    <c:v>9.507621093885267E-2</c:v>
                  </c:pt>
                  <c:pt idx="440">
                    <c:v>9.417240468016802E-2</c:v>
                  </c:pt>
                  <c:pt idx="441">
                    <c:v>9.3269229810202067E-2</c:v>
                  </c:pt>
                  <c:pt idx="442">
                    <c:v>9.2366845371193593E-2</c:v>
                  </c:pt>
                  <c:pt idx="443">
                    <c:v>9.1465408305930779E-2</c:v>
                  </c:pt>
                  <c:pt idx="444">
                    <c:v>9.0565073485433883E-2</c:v>
                  </c:pt>
                  <c:pt idx="445">
                    <c:v>8.9665993972493849E-2</c:v>
                  </c:pt>
                  <c:pt idx="446">
                    <c:v>8.876832039161571E-2</c:v>
                  </c:pt>
                  <c:pt idx="447">
                    <c:v>8.7872201565718955E-2</c:v>
                  </c:pt>
                  <c:pt idx="448">
                    <c:v>8.6977783901583297E-2</c:v>
                  </c:pt>
                  <c:pt idx="449">
                    <c:v>8.608521184716561E-2</c:v>
                  </c:pt>
                  <c:pt idx="450">
                    <c:v>8.5194627494077399E-2</c:v>
                  </c:pt>
                  <c:pt idx="451">
                    <c:v>8.4306170697173791E-2</c:v>
                  </c:pt>
                  <c:pt idx="452">
                    <c:v>8.3419979127704144E-2</c:v>
                  </c:pt>
                  <c:pt idx="453">
                    <c:v>8.2536188121611231E-2</c:v>
                  </c:pt>
                  <c:pt idx="454">
                    <c:v>8.1654930714965074E-2</c:v>
                  </c:pt>
                  <c:pt idx="455">
                    <c:v>8.0776337508871643E-2</c:v>
                  </c:pt>
                  <c:pt idx="456">
                    <c:v>7.9900536902006936E-2</c:v>
                  </c:pt>
                  <c:pt idx="457">
                    <c:v>7.9027654844241679E-2</c:v>
                  </c:pt>
                  <c:pt idx="458">
                    <c:v>7.8157814955676488E-2</c:v>
                  </c:pt>
                  <c:pt idx="459">
                    <c:v>7.7291138337292814E-2</c:v>
                  </c:pt>
                  <c:pt idx="460">
                    <c:v>7.642774372320732E-2</c:v>
                  </c:pt>
                  <c:pt idx="461">
                    <c:v>7.5567747459079473E-2</c:v>
                  </c:pt>
                  <c:pt idx="462">
                    <c:v>7.4711263415741719E-2</c:v>
                  </c:pt>
                  <c:pt idx="463">
                    <c:v>7.3858402952658456E-2</c:v>
                  </c:pt>
                  <c:pt idx="464">
                    <c:v>7.3009275105614169E-2</c:v>
                  </c:pt>
                  <c:pt idx="465">
                    <c:v>7.2163986251753715E-2</c:v>
                  </c:pt>
                  <c:pt idx="466">
                    <c:v>7.1322640452293223E-2</c:v>
                  </c:pt>
                  <c:pt idx="467">
                    <c:v>7.0485339227183488E-2</c:v>
                  </c:pt>
                  <c:pt idx="468">
                    <c:v>6.9652181512478761E-2</c:v>
                  </c:pt>
                  <c:pt idx="469">
                    <c:v>6.8823263949343336E-2</c:v>
                  </c:pt>
                  <c:pt idx="470">
                    <c:v>6.7998680532482217E-2</c:v>
                  </c:pt>
                  <c:pt idx="471">
                    <c:v>6.7178522826065623E-2</c:v>
                  </c:pt>
                  <c:pt idx="472">
                    <c:v>6.6362879901166183E-2</c:v>
                  </c:pt>
                  <c:pt idx="473">
                    <c:v>6.5551838320256725E-2</c:v>
                  </c:pt>
                  <c:pt idx="474">
                    <c:v>6.4745482193129172E-2</c:v>
                  </c:pt>
                  <c:pt idx="475">
                    <c:v>6.3943893115992773E-2</c:v>
                  </c:pt>
                  <c:pt idx="476">
                    <c:v>6.3147150247878106E-2</c:v>
                  </c:pt>
                  <c:pt idx="477">
                    <c:v>6.2355330267452255E-2</c:v>
                  </c:pt>
                  <c:pt idx="478">
                    <c:v>6.1568507371357759E-2</c:v>
                  </c:pt>
                  <c:pt idx="479">
                    <c:v>6.078675335836789E-2</c:v>
                  </c:pt>
                  <c:pt idx="480">
                    <c:v>6.0010137534158361E-2</c:v>
                  </c:pt>
                  <c:pt idx="481">
                    <c:v>5.9238726802106359E-2</c:v>
                  </c:pt>
                  <c:pt idx="482">
                    <c:v>5.8472585646127333E-2</c:v>
                  </c:pt>
                  <c:pt idx="483">
                    <c:v>5.771177615448201E-2</c:v>
                  </c:pt>
                  <c:pt idx="484">
                    <c:v>5.6956358013686273E-2</c:v>
                  </c:pt>
                  <c:pt idx="485">
                    <c:v>5.6206388555571592E-2</c:v>
                  </c:pt>
                  <c:pt idx="486">
                    <c:v>5.5461922699151518E-2</c:v>
                  </c:pt>
                  <c:pt idx="487">
                    <c:v>5.4723013124468568E-2</c:v>
                  </c:pt>
                  <c:pt idx="488">
                    <c:v>5.3989710063867255E-2</c:v>
                  </c:pt>
                  <c:pt idx="489">
                    <c:v>5.3262061543940219E-2</c:v>
                  </c:pt>
                  <c:pt idx="490">
                    <c:v>5.2540113229951856E-2</c:v>
                  </c:pt>
                  <c:pt idx="491">
                    <c:v>5.1823908589719497E-2</c:v>
                  </c:pt>
                  <c:pt idx="492">
                    <c:v>5.1113488793402301E-2</c:v>
                  </c:pt>
                  <c:pt idx="493">
                    <c:v>5.0408892814265985E-2</c:v>
                  </c:pt>
                  <c:pt idx="494">
                    <c:v>4.9710157392695443E-2</c:v>
                  </c:pt>
                  <c:pt idx="495">
                    <c:v>4.9017317125886459E-2</c:v>
                  </c:pt>
                  <c:pt idx="496">
                    <c:v>4.8330404427429037E-2</c:v>
                  </c:pt>
                  <c:pt idx="497">
                    <c:v>4.7649449573260609E-2</c:v>
                  </c:pt>
                  <c:pt idx="498">
                    <c:v>4.697448076921161E-2</c:v>
                  </c:pt>
                  <c:pt idx="499">
                    <c:v>4.630552410117679E-2</c:v>
                  </c:pt>
                  <c:pt idx="500">
                    <c:v>4.564260361318017E-2</c:v>
                  </c:pt>
                  <c:pt idx="501">
                    <c:v>4.498574130156175E-2</c:v>
                  </c:pt>
                  <c:pt idx="502">
                    <c:v>4.4334957190551035E-2</c:v>
                  </c:pt>
                  <c:pt idx="503">
                    <c:v>4.3690269303477143E-2</c:v>
                  </c:pt>
                  <c:pt idx="504">
                    <c:v>4.3051693682423432E-2</c:v>
                  </c:pt>
                  <c:pt idx="505">
                    <c:v>4.2419244530239417E-2</c:v>
                  </c:pt>
                  <c:pt idx="506">
                    <c:v>4.1792934088460368E-2</c:v>
                  </c:pt>
                  <c:pt idx="507">
                    <c:v>4.1172772747760981E-2</c:v>
                  </c:pt>
                  <c:pt idx="508">
                    <c:v>4.0558769097784143E-2</c:v>
                  </c:pt>
                  <c:pt idx="509">
                    <c:v>3.9950929863470853E-2</c:v>
                  </c:pt>
                  <c:pt idx="510">
                    <c:v>3.9349260037936866E-2</c:v>
                  </c:pt>
                  <c:pt idx="511">
                    <c:v>3.8753762870845969E-2</c:v>
                  </c:pt>
                  <c:pt idx="512">
                    <c:v>3.8164439850139453E-2</c:v>
                  </c:pt>
                  <c:pt idx="513">
                    <c:v>3.7581290839618794E-2</c:v>
                  </c:pt>
                  <c:pt idx="514">
                    <c:v>3.7004313994790435E-2</c:v>
                  </c:pt>
                  <c:pt idx="515">
                    <c:v>3.6433505901555766E-2</c:v>
                  </c:pt>
                  <c:pt idx="516">
                    <c:v>3.586886148596577E-2</c:v>
                  </c:pt>
                  <c:pt idx="517">
                    <c:v>3.5310374177271675E-2</c:v>
                  </c:pt>
                  <c:pt idx="518">
                    <c:v>3.475803584037937E-2</c:v>
                  </c:pt>
                  <c:pt idx="519">
                    <c:v>3.421183685585219E-2</c:v>
                  </c:pt>
                  <c:pt idx="520">
                    <c:v>3.3671766122125524E-2</c:v>
                  </c:pt>
                  <c:pt idx="521">
                    <c:v>3.3137811117792723E-2</c:v>
                  </c:pt>
                  <c:pt idx="522">
                    <c:v>3.2609957916553745E-2</c:v>
                  </c:pt>
                  <c:pt idx="523">
                    <c:v>3.2088191221541572E-2</c:v>
                  </c:pt>
                  <c:pt idx="524">
                    <c:v>3.1572494373073412E-2</c:v>
                  </c:pt>
                  <c:pt idx="525">
                    <c:v>3.1062849441110599E-2</c:v>
                  </c:pt>
                  <c:pt idx="526">
                    <c:v>3.0559237194807767E-2</c:v>
                  </c:pt>
                  <c:pt idx="527">
                    <c:v>3.0061637161476813E-2</c:v>
                  </c:pt>
                  <c:pt idx="528">
                    <c:v>2.9570027658698757E-2</c:v>
                  </c:pt>
                  <c:pt idx="529">
                    <c:v>2.908438582588195E-2</c:v>
                  </c:pt>
                  <c:pt idx="530">
                    <c:v>2.8604687642532579E-2</c:v>
                  </c:pt>
                  <c:pt idx="531">
                    <c:v>2.8130907983896787E-2</c:v>
                  </c:pt>
                  <c:pt idx="532">
                    <c:v>2.7663020619576515E-2</c:v>
                  </c:pt>
                  <c:pt idx="533">
                    <c:v>2.7200998279690997E-2</c:v>
                  </c:pt>
                  <c:pt idx="534">
                    <c:v>2.6744812662351066E-2</c:v>
                  </c:pt>
                  <c:pt idx="535">
                    <c:v>2.6294434453590646E-2</c:v>
                  </c:pt>
                  <c:pt idx="536">
                    <c:v>2.5849833410137815E-2</c:v>
                  </c:pt>
                  <c:pt idx="537">
                    <c:v>2.541097831595308E-2</c:v>
                  </c:pt>
                  <c:pt idx="538">
                    <c:v>2.4977837089361143E-2</c:v>
                  </c:pt>
                  <c:pt idx="539">
                    <c:v>2.4550376741250129E-2</c:v>
                  </c:pt>
                  <c:pt idx="540">
                    <c:v>2.412856345853473E-2</c:v>
                  </c:pt>
                  <c:pt idx="541">
                    <c:v>2.3712362600280618E-2</c:v>
                  </c:pt>
                  <c:pt idx="542">
                    <c:v>2.3301738750578272E-2</c:v>
                  </c:pt>
                  <c:pt idx="543">
                    <c:v>2.28966557355678E-2</c:v>
                  </c:pt>
                  <c:pt idx="544">
                    <c:v>2.2497076630082762E-2</c:v>
                  </c:pt>
                  <c:pt idx="545">
                    <c:v>2.2102963849141261E-2</c:v>
                  </c:pt>
                  <c:pt idx="546">
                    <c:v>2.171427910462263E-2</c:v>
                  </c:pt>
                  <c:pt idx="547">
                    <c:v>2.1330983477242271E-2</c:v>
                  </c:pt>
                  <c:pt idx="548">
                    <c:v>2.0953037426102147E-2</c:v>
                  </c:pt>
                  <c:pt idx="549">
                    <c:v>2.0580400817895979E-2</c:v>
                  </c:pt>
                  <c:pt idx="550">
                    <c:v>2.0213032967602684E-2</c:v>
                  </c:pt>
                  <c:pt idx="551">
                    <c:v>1.9850892640424177E-2</c:v>
                  </c:pt>
                  <c:pt idx="552">
                    <c:v>1.9493938102582993E-2</c:v>
                  </c:pt>
                  <c:pt idx="553">
                    <c:v>1.9142127125059437E-2</c:v>
                  </c:pt>
                  <c:pt idx="554">
                    <c:v>1.8795417027468543E-2</c:v>
                  </c:pt>
                  <c:pt idx="555">
                    <c:v>1.8453764693423951E-2</c:v>
                  </c:pt>
                  <c:pt idx="556">
                    <c:v>1.8117126590884637E-2</c:v>
                  </c:pt>
                  <c:pt idx="557">
                    <c:v>1.7785458803989913E-2</c:v>
                  </c:pt>
                  <c:pt idx="558">
                    <c:v>1.7458717066970671E-2</c:v>
                  </c:pt>
                  <c:pt idx="559">
                    <c:v>1.7136856764564619E-2</c:v>
                  </c:pt>
                  <c:pt idx="560">
                    <c:v>1.6819832964820185E-2</c:v>
                  </c:pt>
                  <c:pt idx="561">
                    <c:v>1.6507600451069963E-2</c:v>
                  </c:pt>
                  <c:pt idx="562">
                    <c:v>1.6200113738401876E-2</c:v>
                  </c:pt>
                  <c:pt idx="563">
                    <c:v>1.5897327083071268E-2</c:v>
                  </c:pt>
                  <c:pt idx="564">
                    <c:v>1.5599194523886428E-2</c:v>
                  </c:pt>
                  <c:pt idx="565">
                    <c:v>1.5305669888021955E-2</c:v>
                  </c:pt>
                  <c:pt idx="566">
                    <c:v>1.5016706832957933E-2</c:v>
                  </c:pt>
                  <c:pt idx="567">
                    <c:v>1.4732258829731937E-2</c:v>
                  </c:pt>
                  <c:pt idx="568">
                    <c:v>1.4452279224256065E-2</c:v>
                  </c:pt>
                  <c:pt idx="569">
                    <c:v>1.4176721226866737E-2</c:v>
                  </c:pt>
                  <c:pt idx="570">
                    <c:v>1.390553794727402E-2</c:v>
                  </c:pt>
                  <c:pt idx="571">
                    <c:v>1.3638682408264526E-2</c:v>
                  </c:pt>
                  <c:pt idx="572">
                    <c:v>1.3376107563902737E-2</c:v>
                  </c:pt>
                  <c:pt idx="573">
                    <c:v>1.3117766314133604E-2</c:v>
                  </c:pt>
                  <c:pt idx="574">
                    <c:v>1.2863611532949605E-2</c:v>
                  </c:pt>
                  <c:pt idx="575">
                    <c:v>1.2613596071712675E-2</c:v>
                  </c:pt>
                  <c:pt idx="576">
                    <c:v>1.2367672786490794E-2</c:v>
                  </c:pt>
                  <c:pt idx="577">
                    <c:v>1.2125794552591369E-2</c:v>
                  </c:pt>
                  <c:pt idx="578">
                    <c:v>1.1887914268990453E-2</c:v>
                  </c:pt>
                  <c:pt idx="579">
                    <c:v>1.1653984891344284E-2</c:v>
                  </c:pt>
                  <c:pt idx="580">
                    <c:v>1.1423959440709307E-2</c:v>
                  </c:pt>
                  <c:pt idx="581">
                    <c:v>1.1197791005272347E-2</c:v>
                  </c:pt>
                  <c:pt idx="582">
                    <c:v>1.097543277647643E-2</c:v>
                  </c:pt>
                  <c:pt idx="583">
                    <c:v>1.0756838047221417E-2</c:v>
                  </c:pt>
                  <c:pt idx="584">
                    <c:v>1.0541960233940901E-2</c:v>
                  </c:pt>
                  <c:pt idx="585">
                    <c:v>1.0330752882207937E-2</c:v>
                  </c:pt>
                  <c:pt idx="586">
                    <c:v>1.0123169684659547E-2</c:v>
                  </c:pt>
                  <c:pt idx="587">
                    <c:v>9.9191644915853222E-3</c:v>
                  </c:pt>
                  <c:pt idx="588">
                    <c:v>9.7186913261528719E-3</c:v>
                  </c:pt>
                  <c:pt idx="589">
                    <c:v>9.5217043881449751E-3</c:v>
                  </c:pt>
                  <c:pt idx="590">
                    <c:v>9.3281580772821959E-3</c:v>
                  </c:pt>
                  <c:pt idx="591">
                    <c:v>9.1380069874787452E-3</c:v>
                  </c:pt>
                  <c:pt idx="592">
                    <c:v>8.9512059360476424E-3</c:v>
                  </c:pt>
                  <c:pt idx="593">
                    <c:v>8.7677099603788063E-3</c:v>
                  </c:pt>
                  <c:pt idx="594">
                    <c:v>8.587474333718155E-3</c:v>
                  </c:pt>
                  <c:pt idx="595">
                    <c:v>8.4104545701504749E-3</c:v>
                  </c:pt>
                  <c:pt idx="596">
                    <c:v>8.236606440655346E-3</c:v>
                  </c:pt>
                  <c:pt idx="597">
                    <c:v>8.0658859721382554E-3</c:v>
                  </c:pt>
                  <c:pt idx="598">
                    <c:v>7.8982494667392232E-3</c:v>
                  </c:pt>
                  <c:pt idx="599">
                    <c:v>7.7336535025940784E-3</c:v>
                  </c:pt>
                  <c:pt idx="600">
                    <c:v>7.5720549426582986E-3</c:v>
                  </c:pt>
                  <c:pt idx="601">
                    <c:v>7.4134109433924324E-3</c:v>
                  </c:pt>
                  <c:pt idx="602">
                    <c:v>7.2576789610598958E-3</c:v>
                  </c:pt>
                  <c:pt idx="603">
                    <c:v>7.10481676006637E-3</c:v>
                  </c:pt>
                  <c:pt idx="604">
                    <c:v>6.9547824185655256E-3</c:v>
                  </c:pt>
                  <c:pt idx="605">
                    <c:v>6.8075343320231681E-3</c:v>
                  </c:pt>
                  <c:pt idx="606">
                    <c:v>6.6630312226639314E-3</c:v>
                  </c:pt>
                  <c:pt idx="607">
                    <c:v>6.5212321459766969E-3</c:v>
                  </c:pt>
                  <c:pt idx="608">
                    <c:v>6.382096490506973E-3</c:v>
                  </c:pt>
                  <c:pt idx="609">
                    <c:v>6.2455839868191454E-3</c:v>
                  </c:pt>
                  <c:pt idx="610">
                    <c:v>6.1116547120641145E-3</c:v>
                  </c:pt>
                  <c:pt idx="611">
                    <c:v>5.9802690958272453E-3</c:v>
                  </c:pt>
                  <c:pt idx="612">
                    <c:v>5.8513879194709096E-3</c:v>
                  </c:pt>
                  <c:pt idx="613">
                    <c:v>5.7249723225360916E-3</c:v>
                  </c:pt>
                  <c:pt idx="614">
                    <c:v>5.6009838094208215E-3</c:v>
                  </c:pt>
                  <c:pt idx="615">
                    <c:v>5.4793842516639955E-3</c:v>
                  </c:pt>
                  <c:pt idx="616">
                    <c:v>5.3601358835507554E-3</c:v>
                  </c:pt>
                  <c:pt idx="617">
                    <c:v>5.2432013168880916E-3</c:v>
                  </c:pt>
                  <c:pt idx="618">
                    <c:v>5.1285435343610148E-3</c:v>
                  </c:pt>
                  <c:pt idx="619">
                    <c:v>5.0161258989792519E-3</c:v>
                  </c:pt>
                  <c:pt idx="620">
                    <c:v>4.9059121511013616E-3</c:v>
                  </c:pt>
                  <c:pt idx="621">
                    <c:v>4.7978664094036295E-3</c:v>
                  </c:pt>
                  <c:pt idx="622">
                    <c:v>4.6919531817108933E-3</c:v>
                  </c:pt>
                  <c:pt idx="623">
                    <c:v>4.58813735461556E-3</c:v>
                  </c:pt>
                  <c:pt idx="624">
                    <c:v>4.4863842040662096E-3</c:v>
                  </c:pt>
                  <c:pt idx="625">
                    <c:v>4.3866593919418724E-3</c:v>
                  </c:pt>
                  <c:pt idx="626">
                    <c:v>4.2889289675053606E-3</c:v>
                  </c:pt>
                  <c:pt idx="627">
                    <c:v>4.1931593710712251E-3</c:v>
                  </c:pt>
                  <c:pt idx="628">
                    <c:v>4.0993174290574778E-3</c:v>
                  </c:pt>
                  <c:pt idx="629">
                    <c:v>4.007370361494512E-3</c:v>
                  </c:pt>
                  <c:pt idx="630">
                    <c:v>3.9172857753985669E-3</c:v>
                  </c:pt>
                  <c:pt idx="631">
                    <c:v>3.8290316707234968E-3</c:v>
                  </c:pt>
                  <c:pt idx="632">
                    <c:v>3.7425764343917015E-3</c:v>
                  </c:pt>
                  <c:pt idx="633">
                    <c:v>3.6578888465919261E-3</c:v>
                  </c:pt>
                  <c:pt idx="634">
                    <c:v>3.5749380746890828E-3</c:v>
                  </c:pt>
                  <c:pt idx="635">
                    <c:v>3.4936936767364828E-3</c:v>
                  </c:pt>
                  <c:pt idx="636">
                    <c:v>3.4141255972196345E-3</c:v>
                  </c:pt>
                  <c:pt idx="637">
                    <c:v>3.3362041691324387E-3</c:v>
                  </c:pt>
                  <c:pt idx="638">
                    <c:v>3.2599001110186075E-3</c:v>
                  </c:pt>
                  <c:pt idx="639">
                    <c:v>3.1851845298610402E-3</c:v>
                  </c:pt>
                  <c:pt idx="640">
                    <c:v>3.1120289121368736E-3</c:v>
                  </c:pt>
                  <c:pt idx="641">
                    <c:v>3.0404051296827376E-3</c:v>
                  </c:pt>
                  <c:pt idx="642">
                    <c:v>2.9702854356807753E-3</c:v>
                  </c:pt>
                  <c:pt idx="643">
                    <c:v>2.9016424633437178E-3</c:v>
                  </c:pt>
                  <c:pt idx="644">
                    <c:v>2.834449222091221E-3</c:v>
                  </c:pt>
                  <c:pt idx="645">
                    <c:v>2.7686790989166956E-3</c:v>
                  </c:pt>
                  <c:pt idx="646">
                    <c:v>2.7043058549269783E-3</c:v>
                  </c:pt>
                  <c:pt idx="647">
                    <c:v>2.6413036234045478E-3</c:v>
                  </c:pt>
                  <c:pt idx="648">
                    <c:v>2.579646908717521E-3</c:v>
                  </c:pt>
                  <c:pt idx="649">
                    <c:v>2.5193105816655121E-3</c:v>
                  </c:pt>
                  <c:pt idx="650">
                    <c:v>2.4602698793239168E-3</c:v>
                  </c:pt>
                  <c:pt idx="651">
                    <c:v>2.4025004023448559E-3</c:v>
                  </c:pt>
                  <c:pt idx="652">
                    <c:v>2.3459781131059004E-3</c:v>
                  </c:pt>
                  <c:pt idx="653">
                    <c:v>2.2906793311424371E-3</c:v>
                  </c:pt>
                  <c:pt idx="654">
                    <c:v>2.2365807319019507E-3</c:v>
                  </c:pt>
                  <c:pt idx="655">
                    <c:v>2.1836593449965575E-3</c:v>
                  </c:pt>
                  <c:pt idx="656">
                    <c:v>2.1318925503101349E-3</c:v>
                  </c:pt>
                  <c:pt idx="657">
                    <c:v>2.0812580742525185E-3</c:v>
                  </c:pt>
                  <c:pt idx="658">
                    <c:v>2.0317339892923542E-3</c:v>
                  </c:pt>
                  <c:pt idx="659">
                    <c:v>1.9832987096749439E-3</c:v>
                  </c:pt>
                  <c:pt idx="660">
                    <c:v>1.9359309884636638E-3</c:v>
                  </c:pt>
                  <c:pt idx="661">
                    <c:v>1.8896099143045576E-3</c:v>
                  </c:pt>
                  <c:pt idx="662">
                    <c:v>1.8443149101546651E-3</c:v>
                  </c:pt>
                  <c:pt idx="663">
                    <c:v>1.8000257272091458E-3</c:v>
                  </c:pt>
                  <c:pt idx="664">
                    <c:v>1.7567224449877873E-3</c:v>
                  </c:pt>
                  <c:pt idx="665">
                    <c:v>1.7143854652967316E-3</c:v>
                  </c:pt>
                  <c:pt idx="666">
                    <c:v>1.6729955111211702E-3</c:v>
                  </c:pt>
                  <c:pt idx="667">
                    <c:v>1.6325336228449345E-3</c:v>
                  </c:pt>
                  <c:pt idx="668">
                    <c:v>1.5929811545998505E-3</c:v>
                  </c:pt>
                  <c:pt idx="669">
                    <c:v>1.5543197705458842E-3</c:v>
                  </c:pt>
                  <c:pt idx="670">
                    <c:v>1.5165314432015334E-3</c:v>
                  </c:pt>
                  <c:pt idx="671">
                    <c:v>1.4795984481235727E-3</c:v>
                  </c:pt>
                  <c:pt idx="672">
                    <c:v>1.4435033623499058E-3</c:v>
                  </c:pt>
                  <c:pt idx="673">
                    <c:v>1.4082290600049476E-3</c:v>
                  </c:pt>
                  <c:pt idx="674">
                    <c:v>1.3737587090296146E-3</c:v>
                  </c:pt>
                  <c:pt idx="675">
                    <c:v>1.3400757678507572E-3</c:v>
                  </c:pt>
                  <c:pt idx="676">
                    <c:v>1.3071639823187702E-3</c:v>
                  </c:pt>
                  <c:pt idx="677">
                    <c:v>1.275007381529246E-3</c:v>
                  </c:pt>
                  <c:pt idx="678">
                    <c:v>1.2435902748989954E-3</c:v>
                  </c:pt>
                  <c:pt idx="679">
                    <c:v>1.2128972492507228E-3</c:v>
                  </c:pt>
                  <c:pt idx="680">
                    <c:v>1.1829131647990438E-3</c:v>
                  </c:pt>
                  <c:pt idx="681">
                    <c:v>1.1536231508510271E-3</c:v>
                  </c:pt>
                  <c:pt idx="682">
                    <c:v>1.1250126040846813E-3</c:v>
                  </c:pt>
                  <c:pt idx="683">
                    <c:v>1.0970671838861619E-3</c:v>
                  </c:pt>
                  <c:pt idx="684">
                    <c:v>1.0697728098150803E-3</c:v>
                  </c:pt>
                  <c:pt idx="685">
                    <c:v>1.0431156570109186E-3</c:v>
                  </c:pt>
                  <c:pt idx="686">
                    <c:v>1.0170821543071492E-3</c:v>
                  </c:pt>
                  <c:pt idx="687">
                    <c:v>9.9165897904939372E-4</c:v>
                  </c:pt>
                  <c:pt idx="688">
                    <c:v>9.6683305543446491E-4</c:v>
                  </c:pt>
                  <c:pt idx="689">
                    <c:v>9.4259154964860506E-4</c:v>
                  </c:pt>
                  <c:pt idx="690">
                    <c:v>9.1892186762692317E-4</c:v>
                  </c:pt>
                  <c:pt idx="691">
                    <c:v>8.9581165072798402E-4</c:v>
                  </c:pt>
                  <c:pt idx="692">
                    <c:v>8.7324877350189662E-4</c:v>
                  </c:pt>
                  <c:pt idx="693">
                    <c:v>8.5122133909672768E-4</c:v>
                  </c:pt>
                  <c:pt idx="694">
                    <c:v>8.2971767678004151E-4</c:v>
                  </c:pt>
                  <c:pt idx="695">
                    <c:v>8.0872633854345223E-4</c:v>
                  </c:pt>
                  <c:pt idx="696">
                    <c:v>7.8823609538709644E-4</c:v>
                  </c:pt>
                  <c:pt idx="697">
                    <c:v>7.6823593413180493E-4</c:v>
                  </c:pt>
                  <c:pt idx="698">
                    <c:v>7.4871505533425525E-4</c:v>
                  </c:pt>
                  <c:pt idx="699">
                    <c:v>7.2966286811377993E-4</c:v>
                  </c:pt>
                  <c:pt idx="700">
                    <c:v>7.1106898835732169E-4</c:v>
                  </c:pt>
                  <c:pt idx="701">
                    <c:v>6.9292323499092854E-4</c:v>
                  </c:pt>
                  <c:pt idx="702">
                    <c:v>6.752156271422851E-4</c:v>
                  </c:pt>
                  <c:pt idx="703">
                    <c:v>6.5793638055927195E-4</c:v>
                  </c:pt>
                  <c:pt idx="704">
                    <c:v>6.4107590500174342E-4</c:v>
                  </c:pt>
                  <c:pt idx="705">
                    <c:v>6.246248006946904E-4</c:v>
                  </c:pt>
                  <c:pt idx="706">
                    <c:v>6.085738555556521E-4</c:v>
                  </c:pt>
                  <c:pt idx="707">
                    <c:v>5.929140422318099E-4</c:v>
                  </c:pt>
                  <c:pt idx="708">
                    <c:v>5.776365148689054E-4</c:v>
                  </c:pt>
                  <c:pt idx="709">
                    <c:v>5.6273260597099238E-4</c:v>
                  </c:pt>
                  <c:pt idx="710">
                    <c:v>5.481938242658461E-4</c:v>
                  </c:pt>
                  <c:pt idx="711">
                    <c:v>5.3401185067584382E-4</c:v>
                  </c:pt>
                  <c:pt idx="712">
                    <c:v>5.2017853630881132E-4</c:v>
                  </c:pt>
                  <c:pt idx="713">
                    <c:v>5.066858990971781E-4</c:v>
                  </c:pt>
                  <c:pt idx="714">
                    <c:v>4.9352612112054924E-4</c:v>
                  </c:pt>
                  <c:pt idx="715">
                    <c:v>4.806915460580377E-4</c:v>
                  </c:pt>
                  <c:pt idx="716">
                    <c:v>4.6817467586851189E-4</c:v>
                  </c:pt>
                  <c:pt idx="717">
                    <c:v>4.559681685284057E-4</c:v>
                  </c:pt>
                  <c:pt idx="718">
                    <c:v>4.4406483501474461E-4</c:v>
                  </c:pt>
                  <c:pt idx="719">
                    <c:v>4.324576369823999E-4</c:v>
                  </c:pt>
                  <c:pt idx="720">
                    <c:v>4.2113968358491215E-4</c:v>
                  </c:pt>
                  <c:pt idx="721">
                    <c:v>4.1010422936152777E-4</c:v>
                  </c:pt>
                  <c:pt idx="722">
                    <c:v>3.9934467140621772E-4</c:v>
                  </c:pt>
                  <c:pt idx="723">
                    <c:v>3.8885454686110208E-4</c:v>
                  </c:pt>
                  <c:pt idx="724">
                    <c:v>3.7862753025632239E-4</c:v>
                  </c:pt>
                  <c:pt idx="725">
                    <c:v>3.6865743139924119E-4</c:v>
                  </c:pt>
                  <c:pt idx="726">
                    <c:v>3.5893819239207135E-4</c:v>
                  </c:pt>
                  <c:pt idx="727">
                    <c:v>3.494638855729805E-4</c:v>
                  </c:pt>
                  <c:pt idx="728">
                    <c:v>3.4022871117171856E-4</c:v>
                  </c:pt>
                  <c:pt idx="729">
                    <c:v>3.3122699451540205E-4</c:v>
                  </c:pt>
                  <c:pt idx="730">
                    <c:v>3.2245318416426256E-4</c:v>
                  </c:pt>
                  <c:pt idx="731">
                    <c:v>3.1390184928828467E-4</c:v>
                  </c:pt>
                  <c:pt idx="732">
                    <c:v>3.055676777402357E-4</c:v>
                  </c:pt>
                  <c:pt idx="733">
                    <c:v>2.9744547327226396E-4</c:v>
                  </c:pt>
                  <c:pt idx="734">
                    <c:v>2.8953015394847276E-4</c:v>
                  </c:pt>
                  <c:pt idx="735">
                    <c:v>2.8181674944802702E-4</c:v>
                  </c:pt>
                  <c:pt idx="736">
                    <c:v>2.743003993155246E-4</c:v>
                  </c:pt>
                  <c:pt idx="737">
                    <c:v>2.6697635066744716E-4</c:v>
                  </c:pt>
                  <c:pt idx="738">
                    <c:v>2.5983995598079392E-4</c:v>
                  </c:pt>
                  <c:pt idx="739">
                    <c:v>2.5288667141374108E-4</c:v>
                  </c:pt>
                  <c:pt idx="740">
                    <c:v>2.4611205433042535E-4</c:v>
                  </c:pt>
                  <c:pt idx="741">
                    <c:v>2.3951176159240679E-4</c:v>
                  </c:pt>
                  <c:pt idx="742">
                    <c:v>2.3308154774307773E-4</c:v>
                  </c:pt>
                  <c:pt idx="743">
                    <c:v>2.2681726256380553E-4</c:v>
                  </c:pt>
                  <c:pt idx="744">
                    <c:v>2.207148497373808E-4</c:v>
                  </c:pt>
                  <c:pt idx="745">
                    <c:v>2.1477034452527168E-4</c:v>
                  </c:pt>
                  <c:pt idx="746">
                    <c:v>2.0897987234780798E-4</c:v>
                  </c:pt>
                  <c:pt idx="747">
                    <c:v>2.0333964662904507E-4</c:v>
                  </c:pt>
                  <c:pt idx="748">
                    <c:v>1.9784596712499271E-4</c:v>
                  </c:pt>
                  <c:pt idx="749">
                    <c:v>1.9249521828969122E-4</c:v>
                  </c:pt>
                  <c:pt idx="750">
                    <c:v>1.8728386729092915E-4</c:v>
                  </c:pt>
                  <c:pt idx="751">
                    <c:v>1.8220846267261008E-4</c:v>
                  </c:pt>
                  <c:pt idx="752">
                    <c:v>1.7726563238128405E-4</c:v>
                  </c:pt>
                  <c:pt idx="753">
                    <c:v>1.7245208223927737E-4</c:v>
                  </c:pt>
                  <c:pt idx="754">
                    <c:v>1.6776459430536218E-4</c:v>
                  </c:pt>
                  <c:pt idx="755">
                    <c:v>1.6320002540519797E-4</c:v>
                  </c:pt>
                  <c:pt idx="756">
                    <c:v>1.5875530535899458E-4</c:v>
                  </c:pt>
                  <c:pt idx="757">
                    <c:v>1.5442743574011939E-4</c:v>
                  </c:pt>
                  <c:pt idx="758">
                    <c:v>1.50213488037879E-4</c:v>
                  </c:pt>
                  <c:pt idx="759">
                    <c:v>1.4611060246911268E-4</c:v>
                  </c:pt>
                  <c:pt idx="760">
                    <c:v>1.4211598631993797E-4</c:v>
                  </c:pt>
                  <c:pt idx="761">
                    <c:v>1.3822691269624787E-4</c:v>
                  </c:pt>
                  <c:pt idx="762">
                    <c:v>1.3444071897683547E-4</c:v>
                  </c:pt>
                  <c:pt idx="763">
                    <c:v>1.3075480546332539E-4</c:v>
                  </c:pt>
                  <c:pt idx="764">
                    <c:v>1.2716663416689595E-4</c:v>
                  </c:pt>
                  <c:pt idx="765">
                    <c:v>1.2367372729276343E-4</c:v>
                  </c:pt>
                  <c:pt idx="766">
                    <c:v>1.2027366602420097E-4</c:v>
                  </c:pt>
                  <c:pt idx="767">
                    <c:v>1.1696408931466757E-4</c:v>
                  </c:pt>
                  <c:pt idx="768">
                    <c:v>1.137426925047581E-4</c:v>
                  </c:pt>
                  <c:pt idx="769">
                    <c:v>1.1060722611108815E-4</c:v>
                  </c:pt>
                  <c:pt idx="770">
                    <c:v>1.0755549476062113E-4</c:v>
                  </c:pt>
                  <c:pt idx="771">
                    <c:v>1.0458535581464682E-4</c:v>
                  </c:pt>
                  <c:pt idx="772">
                    <c:v>1.016947183782624E-4</c:v>
                  </c:pt>
                  <c:pt idx="773">
                    <c:v>9.8881541947600231E-5</c:v>
                  </c:pt>
                  <c:pt idx="774">
                    <c:v>9.6143835547989742E-5</c:v>
                  </c:pt>
                  <c:pt idx="775">
                    <c:v>9.3479656425520674E-5</c:v>
                  </c:pt>
                  <c:pt idx="776">
                    <c:v>9.0887109079773126E-5</c:v>
                  </c:pt>
                  <c:pt idx="777">
                    <c:v>8.8364344161919175E-5</c:v>
                  </c:pt>
                  <c:pt idx="778">
                    <c:v>8.5909557485825807E-5</c:v>
                  </c:pt>
                  <c:pt idx="779">
                    <c:v>8.3520988965625931E-5</c:v>
                  </c:pt>
                  <c:pt idx="780">
                    <c:v>8.119692164844841E-5</c:v>
                  </c:pt>
                  <c:pt idx="781">
                    <c:v>7.8935680727143019E-5</c:v>
                  </c:pt>
                  <c:pt idx="782">
                    <c:v>7.6735632595178229E-5</c:v>
                  </c:pt>
                  <c:pt idx="783">
                    <c:v>7.4595183888562729E-5</c:v>
                  </c:pt>
                  <c:pt idx="784">
                    <c:v>7.2512780620763261E-5</c:v>
                  </c:pt>
                  <c:pt idx="785">
                    <c:v>7.0486907199484713E-5</c:v>
                  </c:pt>
                  <c:pt idx="786">
                    <c:v>6.8516085622684364E-5</c:v>
                  </c:pt>
                  <c:pt idx="787">
                    <c:v>6.6598874579427137E-5</c:v>
                  </c:pt>
                  <c:pt idx="788">
                    <c:v>6.4733868597509394E-5</c:v>
                  </c:pt>
                  <c:pt idx="789">
                    <c:v>6.2919697265695904E-5</c:v>
                  </c:pt>
                  <c:pt idx="790">
                    <c:v>6.1155024313218505E-5</c:v>
                  </c:pt>
                  <c:pt idx="791">
                    <c:v>5.943854696556012E-5</c:v>
                  </c:pt>
                  <c:pt idx="792">
                    <c:v>5.7768995039092314E-5</c:v>
                  </c:pt>
                  <c:pt idx="793">
                    <c:v>5.614513022792315E-5</c:v>
                  </c:pt>
                  <c:pt idx="794">
                    <c:v>5.4565745394259483E-5</c:v>
                  </c:pt>
                  <c:pt idx="795">
                    <c:v>5.3029663760636539E-5</c:v>
                  </c:pt>
                  <c:pt idx="796">
                    <c:v>5.1535738241641911E-5</c:v>
                  </c:pt>
                  <c:pt idx="797">
                    <c:v>5.0082850758608343E-5</c:v>
                  </c:pt>
                  <c:pt idx="798">
                    <c:v>4.8669911536464092E-5</c:v>
                  </c:pt>
                  <c:pt idx="799">
                    <c:v>4.729585840599017E-5</c:v>
                  </c:pt>
                  <c:pt idx="800">
                    <c:v>4.5959656186367888E-5</c:v>
                  </c:pt>
                  <c:pt idx="801">
                    <c:v>4.4660296034474945E-5</c:v>
                  </c:pt>
                  <c:pt idx="802">
                    <c:v>4.3396794794722084E-5</c:v>
                  </c:pt>
                  <c:pt idx="803">
                    <c:v>4.2168194432153964E-5</c:v>
                  </c:pt>
                  <c:pt idx="804">
                    <c:v>4.0973561383907861E-5</c:v>
                  </c:pt>
                  <c:pt idx="805">
                    <c:v>3.9811985976094283E-5</c:v>
                  </c:pt>
                  <c:pt idx="806">
                    <c:v>3.8682581882850233E-5</c:v>
                  </c:pt>
                  <c:pt idx="807">
                    <c:v>3.7584485536596529E-5</c:v>
                  </c:pt>
                  <c:pt idx="808">
                    <c:v>3.651685557289833E-5</c:v>
                  </c:pt>
                  <c:pt idx="809">
                    <c:v>3.5478872324932796E-5</c:v>
                  </c:pt>
                  <c:pt idx="810">
                    <c:v>3.4469737242532347E-5</c:v>
                  </c:pt>
                  <c:pt idx="811">
                    <c:v>3.3488672447613518E-5</c:v>
                  </c:pt>
                  <c:pt idx="812">
                    <c:v>3.2534920153085071E-5</c:v>
                  </c:pt>
                  <c:pt idx="813">
                    <c:v>3.1607742251258128E-5</c:v>
                  </c:pt>
                  <c:pt idx="814">
                    <c:v>3.0706419765059707E-5</c:v>
                  </c:pt>
                  <c:pt idx="815">
                    <c:v>2.9830252424007261E-5</c:v>
                  </c:pt>
                  <c:pt idx="816">
                    <c:v>2.8978558171111876E-5</c:v>
                  </c:pt>
                  <c:pt idx="817">
                    <c:v>2.8150672747774006E-5</c:v>
                  </c:pt>
                  <c:pt idx="818">
                    <c:v>2.7345949227990803E-5</c:v>
                  </c:pt>
                  <c:pt idx="819">
                    <c:v>2.6563757597574745E-5</c:v>
                  </c:pt>
                  <c:pt idx="820">
                    <c:v>2.5803484333912959E-5</c:v>
                  </c:pt>
                  <c:pt idx="821">
                    <c:v>2.5064532014112038E-5</c:v>
                  </c:pt>
                  <c:pt idx="822">
                    <c:v>2.4346318883943828E-5</c:v>
                  </c:pt>
                  <c:pt idx="823">
                    <c:v>2.3648278493294399E-5</c:v>
                  </c:pt>
                  <c:pt idx="824">
                    <c:v>2.2969859286061041E-5</c:v>
                  </c:pt>
                  <c:pt idx="825">
                    <c:v>2.2310524277233316E-5</c:v>
                  </c:pt>
                  <c:pt idx="826">
                    <c:v>2.1669750624271895E-5</c:v>
                  </c:pt>
                  <c:pt idx="827">
                    <c:v>2.104702932311328E-5</c:v>
                  </c:pt>
                  <c:pt idx="828">
                    <c:v>2.0441864836995488E-5</c:v>
                  </c:pt>
                  <c:pt idx="829">
                    <c:v>1.9853774755967132E-5</c:v>
                  </c:pt>
                  <c:pt idx="830">
                    <c:v>1.9282289475590504E-5</c:v>
                  </c:pt>
                  <c:pt idx="831">
                    <c:v>1.872695186848069E-5</c:v>
                  </c:pt>
                  <c:pt idx="832">
                    <c:v>1.8187316965441697E-5</c:v>
                  </c:pt>
                  <c:pt idx="833">
                    <c:v>1.7662951651268447E-5</c:v>
                  </c:pt>
                  <c:pt idx="834">
                    <c:v>1.7153434359197024E-5</c:v>
                  </c:pt>
                  <c:pt idx="835">
                    <c:v>1.6658354782453865E-5</c:v>
                  </c:pt>
                  <c:pt idx="836">
                    <c:v>1.6177313584250493E-5</c:v>
                  </c:pt>
                  <c:pt idx="837">
                    <c:v>1.5709922118726918E-5</c:v>
                  </c:pt>
                  <c:pt idx="838">
                    <c:v>1.525580215115165E-5</c:v>
                  </c:pt>
                  <c:pt idx="839">
                    <c:v>1.4814585599140472E-5</c:v>
                  </c:pt>
                  <c:pt idx="840">
                    <c:v>1.4385914272726293E-5</c:v>
                  </c:pt>
                  <c:pt idx="841">
                    <c:v>1.3969439607602958E-5</c:v>
                  </c:pt>
                  <c:pt idx="842">
                    <c:v>1.3564822433648185E-5</c:v>
                  </c:pt>
                  <c:pt idx="843">
                    <c:v>1.3171732722224962E-5</c:v>
                  </c:pt>
                  <c:pt idx="844">
                    <c:v>1.2789849350852168E-5</c:v>
                  </c:pt>
                  <c:pt idx="845">
                    <c:v>1.2418859876188096E-5</c:v>
                  </c:pt>
                  <c:pt idx="846">
                    <c:v>1.2058460308162901E-5</c:v>
                  </c:pt>
                  <c:pt idx="847">
                    <c:v>1.1708354888571653E-5</c:v>
                  </c:pt>
                  <c:pt idx="848">
                    <c:v>1.1368255877169246E-5</c:v>
                  </c:pt>
                  <c:pt idx="849">
                    <c:v>1.103788334905194E-5</c:v>
                  </c:pt>
                  <c:pt idx="850">
                    <c:v>1.0716964980819879E-5</c:v>
                  </c:pt>
                  <c:pt idx="851">
                    <c:v>1.0405235857014945E-5</c:v>
                  </c:pt>
                  <c:pt idx="852">
                    <c:v>1.0102438281086798E-5</c:v>
                  </c:pt>
                  <c:pt idx="853">
                    <c:v>9.8083215766267384E-6</c:v>
                  </c:pt>
                  <c:pt idx="854">
                    <c:v>9.52264191343888E-6</c:v>
                  </c:pt>
                  <c:pt idx="855">
                    <c:v>9.2451621178979283E-6</c:v>
                  </c:pt>
                  <c:pt idx="856">
                    <c:v>8.9756515071642912E-6</c:v>
                  </c:pt>
                  <c:pt idx="857">
                    <c:v>8.7138857093078264E-6</c:v>
                  </c:pt>
                  <c:pt idx="858">
                    <c:v>8.459646506545486E-6</c:v>
                  </c:pt>
                  <c:pt idx="859">
                    <c:v>8.2127216611097414E-6</c:v>
                  </c:pt>
                  <c:pt idx="860">
                    <c:v>7.9729047697052771E-6</c:v>
                  </c:pt>
                  <c:pt idx="861">
                    <c:v>7.7399950984337429E-6</c:v>
                  </c:pt>
                  <c:pt idx="862">
                    <c:v>7.5137974381628245E-6</c:v>
                  </c:pt>
                  <c:pt idx="863">
                    <c:v>7.2941219567526529E-6</c:v>
                  </c:pt>
                  <c:pt idx="864">
                    <c:v>7.0807840557089796E-6</c:v>
                  </c:pt>
                  <c:pt idx="865">
                    <c:v>6.87360423095902E-6</c:v>
                  </c:pt>
                  <c:pt idx="866">
                    <c:v>6.6724079340665972E-6</c:v>
                  </c:pt>
                  <c:pt idx="867">
                    <c:v>6.4770254484172594E-6</c:v>
                  </c:pt>
                  <c:pt idx="868">
                    <c:v>6.2872917492506866E-6</c:v>
                  </c:pt>
                  <c:pt idx="869">
                    <c:v>6.1030463863001395E-6</c:v>
                  </c:pt>
                  <c:pt idx="870">
                    <c:v>5.9241333558549135E-6</c:v>
                  </c:pt>
                  <c:pt idx="871">
                    <c:v>5.7504009862045415E-6</c:v>
                  </c:pt>
                  <c:pt idx="872">
                    <c:v>5.5817018180479445E-6</c:v>
                  </c:pt>
                  <c:pt idx="873">
                    <c:v>5.4178924920327519E-6</c:v>
                  </c:pt>
                  <c:pt idx="874">
                    <c:v>5.2588336358553259E-6</c:v>
                  </c:pt>
                  <c:pt idx="875">
                    <c:v>5.104389765722491E-6</c:v>
                  </c:pt>
                  <c:pt idx="876">
                    <c:v>4.9544291660172639E-6</c:v>
                  </c:pt>
                  <c:pt idx="877">
                    <c:v>4.8088238041592184E-6</c:v>
                  </c:pt>
                  <c:pt idx="878">
                    <c:v>4.6674492204585801E-6</c:v>
                  </c:pt>
                  <c:pt idx="879">
                    <c:v>4.5301844319096306E-6</c:v>
                  </c:pt>
                  <c:pt idx="880">
                    <c:v>4.3969118431142775E-6</c:v>
                  </c:pt>
                  <c:pt idx="881">
                    <c:v>4.2675171498558104E-6</c:v>
                  </c:pt>
                  <c:pt idx="882">
                    <c:v>4.1418892499548835E-6</c:v>
                  </c:pt>
                  <c:pt idx="883">
                    <c:v>4.0199201604784598E-6</c:v>
                  </c:pt>
                  <c:pt idx="884">
                    <c:v>3.9015049261965363E-6</c:v>
                  </c:pt>
                  <c:pt idx="885">
                    <c:v>3.7865415421133739E-6</c:v>
                  </c:pt>
                  <c:pt idx="886">
                    <c:v>3.6749308709467602E-6</c:v>
                  </c:pt>
                  <c:pt idx="887">
                    <c:v>3.566576562246214E-6</c:v>
                  </c:pt>
                  <c:pt idx="888">
                    <c:v>3.4613849839298413E-6</c:v>
                  </c:pt>
                  <c:pt idx="889">
                    <c:v>3.359265137871241E-6</c:v>
                  </c:pt>
                  <c:pt idx="890">
                    <c:v>3.260128596488308E-6</c:v>
                  </c:pt>
                  <c:pt idx="891">
                    <c:v>3.1638894244296444E-6</c:v>
                  </c:pt>
                  <c:pt idx="892">
                    <c:v>3.0704641168698718E-6</c:v>
                  </c:pt>
                  <c:pt idx="893">
                    <c:v>2.9797715289513674E-6</c:v>
                  </c:pt>
                  <c:pt idx="894">
                    <c:v>2.8917328091796986E-6</c:v>
                  </c:pt>
                  <c:pt idx="895">
                    <c:v>2.8062713417402147E-6</c:v>
                  </c:pt>
                  <c:pt idx="896">
                    <c:v>2.7233126811268986E-6</c:v>
                  </c:pt>
                  <c:pt idx="897">
                    <c:v>2.6427844911473152E-6</c:v>
                  </c:pt>
                  <c:pt idx="898">
                    <c:v>2.5646164890470933E-6</c:v>
                  </c:pt>
                  <c:pt idx="899">
                    <c:v>2.4887403876237611E-6</c:v>
                  </c:pt>
                  <c:pt idx="900">
                    <c:v>2.4150898414801422E-6</c:v>
                  </c:pt>
                  <c:pt idx="901">
                    <c:v>2.3436003899576537E-6</c:v>
                  </c:pt>
                  <c:pt idx="902">
                    <c:v>2.2742094077911454E-6</c:v>
                  </c:pt>
                  <c:pt idx="903">
                    <c:v>2.2068560527900122E-6</c:v>
                  </c:pt>
                  <c:pt idx="904">
                    <c:v>2.1414812171942218E-6</c:v>
                  </c:pt>
                  <c:pt idx="905">
                    <c:v>2.0780274776870956E-6</c:v>
                  </c:pt>
                  <c:pt idx="906">
                    <c:v>2.0164390509584731E-6</c:v>
                  </c:pt>
                  <c:pt idx="907">
                    <c:v>1.9566617451621122E-6</c:v>
                  </c:pt>
                  <c:pt idx="908">
                    <c:v>1.8986429177851767E-6</c:v>
                  </c:pt>
                  <c:pt idx="909">
                    <c:v>1.8423314312198465E-6</c:v>
                  </c:pt>
                  <c:pt idx="910">
                    <c:v>1.7876776115789867E-6</c:v>
                  </c:pt>
                  <c:pt idx="911">
                    <c:v>1.7346332063628796E-6</c:v>
                  </c:pt>
                  <c:pt idx="912">
                    <c:v>1.6831513466794658E-6</c:v>
                  </c:pt>
                  <c:pt idx="913">
                    <c:v>1.6331865048350428E-6</c:v>
                  </c:pt>
                  <c:pt idx="914">
                    <c:v>1.5846944624259132E-6</c:v>
                  </c:pt>
                  <c:pt idx="915">
                    <c:v>1.5376322674475436E-6</c:v>
                  </c:pt>
                  <c:pt idx="916">
                    <c:v>1.4919582031380913E-6</c:v>
                  </c:pt>
                  <c:pt idx="917">
                    <c:v>1.4476317515249902E-6</c:v>
                  </c:pt>
                  <c:pt idx="918">
                    <c:v>1.4046135585851203E-6</c:v>
                  </c:pt>
                  <c:pt idx="919">
                    <c:v>1.3628654043470948E-6</c:v>
                  </c:pt>
                  <c:pt idx="920">
                    <c:v>1.3223501684484871E-6</c:v>
                  </c:pt>
                  <c:pt idx="921">
                    <c:v>1.2830317995960663E-6</c:v>
                  </c:pt>
                  <c:pt idx="922">
                    <c:v>1.2448752865720279E-6</c:v>
                  </c:pt>
                  <c:pt idx="923">
                    <c:v>1.2078466269001098E-6</c:v>
                  </c:pt>
                  <c:pt idx="924">
                    <c:v>1.1719128001243548E-6</c:v>
                  </c:pt>
                  <c:pt idx="925">
                    <c:v>1.1370417395883381E-6</c:v>
                  </c:pt>
                  <c:pt idx="926">
                    <c:v>1.1032023038891479E-6</c:v>
                  </c:pt>
                  <c:pt idx="927">
                    <c:v>1.0703642531383135E-6</c:v>
                  </c:pt>
                  <c:pt idx="928">
                    <c:v>1.0384982211761103E-6</c:v>
                  </c:pt>
                  <c:pt idx="929">
                    <c:v>1.0075756925716954E-6</c:v>
                  </c:pt>
                  <c:pt idx="930">
                    <c:v>9.7756897668331469E-7</c:v>
                  </c:pt>
                  <c:pt idx="931">
                    <c:v>9.4845118578625607E-7</c:v>
                  </c:pt>
                  <c:pt idx="932">
                    <c:v>9.2019621165480455E-7</c:v>
                  </c:pt>
                  <c:pt idx="933">
                    <c:v>8.9277870246522467E-7</c:v>
                  </c:pt>
                  <c:pt idx="934">
                    <c:v>8.6617404271470399E-7</c:v>
                  </c:pt>
                  <c:pt idx="935">
                    <c:v>8.4035833137887272E-7</c:v>
                  </c:pt>
                  <c:pt idx="936">
                    <c:v>8.1530836172514617E-7</c:v>
                  </c:pt>
                  <c:pt idx="937">
                    <c:v>7.9100160163717462E-7</c:v>
                  </c:pt>
                  <c:pt idx="938">
                    <c:v>7.6741617379989987E-7</c:v>
                  </c:pt>
                  <c:pt idx="939">
                    <c:v>7.445308374432809E-7</c:v>
                  </c:pt>
                  <c:pt idx="940">
                    <c:v>7.223249701536035E-7</c:v>
                  </c:pt>
                  <c:pt idx="941">
                    <c:v>7.0077855035218797E-7</c:v>
                  </c:pt>
                  <c:pt idx="942">
                    <c:v>6.7987213909825031E-7</c:v>
                  </c:pt>
                  <c:pt idx="943">
                    <c:v>6.5958686458669832E-7</c:v>
                  </c:pt>
                  <c:pt idx="944">
                    <c:v>6.3990440519285913E-7</c:v>
                  </c:pt>
                  <c:pt idx="945">
                    <c:v>6.208069738266574E-7</c:v>
                  </c:pt>
                  <c:pt idx="946">
                    <c:v>6.0227730251700358E-7</c:v>
                  </c:pt>
                  <c:pt idx="947">
                    <c:v>5.8429862800783851E-7</c:v>
                  </c:pt>
                  <c:pt idx="948">
                    <c:v>5.6685467612498336E-7</c:v>
                  </c:pt>
                  <c:pt idx="949">
                    <c:v>5.4992964892029272E-7</c:v>
                  </c:pt>
                  <c:pt idx="950">
                    <c:v>5.3350821012830567E-7</c:v>
                  </c:pt>
                  <c:pt idx="951">
                    <c:v>5.1757547228083017E-7</c:v>
                  </c:pt>
                  <c:pt idx="952">
                    <c:v>5.0211698356174972E-7</c:v>
                  </c:pt>
                  <c:pt idx="953">
                    <c:v>4.8711871556788454E-7</c:v>
                  </c:pt>
                  <c:pt idx="954">
                    <c:v>4.7256705047848928E-7</c:v>
                  </c:pt>
                  <c:pt idx="955">
                    <c:v>4.5844876968415308E-7</c:v>
                  </c:pt>
                  <c:pt idx="956">
                    <c:v>4.4475104203342543E-7</c:v>
                  </c:pt>
                  <c:pt idx="957">
                    <c:v>4.314614131755783E-7</c:v>
                  </c:pt>
                  <c:pt idx="958">
                    <c:v>4.1856779367417508E-7</c:v>
                  </c:pt>
                  <c:pt idx="959">
                    <c:v>4.0605844919252732E-7</c:v>
                  </c:pt>
                  <c:pt idx="960">
                    <c:v>3.9392198970128831E-7</c:v>
                  </c:pt>
                  <c:pt idx="961">
                    <c:v>3.8214736042001232E-7</c:v>
                  </c:pt>
                  <c:pt idx="962">
                    <c:v>3.7072383075440941E-7</c:v>
                  </c:pt>
                  <c:pt idx="963">
                    <c:v>3.5964098603835957E-7</c:v>
                  </c:pt>
                  <c:pt idx="964">
                    <c:v>3.4888871772359367E-7</c:v>
                  </c:pt>
                  <c:pt idx="965">
                    <c:v>3.3845721472464778E-7</c:v>
                  </c:pt>
                  <c:pt idx="966">
                    <c:v>3.2833695480817039E-7</c:v>
                  </c:pt>
                  <c:pt idx="967">
                    <c:v>3.1851869606670962E-7</c:v>
                  </c:pt>
                  <c:pt idx="968">
                    <c:v>3.0899346870085528E-7</c:v>
                  </c:pt>
                  <c:pt idx="969">
                    <c:v>2.9975256752580276E-7</c:v>
                  </c:pt>
                  <c:pt idx="970">
                    <c:v>2.9078754362677389E-7</c:v>
                  </c:pt>
                  <c:pt idx="971">
                    <c:v>2.820901973196645E-7</c:v>
                  </c:pt>
                  <c:pt idx="972">
                    <c:v>2.7365257094589855E-7</c:v>
                  </c:pt>
                  <c:pt idx="973">
                    <c:v>2.6546694151627286E-7</c:v>
                  </c:pt>
                  <c:pt idx="974">
                    <c:v>2.5752581405071182E-7</c:v>
                  </c:pt>
                  <c:pt idx="975">
                    <c:v>2.4982191480186084E-7</c:v>
                  </c:pt>
                  <c:pt idx="976">
                    <c:v>2.4234818494332368E-7</c:v>
                  </c:pt>
                  <c:pt idx="977">
                    <c:v>2.3509777427057192E-7</c:v>
                  </c:pt>
                  <c:pt idx="978">
                    <c:v>2.2806403495782273E-7</c:v>
                  </c:pt>
                  <c:pt idx="979">
                    <c:v>2.2124051572042397E-7</c:v>
                  </c:pt>
                  <c:pt idx="980">
                    <c:v>2.1462095621906532E-7</c:v>
                  </c:pt>
                  <c:pt idx="981">
                    <c:v>2.0819928114296265E-7</c:v>
                  </c:pt>
                  <c:pt idx="982">
                    <c:v>2.0196959506498481E-7</c:v>
                  </c:pt>
                  <c:pt idx="983">
                    <c:v>1.9592617705495424E-7</c:v>
                  </c:pt>
                  <c:pt idx="984">
                    <c:v>1.9006347569211904E-7</c:v>
                  </c:pt>
                  <c:pt idx="985">
                    <c:v>1.8437610386008703E-7</c:v>
                  </c:pt>
                  <c:pt idx="986">
                    <c:v>1.7885883411517264E-7</c:v>
                  </c:pt>
                  <c:pt idx="987">
                    <c:v>1.7350659395125482E-7</c:v>
                  </c:pt>
                  <c:pt idx="988">
                    <c:v>1.6831446127055671E-7</c:v>
                  </c:pt>
                  <c:pt idx="989">
                    <c:v>1.6327765986181721E-7</c:v>
                  </c:pt>
                  <c:pt idx="990">
                    <c:v>1.5839155528291407E-7</c:v>
                  </c:pt>
                  <c:pt idx="991">
                    <c:v>1.5365165056924532E-7</c:v>
                  </c:pt>
                  <c:pt idx="992">
                    <c:v>1.4905358218763273E-7</c:v>
                  </c:pt>
                  <c:pt idx="993">
                    <c:v>1.4459311619139501E-7</c:v>
                  </c:pt>
                  <c:pt idx="994">
                    <c:v>1.4026614435694076E-7</c:v>
                  </c:pt>
                  <c:pt idx="995">
                    <c:v>1.3606868044497039E-7</c:v>
                  </c:pt>
                  <c:pt idx="996">
                    <c:v>1.3199685678376075E-7</c:v>
                  </c:pt>
                  <c:pt idx="997">
                    <c:v>1.2804692043902229E-7</c:v>
                  </c:pt>
                  <c:pt idx="998">
                    <c:v>1.2421523022433905E-7</c:v>
                  </c:pt>
                  <c:pt idx="999">
                    <c:v>1.2049825307905964E-7</c:v>
                  </c:pt>
                  <c:pt idx="1000">
                    <c:v>1.168925611209775E-7</c:v>
                  </c:pt>
                </c:numCache>
              </c:numRef>
            </c:minus>
            <c:spPr>
              <a:ln w="12700">
                <a:solidFill>
                  <a:srgbClr val="969696"/>
                </a:solidFill>
                <a:prstDash val="solid"/>
              </a:ln>
            </c:spPr>
          </c:errBars>
          <c:xVal>
            <c:numRef>
              <c:f>'Compare A B'!$AI$9:$AI$1009</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'Compare A B'!$AK$9:$AK$1009</c:f>
              <c:numCache>
                <c:formatCode>General</c:formatCode>
                <c:ptCount val="1001"/>
                <c:pt idx="0">
                  <c:v>0</c:v>
                </c:pt>
                <c:pt idx="1">
                  <c:v>0.15</c:v>
                </c:pt>
                <c:pt idx="2">
                  <c:v>0.3</c:v>
                </c:pt>
                <c:pt idx="3">
                  <c:v>0.44999999999999996</c:v>
                </c:pt>
                <c:pt idx="4">
                  <c:v>0.6</c:v>
                </c:pt>
                <c:pt idx="5">
                  <c:v>0.75</c:v>
                </c:pt>
                <c:pt idx="6">
                  <c:v>0.9</c:v>
                </c:pt>
                <c:pt idx="7">
                  <c:v>1.05</c:v>
                </c:pt>
                <c:pt idx="8">
                  <c:v>1.2</c:v>
                </c:pt>
                <c:pt idx="9">
                  <c:v>1.3499999999999999</c:v>
                </c:pt>
                <c:pt idx="10">
                  <c:v>1.4999999999999998</c:v>
                </c:pt>
                <c:pt idx="11">
                  <c:v>1.6499999999999997</c:v>
                </c:pt>
                <c:pt idx="12">
                  <c:v>1.7999999999999996</c:v>
                </c:pt>
                <c:pt idx="13">
                  <c:v>1.9499999999999995</c:v>
                </c:pt>
                <c:pt idx="14">
                  <c:v>2.0999999999999996</c:v>
                </c:pt>
                <c:pt idx="15">
                  <c:v>2.2499999999999996</c:v>
                </c:pt>
                <c:pt idx="16">
                  <c:v>2.3999999999999995</c:v>
                </c:pt>
                <c:pt idx="17">
                  <c:v>2.5499999999999994</c:v>
                </c:pt>
                <c:pt idx="18">
                  <c:v>2.6999999999999993</c:v>
                </c:pt>
                <c:pt idx="19">
                  <c:v>2.8499999999999992</c:v>
                </c:pt>
                <c:pt idx="20">
                  <c:v>2.9999999999999991</c:v>
                </c:pt>
                <c:pt idx="21">
                  <c:v>3.149999999999999</c:v>
                </c:pt>
                <c:pt idx="22">
                  <c:v>3.2999999999999989</c:v>
                </c:pt>
                <c:pt idx="23">
                  <c:v>3.4499999999999988</c:v>
                </c:pt>
                <c:pt idx="24">
                  <c:v>3.5999999999999988</c:v>
                </c:pt>
                <c:pt idx="25">
                  <c:v>3.7499999999999987</c:v>
                </c:pt>
                <c:pt idx="26">
                  <c:v>3.8999999999999986</c:v>
                </c:pt>
                <c:pt idx="27">
                  <c:v>4.0499999999999989</c:v>
                </c:pt>
                <c:pt idx="28">
                  <c:v>4.1999999999999993</c:v>
                </c:pt>
                <c:pt idx="29">
                  <c:v>4.3499999999999996</c:v>
                </c:pt>
                <c:pt idx="30">
                  <c:v>4.5</c:v>
                </c:pt>
                <c:pt idx="31">
                  <c:v>4.6500000000000004</c:v>
                </c:pt>
                <c:pt idx="32">
                  <c:v>4.8000000000000007</c:v>
                </c:pt>
                <c:pt idx="33">
                  <c:v>4.9500000000000011</c:v>
                </c:pt>
                <c:pt idx="34">
                  <c:v>5.1000000000000014</c:v>
                </c:pt>
                <c:pt idx="35">
                  <c:v>5.2500000000000018</c:v>
                </c:pt>
                <c:pt idx="36">
                  <c:v>5.4000000000000021</c:v>
                </c:pt>
                <c:pt idx="37">
                  <c:v>5.5500000000000025</c:v>
                </c:pt>
                <c:pt idx="38">
                  <c:v>5.7000000000000028</c:v>
                </c:pt>
                <c:pt idx="39">
                  <c:v>5.8500000000000032</c:v>
                </c:pt>
                <c:pt idx="40">
                  <c:v>6.0000000000000036</c:v>
                </c:pt>
                <c:pt idx="41">
                  <c:v>6.1500000000000039</c:v>
                </c:pt>
                <c:pt idx="42">
                  <c:v>6.3000000000000043</c:v>
                </c:pt>
                <c:pt idx="43">
                  <c:v>6.4500000000000046</c:v>
                </c:pt>
                <c:pt idx="44">
                  <c:v>6.600000000000005</c:v>
                </c:pt>
                <c:pt idx="45">
                  <c:v>6.7500000000000053</c:v>
                </c:pt>
                <c:pt idx="46">
                  <c:v>6.9000000000000057</c:v>
                </c:pt>
                <c:pt idx="47">
                  <c:v>7.050000000000006</c:v>
                </c:pt>
                <c:pt idx="48">
                  <c:v>7.2000000000000064</c:v>
                </c:pt>
                <c:pt idx="49">
                  <c:v>7.3500000000000068</c:v>
                </c:pt>
                <c:pt idx="50">
                  <c:v>7.5000000000000071</c:v>
                </c:pt>
                <c:pt idx="51">
                  <c:v>7.6500000000000075</c:v>
                </c:pt>
                <c:pt idx="52">
                  <c:v>7.8000000000000078</c:v>
                </c:pt>
                <c:pt idx="53">
                  <c:v>7.9500000000000082</c:v>
                </c:pt>
                <c:pt idx="54">
                  <c:v>8.1000000000000085</c:v>
                </c:pt>
                <c:pt idx="55">
                  <c:v>8.2500000000000089</c:v>
                </c:pt>
                <c:pt idx="56">
                  <c:v>8.4000000000000092</c:v>
                </c:pt>
                <c:pt idx="57">
                  <c:v>8.5500000000000096</c:v>
                </c:pt>
                <c:pt idx="58">
                  <c:v>8.7000000000000099</c:v>
                </c:pt>
                <c:pt idx="59">
                  <c:v>8.8500000000000103</c:v>
                </c:pt>
                <c:pt idx="60">
                  <c:v>9.0000000000000107</c:v>
                </c:pt>
                <c:pt idx="61">
                  <c:v>9.150000000000011</c:v>
                </c:pt>
                <c:pt idx="62">
                  <c:v>9.3000000000000114</c:v>
                </c:pt>
                <c:pt idx="63">
                  <c:v>9.4500000000000117</c:v>
                </c:pt>
                <c:pt idx="64">
                  <c:v>9.6000000000000121</c:v>
                </c:pt>
                <c:pt idx="65">
                  <c:v>9.7500000000000124</c:v>
                </c:pt>
                <c:pt idx="66">
                  <c:v>9.9000000000000128</c:v>
                </c:pt>
                <c:pt idx="67">
                  <c:v>10.050000000000013</c:v>
                </c:pt>
                <c:pt idx="68">
                  <c:v>10.200000000000014</c:v>
                </c:pt>
                <c:pt idx="69">
                  <c:v>10.350000000000014</c:v>
                </c:pt>
                <c:pt idx="70">
                  <c:v>10.500000000000014</c:v>
                </c:pt>
                <c:pt idx="71">
                  <c:v>10.650000000000015</c:v>
                </c:pt>
                <c:pt idx="72">
                  <c:v>10.800000000000015</c:v>
                </c:pt>
                <c:pt idx="73">
                  <c:v>10.950000000000015</c:v>
                </c:pt>
                <c:pt idx="74">
                  <c:v>11.100000000000016</c:v>
                </c:pt>
                <c:pt idx="75">
                  <c:v>11.250000000000016</c:v>
                </c:pt>
                <c:pt idx="76">
                  <c:v>11.400000000000016</c:v>
                </c:pt>
                <c:pt idx="77">
                  <c:v>11.550000000000017</c:v>
                </c:pt>
                <c:pt idx="78">
                  <c:v>11.700000000000017</c:v>
                </c:pt>
                <c:pt idx="79">
                  <c:v>11.850000000000017</c:v>
                </c:pt>
                <c:pt idx="80">
                  <c:v>12.000000000000018</c:v>
                </c:pt>
                <c:pt idx="81">
                  <c:v>12.150000000000018</c:v>
                </c:pt>
                <c:pt idx="82">
                  <c:v>12.300000000000018</c:v>
                </c:pt>
                <c:pt idx="83">
                  <c:v>12.450000000000019</c:v>
                </c:pt>
                <c:pt idx="84">
                  <c:v>12.600000000000019</c:v>
                </c:pt>
                <c:pt idx="85">
                  <c:v>12.75000000000002</c:v>
                </c:pt>
                <c:pt idx="86">
                  <c:v>12.90000000000002</c:v>
                </c:pt>
                <c:pt idx="87">
                  <c:v>13.05000000000002</c:v>
                </c:pt>
                <c:pt idx="88">
                  <c:v>13.200000000000021</c:v>
                </c:pt>
                <c:pt idx="89">
                  <c:v>13.350000000000021</c:v>
                </c:pt>
                <c:pt idx="90">
                  <c:v>13.500000000000021</c:v>
                </c:pt>
                <c:pt idx="91">
                  <c:v>13.650000000000022</c:v>
                </c:pt>
                <c:pt idx="92">
                  <c:v>13.800000000000022</c:v>
                </c:pt>
                <c:pt idx="93">
                  <c:v>13.950000000000022</c:v>
                </c:pt>
                <c:pt idx="94">
                  <c:v>14.100000000000023</c:v>
                </c:pt>
                <c:pt idx="95">
                  <c:v>14.250000000000023</c:v>
                </c:pt>
                <c:pt idx="96">
                  <c:v>14.400000000000023</c:v>
                </c:pt>
                <c:pt idx="97">
                  <c:v>14.550000000000024</c:v>
                </c:pt>
                <c:pt idx="98">
                  <c:v>14.700000000000024</c:v>
                </c:pt>
                <c:pt idx="99">
                  <c:v>14.850000000000025</c:v>
                </c:pt>
                <c:pt idx="100">
                  <c:v>15.000000000000025</c:v>
                </c:pt>
                <c:pt idx="101">
                  <c:v>15.150000000000025</c:v>
                </c:pt>
                <c:pt idx="102">
                  <c:v>15.300000000000026</c:v>
                </c:pt>
                <c:pt idx="103">
                  <c:v>15.450000000000026</c:v>
                </c:pt>
                <c:pt idx="104">
                  <c:v>15.600000000000026</c:v>
                </c:pt>
                <c:pt idx="105">
                  <c:v>15.750000000000027</c:v>
                </c:pt>
                <c:pt idx="106">
                  <c:v>15.900000000000027</c:v>
                </c:pt>
                <c:pt idx="107">
                  <c:v>16.050000000000026</c:v>
                </c:pt>
                <c:pt idx="108">
                  <c:v>16.200000000000024</c:v>
                </c:pt>
                <c:pt idx="109">
                  <c:v>16.350000000000023</c:v>
                </c:pt>
                <c:pt idx="110">
                  <c:v>16.500000000000021</c:v>
                </c:pt>
                <c:pt idx="111">
                  <c:v>16.65000000000002</c:v>
                </c:pt>
                <c:pt idx="112">
                  <c:v>16.800000000000018</c:v>
                </c:pt>
                <c:pt idx="113">
                  <c:v>16.950000000000017</c:v>
                </c:pt>
                <c:pt idx="114">
                  <c:v>17.100000000000016</c:v>
                </c:pt>
                <c:pt idx="115">
                  <c:v>17.250000000000014</c:v>
                </c:pt>
                <c:pt idx="116">
                  <c:v>17.400000000000013</c:v>
                </c:pt>
                <c:pt idx="117">
                  <c:v>17.550000000000011</c:v>
                </c:pt>
                <c:pt idx="118">
                  <c:v>17.70000000000001</c:v>
                </c:pt>
                <c:pt idx="119">
                  <c:v>17.850000000000009</c:v>
                </c:pt>
                <c:pt idx="120">
                  <c:v>18.000000000000007</c:v>
                </c:pt>
                <c:pt idx="121">
                  <c:v>18.150000000000006</c:v>
                </c:pt>
                <c:pt idx="122">
                  <c:v>18.300000000000004</c:v>
                </c:pt>
                <c:pt idx="123">
                  <c:v>18.450000000000003</c:v>
                </c:pt>
                <c:pt idx="124">
                  <c:v>18.600000000000001</c:v>
                </c:pt>
                <c:pt idx="125">
                  <c:v>18.75</c:v>
                </c:pt>
                <c:pt idx="126">
                  <c:v>18.899999999999999</c:v>
                </c:pt>
                <c:pt idx="127">
                  <c:v>19.049999999999997</c:v>
                </c:pt>
                <c:pt idx="128">
                  <c:v>19.199999999999996</c:v>
                </c:pt>
                <c:pt idx="129">
                  <c:v>19.349999999999994</c:v>
                </c:pt>
                <c:pt idx="130">
                  <c:v>19.499999999999993</c:v>
                </c:pt>
                <c:pt idx="131">
                  <c:v>19.649999999999991</c:v>
                </c:pt>
                <c:pt idx="132">
                  <c:v>19.79999999999999</c:v>
                </c:pt>
                <c:pt idx="133">
                  <c:v>19.949999999999989</c:v>
                </c:pt>
                <c:pt idx="134">
                  <c:v>20.099999999999987</c:v>
                </c:pt>
                <c:pt idx="135">
                  <c:v>20.249999999999986</c:v>
                </c:pt>
                <c:pt idx="136">
                  <c:v>20.399999999999984</c:v>
                </c:pt>
                <c:pt idx="137">
                  <c:v>20.549999999999983</c:v>
                </c:pt>
                <c:pt idx="138">
                  <c:v>20.699999999999982</c:v>
                </c:pt>
                <c:pt idx="139">
                  <c:v>20.84999999999998</c:v>
                </c:pt>
                <c:pt idx="140">
                  <c:v>20.999999999999979</c:v>
                </c:pt>
                <c:pt idx="141">
                  <c:v>21.149999999999977</c:v>
                </c:pt>
                <c:pt idx="142">
                  <c:v>21.299999999999976</c:v>
                </c:pt>
                <c:pt idx="143">
                  <c:v>21.449999999999974</c:v>
                </c:pt>
                <c:pt idx="144">
                  <c:v>21.599999999999973</c:v>
                </c:pt>
                <c:pt idx="145">
                  <c:v>21.749999999999972</c:v>
                </c:pt>
                <c:pt idx="146">
                  <c:v>21.89999999999997</c:v>
                </c:pt>
                <c:pt idx="147">
                  <c:v>22.049999999999969</c:v>
                </c:pt>
                <c:pt idx="148">
                  <c:v>22.199999999999967</c:v>
                </c:pt>
                <c:pt idx="149">
                  <c:v>22.349999999999966</c:v>
                </c:pt>
                <c:pt idx="150">
                  <c:v>22.499999999999964</c:v>
                </c:pt>
                <c:pt idx="151">
                  <c:v>22.649999999999963</c:v>
                </c:pt>
                <c:pt idx="152">
                  <c:v>22.799999999999962</c:v>
                </c:pt>
                <c:pt idx="153">
                  <c:v>22.94999999999996</c:v>
                </c:pt>
                <c:pt idx="154">
                  <c:v>23.099999999999959</c:v>
                </c:pt>
                <c:pt idx="155">
                  <c:v>23.249999999999957</c:v>
                </c:pt>
                <c:pt idx="156">
                  <c:v>23.399999999999956</c:v>
                </c:pt>
                <c:pt idx="157">
                  <c:v>23.549999999999955</c:v>
                </c:pt>
                <c:pt idx="158">
                  <c:v>23.699999999999953</c:v>
                </c:pt>
                <c:pt idx="159">
                  <c:v>23.849999999999952</c:v>
                </c:pt>
                <c:pt idx="160">
                  <c:v>23.99999999999995</c:v>
                </c:pt>
                <c:pt idx="161">
                  <c:v>24.149999999999949</c:v>
                </c:pt>
                <c:pt idx="162">
                  <c:v>24.299999999999947</c:v>
                </c:pt>
                <c:pt idx="163">
                  <c:v>24.449999999999946</c:v>
                </c:pt>
                <c:pt idx="164">
                  <c:v>24.599999999999945</c:v>
                </c:pt>
                <c:pt idx="165">
                  <c:v>24.749999999999943</c:v>
                </c:pt>
                <c:pt idx="166">
                  <c:v>24.899999999999942</c:v>
                </c:pt>
                <c:pt idx="167">
                  <c:v>25.04999999999994</c:v>
                </c:pt>
                <c:pt idx="168">
                  <c:v>25.199999999999939</c:v>
                </c:pt>
                <c:pt idx="169">
                  <c:v>25.349999999999937</c:v>
                </c:pt>
                <c:pt idx="170">
                  <c:v>25.499999999999936</c:v>
                </c:pt>
                <c:pt idx="171">
                  <c:v>25.649999999999935</c:v>
                </c:pt>
                <c:pt idx="172">
                  <c:v>25.799999999999933</c:v>
                </c:pt>
                <c:pt idx="173">
                  <c:v>25.949999999999932</c:v>
                </c:pt>
                <c:pt idx="174">
                  <c:v>26.09999999999993</c:v>
                </c:pt>
                <c:pt idx="175">
                  <c:v>26.249999999999929</c:v>
                </c:pt>
                <c:pt idx="176">
                  <c:v>26.399999999999928</c:v>
                </c:pt>
                <c:pt idx="177">
                  <c:v>26.549999999999926</c:v>
                </c:pt>
                <c:pt idx="178">
                  <c:v>26.699999999999925</c:v>
                </c:pt>
                <c:pt idx="179">
                  <c:v>26.849999999999923</c:v>
                </c:pt>
                <c:pt idx="180">
                  <c:v>26.999999999999922</c:v>
                </c:pt>
                <c:pt idx="181">
                  <c:v>27.14999999999992</c:v>
                </c:pt>
                <c:pt idx="182">
                  <c:v>27.299999999999919</c:v>
                </c:pt>
                <c:pt idx="183">
                  <c:v>27.449999999999918</c:v>
                </c:pt>
                <c:pt idx="184">
                  <c:v>27.599999999999916</c:v>
                </c:pt>
                <c:pt idx="185">
                  <c:v>27.749999999999915</c:v>
                </c:pt>
                <c:pt idx="186">
                  <c:v>27.899999999999913</c:v>
                </c:pt>
                <c:pt idx="187">
                  <c:v>28.049999999999912</c:v>
                </c:pt>
                <c:pt idx="188">
                  <c:v>28.19999999999991</c:v>
                </c:pt>
                <c:pt idx="189">
                  <c:v>28.349999999999909</c:v>
                </c:pt>
                <c:pt idx="190">
                  <c:v>28.499999999999908</c:v>
                </c:pt>
                <c:pt idx="191">
                  <c:v>28.649999999999906</c:v>
                </c:pt>
                <c:pt idx="192">
                  <c:v>28.799999999999905</c:v>
                </c:pt>
                <c:pt idx="193">
                  <c:v>28.949999999999903</c:v>
                </c:pt>
                <c:pt idx="194">
                  <c:v>29.099999999999902</c:v>
                </c:pt>
                <c:pt idx="195">
                  <c:v>29.249999999999901</c:v>
                </c:pt>
                <c:pt idx="196">
                  <c:v>29.399999999999899</c:v>
                </c:pt>
                <c:pt idx="197">
                  <c:v>29.549999999999898</c:v>
                </c:pt>
                <c:pt idx="198">
                  <c:v>29.699999999999896</c:v>
                </c:pt>
                <c:pt idx="199">
                  <c:v>29.849999999999895</c:v>
                </c:pt>
                <c:pt idx="200">
                  <c:v>29.999999999999893</c:v>
                </c:pt>
                <c:pt idx="201">
                  <c:v>30.149999999999892</c:v>
                </c:pt>
                <c:pt idx="202">
                  <c:v>30.299999999999891</c:v>
                </c:pt>
                <c:pt idx="203">
                  <c:v>30.449999999999889</c:v>
                </c:pt>
                <c:pt idx="204">
                  <c:v>30.599999999999888</c:v>
                </c:pt>
                <c:pt idx="205">
                  <c:v>30.749999999999886</c:v>
                </c:pt>
                <c:pt idx="206">
                  <c:v>30.899999999999885</c:v>
                </c:pt>
                <c:pt idx="207">
                  <c:v>31.049999999999883</c:v>
                </c:pt>
                <c:pt idx="208">
                  <c:v>31.199999999999882</c:v>
                </c:pt>
                <c:pt idx="209">
                  <c:v>31.349999999999881</c:v>
                </c:pt>
                <c:pt idx="210">
                  <c:v>31.499999999999879</c:v>
                </c:pt>
                <c:pt idx="211">
                  <c:v>31.649999999999878</c:v>
                </c:pt>
                <c:pt idx="212">
                  <c:v>31.799999999999876</c:v>
                </c:pt>
                <c:pt idx="213">
                  <c:v>31.949999999999875</c:v>
                </c:pt>
                <c:pt idx="214">
                  <c:v>32.099999999999874</c:v>
                </c:pt>
                <c:pt idx="215">
                  <c:v>32.249999999999872</c:v>
                </c:pt>
                <c:pt idx="216">
                  <c:v>32.399999999999871</c:v>
                </c:pt>
                <c:pt idx="217">
                  <c:v>32.549999999999869</c:v>
                </c:pt>
                <c:pt idx="218">
                  <c:v>32.699999999999868</c:v>
                </c:pt>
                <c:pt idx="219">
                  <c:v>32.849999999999866</c:v>
                </c:pt>
                <c:pt idx="220">
                  <c:v>32.999999999999865</c:v>
                </c:pt>
                <c:pt idx="221">
                  <c:v>33.149999999999864</c:v>
                </c:pt>
                <c:pt idx="222">
                  <c:v>33.299999999999862</c:v>
                </c:pt>
                <c:pt idx="223">
                  <c:v>33.449999999999861</c:v>
                </c:pt>
                <c:pt idx="224">
                  <c:v>33.599999999999859</c:v>
                </c:pt>
                <c:pt idx="225">
                  <c:v>33.749999999999858</c:v>
                </c:pt>
                <c:pt idx="226">
                  <c:v>33.899999999999856</c:v>
                </c:pt>
                <c:pt idx="227">
                  <c:v>34.049999999999855</c:v>
                </c:pt>
                <c:pt idx="228">
                  <c:v>34.199999999999854</c:v>
                </c:pt>
                <c:pt idx="229">
                  <c:v>34.349999999999852</c:v>
                </c:pt>
                <c:pt idx="230">
                  <c:v>34.499999999999851</c:v>
                </c:pt>
                <c:pt idx="231">
                  <c:v>34.649999999999849</c:v>
                </c:pt>
                <c:pt idx="232">
                  <c:v>34.799999999999848</c:v>
                </c:pt>
                <c:pt idx="233">
                  <c:v>34.949999999999847</c:v>
                </c:pt>
                <c:pt idx="234">
                  <c:v>35.099999999999845</c:v>
                </c:pt>
                <c:pt idx="235">
                  <c:v>35.249999999999844</c:v>
                </c:pt>
                <c:pt idx="236">
                  <c:v>35.399999999999842</c:v>
                </c:pt>
                <c:pt idx="237">
                  <c:v>35.549999999999841</c:v>
                </c:pt>
                <c:pt idx="238">
                  <c:v>35.699999999999839</c:v>
                </c:pt>
                <c:pt idx="239">
                  <c:v>35.849999999999838</c:v>
                </c:pt>
                <c:pt idx="240">
                  <c:v>35.999999999999837</c:v>
                </c:pt>
                <c:pt idx="241">
                  <c:v>36.149999999999835</c:v>
                </c:pt>
                <c:pt idx="242">
                  <c:v>36.299999999999834</c:v>
                </c:pt>
                <c:pt idx="243">
                  <c:v>36.449999999999832</c:v>
                </c:pt>
                <c:pt idx="244">
                  <c:v>36.599999999999831</c:v>
                </c:pt>
                <c:pt idx="245">
                  <c:v>36.749999999999829</c:v>
                </c:pt>
                <c:pt idx="246">
                  <c:v>36.899999999999828</c:v>
                </c:pt>
                <c:pt idx="247">
                  <c:v>37.049999999999827</c:v>
                </c:pt>
                <c:pt idx="248">
                  <c:v>37.199999999999825</c:v>
                </c:pt>
                <c:pt idx="249">
                  <c:v>37.349999999999824</c:v>
                </c:pt>
                <c:pt idx="250">
                  <c:v>37.499999999999822</c:v>
                </c:pt>
                <c:pt idx="251">
                  <c:v>37.649999999999821</c:v>
                </c:pt>
                <c:pt idx="252">
                  <c:v>37.79999999999982</c:v>
                </c:pt>
                <c:pt idx="253">
                  <c:v>37.949999999999818</c:v>
                </c:pt>
                <c:pt idx="254">
                  <c:v>38.099999999999817</c:v>
                </c:pt>
                <c:pt idx="255">
                  <c:v>38.249999999999815</c:v>
                </c:pt>
                <c:pt idx="256">
                  <c:v>38.399999999999814</c:v>
                </c:pt>
                <c:pt idx="257">
                  <c:v>38.549999999999812</c:v>
                </c:pt>
                <c:pt idx="258">
                  <c:v>38.699999999999811</c:v>
                </c:pt>
                <c:pt idx="259">
                  <c:v>38.84999999999981</c:v>
                </c:pt>
                <c:pt idx="260">
                  <c:v>38.999999999999808</c:v>
                </c:pt>
                <c:pt idx="261">
                  <c:v>39.149999999999807</c:v>
                </c:pt>
                <c:pt idx="262">
                  <c:v>39.299999999999805</c:v>
                </c:pt>
                <c:pt idx="263">
                  <c:v>39.449999999999804</c:v>
                </c:pt>
                <c:pt idx="264">
                  <c:v>39.599999999999802</c:v>
                </c:pt>
                <c:pt idx="265">
                  <c:v>39.749999999999801</c:v>
                </c:pt>
                <c:pt idx="266">
                  <c:v>39.8999999999998</c:v>
                </c:pt>
                <c:pt idx="267">
                  <c:v>40.049999999999798</c:v>
                </c:pt>
                <c:pt idx="268">
                  <c:v>40.199999999999797</c:v>
                </c:pt>
                <c:pt idx="269">
                  <c:v>40.349999999999795</c:v>
                </c:pt>
                <c:pt idx="270">
                  <c:v>40.499999999999794</c:v>
                </c:pt>
                <c:pt idx="271">
                  <c:v>40.649999999999793</c:v>
                </c:pt>
                <c:pt idx="272">
                  <c:v>40.799999999999791</c:v>
                </c:pt>
                <c:pt idx="273">
                  <c:v>40.94999999999979</c:v>
                </c:pt>
                <c:pt idx="274">
                  <c:v>41.099999999999788</c:v>
                </c:pt>
                <c:pt idx="275">
                  <c:v>41.249999999999787</c:v>
                </c:pt>
                <c:pt idx="276">
                  <c:v>41.399999999999785</c:v>
                </c:pt>
                <c:pt idx="277">
                  <c:v>41.549999999999784</c:v>
                </c:pt>
                <c:pt idx="278">
                  <c:v>41.699999999999783</c:v>
                </c:pt>
                <c:pt idx="279">
                  <c:v>41.849999999999781</c:v>
                </c:pt>
                <c:pt idx="280">
                  <c:v>41.99999999999978</c:v>
                </c:pt>
                <c:pt idx="281">
                  <c:v>42.149999999999778</c:v>
                </c:pt>
                <c:pt idx="282">
                  <c:v>42.299999999999777</c:v>
                </c:pt>
                <c:pt idx="283">
                  <c:v>42.449999999999775</c:v>
                </c:pt>
                <c:pt idx="284">
                  <c:v>42.599999999999774</c:v>
                </c:pt>
                <c:pt idx="285">
                  <c:v>42.749999999999773</c:v>
                </c:pt>
                <c:pt idx="286">
                  <c:v>42.899999999999771</c:v>
                </c:pt>
                <c:pt idx="287">
                  <c:v>43.04999999999977</c:v>
                </c:pt>
                <c:pt idx="288">
                  <c:v>43.199999999999768</c:v>
                </c:pt>
                <c:pt idx="289">
                  <c:v>43.349999999999767</c:v>
                </c:pt>
                <c:pt idx="290">
                  <c:v>43.499999999999766</c:v>
                </c:pt>
                <c:pt idx="291">
                  <c:v>43.649999999999764</c:v>
                </c:pt>
                <c:pt idx="292">
                  <c:v>43.799999999999763</c:v>
                </c:pt>
                <c:pt idx="293">
                  <c:v>43.949999999999761</c:v>
                </c:pt>
                <c:pt idx="294">
                  <c:v>44.09999999999976</c:v>
                </c:pt>
                <c:pt idx="295">
                  <c:v>44.249999999999758</c:v>
                </c:pt>
                <c:pt idx="296">
                  <c:v>44.399999999999757</c:v>
                </c:pt>
                <c:pt idx="297">
                  <c:v>44.549999999999756</c:v>
                </c:pt>
                <c:pt idx="298">
                  <c:v>44.699999999999754</c:v>
                </c:pt>
                <c:pt idx="299">
                  <c:v>44.849999999999753</c:v>
                </c:pt>
                <c:pt idx="300">
                  <c:v>44.999999999999751</c:v>
                </c:pt>
                <c:pt idx="301">
                  <c:v>45.14999999999975</c:v>
                </c:pt>
                <c:pt idx="302">
                  <c:v>45.299999999999748</c:v>
                </c:pt>
                <c:pt idx="303">
                  <c:v>45.449999999999747</c:v>
                </c:pt>
                <c:pt idx="304">
                  <c:v>45.599999999999746</c:v>
                </c:pt>
                <c:pt idx="305">
                  <c:v>45.749999999999744</c:v>
                </c:pt>
                <c:pt idx="306">
                  <c:v>45.899999999999743</c:v>
                </c:pt>
                <c:pt idx="307">
                  <c:v>46.049999999999741</c:v>
                </c:pt>
                <c:pt idx="308">
                  <c:v>46.19999999999974</c:v>
                </c:pt>
                <c:pt idx="309">
                  <c:v>46.349999999999739</c:v>
                </c:pt>
                <c:pt idx="310">
                  <c:v>46.499999999999737</c:v>
                </c:pt>
                <c:pt idx="311">
                  <c:v>46.649999999999736</c:v>
                </c:pt>
                <c:pt idx="312">
                  <c:v>46.799999999999734</c:v>
                </c:pt>
                <c:pt idx="313">
                  <c:v>46.949999999999733</c:v>
                </c:pt>
                <c:pt idx="314">
                  <c:v>47.099999999999731</c:v>
                </c:pt>
                <c:pt idx="315">
                  <c:v>47.24999999999973</c:v>
                </c:pt>
                <c:pt idx="316">
                  <c:v>47.399999999999729</c:v>
                </c:pt>
                <c:pt idx="317">
                  <c:v>47.549999999999727</c:v>
                </c:pt>
                <c:pt idx="318">
                  <c:v>47.699999999999726</c:v>
                </c:pt>
                <c:pt idx="319">
                  <c:v>47.849999999999724</c:v>
                </c:pt>
                <c:pt idx="320">
                  <c:v>47.999999999999723</c:v>
                </c:pt>
                <c:pt idx="321">
                  <c:v>48.149999999999721</c:v>
                </c:pt>
                <c:pt idx="322">
                  <c:v>48.29999999999972</c:v>
                </c:pt>
                <c:pt idx="323">
                  <c:v>48.449999999999719</c:v>
                </c:pt>
                <c:pt idx="324">
                  <c:v>48.599999999999717</c:v>
                </c:pt>
                <c:pt idx="325">
                  <c:v>48.749999999999716</c:v>
                </c:pt>
                <c:pt idx="326">
                  <c:v>48.899999999999714</c:v>
                </c:pt>
                <c:pt idx="327">
                  <c:v>49.049999999999713</c:v>
                </c:pt>
                <c:pt idx="328">
                  <c:v>49.199999999999712</c:v>
                </c:pt>
                <c:pt idx="329">
                  <c:v>49.34999999999971</c:v>
                </c:pt>
                <c:pt idx="330">
                  <c:v>49.499999999999709</c:v>
                </c:pt>
                <c:pt idx="331">
                  <c:v>49.649999999999707</c:v>
                </c:pt>
                <c:pt idx="332">
                  <c:v>49.799999999999706</c:v>
                </c:pt>
                <c:pt idx="333">
                  <c:v>49.949999999999704</c:v>
                </c:pt>
                <c:pt idx="334">
                  <c:v>50.099999999999703</c:v>
                </c:pt>
                <c:pt idx="335">
                  <c:v>50.249999999999702</c:v>
                </c:pt>
                <c:pt idx="336">
                  <c:v>50.3999999999997</c:v>
                </c:pt>
                <c:pt idx="337">
                  <c:v>50.549999999999699</c:v>
                </c:pt>
                <c:pt idx="338">
                  <c:v>50.699999999999697</c:v>
                </c:pt>
                <c:pt idx="339">
                  <c:v>50.849999999999696</c:v>
                </c:pt>
                <c:pt idx="340">
                  <c:v>50.999999999999694</c:v>
                </c:pt>
                <c:pt idx="341">
                  <c:v>51.149999999999693</c:v>
                </c:pt>
                <c:pt idx="342">
                  <c:v>51.299999999999692</c:v>
                </c:pt>
                <c:pt idx="343">
                  <c:v>51.44999999999969</c:v>
                </c:pt>
                <c:pt idx="344">
                  <c:v>51.599999999999689</c:v>
                </c:pt>
                <c:pt idx="345">
                  <c:v>51.749999999999687</c:v>
                </c:pt>
                <c:pt idx="346">
                  <c:v>51.899999999999686</c:v>
                </c:pt>
                <c:pt idx="347">
                  <c:v>52.049999999999685</c:v>
                </c:pt>
                <c:pt idx="348">
                  <c:v>52.199999999999683</c:v>
                </c:pt>
                <c:pt idx="349">
                  <c:v>52.349999999999682</c:v>
                </c:pt>
                <c:pt idx="350">
                  <c:v>52.49999999999968</c:v>
                </c:pt>
                <c:pt idx="351">
                  <c:v>52.649999999999679</c:v>
                </c:pt>
                <c:pt idx="352">
                  <c:v>52.799999999999677</c:v>
                </c:pt>
                <c:pt idx="353">
                  <c:v>52.949999999999676</c:v>
                </c:pt>
                <c:pt idx="354">
                  <c:v>53.099999999999675</c:v>
                </c:pt>
                <c:pt idx="355">
                  <c:v>53.249999999999673</c:v>
                </c:pt>
                <c:pt idx="356">
                  <c:v>53.399999999999672</c:v>
                </c:pt>
                <c:pt idx="357">
                  <c:v>53.54999999999967</c:v>
                </c:pt>
                <c:pt idx="358">
                  <c:v>53.699999999999669</c:v>
                </c:pt>
                <c:pt idx="359">
                  <c:v>53.849999999999667</c:v>
                </c:pt>
                <c:pt idx="360">
                  <c:v>53.999999999999666</c:v>
                </c:pt>
                <c:pt idx="361">
                  <c:v>54.149999999999665</c:v>
                </c:pt>
                <c:pt idx="362">
                  <c:v>54.299999999999663</c:v>
                </c:pt>
                <c:pt idx="363">
                  <c:v>54.449999999999662</c:v>
                </c:pt>
                <c:pt idx="364">
                  <c:v>54.59999999999966</c:v>
                </c:pt>
                <c:pt idx="365">
                  <c:v>54.749999999999659</c:v>
                </c:pt>
                <c:pt idx="366">
                  <c:v>54.899999999999658</c:v>
                </c:pt>
                <c:pt idx="367">
                  <c:v>55.049999999999656</c:v>
                </c:pt>
                <c:pt idx="368">
                  <c:v>55.199999999999655</c:v>
                </c:pt>
                <c:pt idx="369">
                  <c:v>55.349999999999653</c:v>
                </c:pt>
                <c:pt idx="370">
                  <c:v>55.499999999999652</c:v>
                </c:pt>
                <c:pt idx="371">
                  <c:v>55.64999999999965</c:v>
                </c:pt>
                <c:pt idx="372">
                  <c:v>55.799999999999649</c:v>
                </c:pt>
                <c:pt idx="373">
                  <c:v>55.949999999999648</c:v>
                </c:pt>
                <c:pt idx="374">
                  <c:v>56.099999999999646</c:v>
                </c:pt>
                <c:pt idx="375">
                  <c:v>56.249999999999645</c:v>
                </c:pt>
                <c:pt idx="376">
                  <c:v>56.399999999999643</c:v>
                </c:pt>
                <c:pt idx="377">
                  <c:v>56.549999999999642</c:v>
                </c:pt>
                <c:pt idx="378">
                  <c:v>56.69999999999964</c:v>
                </c:pt>
                <c:pt idx="379">
                  <c:v>56.849999999999639</c:v>
                </c:pt>
                <c:pt idx="380">
                  <c:v>56.999999999999638</c:v>
                </c:pt>
                <c:pt idx="381">
                  <c:v>57.149999999999636</c:v>
                </c:pt>
                <c:pt idx="382">
                  <c:v>57.299999999999635</c:v>
                </c:pt>
                <c:pt idx="383">
                  <c:v>57.449999999999633</c:v>
                </c:pt>
                <c:pt idx="384">
                  <c:v>57.599999999999632</c:v>
                </c:pt>
                <c:pt idx="385">
                  <c:v>57.749999999999631</c:v>
                </c:pt>
                <c:pt idx="386">
                  <c:v>57.899999999999629</c:v>
                </c:pt>
                <c:pt idx="387">
                  <c:v>58.049999999999628</c:v>
                </c:pt>
                <c:pt idx="388">
                  <c:v>58.199999999999626</c:v>
                </c:pt>
                <c:pt idx="389">
                  <c:v>58.349999999999625</c:v>
                </c:pt>
                <c:pt idx="390">
                  <c:v>58.499999999999623</c:v>
                </c:pt>
                <c:pt idx="391">
                  <c:v>58.649999999999622</c:v>
                </c:pt>
                <c:pt idx="392">
                  <c:v>58.799999999999621</c:v>
                </c:pt>
                <c:pt idx="393">
                  <c:v>58.949999999999619</c:v>
                </c:pt>
                <c:pt idx="394">
                  <c:v>59.099999999999618</c:v>
                </c:pt>
                <c:pt idx="395">
                  <c:v>59.249999999999616</c:v>
                </c:pt>
                <c:pt idx="396">
                  <c:v>59.399999999999615</c:v>
                </c:pt>
                <c:pt idx="397">
                  <c:v>59.549999999999613</c:v>
                </c:pt>
                <c:pt idx="398">
                  <c:v>59.699999999999612</c:v>
                </c:pt>
                <c:pt idx="399">
                  <c:v>59.849999999999611</c:v>
                </c:pt>
                <c:pt idx="400">
                  <c:v>59.999999999999609</c:v>
                </c:pt>
                <c:pt idx="401">
                  <c:v>60.149999999999608</c:v>
                </c:pt>
                <c:pt idx="402">
                  <c:v>60.299999999999606</c:v>
                </c:pt>
                <c:pt idx="403">
                  <c:v>60.449999999999605</c:v>
                </c:pt>
                <c:pt idx="404">
                  <c:v>60.599999999999604</c:v>
                </c:pt>
                <c:pt idx="405">
                  <c:v>60.749999999999602</c:v>
                </c:pt>
                <c:pt idx="406">
                  <c:v>60.899999999999601</c:v>
                </c:pt>
                <c:pt idx="407">
                  <c:v>61.049999999999599</c:v>
                </c:pt>
                <c:pt idx="408">
                  <c:v>61.199999999999598</c:v>
                </c:pt>
                <c:pt idx="409">
                  <c:v>61.349999999999596</c:v>
                </c:pt>
                <c:pt idx="410">
                  <c:v>61.499999999999595</c:v>
                </c:pt>
                <c:pt idx="411">
                  <c:v>61.649999999999594</c:v>
                </c:pt>
                <c:pt idx="412">
                  <c:v>61.799999999999592</c:v>
                </c:pt>
                <c:pt idx="413">
                  <c:v>61.949999999999591</c:v>
                </c:pt>
                <c:pt idx="414">
                  <c:v>62.099999999999589</c:v>
                </c:pt>
                <c:pt idx="415">
                  <c:v>62.249999999999588</c:v>
                </c:pt>
                <c:pt idx="416">
                  <c:v>62.399999999999586</c:v>
                </c:pt>
                <c:pt idx="417">
                  <c:v>62.549999999999585</c:v>
                </c:pt>
                <c:pt idx="418">
                  <c:v>62.699999999999584</c:v>
                </c:pt>
                <c:pt idx="419">
                  <c:v>62.849999999999582</c:v>
                </c:pt>
                <c:pt idx="420">
                  <c:v>62.999999999999581</c:v>
                </c:pt>
                <c:pt idx="421">
                  <c:v>63.149999999999579</c:v>
                </c:pt>
                <c:pt idx="422">
                  <c:v>63.299999999999578</c:v>
                </c:pt>
                <c:pt idx="423">
                  <c:v>63.449999999999577</c:v>
                </c:pt>
                <c:pt idx="424">
                  <c:v>63.599999999999575</c:v>
                </c:pt>
                <c:pt idx="425">
                  <c:v>63.749999999999574</c:v>
                </c:pt>
                <c:pt idx="426">
                  <c:v>63.899999999999572</c:v>
                </c:pt>
                <c:pt idx="427">
                  <c:v>64.049999999999571</c:v>
                </c:pt>
                <c:pt idx="428">
                  <c:v>64.199999999999577</c:v>
                </c:pt>
                <c:pt idx="429">
                  <c:v>64.349999999999582</c:v>
                </c:pt>
                <c:pt idx="430">
                  <c:v>64.499999999999588</c:v>
                </c:pt>
                <c:pt idx="431">
                  <c:v>64.649999999999594</c:v>
                </c:pt>
                <c:pt idx="432">
                  <c:v>64.799999999999599</c:v>
                </c:pt>
                <c:pt idx="433">
                  <c:v>64.949999999999605</c:v>
                </c:pt>
                <c:pt idx="434">
                  <c:v>65.099999999999611</c:v>
                </c:pt>
                <c:pt idx="435">
                  <c:v>65.249999999999616</c:v>
                </c:pt>
                <c:pt idx="436">
                  <c:v>65.399999999999622</c:v>
                </c:pt>
                <c:pt idx="437">
                  <c:v>65.549999999999628</c:v>
                </c:pt>
                <c:pt idx="438">
                  <c:v>65.699999999999633</c:v>
                </c:pt>
                <c:pt idx="439">
                  <c:v>65.849999999999639</c:v>
                </c:pt>
                <c:pt idx="440">
                  <c:v>65.999999999999645</c:v>
                </c:pt>
                <c:pt idx="441">
                  <c:v>66.14999999999965</c:v>
                </c:pt>
                <c:pt idx="442">
                  <c:v>66.299999999999656</c:v>
                </c:pt>
                <c:pt idx="443">
                  <c:v>66.449999999999662</c:v>
                </c:pt>
                <c:pt idx="444">
                  <c:v>66.599999999999667</c:v>
                </c:pt>
                <c:pt idx="445">
                  <c:v>66.749999999999673</c:v>
                </c:pt>
                <c:pt idx="446">
                  <c:v>66.899999999999679</c:v>
                </c:pt>
                <c:pt idx="447">
                  <c:v>67.049999999999685</c:v>
                </c:pt>
                <c:pt idx="448">
                  <c:v>67.19999999999969</c:v>
                </c:pt>
                <c:pt idx="449">
                  <c:v>67.349999999999696</c:v>
                </c:pt>
                <c:pt idx="450">
                  <c:v>67.499999999999702</c:v>
                </c:pt>
                <c:pt idx="451">
                  <c:v>67.649999999999707</c:v>
                </c:pt>
                <c:pt idx="452">
                  <c:v>67.799999999999713</c:v>
                </c:pt>
                <c:pt idx="453">
                  <c:v>67.949999999999719</c:v>
                </c:pt>
                <c:pt idx="454">
                  <c:v>68.099999999999724</c:v>
                </c:pt>
                <c:pt idx="455">
                  <c:v>68.24999999999973</c:v>
                </c:pt>
                <c:pt idx="456">
                  <c:v>68.399999999999736</c:v>
                </c:pt>
                <c:pt idx="457">
                  <c:v>68.549999999999741</c:v>
                </c:pt>
                <c:pt idx="458">
                  <c:v>68.699999999999747</c:v>
                </c:pt>
                <c:pt idx="459">
                  <c:v>68.849999999999753</c:v>
                </c:pt>
                <c:pt idx="460">
                  <c:v>68.999999999999758</c:v>
                </c:pt>
                <c:pt idx="461">
                  <c:v>69.149999999999764</c:v>
                </c:pt>
                <c:pt idx="462">
                  <c:v>69.29999999999977</c:v>
                </c:pt>
                <c:pt idx="463">
                  <c:v>69.449999999999775</c:v>
                </c:pt>
                <c:pt idx="464">
                  <c:v>69.599999999999781</c:v>
                </c:pt>
                <c:pt idx="465">
                  <c:v>69.749999999999787</c:v>
                </c:pt>
                <c:pt idx="466">
                  <c:v>69.899999999999793</c:v>
                </c:pt>
                <c:pt idx="467">
                  <c:v>70.049999999999798</c:v>
                </c:pt>
                <c:pt idx="468">
                  <c:v>70.199999999999804</c:v>
                </c:pt>
                <c:pt idx="469">
                  <c:v>70.34999999999981</c:v>
                </c:pt>
                <c:pt idx="470">
                  <c:v>70.499999999999815</c:v>
                </c:pt>
                <c:pt idx="471">
                  <c:v>70.649999999999821</c:v>
                </c:pt>
                <c:pt idx="472">
                  <c:v>70.799999999999827</c:v>
                </c:pt>
                <c:pt idx="473">
                  <c:v>70.949999999999832</c:v>
                </c:pt>
                <c:pt idx="474">
                  <c:v>71.099999999999838</c:v>
                </c:pt>
                <c:pt idx="475">
                  <c:v>71.249999999999844</c:v>
                </c:pt>
                <c:pt idx="476">
                  <c:v>71.399999999999849</c:v>
                </c:pt>
                <c:pt idx="477">
                  <c:v>71.549999999999855</c:v>
                </c:pt>
                <c:pt idx="478">
                  <c:v>71.699999999999861</c:v>
                </c:pt>
                <c:pt idx="479">
                  <c:v>71.849999999999866</c:v>
                </c:pt>
                <c:pt idx="480">
                  <c:v>71.999999999999872</c:v>
                </c:pt>
                <c:pt idx="481">
                  <c:v>72.149999999999878</c:v>
                </c:pt>
                <c:pt idx="482">
                  <c:v>72.299999999999883</c:v>
                </c:pt>
                <c:pt idx="483">
                  <c:v>72.449999999999889</c:v>
                </c:pt>
                <c:pt idx="484">
                  <c:v>72.599999999999895</c:v>
                </c:pt>
                <c:pt idx="485">
                  <c:v>72.749999999999901</c:v>
                </c:pt>
                <c:pt idx="486">
                  <c:v>72.899999999999906</c:v>
                </c:pt>
                <c:pt idx="487">
                  <c:v>73.049999999999912</c:v>
                </c:pt>
                <c:pt idx="488">
                  <c:v>73.199999999999918</c:v>
                </c:pt>
                <c:pt idx="489">
                  <c:v>73.349999999999923</c:v>
                </c:pt>
                <c:pt idx="490">
                  <c:v>73.499999999999929</c:v>
                </c:pt>
                <c:pt idx="491">
                  <c:v>73.649999999999935</c:v>
                </c:pt>
                <c:pt idx="492">
                  <c:v>73.79999999999994</c:v>
                </c:pt>
                <c:pt idx="493">
                  <c:v>73.949999999999946</c:v>
                </c:pt>
                <c:pt idx="494">
                  <c:v>74.099999999999952</c:v>
                </c:pt>
                <c:pt idx="495">
                  <c:v>74.249999999999957</c:v>
                </c:pt>
                <c:pt idx="496">
                  <c:v>74.399999999999963</c:v>
                </c:pt>
                <c:pt idx="497">
                  <c:v>74.549999999999969</c:v>
                </c:pt>
                <c:pt idx="498">
                  <c:v>74.699999999999974</c:v>
                </c:pt>
                <c:pt idx="499">
                  <c:v>74.84999999999998</c:v>
                </c:pt>
                <c:pt idx="500">
                  <c:v>74.999999999999986</c:v>
                </c:pt>
                <c:pt idx="501">
                  <c:v>75.149999999999991</c:v>
                </c:pt>
                <c:pt idx="502">
                  <c:v>75.3</c:v>
                </c:pt>
                <c:pt idx="503">
                  <c:v>75.45</c:v>
                </c:pt>
                <c:pt idx="504">
                  <c:v>75.600000000000009</c:v>
                </c:pt>
                <c:pt idx="505">
                  <c:v>75.750000000000014</c:v>
                </c:pt>
                <c:pt idx="506">
                  <c:v>75.90000000000002</c:v>
                </c:pt>
                <c:pt idx="507">
                  <c:v>76.050000000000026</c:v>
                </c:pt>
                <c:pt idx="508">
                  <c:v>76.200000000000031</c:v>
                </c:pt>
                <c:pt idx="509">
                  <c:v>76.350000000000037</c:v>
                </c:pt>
                <c:pt idx="510">
                  <c:v>76.500000000000043</c:v>
                </c:pt>
                <c:pt idx="511">
                  <c:v>76.650000000000048</c:v>
                </c:pt>
                <c:pt idx="512">
                  <c:v>76.800000000000054</c:v>
                </c:pt>
                <c:pt idx="513">
                  <c:v>76.95000000000006</c:v>
                </c:pt>
                <c:pt idx="514">
                  <c:v>77.100000000000065</c:v>
                </c:pt>
                <c:pt idx="515">
                  <c:v>77.250000000000071</c:v>
                </c:pt>
                <c:pt idx="516">
                  <c:v>77.400000000000077</c:v>
                </c:pt>
                <c:pt idx="517">
                  <c:v>77.550000000000082</c:v>
                </c:pt>
                <c:pt idx="518">
                  <c:v>77.700000000000088</c:v>
                </c:pt>
                <c:pt idx="519">
                  <c:v>77.850000000000094</c:v>
                </c:pt>
                <c:pt idx="520">
                  <c:v>78.000000000000099</c:v>
                </c:pt>
                <c:pt idx="521">
                  <c:v>78.150000000000105</c:v>
                </c:pt>
                <c:pt idx="522">
                  <c:v>78.300000000000111</c:v>
                </c:pt>
                <c:pt idx="523">
                  <c:v>78.450000000000117</c:v>
                </c:pt>
                <c:pt idx="524">
                  <c:v>78.600000000000122</c:v>
                </c:pt>
                <c:pt idx="525">
                  <c:v>78.750000000000128</c:v>
                </c:pt>
                <c:pt idx="526">
                  <c:v>78.900000000000134</c:v>
                </c:pt>
                <c:pt idx="527">
                  <c:v>79.050000000000139</c:v>
                </c:pt>
                <c:pt idx="528">
                  <c:v>79.200000000000145</c:v>
                </c:pt>
                <c:pt idx="529">
                  <c:v>79.350000000000151</c:v>
                </c:pt>
                <c:pt idx="530">
                  <c:v>79.500000000000156</c:v>
                </c:pt>
                <c:pt idx="531">
                  <c:v>79.650000000000162</c:v>
                </c:pt>
                <c:pt idx="532">
                  <c:v>79.800000000000168</c:v>
                </c:pt>
                <c:pt idx="533">
                  <c:v>79.950000000000173</c:v>
                </c:pt>
                <c:pt idx="534">
                  <c:v>80.100000000000179</c:v>
                </c:pt>
                <c:pt idx="535">
                  <c:v>80.250000000000185</c:v>
                </c:pt>
                <c:pt idx="536">
                  <c:v>80.40000000000019</c:v>
                </c:pt>
                <c:pt idx="537">
                  <c:v>80.550000000000196</c:v>
                </c:pt>
                <c:pt idx="538">
                  <c:v>80.700000000000202</c:v>
                </c:pt>
                <c:pt idx="539">
                  <c:v>80.850000000000207</c:v>
                </c:pt>
                <c:pt idx="540">
                  <c:v>81.000000000000213</c:v>
                </c:pt>
                <c:pt idx="541">
                  <c:v>81.150000000000219</c:v>
                </c:pt>
                <c:pt idx="542">
                  <c:v>81.300000000000225</c:v>
                </c:pt>
                <c:pt idx="543">
                  <c:v>81.45000000000023</c:v>
                </c:pt>
                <c:pt idx="544">
                  <c:v>81.600000000000236</c:v>
                </c:pt>
                <c:pt idx="545">
                  <c:v>81.750000000000242</c:v>
                </c:pt>
                <c:pt idx="546">
                  <c:v>81.900000000000247</c:v>
                </c:pt>
                <c:pt idx="547">
                  <c:v>82.050000000000253</c:v>
                </c:pt>
                <c:pt idx="548">
                  <c:v>82.200000000000259</c:v>
                </c:pt>
                <c:pt idx="549">
                  <c:v>82.350000000000264</c:v>
                </c:pt>
                <c:pt idx="550">
                  <c:v>82.50000000000027</c:v>
                </c:pt>
                <c:pt idx="551">
                  <c:v>82.650000000000276</c:v>
                </c:pt>
                <c:pt idx="552">
                  <c:v>82.800000000000281</c:v>
                </c:pt>
                <c:pt idx="553">
                  <c:v>82.950000000000287</c:v>
                </c:pt>
                <c:pt idx="554">
                  <c:v>83.100000000000293</c:v>
                </c:pt>
                <c:pt idx="555">
                  <c:v>83.250000000000298</c:v>
                </c:pt>
                <c:pt idx="556">
                  <c:v>83.400000000000304</c:v>
                </c:pt>
                <c:pt idx="557">
                  <c:v>83.55000000000031</c:v>
                </c:pt>
                <c:pt idx="558">
                  <c:v>83.700000000000315</c:v>
                </c:pt>
                <c:pt idx="559">
                  <c:v>83.850000000000321</c:v>
                </c:pt>
                <c:pt idx="560">
                  <c:v>84.000000000000327</c:v>
                </c:pt>
                <c:pt idx="561">
                  <c:v>84.150000000000333</c:v>
                </c:pt>
                <c:pt idx="562">
                  <c:v>84.300000000000338</c:v>
                </c:pt>
                <c:pt idx="563">
                  <c:v>84.450000000000344</c:v>
                </c:pt>
                <c:pt idx="564">
                  <c:v>84.60000000000035</c:v>
                </c:pt>
                <c:pt idx="565">
                  <c:v>84.750000000000355</c:v>
                </c:pt>
                <c:pt idx="566">
                  <c:v>84.900000000000361</c:v>
                </c:pt>
                <c:pt idx="567">
                  <c:v>85.050000000000367</c:v>
                </c:pt>
                <c:pt idx="568">
                  <c:v>85.200000000000372</c:v>
                </c:pt>
                <c:pt idx="569">
                  <c:v>85.350000000000378</c:v>
                </c:pt>
                <c:pt idx="570">
                  <c:v>85.500000000000384</c:v>
                </c:pt>
                <c:pt idx="571">
                  <c:v>85.650000000000389</c:v>
                </c:pt>
                <c:pt idx="572">
                  <c:v>85.800000000000395</c:v>
                </c:pt>
                <c:pt idx="573">
                  <c:v>85.950000000000401</c:v>
                </c:pt>
                <c:pt idx="574">
                  <c:v>86.100000000000406</c:v>
                </c:pt>
                <c:pt idx="575">
                  <c:v>86.250000000000412</c:v>
                </c:pt>
                <c:pt idx="576">
                  <c:v>86.400000000000418</c:v>
                </c:pt>
                <c:pt idx="577">
                  <c:v>86.550000000000423</c:v>
                </c:pt>
                <c:pt idx="578">
                  <c:v>86.700000000000429</c:v>
                </c:pt>
                <c:pt idx="579">
                  <c:v>86.850000000000435</c:v>
                </c:pt>
                <c:pt idx="580">
                  <c:v>87.000000000000441</c:v>
                </c:pt>
                <c:pt idx="581">
                  <c:v>87.150000000000446</c:v>
                </c:pt>
                <c:pt idx="582">
                  <c:v>87.300000000000452</c:v>
                </c:pt>
                <c:pt idx="583">
                  <c:v>87.450000000000458</c:v>
                </c:pt>
                <c:pt idx="584">
                  <c:v>87.600000000000463</c:v>
                </c:pt>
                <c:pt idx="585">
                  <c:v>87.750000000000469</c:v>
                </c:pt>
                <c:pt idx="586">
                  <c:v>87.900000000000475</c:v>
                </c:pt>
                <c:pt idx="587">
                  <c:v>88.05000000000048</c:v>
                </c:pt>
                <c:pt idx="588">
                  <c:v>88.200000000000486</c:v>
                </c:pt>
                <c:pt idx="589">
                  <c:v>88.350000000000492</c:v>
                </c:pt>
                <c:pt idx="590">
                  <c:v>88.500000000000497</c:v>
                </c:pt>
                <c:pt idx="591">
                  <c:v>88.650000000000503</c:v>
                </c:pt>
                <c:pt idx="592">
                  <c:v>88.800000000000509</c:v>
                </c:pt>
                <c:pt idx="593">
                  <c:v>88.950000000000514</c:v>
                </c:pt>
                <c:pt idx="594">
                  <c:v>89.10000000000052</c:v>
                </c:pt>
                <c:pt idx="595">
                  <c:v>89.250000000000526</c:v>
                </c:pt>
                <c:pt idx="596">
                  <c:v>89.400000000000531</c:v>
                </c:pt>
                <c:pt idx="597">
                  <c:v>89.550000000000537</c:v>
                </c:pt>
                <c:pt idx="598">
                  <c:v>89.700000000000543</c:v>
                </c:pt>
                <c:pt idx="599">
                  <c:v>89.850000000000549</c:v>
                </c:pt>
                <c:pt idx="600">
                  <c:v>90.000000000000554</c:v>
                </c:pt>
                <c:pt idx="601">
                  <c:v>90.15000000000056</c:v>
                </c:pt>
                <c:pt idx="602">
                  <c:v>90.300000000000566</c:v>
                </c:pt>
                <c:pt idx="603">
                  <c:v>90.450000000000571</c:v>
                </c:pt>
                <c:pt idx="604">
                  <c:v>90.600000000000577</c:v>
                </c:pt>
                <c:pt idx="605">
                  <c:v>90.750000000000583</c:v>
                </c:pt>
                <c:pt idx="606">
                  <c:v>90.900000000000588</c:v>
                </c:pt>
                <c:pt idx="607">
                  <c:v>91.050000000000594</c:v>
                </c:pt>
                <c:pt idx="608">
                  <c:v>91.2000000000006</c:v>
                </c:pt>
                <c:pt idx="609">
                  <c:v>91.350000000000605</c:v>
                </c:pt>
                <c:pt idx="610">
                  <c:v>91.500000000000611</c:v>
                </c:pt>
                <c:pt idx="611">
                  <c:v>91.650000000000617</c:v>
                </c:pt>
                <c:pt idx="612">
                  <c:v>91.800000000000622</c:v>
                </c:pt>
                <c:pt idx="613">
                  <c:v>91.950000000000628</c:v>
                </c:pt>
                <c:pt idx="614">
                  <c:v>92.100000000000634</c:v>
                </c:pt>
                <c:pt idx="615">
                  <c:v>92.250000000000639</c:v>
                </c:pt>
                <c:pt idx="616">
                  <c:v>92.400000000000645</c:v>
                </c:pt>
                <c:pt idx="617">
                  <c:v>92.550000000000651</c:v>
                </c:pt>
                <c:pt idx="618">
                  <c:v>92.700000000000657</c:v>
                </c:pt>
                <c:pt idx="619">
                  <c:v>92.850000000000662</c:v>
                </c:pt>
                <c:pt idx="620">
                  <c:v>93.000000000000668</c:v>
                </c:pt>
                <c:pt idx="621">
                  <c:v>93.150000000000674</c:v>
                </c:pt>
                <c:pt idx="622">
                  <c:v>93.300000000000679</c:v>
                </c:pt>
                <c:pt idx="623">
                  <c:v>93.450000000000685</c:v>
                </c:pt>
                <c:pt idx="624">
                  <c:v>93.600000000000691</c:v>
                </c:pt>
                <c:pt idx="625">
                  <c:v>93.750000000000696</c:v>
                </c:pt>
                <c:pt idx="626">
                  <c:v>93.900000000000702</c:v>
                </c:pt>
                <c:pt idx="627">
                  <c:v>94.050000000000708</c:v>
                </c:pt>
                <c:pt idx="628">
                  <c:v>94.200000000000713</c:v>
                </c:pt>
                <c:pt idx="629">
                  <c:v>94.350000000000719</c:v>
                </c:pt>
                <c:pt idx="630">
                  <c:v>94.500000000000725</c:v>
                </c:pt>
                <c:pt idx="631">
                  <c:v>94.65000000000073</c:v>
                </c:pt>
                <c:pt idx="632">
                  <c:v>94.800000000000736</c:v>
                </c:pt>
                <c:pt idx="633">
                  <c:v>94.950000000000742</c:v>
                </c:pt>
                <c:pt idx="634">
                  <c:v>95.100000000000747</c:v>
                </c:pt>
                <c:pt idx="635">
                  <c:v>95.250000000000753</c:v>
                </c:pt>
                <c:pt idx="636">
                  <c:v>95.400000000000759</c:v>
                </c:pt>
                <c:pt idx="637">
                  <c:v>95.550000000000765</c:v>
                </c:pt>
                <c:pt idx="638">
                  <c:v>95.70000000000077</c:v>
                </c:pt>
                <c:pt idx="639">
                  <c:v>95.850000000000776</c:v>
                </c:pt>
                <c:pt idx="640">
                  <c:v>96.000000000000782</c:v>
                </c:pt>
                <c:pt idx="641">
                  <c:v>96.150000000000787</c:v>
                </c:pt>
                <c:pt idx="642">
                  <c:v>96.300000000000793</c:v>
                </c:pt>
                <c:pt idx="643">
                  <c:v>96.450000000000799</c:v>
                </c:pt>
                <c:pt idx="644">
                  <c:v>96.600000000000804</c:v>
                </c:pt>
                <c:pt idx="645">
                  <c:v>96.75000000000081</c:v>
                </c:pt>
                <c:pt idx="646">
                  <c:v>96.900000000000816</c:v>
                </c:pt>
                <c:pt idx="647">
                  <c:v>97.050000000000821</c:v>
                </c:pt>
                <c:pt idx="648">
                  <c:v>97.200000000000827</c:v>
                </c:pt>
                <c:pt idx="649">
                  <c:v>97.350000000000833</c:v>
                </c:pt>
                <c:pt idx="650">
                  <c:v>97.500000000000838</c:v>
                </c:pt>
                <c:pt idx="651">
                  <c:v>97.650000000000844</c:v>
                </c:pt>
                <c:pt idx="652">
                  <c:v>97.80000000000085</c:v>
                </c:pt>
                <c:pt idx="653">
                  <c:v>97.950000000000855</c:v>
                </c:pt>
                <c:pt idx="654">
                  <c:v>98.100000000000861</c:v>
                </c:pt>
                <c:pt idx="655">
                  <c:v>98.250000000000867</c:v>
                </c:pt>
                <c:pt idx="656">
                  <c:v>98.400000000000873</c:v>
                </c:pt>
                <c:pt idx="657">
                  <c:v>98.550000000000878</c:v>
                </c:pt>
                <c:pt idx="658">
                  <c:v>98.700000000000884</c:v>
                </c:pt>
                <c:pt idx="659">
                  <c:v>98.85000000000089</c:v>
                </c:pt>
                <c:pt idx="660">
                  <c:v>99.000000000000895</c:v>
                </c:pt>
                <c:pt idx="661">
                  <c:v>99.150000000000901</c:v>
                </c:pt>
                <c:pt idx="662">
                  <c:v>99.300000000000907</c:v>
                </c:pt>
                <c:pt idx="663">
                  <c:v>99.450000000000912</c:v>
                </c:pt>
                <c:pt idx="664">
                  <c:v>99.600000000000918</c:v>
                </c:pt>
                <c:pt idx="665">
                  <c:v>99.750000000000924</c:v>
                </c:pt>
                <c:pt idx="666">
                  <c:v>99.900000000000929</c:v>
                </c:pt>
                <c:pt idx="667">
                  <c:v>100.05000000000094</c:v>
                </c:pt>
                <c:pt idx="668">
                  <c:v>100.20000000000094</c:v>
                </c:pt>
                <c:pt idx="669">
                  <c:v>100.35000000000095</c:v>
                </c:pt>
                <c:pt idx="670">
                  <c:v>100.50000000000095</c:v>
                </c:pt>
                <c:pt idx="671">
                  <c:v>100.65000000000096</c:v>
                </c:pt>
                <c:pt idx="672">
                  <c:v>100.80000000000096</c:v>
                </c:pt>
                <c:pt idx="673">
                  <c:v>100.95000000000097</c:v>
                </c:pt>
                <c:pt idx="674">
                  <c:v>101.10000000000097</c:v>
                </c:pt>
                <c:pt idx="675">
                  <c:v>101.25000000000098</c:v>
                </c:pt>
                <c:pt idx="676">
                  <c:v>101.40000000000099</c:v>
                </c:pt>
                <c:pt idx="677">
                  <c:v>101.55000000000099</c:v>
                </c:pt>
                <c:pt idx="678">
                  <c:v>101.700000000001</c:v>
                </c:pt>
                <c:pt idx="679">
                  <c:v>101.850000000001</c:v>
                </c:pt>
                <c:pt idx="680">
                  <c:v>102.00000000000101</c:v>
                </c:pt>
                <c:pt idx="681">
                  <c:v>102.15000000000101</c:v>
                </c:pt>
                <c:pt idx="682">
                  <c:v>102.30000000000102</c:v>
                </c:pt>
                <c:pt idx="683">
                  <c:v>102.45000000000103</c:v>
                </c:pt>
                <c:pt idx="684">
                  <c:v>102.60000000000103</c:v>
                </c:pt>
                <c:pt idx="685">
                  <c:v>102.75000000000104</c:v>
                </c:pt>
                <c:pt idx="686">
                  <c:v>102.90000000000104</c:v>
                </c:pt>
                <c:pt idx="687">
                  <c:v>103.05000000000105</c:v>
                </c:pt>
                <c:pt idx="688">
                  <c:v>103.20000000000105</c:v>
                </c:pt>
                <c:pt idx="689">
                  <c:v>103.35000000000106</c:v>
                </c:pt>
                <c:pt idx="690">
                  <c:v>103.50000000000107</c:v>
                </c:pt>
                <c:pt idx="691">
                  <c:v>103.65000000000107</c:v>
                </c:pt>
                <c:pt idx="692">
                  <c:v>103.80000000000108</c:v>
                </c:pt>
                <c:pt idx="693">
                  <c:v>103.95000000000108</c:v>
                </c:pt>
                <c:pt idx="694">
                  <c:v>104.10000000000109</c:v>
                </c:pt>
                <c:pt idx="695">
                  <c:v>104.25000000000109</c:v>
                </c:pt>
                <c:pt idx="696">
                  <c:v>104.4000000000011</c:v>
                </c:pt>
                <c:pt idx="697">
                  <c:v>104.55000000000111</c:v>
                </c:pt>
                <c:pt idx="698">
                  <c:v>104.70000000000111</c:v>
                </c:pt>
                <c:pt idx="699">
                  <c:v>104.85000000000112</c:v>
                </c:pt>
                <c:pt idx="700">
                  <c:v>105.00000000000112</c:v>
                </c:pt>
                <c:pt idx="701">
                  <c:v>105.15000000000113</c:v>
                </c:pt>
                <c:pt idx="702">
                  <c:v>105.30000000000113</c:v>
                </c:pt>
                <c:pt idx="703">
                  <c:v>105.45000000000114</c:v>
                </c:pt>
                <c:pt idx="704">
                  <c:v>105.60000000000115</c:v>
                </c:pt>
                <c:pt idx="705">
                  <c:v>105.75000000000115</c:v>
                </c:pt>
                <c:pt idx="706">
                  <c:v>105.90000000000116</c:v>
                </c:pt>
                <c:pt idx="707">
                  <c:v>106.05000000000116</c:v>
                </c:pt>
                <c:pt idx="708">
                  <c:v>106.20000000000117</c:v>
                </c:pt>
                <c:pt idx="709">
                  <c:v>106.35000000000117</c:v>
                </c:pt>
                <c:pt idx="710">
                  <c:v>106.50000000000118</c:v>
                </c:pt>
                <c:pt idx="711">
                  <c:v>106.65000000000119</c:v>
                </c:pt>
                <c:pt idx="712">
                  <c:v>106.80000000000119</c:v>
                </c:pt>
                <c:pt idx="713">
                  <c:v>106.9500000000012</c:v>
                </c:pt>
                <c:pt idx="714">
                  <c:v>107.1000000000012</c:v>
                </c:pt>
                <c:pt idx="715">
                  <c:v>107.25000000000121</c:v>
                </c:pt>
                <c:pt idx="716">
                  <c:v>107.40000000000121</c:v>
                </c:pt>
                <c:pt idx="717">
                  <c:v>107.55000000000122</c:v>
                </c:pt>
                <c:pt idx="718">
                  <c:v>107.70000000000122</c:v>
                </c:pt>
                <c:pt idx="719">
                  <c:v>107.85000000000123</c:v>
                </c:pt>
                <c:pt idx="720">
                  <c:v>108.00000000000124</c:v>
                </c:pt>
                <c:pt idx="721">
                  <c:v>108.15000000000124</c:v>
                </c:pt>
                <c:pt idx="722">
                  <c:v>108.30000000000125</c:v>
                </c:pt>
                <c:pt idx="723">
                  <c:v>108.45000000000125</c:v>
                </c:pt>
                <c:pt idx="724">
                  <c:v>108.60000000000126</c:v>
                </c:pt>
                <c:pt idx="725">
                  <c:v>108.75000000000126</c:v>
                </c:pt>
                <c:pt idx="726">
                  <c:v>108.90000000000127</c:v>
                </c:pt>
                <c:pt idx="727">
                  <c:v>109.05000000000128</c:v>
                </c:pt>
                <c:pt idx="728">
                  <c:v>109.20000000000128</c:v>
                </c:pt>
                <c:pt idx="729">
                  <c:v>109.35000000000129</c:v>
                </c:pt>
                <c:pt idx="730">
                  <c:v>109.50000000000129</c:v>
                </c:pt>
                <c:pt idx="731">
                  <c:v>109.6500000000013</c:v>
                </c:pt>
                <c:pt idx="732">
                  <c:v>109.8000000000013</c:v>
                </c:pt>
                <c:pt idx="733">
                  <c:v>109.95000000000131</c:v>
                </c:pt>
                <c:pt idx="734">
                  <c:v>110.10000000000132</c:v>
                </c:pt>
                <c:pt idx="735">
                  <c:v>110.25000000000132</c:v>
                </c:pt>
                <c:pt idx="736">
                  <c:v>110.40000000000133</c:v>
                </c:pt>
                <c:pt idx="737">
                  <c:v>110.55000000000133</c:v>
                </c:pt>
                <c:pt idx="738">
                  <c:v>110.70000000000134</c:v>
                </c:pt>
                <c:pt idx="739">
                  <c:v>110.85000000000134</c:v>
                </c:pt>
                <c:pt idx="740">
                  <c:v>111.00000000000135</c:v>
                </c:pt>
                <c:pt idx="741">
                  <c:v>111.15000000000136</c:v>
                </c:pt>
                <c:pt idx="742">
                  <c:v>111.30000000000136</c:v>
                </c:pt>
                <c:pt idx="743">
                  <c:v>111.45000000000137</c:v>
                </c:pt>
                <c:pt idx="744">
                  <c:v>111.60000000000137</c:v>
                </c:pt>
                <c:pt idx="745">
                  <c:v>111.75000000000138</c:v>
                </c:pt>
                <c:pt idx="746">
                  <c:v>111.90000000000138</c:v>
                </c:pt>
                <c:pt idx="747">
                  <c:v>112.05000000000139</c:v>
                </c:pt>
                <c:pt idx="748">
                  <c:v>112.2000000000014</c:v>
                </c:pt>
                <c:pt idx="749">
                  <c:v>112.3500000000014</c:v>
                </c:pt>
                <c:pt idx="750">
                  <c:v>112.50000000000141</c:v>
                </c:pt>
                <c:pt idx="751">
                  <c:v>112.65000000000141</c:v>
                </c:pt>
                <c:pt idx="752">
                  <c:v>112.80000000000142</c:v>
                </c:pt>
                <c:pt idx="753">
                  <c:v>112.95000000000142</c:v>
                </c:pt>
                <c:pt idx="754">
                  <c:v>113.10000000000143</c:v>
                </c:pt>
                <c:pt idx="755">
                  <c:v>113.25000000000144</c:v>
                </c:pt>
                <c:pt idx="756">
                  <c:v>113.40000000000144</c:v>
                </c:pt>
                <c:pt idx="757">
                  <c:v>113.55000000000145</c:v>
                </c:pt>
                <c:pt idx="758">
                  <c:v>113.70000000000145</c:v>
                </c:pt>
                <c:pt idx="759">
                  <c:v>113.85000000000146</c:v>
                </c:pt>
                <c:pt idx="760">
                  <c:v>114.00000000000146</c:v>
                </c:pt>
                <c:pt idx="761">
                  <c:v>114.15000000000147</c:v>
                </c:pt>
                <c:pt idx="762">
                  <c:v>114.30000000000148</c:v>
                </c:pt>
                <c:pt idx="763">
                  <c:v>114.45000000000148</c:v>
                </c:pt>
                <c:pt idx="764">
                  <c:v>114.60000000000149</c:v>
                </c:pt>
                <c:pt idx="765">
                  <c:v>114.75000000000149</c:v>
                </c:pt>
                <c:pt idx="766">
                  <c:v>114.9000000000015</c:v>
                </c:pt>
                <c:pt idx="767">
                  <c:v>115.0500000000015</c:v>
                </c:pt>
                <c:pt idx="768">
                  <c:v>115.20000000000151</c:v>
                </c:pt>
                <c:pt idx="769">
                  <c:v>115.35000000000151</c:v>
                </c:pt>
                <c:pt idx="770">
                  <c:v>115.50000000000152</c:v>
                </c:pt>
                <c:pt idx="771">
                  <c:v>115.65000000000153</c:v>
                </c:pt>
                <c:pt idx="772">
                  <c:v>115.80000000000153</c:v>
                </c:pt>
                <c:pt idx="773">
                  <c:v>115.95000000000154</c:v>
                </c:pt>
                <c:pt idx="774">
                  <c:v>116.10000000000154</c:v>
                </c:pt>
                <c:pt idx="775">
                  <c:v>116.25000000000155</c:v>
                </c:pt>
                <c:pt idx="776">
                  <c:v>116.40000000000155</c:v>
                </c:pt>
                <c:pt idx="777">
                  <c:v>116.55000000000156</c:v>
                </c:pt>
                <c:pt idx="778">
                  <c:v>116.70000000000157</c:v>
                </c:pt>
                <c:pt idx="779">
                  <c:v>116.85000000000157</c:v>
                </c:pt>
                <c:pt idx="780">
                  <c:v>117.00000000000158</c:v>
                </c:pt>
                <c:pt idx="781">
                  <c:v>117.15000000000158</c:v>
                </c:pt>
                <c:pt idx="782">
                  <c:v>117.30000000000159</c:v>
                </c:pt>
                <c:pt idx="783">
                  <c:v>117.45000000000159</c:v>
                </c:pt>
                <c:pt idx="784">
                  <c:v>117.6000000000016</c:v>
                </c:pt>
                <c:pt idx="785">
                  <c:v>117.75000000000161</c:v>
                </c:pt>
                <c:pt idx="786">
                  <c:v>117.90000000000161</c:v>
                </c:pt>
                <c:pt idx="787">
                  <c:v>118.05000000000162</c:v>
                </c:pt>
                <c:pt idx="788">
                  <c:v>118.20000000000162</c:v>
                </c:pt>
                <c:pt idx="789">
                  <c:v>118.35000000000163</c:v>
                </c:pt>
                <c:pt idx="790">
                  <c:v>118.50000000000163</c:v>
                </c:pt>
                <c:pt idx="791">
                  <c:v>118.65000000000164</c:v>
                </c:pt>
                <c:pt idx="792">
                  <c:v>118.80000000000165</c:v>
                </c:pt>
                <c:pt idx="793">
                  <c:v>118.95000000000165</c:v>
                </c:pt>
                <c:pt idx="794">
                  <c:v>119.10000000000166</c:v>
                </c:pt>
                <c:pt idx="795">
                  <c:v>119.25000000000166</c:v>
                </c:pt>
                <c:pt idx="796">
                  <c:v>119.40000000000167</c:v>
                </c:pt>
                <c:pt idx="797">
                  <c:v>119.55000000000167</c:v>
                </c:pt>
                <c:pt idx="798">
                  <c:v>119.70000000000168</c:v>
                </c:pt>
                <c:pt idx="799">
                  <c:v>119.85000000000169</c:v>
                </c:pt>
                <c:pt idx="800">
                  <c:v>120.00000000000169</c:v>
                </c:pt>
                <c:pt idx="801">
                  <c:v>120.1500000000017</c:v>
                </c:pt>
                <c:pt idx="802">
                  <c:v>120.3000000000017</c:v>
                </c:pt>
                <c:pt idx="803">
                  <c:v>120.45000000000171</c:v>
                </c:pt>
                <c:pt idx="804">
                  <c:v>120.60000000000171</c:v>
                </c:pt>
                <c:pt idx="805">
                  <c:v>120.75000000000172</c:v>
                </c:pt>
                <c:pt idx="806">
                  <c:v>120.90000000000173</c:v>
                </c:pt>
                <c:pt idx="807">
                  <c:v>121.05000000000173</c:v>
                </c:pt>
                <c:pt idx="808">
                  <c:v>121.20000000000174</c:v>
                </c:pt>
                <c:pt idx="809">
                  <c:v>121.35000000000174</c:v>
                </c:pt>
                <c:pt idx="810">
                  <c:v>121.50000000000175</c:v>
                </c:pt>
                <c:pt idx="811">
                  <c:v>121.65000000000175</c:v>
                </c:pt>
                <c:pt idx="812">
                  <c:v>121.80000000000176</c:v>
                </c:pt>
                <c:pt idx="813">
                  <c:v>121.95000000000176</c:v>
                </c:pt>
                <c:pt idx="814">
                  <c:v>122.10000000000177</c:v>
                </c:pt>
                <c:pt idx="815">
                  <c:v>122.25000000000178</c:v>
                </c:pt>
                <c:pt idx="816">
                  <c:v>122.40000000000178</c:v>
                </c:pt>
                <c:pt idx="817">
                  <c:v>122.55000000000179</c:v>
                </c:pt>
                <c:pt idx="818">
                  <c:v>122.70000000000179</c:v>
                </c:pt>
                <c:pt idx="819">
                  <c:v>122.8500000000018</c:v>
                </c:pt>
                <c:pt idx="820">
                  <c:v>123.0000000000018</c:v>
                </c:pt>
                <c:pt idx="821">
                  <c:v>123.15000000000181</c:v>
                </c:pt>
                <c:pt idx="822">
                  <c:v>123.30000000000182</c:v>
                </c:pt>
                <c:pt idx="823">
                  <c:v>123.45000000000182</c:v>
                </c:pt>
                <c:pt idx="824">
                  <c:v>123.60000000000183</c:v>
                </c:pt>
                <c:pt idx="825">
                  <c:v>123.75000000000183</c:v>
                </c:pt>
                <c:pt idx="826">
                  <c:v>123.90000000000184</c:v>
                </c:pt>
                <c:pt idx="827">
                  <c:v>124.05000000000184</c:v>
                </c:pt>
                <c:pt idx="828">
                  <c:v>124.20000000000185</c:v>
                </c:pt>
                <c:pt idx="829">
                  <c:v>124.35000000000186</c:v>
                </c:pt>
                <c:pt idx="830">
                  <c:v>124.50000000000186</c:v>
                </c:pt>
                <c:pt idx="831">
                  <c:v>124.65000000000187</c:v>
                </c:pt>
                <c:pt idx="832">
                  <c:v>124.80000000000187</c:v>
                </c:pt>
                <c:pt idx="833">
                  <c:v>124.95000000000188</c:v>
                </c:pt>
                <c:pt idx="834">
                  <c:v>125.10000000000188</c:v>
                </c:pt>
                <c:pt idx="835">
                  <c:v>125.25000000000189</c:v>
                </c:pt>
                <c:pt idx="836">
                  <c:v>125.4000000000019</c:v>
                </c:pt>
                <c:pt idx="837">
                  <c:v>125.5500000000019</c:v>
                </c:pt>
                <c:pt idx="838">
                  <c:v>125.70000000000191</c:v>
                </c:pt>
                <c:pt idx="839">
                  <c:v>125.85000000000191</c:v>
                </c:pt>
                <c:pt idx="840">
                  <c:v>126.00000000000192</c:v>
                </c:pt>
                <c:pt idx="841">
                  <c:v>126.15000000000192</c:v>
                </c:pt>
                <c:pt idx="842">
                  <c:v>126.30000000000193</c:v>
                </c:pt>
                <c:pt idx="843">
                  <c:v>126.45000000000194</c:v>
                </c:pt>
                <c:pt idx="844">
                  <c:v>126.60000000000194</c:v>
                </c:pt>
                <c:pt idx="845">
                  <c:v>126.75000000000195</c:v>
                </c:pt>
                <c:pt idx="846">
                  <c:v>126.90000000000195</c:v>
                </c:pt>
                <c:pt idx="847">
                  <c:v>127.05000000000196</c:v>
                </c:pt>
                <c:pt idx="848">
                  <c:v>127.20000000000196</c:v>
                </c:pt>
                <c:pt idx="849">
                  <c:v>127.35000000000197</c:v>
                </c:pt>
                <c:pt idx="850">
                  <c:v>127.50000000000198</c:v>
                </c:pt>
                <c:pt idx="851">
                  <c:v>127.65000000000198</c:v>
                </c:pt>
                <c:pt idx="852">
                  <c:v>127.80000000000199</c:v>
                </c:pt>
                <c:pt idx="853">
                  <c:v>127.95000000000199</c:v>
                </c:pt>
                <c:pt idx="854">
                  <c:v>128.10000000000198</c:v>
                </c:pt>
                <c:pt idx="855">
                  <c:v>128.25000000000199</c:v>
                </c:pt>
                <c:pt idx="856">
                  <c:v>128.400000000002</c:v>
                </c:pt>
                <c:pt idx="857">
                  <c:v>128.550000000002</c:v>
                </c:pt>
                <c:pt idx="858">
                  <c:v>128.70000000000201</c:v>
                </c:pt>
                <c:pt idx="859">
                  <c:v>128.85000000000201</c:v>
                </c:pt>
                <c:pt idx="860">
                  <c:v>129.00000000000202</c:v>
                </c:pt>
                <c:pt idx="861">
                  <c:v>129.15000000000202</c:v>
                </c:pt>
                <c:pt idx="862">
                  <c:v>129.30000000000203</c:v>
                </c:pt>
                <c:pt idx="863">
                  <c:v>129.45000000000203</c:v>
                </c:pt>
                <c:pt idx="864">
                  <c:v>129.60000000000204</c:v>
                </c:pt>
                <c:pt idx="865">
                  <c:v>129.75000000000205</c:v>
                </c:pt>
                <c:pt idx="866">
                  <c:v>129.90000000000205</c:v>
                </c:pt>
                <c:pt idx="867">
                  <c:v>130.05000000000206</c:v>
                </c:pt>
                <c:pt idx="868">
                  <c:v>130.20000000000206</c:v>
                </c:pt>
                <c:pt idx="869">
                  <c:v>130.35000000000207</c:v>
                </c:pt>
                <c:pt idx="870">
                  <c:v>130.50000000000207</c:v>
                </c:pt>
                <c:pt idx="871">
                  <c:v>130.65000000000208</c:v>
                </c:pt>
                <c:pt idx="872">
                  <c:v>130.80000000000209</c:v>
                </c:pt>
                <c:pt idx="873">
                  <c:v>130.95000000000209</c:v>
                </c:pt>
                <c:pt idx="874">
                  <c:v>131.1000000000021</c:v>
                </c:pt>
                <c:pt idx="875">
                  <c:v>131.2500000000021</c:v>
                </c:pt>
                <c:pt idx="876">
                  <c:v>131.40000000000211</c:v>
                </c:pt>
                <c:pt idx="877">
                  <c:v>131.55000000000211</c:v>
                </c:pt>
                <c:pt idx="878">
                  <c:v>131.70000000000212</c:v>
                </c:pt>
                <c:pt idx="879">
                  <c:v>131.85000000000213</c:v>
                </c:pt>
                <c:pt idx="880">
                  <c:v>132.00000000000213</c:v>
                </c:pt>
                <c:pt idx="881">
                  <c:v>132.15000000000214</c:v>
                </c:pt>
                <c:pt idx="882">
                  <c:v>132.30000000000214</c:v>
                </c:pt>
                <c:pt idx="883">
                  <c:v>132.45000000000215</c:v>
                </c:pt>
                <c:pt idx="884">
                  <c:v>132.60000000000215</c:v>
                </c:pt>
                <c:pt idx="885">
                  <c:v>132.75000000000216</c:v>
                </c:pt>
                <c:pt idx="886">
                  <c:v>132.90000000000217</c:v>
                </c:pt>
                <c:pt idx="887">
                  <c:v>133.05000000000217</c:v>
                </c:pt>
                <c:pt idx="888">
                  <c:v>133.20000000000218</c:v>
                </c:pt>
                <c:pt idx="889">
                  <c:v>133.35000000000218</c:v>
                </c:pt>
                <c:pt idx="890">
                  <c:v>133.50000000000219</c:v>
                </c:pt>
                <c:pt idx="891">
                  <c:v>133.65000000000219</c:v>
                </c:pt>
                <c:pt idx="892">
                  <c:v>133.8000000000022</c:v>
                </c:pt>
                <c:pt idx="893">
                  <c:v>133.95000000000221</c:v>
                </c:pt>
                <c:pt idx="894">
                  <c:v>134.10000000000221</c:v>
                </c:pt>
                <c:pt idx="895">
                  <c:v>134.25000000000222</c:v>
                </c:pt>
                <c:pt idx="896">
                  <c:v>134.40000000000222</c:v>
                </c:pt>
                <c:pt idx="897">
                  <c:v>134.55000000000223</c:v>
                </c:pt>
                <c:pt idx="898">
                  <c:v>134.70000000000223</c:v>
                </c:pt>
                <c:pt idx="899">
                  <c:v>134.85000000000224</c:v>
                </c:pt>
                <c:pt idx="900">
                  <c:v>135.00000000000225</c:v>
                </c:pt>
                <c:pt idx="901">
                  <c:v>135.15000000000225</c:v>
                </c:pt>
                <c:pt idx="902">
                  <c:v>135.30000000000226</c:v>
                </c:pt>
                <c:pt idx="903">
                  <c:v>135.45000000000226</c:v>
                </c:pt>
                <c:pt idx="904">
                  <c:v>135.60000000000227</c:v>
                </c:pt>
                <c:pt idx="905">
                  <c:v>135.75000000000227</c:v>
                </c:pt>
                <c:pt idx="906">
                  <c:v>135.90000000000228</c:v>
                </c:pt>
                <c:pt idx="907">
                  <c:v>136.05000000000229</c:v>
                </c:pt>
                <c:pt idx="908">
                  <c:v>136.20000000000229</c:v>
                </c:pt>
                <c:pt idx="909">
                  <c:v>136.3500000000023</c:v>
                </c:pt>
                <c:pt idx="910">
                  <c:v>136.5000000000023</c:v>
                </c:pt>
                <c:pt idx="911">
                  <c:v>136.65000000000231</c:v>
                </c:pt>
                <c:pt idx="912">
                  <c:v>136.80000000000231</c:v>
                </c:pt>
                <c:pt idx="913">
                  <c:v>136.95000000000232</c:v>
                </c:pt>
                <c:pt idx="914">
                  <c:v>137.10000000000232</c:v>
                </c:pt>
                <c:pt idx="915">
                  <c:v>137.25000000000233</c:v>
                </c:pt>
                <c:pt idx="916">
                  <c:v>137.40000000000234</c:v>
                </c:pt>
                <c:pt idx="917">
                  <c:v>137.55000000000234</c:v>
                </c:pt>
                <c:pt idx="918">
                  <c:v>137.70000000000235</c:v>
                </c:pt>
                <c:pt idx="919">
                  <c:v>137.85000000000235</c:v>
                </c:pt>
                <c:pt idx="920">
                  <c:v>138.00000000000236</c:v>
                </c:pt>
                <c:pt idx="921">
                  <c:v>138.15000000000236</c:v>
                </c:pt>
                <c:pt idx="922">
                  <c:v>138.30000000000237</c:v>
                </c:pt>
                <c:pt idx="923">
                  <c:v>138.45000000000238</c:v>
                </c:pt>
                <c:pt idx="924">
                  <c:v>138.60000000000238</c:v>
                </c:pt>
                <c:pt idx="925">
                  <c:v>138.75000000000239</c:v>
                </c:pt>
                <c:pt idx="926">
                  <c:v>138.90000000000239</c:v>
                </c:pt>
                <c:pt idx="927">
                  <c:v>139.0500000000024</c:v>
                </c:pt>
                <c:pt idx="928">
                  <c:v>139.2000000000024</c:v>
                </c:pt>
                <c:pt idx="929">
                  <c:v>139.35000000000241</c:v>
                </c:pt>
                <c:pt idx="930">
                  <c:v>139.50000000000242</c:v>
                </c:pt>
                <c:pt idx="931">
                  <c:v>139.65000000000242</c:v>
                </c:pt>
                <c:pt idx="932">
                  <c:v>139.80000000000243</c:v>
                </c:pt>
                <c:pt idx="933">
                  <c:v>139.95000000000243</c:v>
                </c:pt>
                <c:pt idx="934">
                  <c:v>140.10000000000244</c:v>
                </c:pt>
                <c:pt idx="935">
                  <c:v>140.25000000000244</c:v>
                </c:pt>
                <c:pt idx="936">
                  <c:v>140.40000000000245</c:v>
                </c:pt>
                <c:pt idx="937">
                  <c:v>140.55000000000246</c:v>
                </c:pt>
                <c:pt idx="938">
                  <c:v>140.70000000000246</c:v>
                </c:pt>
                <c:pt idx="939">
                  <c:v>140.85000000000247</c:v>
                </c:pt>
                <c:pt idx="940">
                  <c:v>141.00000000000247</c:v>
                </c:pt>
                <c:pt idx="941">
                  <c:v>141.15000000000248</c:v>
                </c:pt>
                <c:pt idx="942">
                  <c:v>141.30000000000248</c:v>
                </c:pt>
                <c:pt idx="943">
                  <c:v>141.45000000000249</c:v>
                </c:pt>
                <c:pt idx="944">
                  <c:v>141.6000000000025</c:v>
                </c:pt>
                <c:pt idx="945">
                  <c:v>141.7500000000025</c:v>
                </c:pt>
                <c:pt idx="946">
                  <c:v>141.90000000000251</c:v>
                </c:pt>
                <c:pt idx="947">
                  <c:v>142.05000000000251</c:v>
                </c:pt>
                <c:pt idx="948">
                  <c:v>142.20000000000252</c:v>
                </c:pt>
                <c:pt idx="949">
                  <c:v>142.35000000000252</c:v>
                </c:pt>
                <c:pt idx="950">
                  <c:v>142.50000000000253</c:v>
                </c:pt>
                <c:pt idx="951">
                  <c:v>142.65000000000254</c:v>
                </c:pt>
                <c:pt idx="952">
                  <c:v>142.80000000000254</c:v>
                </c:pt>
                <c:pt idx="953">
                  <c:v>142.95000000000255</c:v>
                </c:pt>
                <c:pt idx="954">
                  <c:v>143.10000000000255</c:v>
                </c:pt>
                <c:pt idx="955">
                  <c:v>143.25000000000256</c:v>
                </c:pt>
                <c:pt idx="956">
                  <c:v>143.40000000000256</c:v>
                </c:pt>
                <c:pt idx="957">
                  <c:v>143.55000000000257</c:v>
                </c:pt>
                <c:pt idx="958">
                  <c:v>143.70000000000258</c:v>
                </c:pt>
                <c:pt idx="959">
                  <c:v>143.85000000000258</c:v>
                </c:pt>
                <c:pt idx="960">
                  <c:v>144.00000000000259</c:v>
                </c:pt>
                <c:pt idx="961">
                  <c:v>144.15000000000259</c:v>
                </c:pt>
                <c:pt idx="962">
                  <c:v>144.3000000000026</c:v>
                </c:pt>
                <c:pt idx="963">
                  <c:v>144.4500000000026</c:v>
                </c:pt>
                <c:pt idx="964">
                  <c:v>144.60000000000261</c:v>
                </c:pt>
                <c:pt idx="965">
                  <c:v>144.75000000000261</c:v>
                </c:pt>
                <c:pt idx="966">
                  <c:v>144.90000000000262</c:v>
                </c:pt>
                <c:pt idx="967">
                  <c:v>145.05000000000263</c:v>
                </c:pt>
                <c:pt idx="968">
                  <c:v>145.20000000000263</c:v>
                </c:pt>
                <c:pt idx="969">
                  <c:v>145.35000000000264</c:v>
                </c:pt>
                <c:pt idx="970">
                  <c:v>145.50000000000264</c:v>
                </c:pt>
                <c:pt idx="971">
                  <c:v>145.65000000000265</c:v>
                </c:pt>
                <c:pt idx="972">
                  <c:v>145.80000000000265</c:v>
                </c:pt>
                <c:pt idx="973">
                  <c:v>145.95000000000266</c:v>
                </c:pt>
                <c:pt idx="974">
                  <c:v>146.10000000000267</c:v>
                </c:pt>
                <c:pt idx="975">
                  <c:v>146.25000000000267</c:v>
                </c:pt>
                <c:pt idx="976">
                  <c:v>146.40000000000268</c:v>
                </c:pt>
                <c:pt idx="977">
                  <c:v>146.55000000000268</c:v>
                </c:pt>
                <c:pt idx="978">
                  <c:v>146.70000000000269</c:v>
                </c:pt>
                <c:pt idx="979">
                  <c:v>146.85000000000269</c:v>
                </c:pt>
                <c:pt idx="980">
                  <c:v>147.0000000000027</c:v>
                </c:pt>
                <c:pt idx="981">
                  <c:v>147.15000000000271</c:v>
                </c:pt>
                <c:pt idx="982">
                  <c:v>147.30000000000271</c:v>
                </c:pt>
                <c:pt idx="983">
                  <c:v>147.45000000000272</c:v>
                </c:pt>
                <c:pt idx="984">
                  <c:v>147.60000000000272</c:v>
                </c:pt>
                <c:pt idx="985">
                  <c:v>147.75000000000273</c:v>
                </c:pt>
                <c:pt idx="986">
                  <c:v>147.90000000000273</c:v>
                </c:pt>
                <c:pt idx="987">
                  <c:v>148.05000000000274</c:v>
                </c:pt>
                <c:pt idx="988">
                  <c:v>148.20000000000275</c:v>
                </c:pt>
                <c:pt idx="989">
                  <c:v>148.35000000000275</c:v>
                </c:pt>
                <c:pt idx="990">
                  <c:v>148.50000000000276</c:v>
                </c:pt>
                <c:pt idx="991">
                  <c:v>148.65000000000276</c:v>
                </c:pt>
                <c:pt idx="992">
                  <c:v>148.80000000000277</c:v>
                </c:pt>
                <c:pt idx="993">
                  <c:v>148.95000000000277</c:v>
                </c:pt>
                <c:pt idx="994">
                  <c:v>149.10000000000278</c:v>
                </c:pt>
                <c:pt idx="995">
                  <c:v>149.25000000000279</c:v>
                </c:pt>
                <c:pt idx="996">
                  <c:v>149.40000000000279</c:v>
                </c:pt>
                <c:pt idx="997">
                  <c:v>149.5500000000028</c:v>
                </c:pt>
                <c:pt idx="998">
                  <c:v>149.7000000000028</c:v>
                </c:pt>
                <c:pt idx="999">
                  <c:v>149.85000000000281</c:v>
                </c:pt>
                <c:pt idx="1000">
                  <c:v>150.00000000000281</c:v>
                </c:pt>
              </c:numCache>
            </c:numRef>
          </c:yVal>
          <c:smooth val="0"/>
          <c:extLst>
            <c:ext xmlns:c16="http://schemas.microsoft.com/office/drawing/2014/chart" uri="{C3380CC4-5D6E-409C-BE32-E72D297353CC}">
              <c16:uniqueId val="{00000018-5186-4268-9072-C284E3E930D8}"/>
            </c:ext>
          </c:extLst>
        </c:ser>
        <c:ser>
          <c:idx val="10"/>
          <c:order val="10"/>
          <c:spPr>
            <a:ln w="28575">
              <a:noFill/>
            </a:ln>
          </c:spPr>
          <c:marker>
            <c:symbol val="none"/>
          </c:marker>
          <c:errBars>
            <c:errDir val="x"/>
            <c:errBarType val="both"/>
            <c:errValType val="cust"/>
            <c:noEndCap val="1"/>
            <c:plus>
              <c:numRef>
                <c:f>'Compare A B'!$AS$9:$AS$1009</c:f>
                <c:numCache>
                  <c:formatCode>General</c:formatCode>
                  <c:ptCount val="1001"/>
                  <c:pt idx="0">
                    <c:v>3.1992537826189867E-7</c:v>
                  </c:pt>
                  <c:pt idx="1">
                    <c:v>3.2887608530245503E-7</c:v>
                  </c:pt>
                  <c:pt idx="2">
                    <c:v>3.3807660635371502E-7</c:v>
                  </c:pt>
                  <c:pt idx="3">
                    <c:v>3.4753387594764581E-7</c:v>
                  </c:pt>
                  <c:pt idx="4">
                    <c:v>3.5725501931417246E-7</c:v>
                  </c:pt>
                  <c:pt idx="5">
                    <c:v>3.6724735775203424E-7</c:v>
                  </c:pt>
                  <c:pt idx="6">
                    <c:v>3.7751841357250043E-7</c:v>
                  </c:pt>
                  <c:pt idx="7">
                    <c:v>3.8807591599505372E-7</c:v>
                  </c:pt>
                  <c:pt idx="8">
                    <c:v>3.989278065105846E-7</c:v>
                  </c:pt>
                  <c:pt idx="9">
                    <c:v>4.1008224457978549E-7</c:v>
                  </c:pt>
                  <c:pt idx="10">
                    <c:v>4.2154761374336171E-7</c:v>
                  </c:pt>
                  <c:pt idx="11">
                    <c:v>4.3333252744684364E-7</c:v>
                  </c:pt>
                  <c:pt idx="12">
                    <c:v>4.4544583556836079E-7</c:v>
                  </c:pt>
                  <c:pt idx="13">
                    <c:v>4.5789663036412601E-7</c:v>
                  </c:pt>
                  <c:pt idx="14">
                    <c:v>4.7069425325862252E-7</c:v>
                  </c:pt>
                  <c:pt idx="15">
                    <c:v>4.8384830210790217E-7</c:v>
                  </c:pt>
                  <c:pt idx="16">
                    <c:v>4.9736863686350132E-7</c:v>
                  </c:pt>
                  <c:pt idx="17">
                    <c:v>5.112653878911389E-7</c:v>
                  </c:pt>
                  <c:pt idx="18">
                    <c:v>5.2554896228779367E-7</c:v>
                  </c:pt>
                  <c:pt idx="19">
                    <c:v>5.4023005229617247E-7</c:v>
                  </c:pt>
                  <c:pt idx="20">
                    <c:v>5.5531964234965022E-7</c:v>
                  </c:pt>
                  <c:pt idx="21">
                    <c:v>5.7082901656924914E-7</c:v>
                  </c:pt>
                  <c:pt idx="22">
                    <c:v>5.8676976788490046E-7</c:v>
                  </c:pt>
                  <c:pt idx="23">
                    <c:v>6.0315380557647891E-7</c:v>
                  </c:pt>
                  <c:pt idx="24">
                    <c:v>6.1999336385299855E-7</c:v>
                  </c:pt>
                  <c:pt idx="25">
                    <c:v>6.3730101077466974E-7</c:v>
                  </c:pt>
                  <c:pt idx="26">
                    <c:v>6.550896571443099E-7</c:v>
                  </c:pt>
                  <c:pt idx="27">
                    <c:v>6.7337256537193745E-7</c:v>
                  </c:pt>
                  <c:pt idx="28">
                    <c:v>6.9216335973379669E-7</c:v>
                  </c:pt>
                  <c:pt idx="29">
                    <c:v>7.1147603512585775E-7</c:v>
                  </c:pt>
                  <c:pt idx="30">
                    <c:v>7.3132496738413519E-7</c:v>
                  </c:pt>
                  <c:pt idx="31">
                    <c:v>7.5172492342112512E-7</c:v>
                  </c:pt>
                  <c:pt idx="32">
                    <c:v>7.7269107224333948E-7</c:v>
                  </c:pt>
                  <c:pt idx="33">
                    <c:v>7.9423899425644849E-7</c:v>
                  </c:pt>
                  <c:pt idx="34">
                    <c:v>8.1638469412928559E-7</c:v>
                  </c:pt>
                  <c:pt idx="35">
                    <c:v>8.391446102905327E-7</c:v>
                  </c:pt>
                  <c:pt idx="36">
                    <c:v>8.6253562812217875E-7</c:v>
                  </c:pt>
                  <c:pt idx="37">
                    <c:v>8.8657509032580833E-7</c:v>
                  </c:pt>
                  <c:pt idx="38">
                    <c:v>9.1128081028844851E-7</c:v>
                  </c:pt>
                  <c:pt idx="39">
                    <c:v>9.3667108442557847E-7</c:v>
                  </c:pt>
                  <c:pt idx="40">
                    <c:v>9.6276470427130168E-7</c:v>
                  </c:pt>
                  <c:pt idx="41">
                    <c:v>9.8958097053757711E-7</c:v>
                  </c:pt>
                  <c:pt idx="42">
                    <c:v>1.0171397056372793E-6</c:v>
                  </c:pt>
                  <c:pt idx="43">
                    <c:v>1.0454612691110435E-6</c:v>
                  </c:pt>
                  <c:pt idx="44">
                    <c:v>1.0745665698783338E-6</c:v>
                  </c:pt>
                  <c:pt idx="45">
                    <c:v>1.1044770826832975E-6</c:v>
                  </c:pt>
                  <c:pt idx="46">
                    <c:v>1.13521486163683E-6</c:v>
                  </c:pt>
                  <c:pt idx="47">
                    <c:v>1.1668025555553115E-6</c:v>
                  </c:pt>
                  <c:pt idx="48">
                    <c:v>1.1992634258391993E-6</c:v>
                  </c:pt>
                  <c:pt idx="49">
                    <c:v>1.2326213600036006E-6</c:v>
                  </c:pt>
                  <c:pt idx="50">
                    <c:v>1.2669008888175106E-6</c:v>
                  </c:pt>
                  <c:pt idx="51">
                    <c:v>1.302127204860465E-6</c:v>
                  </c:pt>
                  <c:pt idx="52">
                    <c:v>1.3383261780987893E-6</c:v>
                  </c:pt>
                  <c:pt idx="53">
                    <c:v>1.3755243746337948E-6</c:v>
                  </c:pt>
                  <c:pt idx="54">
                    <c:v>1.4137490748140519E-6</c:v>
                  </c:pt>
                  <c:pt idx="55">
                    <c:v>1.4530282916541334E-6</c:v>
                  </c:pt>
                  <c:pt idx="56">
                    <c:v>1.4933907916438081E-6</c:v>
                  </c:pt>
                  <c:pt idx="57">
                    <c:v>1.5348661125002151E-6</c:v>
                  </c:pt>
                  <c:pt idx="58">
                    <c:v>1.5774845839310889E-6</c:v>
                  </c:pt>
                  <c:pt idx="59">
                    <c:v>1.6212773501908224E-6</c:v>
                  </c:pt>
                  <c:pt idx="60">
                    <c:v>1.6662763881161233E-6</c:v>
                  </c:pt>
                  <c:pt idx="61">
                    <c:v>1.7125145323483532E-6</c:v>
                  </c:pt>
                  <c:pt idx="62">
                    <c:v>1.7600254957213275E-6</c:v>
                  </c:pt>
                  <c:pt idx="63">
                    <c:v>1.808843891871011E-6</c:v>
                  </c:pt>
                  <c:pt idx="64">
                    <c:v>1.859005261400246E-6</c:v>
                  </c:pt>
                  <c:pt idx="65">
                    <c:v>1.9105460924964033E-6</c:v>
                  </c:pt>
                  <c:pt idx="66">
                    <c:v>1.9635038492107433E-6</c:v>
                  </c:pt>
                  <c:pt idx="67">
                    <c:v>2.0179169925281043E-6</c:v>
                  </c:pt>
                  <c:pt idx="68">
                    <c:v>2.0738250118565203E-6</c:v>
                  </c:pt>
                  <c:pt idx="69">
                    <c:v>2.1312684463114378E-6</c:v>
                  </c:pt>
                  <c:pt idx="70">
                    <c:v>2.1902889159908055E-6</c:v>
                  </c:pt>
                  <c:pt idx="71">
                    <c:v>2.2509291479329325E-6</c:v>
                  </c:pt>
                  <c:pt idx="72">
                    <c:v>2.313233004847888E-6</c:v>
                  </c:pt>
                  <c:pt idx="73">
                    <c:v>2.3772455163542802E-6</c:v>
                  </c:pt>
                  <c:pt idx="74">
                    <c:v>2.4430129073199062E-6</c:v>
                  </c:pt>
                  <c:pt idx="75">
                    <c:v>2.5105826287460918E-6</c:v>
                  </c:pt>
                  <c:pt idx="76">
                    <c:v>2.5800033922606946E-6</c:v>
                  </c:pt>
                  <c:pt idx="77">
                    <c:v>2.6513251969187515E-6</c:v>
                  </c:pt>
                  <c:pt idx="78">
                    <c:v>2.7245993698554934E-6</c:v>
                  </c:pt>
                  <c:pt idx="79">
                    <c:v>2.799878594481427E-6</c:v>
                  </c:pt>
                  <c:pt idx="80">
                    <c:v>2.8772169482085741E-6</c:v>
                  </c:pt>
                  <c:pt idx="81">
                    <c:v>2.9566699368975062E-6</c:v>
                  </c:pt>
                  <c:pt idx="82">
                    <c:v>3.0382945344070718E-6</c:v>
                  </c:pt>
                  <c:pt idx="83">
                    <c:v>3.1221492155397354E-6</c:v>
                  </c:pt>
                  <c:pt idx="84">
                    <c:v>3.2082940003109154E-6</c:v>
                  </c:pt>
                  <c:pt idx="85">
                    <c:v>3.2967904874766134E-6</c:v>
                  </c:pt>
                  <c:pt idx="86">
                    <c:v>3.3877019003657411E-6</c:v>
                  </c:pt>
                  <c:pt idx="87">
                    <c:v>3.4810931246983033E-6</c:v>
                  </c:pt>
                  <c:pt idx="88">
                    <c:v>3.57703075443305E-6</c:v>
                  </c:pt>
                  <c:pt idx="89">
                    <c:v>3.6755831288194881E-6</c:v>
                  </c:pt>
                  <c:pt idx="90">
                    <c:v>3.7768203869185827E-6</c:v>
                  </c:pt>
                  <c:pt idx="91">
                    <c:v>3.8808145043329833E-6</c:v>
                  </c:pt>
                  <c:pt idx="92">
                    <c:v>3.9876393455211485E-6</c:v>
                  </c:pt>
                  <c:pt idx="93">
                    <c:v>4.097370708848184E-6</c:v>
                  </c:pt>
                  <c:pt idx="94">
                    <c:v>4.2100863771990762E-6</c:v>
                  </c:pt>
                  <c:pt idx="95">
                    <c:v>4.3258661674579866E-6</c:v>
                  </c:pt>
                  <c:pt idx="96">
                    <c:v>4.4447919831441832E-6</c:v>
                  </c:pt>
                  <c:pt idx="97">
                    <c:v>4.5669478664196973E-6</c:v>
                  </c:pt>
                  <c:pt idx="98">
                    <c:v>4.6924200511083357E-6</c:v>
                  </c:pt>
                  <c:pt idx="99">
                    <c:v>4.8212970209093234E-6</c:v>
                  </c:pt>
                  <c:pt idx="100">
                    <c:v>4.9536695648987077E-6</c:v>
                  </c:pt>
                  <c:pt idx="101">
                    <c:v>5.0896308331227002E-6</c:v>
                  </c:pt>
                  <c:pt idx="102">
                    <c:v>5.2292763995769011E-6</c:v>
                  </c:pt>
                  <c:pt idx="103">
                    <c:v>5.3727043207417373E-6</c:v>
                  </c:pt>
                  <c:pt idx="104">
                    <c:v>5.5200152012279663E-6</c:v>
                  </c:pt>
                  <c:pt idx="105">
                    <c:v>5.6713122539670369E-6</c:v>
                  </c:pt>
                  <c:pt idx="106">
                    <c:v>5.8267013654888323E-6</c:v>
                  </c:pt>
                  <c:pt idx="107">
                    <c:v>5.9862911680030018E-6</c:v>
                  </c:pt>
                  <c:pt idx="108">
                    <c:v>6.1501931031137142E-6</c:v>
                  </c:pt>
                  <c:pt idx="109">
                    <c:v>6.3185214910201864E-6</c:v>
                  </c:pt>
                  <c:pt idx="110">
                    <c:v>6.4913936089419133E-6</c:v>
                  </c:pt>
                  <c:pt idx="111">
                    <c:v>6.6689297573771059E-6</c:v>
                  </c:pt>
                  <c:pt idx="112">
                    <c:v>6.8512533382827412E-6</c:v>
                  </c:pt>
                  <c:pt idx="113">
                    <c:v>7.0384909363192998E-6</c:v>
                  </c:pt>
                  <c:pt idx="114">
                    <c:v>7.2307723903191598E-6</c:v>
                  </c:pt>
                  <c:pt idx="115">
                    <c:v>7.4282308762475599E-6</c:v>
                  </c:pt>
                  <c:pt idx="116">
                    <c:v>7.6310029983156057E-6</c:v>
                  </c:pt>
                  <c:pt idx="117">
                    <c:v>7.8392288604180289E-6</c:v>
                  </c:pt>
                  <c:pt idx="118">
                    <c:v>8.0530521600657011E-6</c:v>
                  </c:pt>
                  <c:pt idx="119">
                    <c:v>8.2726202777517756E-6</c:v>
                  </c:pt>
                  <c:pt idx="120">
                    <c:v>8.4980843621498772E-6</c:v>
                  </c:pt>
                  <c:pt idx="121">
                    <c:v>8.7295994311873116E-6</c:v>
                  </c:pt>
                  <c:pt idx="122">
                    <c:v>8.9673244619322286E-6</c:v>
                  </c:pt>
                  <c:pt idx="123">
                    <c:v>9.2114224826260239E-6</c:v>
                  </c:pt>
                  <c:pt idx="124">
                    <c:v>9.4620606868427685E-6</c:v>
                  </c:pt>
                  <c:pt idx="125">
                    <c:v>9.719410519668089E-6</c:v>
                  </c:pt>
                  <c:pt idx="126">
                    <c:v>9.9836477896213665E-6</c:v>
                  </c:pt>
                  <c:pt idx="127">
                    <c:v>1.0254952775000228E-5</c:v>
                  </c:pt>
                  <c:pt idx="128">
                    <c:v>1.0533510332860656E-5</c:v>
                  </c:pt>
                  <c:pt idx="129">
                    <c:v>1.0819510007200284E-5</c:v>
                  </c:pt>
                  <c:pt idx="130">
                    <c:v>1.1113146143822704E-5</c:v>
                  </c:pt>
                  <c:pt idx="131">
                    <c:v>1.1414618013537696E-5</c:v>
                  </c:pt>
                  <c:pt idx="132">
                    <c:v>1.1724129924451206E-5</c:v>
                  </c:pt>
                  <c:pt idx="133">
                    <c:v>1.2041891343326773E-5</c:v>
                  </c:pt>
                  <c:pt idx="134">
                    <c:v>1.2368117021421398E-5</c:v>
                  </c:pt>
                  <c:pt idx="135">
                    <c:v>1.2703027131047795E-5</c:v>
                  </c:pt>
                  <c:pt idx="136">
                    <c:v>1.3046847382951739E-5</c:v>
                  </c:pt>
                  <c:pt idx="137">
                    <c:v>1.3399809166122881E-5</c:v>
                  </c:pt>
                  <c:pt idx="138">
                    <c:v>1.3762149683866657E-5</c:v>
                  </c:pt>
                  <c:pt idx="139">
                    <c:v>1.4134112093553808E-5</c:v>
                  </c:pt>
                  <c:pt idx="140">
                    <c:v>1.4515945647534495E-5</c:v>
                  </c:pt>
                  <c:pt idx="141">
                    <c:v>1.4907905848333817E-5</c:v>
                  </c:pt>
                  <c:pt idx="142">
                    <c:v>1.5310254574855439E-5</c:v>
                  </c:pt>
                  <c:pt idx="143">
                    <c:v>1.5723260265956083E-5</c:v>
                  </c:pt>
                  <c:pt idx="144">
                    <c:v>1.614719805051066E-5</c:v>
                  </c:pt>
                  <c:pt idx="145">
                    <c:v>1.6582349915479443E-5</c:v>
                  </c:pt>
                  <c:pt idx="146">
                    <c:v>1.7029004878020665E-5</c:v>
                  </c:pt>
                  <c:pt idx="147">
                    <c:v>1.7487459136947121E-5</c:v>
                  </c:pt>
                  <c:pt idx="148">
                    <c:v>1.7958016254829595E-5</c:v>
                  </c:pt>
                  <c:pt idx="149">
                    <c:v>1.8440987322570346E-5</c:v>
                  </c:pt>
                  <c:pt idx="150">
                    <c:v>1.8936691142548503E-5</c:v>
                  </c:pt>
                  <c:pt idx="151">
                    <c:v>1.9445454419120752E-5</c:v>
                  </c:pt>
                  <c:pt idx="152">
                    <c:v>1.9967611915410504E-5</c:v>
                  </c:pt>
                  <c:pt idx="153">
                    <c:v>2.0503506678132989E-5</c:v>
                  </c:pt>
                  <c:pt idx="154">
                    <c:v>2.1053490205172115E-5</c:v>
                  </c:pt>
                  <c:pt idx="155">
                    <c:v>2.1617922662559988E-5</c:v>
                  </c:pt>
                  <c:pt idx="156">
                    <c:v>2.2197173074977582E-5</c:v>
                  </c:pt>
                  <c:pt idx="157">
                    <c:v>2.27916195269205E-5</c:v>
                  </c:pt>
                  <c:pt idx="158">
                    <c:v>2.3401649397944017E-5</c:v>
                  </c:pt>
                  <c:pt idx="159">
                    <c:v>2.4027659551570106E-5</c:v>
                  </c:pt>
                  <c:pt idx="160">
                    <c:v>2.4670056564403114E-5</c:v>
                  </c:pt>
                  <c:pt idx="161">
                    <c:v>2.5329256970814007E-5</c:v>
                  </c:pt>
                  <c:pt idx="162">
                    <c:v>2.6005687452705526E-5</c:v>
                  </c:pt>
                  <c:pt idx="163">
                    <c:v>2.6699785117785373E-5</c:v>
                  </c:pt>
                  <c:pt idx="164">
                    <c:v>2.7411997700609363E-5</c:v>
                  </c:pt>
                  <c:pt idx="165">
                    <c:v>2.8142783832518683E-5</c:v>
                  </c:pt>
                  <c:pt idx="166">
                    <c:v>2.8892613292576107E-5</c:v>
                  </c:pt>
                  <c:pt idx="167">
                    <c:v>2.9661967242565836E-5</c:v>
                  </c:pt>
                  <c:pt idx="168">
                    <c:v>3.0451338507473256E-5</c:v>
                  </c:pt>
                  <c:pt idx="169">
                    <c:v>3.1261231833040881E-5</c:v>
                  </c:pt>
                  <c:pt idx="170">
                    <c:v>3.2092164147737392E-5</c:v>
                  </c:pt>
                  <c:pt idx="171">
                    <c:v>3.2944664859296329E-5</c:v>
                  </c:pt>
                  <c:pt idx="172">
                    <c:v>3.381927612661474E-5</c:v>
                  </c:pt>
                  <c:pt idx="173">
                    <c:v>3.4716553159969467E-5</c:v>
                  </c:pt>
                  <c:pt idx="174">
                    <c:v>3.5637064485560586E-5</c:v>
                  </c:pt>
                  <c:pt idx="175">
                    <c:v>3.6581392282994209E-5</c:v>
                  </c:pt>
                  <c:pt idx="176">
                    <c:v>3.755013267593698E-5</c:v>
                  </c:pt>
                  <c:pt idx="177">
                    <c:v>3.8543896033190543E-5</c:v>
                  </c:pt>
                  <c:pt idx="178">
                    <c:v>3.9563307329098152E-5</c:v>
                  </c:pt>
                  <c:pt idx="179">
                    <c:v>4.0609006398771463E-5</c:v>
                  </c:pt>
                  <c:pt idx="180">
                    <c:v>4.1681648359055337E-5</c:v>
                  </c:pt>
                  <c:pt idx="181">
                    <c:v>4.2781903874542286E-5</c:v>
                  </c:pt>
                  <c:pt idx="182">
                    <c:v>4.3910459532689595E-5</c:v>
                  </c:pt>
                  <c:pt idx="183">
                    <c:v>4.5068018216239602E-5</c:v>
                  </c:pt>
                  <c:pt idx="184">
                    <c:v>4.6255299430037382E-5</c:v>
                  </c:pt>
                  <c:pt idx="185">
                    <c:v>4.7473039682277312E-5</c:v>
                  </c:pt>
                  <c:pt idx="186">
                    <c:v>4.8721992865749567E-5</c:v>
                  </c:pt>
                  <c:pt idx="187">
                    <c:v>5.0002930625111661E-5</c:v>
                  </c:pt>
                  <c:pt idx="188">
                    <c:v>5.1316642767310773E-5</c:v>
                  </c:pt>
                  <c:pt idx="189">
                    <c:v>5.2663937638171906E-5</c:v>
                  </c:pt>
                  <c:pt idx="190">
                    <c:v>5.4045642559789416E-5</c:v>
                  </c:pt>
                  <c:pt idx="191">
                    <c:v>5.546260417548766E-5</c:v>
                  </c:pt>
                  <c:pt idx="192">
                    <c:v>5.6915688958803487E-5</c:v>
                  </c:pt>
                  <c:pt idx="193">
                    <c:v>5.8405783585170939E-5</c:v>
                  </c:pt>
                  <c:pt idx="194">
                    <c:v>5.9933795387210499E-5</c:v>
                  </c:pt>
                  <c:pt idx="195">
                    <c:v>6.1500652803398608E-5</c:v>
                  </c:pt>
                  <c:pt idx="196">
                    <c:v>6.3107305810065358E-5</c:v>
                  </c:pt>
                  <c:pt idx="197">
                    <c:v>6.4754726430131729E-5</c:v>
                  </c:pt>
                  <c:pt idx="198">
                    <c:v>6.6443909138873654E-5</c:v>
                  </c:pt>
                  <c:pt idx="199">
                    <c:v>6.8175871434443219E-5</c:v>
                  </c:pt>
                  <c:pt idx="200">
                    <c:v>6.9951654251723512E-5</c:v>
                  </c:pt>
                  <c:pt idx="201">
                    <c:v>7.1772322476704848E-5</c:v>
                  </c:pt>
                  <c:pt idx="202">
                    <c:v>7.363896548586899E-5</c:v>
                  </c:pt>
                  <c:pt idx="203">
                    <c:v>7.5552697644874227E-5</c:v>
                  </c:pt>
                  <c:pt idx="204">
                    <c:v>7.7514658799885308E-5</c:v>
                  </c:pt>
                  <c:pt idx="205">
                    <c:v>7.9526014931699307E-5</c:v>
                  </c:pt>
                  <c:pt idx="206">
                    <c:v>8.1587958536256597E-5</c:v>
                  </c:pt>
                  <c:pt idx="207">
                    <c:v>8.3701709324369183E-5</c:v>
                  </c:pt>
                  <c:pt idx="208">
                    <c:v>8.5868514690984872E-5</c:v>
                  </c:pt>
                  <c:pt idx="209">
                    <c:v>8.8089650418348103E-5</c:v>
                  </c:pt>
                  <c:pt idx="210">
                    <c:v>9.036642105651086E-5</c:v>
                  </c:pt>
                  <c:pt idx="211">
                    <c:v>9.2700160786347334E-5</c:v>
                  </c:pt>
                  <c:pt idx="212">
                    <c:v>9.5092233785354442E-5</c:v>
                  </c:pt>
                  <c:pt idx="213">
                    <c:v>9.7544035014662271E-5</c:v>
                  </c:pt>
                  <c:pt idx="214">
                    <c:v>1.0005699074664986E-4</c:v>
                  </c:pt>
                  <c:pt idx="215">
                    <c:v>1.0263255931517951E-4</c:v>
                  </c:pt>
                  <c:pt idx="216">
                    <c:v>1.0527223165645193E-4</c:v>
                  </c:pt>
                  <c:pt idx="217">
                    <c:v>1.0797753200971525E-4</c:v>
                  </c:pt>
                  <c:pt idx="218">
                    <c:v>1.1075001870427558E-4</c:v>
                  </c:pt>
                  <c:pt idx="219">
                    <c:v>1.1359128463072252E-4</c:v>
                  </c:pt>
                  <c:pt idx="220">
                    <c:v>1.1650295813189371E-4</c:v>
                  </c:pt>
                  <c:pt idx="221">
                    <c:v>1.1948670365896211E-4</c:v>
                  </c:pt>
                  <c:pt idx="222">
                    <c:v>1.225442225015659E-4</c:v>
                  </c:pt>
                  <c:pt idx="223">
                    <c:v>1.256772534443862E-4</c:v>
                  </c:pt>
                  <c:pt idx="224">
                    <c:v>1.2888757359534673E-4</c:v>
                  </c:pt>
                  <c:pt idx="225">
                    <c:v>1.3217699916477884E-4</c:v>
                  </c:pt>
                  <c:pt idx="226">
                    <c:v>1.3554738622399169E-4</c:v>
                  </c:pt>
                  <c:pt idx="227">
                    <c:v>1.3900063148492741E-4</c:v>
                  </c:pt>
                  <c:pt idx="228">
                    <c:v>1.425386730146001E-4</c:v>
                  </c:pt>
                  <c:pt idx="229">
                    <c:v>1.4616349121481342E-4</c:v>
                  </c:pt>
                  <c:pt idx="230">
                    <c:v>1.4987710954689673E-4</c:v>
                  </c:pt>
                  <c:pt idx="231">
                    <c:v>1.5368159539079691E-4</c:v>
                  </c:pt>
                  <c:pt idx="232">
                    <c:v>1.5757906087180722E-4</c:v>
                  </c:pt>
                  <c:pt idx="233">
                    <c:v>1.6157166379811487E-4</c:v>
                  </c:pt>
                  <c:pt idx="234">
                    <c:v>1.6566160847281941E-4</c:v>
                  </c:pt>
                  <c:pt idx="235">
                    <c:v>1.6985114659911731E-4</c:v>
                  </c:pt>
                  <c:pt idx="236">
                    <c:v>1.7414257825315482E-4</c:v>
                  </c:pt>
                  <c:pt idx="237">
                    <c:v>1.7853825278921269E-4</c:v>
                  </c:pt>
                  <c:pt idx="238">
                    <c:v>1.8304056966545406E-4</c:v>
                  </c:pt>
                  <c:pt idx="239">
                    <c:v>1.8765197949425271E-4</c:v>
                  </c:pt>
                  <c:pt idx="240">
                    <c:v>1.9237498505525428E-4</c:v>
                  </c:pt>
                  <c:pt idx="241">
                    <c:v>1.9721214227019077E-4</c:v>
                  </c:pt>
                  <c:pt idx="242">
                    <c:v>2.0216606092957783E-4</c:v>
                  </c:pt>
                  <c:pt idx="243">
                    <c:v>2.0723940618337655E-4</c:v>
                  </c:pt>
                  <c:pt idx="244">
                    <c:v>2.1243489912058607E-4</c:v>
                  </c:pt>
                  <c:pt idx="245">
                    <c:v>2.1775531810397424E-4</c:v>
                  </c:pt>
                  <c:pt idx="246">
                    <c:v>2.2320349969781839E-4</c:v>
                  </c:pt>
                  <c:pt idx="247">
                    <c:v>2.2878233967998587E-4</c:v>
                  </c:pt>
                  <c:pt idx="248">
                    <c:v>2.3449479434626327E-4</c:v>
                  </c:pt>
                  <c:pt idx="249">
                    <c:v>2.4034388135473739E-4</c:v>
                  </c:pt>
                  <c:pt idx="250">
                    <c:v>2.4633268106739116E-4</c:v>
                  </c:pt>
                  <c:pt idx="251">
                    <c:v>2.5246433753668576E-4</c:v>
                  </c:pt>
                  <c:pt idx="252">
                    <c:v>2.5874205970005161E-4</c:v>
                  </c:pt>
                  <c:pt idx="253">
                    <c:v>2.6516912250671077E-4</c:v>
                  </c:pt>
                  <c:pt idx="254">
                    <c:v>2.7174886831321087E-4</c:v>
                  </c:pt>
                  <c:pt idx="255">
                    <c:v>2.7848470765915736E-4</c:v>
                  </c:pt>
                  <c:pt idx="256">
                    <c:v>2.8538012089811526E-4</c:v>
                  </c:pt>
                  <c:pt idx="257">
                    <c:v>2.9243865929402975E-4</c:v>
                  </c:pt>
                  <c:pt idx="258">
                    <c:v>2.9966394597838811E-4</c:v>
                  </c:pt>
                  <c:pt idx="259">
                    <c:v>3.0705967772724492E-4</c:v>
                  </c:pt>
                  <c:pt idx="260">
                    <c:v>3.1462962597134179E-4</c:v>
                  </c:pt>
                  <c:pt idx="261">
                    <c:v>3.2237763785526139E-4</c:v>
                  </c:pt>
                  <c:pt idx="262">
                    <c:v>3.3030763810467739E-4</c:v>
                  </c:pt>
                  <c:pt idx="263">
                    <c:v>3.3842362967753811E-4</c:v>
                  </c:pt>
                  <c:pt idx="264">
                    <c:v>3.4672969575684585E-4</c:v>
                  </c:pt>
                  <c:pt idx="265">
                    <c:v>3.5523000080196548E-4</c:v>
                  </c:pt>
                  <c:pt idx="266">
                    <c:v>3.6392879162935426E-4</c:v>
                  </c:pt>
                  <c:pt idx="267">
                    <c:v>3.7283039951910188E-4</c:v>
                  </c:pt>
                  <c:pt idx="268">
                    <c:v>3.8193924106421539E-4</c:v>
                  </c:pt>
                  <c:pt idx="269">
                    <c:v>3.9125981946710239E-4</c:v>
                  </c:pt>
                  <c:pt idx="270">
                    <c:v>4.0079672672456738E-4</c:v>
                  </c:pt>
                  <c:pt idx="271">
                    <c:v>4.1055464425545854E-4</c:v>
                  </c:pt>
                  <c:pt idx="272">
                    <c:v>4.2053834495228882E-4</c:v>
                  </c:pt>
                  <c:pt idx="273">
                    <c:v>4.3075269441691618E-4</c:v>
                  </c:pt>
                  <c:pt idx="274">
                    <c:v>4.4120265227075642E-4</c:v>
                  </c:pt>
                  <c:pt idx="275">
                    <c:v>4.518932743162426E-4</c:v>
                  </c:pt>
                  <c:pt idx="276">
                    <c:v>4.6282971318997029E-4</c:v>
                  </c:pt>
                  <c:pt idx="277">
                    <c:v>4.7401722089682213E-4</c:v>
                  </c:pt>
                  <c:pt idx="278">
                    <c:v>4.8546114923559103E-4</c:v>
                  </c:pt>
                  <c:pt idx="279">
                    <c:v>4.9716695273911433E-4</c:v>
                  </c:pt>
                  <c:pt idx="280">
                    <c:v>5.0914018885276019E-4</c:v>
                  </c:pt>
                  <c:pt idx="281">
                    <c:v>5.2138652076080111E-4</c:v>
                  </c:pt>
                  <c:pt idx="282">
                    <c:v>5.3391171810232378E-4</c:v>
                  </c:pt>
                  <c:pt idx="283">
                    <c:v>5.4672165930529071E-4</c:v>
                  </c:pt>
                  <c:pt idx="284">
                    <c:v>5.5982233259666014E-4</c:v>
                  </c:pt>
                  <c:pt idx="285">
                    <c:v>5.7321983833644836E-4</c:v>
                  </c:pt>
                  <c:pt idx="286">
                    <c:v>5.8692039027694607E-4</c:v>
                  </c:pt>
                  <c:pt idx="287">
                    <c:v>6.0093031744958253E-4</c:v>
                  </c:pt>
                  <c:pt idx="288">
                    <c:v>6.1525606536922284E-4</c:v>
                  </c:pt>
                  <c:pt idx="289">
                    <c:v>6.2990419867813127E-4</c:v>
                  </c:pt>
                  <c:pt idx="290">
                    <c:v>6.4488140227965851E-4</c:v>
                  </c:pt>
                  <c:pt idx="291">
                    <c:v>6.6019448316234056E-4</c:v>
                  </c:pt>
                  <c:pt idx="292">
                    <c:v>6.7585037192194309E-4</c:v>
                  </c:pt>
                  <c:pt idx="293">
                    <c:v>6.9185612528774006E-4</c:v>
                  </c:pt>
                  <c:pt idx="294">
                    <c:v>7.0821892732681184E-4</c:v>
                  </c:pt>
                  <c:pt idx="295">
                    <c:v>7.2494609111515488E-4</c:v>
                  </c:pt>
                  <c:pt idx="296">
                    <c:v>7.4204506104820793E-4</c:v>
                  </c:pt>
                  <c:pt idx="297">
                    <c:v>7.5952341436681778E-4</c:v>
                  </c:pt>
                  <c:pt idx="298">
                    <c:v>7.7738886305587227E-4</c:v>
                  </c:pt>
                  <c:pt idx="299">
                    <c:v>7.9564925527611963E-4</c:v>
                  </c:pt>
                  <c:pt idx="300">
                    <c:v>8.1431257872207979E-4</c:v>
                  </c:pt>
                  <c:pt idx="301">
                    <c:v>8.3338696022976525E-4</c:v>
                  </c:pt>
                  <c:pt idx="302">
                    <c:v>8.5288066884430566E-4</c:v>
                  </c:pt>
                  <c:pt idx="303">
                    <c:v>8.7280211852275248E-4</c:v>
                  </c:pt>
                  <c:pt idx="304">
                    <c:v>8.9315986837336988E-4</c:v>
                  </c:pt>
                  <c:pt idx="305">
                    <c:v>9.1396262574679557E-4</c:v>
                  </c:pt>
                  <c:pt idx="306">
                    <c:v>9.3521924795030205E-4</c:v>
                  </c:pt>
                  <c:pt idx="307">
                    <c:v>9.569387428597525E-4</c:v>
                  </c:pt>
                  <c:pt idx="308">
                    <c:v>9.7913027314444883E-4</c:v>
                  </c:pt>
                  <c:pt idx="309">
                    <c:v>1.0018031561416039E-3</c:v>
                  </c:pt>
                  <c:pt idx="310">
                    <c:v>1.0249668669867289E-3</c:v>
                  </c:pt>
                  <c:pt idx="311">
                    <c:v>1.0486310400689913E-3</c:v>
                  </c:pt>
                  <c:pt idx="312">
                    <c:v>1.0728054705022615E-3</c:v>
                  </c:pt>
                  <c:pt idx="313">
                    <c:v>1.0975001174045691E-3</c:v>
                  </c:pt>
                  <c:pt idx="314">
                    <c:v>1.1227251046748159E-3</c:v>
                  </c:pt>
                  <c:pt idx="315">
                    <c:v>1.1484907230247827E-3</c:v>
                  </c:pt>
                  <c:pt idx="316">
                    <c:v>1.1748074325838645E-3</c:v>
                  </c:pt>
                  <c:pt idx="317">
                    <c:v>1.2016858637542399E-3</c:v>
                  </c:pt>
                  <c:pt idx="318">
                    <c:v>1.2291368207413844E-3</c:v>
                  </c:pt>
                  <c:pt idx="319">
                    <c:v>1.2571712811617923E-3</c:v>
                  </c:pt>
                  <c:pt idx="320">
                    <c:v>1.2858004011112253E-3</c:v>
                  </c:pt>
                  <c:pt idx="321">
                    <c:v>1.3150355135563673E-3</c:v>
                  </c:pt>
                  <c:pt idx="322">
                    <c:v>1.3448881331677067E-3</c:v>
                  </c:pt>
                  <c:pt idx="323">
                    <c:v>1.3753699564450648E-3</c:v>
                  </c:pt>
                  <c:pt idx="324">
                    <c:v>1.406492864659692E-3</c:v>
                  </c:pt>
                  <c:pt idx="325">
                    <c:v>1.4382689254233848E-3</c:v>
                  </c:pt>
                  <c:pt idx="326">
                    <c:v>1.4707103934651991E-3</c:v>
                  </c:pt>
                  <c:pt idx="327">
                    <c:v>1.5038297150092878E-3</c:v>
                  </c:pt>
                  <c:pt idx="328">
                    <c:v>1.5376395268961957E-3</c:v>
                  </c:pt>
                  <c:pt idx="329">
                    <c:v>1.572152660639027E-3</c:v>
                  </c:pt>
                  <c:pt idx="330">
                    <c:v>1.6073821426823508E-3</c:v>
                  </c:pt>
                  <c:pt idx="331">
                    <c:v>1.6433411970304722E-3</c:v>
                  </c:pt>
                  <c:pt idx="332">
                    <c:v>1.6800432471539102E-3</c:v>
                  </c:pt>
                  <c:pt idx="333">
                    <c:v>1.7175019172133092E-3</c:v>
                  </c:pt>
                  <c:pt idx="334">
                    <c:v>1.7557310348053953E-3</c:v>
                  </c:pt>
                  <c:pt idx="335">
                    <c:v>1.7947446303510195E-3</c:v>
                  </c:pt>
                  <c:pt idx="336">
                    <c:v>1.8345569429087387E-3</c:v>
                  </c:pt>
                  <c:pt idx="337">
                    <c:v>1.8751824179780508E-3</c:v>
                  </c:pt>
                  <c:pt idx="338">
                    <c:v>1.9166357111868207E-3</c:v>
                  </c:pt>
                  <c:pt idx="339">
                    <c:v>1.9589316885737216E-3</c:v>
                  </c:pt>
                  <c:pt idx="340">
                    <c:v>2.0020854309190004E-3</c:v>
                  </c:pt>
                  <c:pt idx="341">
                    <c:v>2.0461122319556813E-3</c:v>
                  </c:pt>
                  <c:pt idx="342">
                    <c:v>2.0910276031161482E-3</c:v>
                  </c:pt>
                  <c:pt idx="343">
                    <c:v>2.136847272041483E-3</c:v>
                  </c:pt>
                  <c:pt idx="344">
                    <c:v>2.1835871863002715E-3</c:v>
                  </c:pt>
                  <c:pt idx="345">
                    <c:v>2.2312635141574751E-3</c:v>
                  </c:pt>
                  <c:pt idx="346">
                    <c:v>2.2798926461906188E-3</c:v>
                  </c:pt>
                  <c:pt idx="347">
                    <c:v>2.3294911960586593E-3</c:v>
                  </c:pt>
                  <c:pt idx="348">
                    <c:v>2.3800760032165586E-3</c:v>
                  </c:pt>
                  <c:pt idx="349">
                    <c:v>2.4316641325543881E-3</c:v>
                  </c:pt>
                  <c:pt idx="350">
                    <c:v>2.4842728769236045E-3</c:v>
                  </c:pt>
                  <c:pt idx="351">
                    <c:v>2.5379197580942155E-3</c:v>
                  </c:pt>
                  <c:pt idx="352">
                    <c:v>2.5926225278217765E-3</c:v>
                  </c:pt>
                  <c:pt idx="353">
                    <c:v>2.6483991688987011E-3</c:v>
                  </c:pt>
                  <c:pt idx="354">
                    <c:v>2.7052678957819069E-3</c:v>
                  </c:pt>
                  <c:pt idx="355">
                    <c:v>2.7632471584371548E-3</c:v>
                  </c:pt>
                  <c:pt idx="356">
                    <c:v>2.8223556388869888E-3</c:v>
                  </c:pt>
                  <c:pt idx="357">
                    <c:v>2.8826122544901934E-3</c:v>
                  </c:pt>
                  <c:pt idx="358">
                    <c:v>2.9440361614723057E-3</c:v>
                  </c:pt>
                  <c:pt idx="359">
                    <c:v>3.0066467503908683E-3</c:v>
                  </c:pt>
                  <c:pt idx="360">
                    <c:v>3.0704636493521184E-3</c:v>
                  </c:pt>
                  <c:pt idx="361">
                    <c:v>3.135506727918091E-3</c:v>
                  </c:pt>
                  <c:pt idx="362">
                    <c:v>3.2017960913636482E-3</c:v>
                  </c:pt>
                  <c:pt idx="363">
                    <c:v>3.269352086952951E-3</c:v>
                  </c:pt>
                  <c:pt idx="364">
                    <c:v>3.3381953017270019E-3</c:v>
                  </c:pt>
                  <c:pt idx="365">
                    <c:v>3.4083465621270559E-3</c:v>
                  </c:pt>
                  <c:pt idx="366">
                    <c:v>3.4798269380429468E-3</c:v>
                  </c:pt>
                  <c:pt idx="367">
                    <c:v>3.5526577381684967E-3</c:v>
                  </c:pt>
                  <c:pt idx="368">
                    <c:v>3.6268605156189568E-3</c:v>
                  </c:pt>
                  <c:pt idx="369">
                    <c:v>3.7024570609798186E-3</c:v>
                  </c:pt>
                  <c:pt idx="370">
                    <c:v>3.7794694100582531E-3</c:v>
                  </c:pt>
                  <c:pt idx="371">
                    <c:v>3.8579198403055218E-3</c:v>
                  </c:pt>
                  <c:pt idx="372">
                    <c:v>3.9378308693733917E-3</c:v>
                  </c:pt>
                  <c:pt idx="373">
                    <c:v>4.0192252552396631E-3</c:v>
                  </c:pt>
                  <c:pt idx="374">
                    <c:v>4.1021260002878724E-3</c:v>
                  </c:pt>
                  <c:pt idx="375">
                    <c:v>4.1865563449994441E-3</c:v>
                  </c:pt>
                  <c:pt idx="376">
                    <c:v>4.2725397698052479E-3</c:v>
                  </c:pt>
                  <c:pt idx="377">
                    <c:v>4.3600999962467432E-3</c:v>
                  </c:pt>
                  <c:pt idx="378">
                    <c:v>4.4492609847792191E-3</c:v>
                  </c:pt>
                  <c:pt idx="379">
                    <c:v>4.5400469319473802E-3</c:v>
                  </c:pt>
                  <c:pt idx="380">
                    <c:v>4.6324822748416402E-3</c:v>
                  </c:pt>
                  <c:pt idx="381">
                    <c:v>4.7265916829387104E-3</c:v>
                  </c:pt>
                  <c:pt idx="382">
                    <c:v>4.8224000642525435E-3</c:v>
                  </c:pt>
                  <c:pt idx="383">
                    <c:v>4.919932557363213E-3</c:v>
                  </c:pt>
                  <c:pt idx="384">
                    <c:v>5.019214536657767E-3</c:v>
                  </c:pt>
                  <c:pt idx="385">
                    <c:v>5.1202716053947309E-3</c:v>
                  </c:pt>
                  <c:pt idx="386">
                    <c:v>5.2231295959865439E-3</c:v>
                  </c:pt>
                  <c:pt idx="387">
                    <c:v>5.3278145729808886E-3</c:v>
                  </c:pt>
                  <c:pt idx="388">
                    <c:v>5.4343528206332731E-3</c:v>
                  </c:pt>
                  <c:pt idx="389">
                    <c:v>5.5427708505643323E-3</c:v>
                  </c:pt>
                  <c:pt idx="390">
                    <c:v>5.6530953972721443E-3</c:v>
                  </c:pt>
                  <c:pt idx="391">
                    <c:v>5.7653534124834128E-3</c:v>
                  </c:pt>
                  <c:pt idx="392">
                    <c:v>5.8795720671305524E-3</c:v>
                  </c:pt>
                  <c:pt idx="393">
                    <c:v>5.995778746204986E-3</c:v>
                  </c:pt>
                  <c:pt idx="394">
                    <c:v>6.1140010479098185E-3</c:v>
                  </c:pt>
                  <c:pt idx="395">
                    <c:v>6.2342667766301894E-3</c:v>
                  </c:pt>
                  <c:pt idx="396">
                    <c:v>6.3566039496177201E-3</c:v>
                  </c:pt>
                  <c:pt idx="397">
                    <c:v>6.4810407809855058E-3</c:v>
                  </c:pt>
                  <c:pt idx="398">
                    <c:v>6.6076056895223298E-3</c:v>
                  </c:pt>
                  <c:pt idx="399">
                    <c:v>6.7363272892465706E-3</c:v>
                  </c:pt>
                  <c:pt idx="400">
                    <c:v>6.8672343889040841E-3</c:v>
                  </c:pt>
                  <c:pt idx="401">
                    <c:v>7.0003559838087972E-3</c:v>
                  </c:pt>
                  <c:pt idx="402">
                    <c:v>7.1357212600479383E-3</c:v>
                  </c:pt>
                  <c:pt idx="403">
                    <c:v>7.2733595817721895E-3</c:v>
                  </c:pt>
                  <c:pt idx="404">
                    <c:v>7.4133004921999156E-3</c:v>
                  </c:pt>
                  <c:pt idx="405">
                    <c:v>7.5555737092864077E-3</c:v>
                  </c:pt>
                  <c:pt idx="406">
                    <c:v>7.7002091175017006E-3</c:v>
                  </c:pt>
                  <c:pt idx="407">
                    <c:v>7.8472367701528743E-3</c:v>
                  </c:pt>
                  <c:pt idx="408">
                    <c:v>7.9966868697386936E-3</c:v>
                  </c:pt>
                  <c:pt idx="409">
                    <c:v>8.1485897875949679E-3</c:v>
                  </c:pt>
                  <c:pt idx="410">
                    <c:v>8.3029760354621368E-3</c:v>
                  </c:pt>
                  <c:pt idx="411">
                    <c:v>8.459876270129861E-3</c:v>
                  </c:pt>
                  <c:pt idx="412">
                    <c:v>8.619321287850961E-3</c:v>
                  </c:pt>
                  <c:pt idx="413">
                    <c:v>8.7813420166841238E-3</c:v>
                  </c:pt>
                  <c:pt idx="414">
                    <c:v>8.9459695164311459E-3</c:v>
                  </c:pt>
                  <c:pt idx="415">
                    <c:v>9.1132349557905713E-3</c:v>
                  </c:pt>
                  <c:pt idx="416">
                    <c:v>9.2831696301828737E-3</c:v>
                  </c:pt>
                  <c:pt idx="417">
                    <c:v>9.4558049411008708E-3</c:v>
                  </c:pt>
                  <c:pt idx="418">
                    <c:v>9.6311723830546613E-3</c:v>
                  </c:pt>
                  <c:pt idx="419">
                    <c:v>9.8093035561873307E-3</c:v>
                  </c:pt>
                  <c:pt idx="420">
                    <c:v>9.9902301370266081E-3</c:v>
                  </c:pt>
                  <c:pt idx="421">
                    <c:v>1.0173983891539918E-2</c:v>
                  </c:pt>
                  <c:pt idx="422">
                    <c:v>1.036059665649326E-2</c:v>
                  </c:pt>
                  <c:pt idx="423">
                    <c:v>1.0550100327400403E-2</c:v>
                  </c:pt>
                  <c:pt idx="424">
                    <c:v>1.0742526865364215E-2</c:v>
                  </c:pt>
                  <c:pt idx="425">
                    <c:v>1.0937908274983508E-2</c:v>
                  </c:pt>
                  <c:pt idx="426">
                    <c:v>1.1136276605984909E-2</c:v>
                  </c:pt>
                  <c:pt idx="427">
                    <c:v>1.1337663940418867E-2</c:v>
                  </c:pt>
                  <c:pt idx="428">
                    <c:v>1.1542102378914182E-2</c:v>
                  </c:pt>
                  <c:pt idx="429">
                    <c:v>1.1749624041682238E-2</c:v>
                  </c:pt>
                  <c:pt idx="430">
                    <c:v>1.1960261054143891E-2</c:v>
                  </c:pt>
                  <c:pt idx="431">
                    <c:v>1.217404554416782E-2</c:v>
                  </c:pt>
                  <c:pt idx="432">
                    <c:v>1.2391009613951941E-2</c:v>
                  </c:pt>
                  <c:pt idx="433">
                    <c:v>1.2611185352262525E-2</c:v>
                  </c:pt>
                  <c:pt idx="434">
                    <c:v>1.2834604817738789E-2</c:v>
                  </c:pt>
                  <c:pt idx="435">
                    <c:v>1.3061300023201718E-2</c:v>
                  </c:pt>
                  <c:pt idx="436">
                    <c:v>1.3291302920025656E-2</c:v>
                  </c:pt>
                  <c:pt idx="437">
                    <c:v>1.3524645415147541E-2</c:v>
                  </c:pt>
                  <c:pt idx="438">
                    <c:v>1.3761359328637967E-2</c:v>
                  </c:pt>
                  <c:pt idx="439">
                    <c:v>1.4001476394956478E-2</c:v>
                  </c:pt>
                  <c:pt idx="440">
                    <c:v>1.424502825843251E-2</c:v>
                  </c:pt>
                  <c:pt idx="441">
                    <c:v>1.4492046452301982E-2</c:v>
                  </c:pt>
                  <c:pt idx="442">
                    <c:v>1.4742562399083885E-2</c:v>
                  </c:pt>
                  <c:pt idx="443">
                    <c:v>1.4996607373549105E-2</c:v>
                  </c:pt>
                  <c:pt idx="444">
                    <c:v>1.5254212526445486E-2</c:v>
                  </c:pt>
                  <c:pt idx="445">
                    <c:v>1.5515408843575235E-2</c:v>
                  </c:pt>
                  <c:pt idx="446">
                    <c:v>1.5780227145920474E-2</c:v>
                  </c:pt>
                  <c:pt idx="447">
                    <c:v>1.6048698072320153E-2</c:v>
                  </c:pt>
                  <c:pt idx="448">
                    <c:v>1.6320852075955249E-2</c:v>
                  </c:pt>
                  <c:pt idx="449">
                    <c:v>1.6596719390706879E-2</c:v>
                  </c:pt>
                  <c:pt idx="450">
                    <c:v>1.6876330053123945E-2</c:v>
                  </c:pt>
                  <c:pt idx="451">
                    <c:v>1.7159713849575261E-2</c:v>
                  </c:pt>
                  <c:pt idx="452">
                    <c:v>1.7446900324911068E-2</c:v>
                  </c:pt>
                  <c:pt idx="453">
                    <c:v>1.7737918772671772E-2</c:v>
                  </c:pt>
                  <c:pt idx="454">
                    <c:v>1.8032798202450257E-2</c:v>
                  </c:pt>
                  <c:pt idx="455">
                    <c:v>1.8331567344913102E-2</c:v>
                  </c:pt>
                  <c:pt idx="456">
                    <c:v>1.8634254618535264E-2</c:v>
                  </c:pt>
                  <c:pt idx="457">
                    <c:v>1.8940888141399846E-2</c:v>
                  </c:pt>
                  <c:pt idx="458">
                    <c:v>1.9251495689647881E-2</c:v>
                  </c:pt>
                  <c:pt idx="459">
                    <c:v>1.9566104692582666E-2</c:v>
                  </c:pt>
                  <c:pt idx="460">
                    <c:v>1.9884742223380596E-2</c:v>
                  </c:pt>
                  <c:pt idx="461">
                    <c:v>2.0207434976872465E-2</c:v>
                  </c:pt>
                  <c:pt idx="462">
                    <c:v>2.053420925899898E-2</c:v>
                  </c:pt>
                  <c:pt idx="463">
                    <c:v>2.0865090966600549E-2</c:v>
                  </c:pt>
                  <c:pt idx="464">
                    <c:v>2.1200105575491977E-2</c:v>
                  </c:pt>
                  <c:pt idx="465">
                    <c:v>2.153927811736505E-2</c:v>
                  </c:pt>
                  <c:pt idx="466">
                    <c:v>2.1882633178784316E-2</c:v>
                  </c:pt>
                  <c:pt idx="467">
                    <c:v>2.2230194872566372E-2</c:v>
                  </c:pt>
                  <c:pt idx="468">
                    <c:v>2.2581986823092922E-2</c:v>
                  </c:pt>
                  <c:pt idx="469">
                    <c:v>2.293803215225149E-2</c:v>
                  </c:pt>
                  <c:pt idx="470">
                    <c:v>2.3298353457342248E-2</c:v>
                  </c:pt>
                  <c:pt idx="471">
                    <c:v>2.3662972801537775E-2</c:v>
                  </c:pt>
                  <c:pt idx="472">
                    <c:v>2.4031911716017061E-2</c:v>
                  </c:pt>
                  <c:pt idx="473">
                    <c:v>2.4405191117241629E-2</c:v>
                  </c:pt>
                  <c:pt idx="474">
                    <c:v>2.4782831375369067E-2</c:v>
                  </c:pt>
                  <c:pt idx="475">
                    <c:v>2.5164852234667377E-2</c:v>
                  </c:pt>
                  <c:pt idx="476">
                    <c:v>2.5551272823808396E-2</c:v>
                  </c:pt>
                  <c:pt idx="477">
                    <c:v>2.5942111647331786E-2</c:v>
                  </c:pt>
                  <c:pt idx="478">
                    <c:v>2.6337386513591174E-2</c:v>
                  </c:pt>
                  <c:pt idx="479">
                    <c:v>2.673711459325084E-2</c:v>
                  </c:pt>
                  <c:pt idx="480">
                    <c:v>2.7141312371835605E-2</c:v>
                  </c:pt>
                  <c:pt idx="481">
                    <c:v>2.7549995582447081E-2</c:v>
                  </c:pt>
                  <c:pt idx="482">
                    <c:v>2.7963179278319657E-2</c:v>
                  </c:pt>
                  <c:pt idx="483">
                    <c:v>2.8380877737920272E-2</c:v>
                  </c:pt>
                  <c:pt idx="484">
                    <c:v>2.880310448930113E-2</c:v>
                  </c:pt>
                  <c:pt idx="485">
                    <c:v>2.922987228097686E-2</c:v>
                  </c:pt>
                  <c:pt idx="486">
                    <c:v>2.9661193066358896E-2</c:v>
                  </c:pt>
                  <c:pt idx="487">
                    <c:v>3.0097077965594514E-2</c:v>
                  </c:pt>
                  <c:pt idx="488">
                    <c:v>3.0537537296949198E-2</c:v>
                  </c:pt>
                  <c:pt idx="489">
                    <c:v>3.0982580506008051E-2</c:v>
                  </c:pt>
                  <c:pt idx="490">
                    <c:v>3.1432216154880281E-2</c:v>
                  </c:pt>
                  <c:pt idx="491">
                    <c:v>3.1886451952577298E-2</c:v>
                  </c:pt>
                  <c:pt idx="492">
                    <c:v>3.2345294678690843E-2</c:v>
                  </c:pt>
                  <c:pt idx="493">
                    <c:v>3.2808750214524285E-2</c:v>
                  </c:pt>
                  <c:pt idx="494">
                    <c:v>3.3276823453213582E-2</c:v>
                  </c:pt>
                  <c:pt idx="495">
                    <c:v>3.374951839412535E-2</c:v>
                  </c:pt>
                  <c:pt idx="496">
                    <c:v>3.4226837999502338E-2</c:v>
                  </c:pt>
                  <c:pt idx="497">
                    <c:v>3.4708784303171855E-2</c:v>
                  </c:pt>
                  <c:pt idx="498">
                    <c:v>3.519535825011922E-2</c:v>
                  </c:pt>
                  <c:pt idx="499">
                    <c:v>3.5686559831055245E-2</c:v>
                  </c:pt>
                  <c:pt idx="500">
                    <c:v>3.6182387941321233E-2</c:v>
                  </c:pt>
                  <c:pt idx="501">
                    <c:v>3.6682840441143054E-2</c:v>
                  </c:pt>
                  <c:pt idx="502">
                    <c:v>3.7187914080564592E-2</c:v>
                  </c:pt>
                  <c:pt idx="503">
                    <c:v>3.7697604553927476E-2</c:v>
                  </c:pt>
                  <c:pt idx="504">
                    <c:v>3.8211906422796066E-2</c:v>
                  </c:pt>
                  <c:pt idx="505">
                    <c:v>3.8730813098132227E-2</c:v>
                  </c:pt>
                  <c:pt idx="506">
                    <c:v>3.9254316881971153E-2</c:v>
                  </c:pt>
                  <c:pt idx="507">
                    <c:v>3.9782408889844134E-2</c:v>
                  </c:pt>
                  <c:pt idx="508">
                    <c:v>4.0315079048519081E-2</c:v>
                  </c:pt>
                  <c:pt idx="509">
                    <c:v>4.0852316100268488E-2</c:v>
                  </c:pt>
                  <c:pt idx="510">
                    <c:v>4.139410761893722E-2</c:v>
                  </c:pt>
                  <c:pt idx="511">
                    <c:v>4.1940439856545567E-2</c:v>
                  </c:pt>
                  <c:pt idx="512">
                    <c:v>4.2491297922796295E-2</c:v>
                  </c:pt>
                  <c:pt idx="513">
                    <c:v>4.3046665632179855E-2</c:v>
                  </c:pt>
                  <c:pt idx="514">
                    <c:v>4.3606525477864228E-2</c:v>
                  </c:pt>
                  <c:pt idx="515">
                    <c:v>4.4170858731867421E-2</c:v>
                  </c:pt>
                  <c:pt idx="516">
                    <c:v>4.4739645380786397E-2</c:v>
                  </c:pt>
                  <c:pt idx="517">
                    <c:v>4.5312864017841813E-2</c:v>
                  </c:pt>
                  <c:pt idx="518">
                    <c:v>4.5890491961377726E-2</c:v>
                  </c:pt>
                  <c:pt idx="519">
                    <c:v>4.6472505191092722E-2</c:v>
                  </c:pt>
                  <c:pt idx="520">
                    <c:v>4.7058878310381039E-2</c:v>
                  </c:pt>
                  <c:pt idx="521">
                    <c:v>4.7649584572944846E-2</c:v>
                  </c:pt>
                  <c:pt idx="522">
                    <c:v>4.8244595843629022E-2</c:v>
                  </c:pt>
                  <c:pt idx="523">
                    <c:v>4.8843882597416968E-2</c:v>
                  </c:pt>
                  <c:pt idx="524">
                    <c:v>4.9447413919932702E-2</c:v>
                  </c:pt>
                  <c:pt idx="525">
                    <c:v>5.0055157444174041E-2</c:v>
                  </c:pt>
                  <c:pt idx="526">
                    <c:v>5.0667079403234949E-2</c:v>
                  </c:pt>
                  <c:pt idx="527">
                    <c:v>5.1283144610722961E-2</c:v>
                  </c:pt>
                  <c:pt idx="528">
                    <c:v>5.1903316420087643E-2</c:v>
                  </c:pt>
                  <c:pt idx="529">
                    <c:v>5.2527556717088836E-2</c:v>
                  </c:pt>
                  <c:pt idx="530">
                    <c:v>5.3155825951932197E-2</c:v>
                  </c:pt>
                  <c:pt idx="531">
                    <c:v>5.3788083060938817E-2</c:v>
                  </c:pt>
                  <c:pt idx="532">
                    <c:v>5.4424285519769723E-2</c:v>
                  </c:pt>
                  <c:pt idx="533">
                    <c:v>5.506438932032845E-2</c:v>
                  </c:pt>
                  <c:pt idx="534">
                    <c:v>5.5708348976284336E-2</c:v>
                  </c:pt>
                  <c:pt idx="535">
                    <c:v>5.6356117416121475E-2</c:v>
                  </c:pt>
                  <c:pt idx="536">
                    <c:v>5.7007646182981521E-2</c:v>
                  </c:pt>
                  <c:pt idx="537">
                    <c:v>5.766288520218326E-2</c:v>
                  </c:pt>
                  <c:pt idx="538">
                    <c:v>5.8321782925832434E-2</c:v>
                  </c:pt>
                  <c:pt idx="539">
                    <c:v>5.8984286289639663E-2</c:v>
                  </c:pt>
                  <c:pt idx="540">
                    <c:v>5.9650340625049862E-2</c:v>
                  </c:pt>
                  <c:pt idx="541">
                    <c:v>6.0319889824438921E-2</c:v>
                  </c:pt>
                  <c:pt idx="542">
                    <c:v>6.0992876190980538E-2</c:v>
                  </c:pt>
                  <c:pt idx="543">
                    <c:v>6.1669240480321998E-2</c:v>
                  </c:pt>
                  <c:pt idx="544">
                    <c:v>6.2348921986948386E-2</c:v>
                  </c:pt>
                  <c:pt idx="545">
                    <c:v>6.3031858363420276E-2</c:v>
                  </c:pt>
                  <c:pt idx="546">
                    <c:v>6.371798575092423E-2</c:v>
                  </c:pt>
                  <c:pt idx="547">
                    <c:v>6.4407238780277168E-2</c:v>
                  </c:pt>
                  <c:pt idx="548">
                    <c:v>6.5099550515689053E-2</c:v>
                  </c:pt>
                  <c:pt idx="549">
                    <c:v>6.5794852452252403E-2</c:v>
                  </c:pt>
                  <c:pt idx="550">
                    <c:v>6.6493074603812832E-2</c:v>
                  </c:pt>
                  <c:pt idx="551">
                    <c:v>6.7194145436689515E-2</c:v>
                  </c:pt>
                  <c:pt idx="552">
                    <c:v>6.7897991772766536E-2</c:v>
                  </c:pt>
                  <c:pt idx="553">
                    <c:v>6.8604539101307843E-2</c:v>
                  </c:pt>
                  <c:pt idx="554">
                    <c:v>6.9313711265133846E-2</c:v>
                  </c:pt>
                  <c:pt idx="555">
                    <c:v>7.0025430544474965E-2</c:v>
                  </c:pt>
                  <c:pt idx="556">
                    <c:v>7.0739617794049803E-2</c:v>
                  </c:pt>
                  <c:pt idx="557">
                    <c:v>7.1456192351679701E-2</c:v>
                  </c:pt>
                  <c:pt idx="558">
                    <c:v>7.2175071995106629E-2</c:v>
                  </c:pt>
                  <c:pt idx="559">
                    <c:v>7.2896173058986602E-2</c:v>
                  </c:pt>
                  <c:pt idx="560">
                    <c:v>7.3619410400243557E-2</c:v>
                  </c:pt>
                  <c:pt idx="561">
                    <c:v>7.4344697353380895E-2</c:v>
                  </c:pt>
                  <c:pt idx="562">
                    <c:v>7.5071945845968505E-2</c:v>
                  </c:pt>
                  <c:pt idx="563">
                    <c:v>7.580106627110493E-2</c:v>
                  </c:pt>
                  <c:pt idx="564">
                    <c:v>7.6531967712366006E-2</c:v>
                  </c:pt>
                  <c:pt idx="565">
                    <c:v>7.7264557670652934E-2</c:v>
                  </c:pt>
                  <c:pt idx="566">
                    <c:v>7.7998742306212926E-2</c:v>
                  </c:pt>
                  <c:pt idx="567">
                    <c:v>7.8734426375372438E-2</c:v>
                  </c:pt>
                  <c:pt idx="568">
                    <c:v>7.9471513307863187E-2</c:v>
                  </c:pt>
                  <c:pt idx="569">
                    <c:v>8.0209904960784645E-2</c:v>
                  </c:pt>
                  <c:pt idx="570">
                    <c:v>8.0949502061471654E-2</c:v>
                  </c:pt>
                  <c:pt idx="571">
                    <c:v>8.169020391727054E-2</c:v>
                  </c:pt>
                  <c:pt idx="572">
                    <c:v>8.2431908395454334E-2</c:v>
                  </c:pt>
                  <c:pt idx="573">
                    <c:v>8.3174512234535744E-2</c:v>
                  </c:pt>
                  <c:pt idx="574">
                    <c:v>8.3917910755047384E-2</c:v>
                  </c:pt>
                  <c:pt idx="575">
                    <c:v>8.4661998091520127E-2</c:v>
                  </c:pt>
                  <c:pt idx="576">
                    <c:v>8.5406667085029905E-2</c:v>
                  </c:pt>
                  <c:pt idx="577">
                    <c:v>8.6151809400693238E-2</c:v>
                  </c:pt>
                  <c:pt idx="578">
                    <c:v>8.6897315435277664E-2</c:v>
                  </c:pt>
                  <c:pt idx="579">
                    <c:v>8.7643074435701351E-2</c:v>
                  </c:pt>
                  <c:pt idx="580">
                    <c:v>8.8388974505058643E-2</c:v>
                  </c:pt>
                  <c:pt idx="581">
                    <c:v>8.9134902592577642E-2</c:v>
                  </c:pt>
                  <c:pt idx="582">
                    <c:v>8.98807445388108E-2</c:v>
                  </c:pt>
                  <c:pt idx="583">
                    <c:v>9.0626385111787403E-2</c:v>
                  </c:pt>
                  <c:pt idx="584">
                    <c:v>9.1371708017055894E-2</c:v>
                  </c:pt>
                  <c:pt idx="585">
                    <c:v>9.2116595937853291E-2</c:v>
                  </c:pt>
                  <c:pt idx="586">
                    <c:v>9.2860930531088265E-2</c:v>
                  </c:pt>
                  <c:pt idx="587">
                    <c:v>9.3604592509688417E-2</c:v>
                  </c:pt>
                  <c:pt idx="588">
                    <c:v>9.4347461610464728E-2</c:v>
                  </c:pt>
                  <c:pt idx="589">
                    <c:v>9.5089416682484287E-2</c:v>
                  </c:pt>
                  <c:pt idx="590">
                    <c:v>9.5830335677027936E-2</c:v>
                  </c:pt>
                  <c:pt idx="591">
                    <c:v>9.6570095683742682E-2</c:v>
                  </c:pt>
                  <c:pt idx="592">
                    <c:v>9.7308572976836621E-2</c:v>
                  </c:pt>
                  <c:pt idx="593">
                    <c:v>9.8045643047214359E-2</c:v>
                  </c:pt>
                  <c:pt idx="594">
                    <c:v>9.8781180628587179E-2</c:v>
                  </c:pt>
                  <c:pt idx="595">
                    <c:v>9.9515059703498485E-2</c:v>
                  </c:pt>
                  <c:pt idx="596">
                    <c:v>0.10024715360173875</c:v>
                  </c:pt>
                  <c:pt idx="597">
                    <c:v>0.10097733497825243</c:v>
                  </c:pt>
                  <c:pt idx="598">
                    <c:v>0.10170547586736663</c:v>
                  </c:pt>
                  <c:pt idx="599">
                    <c:v>0.10243144773300289</c:v>
                  </c:pt>
                  <c:pt idx="600">
                    <c:v>0.10315512148675336</c:v>
                  </c:pt>
                  <c:pt idx="601">
                    <c:v>0.10387636752604182</c:v>
                  </c:pt>
                  <c:pt idx="602">
                    <c:v>0.10459505576625912</c:v>
                  </c:pt>
                  <c:pt idx="603">
                    <c:v>0.10531105572511899</c:v>
                  </c:pt>
                  <c:pt idx="604">
                    <c:v>0.10602423649052251</c:v>
                  </c:pt>
                  <c:pt idx="605">
                    <c:v>0.10673446679487147</c:v>
                  </c:pt>
                  <c:pt idx="606">
                    <c:v>0.10744161509540728</c:v>
                  </c:pt>
                  <c:pt idx="607">
                    <c:v>0.10814554951596522</c:v>
                  </c:pt>
                  <c:pt idx="608">
                    <c:v>0.10884613799158435</c:v>
                  </c:pt>
                  <c:pt idx="609">
                    <c:v>0.10954324823235509</c:v>
                  </c:pt>
                  <c:pt idx="610">
                    <c:v>0.11023674781179182</c:v>
                  </c:pt>
                  <c:pt idx="611">
                    <c:v>0.11092650418892618</c:v>
                  </c:pt>
                  <c:pt idx="612">
                    <c:v>0.11161238475048481</c:v>
                  </c:pt>
                  <c:pt idx="613">
                    <c:v>0.11229425686913506</c:v>
                  </c:pt>
                  <c:pt idx="614">
                    <c:v>0.11297198791352742</c:v>
                  </c:pt>
                  <c:pt idx="615">
                    <c:v>0.11364544532461721</c:v>
                  </c:pt>
                  <c:pt idx="616">
                    <c:v>0.11431449664780026</c:v>
                  </c:pt>
                  <c:pt idx="617">
                    <c:v>0.11497900957308227</c:v>
                  </c:pt>
                  <c:pt idx="618">
                    <c:v>0.1156388519832821</c:v>
                  </c:pt>
                  <c:pt idx="619">
                    <c:v>0.11629389199420113</c:v>
                  </c:pt>
                  <c:pt idx="620">
                    <c:v>0.11694399800282665</c:v>
                  </c:pt>
                  <c:pt idx="621">
                    <c:v>0.11758903873352658</c:v>
                  </c:pt>
                  <c:pt idx="622">
                    <c:v>0.11822888328223588</c:v>
                  </c:pt>
                  <c:pt idx="623">
                    <c:v>0.11886340115060051</c:v>
                  </c:pt>
                  <c:pt idx="624">
                    <c:v>0.11949246230824004</c:v>
                  </c:pt>
                  <c:pt idx="625">
                    <c:v>0.12011593723693399</c:v>
                  </c:pt>
                  <c:pt idx="626">
                    <c:v>0.12073369694869804</c:v>
                  </c:pt>
                  <c:pt idx="627">
                    <c:v>0.12134561307616522</c:v>
                  </c:pt>
                  <c:pt idx="628">
                    <c:v>0.12195155787459439</c:v>
                  </c:pt>
                  <c:pt idx="629">
                    <c:v>0.12255140429618359</c:v>
                  </c:pt>
                  <c:pt idx="630">
                    <c:v>0.12314502603023955</c:v>
                  </c:pt>
                  <c:pt idx="631">
                    <c:v>0.12373229753933006</c:v>
                  </c:pt>
                  <c:pt idx="632">
                    <c:v>0.12431309411552116</c:v>
                  </c:pt>
                  <c:pt idx="633">
                    <c:v>0.12488729189845342</c:v>
                  </c:pt>
                  <c:pt idx="634">
                    <c:v>0.12545476799183314</c:v>
                  </c:pt>
                  <c:pt idx="635">
                    <c:v>0.12601540040518683</c:v>
                  </c:pt>
                  <c:pt idx="636">
                    <c:v>0.12656906818240315</c:v>
                  </c:pt>
                  <c:pt idx="637">
                    <c:v>0.12711565142181783</c:v>
                  </c:pt>
                  <c:pt idx="638">
                    <c:v>0.1276550312902727</c:v>
                  </c:pt>
                  <c:pt idx="639">
                    <c:v>0.12818709012956483</c:v>
                  </c:pt>
                  <c:pt idx="640">
                    <c:v>0.12871171144037871</c:v>
                  </c:pt>
                  <c:pt idx="641">
                    <c:v>0.12922877996262505</c:v>
                  </c:pt>
                  <c:pt idx="642">
                    <c:v>0.12973818169552545</c:v>
                  </c:pt>
                  <c:pt idx="643">
                    <c:v>0.13023980396790888</c:v>
                  </c:pt>
                  <c:pt idx="644">
                    <c:v>0.13073353546030492</c:v>
                  </c:pt>
                  <c:pt idx="645">
                    <c:v>0.131219266253147</c:v>
                  </c:pt>
                  <c:pt idx="646">
                    <c:v>0.13169688787296718</c:v>
                  </c:pt>
                  <c:pt idx="647">
                    <c:v>0.13216629332854871</c:v>
                  </c:pt>
                  <c:pt idx="648">
                    <c:v>0.1326273771591292</c:v>
                  </c:pt>
                  <c:pt idx="649">
                    <c:v>0.13308003546653624</c:v>
                  </c:pt>
                  <c:pt idx="650">
                    <c:v>0.1335241659613822</c:v>
                  </c:pt>
                  <c:pt idx="651">
                    <c:v>0.13395966800725057</c:v>
                  </c:pt>
                  <c:pt idx="652">
                    <c:v>0.13438644265483993</c:v>
                  </c:pt>
                  <c:pt idx="653">
                    <c:v>0.1348043926801249</c:v>
                  </c:pt>
                  <c:pt idx="654">
                    <c:v>0.13521342262251715</c:v>
                  </c:pt>
                  <c:pt idx="655">
                    <c:v>0.13561343882503468</c:v>
                  </c:pt>
                  <c:pt idx="656">
                    <c:v>0.13600434947848827</c:v>
                  </c:pt>
                  <c:pt idx="657">
                    <c:v>0.13638606463955766</c:v>
                  </c:pt>
                  <c:pt idx="658">
                    <c:v>0.13675849628903722</c:v>
                  </c:pt>
                  <c:pt idx="659">
                    <c:v>0.13712155834388673</c:v>
                  </c:pt>
                  <c:pt idx="660">
                    <c:v>0.13747516671547708</c:v>
                  </c:pt>
                  <c:pt idx="661">
                    <c:v>0.13781923932565801</c:v>
                  </c:pt>
                  <c:pt idx="662">
                    <c:v>0.13815369615094444</c:v>
                  </c:pt>
                  <c:pt idx="663">
                    <c:v>0.13847845924460964</c:v>
                  </c:pt>
                  <c:pt idx="664">
                    <c:v>0.13879345277685468</c:v>
                  </c:pt>
                  <c:pt idx="665">
                    <c:v>0.13909860306292696</c:v>
                  </c:pt>
                  <c:pt idx="666">
                    <c:v>0.13939383859525581</c:v>
                  </c:pt>
                  <c:pt idx="667">
                    <c:v>0.13967909006152862</c:v>
                  </c:pt>
                  <c:pt idx="668">
                    <c:v>0.13995429039289423</c:v>
                  </c:pt>
                  <c:pt idx="669">
                    <c:v>0.14021937477601371</c:v>
                  </c:pt>
                  <c:pt idx="670">
                    <c:v>0.14047428068117887</c:v>
                  </c:pt>
                  <c:pt idx="671">
                    <c:v>0.14071894789243952</c:v>
                  </c:pt>
                  <c:pt idx="672">
                    <c:v>0.14095331853371335</c:v>
                  </c:pt>
                  <c:pt idx="673">
                    <c:v>0.14117733708887079</c:v>
                  </c:pt>
                  <c:pt idx="674">
                    <c:v>0.1413909504178027</c:v>
                  </c:pt>
                  <c:pt idx="675">
                    <c:v>0.14159410780060672</c:v>
                  </c:pt>
                  <c:pt idx="676">
                    <c:v>0.1417867609335704</c:v>
                  </c:pt>
                  <c:pt idx="677">
                    <c:v>0.14196886396130662</c:v>
                  </c:pt>
                  <c:pt idx="678">
                    <c:v>0.14214037349482994</c:v>
                  </c:pt>
                  <c:pt idx="679">
                    <c:v>0.1423012486316412</c:v>
                  </c:pt>
                  <c:pt idx="680">
                    <c:v>0.14245145096777839</c:v>
                  </c:pt>
                  <c:pt idx="681">
                    <c:v>0.14259094461790134</c:v>
                  </c:pt>
                  <c:pt idx="682">
                    <c:v>0.14271969622533409</c:v>
                  </c:pt>
                  <c:pt idx="683">
                    <c:v>0.14283767498214961</c:v>
                  </c:pt>
                  <c:pt idx="684">
                    <c:v>0.14294485263519516</c:v>
                  </c:pt>
                  <c:pt idx="685">
                    <c:v>0.14304120350818544</c:v>
                  </c:pt>
                  <c:pt idx="686">
                    <c:v>0.14312670449969428</c:v>
                  </c:pt>
                  <c:pt idx="687">
                    <c:v>0.14320133510524757</c:v>
                  </c:pt>
                  <c:pt idx="688">
                    <c:v>0.14326507741531508</c:v>
                  </c:pt>
                  <c:pt idx="689">
                    <c:v>0.14331791612535247</c:v>
                  </c:pt>
                  <c:pt idx="690">
                    <c:v>0.14335983854986095</c:v>
                  </c:pt>
                  <c:pt idx="691">
                    <c:v>0.14339083462037847</c:v>
                  </c:pt>
                  <c:pt idx="692">
                    <c:v>0.14341089688949693</c:v>
                  </c:pt>
                  <c:pt idx="693">
                    <c:v>0.1434200205368874</c:v>
                  </c:pt>
                  <c:pt idx="694">
                    <c:v>0.14341819491163152</c:v>
                  </c:pt>
                  <c:pt idx="695">
                    <c:v>0.14340542468342288</c:v>
                  </c:pt>
                  <c:pt idx="696">
                    <c:v>0.14338171714903439</c:v>
                  </c:pt>
                  <c:pt idx="697">
                    <c:v>0.14334707800448798</c:v>
                  </c:pt>
                  <c:pt idx="698">
                    <c:v>0.14330151557087645</c:v>
                  </c:pt>
                  <c:pt idx="699">
                    <c:v>0.14324504078632941</c:v>
                  </c:pt>
                  <c:pt idx="700">
                    <c:v>0.14317766721806424</c:v>
                  </c:pt>
                  <c:pt idx="701">
                    <c:v>0.14309941103025053</c:v>
                  </c:pt>
                  <c:pt idx="702">
                    <c:v>0.14301029100409474</c:v>
                  </c:pt>
                  <c:pt idx="703">
                    <c:v>0.14291032850771315</c:v>
                  </c:pt>
                  <c:pt idx="704">
                    <c:v>0.14279954750818272</c:v>
                  </c:pt>
                  <c:pt idx="705">
                    <c:v>0.14267797453739708</c:v>
                  </c:pt>
                  <c:pt idx="706">
                    <c:v>0.14254563870010045</c:v>
                  </c:pt>
                  <c:pt idx="707">
                    <c:v>0.14240257165781975</c:v>
                  </c:pt>
                  <c:pt idx="708">
                    <c:v>0.14224880760878006</c:v>
                  </c:pt>
                  <c:pt idx="709">
                    <c:v>0.14208438328187903</c:v>
                  </c:pt>
                  <c:pt idx="710">
                    <c:v>0.14190933791459395</c:v>
                  </c:pt>
                  <c:pt idx="711">
                    <c:v>0.14172371324293914</c:v>
                  </c:pt>
                  <c:pt idx="712">
                    <c:v>0.14152755347736445</c:v>
                  </c:pt>
                  <c:pt idx="713">
                    <c:v>0.14132090529271291</c:v>
                  </c:pt>
                  <c:pt idx="714">
                    <c:v>0.14110381779608511</c:v>
                  </c:pt>
                  <c:pt idx="715">
                    <c:v>0.14087634252483086</c:v>
                  </c:pt>
                  <c:pt idx="716">
                    <c:v>0.14063853340838814</c:v>
                  </c:pt>
                  <c:pt idx="717">
                    <c:v>0.14039044675221538</c:v>
                  </c:pt>
                  <c:pt idx="718">
                    <c:v>0.14013214121569831</c:v>
                  </c:pt>
                  <c:pt idx="719">
                    <c:v>0.13986367778804831</c:v>
                  </c:pt>
                  <c:pt idx="720">
                    <c:v>0.13958511976620916</c:v>
                  </c:pt>
                  <c:pt idx="721">
                    <c:v>0.13929653271468773</c:v>
                  </c:pt>
                  <c:pt idx="722">
                    <c:v>0.13899798445350312</c:v>
                  </c:pt>
                  <c:pt idx="723">
                    <c:v>0.13868954503207656</c:v>
                  </c:pt>
                  <c:pt idx="724">
                    <c:v>0.13837128668705345</c:v>
                  </c:pt>
                  <c:pt idx="725">
                    <c:v>0.13804328382221878</c:v>
                  </c:pt>
                  <c:pt idx="726">
                    <c:v>0.1377056129663192</c:v>
                  </c:pt>
                  <c:pt idx="727">
                    <c:v>0.13735835277507147</c:v>
                  </c:pt>
                  <c:pt idx="728">
                    <c:v>0.13700158395684905</c:v>
                  </c:pt>
                  <c:pt idx="729">
                    <c:v>0.13663538926063132</c:v>
                  </c:pt>
                  <c:pt idx="730">
                    <c:v>0.13625985344587652</c:v>
                  </c:pt>
                  <c:pt idx="731">
                    <c:v>0.13587506324837767</c:v>
                  </c:pt>
                  <c:pt idx="732">
                    <c:v>0.1354811073220171</c:v>
                  </c:pt>
                  <c:pt idx="733">
                    <c:v>0.13507807624680016</c:v>
                  </c:pt>
                  <c:pt idx="734">
                    <c:v>0.134666062446508</c:v>
                  </c:pt>
                  <c:pt idx="735">
                    <c:v>0.13424516018869762</c:v>
                  </c:pt>
                  <c:pt idx="736">
                    <c:v>0.13381546551842222</c:v>
                  </c:pt>
                  <c:pt idx="737">
                    <c:v>0.13337707624216361</c:v>
                  </c:pt>
                  <c:pt idx="738">
                    <c:v>0.13293009187762031</c:v>
                  </c:pt>
                  <c:pt idx="739">
                    <c:v>0.13247461361755511</c:v>
                  </c:pt>
                  <c:pt idx="740">
                    <c:v>0.13201074429565113</c:v>
                  </c:pt>
                  <c:pt idx="741">
                    <c:v>0.13153858832424919</c:v>
                  </c:pt>
                  <c:pt idx="742">
                    <c:v>0.13105825168028856</c:v>
                  </c:pt>
                  <c:pt idx="743">
                    <c:v>0.130569841863129</c:v>
                  </c:pt>
                  <c:pt idx="744">
                    <c:v>0.13007346782827134</c:v>
                  </c:pt>
                  <c:pt idx="745">
                    <c:v>0.12956923996325573</c:v>
                  </c:pt>
                  <c:pt idx="746">
                    <c:v>0.1290572700515093</c:v>
                  </c:pt>
                  <c:pt idx="747">
                    <c:v>0.12853767120405804</c:v>
                  </c:pt>
                  <c:pt idx="748">
                    <c:v>0.12801055784948454</c:v>
                  </c:pt>
                  <c:pt idx="749">
                    <c:v>0.12747604566162302</c:v>
                  </c:pt>
                  <c:pt idx="750">
                    <c:v>0.12693425153545762</c:v>
                  </c:pt>
                  <c:pt idx="751">
                    <c:v>0.12638529352887692</c:v>
                  </c:pt>
                  <c:pt idx="752">
                    <c:v>0.12582929082852978</c:v>
                  </c:pt>
                  <c:pt idx="753">
                    <c:v>0.12526636370162222</c:v>
                  </c:pt>
                  <c:pt idx="754">
                    <c:v>0.12469663344369694</c:v>
                  </c:pt>
                  <c:pt idx="755">
                    <c:v>0.12412022235854889</c:v>
                  </c:pt>
                  <c:pt idx="756">
                    <c:v>0.12353725366784393</c:v>
                  </c:pt>
                  <c:pt idx="757">
                    <c:v>0.12294785151513583</c:v>
                  </c:pt>
                  <c:pt idx="758">
                    <c:v>0.12235214089556982</c:v>
                  </c:pt>
                  <c:pt idx="759">
                    <c:v>0.12175024760767923</c:v>
                  </c:pt>
                  <c:pt idx="760">
                    <c:v>0.12114229821522464</c:v>
                  </c:pt>
                  <c:pt idx="761">
                    <c:v>0.12052842000300747</c:v>
                  </c:pt>
                  <c:pt idx="762">
                    <c:v>0.11990874092464981</c:v>
                  </c:pt>
                  <c:pt idx="763">
                    <c:v>0.11928338956242496</c:v>
                  </c:pt>
                  <c:pt idx="764">
                    <c:v>0.11865249508507954</c:v>
                  </c:pt>
                  <c:pt idx="765">
                    <c:v>0.11801618718155403</c:v>
                  </c:pt>
                  <c:pt idx="766">
                    <c:v>0.1173745960569658</c:v>
                  </c:pt>
                  <c:pt idx="767">
                    <c:v>0.11672785233620252</c:v>
                  </c:pt>
                  <c:pt idx="768">
                    <c:v>0.11607608705387978</c:v>
                  </c:pt>
                  <c:pt idx="769">
                    <c:v>0.11541943161015483</c:v>
                  </c:pt>
                  <c:pt idx="770">
                    <c:v>0.11475801769440463</c:v>
                  </c:pt>
                  <c:pt idx="771">
                    <c:v>0.11409197727518353</c:v>
                  </c:pt>
                  <c:pt idx="772">
                    <c:v>0.11342144254197761</c:v>
                  </c:pt>
                  <c:pt idx="773">
                    <c:v>0.1127465458650353</c:v>
                  </c:pt>
                  <c:pt idx="774">
                    <c:v>0.11206741973310475</c:v>
                  </c:pt>
                  <c:pt idx="775">
                    <c:v>0.11138419673334919</c:v>
                  </c:pt>
                  <c:pt idx="776">
                    <c:v>0.11069700949310125</c:v>
                  </c:pt>
                  <c:pt idx="777">
                    <c:v>0.11000599064973592</c:v>
                  </c:pt>
                  <c:pt idx="778">
                    <c:v>0.10931127279242488</c:v>
                  </c:pt>
                  <c:pt idx="779">
                    <c:v>0.10861298843401794</c:v>
                  </c:pt>
                  <c:pt idx="780">
                    <c:v>0.10791126995480586</c:v>
                  </c:pt>
                  <c:pt idx="781">
                    <c:v>0.10720624957841876</c:v>
                  </c:pt>
                  <c:pt idx="782">
                    <c:v>0.10649805930554648</c:v>
                  </c:pt>
                  <c:pt idx="783">
                    <c:v>0.10578683090389635</c:v>
                  </c:pt>
                  <c:pt idx="784">
                    <c:v>0.10507269584392204</c:v>
                  </c:pt>
                  <c:pt idx="785">
                    <c:v>0.10435578526668811</c:v>
                  </c:pt>
                  <c:pt idx="786">
                    <c:v>0.10363622993968363</c:v>
                  </c:pt>
                  <c:pt idx="787">
                    <c:v>0.10291416024075439</c:v>
                  </c:pt>
                  <c:pt idx="788">
                    <c:v>0.10218970607374721</c:v>
                  </c:pt>
                  <c:pt idx="789">
                    <c:v>0.10146299687855223</c:v>
                  </c:pt>
                  <c:pt idx="790">
                    <c:v>0.10073416157888271</c:v>
                  </c:pt>
                  <c:pt idx="791">
                    <c:v>0.10000332850394467</c:v>
                  </c:pt>
                  <c:pt idx="792">
                    <c:v>9.9270625426597842E-2</c:v>
                  </c:pt>
                  <c:pt idx="793">
                    <c:v>9.8536179470966045E-2</c:v>
                  </c:pt>
                  <c:pt idx="794">
                    <c:v>9.7800117102394807E-2</c:v>
                  </c:pt>
                  <c:pt idx="795">
                    <c:v>9.706256407723958E-2</c:v>
                  </c:pt>
                  <c:pt idx="796">
                    <c:v>9.6323645410730296E-2</c:v>
                  </c:pt>
                  <c:pt idx="797">
                    <c:v>9.5583485364920492E-2</c:v>
                  </c:pt>
                  <c:pt idx="798">
                    <c:v>9.4842207398475514E-2</c:v>
                  </c:pt>
                  <c:pt idx="799">
                    <c:v>9.4099934134537072E-2</c:v>
                  </c:pt>
                  <c:pt idx="800">
                    <c:v>9.3356787322562237E-2</c:v>
                  </c:pt>
                  <c:pt idx="801">
                    <c:v>9.2612887818238815E-2</c:v>
                  </c:pt>
                  <c:pt idx="802">
                    <c:v>9.1868355579468278E-2</c:v>
                  </c:pt>
                  <c:pt idx="803">
                    <c:v>9.1123309567950866E-2</c:v>
                  </c:pt>
                  <c:pt idx="804">
                    <c:v>9.0377867779312518E-2</c:v>
                  </c:pt>
                  <c:pt idx="805">
                    <c:v>8.9632147210969418E-2</c:v>
                  </c:pt>
                  <c:pt idx="806">
                    <c:v>8.8886263803882343E-2</c:v>
                  </c:pt>
                  <c:pt idx="807">
                    <c:v>8.8140332430505813E-2</c:v>
                  </c:pt>
                  <c:pt idx="808">
                    <c:v>8.7394466880728813E-2</c:v>
                  </c:pt>
                  <c:pt idx="809">
                    <c:v>8.6648779819696958E-2</c:v>
                  </c:pt>
                  <c:pt idx="810">
                    <c:v>8.5903382801871708E-2</c:v>
                  </c:pt>
                  <c:pt idx="811">
                    <c:v>8.5158386146505241E-2</c:v>
                  </c:pt>
                  <c:pt idx="812">
                    <c:v>8.4413899044089399E-2</c:v>
                  </c:pt>
                  <c:pt idx="813">
                    <c:v>8.3670029460953366E-2</c:v>
                  </c:pt>
                  <c:pt idx="814">
                    <c:v>8.2926884108132259E-2</c:v>
                  </c:pt>
                  <c:pt idx="815">
                    <c:v>8.2184568525723062E-2</c:v>
                  </c:pt>
                  <c:pt idx="816">
                    <c:v>8.1443186849901886E-2</c:v>
                  </c:pt>
                  <c:pt idx="817">
                    <c:v>8.0702842001720315E-2</c:v>
                  </c:pt>
                  <c:pt idx="818">
                    <c:v>7.9963635555550555E-2</c:v>
                  </c:pt>
                  <c:pt idx="819">
                    <c:v>7.9225667798335259E-2</c:v>
                  </c:pt>
                  <c:pt idx="820">
                    <c:v>7.8489037681384308E-2</c:v>
                  </c:pt>
                  <c:pt idx="821">
                    <c:v>7.7753842772171497E-2</c:v>
                  </c:pt>
                  <c:pt idx="822">
                    <c:v>7.7020179143868675E-2</c:v>
                  </c:pt>
                  <c:pt idx="823">
                    <c:v>7.6288141686658609E-2</c:v>
                  </c:pt>
                  <c:pt idx="824">
                    <c:v>7.5557823728134133E-2</c:v>
                  </c:pt>
                  <c:pt idx="825">
                    <c:v>7.4829317222094363E-2</c:v>
                  </c:pt>
                  <c:pt idx="826">
                    <c:v>7.4102712687286285E-2</c:v>
                  </c:pt>
                  <c:pt idx="827">
                    <c:v>7.337809922045993E-2</c:v>
                  </c:pt>
                  <c:pt idx="828">
                    <c:v>7.2655564451177643E-2</c:v>
                  </c:pt>
                  <c:pt idx="829">
                    <c:v>7.1935194460471183E-2</c:v>
                  </c:pt>
                  <c:pt idx="830">
                    <c:v>7.1217073933485364E-2</c:v>
                  </c:pt>
                  <c:pt idx="831">
                    <c:v>7.0501286112781128E-2</c:v>
                  </c:pt>
                  <c:pt idx="832">
                    <c:v>6.9787912609037314E-2</c:v>
                  </c:pt>
                  <c:pt idx="833">
                    <c:v>6.9077033649096592E-2</c:v>
                  </c:pt>
                  <c:pt idx="834">
                    <c:v>6.8368727914283736E-2</c:v>
                  </c:pt>
                  <c:pt idx="835">
                    <c:v>6.766307249872977E-2</c:v>
                  </c:pt>
                  <c:pt idx="836">
                    <c:v>6.696014310067884E-2</c:v>
                  </c:pt>
                  <c:pt idx="837">
                    <c:v>6.6260013804569154E-2</c:v>
                  </c:pt>
                  <c:pt idx="838">
                    <c:v>6.5562757198026317E-2</c:v>
                  </c:pt>
                  <c:pt idx="839">
                    <c:v>6.4868444282486518E-2</c:v>
                  </c:pt>
                  <c:pt idx="840">
                    <c:v>6.4177144583662304E-2</c:v>
                  </c:pt>
                  <c:pt idx="841">
                    <c:v>6.3488926064174167E-2</c:v>
                  </c:pt>
                  <c:pt idx="842">
                    <c:v>6.280385515769453E-2</c:v>
                  </c:pt>
                  <c:pt idx="843">
                    <c:v>6.2121996747356668E-2</c:v>
                  </c:pt>
                  <c:pt idx="844">
                    <c:v>6.1443414130104415E-2</c:v>
                  </c:pt>
                  <c:pt idx="845">
                    <c:v>6.0768169109583867E-2</c:v>
                  </c:pt>
                  <c:pt idx="846">
                    <c:v>6.0096321968024773E-2</c:v>
                  </c:pt>
                  <c:pt idx="847">
                    <c:v>5.9427931401969586E-2</c:v>
                  </c:pt>
                  <c:pt idx="848">
                    <c:v>5.8763054567463932E-2</c:v>
                  </c:pt>
                  <c:pt idx="849">
                    <c:v>5.8101747076541872E-2</c:v>
                  </c:pt>
                  <c:pt idx="850">
                    <c:v>5.7444063104679019E-2</c:v>
                  </c:pt>
                  <c:pt idx="851">
                    <c:v>5.6790055189443391E-2</c:v>
                  </c:pt>
                  <c:pt idx="852">
                    <c:v>5.6139774371590463E-2</c:v>
                  </c:pt>
                  <c:pt idx="853">
                    <c:v>5.5493270192050477E-2</c:v>
                  </c:pt>
                  <c:pt idx="854">
                    <c:v>5.4850590680379681E-2</c:v>
                  </c:pt>
                  <c:pt idx="855">
                    <c:v>5.4211782343713821E-2</c:v>
                  </c:pt>
                  <c:pt idx="856">
                    <c:v>5.3576890188359136E-2</c:v>
                  </c:pt>
                  <c:pt idx="857">
                    <c:v>5.2945957724813551E-2</c:v>
                  </c:pt>
                  <c:pt idx="858">
                    <c:v>5.23190269853408E-2</c:v>
                  </c:pt>
                  <c:pt idx="859">
                    <c:v>5.1696138514932322E-2</c:v>
                  </c:pt>
                  <c:pt idx="860">
                    <c:v>5.1077331428548617E-2</c:v>
                  </c:pt>
                  <c:pt idx="861">
                    <c:v>5.0462643293623793E-2</c:v>
                  </c:pt>
                  <c:pt idx="862">
                    <c:v>4.9852110287228336E-2</c:v>
                  </c:pt>
                  <c:pt idx="863">
                    <c:v>4.9245767160920863E-2</c:v>
                  </c:pt>
                  <c:pt idx="864">
                    <c:v>4.8643647171958064E-2</c:v>
                  </c:pt>
                  <c:pt idx="865">
                    <c:v>4.8045782215351579E-2</c:v>
                  </c:pt>
                  <c:pt idx="866">
                    <c:v>4.745220271842332E-2</c:v>
                  </c:pt>
                  <c:pt idx="867">
                    <c:v>4.6862937795457714E-2</c:v>
                  </c:pt>
                  <c:pt idx="868">
                    <c:v>4.6278015062922381E-2</c:v>
                  </c:pt>
                  <c:pt idx="869">
                    <c:v>4.5697460838306746E-2</c:v>
                  </c:pt>
                  <c:pt idx="870">
                    <c:v>4.5121300053255667E-2</c:v>
                  </c:pt>
                  <c:pt idx="871">
                    <c:v>4.4549556298257922E-2</c:v>
                  </c:pt>
                  <c:pt idx="872">
                    <c:v>4.3982251814612287E-2</c:v>
                  </c:pt>
                  <c:pt idx="873">
                    <c:v>4.3419407527567365E-2</c:v>
                  </c:pt>
                  <c:pt idx="874">
                    <c:v>4.2861043046823637E-2</c:v>
                  </c:pt>
                  <c:pt idx="875">
                    <c:v>4.230717668561397E-2</c:v>
                  </c:pt>
                  <c:pt idx="876">
                    <c:v>4.1757825491583828E-2</c:v>
                  </c:pt>
                  <c:pt idx="877">
                    <c:v>4.1213005214655762E-2</c:v>
                  </c:pt>
                  <c:pt idx="878">
                    <c:v>4.0672730392389396E-2</c:v>
                  </c:pt>
                  <c:pt idx="879">
                    <c:v>4.0137014308054594E-2</c:v>
                  </c:pt>
                  <c:pt idx="880">
                    <c:v>3.9605869009711962E-2</c:v>
                  </c:pt>
                  <c:pt idx="881">
                    <c:v>3.9079305363186205E-2</c:v>
                  </c:pt>
                  <c:pt idx="882">
                    <c:v>3.8557333014407363E-2</c:v>
                  </c:pt>
                  <c:pt idx="883">
                    <c:v>3.8039960475523923E-2</c:v>
                  </c:pt>
                  <c:pt idx="884">
                    <c:v>3.7527195069920999E-2</c:v>
                  </c:pt>
                  <c:pt idx="885">
                    <c:v>3.7019042983938384E-2</c:v>
                  </c:pt>
                  <c:pt idx="886">
                    <c:v>3.6515509300010365E-2</c:v>
                  </c:pt>
                  <c:pt idx="887">
                    <c:v>3.6016597956998402E-2</c:v>
                  </c:pt>
                  <c:pt idx="888">
                    <c:v>3.5522311834044779E-2</c:v>
                  </c:pt>
                  <c:pt idx="889">
                    <c:v>3.5032652738270706E-2</c:v>
                  </c:pt>
                  <c:pt idx="890">
                    <c:v>3.4547621373896116E-2</c:v>
                  </c:pt>
                  <c:pt idx="891">
                    <c:v>3.4067217471534912E-2</c:v>
                  </c:pt>
                  <c:pt idx="892">
                    <c:v>3.359143968350347E-2</c:v>
                  </c:pt>
                  <c:pt idx="893">
                    <c:v>3.3120285695290762E-2</c:v>
                  </c:pt>
                  <c:pt idx="894">
                    <c:v>3.2653752177103958E-2</c:v>
                  </c:pt>
                  <c:pt idx="895">
                    <c:v>3.2191834842867278E-2</c:v>
                  </c:pt>
                  <c:pt idx="896">
                    <c:v>3.1734528455243168E-2</c:v>
                  </c:pt>
                  <c:pt idx="897">
                    <c:v>3.1281826838436291E-2</c:v>
                  </c:pt>
                  <c:pt idx="898">
                    <c:v>3.0833722905307871E-2</c:v>
                  </c:pt>
                  <c:pt idx="899">
                    <c:v>3.039020866013736E-2</c:v>
                  </c:pt>
                  <c:pt idx="900">
                    <c:v>2.995127522297511E-2</c:v>
                  </c:pt>
                  <c:pt idx="901">
                    <c:v>2.9516912878849933E-2</c:v>
                  </c:pt>
                  <c:pt idx="902">
                    <c:v>2.9087111034586961E-2</c:v>
                  </c:pt>
                  <c:pt idx="903">
                    <c:v>2.8661858291614706E-2</c:v>
                  </c:pt>
                  <c:pt idx="904">
                    <c:v>2.8241142420859185E-2</c:v>
                  </c:pt>
                  <c:pt idx="905">
                    <c:v>2.7824950433793554E-2</c:v>
                  </c:pt>
                  <c:pt idx="906">
                    <c:v>2.7413268515656466E-2</c:v>
                  </c:pt>
                  <c:pt idx="907">
                    <c:v>2.7006082161525946E-2</c:v>
                  </c:pt>
                  <c:pt idx="908">
                    <c:v>2.6603376065602456E-2</c:v>
                  </c:pt>
                  <c:pt idx="909">
                    <c:v>2.6205134253265819E-2</c:v>
                  </c:pt>
                  <c:pt idx="910">
                    <c:v>2.5811340009021362E-2</c:v>
                  </c:pt>
                  <c:pt idx="911">
                    <c:v>2.5421975951566467E-2</c:v>
                  </c:pt>
                  <c:pt idx="912">
                    <c:v>2.5037024014459071E-2</c:v>
                  </c:pt>
                  <c:pt idx="913">
                    <c:v>2.465646551766941E-2</c:v>
                  </c:pt>
                  <c:pt idx="914">
                    <c:v>2.4280281105568492E-2</c:v>
                  </c:pt>
                  <c:pt idx="915">
                    <c:v>2.3908450820990461E-2</c:v>
                  </c:pt>
                  <c:pt idx="916">
                    <c:v>2.3540954124313038E-2</c:v>
                  </c:pt>
                  <c:pt idx="917">
                    <c:v>2.317776987186649E-2</c:v>
                  </c:pt>
                  <c:pt idx="918">
                    <c:v>2.2818876369409137E-2</c:v>
                  </c:pt>
                  <c:pt idx="919">
                    <c:v>2.2464251374010303E-2</c:v>
                  </c:pt>
                  <c:pt idx="920">
                    <c:v>2.2113872104720305E-2</c:v>
                  </c:pt>
                  <c:pt idx="921">
                    <c:v>2.1767715270689054E-2</c:v>
                  </c:pt>
                  <c:pt idx="922">
                    <c:v>2.1425757084221092E-2</c:v>
                  </c:pt>
                  <c:pt idx="923">
                    <c:v>2.1087973271194545E-2</c:v>
                  </c:pt>
                  <c:pt idx="924">
                    <c:v>2.0754339099430773E-2</c:v>
                  </c:pt>
                  <c:pt idx="925">
                    <c:v>2.0424829388234582E-2</c:v>
                  </c:pt>
                  <c:pt idx="926">
                    <c:v>2.0099418514168597E-2</c:v>
                  </c:pt>
                  <c:pt idx="927">
                    <c:v>1.9778080439171848E-2</c:v>
                  </c:pt>
                  <c:pt idx="928">
                    <c:v>1.9460788741691038E-2</c:v>
                  </c:pt>
                  <c:pt idx="929">
                    <c:v>1.9147516582536571E-2</c:v>
                  </c:pt>
                  <c:pt idx="930">
                    <c:v>1.8838236779195945E-2</c:v>
                  </c:pt>
                  <c:pt idx="931">
                    <c:v>1.853292177332164E-2</c:v>
                  </c:pt>
                  <c:pt idx="932">
                    <c:v>1.8231543677553586E-2</c:v>
                  </c:pt>
                  <c:pt idx="933">
                    <c:v>1.7934074282674323E-2</c:v>
                  </c:pt>
                  <c:pt idx="934">
                    <c:v>1.7640485050328322E-2</c:v>
                  </c:pt>
                  <c:pt idx="935">
                    <c:v>1.7350747163735847E-2</c:v>
                  </c:pt>
                  <c:pt idx="936">
                    <c:v>1.7064831517525067E-2</c:v>
                  </c:pt>
                  <c:pt idx="937">
                    <c:v>1.6782708727899952E-2</c:v>
                  </c:pt>
                  <c:pt idx="938">
                    <c:v>1.6504349169294854E-2</c:v>
                  </c:pt>
                  <c:pt idx="939">
                    <c:v>1.622972297299367E-2</c:v>
                  </c:pt>
                  <c:pt idx="940">
                    <c:v>1.5958800030770218E-2</c:v>
                  </c:pt>
                  <c:pt idx="941">
                    <c:v>1.5691550037819264E-2</c:v>
                  </c:pt>
                  <c:pt idx="942">
                    <c:v>1.5427942480580194E-2</c:v>
                  </c:pt>
                  <c:pt idx="943">
                    <c:v>1.5167946649164415E-2</c:v>
                  </c:pt>
                  <c:pt idx="944">
                    <c:v>1.4911531672126993E-2</c:v>
                  </c:pt>
                  <c:pt idx="945">
                    <c:v>1.4658666510692312E-2</c:v>
                  </c:pt>
                  <c:pt idx="946">
                    <c:v>1.4409319965783709E-2</c:v>
                  </c:pt>
                  <c:pt idx="947">
                    <c:v>1.4163460708903714E-2</c:v>
                  </c:pt>
                  <c:pt idx="948">
                    <c:v>1.392105728853605E-2</c:v>
                  </c:pt>
                  <c:pt idx="949">
                    <c:v>1.3682078127007386E-2</c:v>
                  </c:pt>
                  <c:pt idx="950">
                    <c:v>1.3446491551116527E-2</c:v>
                  </c:pt>
                  <c:pt idx="951">
                    <c:v>1.3214265795272639E-2</c:v>
                  </c:pt>
                  <c:pt idx="952">
                    <c:v>1.2985369009654657E-2</c:v>
                  </c:pt>
                  <c:pt idx="953">
                    <c:v>1.2759769272262118E-2</c:v>
                  </c:pt>
                  <c:pt idx="954">
                    <c:v>1.2537434608309445E-2</c:v>
                  </c:pt>
                  <c:pt idx="955">
                    <c:v>1.2318332988343006E-2</c:v>
                  </c:pt>
                  <c:pt idx="956">
                    <c:v>1.2102432346317351E-2</c:v>
                  </c:pt>
                  <c:pt idx="957">
                    <c:v>1.1889700585746153E-2</c:v>
                  </c:pt>
                  <c:pt idx="958">
                    <c:v>1.1680105590623257E-2</c:v>
                  </c:pt>
                  <c:pt idx="959">
                    <c:v>1.1473615239042636E-2</c:v>
                  </c:pt>
                  <c:pt idx="960">
                    <c:v>1.1270197401127136E-2</c:v>
                  </c:pt>
                  <c:pt idx="961">
                    <c:v>1.1069819970536373E-2</c:v>
                  </c:pt>
                  <c:pt idx="962">
                    <c:v>1.0872450842436314E-2</c:v>
                  </c:pt>
                  <c:pt idx="963">
                    <c:v>1.0678057948710271E-2</c:v>
                  </c:pt>
                  <c:pt idx="964">
                    <c:v>1.048660925356538E-2</c:v>
                  </c:pt>
                  <c:pt idx="965">
                    <c:v>1.0298072767027006E-2</c:v>
                  </c:pt>
                  <c:pt idx="966">
                    <c:v>1.0112416546821688E-2</c:v>
                  </c:pt>
                  <c:pt idx="967">
                    <c:v>9.9296087168299525E-3</c:v>
                  </c:pt>
                  <c:pt idx="968">
                    <c:v>9.749617463697029E-3</c:v>
                  </c:pt>
                  <c:pt idx="969">
                    <c:v>9.5724110518336097E-3</c:v>
                  </c:pt>
                  <c:pt idx="970">
                    <c:v>9.3979578260519631E-3</c:v>
                  </c:pt>
                  <c:pt idx="971">
                    <c:v>9.2262262229891191E-3</c:v>
                  </c:pt>
                  <c:pt idx="972">
                    <c:v>9.0571847755631461E-3</c:v>
                  </c:pt>
                  <c:pt idx="973">
                    <c:v>8.8908021213836407E-3</c:v>
                  </c:pt>
                  <c:pt idx="974">
                    <c:v>8.7270470045718879E-3</c:v>
                  </c:pt>
                  <c:pt idx="975">
                    <c:v>8.5658882889414565E-3</c:v>
                  </c:pt>
                  <c:pt idx="976">
                    <c:v>8.4072949613247221E-3</c:v>
                  </c:pt>
                  <c:pt idx="977">
                    <c:v>8.2512361384769941E-3</c:v>
                  </c:pt>
                  <c:pt idx="978">
                    <c:v>8.0976810669509749E-3</c:v>
                  </c:pt>
                  <c:pt idx="979">
                    <c:v>7.9465991370932937E-3</c:v>
                  </c:pt>
                  <c:pt idx="980">
                    <c:v>7.7979598860572121E-3</c:v>
                  </c:pt>
                  <c:pt idx="981">
                    <c:v>7.651732998116445E-3</c:v>
                  </c:pt>
                  <c:pt idx="982">
                    <c:v>7.5078883164021596E-3</c:v>
                  </c:pt>
                  <c:pt idx="983">
                    <c:v>7.3663958488028617E-3</c:v>
                  </c:pt>
                  <c:pt idx="984">
                    <c:v>7.2272257599932752E-3</c:v>
                  </c:pt>
                  <c:pt idx="985">
                    <c:v>7.0903483950338674E-3</c:v>
                  </c:pt>
                  <c:pt idx="986">
                    <c:v>6.9557342667551482E-3</c:v>
                  </c:pt>
                  <c:pt idx="987">
                    <c:v>6.8233540690637827E-3</c:v>
                  </c:pt>
                  <c:pt idx="988">
                    <c:v>6.6931786837211831E-3</c:v>
                  </c:pt>
                  <c:pt idx="989">
                    <c:v>6.5651791720899456E-3</c:v>
                  </c:pt>
                  <c:pt idx="990">
                    <c:v>6.4393267920803245E-3</c:v>
                  </c:pt>
                  <c:pt idx="991">
                    <c:v>6.3155929935684047E-3</c:v>
                  </c:pt>
                  <c:pt idx="992">
                    <c:v>6.1939494282187788E-3</c:v>
                  </c:pt>
                  <c:pt idx="993">
                    <c:v>6.074367943427755E-3</c:v>
                  </c:pt>
                  <c:pt idx="994">
                    <c:v>5.9568205960060594E-3</c:v>
                  </c:pt>
                  <c:pt idx="995">
                    <c:v>5.8412796479108383E-3</c:v>
                  </c:pt>
                  <c:pt idx="996">
                    <c:v>5.7277175711413011E-3</c:v>
                  </c:pt>
                  <c:pt idx="997">
                    <c:v>5.6161070540779604E-3</c:v>
                  </c:pt>
                  <c:pt idx="998">
                    <c:v>5.5064209965555999E-3</c:v>
                  </c:pt>
                  <c:pt idx="999">
                    <c:v>5.3986325195604203E-3</c:v>
                  </c:pt>
                  <c:pt idx="1000">
                    <c:v>5.2927149652300378E-3</c:v>
                  </c:pt>
                </c:numCache>
              </c:numRef>
            </c:plus>
            <c:minus>
              <c:numRef>
                <c:f>'Compare A B'!$AS$9:$AS$1009</c:f>
                <c:numCache>
                  <c:formatCode>General</c:formatCode>
                  <c:ptCount val="1001"/>
                  <c:pt idx="0">
                    <c:v>3.1992537826189867E-7</c:v>
                  </c:pt>
                  <c:pt idx="1">
                    <c:v>3.2887608530245503E-7</c:v>
                  </c:pt>
                  <c:pt idx="2">
                    <c:v>3.3807660635371502E-7</c:v>
                  </c:pt>
                  <c:pt idx="3">
                    <c:v>3.4753387594764581E-7</c:v>
                  </c:pt>
                  <c:pt idx="4">
                    <c:v>3.5725501931417246E-7</c:v>
                  </c:pt>
                  <c:pt idx="5">
                    <c:v>3.6724735775203424E-7</c:v>
                  </c:pt>
                  <c:pt idx="6">
                    <c:v>3.7751841357250043E-7</c:v>
                  </c:pt>
                  <c:pt idx="7">
                    <c:v>3.8807591599505372E-7</c:v>
                  </c:pt>
                  <c:pt idx="8">
                    <c:v>3.989278065105846E-7</c:v>
                  </c:pt>
                  <c:pt idx="9">
                    <c:v>4.1008224457978549E-7</c:v>
                  </c:pt>
                  <c:pt idx="10">
                    <c:v>4.2154761374336171E-7</c:v>
                  </c:pt>
                  <c:pt idx="11">
                    <c:v>4.3333252744684364E-7</c:v>
                  </c:pt>
                  <c:pt idx="12">
                    <c:v>4.4544583556836079E-7</c:v>
                  </c:pt>
                  <c:pt idx="13">
                    <c:v>4.5789663036412601E-7</c:v>
                  </c:pt>
                  <c:pt idx="14">
                    <c:v>4.7069425325862252E-7</c:v>
                  </c:pt>
                  <c:pt idx="15">
                    <c:v>4.8384830210790217E-7</c:v>
                  </c:pt>
                  <c:pt idx="16">
                    <c:v>4.9736863686350132E-7</c:v>
                  </c:pt>
                  <c:pt idx="17">
                    <c:v>5.112653878911389E-7</c:v>
                  </c:pt>
                  <c:pt idx="18">
                    <c:v>5.2554896228779367E-7</c:v>
                  </c:pt>
                  <c:pt idx="19">
                    <c:v>5.4023005229617247E-7</c:v>
                  </c:pt>
                  <c:pt idx="20">
                    <c:v>5.5531964234965022E-7</c:v>
                  </c:pt>
                  <c:pt idx="21">
                    <c:v>5.7082901656924914E-7</c:v>
                  </c:pt>
                  <c:pt idx="22">
                    <c:v>5.8676976788490046E-7</c:v>
                  </c:pt>
                  <c:pt idx="23">
                    <c:v>6.0315380557647891E-7</c:v>
                  </c:pt>
                  <c:pt idx="24">
                    <c:v>6.1999336385299855E-7</c:v>
                  </c:pt>
                  <c:pt idx="25">
                    <c:v>6.3730101077466974E-7</c:v>
                  </c:pt>
                  <c:pt idx="26">
                    <c:v>6.550896571443099E-7</c:v>
                  </c:pt>
                  <c:pt idx="27">
                    <c:v>6.7337256537193745E-7</c:v>
                  </c:pt>
                  <c:pt idx="28">
                    <c:v>6.9216335973379669E-7</c:v>
                  </c:pt>
                  <c:pt idx="29">
                    <c:v>7.1147603512585775E-7</c:v>
                  </c:pt>
                  <c:pt idx="30">
                    <c:v>7.3132496738413519E-7</c:v>
                  </c:pt>
                  <c:pt idx="31">
                    <c:v>7.5172492342112512E-7</c:v>
                  </c:pt>
                  <c:pt idx="32">
                    <c:v>7.7269107224333948E-7</c:v>
                  </c:pt>
                  <c:pt idx="33">
                    <c:v>7.9423899425644849E-7</c:v>
                  </c:pt>
                  <c:pt idx="34">
                    <c:v>8.1638469412928559E-7</c:v>
                  </c:pt>
                  <c:pt idx="35">
                    <c:v>8.391446102905327E-7</c:v>
                  </c:pt>
                  <c:pt idx="36">
                    <c:v>8.6253562812217875E-7</c:v>
                  </c:pt>
                  <c:pt idx="37">
                    <c:v>8.8657509032580833E-7</c:v>
                  </c:pt>
                  <c:pt idx="38">
                    <c:v>9.1128081028844851E-7</c:v>
                  </c:pt>
                  <c:pt idx="39">
                    <c:v>9.3667108442557847E-7</c:v>
                  </c:pt>
                  <c:pt idx="40">
                    <c:v>9.6276470427130168E-7</c:v>
                  </c:pt>
                  <c:pt idx="41">
                    <c:v>9.8958097053757711E-7</c:v>
                  </c:pt>
                  <c:pt idx="42">
                    <c:v>1.0171397056372793E-6</c:v>
                  </c:pt>
                  <c:pt idx="43">
                    <c:v>1.0454612691110435E-6</c:v>
                  </c:pt>
                  <c:pt idx="44">
                    <c:v>1.0745665698783338E-6</c:v>
                  </c:pt>
                  <c:pt idx="45">
                    <c:v>1.1044770826832975E-6</c:v>
                  </c:pt>
                  <c:pt idx="46">
                    <c:v>1.13521486163683E-6</c:v>
                  </c:pt>
                  <c:pt idx="47">
                    <c:v>1.1668025555553115E-6</c:v>
                  </c:pt>
                  <c:pt idx="48">
                    <c:v>1.1992634258391993E-6</c:v>
                  </c:pt>
                  <c:pt idx="49">
                    <c:v>1.2326213600036006E-6</c:v>
                  </c:pt>
                  <c:pt idx="50">
                    <c:v>1.2669008888175106E-6</c:v>
                  </c:pt>
                  <c:pt idx="51">
                    <c:v>1.302127204860465E-6</c:v>
                  </c:pt>
                  <c:pt idx="52">
                    <c:v>1.3383261780987893E-6</c:v>
                  </c:pt>
                  <c:pt idx="53">
                    <c:v>1.3755243746337948E-6</c:v>
                  </c:pt>
                  <c:pt idx="54">
                    <c:v>1.4137490748140519E-6</c:v>
                  </c:pt>
                  <c:pt idx="55">
                    <c:v>1.4530282916541334E-6</c:v>
                  </c:pt>
                  <c:pt idx="56">
                    <c:v>1.4933907916438081E-6</c:v>
                  </c:pt>
                  <c:pt idx="57">
                    <c:v>1.5348661125002151E-6</c:v>
                  </c:pt>
                  <c:pt idx="58">
                    <c:v>1.5774845839310889E-6</c:v>
                  </c:pt>
                  <c:pt idx="59">
                    <c:v>1.6212773501908224E-6</c:v>
                  </c:pt>
                  <c:pt idx="60">
                    <c:v>1.6662763881161233E-6</c:v>
                  </c:pt>
                  <c:pt idx="61">
                    <c:v>1.7125145323483532E-6</c:v>
                  </c:pt>
                  <c:pt idx="62">
                    <c:v>1.7600254957213275E-6</c:v>
                  </c:pt>
                  <c:pt idx="63">
                    <c:v>1.808843891871011E-6</c:v>
                  </c:pt>
                  <c:pt idx="64">
                    <c:v>1.859005261400246E-6</c:v>
                  </c:pt>
                  <c:pt idx="65">
                    <c:v>1.9105460924964033E-6</c:v>
                  </c:pt>
                  <c:pt idx="66">
                    <c:v>1.9635038492107433E-6</c:v>
                  </c:pt>
                  <c:pt idx="67">
                    <c:v>2.0179169925281043E-6</c:v>
                  </c:pt>
                  <c:pt idx="68">
                    <c:v>2.0738250118565203E-6</c:v>
                  </c:pt>
                  <c:pt idx="69">
                    <c:v>2.1312684463114378E-6</c:v>
                  </c:pt>
                  <c:pt idx="70">
                    <c:v>2.1902889159908055E-6</c:v>
                  </c:pt>
                  <c:pt idx="71">
                    <c:v>2.2509291479329325E-6</c:v>
                  </c:pt>
                  <c:pt idx="72">
                    <c:v>2.313233004847888E-6</c:v>
                  </c:pt>
                  <c:pt idx="73">
                    <c:v>2.3772455163542802E-6</c:v>
                  </c:pt>
                  <c:pt idx="74">
                    <c:v>2.4430129073199062E-6</c:v>
                  </c:pt>
                  <c:pt idx="75">
                    <c:v>2.5105826287460918E-6</c:v>
                  </c:pt>
                  <c:pt idx="76">
                    <c:v>2.5800033922606946E-6</c:v>
                  </c:pt>
                  <c:pt idx="77">
                    <c:v>2.6513251969187515E-6</c:v>
                  </c:pt>
                  <c:pt idx="78">
                    <c:v>2.7245993698554934E-6</c:v>
                  </c:pt>
                  <c:pt idx="79">
                    <c:v>2.799878594481427E-6</c:v>
                  </c:pt>
                  <c:pt idx="80">
                    <c:v>2.8772169482085741E-6</c:v>
                  </c:pt>
                  <c:pt idx="81">
                    <c:v>2.9566699368975062E-6</c:v>
                  </c:pt>
                  <c:pt idx="82">
                    <c:v>3.0382945344070718E-6</c:v>
                  </c:pt>
                  <c:pt idx="83">
                    <c:v>3.1221492155397354E-6</c:v>
                  </c:pt>
                  <c:pt idx="84">
                    <c:v>3.2082940003109154E-6</c:v>
                  </c:pt>
                  <c:pt idx="85">
                    <c:v>3.2967904874766134E-6</c:v>
                  </c:pt>
                  <c:pt idx="86">
                    <c:v>3.3877019003657411E-6</c:v>
                  </c:pt>
                  <c:pt idx="87">
                    <c:v>3.4810931246983033E-6</c:v>
                  </c:pt>
                  <c:pt idx="88">
                    <c:v>3.57703075443305E-6</c:v>
                  </c:pt>
                  <c:pt idx="89">
                    <c:v>3.6755831288194881E-6</c:v>
                  </c:pt>
                  <c:pt idx="90">
                    <c:v>3.7768203869185827E-6</c:v>
                  </c:pt>
                  <c:pt idx="91">
                    <c:v>3.8808145043329833E-6</c:v>
                  </c:pt>
                  <c:pt idx="92">
                    <c:v>3.9876393455211485E-6</c:v>
                  </c:pt>
                  <c:pt idx="93">
                    <c:v>4.097370708848184E-6</c:v>
                  </c:pt>
                  <c:pt idx="94">
                    <c:v>4.2100863771990762E-6</c:v>
                  </c:pt>
                  <c:pt idx="95">
                    <c:v>4.3258661674579866E-6</c:v>
                  </c:pt>
                  <c:pt idx="96">
                    <c:v>4.4447919831441832E-6</c:v>
                  </c:pt>
                  <c:pt idx="97">
                    <c:v>4.5669478664196973E-6</c:v>
                  </c:pt>
                  <c:pt idx="98">
                    <c:v>4.6924200511083357E-6</c:v>
                  </c:pt>
                  <c:pt idx="99">
                    <c:v>4.8212970209093234E-6</c:v>
                  </c:pt>
                  <c:pt idx="100">
                    <c:v>4.9536695648987077E-6</c:v>
                  </c:pt>
                  <c:pt idx="101">
                    <c:v>5.0896308331227002E-6</c:v>
                  </c:pt>
                  <c:pt idx="102">
                    <c:v>5.2292763995769011E-6</c:v>
                  </c:pt>
                  <c:pt idx="103">
                    <c:v>5.3727043207417373E-6</c:v>
                  </c:pt>
                  <c:pt idx="104">
                    <c:v>5.5200152012279663E-6</c:v>
                  </c:pt>
                  <c:pt idx="105">
                    <c:v>5.6713122539670369E-6</c:v>
                  </c:pt>
                  <c:pt idx="106">
                    <c:v>5.8267013654888323E-6</c:v>
                  </c:pt>
                  <c:pt idx="107">
                    <c:v>5.9862911680030018E-6</c:v>
                  </c:pt>
                  <c:pt idx="108">
                    <c:v>6.1501931031137142E-6</c:v>
                  </c:pt>
                  <c:pt idx="109">
                    <c:v>6.3185214910201864E-6</c:v>
                  </c:pt>
                  <c:pt idx="110">
                    <c:v>6.4913936089419133E-6</c:v>
                  </c:pt>
                  <c:pt idx="111">
                    <c:v>6.6689297573771059E-6</c:v>
                  </c:pt>
                  <c:pt idx="112">
                    <c:v>6.8512533382827412E-6</c:v>
                  </c:pt>
                  <c:pt idx="113">
                    <c:v>7.0384909363192998E-6</c:v>
                  </c:pt>
                  <c:pt idx="114">
                    <c:v>7.2307723903191598E-6</c:v>
                  </c:pt>
                  <c:pt idx="115">
                    <c:v>7.4282308762475599E-6</c:v>
                  </c:pt>
                  <c:pt idx="116">
                    <c:v>7.6310029983156057E-6</c:v>
                  </c:pt>
                  <c:pt idx="117">
                    <c:v>7.8392288604180289E-6</c:v>
                  </c:pt>
                  <c:pt idx="118">
                    <c:v>8.0530521600657011E-6</c:v>
                  </c:pt>
                  <c:pt idx="119">
                    <c:v>8.2726202777517756E-6</c:v>
                  </c:pt>
                  <c:pt idx="120">
                    <c:v>8.4980843621498772E-6</c:v>
                  </c:pt>
                  <c:pt idx="121">
                    <c:v>8.7295994311873116E-6</c:v>
                  </c:pt>
                  <c:pt idx="122">
                    <c:v>8.9673244619322286E-6</c:v>
                  </c:pt>
                  <c:pt idx="123">
                    <c:v>9.2114224826260239E-6</c:v>
                  </c:pt>
                  <c:pt idx="124">
                    <c:v>9.4620606868427685E-6</c:v>
                  </c:pt>
                  <c:pt idx="125">
                    <c:v>9.719410519668089E-6</c:v>
                  </c:pt>
                  <c:pt idx="126">
                    <c:v>9.9836477896213665E-6</c:v>
                  </c:pt>
                  <c:pt idx="127">
                    <c:v>1.0254952775000228E-5</c:v>
                  </c:pt>
                  <c:pt idx="128">
                    <c:v>1.0533510332860656E-5</c:v>
                  </c:pt>
                  <c:pt idx="129">
                    <c:v>1.0819510007200284E-5</c:v>
                  </c:pt>
                  <c:pt idx="130">
                    <c:v>1.1113146143822704E-5</c:v>
                  </c:pt>
                  <c:pt idx="131">
                    <c:v>1.1414618013537696E-5</c:v>
                  </c:pt>
                  <c:pt idx="132">
                    <c:v>1.1724129924451206E-5</c:v>
                  </c:pt>
                  <c:pt idx="133">
                    <c:v>1.2041891343326773E-5</c:v>
                  </c:pt>
                  <c:pt idx="134">
                    <c:v>1.2368117021421398E-5</c:v>
                  </c:pt>
                  <c:pt idx="135">
                    <c:v>1.2703027131047795E-5</c:v>
                  </c:pt>
                  <c:pt idx="136">
                    <c:v>1.3046847382951739E-5</c:v>
                  </c:pt>
                  <c:pt idx="137">
                    <c:v>1.3399809166122881E-5</c:v>
                  </c:pt>
                  <c:pt idx="138">
                    <c:v>1.3762149683866657E-5</c:v>
                  </c:pt>
                  <c:pt idx="139">
                    <c:v>1.4134112093553808E-5</c:v>
                  </c:pt>
                  <c:pt idx="140">
                    <c:v>1.4515945647534495E-5</c:v>
                  </c:pt>
                  <c:pt idx="141">
                    <c:v>1.4907905848333817E-5</c:v>
                  </c:pt>
                  <c:pt idx="142">
                    <c:v>1.5310254574855439E-5</c:v>
                  </c:pt>
                  <c:pt idx="143">
                    <c:v>1.5723260265956083E-5</c:v>
                  </c:pt>
                  <c:pt idx="144">
                    <c:v>1.614719805051066E-5</c:v>
                  </c:pt>
                  <c:pt idx="145">
                    <c:v>1.6582349915479443E-5</c:v>
                  </c:pt>
                  <c:pt idx="146">
                    <c:v>1.7029004878020665E-5</c:v>
                  </c:pt>
                  <c:pt idx="147">
                    <c:v>1.7487459136947121E-5</c:v>
                  </c:pt>
                  <c:pt idx="148">
                    <c:v>1.7958016254829595E-5</c:v>
                  </c:pt>
                  <c:pt idx="149">
                    <c:v>1.8440987322570346E-5</c:v>
                  </c:pt>
                  <c:pt idx="150">
                    <c:v>1.8936691142548503E-5</c:v>
                  </c:pt>
                  <c:pt idx="151">
                    <c:v>1.9445454419120752E-5</c:v>
                  </c:pt>
                  <c:pt idx="152">
                    <c:v>1.9967611915410504E-5</c:v>
                  </c:pt>
                  <c:pt idx="153">
                    <c:v>2.0503506678132989E-5</c:v>
                  </c:pt>
                  <c:pt idx="154">
                    <c:v>2.1053490205172115E-5</c:v>
                  </c:pt>
                  <c:pt idx="155">
                    <c:v>2.1617922662559988E-5</c:v>
                  </c:pt>
                  <c:pt idx="156">
                    <c:v>2.2197173074977582E-5</c:v>
                  </c:pt>
                  <c:pt idx="157">
                    <c:v>2.27916195269205E-5</c:v>
                  </c:pt>
                  <c:pt idx="158">
                    <c:v>2.3401649397944017E-5</c:v>
                  </c:pt>
                  <c:pt idx="159">
                    <c:v>2.4027659551570106E-5</c:v>
                  </c:pt>
                  <c:pt idx="160">
                    <c:v>2.4670056564403114E-5</c:v>
                  </c:pt>
                  <c:pt idx="161">
                    <c:v>2.5329256970814007E-5</c:v>
                  </c:pt>
                  <c:pt idx="162">
                    <c:v>2.6005687452705526E-5</c:v>
                  </c:pt>
                  <c:pt idx="163">
                    <c:v>2.6699785117785373E-5</c:v>
                  </c:pt>
                  <c:pt idx="164">
                    <c:v>2.7411997700609363E-5</c:v>
                  </c:pt>
                  <c:pt idx="165">
                    <c:v>2.8142783832518683E-5</c:v>
                  </c:pt>
                  <c:pt idx="166">
                    <c:v>2.8892613292576107E-5</c:v>
                  </c:pt>
                  <c:pt idx="167">
                    <c:v>2.9661967242565836E-5</c:v>
                  </c:pt>
                  <c:pt idx="168">
                    <c:v>3.0451338507473256E-5</c:v>
                  </c:pt>
                  <c:pt idx="169">
                    <c:v>3.1261231833040881E-5</c:v>
                  </c:pt>
                  <c:pt idx="170">
                    <c:v>3.2092164147737392E-5</c:v>
                  </c:pt>
                  <c:pt idx="171">
                    <c:v>3.2944664859296329E-5</c:v>
                  </c:pt>
                  <c:pt idx="172">
                    <c:v>3.381927612661474E-5</c:v>
                  </c:pt>
                  <c:pt idx="173">
                    <c:v>3.4716553159969467E-5</c:v>
                  </c:pt>
                  <c:pt idx="174">
                    <c:v>3.5637064485560586E-5</c:v>
                  </c:pt>
                  <c:pt idx="175">
                    <c:v>3.6581392282994209E-5</c:v>
                  </c:pt>
                  <c:pt idx="176">
                    <c:v>3.755013267593698E-5</c:v>
                  </c:pt>
                  <c:pt idx="177">
                    <c:v>3.8543896033190543E-5</c:v>
                  </c:pt>
                  <c:pt idx="178">
                    <c:v>3.9563307329098152E-5</c:v>
                  </c:pt>
                  <c:pt idx="179">
                    <c:v>4.0609006398771463E-5</c:v>
                  </c:pt>
                  <c:pt idx="180">
                    <c:v>4.1681648359055337E-5</c:v>
                  </c:pt>
                  <c:pt idx="181">
                    <c:v>4.2781903874542286E-5</c:v>
                  </c:pt>
                  <c:pt idx="182">
                    <c:v>4.3910459532689595E-5</c:v>
                  </c:pt>
                  <c:pt idx="183">
                    <c:v>4.5068018216239602E-5</c:v>
                  </c:pt>
                  <c:pt idx="184">
                    <c:v>4.6255299430037382E-5</c:v>
                  </c:pt>
                  <c:pt idx="185">
                    <c:v>4.7473039682277312E-5</c:v>
                  </c:pt>
                  <c:pt idx="186">
                    <c:v>4.8721992865749567E-5</c:v>
                  </c:pt>
                  <c:pt idx="187">
                    <c:v>5.0002930625111661E-5</c:v>
                  </c:pt>
                  <c:pt idx="188">
                    <c:v>5.1316642767310773E-5</c:v>
                  </c:pt>
                  <c:pt idx="189">
                    <c:v>5.2663937638171906E-5</c:v>
                  </c:pt>
                  <c:pt idx="190">
                    <c:v>5.4045642559789416E-5</c:v>
                  </c:pt>
                  <c:pt idx="191">
                    <c:v>5.546260417548766E-5</c:v>
                  </c:pt>
                  <c:pt idx="192">
                    <c:v>5.6915688958803487E-5</c:v>
                  </c:pt>
                  <c:pt idx="193">
                    <c:v>5.8405783585170939E-5</c:v>
                  </c:pt>
                  <c:pt idx="194">
                    <c:v>5.9933795387210499E-5</c:v>
                  </c:pt>
                  <c:pt idx="195">
                    <c:v>6.1500652803398608E-5</c:v>
                  </c:pt>
                  <c:pt idx="196">
                    <c:v>6.3107305810065358E-5</c:v>
                  </c:pt>
                  <c:pt idx="197">
                    <c:v>6.4754726430131729E-5</c:v>
                  </c:pt>
                  <c:pt idx="198">
                    <c:v>6.6443909138873654E-5</c:v>
                  </c:pt>
                  <c:pt idx="199">
                    <c:v>6.8175871434443219E-5</c:v>
                  </c:pt>
                  <c:pt idx="200">
                    <c:v>6.9951654251723512E-5</c:v>
                  </c:pt>
                  <c:pt idx="201">
                    <c:v>7.1772322476704848E-5</c:v>
                  </c:pt>
                  <c:pt idx="202">
                    <c:v>7.363896548586899E-5</c:v>
                  </c:pt>
                  <c:pt idx="203">
                    <c:v>7.5552697644874227E-5</c:v>
                  </c:pt>
                  <c:pt idx="204">
                    <c:v>7.7514658799885308E-5</c:v>
                  </c:pt>
                  <c:pt idx="205">
                    <c:v>7.9526014931699307E-5</c:v>
                  </c:pt>
                  <c:pt idx="206">
                    <c:v>8.1587958536256597E-5</c:v>
                  </c:pt>
                  <c:pt idx="207">
                    <c:v>8.3701709324369183E-5</c:v>
                  </c:pt>
                  <c:pt idx="208">
                    <c:v>8.5868514690984872E-5</c:v>
                  </c:pt>
                  <c:pt idx="209">
                    <c:v>8.8089650418348103E-5</c:v>
                  </c:pt>
                  <c:pt idx="210">
                    <c:v>9.036642105651086E-5</c:v>
                  </c:pt>
                  <c:pt idx="211">
                    <c:v>9.2700160786347334E-5</c:v>
                  </c:pt>
                  <c:pt idx="212">
                    <c:v>9.5092233785354442E-5</c:v>
                  </c:pt>
                  <c:pt idx="213">
                    <c:v>9.7544035014662271E-5</c:v>
                  </c:pt>
                  <c:pt idx="214">
                    <c:v>1.0005699074664986E-4</c:v>
                  </c:pt>
                  <c:pt idx="215">
                    <c:v>1.0263255931517951E-4</c:v>
                  </c:pt>
                  <c:pt idx="216">
                    <c:v>1.0527223165645193E-4</c:v>
                  </c:pt>
                  <c:pt idx="217">
                    <c:v>1.0797753200971525E-4</c:v>
                  </c:pt>
                  <c:pt idx="218">
                    <c:v>1.1075001870427558E-4</c:v>
                  </c:pt>
                  <c:pt idx="219">
                    <c:v>1.1359128463072252E-4</c:v>
                  </c:pt>
                  <c:pt idx="220">
                    <c:v>1.1650295813189371E-4</c:v>
                  </c:pt>
                  <c:pt idx="221">
                    <c:v>1.1948670365896211E-4</c:v>
                  </c:pt>
                  <c:pt idx="222">
                    <c:v>1.225442225015659E-4</c:v>
                  </c:pt>
                  <c:pt idx="223">
                    <c:v>1.256772534443862E-4</c:v>
                  </c:pt>
                  <c:pt idx="224">
                    <c:v>1.2888757359534673E-4</c:v>
                  </c:pt>
                  <c:pt idx="225">
                    <c:v>1.3217699916477884E-4</c:v>
                  </c:pt>
                  <c:pt idx="226">
                    <c:v>1.3554738622399169E-4</c:v>
                  </c:pt>
                  <c:pt idx="227">
                    <c:v>1.3900063148492741E-4</c:v>
                  </c:pt>
                  <c:pt idx="228">
                    <c:v>1.425386730146001E-4</c:v>
                  </c:pt>
                  <c:pt idx="229">
                    <c:v>1.4616349121481342E-4</c:v>
                  </c:pt>
                  <c:pt idx="230">
                    <c:v>1.4987710954689673E-4</c:v>
                  </c:pt>
                  <c:pt idx="231">
                    <c:v>1.5368159539079691E-4</c:v>
                  </c:pt>
                  <c:pt idx="232">
                    <c:v>1.5757906087180722E-4</c:v>
                  </c:pt>
                  <c:pt idx="233">
                    <c:v>1.6157166379811487E-4</c:v>
                  </c:pt>
                  <c:pt idx="234">
                    <c:v>1.6566160847281941E-4</c:v>
                  </c:pt>
                  <c:pt idx="235">
                    <c:v>1.6985114659911731E-4</c:v>
                  </c:pt>
                  <c:pt idx="236">
                    <c:v>1.7414257825315482E-4</c:v>
                  </c:pt>
                  <c:pt idx="237">
                    <c:v>1.7853825278921269E-4</c:v>
                  </c:pt>
                  <c:pt idx="238">
                    <c:v>1.8304056966545406E-4</c:v>
                  </c:pt>
                  <c:pt idx="239">
                    <c:v>1.8765197949425271E-4</c:v>
                  </c:pt>
                  <c:pt idx="240">
                    <c:v>1.9237498505525428E-4</c:v>
                  </c:pt>
                  <c:pt idx="241">
                    <c:v>1.9721214227019077E-4</c:v>
                  </c:pt>
                  <c:pt idx="242">
                    <c:v>2.0216606092957783E-4</c:v>
                  </c:pt>
                  <c:pt idx="243">
                    <c:v>2.0723940618337655E-4</c:v>
                  </c:pt>
                  <c:pt idx="244">
                    <c:v>2.1243489912058607E-4</c:v>
                  </c:pt>
                  <c:pt idx="245">
                    <c:v>2.1775531810397424E-4</c:v>
                  </c:pt>
                  <c:pt idx="246">
                    <c:v>2.2320349969781839E-4</c:v>
                  </c:pt>
                  <c:pt idx="247">
                    <c:v>2.2878233967998587E-4</c:v>
                  </c:pt>
                  <c:pt idx="248">
                    <c:v>2.3449479434626327E-4</c:v>
                  </c:pt>
                  <c:pt idx="249">
                    <c:v>2.4034388135473739E-4</c:v>
                  </c:pt>
                  <c:pt idx="250">
                    <c:v>2.4633268106739116E-4</c:v>
                  </c:pt>
                  <c:pt idx="251">
                    <c:v>2.5246433753668576E-4</c:v>
                  </c:pt>
                  <c:pt idx="252">
                    <c:v>2.5874205970005161E-4</c:v>
                  </c:pt>
                  <c:pt idx="253">
                    <c:v>2.6516912250671077E-4</c:v>
                  </c:pt>
                  <c:pt idx="254">
                    <c:v>2.7174886831321087E-4</c:v>
                  </c:pt>
                  <c:pt idx="255">
                    <c:v>2.7848470765915736E-4</c:v>
                  </c:pt>
                  <c:pt idx="256">
                    <c:v>2.8538012089811526E-4</c:v>
                  </c:pt>
                  <c:pt idx="257">
                    <c:v>2.9243865929402975E-4</c:v>
                  </c:pt>
                  <c:pt idx="258">
                    <c:v>2.9966394597838811E-4</c:v>
                  </c:pt>
                  <c:pt idx="259">
                    <c:v>3.0705967772724492E-4</c:v>
                  </c:pt>
                  <c:pt idx="260">
                    <c:v>3.1462962597134179E-4</c:v>
                  </c:pt>
                  <c:pt idx="261">
                    <c:v>3.2237763785526139E-4</c:v>
                  </c:pt>
                  <c:pt idx="262">
                    <c:v>3.3030763810467739E-4</c:v>
                  </c:pt>
                  <c:pt idx="263">
                    <c:v>3.3842362967753811E-4</c:v>
                  </c:pt>
                  <c:pt idx="264">
                    <c:v>3.4672969575684585E-4</c:v>
                  </c:pt>
                  <c:pt idx="265">
                    <c:v>3.5523000080196548E-4</c:v>
                  </c:pt>
                  <c:pt idx="266">
                    <c:v>3.6392879162935426E-4</c:v>
                  </c:pt>
                  <c:pt idx="267">
                    <c:v>3.7283039951910188E-4</c:v>
                  </c:pt>
                  <c:pt idx="268">
                    <c:v>3.8193924106421539E-4</c:v>
                  </c:pt>
                  <c:pt idx="269">
                    <c:v>3.9125981946710239E-4</c:v>
                  </c:pt>
                  <c:pt idx="270">
                    <c:v>4.0079672672456738E-4</c:v>
                  </c:pt>
                  <c:pt idx="271">
                    <c:v>4.1055464425545854E-4</c:v>
                  </c:pt>
                  <c:pt idx="272">
                    <c:v>4.2053834495228882E-4</c:v>
                  </c:pt>
                  <c:pt idx="273">
                    <c:v>4.3075269441691618E-4</c:v>
                  </c:pt>
                  <c:pt idx="274">
                    <c:v>4.4120265227075642E-4</c:v>
                  </c:pt>
                  <c:pt idx="275">
                    <c:v>4.518932743162426E-4</c:v>
                  </c:pt>
                  <c:pt idx="276">
                    <c:v>4.6282971318997029E-4</c:v>
                  </c:pt>
                  <c:pt idx="277">
                    <c:v>4.7401722089682213E-4</c:v>
                  </c:pt>
                  <c:pt idx="278">
                    <c:v>4.8546114923559103E-4</c:v>
                  </c:pt>
                  <c:pt idx="279">
                    <c:v>4.9716695273911433E-4</c:v>
                  </c:pt>
                  <c:pt idx="280">
                    <c:v>5.0914018885276019E-4</c:v>
                  </c:pt>
                  <c:pt idx="281">
                    <c:v>5.2138652076080111E-4</c:v>
                  </c:pt>
                  <c:pt idx="282">
                    <c:v>5.3391171810232378E-4</c:v>
                  </c:pt>
                  <c:pt idx="283">
                    <c:v>5.4672165930529071E-4</c:v>
                  </c:pt>
                  <c:pt idx="284">
                    <c:v>5.5982233259666014E-4</c:v>
                  </c:pt>
                  <c:pt idx="285">
                    <c:v>5.7321983833644836E-4</c:v>
                  </c:pt>
                  <c:pt idx="286">
                    <c:v>5.8692039027694607E-4</c:v>
                  </c:pt>
                  <c:pt idx="287">
                    <c:v>6.0093031744958253E-4</c:v>
                  </c:pt>
                  <c:pt idx="288">
                    <c:v>6.1525606536922284E-4</c:v>
                  </c:pt>
                  <c:pt idx="289">
                    <c:v>6.2990419867813127E-4</c:v>
                  </c:pt>
                  <c:pt idx="290">
                    <c:v>6.4488140227965851E-4</c:v>
                  </c:pt>
                  <c:pt idx="291">
                    <c:v>6.6019448316234056E-4</c:v>
                  </c:pt>
                  <c:pt idx="292">
                    <c:v>6.7585037192194309E-4</c:v>
                  </c:pt>
                  <c:pt idx="293">
                    <c:v>6.9185612528774006E-4</c:v>
                  </c:pt>
                  <c:pt idx="294">
                    <c:v>7.0821892732681184E-4</c:v>
                  </c:pt>
                  <c:pt idx="295">
                    <c:v>7.2494609111515488E-4</c:v>
                  </c:pt>
                  <c:pt idx="296">
                    <c:v>7.4204506104820793E-4</c:v>
                  </c:pt>
                  <c:pt idx="297">
                    <c:v>7.5952341436681778E-4</c:v>
                  </c:pt>
                  <c:pt idx="298">
                    <c:v>7.7738886305587227E-4</c:v>
                  </c:pt>
                  <c:pt idx="299">
                    <c:v>7.9564925527611963E-4</c:v>
                  </c:pt>
                  <c:pt idx="300">
                    <c:v>8.1431257872207979E-4</c:v>
                  </c:pt>
                  <c:pt idx="301">
                    <c:v>8.3338696022976525E-4</c:v>
                  </c:pt>
                  <c:pt idx="302">
                    <c:v>8.5288066884430566E-4</c:v>
                  </c:pt>
                  <c:pt idx="303">
                    <c:v>8.7280211852275248E-4</c:v>
                  </c:pt>
                  <c:pt idx="304">
                    <c:v>8.9315986837336988E-4</c:v>
                  </c:pt>
                  <c:pt idx="305">
                    <c:v>9.1396262574679557E-4</c:v>
                  </c:pt>
                  <c:pt idx="306">
                    <c:v>9.3521924795030205E-4</c:v>
                  </c:pt>
                  <c:pt idx="307">
                    <c:v>9.569387428597525E-4</c:v>
                  </c:pt>
                  <c:pt idx="308">
                    <c:v>9.7913027314444883E-4</c:v>
                  </c:pt>
                  <c:pt idx="309">
                    <c:v>1.0018031561416039E-3</c:v>
                  </c:pt>
                  <c:pt idx="310">
                    <c:v>1.0249668669867289E-3</c:v>
                  </c:pt>
                  <c:pt idx="311">
                    <c:v>1.0486310400689913E-3</c:v>
                  </c:pt>
                  <c:pt idx="312">
                    <c:v>1.0728054705022615E-3</c:v>
                  </c:pt>
                  <c:pt idx="313">
                    <c:v>1.0975001174045691E-3</c:v>
                  </c:pt>
                  <c:pt idx="314">
                    <c:v>1.1227251046748159E-3</c:v>
                  </c:pt>
                  <c:pt idx="315">
                    <c:v>1.1484907230247827E-3</c:v>
                  </c:pt>
                  <c:pt idx="316">
                    <c:v>1.1748074325838645E-3</c:v>
                  </c:pt>
                  <c:pt idx="317">
                    <c:v>1.2016858637542399E-3</c:v>
                  </c:pt>
                  <c:pt idx="318">
                    <c:v>1.2291368207413844E-3</c:v>
                  </c:pt>
                  <c:pt idx="319">
                    <c:v>1.2571712811617923E-3</c:v>
                  </c:pt>
                  <c:pt idx="320">
                    <c:v>1.2858004011112253E-3</c:v>
                  </c:pt>
                  <c:pt idx="321">
                    <c:v>1.3150355135563673E-3</c:v>
                  </c:pt>
                  <c:pt idx="322">
                    <c:v>1.3448881331677067E-3</c:v>
                  </c:pt>
                  <c:pt idx="323">
                    <c:v>1.3753699564450648E-3</c:v>
                  </c:pt>
                  <c:pt idx="324">
                    <c:v>1.406492864659692E-3</c:v>
                  </c:pt>
                  <c:pt idx="325">
                    <c:v>1.4382689254233848E-3</c:v>
                  </c:pt>
                  <c:pt idx="326">
                    <c:v>1.4707103934651991E-3</c:v>
                  </c:pt>
                  <c:pt idx="327">
                    <c:v>1.5038297150092878E-3</c:v>
                  </c:pt>
                  <c:pt idx="328">
                    <c:v>1.5376395268961957E-3</c:v>
                  </c:pt>
                  <c:pt idx="329">
                    <c:v>1.572152660639027E-3</c:v>
                  </c:pt>
                  <c:pt idx="330">
                    <c:v>1.6073821426823508E-3</c:v>
                  </c:pt>
                  <c:pt idx="331">
                    <c:v>1.6433411970304722E-3</c:v>
                  </c:pt>
                  <c:pt idx="332">
                    <c:v>1.6800432471539102E-3</c:v>
                  </c:pt>
                  <c:pt idx="333">
                    <c:v>1.7175019172133092E-3</c:v>
                  </c:pt>
                  <c:pt idx="334">
                    <c:v>1.7557310348053953E-3</c:v>
                  </c:pt>
                  <c:pt idx="335">
                    <c:v>1.7947446303510195E-3</c:v>
                  </c:pt>
                  <c:pt idx="336">
                    <c:v>1.8345569429087387E-3</c:v>
                  </c:pt>
                  <c:pt idx="337">
                    <c:v>1.8751824179780508E-3</c:v>
                  </c:pt>
                  <c:pt idx="338">
                    <c:v>1.9166357111868207E-3</c:v>
                  </c:pt>
                  <c:pt idx="339">
                    <c:v>1.9589316885737216E-3</c:v>
                  </c:pt>
                  <c:pt idx="340">
                    <c:v>2.0020854309190004E-3</c:v>
                  </c:pt>
                  <c:pt idx="341">
                    <c:v>2.0461122319556813E-3</c:v>
                  </c:pt>
                  <c:pt idx="342">
                    <c:v>2.0910276031161482E-3</c:v>
                  </c:pt>
                  <c:pt idx="343">
                    <c:v>2.136847272041483E-3</c:v>
                  </c:pt>
                  <c:pt idx="344">
                    <c:v>2.1835871863002715E-3</c:v>
                  </c:pt>
                  <c:pt idx="345">
                    <c:v>2.2312635141574751E-3</c:v>
                  </c:pt>
                  <c:pt idx="346">
                    <c:v>2.2798926461906188E-3</c:v>
                  </c:pt>
                  <c:pt idx="347">
                    <c:v>2.3294911960586593E-3</c:v>
                  </c:pt>
                  <c:pt idx="348">
                    <c:v>2.3800760032165586E-3</c:v>
                  </c:pt>
                  <c:pt idx="349">
                    <c:v>2.4316641325543881E-3</c:v>
                  </c:pt>
                  <c:pt idx="350">
                    <c:v>2.4842728769236045E-3</c:v>
                  </c:pt>
                  <c:pt idx="351">
                    <c:v>2.5379197580942155E-3</c:v>
                  </c:pt>
                  <c:pt idx="352">
                    <c:v>2.5926225278217765E-3</c:v>
                  </c:pt>
                  <c:pt idx="353">
                    <c:v>2.6483991688987011E-3</c:v>
                  </c:pt>
                  <c:pt idx="354">
                    <c:v>2.7052678957819069E-3</c:v>
                  </c:pt>
                  <c:pt idx="355">
                    <c:v>2.7632471584371548E-3</c:v>
                  </c:pt>
                  <c:pt idx="356">
                    <c:v>2.8223556388869888E-3</c:v>
                  </c:pt>
                  <c:pt idx="357">
                    <c:v>2.8826122544901934E-3</c:v>
                  </c:pt>
                  <c:pt idx="358">
                    <c:v>2.9440361614723057E-3</c:v>
                  </c:pt>
                  <c:pt idx="359">
                    <c:v>3.0066467503908683E-3</c:v>
                  </c:pt>
                  <c:pt idx="360">
                    <c:v>3.0704636493521184E-3</c:v>
                  </c:pt>
                  <c:pt idx="361">
                    <c:v>3.135506727918091E-3</c:v>
                  </c:pt>
                  <c:pt idx="362">
                    <c:v>3.2017960913636482E-3</c:v>
                  </c:pt>
                  <c:pt idx="363">
                    <c:v>3.269352086952951E-3</c:v>
                  </c:pt>
                  <c:pt idx="364">
                    <c:v>3.3381953017270019E-3</c:v>
                  </c:pt>
                  <c:pt idx="365">
                    <c:v>3.4083465621270559E-3</c:v>
                  </c:pt>
                  <c:pt idx="366">
                    <c:v>3.4798269380429468E-3</c:v>
                  </c:pt>
                  <c:pt idx="367">
                    <c:v>3.5526577381684967E-3</c:v>
                  </c:pt>
                  <c:pt idx="368">
                    <c:v>3.6268605156189568E-3</c:v>
                  </c:pt>
                  <c:pt idx="369">
                    <c:v>3.7024570609798186E-3</c:v>
                  </c:pt>
                  <c:pt idx="370">
                    <c:v>3.7794694100582531E-3</c:v>
                  </c:pt>
                  <c:pt idx="371">
                    <c:v>3.8579198403055218E-3</c:v>
                  </c:pt>
                  <c:pt idx="372">
                    <c:v>3.9378308693733917E-3</c:v>
                  </c:pt>
                  <c:pt idx="373">
                    <c:v>4.0192252552396631E-3</c:v>
                  </c:pt>
                  <c:pt idx="374">
                    <c:v>4.1021260002878724E-3</c:v>
                  </c:pt>
                  <c:pt idx="375">
                    <c:v>4.1865563449994441E-3</c:v>
                  </c:pt>
                  <c:pt idx="376">
                    <c:v>4.2725397698052479E-3</c:v>
                  </c:pt>
                  <c:pt idx="377">
                    <c:v>4.3600999962467432E-3</c:v>
                  </c:pt>
                  <c:pt idx="378">
                    <c:v>4.4492609847792191E-3</c:v>
                  </c:pt>
                  <c:pt idx="379">
                    <c:v>4.5400469319473802E-3</c:v>
                  </c:pt>
                  <c:pt idx="380">
                    <c:v>4.6324822748416402E-3</c:v>
                  </c:pt>
                  <c:pt idx="381">
                    <c:v>4.7265916829387104E-3</c:v>
                  </c:pt>
                  <c:pt idx="382">
                    <c:v>4.8224000642525435E-3</c:v>
                  </c:pt>
                  <c:pt idx="383">
                    <c:v>4.919932557363213E-3</c:v>
                  </c:pt>
                  <c:pt idx="384">
                    <c:v>5.019214536657767E-3</c:v>
                  </c:pt>
                  <c:pt idx="385">
                    <c:v>5.1202716053947309E-3</c:v>
                  </c:pt>
                  <c:pt idx="386">
                    <c:v>5.2231295959865439E-3</c:v>
                  </c:pt>
                  <c:pt idx="387">
                    <c:v>5.3278145729808886E-3</c:v>
                  </c:pt>
                  <c:pt idx="388">
                    <c:v>5.4343528206332731E-3</c:v>
                  </c:pt>
                  <c:pt idx="389">
                    <c:v>5.5427708505643323E-3</c:v>
                  </c:pt>
                  <c:pt idx="390">
                    <c:v>5.6530953972721443E-3</c:v>
                  </c:pt>
                  <c:pt idx="391">
                    <c:v>5.7653534124834128E-3</c:v>
                  </c:pt>
                  <c:pt idx="392">
                    <c:v>5.8795720671305524E-3</c:v>
                  </c:pt>
                  <c:pt idx="393">
                    <c:v>5.995778746204986E-3</c:v>
                  </c:pt>
                  <c:pt idx="394">
                    <c:v>6.1140010479098185E-3</c:v>
                  </c:pt>
                  <c:pt idx="395">
                    <c:v>6.2342667766301894E-3</c:v>
                  </c:pt>
                  <c:pt idx="396">
                    <c:v>6.3566039496177201E-3</c:v>
                  </c:pt>
                  <c:pt idx="397">
                    <c:v>6.4810407809855058E-3</c:v>
                  </c:pt>
                  <c:pt idx="398">
                    <c:v>6.6076056895223298E-3</c:v>
                  </c:pt>
                  <c:pt idx="399">
                    <c:v>6.7363272892465706E-3</c:v>
                  </c:pt>
                  <c:pt idx="400">
                    <c:v>6.8672343889040841E-3</c:v>
                  </c:pt>
                  <c:pt idx="401">
                    <c:v>7.0003559838087972E-3</c:v>
                  </c:pt>
                  <c:pt idx="402">
                    <c:v>7.1357212600479383E-3</c:v>
                  </c:pt>
                  <c:pt idx="403">
                    <c:v>7.2733595817721895E-3</c:v>
                  </c:pt>
                  <c:pt idx="404">
                    <c:v>7.4133004921999156E-3</c:v>
                  </c:pt>
                  <c:pt idx="405">
                    <c:v>7.5555737092864077E-3</c:v>
                  </c:pt>
                  <c:pt idx="406">
                    <c:v>7.7002091175017006E-3</c:v>
                  </c:pt>
                  <c:pt idx="407">
                    <c:v>7.8472367701528743E-3</c:v>
                  </c:pt>
                  <c:pt idx="408">
                    <c:v>7.9966868697386936E-3</c:v>
                  </c:pt>
                  <c:pt idx="409">
                    <c:v>8.1485897875949679E-3</c:v>
                  </c:pt>
                  <c:pt idx="410">
                    <c:v>8.3029760354621368E-3</c:v>
                  </c:pt>
                  <c:pt idx="411">
                    <c:v>8.459876270129861E-3</c:v>
                  </c:pt>
                  <c:pt idx="412">
                    <c:v>8.619321287850961E-3</c:v>
                  </c:pt>
                  <c:pt idx="413">
                    <c:v>8.7813420166841238E-3</c:v>
                  </c:pt>
                  <c:pt idx="414">
                    <c:v>8.9459695164311459E-3</c:v>
                  </c:pt>
                  <c:pt idx="415">
                    <c:v>9.1132349557905713E-3</c:v>
                  </c:pt>
                  <c:pt idx="416">
                    <c:v>9.2831696301828737E-3</c:v>
                  </c:pt>
                  <c:pt idx="417">
                    <c:v>9.4558049411008708E-3</c:v>
                  </c:pt>
                  <c:pt idx="418">
                    <c:v>9.6311723830546613E-3</c:v>
                  </c:pt>
                  <c:pt idx="419">
                    <c:v>9.8093035561873307E-3</c:v>
                  </c:pt>
                  <c:pt idx="420">
                    <c:v>9.9902301370266081E-3</c:v>
                  </c:pt>
                  <c:pt idx="421">
                    <c:v>1.0173983891539918E-2</c:v>
                  </c:pt>
                  <c:pt idx="422">
                    <c:v>1.036059665649326E-2</c:v>
                  </c:pt>
                  <c:pt idx="423">
                    <c:v>1.0550100327400403E-2</c:v>
                  </c:pt>
                  <c:pt idx="424">
                    <c:v>1.0742526865364215E-2</c:v>
                  </c:pt>
                  <c:pt idx="425">
                    <c:v>1.0937908274983508E-2</c:v>
                  </c:pt>
                  <c:pt idx="426">
                    <c:v>1.1136276605984909E-2</c:v>
                  </c:pt>
                  <c:pt idx="427">
                    <c:v>1.1337663940418867E-2</c:v>
                  </c:pt>
                  <c:pt idx="428">
                    <c:v>1.1542102378914182E-2</c:v>
                  </c:pt>
                  <c:pt idx="429">
                    <c:v>1.1749624041682238E-2</c:v>
                  </c:pt>
                  <c:pt idx="430">
                    <c:v>1.1960261054143891E-2</c:v>
                  </c:pt>
                  <c:pt idx="431">
                    <c:v>1.217404554416782E-2</c:v>
                  </c:pt>
                  <c:pt idx="432">
                    <c:v>1.2391009613951941E-2</c:v>
                  </c:pt>
                  <c:pt idx="433">
                    <c:v>1.2611185352262525E-2</c:v>
                  </c:pt>
                  <c:pt idx="434">
                    <c:v>1.2834604817738789E-2</c:v>
                  </c:pt>
                  <c:pt idx="435">
                    <c:v>1.3061300023201718E-2</c:v>
                  </c:pt>
                  <c:pt idx="436">
                    <c:v>1.3291302920025656E-2</c:v>
                  </c:pt>
                  <c:pt idx="437">
                    <c:v>1.3524645415147541E-2</c:v>
                  </c:pt>
                  <c:pt idx="438">
                    <c:v>1.3761359328637967E-2</c:v>
                  </c:pt>
                  <c:pt idx="439">
                    <c:v>1.4001476394956478E-2</c:v>
                  </c:pt>
                  <c:pt idx="440">
                    <c:v>1.424502825843251E-2</c:v>
                  </c:pt>
                  <c:pt idx="441">
                    <c:v>1.4492046452301982E-2</c:v>
                  </c:pt>
                  <c:pt idx="442">
                    <c:v>1.4742562399083885E-2</c:v>
                  </c:pt>
                  <c:pt idx="443">
                    <c:v>1.4996607373549105E-2</c:v>
                  </c:pt>
                  <c:pt idx="444">
                    <c:v>1.5254212526445486E-2</c:v>
                  </c:pt>
                  <c:pt idx="445">
                    <c:v>1.5515408843575235E-2</c:v>
                  </c:pt>
                  <c:pt idx="446">
                    <c:v>1.5780227145920474E-2</c:v>
                  </c:pt>
                  <c:pt idx="447">
                    <c:v>1.6048698072320153E-2</c:v>
                  </c:pt>
                  <c:pt idx="448">
                    <c:v>1.6320852075955249E-2</c:v>
                  </c:pt>
                  <c:pt idx="449">
                    <c:v>1.6596719390706879E-2</c:v>
                  </c:pt>
                  <c:pt idx="450">
                    <c:v>1.6876330053123945E-2</c:v>
                  </c:pt>
                  <c:pt idx="451">
                    <c:v>1.7159713849575261E-2</c:v>
                  </c:pt>
                  <c:pt idx="452">
                    <c:v>1.7446900324911068E-2</c:v>
                  </c:pt>
                  <c:pt idx="453">
                    <c:v>1.7737918772671772E-2</c:v>
                  </c:pt>
                  <c:pt idx="454">
                    <c:v>1.8032798202450257E-2</c:v>
                  </c:pt>
                  <c:pt idx="455">
                    <c:v>1.8331567344913102E-2</c:v>
                  </c:pt>
                  <c:pt idx="456">
                    <c:v>1.8634254618535264E-2</c:v>
                  </c:pt>
                  <c:pt idx="457">
                    <c:v>1.8940888141399846E-2</c:v>
                  </c:pt>
                  <c:pt idx="458">
                    <c:v>1.9251495689647881E-2</c:v>
                  </c:pt>
                  <c:pt idx="459">
                    <c:v>1.9566104692582666E-2</c:v>
                  </c:pt>
                  <c:pt idx="460">
                    <c:v>1.9884742223380596E-2</c:v>
                  </c:pt>
                  <c:pt idx="461">
                    <c:v>2.0207434976872465E-2</c:v>
                  </c:pt>
                  <c:pt idx="462">
                    <c:v>2.053420925899898E-2</c:v>
                  </c:pt>
                  <c:pt idx="463">
                    <c:v>2.0865090966600549E-2</c:v>
                  </c:pt>
                  <c:pt idx="464">
                    <c:v>2.1200105575491977E-2</c:v>
                  </c:pt>
                  <c:pt idx="465">
                    <c:v>2.153927811736505E-2</c:v>
                  </c:pt>
                  <c:pt idx="466">
                    <c:v>2.1882633178784316E-2</c:v>
                  </c:pt>
                  <c:pt idx="467">
                    <c:v>2.2230194872566372E-2</c:v>
                  </c:pt>
                  <c:pt idx="468">
                    <c:v>2.2581986823092922E-2</c:v>
                  </c:pt>
                  <c:pt idx="469">
                    <c:v>2.293803215225149E-2</c:v>
                  </c:pt>
                  <c:pt idx="470">
                    <c:v>2.3298353457342248E-2</c:v>
                  </c:pt>
                  <c:pt idx="471">
                    <c:v>2.3662972801537775E-2</c:v>
                  </c:pt>
                  <c:pt idx="472">
                    <c:v>2.4031911716017061E-2</c:v>
                  </c:pt>
                  <c:pt idx="473">
                    <c:v>2.4405191117241629E-2</c:v>
                  </c:pt>
                  <c:pt idx="474">
                    <c:v>2.4782831375369067E-2</c:v>
                  </c:pt>
                  <c:pt idx="475">
                    <c:v>2.5164852234667377E-2</c:v>
                  </c:pt>
                  <c:pt idx="476">
                    <c:v>2.5551272823808396E-2</c:v>
                  </c:pt>
                  <c:pt idx="477">
                    <c:v>2.5942111647331786E-2</c:v>
                  </c:pt>
                  <c:pt idx="478">
                    <c:v>2.6337386513591174E-2</c:v>
                  </c:pt>
                  <c:pt idx="479">
                    <c:v>2.673711459325084E-2</c:v>
                  </c:pt>
                  <c:pt idx="480">
                    <c:v>2.7141312371835605E-2</c:v>
                  </c:pt>
                  <c:pt idx="481">
                    <c:v>2.7549995582447081E-2</c:v>
                  </c:pt>
                  <c:pt idx="482">
                    <c:v>2.7963179278319657E-2</c:v>
                  </c:pt>
                  <c:pt idx="483">
                    <c:v>2.8380877737920272E-2</c:v>
                  </c:pt>
                  <c:pt idx="484">
                    <c:v>2.880310448930113E-2</c:v>
                  </c:pt>
                  <c:pt idx="485">
                    <c:v>2.922987228097686E-2</c:v>
                  </c:pt>
                  <c:pt idx="486">
                    <c:v>2.9661193066358896E-2</c:v>
                  </c:pt>
                  <c:pt idx="487">
                    <c:v>3.0097077965594514E-2</c:v>
                  </c:pt>
                  <c:pt idx="488">
                    <c:v>3.0537537296949198E-2</c:v>
                  </c:pt>
                  <c:pt idx="489">
                    <c:v>3.0982580506008051E-2</c:v>
                  </c:pt>
                  <c:pt idx="490">
                    <c:v>3.1432216154880281E-2</c:v>
                  </c:pt>
                  <c:pt idx="491">
                    <c:v>3.1886451952577298E-2</c:v>
                  </c:pt>
                  <c:pt idx="492">
                    <c:v>3.2345294678690843E-2</c:v>
                  </c:pt>
                  <c:pt idx="493">
                    <c:v>3.2808750214524285E-2</c:v>
                  </c:pt>
                  <c:pt idx="494">
                    <c:v>3.3276823453213582E-2</c:v>
                  </c:pt>
                  <c:pt idx="495">
                    <c:v>3.374951839412535E-2</c:v>
                  </c:pt>
                  <c:pt idx="496">
                    <c:v>3.4226837999502338E-2</c:v>
                  </c:pt>
                  <c:pt idx="497">
                    <c:v>3.4708784303171855E-2</c:v>
                  </c:pt>
                  <c:pt idx="498">
                    <c:v>3.519535825011922E-2</c:v>
                  </c:pt>
                  <c:pt idx="499">
                    <c:v>3.5686559831055245E-2</c:v>
                  </c:pt>
                  <c:pt idx="500">
                    <c:v>3.6182387941321233E-2</c:v>
                  </c:pt>
                  <c:pt idx="501">
                    <c:v>3.6682840441143054E-2</c:v>
                  </c:pt>
                  <c:pt idx="502">
                    <c:v>3.7187914080564592E-2</c:v>
                  </c:pt>
                  <c:pt idx="503">
                    <c:v>3.7697604553927476E-2</c:v>
                  </c:pt>
                  <c:pt idx="504">
                    <c:v>3.8211906422796066E-2</c:v>
                  </c:pt>
                  <c:pt idx="505">
                    <c:v>3.8730813098132227E-2</c:v>
                  </c:pt>
                  <c:pt idx="506">
                    <c:v>3.9254316881971153E-2</c:v>
                  </c:pt>
                  <c:pt idx="507">
                    <c:v>3.9782408889844134E-2</c:v>
                  </c:pt>
                  <c:pt idx="508">
                    <c:v>4.0315079048519081E-2</c:v>
                  </c:pt>
                  <c:pt idx="509">
                    <c:v>4.0852316100268488E-2</c:v>
                  </c:pt>
                  <c:pt idx="510">
                    <c:v>4.139410761893722E-2</c:v>
                  </c:pt>
                  <c:pt idx="511">
                    <c:v>4.1940439856545567E-2</c:v>
                  </c:pt>
                  <c:pt idx="512">
                    <c:v>4.2491297922796295E-2</c:v>
                  </c:pt>
                  <c:pt idx="513">
                    <c:v>4.3046665632179855E-2</c:v>
                  </c:pt>
                  <c:pt idx="514">
                    <c:v>4.3606525477864228E-2</c:v>
                  </c:pt>
                  <c:pt idx="515">
                    <c:v>4.4170858731867421E-2</c:v>
                  </c:pt>
                  <c:pt idx="516">
                    <c:v>4.4739645380786397E-2</c:v>
                  </c:pt>
                  <c:pt idx="517">
                    <c:v>4.5312864017841813E-2</c:v>
                  </c:pt>
                  <c:pt idx="518">
                    <c:v>4.5890491961377726E-2</c:v>
                  </c:pt>
                  <c:pt idx="519">
                    <c:v>4.6472505191092722E-2</c:v>
                  </c:pt>
                  <c:pt idx="520">
                    <c:v>4.7058878310381039E-2</c:v>
                  </c:pt>
                  <c:pt idx="521">
                    <c:v>4.7649584572944846E-2</c:v>
                  </c:pt>
                  <c:pt idx="522">
                    <c:v>4.8244595843629022E-2</c:v>
                  </c:pt>
                  <c:pt idx="523">
                    <c:v>4.8843882597416968E-2</c:v>
                  </c:pt>
                  <c:pt idx="524">
                    <c:v>4.9447413919932702E-2</c:v>
                  </c:pt>
                  <c:pt idx="525">
                    <c:v>5.0055157444174041E-2</c:v>
                  </c:pt>
                  <c:pt idx="526">
                    <c:v>5.0667079403234949E-2</c:v>
                  </c:pt>
                  <c:pt idx="527">
                    <c:v>5.1283144610722961E-2</c:v>
                  </c:pt>
                  <c:pt idx="528">
                    <c:v>5.1903316420087643E-2</c:v>
                  </c:pt>
                  <c:pt idx="529">
                    <c:v>5.2527556717088836E-2</c:v>
                  </c:pt>
                  <c:pt idx="530">
                    <c:v>5.3155825951932197E-2</c:v>
                  </c:pt>
                  <c:pt idx="531">
                    <c:v>5.3788083060938817E-2</c:v>
                  </c:pt>
                  <c:pt idx="532">
                    <c:v>5.4424285519769723E-2</c:v>
                  </c:pt>
                  <c:pt idx="533">
                    <c:v>5.506438932032845E-2</c:v>
                  </c:pt>
                  <c:pt idx="534">
                    <c:v>5.5708348976284336E-2</c:v>
                  </c:pt>
                  <c:pt idx="535">
                    <c:v>5.6356117416121475E-2</c:v>
                  </c:pt>
                  <c:pt idx="536">
                    <c:v>5.7007646182981521E-2</c:v>
                  </c:pt>
                  <c:pt idx="537">
                    <c:v>5.766288520218326E-2</c:v>
                  </c:pt>
                  <c:pt idx="538">
                    <c:v>5.8321782925832434E-2</c:v>
                  </c:pt>
                  <c:pt idx="539">
                    <c:v>5.8984286289639663E-2</c:v>
                  </c:pt>
                  <c:pt idx="540">
                    <c:v>5.9650340625049862E-2</c:v>
                  </c:pt>
                  <c:pt idx="541">
                    <c:v>6.0319889824438921E-2</c:v>
                  </c:pt>
                  <c:pt idx="542">
                    <c:v>6.0992876190980538E-2</c:v>
                  </c:pt>
                  <c:pt idx="543">
                    <c:v>6.1669240480321998E-2</c:v>
                  </c:pt>
                  <c:pt idx="544">
                    <c:v>6.2348921986948386E-2</c:v>
                  </c:pt>
                  <c:pt idx="545">
                    <c:v>6.3031858363420276E-2</c:v>
                  </c:pt>
                  <c:pt idx="546">
                    <c:v>6.371798575092423E-2</c:v>
                  </c:pt>
                  <c:pt idx="547">
                    <c:v>6.4407238780277168E-2</c:v>
                  </c:pt>
                  <c:pt idx="548">
                    <c:v>6.5099550515689053E-2</c:v>
                  </c:pt>
                  <c:pt idx="549">
                    <c:v>6.5794852452252403E-2</c:v>
                  </c:pt>
                  <c:pt idx="550">
                    <c:v>6.6493074603812832E-2</c:v>
                  </c:pt>
                  <c:pt idx="551">
                    <c:v>6.7194145436689515E-2</c:v>
                  </c:pt>
                  <c:pt idx="552">
                    <c:v>6.7897991772766536E-2</c:v>
                  </c:pt>
                  <c:pt idx="553">
                    <c:v>6.8604539101307843E-2</c:v>
                  </c:pt>
                  <c:pt idx="554">
                    <c:v>6.9313711265133846E-2</c:v>
                  </c:pt>
                  <c:pt idx="555">
                    <c:v>7.0025430544474965E-2</c:v>
                  </c:pt>
                  <c:pt idx="556">
                    <c:v>7.0739617794049803E-2</c:v>
                  </c:pt>
                  <c:pt idx="557">
                    <c:v>7.1456192351679701E-2</c:v>
                  </c:pt>
                  <c:pt idx="558">
                    <c:v>7.2175071995106629E-2</c:v>
                  </c:pt>
                  <c:pt idx="559">
                    <c:v>7.2896173058986602E-2</c:v>
                  </c:pt>
                  <c:pt idx="560">
                    <c:v>7.3619410400243557E-2</c:v>
                  </c:pt>
                  <c:pt idx="561">
                    <c:v>7.4344697353380895E-2</c:v>
                  </c:pt>
                  <c:pt idx="562">
                    <c:v>7.5071945845968505E-2</c:v>
                  </c:pt>
                  <c:pt idx="563">
                    <c:v>7.580106627110493E-2</c:v>
                  </c:pt>
                  <c:pt idx="564">
                    <c:v>7.6531967712366006E-2</c:v>
                  </c:pt>
                  <c:pt idx="565">
                    <c:v>7.7264557670652934E-2</c:v>
                  </c:pt>
                  <c:pt idx="566">
                    <c:v>7.7998742306212926E-2</c:v>
                  </c:pt>
                  <c:pt idx="567">
                    <c:v>7.8734426375372438E-2</c:v>
                  </c:pt>
                  <c:pt idx="568">
                    <c:v>7.9471513307863187E-2</c:v>
                  </c:pt>
                  <c:pt idx="569">
                    <c:v>8.0209904960784645E-2</c:v>
                  </c:pt>
                  <c:pt idx="570">
                    <c:v>8.0949502061471654E-2</c:v>
                  </c:pt>
                  <c:pt idx="571">
                    <c:v>8.169020391727054E-2</c:v>
                  </c:pt>
                  <c:pt idx="572">
                    <c:v>8.2431908395454334E-2</c:v>
                  </c:pt>
                  <c:pt idx="573">
                    <c:v>8.3174512234535744E-2</c:v>
                  </c:pt>
                  <c:pt idx="574">
                    <c:v>8.3917910755047384E-2</c:v>
                  </c:pt>
                  <c:pt idx="575">
                    <c:v>8.4661998091520127E-2</c:v>
                  </c:pt>
                  <c:pt idx="576">
                    <c:v>8.5406667085029905E-2</c:v>
                  </c:pt>
                  <c:pt idx="577">
                    <c:v>8.6151809400693238E-2</c:v>
                  </c:pt>
                  <c:pt idx="578">
                    <c:v>8.6897315435277664E-2</c:v>
                  </c:pt>
                  <c:pt idx="579">
                    <c:v>8.7643074435701351E-2</c:v>
                  </c:pt>
                  <c:pt idx="580">
                    <c:v>8.8388974505058643E-2</c:v>
                  </c:pt>
                  <c:pt idx="581">
                    <c:v>8.9134902592577642E-2</c:v>
                  </c:pt>
                  <c:pt idx="582">
                    <c:v>8.98807445388108E-2</c:v>
                  </c:pt>
                  <c:pt idx="583">
                    <c:v>9.0626385111787403E-2</c:v>
                  </c:pt>
                  <c:pt idx="584">
                    <c:v>9.1371708017055894E-2</c:v>
                  </c:pt>
                  <c:pt idx="585">
                    <c:v>9.2116595937853291E-2</c:v>
                  </c:pt>
                  <c:pt idx="586">
                    <c:v>9.2860930531088265E-2</c:v>
                  </c:pt>
                  <c:pt idx="587">
                    <c:v>9.3604592509688417E-2</c:v>
                  </c:pt>
                  <c:pt idx="588">
                    <c:v>9.4347461610464728E-2</c:v>
                  </c:pt>
                  <c:pt idx="589">
                    <c:v>9.5089416682484287E-2</c:v>
                  </c:pt>
                  <c:pt idx="590">
                    <c:v>9.5830335677027936E-2</c:v>
                  </c:pt>
                  <c:pt idx="591">
                    <c:v>9.6570095683742682E-2</c:v>
                  </c:pt>
                  <c:pt idx="592">
                    <c:v>9.7308572976836621E-2</c:v>
                  </c:pt>
                  <c:pt idx="593">
                    <c:v>9.8045643047214359E-2</c:v>
                  </c:pt>
                  <c:pt idx="594">
                    <c:v>9.8781180628587179E-2</c:v>
                  </c:pt>
                  <c:pt idx="595">
                    <c:v>9.9515059703498485E-2</c:v>
                  </c:pt>
                  <c:pt idx="596">
                    <c:v>0.10024715360173875</c:v>
                  </c:pt>
                  <c:pt idx="597">
                    <c:v>0.10097733497825243</c:v>
                  </c:pt>
                  <c:pt idx="598">
                    <c:v>0.10170547586736663</c:v>
                  </c:pt>
                  <c:pt idx="599">
                    <c:v>0.10243144773300289</c:v>
                  </c:pt>
                  <c:pt idx="600">
                    <c:v>0.10315512148675336</c:v>
                  </c:pt>
                  <c:pt idx="601">
                    <c:v>0.10387636752604182</c:v>
                  </c:pt>
                  <c:pt idx="602">
                    <c:v>0.10459505576625912</c:v>
                  </c:pt>
                  <c:pt idx="603">
                    <c:v>0.10531105572511899</c:v>
                  </c:pt>
                  <c:pt idx="604">
                    <c:v>0.10602423649052251</c:v>
                  </c:pt>
                  <c:pt idx="605">
                    <c:v>0.10673446679487147</c:v>
                  </c:pt>
                  <c:pt idx="606">
                    <c:v>0.10744161509540728</c:v>
                  </c:pt>
                  <c:pt idx="607">
                    <c:v>0.10814554951596522</c:v>
                  </c:pt>
                  <c:pt idx="608">
                    <c:v>0.10884613799158435</c:v>
                  </c:pt>
                  <c:pt idx="609">
                    <c:v>0.10954324823235509</c:v>
                  </c:pt>
                  <c:pt idx="610">
                    <c:v>0.11023674781179182</c:v>
                  </c:pt>
                  <c:pt idx="611">
                    <c:v>0.11092650418892618</c:v>
                  </c:pt>
                  <c:pt idx="612">
                    <c:v>0.11161238475048481</c:v>
                  </c:pt>
                  <c:pt idx="613">
                    <c:v>0.11229425686913506</c:v>
                  </c:pt>
                  <c:pt idx="614">
                    <c:v>0.11297198791352742</c:v>
                  </c:pt>
                  <c:pt idx="615">
                    <c:v>0.11364544532461721</c:v>
                  </c:pt>
                  <c:pt idx="616">
                    <c:v>0.11431449664780026</c:v>
                  </c:pt>
                  <c:pt idx="617">
                    <c:v>0.11497900957308227</c:v>
                  </c:pt>
                  <c:pt idx="618">
                    <c:v>0.1156388519832821</c:v>
                  </c:pt>
                  <c:pt idx="619">
                    <c:v>0.11629389199420113</c:v>
                  </c:pt>
                  <c:pt idx="620">
                    <c:v>0.11694399800282665</c:v>
                  </c:pt>
                  <c:pt idx="621">
                    <c:v>0.11758903873352658</c:v>
                  </c:pt>
                  <c:pt idx="622">
                    <c:v>0.11822888328223588</c:v>
                  </c:pt>
                  <c:pt idx="623">
                    <c:v>0.11886340115060051</c:v>
                  </c:pt>
                  <c:pt idx="624">
                    <c:v>0.11949246230824004</c:v>
                  </c:pt>
                  <c:pt idx="625">
                    <c:v>0.12011593723693399</c:v>
                  </c:pt>
                  <c:pt idx="626">
                    <c:v>0.12073369694869804</c:v>
                  </c:pt>
                  <c:pt idx="627">
                    <c:v>0.12134561307616522</c:v>
                  </c:pt>
                  <c:pt idx="628">
                    <c:v>0.12195155787459439</c:v>
                  </c:pt>
                  <c:pt idx="629">
                    <c:v>0.12255140429618359</c:v>
                  </c:pt>
                  <c:pt idx="630">
                    <c:v>0.12314502603023955</c:v>
                  </c:pt>
                  <c:pt idx="631">
                    <c:v>0.12373229753933006</c:v>
                  </c:pt>
                  <c:pt idx="632">
                    <c:v>0.12431309411552116</c:v>
                  </c:pt>
                  <c:pt idx="633">
                    <c:v>0.12488729189845342</c:v>
                  </c:pt>
                  <c:pt idx="634">
                    <c:v>0.12545476799183314</c:v>
                  </c:pt>
                  <c:pt idx="635">
                    <c:v>0.12601540040518683</c:v>
                  </c:pt>
                  <c:pt idx="636">
                    <c:v>0.12656906818240315</c:v>
                  </c:pt>
                  <c:pt idx="637">
                    <c:v>0.12711565142181783</c:v>
                  </c:pt>
                  <c:pt idx="638">
                    <c:v>0.1276550312902727</c:v>
                  </c:pt>
                  <c:pt idx="639">
                    <c:v>0.12818709012956483</c:v>
                  </c:pt>
                  <c:pt idx="640">
                    <c:v>0.12871171144037871</c:v>
                  </c:pt>
                  <c:pt idx="641">
                    <c:v>0.12922877996262505</c:v>
                  </c:pt>
                  <c:pt idx="642">
                    <c:v>0.12973818169552545</c:v>
                  </c:pt>
                  <c:pt idx="643">
                    <c:v>0.13023980396790888</c:v>
                  </c:pt>
                  <c:pt idx="644">
                    <c:v>0.13073353546030492</c:v>
                  </c:pt>
                  <c:pt idx="645">
                    <c:v>0.131219266253147</c:v>
                  </c:pt>
                  <c:pt idx="646">
                    <c:v>0.13169688787296718</c:v>
                  </c:pt>
                  <c:pt idx="647">
                    <c:v>0.13216629332854871</c:v>
                  </c:pt>
                  <c:pt idx="648">
                    <c:v>0.1326273771591292</c:v>
                  </c:pt>
                  <c:pt idx="649">
                    <c:v>0.13308003546653624</c:v>
                  </c:pt>
                  <c:pt idx="650">
                    <c:v>0.1335241659613822</c:v>
                  </c:pt>
                  <c:pt idx="651">
                    <c:v>0.13395966800725057</c:v>
                  </c:pt>
                  <c:pt idx="652">
                    <c:v>0.13438644265483993</c:v>
                  </c:pt>
                  <c:pt idx="653">
                    <c:v>0.1348043926801249</c:v>
                  </c:pt>
                  <c:pt idx="654">
                    <c:v>0.13521342262251715</c:v>
                  </c:pt>
                  <c:pt idx="655">
                    <c:v>0.13561343882503468</c:v>
                  </c:pt>
                  <c:pt idx="656">
                    <c:v>0.13600434947848827</c:v>
                  </c:pt>
                  <c:pt idx="657">
                    <c:v>0.13638606463955766</c:v>
                  </c:pt>
                  <c:pt idx="658">
                    <c:v>0.13675849628903722</c:v>
                  </c:pt>
                  <c:pt idx="659">
                    <c:v>0.13712155834388673</c:v>
                  </c:pt>
                  <c:pt idx="660">
                    <c:v>0.13747516671547708</c:v>
                  </c:pt>
                  <c:pt idx="661">
                    <c:v>0.13781923932565801</c:v>
                  </c:pt>
                  <c:pt idx="662">
                    <c:v>0.13815369615094444</c:v>
                  </c:pt>
                  <c:pt idx="663">
                    <c:v>0.13847845924460964</c:v>
                  </c:pt>
                  <c:pt idx="664">
                    <c:v>0.13879345277685468</c:v>
                  </c:pt>
                  <c:pt idx="665">
                    <c:v>0.13909860306292696</c:v>
                  </c:pt>
                  <c:pt idx="666">
                    <c:v>0.13939383859525581</c:v>
                  </c:pt>
                  <c:pt idx="667">
                    <c:v>0.13967909006152862</c:v>
                  </c:pt>
                  <c:pt idx="668">
                    <c:v>0.13995429039289423</c:v>
                  </c:pt>
                  <c:pt idx="669">
                    <c:v>0.14021937477601371</c:v>
                  </c:pt>
                  <c:pt idx="670">
                    <c:v>0.14047428068117887</c:v>
                  </c:pt>
                  <c:pt idx="671">
                    <c:v>0.14071894789243952</c:v>
                  </c:pt>
                  <c:pt idx="672">
                    <c:v>0.14095331853371335</c:v>
                  </c:pt>
                  <c:pt idx="673">
                    <c:v>0.14117733708887079</c:v>
                  </c:pt>
                  <c:pt idx="674">
                    <c:v>0.1413909504178027</c:v>
                  </c:pt>
                  <c:pt idx="675">
                    <c:v>0.14159410780060672</c:v>
                  </c:pt>
                  <c:pt idx="676">
                    <c:v>0.1417867609335704</c:v>
                  </c:pt>
                  <c:pt idx="677">
                    <c:v>0.14196886396130662</c:v>
                  </c:pt>
                  <c:pt idx="678">
                    <c:v>0.14214037349482994</c:v>
                  </c:pt>
                  <c:pt idx="679">
                    <c:v>0.1423012486316412</c:v>
                  </c:pt>
                  <c:pt idx="680">
                    <c:v>0.14245145096777839</c:v>
                  </c:pt>
                  <c:pt idx="681">
                    <c:v>0.14259094461790134</c:v>
                  </c:pt>
                  <c:pt idx="682">
                    <c:v>0.14271969622533409</c:v>
                  </c:pt>
                  <c:pt idx="683">
                    <c:v>0.14283767498214961</c:v>
                  </c:pt>
                  <c:pt idx="684">
                    <c:v>0.14294485263519516</c:v>
                  </c:pt>
                  <c:pt idx="685">
                    <c:v>0.14304120350818544</c:v>
                  </c:pt>
                  <c:pt idx="686">
                    <c:v>0.14312670449969428</c:v>
                  </c:pt>
                  <c:pt idx="687">
                    <c:v>0.14320133510524757</c:v>
                  </c:pt>
                  <c:pt idx="688">
                    <c:v>0.14326507741531508</c:v>
                  </c:pt>
                  <c:pt idx="689">
                    <c:v>0.14331791612535247</c:v>
                  </c:pt>
                  <c:pt idx="690">
                    <c:v>0.14335983854986095</c:v>
                  </c:pt>
                  <c:pt idx="691">
                    <c:v>0.14339083462037847</c:v>
                  </c:pt>
                  <c:pt idx="692">
                    <c:v>0.14341089688949693</c:v>
                  </c:pt>
                  <c:pt idx="693">
                    <c:v>0.1434200205368874</c:v>
                  </c:pt>
                  <c:pt idx="694">
                    <c:v>0.14341819491163152</c:v>
                  </c:pt>
                  <c:pt idx="695">
                    <c:v>0.14340542468342288</c:v>
                  </c:pt>
                  <c:pt idx="696">
                    <c:v>0.14338171714903439</c:v>
                  </c:pt>
                  <c:pt idx="697">
                    <c:v>0.14334707800448798</c:v>
                  </c:pt>
                  <c:pt idx="698">
                    <c:v>0.14330151557087645</c:v>
                  </c:pt>
                  <c:pt idx="699">
                    <c:v>0.14324504078632941</c:v>
                  </c:pt>
                  <c:pt idx="700">
                    <c:v>0.14317766721806424</c:v>
                  </c:pt>
                  <c:pt idx="701">
                    <c:v>0.14309941103025053</c:v>
                  </c:pt>
                  <c:pt idx="702">
                    <c:v>0.14301029100409474</c:v>
                  </c:pt>
                  <c:pt idx="703">
                    <c:v>0.14291032850771315</c:v>
                  </c:pt>
                  <c:pt idx="704">
                    <c:v>0.14279954750818272</c:v>
                  </c:pt>
                  <c:pt idx="705">
                    <c:v>0.14267797453739708</c:v>
                  </c:pt>
                  <c:pt idx="706">
                    <c:v>0.14254563870010045</c:v>
                  </c:pt>
                  <c:pt idx="707">
                    <c:v>0.14240257165781975</c:v>
                  </c:pt>
                  <c:pt idx="708">
                    <c:v>0.14224880760878006</c:v>
                  </c:pt>
                  <c:pt idx="709">
                    <c:v>0.14208438328187903</c:v>
                  </c:pt>
                  <c:pt idx="710">
                    <c:v>0.14190933791459395</c:v>
                  </c:pt>
                  <c:pt idx="711">
                    <c:v>0.14172371324293914</c:v>
                  </c:pt>
                  <c:pt idx="712">
                    <c:v>0.14152755347736445</c:v>
                  </c:pt>
                  <c:pt idx="713">
                    <c:v>0.14132090529271291</c:v>
                  </c:pt>
                  <c:pt idx="714">
                    <c:v>0.14110381779608511</c:v>
                  </c:pt>
                  <c:pt idx="715">
                    <c:v>0.14087634252483086</c:v>
                  </c:pt>
                  <c:pt idx="716">
                    <c:v>0.14063853340838814</c:v>
                  </c:pt>
                  <c:pt idx="717">
                    <c:v>0.14039044675221538</c:v>
                  </c:pt>
                  <c:pt idx="718">
                    <c:v>0.14013214121569831</c:v>
                  </c:pt>
                  <c:pt idx="719">
                    <c:v>0.13986367778804831</c:v>
                  </c:pt>
                  <c:pt idx="720">
                    <c:v>0.13958511976620916</c:v>
                  </c:pt>
                  <c:pt idx="721">
                    <c:v>0.13929653271468773</c:v>
                  </c:pt>
                  <c:pt idx="722">
                    <c:v>0.13899798445350312</c:v>
                  </c:pt>
                  <c:pt idx="723">
                    <c:v>0.13868954503207656</c:v>
                  </c:pt>
                  <c:pt idx="724">
                    <c:v>0.13837128668705345</c:v>
                  </c:pt>
                  <c:pt idx="725">
                    <c:v>0.13804328382221878</c:v>
                  </c:pt>
                  <c:pt idx="726">
                    <c:v>0.1377056129663192</c:v>
                  </c:pt>
                  <c:pt idx="727">
                    <c:v>0.13735835277507147</c:v>
                  </c:pt>
                  <c:pt idx="728">
                    <c:v>0.13700158395684905</c:v>
                  </c:pt>
                  <c:pt idx="729">
                    <c:v>0.13663538926063132</c:v>
                  </c:pt>
                  <c:pt idx="730">
                    <c:v>0.13625985344587652</c:v>
                  </c:pt>
                  <c:pt idx="731">
                    <c:v>0.13587506324837767</c:v>
                  </c:pt>
                  <c:pt idx="732">
                    <c:v>0.1354811073220171</c:v>
                  </c:pt>
                  <c:pt idx="733">
                    <c:v>0.13507807624680016</c:v>
                  </c:pt>
                  <c:pt idx="734">
                    <c:v>0.134666062446508</c:v>
                  </c:pt>
                  <c:pt idx="735">
                    <c:v>0.13424516018869762</c:v>
                  </c:pt>
                  <c:pt idx="736">
                    <c:v>0.13381546551842222</c:v>
                  </c:pt>
                  <c:pt idx="737">
                    <c:v>0.13337707624216361</c:v>
                  </c:pt>
                  <c:pt idx="738">
                    <c:v>0.13293009187762031</c:v>
                  </c:pt>
                  <c:pt idx="739">
                    <c:v>0.13247461361755511</c:v>
                  </c:pt>
                  <c:pt idx="740">
                    <c:v>0.13201074429565113</c:v>
                  </c:pt>
                  <c:pt idx="741">
                    <c:v>0.13153858832424919</c:v>
                  </c:pt>
                  <c:pt idx="742">
                    <c:v>0.13105825168028856</c:v>
                  </c:pt>
                  <c:pt idx="743">
                    <c:v>0.130569841863129</c:v>
                  </c:pt>
                  <c:pt idx="744">
                    <c:v>0.13007346782827134</c:v>
                  </c:pt>
                  <c:pt idx="745">
                    <c:v>0.12956923996325573</c:v>
                  </c:pt>
                  <c:pt idx="746">
                    <c:v>0.1290572700515093</c:v>
                  </c:pt>
                  <c:pt idx="747">
                    <c:v>0.12853767120405804</c:v>
                  </c:pt>
                  <c:pt idx="748">
                    <c:v>0.12801055784948454</c:v>
                  </c:pt>
                  <c:pt idx="749">
                    <c:v>0.12747604566162302</c:v>
                  </c:pt>
                  <c:pt idx="750">
                    <c:v>0.12693425153545762</c:v>
                  </c:pt>
                  <c:pt idx="751">
                    <c:v>0.12638529352887692</c:v>
                  </c:pt>
                  <c:pt idx="752">
                    <c:v>0.12582929082852978</c:v>
                  </c:pt>
                  <c:pt idx="753">
                    <c:v>0.12526636370162222</c:v>
                  </c:pt>
                  <c:pt idx="754">
                    <c:v>0.12469663344369694</c:v>
                  </c:pt>
                  <c:pt idx="755">
                    <c:v>0.12412022235854889</c:v>
                  </c:pt>
                  <c:pt idx="756">
                    <c:v>0.12353725366784393</c:v>
                  </c:pt>
                  <c:pt idx="757">
                    <c:v>0.12294785151513583</c:v>
                  </c:pt>
                  <c:pt idx="758">
                    <c:v>0.12235214089556982</c:v>
                  </c:pt>
                  <c:pt idx="759">
                    <c:v>0.12175024760767923</c:v>
                  </c:pt>
                  <c:pt idx="760">
                    <c:v>0.12114229821522464</c:v>
                  </c:pt>
                  <c:pt idx="761">
                    <c:v>0.12052842000300747</c:v>
                  </c:pt>
                  <c:pt idx="762">
                    <c:v>0.11990874092464981</c:v>
                  </c:pt>
                  <c:pt idx="763">
                    <c:v>0.11928338956242496</c:v>
                  </c:pt>
                  <c:pt idx="764">
                    <c:v>0.11865249508507954</c:v>
                  </c:pt>
                  <c:pt idx="765">
                    <c:v>0.11801618718155403</c:v>
                  </c:pt>
                  <c:pt idx="766">
                    <c:v>0.1173745960569658</c:v>
                  </c:pt>
                  <c:pt idx="767">
                    <c:v>0.11672785233620252</c:v>
                  </c:pt>
                  <c:pt idx="768">
                    <c:v>0.11607608705387978</c:v>
                  </c:pt>
                  <c:pt idx="769">
                    <c:v>0.11541943161015483</c:v>
                  </c:pt>
                  <c:pt idx="770">
                    <c:v>0.11475801769440463</c:v>
                  </c:pt>
                  <c:pt idx="771">
                    <c:v>0.11409197727518353</c:v>
                  </c:pt>
                  <c:pt idx="772">
                    <c:v>0.11342144254197761</c:v>
                  </c:pt>
                  <c:pt idx="773">
                    <c:v>0.1127465458650353</c:v>
                  </c:pt>
                  <c:pt idx="774">
                    <c:v>0.11206741973310475</c:v>
                  </c:pt>
                  <c:pt idx="775">
                    <c:v>0.11138419673334919</c:v>
                  </c:pt>
                  <c:pt idx="776">
                    <c:v>0.11069700949310125</c:v>
                  </c:pt>
                  <c:pt idx="777">
                    <c:v>0.11000599064973592</c:v>
                  </c:pt>
                  <c:pt idx="778">
                    <c:v>0.10931127279242488</c:v>
                  </c:pt>
                  <c:pt idx="779">
                    <c:v>0.10861298843401794</c:v>
                  </c:pt>
                  <c:pt idx="780">
                    <c:v>0.10791126995480586</c:v>
                  </c:pt>
                  <c:pt idx="781">
                    <c:v>0.10720624957841876</c:v>
                  </c:pt>
                  <c:pt idx="782">
                    <c:v>0.10649805930554648</c:v>
                  </c:pt>
                  <c:pt idx="783">
                    <c:v>0.10578683090389635</c:v>
                  </c:pt>
                  <c:pt idx="784">
                    <c:v>0.10507269584392204</c:v>
                  </c:pt>
                  <c:pt idx="785">
                    <c:v>0.10435578526668811</c:v>
                  </c:pt>
                  <c:pt idx="786">
                    <c:v>0.10363622993968363</c:v>
                  </c:pt>
                  <c:pt idx="787">
                    <c:v>0.10291416024075439</c:v>
                  </c:pt>
                  <c:pt idx="788">
                    <c:v>0.10218970607374721</c:v>
                  </c:pt>
                  <c:pt idx="789">
                    <c:v>0.10146299687855223</c:v>
                  </c:pt>
                  <c:pt idx="790">
                    <c:v>0.10073416157888271</c:v>
                  </c:pt>
                  <c:pt idx="791">
                    <c:v>0.10000332850394467</c:v>
                  </c:pt>
                  <c:pt idx="792">
                    <c:v>9.9270625426597842E-2</c:v>
                  </c:pt>
                  <c:pt idx="793">
                    <c:v>9.8536179470966045E-2</c:v>
                  </c:pt>
                  <c:pt idx="794">
                    <c:v>9.7800117102394807E-2</c:v>
                  </c:pt>
                  <c:pt idx="795">
                    <c:v>9.706256407723958E-2</c:v>
                  </c:pt>
                  <c:pt idx="796">
                    <c:v>9.6323645410730296E-2</c:v>
                  </c:pt>
                  <c:pt idx="797">
                    <c:v>9.5583485364920492E-2</c:v>
                  </c:pt>
                  <c:pt idx="798">
                    <c:v>9.4842207398475514E-2</c:v>
                  </c:pt>
                  <c:pt idx="799">
                    <c:v>9.4099934134537072E-2</c:v>
                  </c:pt>
                  <c:pt idx="800">
                    <c:v>9.3356787322562237E-2</c:v>
                  </c:pt>
                  <c:pt idx="801">
                    <c:v>9.2612887818238815E-2</c:v>
                  </c:pt>
                  <c:pt idx="802">
                    <c:v>9.1868355579468278E-2</c:v>
                  </c:pt>
                  <c:pt idx="803">
                    <c:v>9.1123309567950866E-2</c:v>
                  </c:pt>
                  <c:pt idx="804">
                    <c:v>9.0377867779312518E-2</c:v>
                  </c:pt>
                  <c:pt idx="805">
                    <c:v>8.9632147210969418E-2</c:v>
                  </c:pt>
                  <c:pt idx="806">
                    <c:v>8.8886263803882343E-2</c:v>
                  </c:pt>
                  <c:pt idx="807">
                    <c:v>8.8140332430505813E-2</c:v>
                  </c:pt>
                  <c:pt idx="808">
                    <c:v>8.7394466880728813E-2</c:v>
                  </c:pt>
                  <c:pt idx="809">
                    <c:v>8.6648779819696958E-2</c:v>
                  </c:pt>
                  <c:pt idx="810">
                    <c:v>8.5903382801871708E-2</c:v>
                  </c:pt>
                  <c:pt idx="811">
                    <c:v>8.5158386146505241E-2</c:v>
                  </c:pt>
                  <c:pt idx="812">
                    <c:v>8.4413899044089399E-2</c:v>
                  </c:pt>
                  <c:pt idx="813">
                    <c:v>8.3670029460953366E-2</c:v>
                  </c:pt>
                  <c:pt idx="814">
                    <c:v>8.2926884108132259E-2</c:v>
                  </c:pt>
                  <c:pt idx="815">
                    <c:v>8.2184568525723062E-2</c:v>
                  </c:pt>
                  <c:pt idx="816">
                    <c:v>8.1443186849901886E-2</c:v>
                  </c:pt>
                  <c:pt idx="817">
                    <c:v>8.0702842001720315E-2</c:v>
                  </c:pt>
                  <c:pt idx="818">
                    <c:v>7.9963635555550555E-2</c:v>
                  </c:pt>
                  <c:pt idx="819">
                    <c:v>7.9225667798335259E-2</c:v>
                  </c:pt>
                  <c:pt idx="820">
                    <c:v>7.8489037681384308E-2</c:v>
                  </c:pt>
                  <c:pt idx="821">
                    <c:v>7.7753842772171497E-2</c:v>
                  </c:pt>
                  <c:pt idx="822">
                    <c:v>7.7020179143868675E-2</c:v>
                  </c:pt>
                  <c:pt idx="823">
                    <c:v>7.6288141686658609E-2</c:v>
                  </c:pt>
                  <c:pt idx="824">
                    <c:v>7.5557823728134133E-2</c:v>
                  </c:pt>
                  <c:pt idx="825">
                    <c:v>7.4829317222094363E-2</c:v>
                  </c:pt>
                  <c:pt idx="826">
                    <c:v>7.4102712687286285E-2</c:v>
                  </c:pt>
                  <c:pt idx="827">
                    <c:v>7.337809922045993E-2</c:v>
                  </c:pt>
                  <c:pt idx="828">
                    <c:v>7.2655564451177643E-2</c:v>
                  </c:pt>
                  <c:pt idx="829">
                    <c:v>7.1935194460471183E-2</c:v>
                  </c:pt>
                  <c:pt idx="830">
                    <c:v>7.1217073933485364E-2</c:v>
                  </c:pt>
                  <c:pt idx="831">
                    <c:v>7.0501286112781128E-2</c:v>
                  </c:pt>
                  <c:pt idx="832">
                    <c:v>6.9787912609037314E-2</c:v>
                  </c:pt>
                  <c:pt idx="833">
                    <c:v>6.9077033649096592E-2</c:v>
                  </c:pt>
                  <c:pt idx="834">
                    <c:v>6.8368727914283736E-2</c:v>
                  </c:pt>
                  <c:pt idx="835">
                    <c:v>6.766307249872977E-2</c:v>
                  </c:pt>
                  <c:pt idx="836">
                    <c:v>6.696014310067884E-2</c:v>
                  </c:pt>
                  <c:pt idx="837">
                    <c:v>6.6260013804569154E-2</c:v>
                  </c:pt>
                  <c:pt idx="838">
                    <c:v>6.5562757198026317E-2</c:v>
                  </c:pt>
                  <c:pt idx="839">
                    <c:v>6.4868444282486518E-2</c:v>
                  </c:pt>
                  <c:pt idx="840">
                    <c:v>6.4177144583662304E-2</c:v>
                  </c:pt>
                  <c:pt idx="841">
                    <c:v>6.3488926064174167E-2</c:v>
                  </c:pt>
                  <c:pt idx="842">
                    <c:v>6.280385515769453E-2</c:v>
                  </c:pt>
                  <c:pt idx="843">
                    <c:v>6.2121996747356668E-2</c:v>
                  </c:pt>
                  <c:pt idx="844">
                    <c:v>6.1443414130104415E-2</c:v>
                  </c:pt>
                  <c:pt idx="845">
                    <c:v>6.0768169109583867E-2</c:v>
                  </c:pt>
                  <c:pt idx="846">
                    <c:v>6.0096321968024773E-2</c:v>
                  </c:pt>
                  <c:pt idx="847">
                    <c:v>5.9427931401969586E-2</c:v>
                  </c:pt>
                  <c:pt idx="848">
                    <c:v>5.8763054567463932E-2</c:v>
                  </c:pt>
                  <c:pt idx="849">
                    <c:v>5.8101747076541872E-2</c:v>
                  </c:pt>
                  <c:pt idx="850">
                    <c:v>5.7444063104679019E-2</c:v>
                  </c:pt>
                  <c:pt idx="851">
                    <c:v>5.6790055189443391E-2</c:v>
                  </c:pt>
                  <c:pt idx="852">
                    <c:v>5.6139774371590463E-2</c:v>
                  </c:pt>
                  <c:pt idx="853">
                    <c:v>5.5493270192050477E-2</c:v>
                  </c:pt>
                  <c:pt idx="854">
                    <c:v>5.4850590680379681E-2</c:v>
                  </c:pt>
                  <c:pt idx="855">
                    <c:v>5.4211782343713821E-2</c:v>
                  </c:pt>
                  <c:pt idx="856">
                    <c:v>5.3576890188359136E-2</c:v>
                  </c:pt>
                  <c:pt idx="857">
                    <c:v>5.2945957724813551E-2</c:v>
                  </c:pt>
                  <c:pt idx="858">
                    <c:v>5.23190269853408E-2</c:v>
                  </c:pt>
                  <c:pt idx="859">
                    <c:v>5.1696138514932322E-2</c:v>
                  </c:pt>
                  <c:pt idx="860">
                    <c:v>5.1077331428548617E-2</c:v>
                  </c:pt>
                  <c:pt idx="861">
                    <c:v>5.0462643293623793E-2</c:v>
                  </c:pt>
                  <c:pt idx="862">
                    <c:v>4.9852110287228336E-2</c:v>
                  </c:pt>
                  <c:pt idx="863">
                    <c:v>4.9245767160920863E-2</c:v>
                  </c:pt>
                  <c:pt idx="864">
                    <c:v>4.8643647171958064E-2</c:v>
                  </c:pt>
                  <c:pt idx="865">
                    <c:v>4.8045782215351579E-2</c:v>
                  </c:pt>
                  <c:pt idx="866">
                    <c:v>4.745220271842332E-2</c:v>
                  </c:pt>
                  <c:pt idx="867">
                    <c:v>4.6862937795457714E-2</c:v>
                  </c:pt>
                  <c:pt idx="868">
                    <c:v>4.6278015062922381E-2</c:v>
                  </c:pt>
                  <c:pt idx="869">
                    <c:v>4.5697460838306746E-2</c:v>
                  </c:pt>
                  <c:pt idx="870">
                    <c:v>4.5121300053255667E-2</c:v>
                  </c:pt>
                  <c:pt idx="871">
                    <c:v>4.4549556298257922E-2</c:v>
                  </c:pt>
                  <c:pt idx="872">
                    <c:v>4.3982251814612287E-2</c:v>
                  </c:pt>
                  <c:pt idx="873">
                    <c:v>4.3419407527567365E-2</c:v>
                  </c:pt>
                  <c:pt idx="874">
                    <c:v>4.2861043046823637E-2</c:v>
                  </c:pt>
                  <c:pt idx="875">
                    <c:v>4.230717668561397E-2</c:v>
                  </c:pt>
                  <c:pt idx="876">
                    <c:v>4.1757825491583828E-2</c:v>
                  </c:pt>
                  <c:pt idx="877">
                    <c:v>4.1213005214655762E-2</c:v>
                  </c:pt>
                  <c:pt idx="878">
                    <c:v>4.0672730392389396E-2</c:v>
                  </c:pt>
                  <c:pt idx="879">
                    <c:v>4.0137014308054594E-2</c:v>
                  </c:pt>
                  <c:pt idx="880">
                    <c:v>3.9605869009711962E-2</c:v>
                  </c:pt>
                  <c:pt idx="881">
                    <c:v>3.9079305363186205E-2</c:v>
                  </c:pt>
                  <c:pt idx="882">
                    <c:v>3.8557333014407363E-2</c:v>
                  </c:pt>
                  <c:pt idx="883">
                    <c:v>3.8039960475523923E-2</c:v>
                  </c:pt>
                  <c:pt idx="884">
                    <c:v>3.7527195069920999E-2</c:v>
                  </c:pt>
                  <c:pt idx="885">
                    <c:v>3.7019042983938384E-2</c:v>
                  </c:pt>
                  <c:pt idx="886">
                    <c:v>3.6515509300010365E-2</c:v>
                  </c:pt>
                  <c:pt idx="887">
                    <c:v>3.6016597956998402E-2</c:v>
                  </c:pt>
                  <c:pt idx="888">
                    <c:v>3.5522311834044779E-2</c:v>
                  </c:pt>
                  <c:pt idx="889">
                    <c:v>3.5032652738270706E-2</c:v>
                  </c:pt>
                  <c:pt idx="890">
                    <c:v>3.4547621373896116E-2</c:v>
                  </c:pt>
                  <c:pt idx="891">
                    <c:v>3.4067217471534912E-2</c:v>
                  </c:pt>
                  <c:pt idx="892">
                    <c:v>3.359143968350347E-2</c:v>
                  </c:pt>
                  <c:pt idx="893">
                    <c:v>3.3120285695290762E-2</c:v>
                  </c:pt>
                  <c:pt idx="894">
                    <c:v>3.2653752177103958E-2</c:v>
                  </c:pt>
                  <c:pt idx="895">
                    <c:v>3.2191834842867278E-2</c:v>
                  </c:pt>
                  <c:pt idx="896">
                    <c:v>3.1734528455243168E-2</c:v>
                  </c:pt>
                  <c:pt idx="897">
                    <c:v>3.1281826838436291E-2</c:v>
                  </c:pt>
                  <c:pt idx="898">
                    <c:v>3.0833722905307871E-2</c:v>
                  </c:pt>
                  <c:pt idx="899">
                    <c:v>3.039020866013736E-2</c:v>
                  </c:pt>
                  <c:pt idx="900">
                    <c:v>2.995127522297511E-2</c:v>
                  </c:pt>
                  <c:pt idx="901">
                    <c:v>2.9516912878849933E-2</c:v>
                  </c:pt>
                  <c:pt idx="902">
                    <c:v>2.9087111034586961E-2</c:v>
                  </c:pt>
                  <c:pt idx="903">
                    <c:v>2.8661858291614706E-2</c:v>
                  </c:pt>
                  <c:pt idx="904">
                    <c:v>2.8241142420859185E-2</c:v>
                  </c:pt>
                  <c:pt idx="905">
                    <c:v>2.7824950433793554E-2</c:v>
                  </c:pt>
                  <c:pt idx="906">
                    <c:v>2.7413268515656466E-2</c:v>
                  </c:pt>
                  <c:pt idx="907">
                    <c:v>2.7006082161525946E-2</c:v>
                  </c:pt>
                  <c:pt idx="908">
                    <c:v>2.6603376065602456E-2</c:v>
                  </c:pt>
                  <c:pt idx="909">
                    <c:v>2.6205134253265819E-2</c:v>
                  </c:pt>
                  <c:pt idx="910">
                    <c:v>2.5811340009021362E-2</c:v>
                  </c:pt>
                  <c:pt idx="911">
                    <c:v>2.5421975951566467E-2</c:v>
                  </c:pt>
                  <c:pt idx="912">
                    <c:v>2.5037024014459071E-2</c:v>
                  </c:pt>
                  <c:pt idx="913">
                    <c:v>2.465646551766941E-2</c:v>
                  </c:pt>
                  <c:pt idx="914">
                    <c:v>2.4280281105568492E-2</c:v>
                  </c:pt>
                  <c:pt idx="915">
                    <c:v>2.3908450820990461E-2</c:v>
                  </c:pt>
                  <c:pt idx="916">
                    <c:v>2.3540954124313038E-2</c:v>
                  </c:pt>
                  <c:pt idx="917">
                    <c:v>2.317776987186649E-2</c:v>
                  </c:pt>
                  <c:pt idx="918">
                    <c:v>2.2818876369409137E-2</c:v>
                  </c:pt>
                  <c:pt idx="919">
                    <c:v>2.2464251374010303E-2</c:v>
                  </c:pt>
                  <c:pt idx="920">
                    <c:v>2.2113872104720305E-2</c:v>
                  </c:pt>
                  <c:pt idx="921">
                    <c:v>2.1767715270689054E-2</c:v>
                  </c:pt>
                  <c:pt idx="922">
                    <c:v>2.1425757084221092E-2</c:v>
                  </c:pt>
                  <c:pt idx="923">
                    <c:v>2.1087973271194545E-2</c:v>
                  </c:pt>
                  <c:pt idx="924">
                    <c:v>2.0754339099430773E-2</c:v>
                  </c:pt>
                  <c:pt idx="925">
                    <c:v>2.0424829388234582E-2</c:v>
                  </c:pt>
                  <c:pt idx="926">
                    <c:v>2.0099418514168597E-2</c:v>
                  </c:pt>
                  <c:pt idx="927">
                    <c:v>1.9778080439171848E-2</c:v>
                  </c:pt>
                  <c:pt idx="928">
                    <c:v>1.9460788741691038E-2</c:v>
                  </c:pt>
                  <c:pt idx="929">
                    <c:v>1.9147516582536571E-2</c:v>
                  </c:pt>
                  <c:pt idx="930">
                    <c:v>1.8838236779195945E-2</c:v>
                  </c:pt>
                  <c:pt idx="931">
                    <c:v>1.853292177332164E-2</c:v>
                  </c:pt>
                  <c:pt idx="932">
                    <c:v>1.8231543677553586E-2</c:v>
                  </c:pt>
                  <c:pt idx="933">
                    <c:v>1.7934074282674323E-2</c:v>
                  </c:pt>
                  <c:pt idx="934">
                    <c:v>1.7640485050328322E-2</c:v>
                  </c:pt>
                  <c:pt idx="935">
                    <c:v>1.7350747163735847E-2</c:v>
                  </c:pt>
                  <c:pt idx="936">
                    <c:v>1.7064831517525067E-2</c:v>
                  </c:pt>
                  <c:pt idx="937">
                    <c:v>1.6782708727899952E-2</c:v>
                  </c:pt>
                  <c:pt idx="938">
                    <c:v>1.6504349169294854E-2</c:v>
                  </c:pt>
                  <c:pt idx="939">
                    <c:v>1.622972297299367E-2</c:v>
                  </c:pt>
                  <c:pt idx="940">
                    <c:v>1.5958800030770218E-2</c:v>
                  </c:pt>
                  <c:pt idx="941">
                    <c:v>1.5691550037819264E-2</c:v>
                  </c:pt>
                  <c:pt idx="942">
                    <c:v>1.5427942480580194E-2</c:v>
                  </c:pt>
                  <c:pt idx="943">
                    <c:v>1.5167946649164415E-2</c:v>
                  </c:pt>
                  <c:pt idx="944">
                    <c:v>1.4911531672126993E-2</c:v>
                  </c:pt>
                  <c:pt idx="945">
                    <c:v>1.4658666510692312E-2</c:v>
                  </c:pt>
                  <c:pt idx="946">
                    <c:v>1.4409319965783709E-2</c:v>
                  </c:pt>
                  <c:pt idx="947">
                    <c:v>1.4163460708903714E-2</c:v>
                  </c:pt>
                  <c:pt idx="948">
                    <c:v>1.392105728853605E-2</c:v>
                  </c:pt>
                  <c:pt idx="949">
                    <c:v>1.3682078127007386E-2</c:v>
                  </c:pt>
                  <c:pt idx="950">
                    <c:v>1.3446491551116527E-2</c:v>
                  </c:pt>
                  <c:pt idx="951">
                    <c:v>1.3214265795272639E-2</c:v>
                  </c:pt>
                  <c:pt idx="952">
                    <c:v>1.2985369009654657E-2</c:v>
                  </c:pt>
                  <c:pt idx="953">
                    <c:v>1.2759769272262118E-2</c:v>
                  </c:pt>
                  <c:pt idx="954">
                    <c:v>1.2537434608309445E-2</c:v>
                  </c:pt>
                  <c:pt idx="955">
                    <c:v>1.2318332988343006E-2</c:v>
                  </c:pt>
                  <c:pt idx="956">
                    <c:v>1.2102432346317351E-2</c:v>
                  </c:pt>
                  <c:pt idx="957">
                    <c:v>1.1889700585746153E-2</c:v>
                  </c:pt>
                  <c:pt idx="958">
                    <c:v>1.1680105590623257E-2</c:v>
                  </c:pt>
                  <c:pt idx="959">
                    <c:v>1.1473615239042636E-2</c:v>
                  </c:pt>
                  <c:pt idx="960">
                    <c:v>1.1270197401127136E-2</c:v>
                  </c:pt>
                  <c:pt idx="961">
                    <c:v>1.1069819970536373E-2</c:v>
                  </c:pt>
                  <c:pt idx="962">
                    <c:v>1.0872450842436314E-2</c:v>
                  </c:pt>
                  <c:pt idx="963">
                    <c:v>1.0678057948710271E-2</c:v>
                  </c:pt>
                  <c:pt idx="964">
                    <c:v>1.048660925356538E-2</c:v>
                  </c:pt>
                  <c:pt idx="965">
                    <c:v>1.0298072767027006E-2</c:v>
                  </c:pt>
                  <c:pt idx="966">
                    <c:v>1.0112416546821688E-2</c:v>
                  </c:pt>
                  <c:pt idx="967">
                    <c:v>9.9296087168299525E-3</c:v>
                  </c:pt>
                  <c:pt idx="968">
                    <c:v>9.749617463697029E-3</c:v>
                  </c:pt>
                  <c:pt idx="969">
                    <c:v>9.5724110518336097E-3</c:v>
                  </c:pt>
                  <c:pt idx="970">
                    <c:v>9.3979578260519631E-3</c:v>
                  </c:pt>
                  <c:pt idx="971">
                    <c:v>9.2262262229891191E-3</c:v>
                  </c:pt>
                  <c:pt idx="972">
                    <c:v>9.0571847755631461E-3</c:v>
                  </c:pt>
                  <c:pt idx="973">
                    <c:v>8.8908021213836407E-3</c:v>
                  </c:pt>
                  <c:pt idx="974">
                    <c:v>8.7270470045718879E-3</c:v>
                  </c:pt>
                  <c:pt idx="975">
                    <c:v>8.5658882889414565E-3</c:v>
                  </c:pt>
                  <c:pt idx="976">
                    <c:v>8.4072949613247221E-3</c:v>
                  </c:pt>
                  <c:pt idx="977">
                    <c:v>8.2512361384769941E-3</c:v>
                  </c:pt>
                  <c:pt idx="978">
                    <c:v>8.0976810669509749E-3</c:v>
                  </c:pt>
                  <c:pt idx="979">
                    <c:v>7.9465991370932937E-3</c:v>
                  </c:pt>
                  <c:pt idx="980">
                    <c:v>7.7979598860572121E-3</c:v>
                  </c:pt>
                  <c:pt idx="981">
                    <c:v>7.651732998116445E-3</c:v>
                  </c:pt>
                  <c:pt idx="982">
                    <c:v>7.5078883164021596E-3</c:v>
                  </c:pt>
                  <c:pt idx="983">
                    <c:v>7.3663958488028617E-3</c:v>
                  </c:pt>
                  <c:pt idx="984">
                    <c:v>7.2272257599932752E-3</c:v>
                  </c:pt>
                  <c:pt idx="985">
                    <c:v>7.0903483950338674E-3</c:v>
                  </c:pt>
                  <c:pt idx="986">
                    <c:v>6.9557342667551482E-3</c:v>
                  </c:pt>
                  <c:pt idx="987">
                    <c:v>6.8233540690637827E-3</c:v>
                  </c:pt>
                  <c:pt idx="988">
                    <c:v>6.6931786837211831E-3</c:v>
                  </c:pt>
                  <c:pt idx="989">
                    <c:v>6.5651791720899456E-3</c:v>
                  </c:pt>
                  <c:pt idx="990">
                    <c:v>6.4393267920803245E-3</c:v>
                  </c:pt>
                  <c:pt idx="991">
                    <c:v>6.3155929935684047E-3</c:v>
                  </c:pt>
                  <c:pt idx="992">
                    <c:v>6.1939494282187788E-3</c:v>
                  </c:pt>
                  <c:pt idx="993">
                    <c:v>6.074367943427755E-3</c:v>
                  </c:pt>
                  <c:pt idx="994">
                    <c:v>5.9568205960060594E-3</c:v>
                  </c:pt>
                  <c:pt idx="995">
                    <c:v>5.8412796479108383E-3</c:v>
                  </c:pt>
                  <c:pt idx="996">
                    <c:v>5.7277175711413011E-3</c:v>
                  </c:pt>
                  <c:pt idx="997">
                    <c:v>5.6161070540779604E-3</c:v>
                  </c:pt>
                  <c:pt idx="998">
                    <c:v>5.5064209965555999E-3</c:v>
                  </c:pt>
                  <c:pt idx="999">
                    <c:v>5.3986325195604203E-3</c:v>
                  </c:pt>
                  <c:pt idx="1000">
                    <c:v>5.2927149652300378E-3</c:v>
                  </c:pt>
                </c:numCache>
              </c:numRef>
            </c:minus>
            <c:spPr>
              <a:ln w="12700">
                <a:solidFill>
                  <a:srgbClr val="969696"/>
                </a:solidFill>
                <a:prstDash val="solid"/>
              </a:ln>
            </c:spPr>
          </c:errBars>
          <c:xVal>
            <c:numRef>
              <c:f>'Compare A B'!$AJ$9:$AJ$1009</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'Compare A B'!$AK$9:$AK$1009</c:f>
              <c:numCache>
                <c:formatCode>General</c:formatCode>
                <c:ptCount val="1001"/>
                <c:pt idx="0">
                  <c:v>0</c:v>
                </c:pt>
                <c:pt idx="1">
                  <c:v>0.15</c:v>
                </c:pt>
                <c:pt idx="2">
                  <c:v>0.3</c:v>
                </c:pt>
                <c:pt idx="3">
                  <c:v>0.44999999999999996</c:v>
                </c:pt>
                <c:pt idx="4">
                  <c:v>0.6</c:v>
                </c:pt>
                <c:pt idx="5">
                  <c:v>0.75</c:v>
                </c:pt>
                <c:pt idx="6">
                  <c:v>0.9</c:v>
                </c:pt>
                <c:pt idx="7">
                  <c:v>1.05</c:v>
                </c:pt>
                <c:pt idx="8">
                  <c:v>1.2</c:v>
                </c:pt>
                <c:pt idx="9">
                  <c:v>1.3499999999999999</c:v>
                </c:pt>
                <c:pt idx="10">
                  <c:v>1.4999999999999998</c:v>
                </c:pt>
                <c:pt idx="11">
                  <c:v>1.6499999999999997</c:v>
                </c:pt>
                <c:pt idx="12">
                  <c:v>1.7999999999999996</c:v>
                </c:pt>
                <c:pt idx="13">
                  <c:v>1.9499999999999995</c:v>
                </c:pt>
                <c:pt idx="14">
                  <c:v>2.0999999999999996</c:v>
                </c:pt>
                <c:pt idx="15">
                  <c:v>2.2499999999999996</c:v>
                </c:pt>
                <c:pt idx="16">
                  <c:v>2.3999999999999995</c:v>
                </c:pt>
                <c:pt idx="17">
                  <c:v>2.5499999999999994</c:v>
                </c:pt>
                <c:pt idx="18">
                  <c:v>2.6999999999999993</c:v>
                </c:pt>
                <c:pt idx="19">
                  <c:v>2.8499999999999992</c:v>
                </c:pt>
                <c:pt idx="20">
                  <c:v>2.9999999999999991</c:v>
                </c:pt>
                <c:pt idx="21">
                  <c:v>3.149999999999999</c:v>
                </c:pt>
                <c:pt idx="22">
                  <c:v>3.2999999999999989</c:v>
                </c:pt>
                <c:pt idx="23">
                  <c:v>3.4499999999999988</c:v>
                </c:pt>
                <c:pt idx="24">
                  <c:v>3.5999999999999988</c:v>
                </c:pt>
                <c:pt idx="25">
                  <c:v>3.7499999999999987</c:v>
                </c:pt>
                <c:pt idx="26">
                  <c:v>3.8999999999999986</c:v>
                </c:pt>
                <c:pt idx="27">
                  <c:v>4.0499999999999989</c:v>
                </c:pt>
                <c:pt idx="28">
                  <c:v>4.1999999999999993</c:v>
                </c:pt>
                <c:pt idx="29">
                  <c:v>4.3499999999999996</c:v>
                </c:pt>
                <c:pt idx="30">
                  <c:v>4.5</c:v>
                </c:pt>
                <c:pt idx="31">
                  <c:v>4.6500000000000004</c:v>
                </c:pt>
                <c:pt idx="32">
                  <c:v>4.8000000000000007</c:v>
                </c:pt>
                <c:pt idx="33">
                  <c:v>4.9500000000000011</c:v>
                </c:pt>
                <c:pt idx="34">
                  <c:v>5.1000000000000014</c:v>
                </c:pt>
                <c:pt idx="35">
                  <c:v>5.2500000000000018</c:v>
                </c:pt>
                <c:pt idx="36">
                  <c:v>5.4000000000000021</c:v>
                </c:pt>
                <c:pt idx="37">
                  <c:v>5.5500000000000025</c:v>
                </c:pt>
                <c:pt idx="38">
                  <c:v>5.7000000000000028</c:v>
                </c:pt>
                <c:pt idx="39">
                  <c:v>5.8500000000000032</c:v>
                </c:pt>
                <c:pt idx="40">
                  <c:v>6.0000000000000036</c:v>
                </c:pt>
                <c:pt idx="41">
                  <c:v>6.1500000000000039</c:v>
                </c:pt>
                <c:pt idx="42">
                  <c:v>6.3000000000000043</c:v>
                </c:pt>
                <c:pt idx="43">
                  <c:v>6.4500000000000046</c:v>
                </c:pt>
                <c:pt idx="44">
                  <c:v>6.600000000000005</c:v>
                </c:pt>
                <c:pt idx="45">
                  <c:v>6.7500000000000053</c:v>
                </c:pt>
                <c:pt idx="46">
                  <c:v>6.9000000000000057</c:v>
                </c:pt>
                <c:pt idx="47">
                  <c:v>7.050000000000006</c:v>
                </c:pt>
                <c:pt idx="48">
                  <c:v>7.2000000000000064</c:v>
                </c:pt>
                <c:pt idx="49">
                  <c:v>7.3500000000000068</c:v>
                </c:pt>
                <c:pt idx="50">
                  <c:v>7.5000000000000071</c:v>
                </c:pt>
                <c:pt idx="51">
                  <c:v>7.6500000000000075</c:v>
                </c:pt>
                <c:pt idx="52">
                  <c:v>7.8000000000000078</c:v>
                </c:pt>
                <c:pt idx="53">
                  <c:v>7.9500000000000082</c:v>
                </c:pt>
                <c:pt idx="54">
                  <c:v>8.1000000000000085</c:v>
                </c:pt>
                <c:pt idx="55">
                  <c:v>8.2500000000000089</c:v>
                </c:pt>
                <c:pt idx="56">
                  <c:v>8.4000000000000092</c:v>
                </c:pt>
                <c:pt idx="57">
                  <c:v>8.5500000000000096</c:v>
                </c:pt>
                <c:pt idx="58">
                  <c:v>8.7000000000000099</c:v>
                </c:pt>
                <c:pt idx="59">
                  <c:v>8.8500000000000103</c:v>
                </c:pt>
                <c:pt idx="60">
                  <c:v>9.0000000000000107</c:v>
                </c:pt>
                <c:pt idx="61">
                  <c:v>9.150000000000011</c:v>
                </c:pt>
                <c:pt idx="62">
                  <c:v>9.3000000000000114</c:v>
                </c:pt>
                <c:pt idx="63">
                  <c:v>9.4500000000000117</c:v>
                </c:pt>
                <c:pt idx="64">
                  <c:v>9.6000000000000121</c:v>
                </c:pt>
                <c:pt idx="65">
                  <c:v>9.7500000000000124</c:v>
                </c:pt>
                <c:pt idx="66">
                  <c:v>9.9000000000000128</c:v>
                </c:pt>
                <c:pt idx="67">
                  <c:v>10.050000000000013</c:v>
                </c:pt>
                <c:pt idx="68">
                  <c:v>10.200000000000014</c:v>
                </c:pt>
                <c:pt idx="69">
                  <c:v>10.350000000000014</c:v>
                </c:pt>
                <c:pt idx="70">
                  <c:v>10.500000000000014</c:v>
                </c:pt>
                <c:pt idx="71">
                  <c:v>10.650000000000015</c:v>
                </c:pt>
                <c:pt idx="72">
                  <c:v>10.800000000000015</c:v>
                </c:pt>
                <c:pt idx="73">
                  <c:v>10.950000000000015</c:v>
                </c:pt>
                <c:pt idx="74">
                  <c:v>11.100000000000016</c:v>
                </c:pt>
                <c:pt idx="75">
                  <c:v>11.250000000000016</c:v>
                </c:pt>
                <c:pt idx="76">
                  <c:v>11.400000000000016</c:v>
                </c:pt>
                <c:pt idx="77">
                  <c:v>11.550000000000017</c:v>
                </c:pt>
                <c:pt idx="78">
                  <c:v>11.700000000000017</c:v>
                </c:pt>
                <c:pt idx="79">
                  <c:v>11.850000000000017</c:v>
                </c:pt>
                <c:pt idx="80">
                  <c:v>12.000000000000018</c:v>
                </c:pt>
                <c:pt idx="81">
                  <c:v>12.150000000000018</c:v>
                </c:pt>
                <c:pt idx="82">
                  <c:v>12.300000000000018</c:v>
                </c:pt>
                <c:pt idx="83">
                  <c:v>12.450000000000019</c:v>
                </c:pt>
                <c:pt idx="84">
                  <c:v>12.600000000000019</c:v>
                </c:pt>
                <c:pt idx="85">
                  <c:v>12.75000000000002</c:v>
                </c:pt>
                <c:pt idx="86">
                  <c:v>12.90000000000002</c:v>
                </c:pt>
                <c:pt idx="87">
                  <c:v>13.05000000000002</c:v>
                </c:pt>
                <c:pt idx="88">
                  <c:v>13.200000000000021</c:v>
                </c:pt>
                <c:pt idx="89">
                  <c:v>13.350000000000021</c:v>
                </c:pt>
                <c:pt idx="90">
                  <c:v>13.500000000000021</c:v>
                </c:pt>
                <c:pt idx="91">
                  <c:v>13.650000000000022</c:v>
                </c:pt>
                <c:pt idx="92">
                  <c:v>13.800000000000022</c:v>
                </c:pt>
                <c:pt idx="93">
                  <c:v>13.950000000000022</c:v>
                </c:pt>
                <c:pt idx="94">
                  <c:v>14.100000000000023</c:v>
                </c:pt>
                <c:pt idx="95">
                  <c:v>14.250000000000023</c:v>
                </c:pt>
                <c:pt idx="96">
                  <c:v>14.400000000000023</c:v>
                </c:pt>
                <c:pt idx="97">
                  <c:v>14.550000000000024</c:v>
                </c:pt>
                <c:pt idx="98">
                  <c:v>14.700000000000024</c:v>
                </c:pt>
                <c:pt idx="99">
                  <c:v>14.850000000000025</c:v>
                </c:pt>
                <c:pt idx="100">
                  <c:v>15.000000000000025</c:v>
                </c:pt>
                <c:pt idx="101">
                  <c:v>15.150000000000025</c:v>
                </c:pt>
                <c:pt idx="102">
                  <c:v>15.300000000000026</c:v>
                </c:pt>
                <c:pt idx="103">
                  <c:v>15.450000000000026</c:v>
                </c:pt>
                <c:pt idx="104">
                  <c:v>15.600000000000026</c:v>
                </c:pt>
                <c:pt idx="105">
                  <c:v>15.750000000000027</c:v>
                </c:pt>
                <c:pt idx="106">
                  <c:v>15.900000000000027</c:v>
                </c:pt>
                <c:pt idx="107">
                  <c:v>16.050000000000026</c:v>
                </c:pt>
                <c:pt idx="108">
                  <c:v>16.200000000000024</c:v>
                </c:pt>
                <c:pt idx="109">
                  <c:v>16.350000000000023</c:v>
                </c:pt>
                <c:pt idx="110">
                  <c:v>16.500000000000021</c:v>
                </c:pt>
                <c:pt idx="111">
                  <c:v>16.65000000000002</c:v>
                </c:pt>
                <c:pt idx="112">
                  <c:v>16.800000000000018</c:v>
                </c:pt>
                <c:pt idx="113">
                  <c:v>16.950000000000017</c:v>
                </c:pt>
                <c:pt idx="114">
                  <c:v>17.100000000000016</c:v>
                </c:pt>
                <c:pt idx="115">
                  <c:v>17.250000000000014</c:v>
                </c:pt>
                <c:pt idx="116">
                  <c:v>17.400000000000013</c:v>
                </c:pt>
                <c:pt idx="117">
                  <c:v>17.550000000000011</c:v>
                </c:pt>
                <c:pt idx="118">
                  <c:v>17.70000000000001</c:v>
                </c:pt>
                <c:pt idx="119">
                  <c:v>17.850000000000009</c:v>
                </c:pt>
                <c:pt idx="120">
                  <c:v>18.000000000000007</c:v>
                </c:pt>
                <c:pt idx="121">
                  <c:v>18.150000000000006</c:v>
                </c:pt>
                <c:pt idx="122">
                  <c:v>18.300000000000004</c:v>
                </c:pt>
                <c:pt idx="123">
                  <c:v>18.450000000000003</c:v>
                </c:pt>
                <c:pt idx="124">
                  <c:v>18.600000000000001</c:v>
                </c:pt>
                <c:pt idx="125">
                  <c:v>18.75</c:v>
                </c:pt>
                <c:pt idx="126">
                  <c:v>18.899999999999999</c:v>
                </c:pt>
                <c:pt idx="127">
                  <c:v>19.049999999999997</c:v>
                </c:pt>
                <c:pt idx="128">
                  <c:v>19.199999999999996</c:v>
                </c:pt>
                <c:pt idx="129">
                  <c:v>19.349999999999994</c:v>
                </c:pt>
                <c:pt idx="130">
                  <c:v>19.499999999999993</c:v>
                </c:pt>
                <c:pt idx="131">
                  <c:v>19.649999999999991</c:v>
                </c:pt>
                <c:pt idx="132">
                  <c:v>19.79999999999999</c:v>
                </c:pt>
                <c:pt idx="133">
                  <c:v>19.949999999999989</c:v>
                </c:pt>
                <c:pt idx="134">
                  <c:v>20.099999999999987</c:v>
                </c:pt>
                <c:pt idx="135">
                  <c:v>20.249999999999986</c:v>
                </c:pt>
                <c:pt idx="136">
                  <c:v>20.399999999999984</c:v>
                </c:pt>
                <c:pt idx="137">
                  <c:v>20.549999999999983</c:v>
                </c:pt>
                <c:pt idx="138">
                  <c:v>20.699999999999982</c:v>
                </c:pt>
                <c:pt idx="139">
                  <c:v>20.84999999999998</c:v>
                </c:pt>
                <c:pt idx="140">
                  <c:v>20.999999999999979</c:v>
                </c:pt>
                <c:pt idx="141">
                  <c:v>21.149999999999977</c:v>
                </c:pt>
                <c:pt idx="142">
                  <c:v>21.299999999999976</c:v>
                </c:pt>
                <c:pt idx="143">
                  <c:v>21.449999999999974</c:v>
                </c:pt>
                <c:pt idx="144">
                  <c:v>21.599999999999973</c:v>
                </c:pt>
                <c:pt idx="145">
                  <c:v>21.749999999999972</c:v>
                </c:pt>
                <c:pt idx="146">
                  <c:v>21.89999999999997</c:v>
                </c:pt>
                <c:pt idx="147">
                  <c:v>22.049999999999969</c:v>
                </c:pt>
                <c:pt idx="148">
                  <c:v>22.199999999999967</c:v>
                </c:pt>
                <c:pt idx="149">
                  <c:v>22.349999999999966</c:v>
                </c:pt>
                <c:pt idx="150">
                  <c:v>22.499999999999964</c:v>
                </c:pt>
                <c:pt idx="151">
                  <c:v>22.649999999999963</c:v>
                </c:pt>
                <c:pt idx="152">
                  <c:v>22.799999999999962</c:v>
                </c:pt>
                <c:pt idx="153">
                  <c:v>22.94999999999996</c:v>
                </c:pt>
                <c:pt idx="154">
                  <c:v>23.099999999999959</c:v>
                </c:pt>
                <c:pt idx="155">
                  <c:v>23.249999999999957</c:v>
                </c:pt>
                <c:pt idx="156">
                  <c:v>23.399999999999956</c:v>
                </c:pt>
                <c:pt idx="157">
                  <c:v>23.549999999999955</c:v>
                </c:pt>
                <c:pt idx="158">
                  <c:v>23.699999999999953</c:v>
                </c:pt>
                <c:pt idx="159">
                  <c:v>23.849999999999952</c:v>
                </c:pt>
                <c:pt idx="160">
                  <c:v>23.99999999999995</c:v>
                </c:pt>
                <c:pt idx="161">
                  <c:v>24.149999999999949</c:v>
                </c:pt>
                <c:pt idx="162">
                  <c:v>24.299999999999947</c:v>
                </c:pt>
                <c:pt idx="163">
                  <c:v>24.449999999999946</c:v>
                </c:pt>
                <c:pt idx="164">
                  <c:v>24.599999999999945</c:v>
                </c:pt>
                <c:pt idx="165">
                  <c:v>24.749999999999943</c:v>
                </c:pt>
                <c:pt idx="166">
                  <c:v>24.899999999999942</c:v>
                </c:pt>
                <c:pt idx="167">
                  <c:v>25.04999999999994</c:v>
                </c:pt>
                <c:pt idx="168">
                  <c:v>25.199999999999939</c:v>
                </c:pt>
                <c:pt idx="169">
                  <c:v>25.349999999999937</c:v>
                </c:pt>
                <c:pt idx="170">
                  <c:v>25.499999999999936</c:v>
                </c:pt>
                <c:pt idx="171">
                  <c:v>25.649999999999935</c:v>
                </c:pt>
                <c:pt idx="172">
                  <c:v>25.799999999999933</c:v>
                </c:pt>
                <c:pt idx="173">
                  <c:v>25.949999999999932</c:v>
                </c:pt>
                <c:pt idx="174">
                  <c:v>26.09999999999993</c:v>
                </c:pt>
                <c:pt idx="175">
                  <c:v>26.249999999999929</c:v>
                </c:pt>
                <c:pt idx="176">
                  <c:v>26.399999999999928</c:v>
                </c:pt>
                <c:pt idx="177">
                  <c:v>26.549999999999926</c:v>
                </c:pt>
                <c:pt idx="178">
                  <c:v>26.699999999999925</c:v>
                </c:pt>
                <c:pt idx="179">
                  <c:v>26.849999999999923</c:v>
                </c:pt>
                <c:pt idx="180">
                  <c:v>26.999999999999922</c:v>
                </c:pt>
                <c:pt idx="181">
                  <c:v>27.14999999999992</c:v>
                </c:pt>
                <c:pt idx="182">
                  <c:v>27.299999999999919</c:v>
                </c:pt>
                <c:pt idx="183">
                  <c:v>27.449999999999918</c:v>
                </c:pt>
                <c:pt idx="184">
                  <c:v>27.599999999999916</c:v>
                </c:pt>
                <c:pt idx="185">
                  <c:v>27.749999999999915</c:v>
                </c:pt>
                <c:pt idx="186">
                  <c:v>27.899999999999913</c:v>
                </c:pt>
                <c:pt idx="187">
                  <c:v>28.049999999999912</c:v>
                </c:pt>
                <c:pt idx="188">
                  <c:v>28.19999999999991</c:v>
                </c:pt>
                <c:pt idx="189">
                  <c:v>28.349999999999909</c:v>
                </c:pt>
                <c:pt idx="190">
                  <c:v>28.499999999999908</c:v>
                </c:pt>
                <c:pt idx="191">
                  <c:v>28.649999999999906</c:v>
                </c:pt>
                <c:pt idx="192">
                  <c:v>28.799999999999905</c:v>
                </c:pt>
                <c:pt idx="193">
                  <c:v>28.949999999999903</c:v>
                </c:pt>
                <c:pt idx="194">
                  <c:v>29.099999999999902</c:v>
                </c:pt>
                <c:pt idx="195">
                  <c:v>29.249999999999901</c:v>
                </c:pt>
                <c:pt idx="196">
                  <c:v>29.399999999999899</c:v>
                </c:pt>
                <c:pt idx="197">
                  <c:v>29.549999999999898</c:v>
                </c:pt>
                <c:pt idx="198">
                  <c:v>29.699999999999896</c:v>
                </c:pt>
                <c:pt idx="199">
                  <c:v>29.849999999999895</c:v>
                </c:pt>
                <c:pt idx="200">
                  <c:v>29.999999999999893</c:v>
                </c:pt>
                <c:pt idx="201">
                  <c:v>30.149999999999892</c:v>
                </c:pt>
                <c:pt idx="202">
                  <c:v>30.299999999999891</c:v>
                </c:pt>
                <c:pt idx="203">
                  <c:v>30.449999999999889</c:v>
                </c:pt>
                <c:pt idx="204">
                  <c:v>30.599999999999888</c:v>
                </c:pt>
                <c:pt idx="205">
                  <c:v>30.749999999999886</c:v>
                </c:pt>
                <c:pt idx="206">
                  <c:v>30.899999999999885</c:v>
                </c:pt>
                <c:pt idx="207">
                  <c:v>31.049999999999883</c:v>
                </c:pt>
                <c:pt idx="208">
                  <c:v>31.199999999999882</c:v>
                </c:pt>
                <c:pt idx="209">
                  <c:v>31.349999999999881</c:v>
                </c:pt>
                <c:pt idx="210">
                  <c:v>31.499999999999879</c:v>
                </c:pt>
                <c:pt idx="211">
                  <c:v>31.649999999999878</c:v>
                </c:pt>
                <c:pt idx="212">
                  <c:v>31.799999999999876</c:v>
                </c:pt>
                <c:pt idx="213">
                  <c:v>31.949999999999875</c:v>
                </c:pt>
                <c:pt idx="214">
                  <c:v>32.099999999999874</c:v>
                </c:pt>
                <c:pt idx="215">
                  <c:v>32.249999999999872</c:v>
                </c:pt>
                <c:pt idx="216">
                  <c:v>32.399999999999871</c:v>
                </c:pt>
                <c:pt idx="217">
                  <c:v>32.549999999999869</c:v>
                </c:pt>
                <c:pt idx="218">
                  <c:v>32.699999999999868</c:v>
                </c:pt>
                <c:pt idx="219">
                  <c:v>32.849999999999866</c:v>
                </c:pt>
                <c:pt idx="220">
                  <c:v>32.999999999999865</c:v>
                </c:pt>
                <c:pt idx="221">
                  <c:v>33.149999999999864</c:v>
                </c:pt>
                <c:pt idx="222">
                  <c:v>33.299999999999862</c:v>
                </c:pt>
                <c:pt idx="223">
                  <c:v>33.449999999999861</c:v>
                </c:pt>
                <c:pt idx="224">
                  <c:v>33.599999999999859</c:v>
                </c:pt>
                <c:pt idx="225">
                  <c:v>33.749999999999858</c:v>
                </c:pt>
                <c:pt idx="226">
                  <c:v>33.899999999999856</c:v>
                </c:pt>
                <c:pt idx="227">
                  <c:v>34.049999999999855</c:v>
                </c:pt>
                <c:pt idx="228">
                  <c:v>34.199999999999854</c:v>
                </c:pt>
                <c:pt idx="229">
                  <c:v>34.349999999999852</c:v>
                </c:pt>
                <c:pt idx="230">
                  <c:v>34.499999999999851</c:v>
                </c:pt>
                <c:pt idx="231">
                  <c:v>34.649999999999849</c:v>
                </c:pt>
                <c:pt idx="232">
                  <c:v>34.799999999999848</c:v>
                </c:pt>
                <c:pt idx="233">
                  <c:v>34.949999999999847</c:v>
                </c:pt>
                <c:pt idx="234">
                  <c:v>35.099999999999845</c:v>
                </c:pt>
                <c:pt idx="235">
                  <c:v>35.249999999999844</c:v>
                </c:pt>
                <c:pt idx="236">
                  <c:v>35.399999999999842</c:v>
                </c:pt>
                <c:pt idx="237">
                  <c:v>35.549999999999841</c:v>
                </c:pt>
                <c:pt idx="238">
                  <c:v>35.699999999999839</c:v>
                </c:pt>
                <c:pt idx="239">
                  <c:v>35.849999999999838</c:v>
                </c:pt>
                <c:pt idx="240">
                  <c:v>35.999999999999837</c:v>
                </c:pt>
                <c:pt idx="241">
                  <c:v>36.149999999999835</c:v>
                </c:pt>
                <c:pt idx="242">
                  <c:v>36.299999999999834</c:v>
                </c:pt>
                <c:pt idx="243">
                  <c:v>36.449999999999832</c:v>
                </c:pt>
                <c:pt idx="244">
                  <c:v>36.599999999999831</c:v>
                </c:pt>
                <c:pt idx="245">
                  <c:v>36.749999999999829</c:v>
                </c:pt>
                <c:pt idx="246">
                  <c:v>36.899999999999828</c:v>
                </c:pt>
                <c:pt idx="247">
                  <c:v>37.049999999999827</c:v>
                </c:pt>
                <c:pt idx="248">
                  <c:v>37.199999999999825</c:v>
                </c:pt>
                <c:pt idx="249">
                  <c:v>37.349999999999824</c:v>
                </c:pt>
                <c:pt idx="250">
                  <c:v>37.499999999999822</c:v>
                </c:pt>
                <c:pt idx="251">
                  <c:v>37.649999999999821</c:v>
                </c:pt>
                <c:pt idx="252">
                  <c:v>37.79999999999982</c:v>
                </c:pt>
                <c:pt idx="253">
                  <c:v>37.949999999999818</c:v>
                </c:pt>
                <c:pt idx="254">
                  <c:v>38.099999999999817</c:v>
                </c:pt>
                <c:pt idx="255">
                  <c:v>38.249999999999815</c:v>
                </c:pt>
                <c:pt idx="256">
                  <c:v>38.399999999999814</c:v>
                </c:pt>
                <c:pt idx="257">
                  <c:v>38.549999999999812</c:v>
                </c:pt>
                <c:pt idx="258">
                  <c:v>38.699999999999811</c:v>
                </c:pt>
                <c:pt idx="259">
                  <c:v>38.84999999999981</c:v>
                </c:pt>
                <c:pt idx="260">
                  <c:v>38.999999999999808</c:v>
                </c:pt>
                <c:pt idx="261">
                  <c:v>39.149999999999807</c:v>
                </c:pt>
                <c:pt idx="262">
                  <c:v>39.299999999999805</c:v>
                </c:pt>
                <c:pt idx="263">
                  <c:v>39.449999999999804</c:v>
                </c:pt>
                <c:pt idx="264">
                  <c:v>39.599999999999802</c:v>
                </c:pt>
                <c:pt idx="265">
                  <c:v>39.749999999999801</c:v>
                </c:pt>
                <c:pt idx="266">
                  <c:v>39.8999999999998</c:v>
                </c:pt>
                <c:pt idx="267">
                  <c:v>40.049999999999798</c:v>
                </c:pt>
                <c:pt idx="268">
                  <c:v>40.199999999999797</c:v>
                </c:pt>
                <c:pt idx="269">
                  <c:v>40.349999999999795</c:v>
                </c:pt>
                <c:pt idx="270">
                  <c:v>40.499999999999794</c:v>
                </c:pt>
                <c:pt idx="271">
                  <c:v>40.649999999999793</c:v>
                </c:pt>
                <c:pt idx="272">
                  <c:v>40.799999999999791</c:v>
                </c:pt>
                <c:pt idx="273">
                  <c:v>40.94999999999979</c:v>
                </c:pt>
                <c:pt idx="274">
                  <c:v>41.099999999999788</c:v>
                </c:pt>
                <c:pt idx="275">
                  <c:v>41.249999999999787</c:v>
                </c:pt>
                <c:pt idx="276">
                  <c:v>41.399999999999785</c:v>
                </c:pt>
                <c:pt idx="277">
                  <c:v>41.549999999999784</c:v>
                </c:pt>
                <c:pt idx="278">
                  <c:v>41.699999999999783</c:v>
                </c:pt>
                <c:pt idx="279">
                  <c:v>41.849999999999781</c:v>
                </c:pt>
                <c:pt idx="280">
                  <c:v>41.99999999999978</c:v>
                </c:pt>
                <c:pt idx="281">
                  <c:v>42.149999999999778</c:v>
                </c:pt>
                <c:pt idx="282">
                  <c:v>42.299999999999777</c:v>
                </c:pt>
                <c:pt idx="283">
                  <c:v>42.449999999999775</c:v>
                </c:pt>
                <c:pt idx="284">
                  <c:v>42.599999999999774</c:v>
                </c:pt>
                <c:pt idx="285">
                  <c:v>42.749999999999773</c:v>
                </c:pt>
                <c:pt idx="286">
                  <c:v>42.899999999999771</c:v>
                </c:pt>
                <c:pt idx="287">
                  <c:v>43.04999999999977</c:v>
                </c:pt>
                <c:pt idx="288">
                  <c:v>43.199999999999768</c:v>
                </c:pt>
                <c:pt idx="289">
                  <c:v>43.349999999999767</c:v>
                </c:pt>
                <c:pt idx="290">
                  <c:v>43.499999999999766</c:v>
                </c:pt>
                <c:pt idx="291">
                  <c:v>43.649999999999764</c:v>
                </c:pt>
                <c:pt idx="292">
                  <c:v>43.799999999999763</c:v>
                </c:pt>
                <c:pt idx="293">
                  <c:v>43.949999999999761</c:v>
                </c:pt>
                <c:pt idx="294">
                  <c:v>44.09999999999976</c:v>
                </c:pt>
                <c:pt idx="295">
                  <c:v>44.249999999999758</c:v>
                </c:pt>
                <c:pt idx="296">
                  <c:v>44.399999999999757</c:v>
                </c:pt>
                <c:pt idx="297">
                  <c:v>44.549999999999756</c:v>
                </c:pt>
                <c:pt idx="298">
                  <c:v>44.699999999999754</c:v>
                </c:pt>
                <c:pt idx="299">
                  <c:v>44.849999999999753</c:v>
                </c:pt>
                <c:pt idx="300">
                  <c:v>44.999999999999751</c:v>
                </c:pt>
                <c:pt idx="301">
                  <c:v>45.14999999999975</c:v>
                </c:pt>
                <c:pt idx="302">
                  <c:v>45.299999999999748</c:v>
                </c:pt>
                <c:pt idx="303">
                  <c:v>45.449999999999747</c:v>
                </c:pt>
                <c:pt idx="304">
                  <c:v>45.599999999999746</c:v>
                </c:pt>
                <c:pt idx="305">
                  <c:v>45.749999999999744</c:v>
                </c:pt>
                <c:pt idx="306">
                  <c:v>45.899999999999743</c:v>
                </c:pt>
                <c:pt idx="307">
                  <c:v>46.049999999999741</c:v>
                </c:pt>
                <c:pt idx="308">
                  <c:v>46.19999999999974</c:v>
                </c:pt>
                <c:pt idx="309">
                  <c:v>46.349999999999739</c:v>
                </c:pt>
                <c:pt idx="310">
                  <c:v>46.499999999999737</c:v>
                </c:pt>
                <c:pt idx="311">
                  <c:v>46.649999999999736</c:v>
                </c:pt>
                <c:pt idx="312">
                  <c:v>46.799999999999734</c:v>
                </c:pt>
                <c:pt idx="313">
                  <c:v>46.949999999999733</c:v>
                </c:pt>
                <c:pt idx="314">
                  <c:v>47.099999999999731</c:v>
                </c:pt>
                <c:pt idx="315">
                  <c:v>47.24999999999973</c:v>
                </c:pt>
                <c:pt idx="316">
                  <c:v>47.399999999999729</c:v>
                </c:pt>
                <c:pt idx="317">
                  <c:v>47.549999999999727</c:v>
                </c:pt>
                <c:pt idx="318">
                  <c:v>47.699999999999726</c:v>
                </c:pt>
                <c:pt idx="319">
                  <c:v>47.849999999999724</c:v>
                </c:pt>
                <c:pt idx="320">
                  <c:v>47.999999999999723</c:v>
                </c:pt>
                <c:pt idx="321">
                  <c:v>48.149999999999721</c:v>
                </c:pt>
                <c:pt idx="322">
                  <c:v>48.29999999999972</c:v>
                </c:pt>
                <c:pt idx="323">
                  <c:v>48.449999999999719</c:v>
                </c:pt>
                <c:pt idx="324">
                  <c:v>48.599999999999717</c:v>
                </c:pt>
                <c:pt idx="325">
                  <c:v>48.749999999999716</c:v>
                </c:pt>
                <c:pt idx="326">
                  <c:v>48.899999999999714</c:v>
                </c:pt>
                <c:pt idx="327">
                  <c:v>49.049999999999713</c:v>
                </c:pt>
                <c:pt idx="328">
                  <c:v>49.199999999999712</c:v>
                </c:pt>
                <c:pt idx="329">
                  <c:v>49.34999999999971</c:v>
                </c:pt>
                <c:pt idx="330">
                  <c:v>49.499999999999709</c:v>
                </c:pt>
                <c:pt idx="331">
                  <c:v>49.649999999999707</c:v>
                </c:pt>
                <c:pt idx="332">
                  <c:v>49.799999999999706</c:v>
                </c:pt>
                <c:pt idx="333">
                  <c:v>49.949999999999704</c:v>
                </c:pt>
                <c:pt idx="334">
                  <c:v>50.099999999999703</c:v>
                </c:pt>
                <c:pt idx="335">
                  <c:v>50.249999999999702</c:v>
                </c:pt>
                <c:pt idx="336">
                  <c:v>50.3999999999997</c:v>
                </c:pt>
                <c:pt idx="337">
                  <c:v>50.549999999999699</c:v>
                </c:pt>
                <c:pt idx="338">
                  <c:v>50.699999999999697</c:v>
                </c:pt>
                <c:pt idx="339">
                  <c:v>50.849999999999696</c:v>
                </c:pt>
                <c:pt idx="340">
                  <c:v>50.999999999999694</c:v>
                </c:pt>
                <c:pt idx="341">
                  <c:v>51.149999999999693</c:v>
                </c:pt>
                <c:pt idx="342">
                  <c:v>51.299999999999692</c:v>
                </c:pt>
                <c:pt idx="343">
                  <c:v>51.44999999999969</c:v>
                </c:pt>
                <c:pt idx="344">
                  <c:v>51.599999999999689</c:v>
                </c:pt>
                <c:pt idx="345">
                  <c:v>51.749999999999687</c:v>
                </c:pt>
                <c:pt idx="346">
                  <c:v>51.899999999999686</c:v>
                </c:pt>
                <c:pt idx="347">
                  <c:v>52.049999999999685</c:v>
                </c:pt>
                <c:pt idx="348">
                  <c:v>52.199999999999683</c:v>
                </c:pt>
                <c:pt idx="349">
                  <c:v>52.349999999999682</c:v>
                </c:pt>
                <c:pt idx="350">
                  <c:v>52.49999999999968</c:v>
                </c:pt>
                <c:pt idx="351">
                  <c:v>52.649999999999679</c:v>
                </c:pt>
                <c:pt idx="352">
                  <c:v>52.799999999999677</c:v>
                </c:pt>
                <c:pt idx="353">
                  <c:v>52.949999999999676</c:v>
                </c:pt>
                <c:pt idx="354">
                  <c:v>53.099999999999675</c:v>
                </c:pt>
                <c:pt idx="355">
                  <c:v>53.249999999999673</c:v>
                </c:pt>
                <c:pt idx="356">
                  <c:v>53.399999999999672</c:v>
                </c:pt>
                <c:pt idx="357">
                  <c:v>53.54999999999967</c:v>
                </c:pt>
                <c:pt idx="358">
                  <c:v>53.699999999999669</c:v>
                </c:pt>
                <c:pt idx="359">
                  <c:v>53.849999999999667</c:v>
                </c:pt>
                <c:pt idx="360">
                  <c:v>53.999999999999666</c:v>
                </c:pt>
                <c:pt idx="361">
                  <c:v>54.149999999999665</c:v>
                </c:pt>
                <c:pt idx="362">
                  <c:v>54.299999999999663</c:v>
                </c:pt>
                <c:pt idx="363">
                  <c:v>54.449999999999662</c:v>
                </c:pt>
                <c:pt idx="364">
                  <c:v>54.59999999999966</c:v>
                </c:pt>
                <c:pt idx="365">
                  <c:v>54.749999999999659</c:v>
                </c:pt>
                <c:pt idx="366">
                  <c:v>54.899999999999658</c:v>
                </c:pt>
                <c:pt idx="367">
                  <c:v>55.049999999999656</c:v>
                </c:pt>
                <c:pt idx="368">
                  <c:v>55.199999999999655</c:v>
                </c:pt>
                <c:pt idx="369">
                  <c:v>55.349999999999653</c:v>
                </c:pt>
                <c:pt idx="370">
                  <c:v>55.499999999999652</c:v>
                </c:pt>
                <c:pt idx="371">
                  <c:v>55.64999999999965</c:v>
                </c:pt>
                <c:pt idx="372">
                  <c:v>55.799999999999649</c:v>
                </c:pt>
                <c:pt idx="373">
                  <c:v>55.949999999999648</c:v>
                </c:pt>
                <c:pt idx="374">
                  <c:v>56.099999999999646</c:v>
                </c:pt>
                <c:pt idx="375">
                  <c:v>56.249999999999645</c:v>
                </c:pt>
                <c:pt idx="376">
                  <c:v>56.399999999999643</c:v>
                </c:pt>
                <c:pt idx="377">
                  <c:v>56.549999999999642</c:v>
                </c:pt>
                <c:pt idx="378">
                  <c:v>56.69999999999964</c:v>
                </c:pt>
                <c:pt idx="379">
                  <c:v>56.849999999999639</c:v>
                </c:pt>
                <c:pt idx="380">
                  <c:v>56.999999999999638</c:v>
                </c:pt>
                <c:pt idx="381">
                  <c:v>57.149999999999636</c:v>
                </c:pt>
                <c:pt idx="382">
                  <c:v>57.299999999999635</c:v>
                </c:pt>
                <c:pt idx="383">
                  <c:v>57.449999999999633</c:v>
                </c:pt>
                <c:pt idx="384">
                  <c:v>57.599999999999632</c:v>
                </c:pt>
                <c:pt idx="385">
                  <c:v>57.749999999999631</c:v>
                </c:pt>
                <c:pt idx="386">
                  <c:v>57.899999999999629</c:v>
                </c:pt>
                <c:pt idx="387">
                  <c:v>58.049999999999628</c:v>
                </c:pt>
                <c:pt idx="388">
                  <c:v>58.199999999999626</c:v>
                </c:pt>
                <c:pt idx="389">
                  <c:v>58.349999999999625</c:v>
                </c:pt>
                <c:pt idx="390">
                  <c:v>58.499999999999623</c:v>
                </c:pt>
                <c:pt idx="391">
                  <c:v>58.649999999999622</c:v>
                </c:pt>
                <c:pt idx="392">
                  <c:v>58.799999999999621</c:v>
                </c:pt>
                <c:pt idx="393">
                  <c:v>58.949999999999619</c:v>
                </c:pt>
                <c:pt idx="394">
                  <c:v>59.099999999999618</c:v>
                </c:pt>
                <c:pt idx="395">
                  <c:v>59.249999999999616</c:v>
                </c:pt>
                <c:pt idx="396">
                  <c:v>59.399999999999615</c:v>
                </c:pt>
                <c:pt idx="397">
                  <c:v>59.549999999999613</c:v>
                </c:pt>
                <c:pt idx="398">
                  <c:v>59.699999999999612</c:v>
                </c:pt>
                <c:pt idx="399">
                  <c:v>59.849999999999611</c:v>
                </c:pt>
                <c:pt idx="400">
                  <c:v>59.999999999999609</c:v>
                </c:pt>
                <c:pt idx="401">
                  <c:v>60.149999999999608</c:v>
                </c:pt>
                <c:pt idx="402">
                  <c:v>60.299999999999606</c:v>
                </c:pt>
                <c:pt idx="403">
                  <c:v>60.449999999999605</c:v>
                </c:pt>
                <c:pt idx="404">
                  <c:v>60.599999999999604</c:v>
                </c:pt>
                <c:pt idx="405">
                  <c:v>60.749999999999602</c:v>
                </c:pt>
                <c:pt idx="406">
                  <c:v>60.899999999999601</c:v>
                </c:pt>
                <c:pt idx="407">
                  <c:v>61.049999999999599</c:v>
                </c:pt>
                <c:pt idx="408">
                  <c:v>61.199999999999598</c:v>
                </c:pt>
                <c:pt idx="409">
                  <c:v>61.349999999999596</c:v>
                </c:pt>
                <c:pt idx="410">
                  <c:v>61.499999999999595</c:v>
                </c:pt>
                <c:pt idx="411">
                  <c:v>61.649999999999594</c:v>
                </c:pt>
                <c:pt idx="412">
                  <c:v>61.799999999999592</c:v>
                </c:pt>
                <c:pt idx="413">
                  <c:v>61.949999999999591</c:v>
                </c:pt>
                <c:pt idx="414">
                  <c:v>62.099999999999589</c:v>
                </c:pt>
                <c:pt idx="415">
                  <c:v>62.249999999999588</c:v>
                </c:pt>
                <c:pt idx="416">
                  <c:v>62.399999999999586</c:v>
                </c:pt>
                <c:pt idx="417">
                  <c:v>62.549999999999585</c:v>
                </c:pt>
                <c:pt idx="418">
                  <c:v>62.699999999999584</c:v>
                </c:pt>
                <c:pt idx="419">
                  <c:v>62.849999999999582</c:v>
                </c:pt>
                <c:pt idx="420">
                  <c:v>62.999999999999581</c:v>
                </c:pt>
                <c:pt idx="421">
                  <c:v>63.149999999999579</c:v>
                </c:pt>
                <c:pt idx="422">
                  <c:v>63.299999999999578</c:v>
                </c:pt>
                <c:pt idx="423">
                  <c:v>63.449999999999577</c:v>
                </c:pt>
                <c:pt idx="424">
                  <c:v>63.599999999999575</c:v>
                </c:pt>
                <c:pt idx="425">
                  <c:v>63.749999999999574</c:v>
                </c:pt>
                <c:pt idx="426">
                  <c:v>63.899999999999572</c:v>
                </c:pt>
                <c:pt idx="427">
                  <c:v>64.049999999999571</c:v>
                </c:pt>
                <c:pt idx="428">
                  <c:v>64.199999999999577</c:v>
                </c:pt>
                <c:pt idx="429">
                  <c:v>64.349999999999582</c:v>
                </c:pt>
                <c:pt idx="430">
                  <c:v>64.499999999999588</c:v>
                </c:pt>
                <c:pt idx="431">
                  <c:v>64.649999999999594</c:v>
                </c:pt>
                <c:pt idx="432">
                  <c:v>64.799999999999599</c:v>
                </c:pt>
                <c:pt idx="433">
                  <c:v>64.949999999999605</c:v>
                </c:pt>
                <c:pt idx="434">
                  <c:v>65.099999999999611</c:v>
                </c:pt>
                <c:pt idx="435">
                  <c:v>65.249999999999616</c:v>
                </c:pt>
                <c:pt idx="436">
                  <c:v>65.399999999999622</c:v>
                </c:pt>
                <c:pt idx="437">
                  <c:v>65.549999999999628</c:v>
                </c:pt>
                <c:pt idx="438">
                  <c:v>65.699999999999633</c:v>
                </c:pt>
                <c:pt idx="439">
                  <c:v>65.849999999999639</c:v>
                </c:pt>
                <c:pt idx="440">
                  <c:v>65.999999999999645</c:v>
                </c:pt>
                <c:pt idx="441">
                  <c:v>66.14999999999965</c:v>
                </c:pt>
                <c:pt idx="442">
                  <c:v>66.299999999999656</c:v>
                </c:pt>
                <c:pt idx="443">
                  <c:v>66.449999999999662</c:v>
                </c:pt>
                <c:pt idx="444">
                  <c:v>66.599999999999667</c:v>
                </c:pt>
                <c:pt idx="445">
                  <c:v>66.749999999999673</c:v>
                </c:pt>
                <c:pt idx="446">
                  <c:v>66.899999999999679</c:v>
                </c:pt>
                <c:pt idx="447">
                  <c:v>67.049999999999685</c:v>
                </c:pt>
                <c:pt idx="448">
                  <c:v>67.19999999999969</c:v>
                </c:pt>
                <c:pt idx="449">
                  <c:v>67.349999999999696</c:v>
                </c:pt>
                <c:pt idx="450">
                  <c:v>67.499999999999702</c:v>
                </c:pt>
                <c:pt idx="451">
                  <c:v>67.649999999999707</c:v>
                </c:pt>
                <c:pt idx="452">
                  <c:v>67.799999999999713</c:v>
                </c:pt>
                <c:pt idx="453">
                  <c:v>67.949999999999719</c:v>
                </c:pt>
                <c:pt idx="454">
                  <c:v>68.099999999999724</c:v>
                </c:pt>
                <c:pt idx="455">
                  <c:v>68.24999999999973</c:v>
                </c:pt>
                <c:pt idx="456">
                  <c:v>68.399999999999736</c:v>
                </c:pt>
                <c:pt idx="457">
                  <c:v>68.549999999999741</c:v>
                </c:pt>
                <c:pt idx="458">
                  <c:v>68.699999999999747</c:v>
                </c:pt>
                <c:pt idx="459">
                  <c:v>68.849999999999753</c:v>
                </c:pt>
                <c:pt idx="460">
                  <c:v>68.999999999999758</c:v>
                </c:pt>
                <c:pt idx="461">
                  <c:v>69.149999999999764</c:v>
                </c:pt>
                <c:pt idx="462">
                  <c:v>69.29999999999977</c:v>
                </c:pt>
                <c:pt idx="463">
                  <c:v>69.449999999999775</c:v>
                </c:pt>
                <c:pt idx="464">
                  <c:v>69.599999999999781</c:v>
                </c:pt>
                <c:pt idx="465">
                  <c:v>69.749999999999787</c:v>
                </c:pt>
                <c:pt idx="466">
                  <c:v>69.899999999999793</c:v>
                </c:pt>
                <c:pt idx="467">
                  <c:v>70.049999999999798</c:v>
                </c:pt>
                <c:pt idx="468">
                  <c:v>70.199999999999804</c:v>
                </c:pt>
                <c:pt idx="469">
                  <c:v>70.34999999999981</c:v>
                </c:pt>
                <c:pt idx="470">
                  <c:v>70.499999999999815</c:v>
                </c:pt>
                <c:pt idx="471">
                  <c:v>70.649999999999821</c:v>
                </c:pt>
                <c:pt idx="472">
                  <c:v>70.799999999999827</c:v>
                </c:pt>
                <c:pt idx="473">
                  <c:v>70.949999999999832</c:v>
                </c:pt>
                <c:pt idx="474">
                  <c:v>71.099999999999838</c:v>
                </c:pt>
                <c:pt idx="475">
                  <c:v>71.249999999999844</c:v>
                </c:pt>
                <c:pt idx="476">
                  <c:v>71.399999999999849</c:v>
                </c:pt>
                <c:pt idx="477">
                  <c:v>71.549999999999855</c:v>
                </c:pt>
                <c:pt idx="478">
                  <c:v>71.699999999999861</c:v>
                </c:pt>
                <c:pt idx="479">
                  <c:v>71.849999999999866</c:v>
                </c:pt>
                <c:pt idx="480">
                  <c:v>71.999999999999872</c:v>
                </c:pt>
                <c:pt idx="481">
                  <c:v>72.149999999999878</c:v>
                </c:pt>
                <c:pt idx="482">
                  <c:v>72.299999999999883</c:v>
                </c:pt>
                <c:pt idx="483">
                  <c:v>72.449999999999889</c:v>
                </c:pt>
                <c:pt idx="484">
                  <c:v>72.599999999999895</c:v>
                </c:pt>
                <c:pt idx="485">
                  <c:v>72.749999999999901</c:v>
                </c:pt>
                <c:pt idx="486">
                  <c:v>72.899999999999906</c:v>
                </c:pt>
                <c:pt idx="487">
                  <c:v>73.049999999999912</c:v>
                </c:pt>
                <c:pt idx="488">
                  <c:v>73.199999999999918</c:v>
                </c:pt>
                <c:pt idx="489">
                  <c:v>73.349999999999923</c:v>
                </c:pt>
                <c:pt idx="490">
                  <c:v>73.499999999999929</c:v>
                </c:pt>
                <c:pt idx="491">
                  <c:v>73.649999999999935</c:v>
                </c:pt>
                <c:pt idx="492">
                  <c:v>73.79999999999994</c:v>
                </c:pt>
                <c:pt idx="493">
                  <c:v>73.949999999999946</c:v>
                </c:pt>
                <c:pt idx="494">
                  <c:v>74.099999999999952</c:v>
                </c:pt>
                <c:pt idx="495">
                  <c:v>74.249999999999957</c:v>
                </c:pt>
                <c:pt idx="496">
                  <c:v>74.399999999999963</c:v>
                </c:pt>
                <c:pt idx="497">
                  <c:v>74.549999999999969</c:v>
                </c:pt>
                <c:pt idx="498">
                  <c:v>74.699999999999974</c:v>
                </c:pt>
                <c:pt idx="499">
                  <c:v>74.84999999999998</c:v>
                </c:pt>
                <c:pt idx="500">
                  <c:v>74.999999999999986</c:v>
                </c:pt>
                <c:pt idx="501">
                  <c:v>75.149999999999991</c:v>
                </c:pt>
                <c:pt idx="502">
                  <c:v>75.3</c:v>
                </c:pt>
                <c:pt idx="503">
                  <c:v>75.45</c:v>
                </c:pt>
                <c:pt idx="504">
                  <c:v>75.600000000000009</c:v>
                </c:pt>
                <c:pt idx="505">
                  <c:v>75.750000000000014</c:v>
                </c:pt>
                <c:pt idx="506">
                  <c:v>75.90000000000002</c:v>
                </c:pt>
                <c:pt idx="507">
                  <c:v>76.050000000000026</c:v>
                </c:pt>
                <c:pt idx="508">
                  <c:v>76.200000000000031</c:v>
                </c:pt>
                <c:pt idx="509">
                  <c:v>76.350000000000037</c:v>
                </c:pt>
                <c:pt idx="510">
                  <c:v>76.500000000000043</c:v>
                </c:pt>
                <c:pt idx="511">
                  <c:v>76.650000000000048</c:v>
                </c:pt>
                <c:pt idx="512">
                  <c:v>76.800000000000054</c:v>
                </c:pt>
                <c:pt idx="513">
                  <c:v>76.95000000000006</c:v>
                </c:pt>
                <c:pt idx="514">
                  <c:v>77.100000000000065</c:v>
                </c:pt>
                <c:pt idx="515">
                  <c:v>77.250000000000071</c:v>
                </c:pt>
                <c:pt idx="516">
                  <c:v>77.400000000000077</c:v>
                </c:pt>
                <c:pt idx="517">
                  <c:v>77.550000000000082</c:v>
                </c:pt>
                <c:pt idx="518">
                  <c:v>77.700000000000088</c:v>
                </c:pt>
                <c:pt idx="519">
                  <c:v>77.850000000000094</c:v>
                </c:pt>
                <c:pt idx="520">
                  <c:v>78.000000000000099</c:v>
                </c:pt>
                <c:pt idx="521">
                  <c:v>78.150000000000105</c:v>
                </c:pt>
                <c:pt idx="522">
                  <c:v>78.300000000000111</c:v>
                </c:pt>
                <c:pt idx="523">
                  <c:v>78.450000000000117</c:v>
                </c:pt>
                <c:pt idx="524">
                  <c:v>78.600000000000122</c:v>
                </c:pt>
                <c:pt idx="525">
                  <c:v>78.750000000000128</c:v>
                </c:pt>
                <c:pt idx="526">
                  <c:v>78.900000000000134</c:v>
                </c:pt>
                <c:pt idx="527">
                  <c:v>79.050000000000139</c:v>
                </c:pt>
                <c:pt idx="528">
                  <c:v>79.200000000000145</c:v>
                </c:pt>
                <c:pt idx="529">
                  <c:v>79.350000000000151</c:v>
                </c:pt>
                <c:pt idx="530">
                  <c:v>79.500000000000156</c:v>
                </c:pt>
                <c:pt idx="531">
                  <c:v>79.650000000000162</c:v>
                </c:pt>
                <c:pt idx="532">
                  <c:v>79.800000000000168</c:v>
                </c:pt>
                <c:pt idx="533">
                  <c:v>79.950000000000173</c:v>
                </c:pt>
                <c:pt idx="534">
                  <c:v>80.100000000000179</c:v>
                </c:pt>
                <c:pt idx="535">
                  <c:v>80.250000000000185</c:v>
                </c:pt>
                <c:pt idx="536">
                  <c:v>80.40000000000019</c:v>
                </c:pt>
                <c:pt idx="537">
                  <c:v>80.550000000000196</c:v>
                </c:pt>
                <c:pt idx="538">
                  <c:v>80.700000000000202</c:v>
                </c:pt>
                <c:pt idx="539">
                  <c:v>80.850000000000207</c:v>
                </c:pt>
                <c:pt idx="540">
                  <c:v>81.000000000000213</c:v>
                </c:pt>
                <c:pt idx="541">
                  <c:v>81.150000000000219</c:v>
                </c:pt>
                <c:pt idx="542">
                  <c:v>81.300000000000225</c:v>
                </c:pt>
                <c:pt idx="543">
                  <c:v>81.45000000000023</c:v>
                </c:pt>
                <c:pt idx="544">
                  <c:v>81.600000000000236</c:v>
                </c:pt>
                <c:pt idx="545">
                  <c:v>81.750000000000242</c:v>
                </c:pt>
                <c:pt idx="546">
                  <c:v>81.900000000000247</c:v>
                </c:pt>
                <c:pt idx="547">
                  <c:v>82.050000000000253</c:v>
                </c:pt>
                <c:pt idx="548">
                  <c:v>82.200000000000259</c:v>
                </c:pt>
                <c:pt idx="549">
                  <c:v>82.350000000000264</c:v>
                </c:pt>
                <c:pt idx="550">
                  <c:v>82.50000000000027</c:v>
                </c:pt>
                <c:pt idx="551">
                  <c:v>82.650000000000276</c:v>
                </c:pt>
                <c:pt idx="552">
                  <c:v>82.800000000000281</c:v>
                </c:pt>
                <c:pt idx="553">
                  <c:v>82.950000000000287</c:v>
                </c:pt>
                <c:pt idx="554">
                  <c:v>83.100000000000293</c:v>
                </c:pt>
                <c:pt idx="555">
                  <c:v>83.250000000000298</c:v>
                </c:pt>
                <c:pt idx="556">
                  <c:v>83.400000000000304</c:v>
                </c:pt>
                <c:pt idx="557">
                  <c:v>83.55000000000031</c:v>
                </c:pt>
                <c:pt idx="558">
                  <c:v>83.700000000000315</c:v>
                </c:pt>
                <c:pt idx="559">
                  <c:v>83.850000000000321</c:v>
                </c:pt>
                <c:pt idx="560">
                  <c:v>84.000000000000327</c:v>
                </c:pt>
                <c:pt idx="561">
                  <c:v>84.150000000000333</c:v>
                </c:pt>
                <c:pt idx="562">
                  <c:v>84.300000000000338</c:v>
                </c:pt>
                <c:pt idx="563">
                  <c:v>84.450000000000344</c:v>
                </c:pt>
                <c:pt idx="564">
                  <c:v>84.60000000000035</c:v>
                </c:pt>
                <c:pt idx="565">
                  <c:v>84.750000000000355</c:v>
                </c:pt>
                <c:pt idx="566">
                  <c:v>84.900000000000361</c:v>
                </c:pt>
                <c:pt idx="567">
                  <c:v>85.050000000000367</c:v>
                </c:pt>
                <c:pt idx="568">
                  <c:v>85.200000000000372</c:v>
                </c:pt>
                <c:pt idx="569">
                  <c:v>85.350000000000378</c:v>
                </c:pt>
                <c:pt idx="570">
                  <c:v>85.500000000000384</c:v>
                </c:pt>
                <c:pt idx="571">
                  <c:v>85.650000000000389</c:v>
                </c:pt>
                <c:pt idx="572">
                  <c:v>85.800000000000395</c:v>
                </c:pt>
                <c:pt idx="573">
                  <c:v>85.950000000000401</c:v>
                </c:pt>
                <c:pt idx="574">
                  <c:v>86.100000000000406</c:v>
                </c:pt>
                <c:pt idx="575">
                  <c:v>86.250000000000412</c:v>
                </c:pt>
                <c:pt idx="576">
                  <c:v>86.400000000000418</c:v>
                </c:pt>
                <c:pt idx="577">
                  <c:v>86.550000000000423</c:v>
                </c:pt>
                <c:pt idx="578">
                  <c:v>86.700000000000429</c:v>
                </c:pt>
                <c:pt idx="579">
                  <c:v>86.850000000000435</c:v>
                </c:pt>
                <c:pt idx="580">
                  <c:v>87.000000000000441</c:v>
                </c:pt>
                <c:pt idx="581">
                  <c:v>87.150000000000446</c:v>
                </c:pt>
                <c:pt idx="582">
                  <c:v>87.300000000000452</c:v>
                </c:pt>
                <c:pt idx="583">
                  <c:v>87.450000000000458</c:v>
                </c:pt>
                <c:pt idx="584">
                  <c:v>87.600000000000463</c:v>
                </c:pt>
                <c:pt idx="585">
                  <c:v>87.750000000000469</c:v>
                </c:pt>
                <c:pt idx="586">
                  <c:v>87.900000000000475</c:v>
                </c:pt>
                <c:pt idx="587">
                  <c:v>88.05000000000048</c:v>
                </c:pt>
                <c:pt idx="588">
                  <c:v>88.200000000000486</c:v>
                </c:pt>
                <c:pt idx="589">
                  <c:v>88.350000000000492</c:v>
                </c:pt>
                <c:pt idx="590">
                  <c:v>88.500000000000497</c:v>
                </c:pt>
                <c:pt idx="591">
                  <c:v>88.650000000000503</c:v>
                </c:pt>
                <c:pt idx="592">
                  <c:v>88.800000000000509</c:v>
                </c:pt>
                <c:pt idx="593">
                  <c:v>88.950000000000514</c:v>
                </c:pt>
                <c:pt idx="594">
                  <c:v>89.10000000000052</c:v>
                </c:pt>
                <c:pt idx="595">
                  <c:v>89.250000000000526</c:v>
                </c:pt>
                <c:pt idx="596">
                  <c:v>89.400000000000531</c:v>
                </c:pt>
                <c:pt idx="597">
                  <c:v>89.550000000000537</c:v>
                </c:pt>
                <c:pt idx="598">
                  <c:v>89.700000000000543</c:v>
                </c:pt>
                <c:pt idx="599">
                  <c:v>89.850000000000549</c:v>
                </c:pt>
                <c:pt idx="600">
                  <c:v>90.000000000000554</c:v>
                </c:pt>
                <c:pt idx="601">
                  <c:v>90.15000000000056</c:v>
                </c:pt>
                <c:pt idx="602">
                  <c:v>90.300000000000566</c:v>
                </c:pt>
                <c:pt idx="603">
                  <c:v>90.450000000000571</c:v>
                </c:pt>
                <c:pt idx="604">
                  <c:v>90.600000000000577</c:v>
                </c:pt>
                <c:pt idx="605">
                  <c:v>90.750000000000583</c:v>
                </c:pt>
                <c:pt idx="606">
                  <c:v>90.900000000000588</c:v>
                </c:pt>
                <c:pt idx="607">
                  <c:v>91.050000000000594</c:v>
                </c:pt>
                <c:pt idx="608">
                  <c:v>91.2000000000006</c:v>
                </c:pt>
                <c:pt idx="609">
                  <c:v>91.350000000000605</c:v>
                </c:pt>
                <c:pt idx="610">
                  <c:v>91.500000000000611</c:v>
                </c:pt>
                <c:pt idx="611">
                  <c:v>91.650000000000617</c:v>
                </c:pt>
                <c:pt idx="612">
                  <c:v>91.800000000000622</c:v>
                </c:pt>
                <c:pt idx="613">
                  <c:v>91.950000000000628</c:v>
                </c:pt>
                <c:pt idx="614">
                  <c:v>92.100000000000634</c:v>
                </c:pt>
                <c:pt idx="615">
                  <c:v>92.250000000000639</c:v>
                </c:pt>
                <c:pt idx="616">
                  <c:v>92.400000000000645</c:v>
                </c:pt>
                <c:pt idx="617">
                  <c:v>92.550000000000651</c:v>
                </c:pt>
                <c:pt idx="618">
                  <c:v>92.700000000000657</c:v>
                </c:pt>
                <c:pt idx="619">
                  <c:v>92.850000000000662</c:v>
                </c:pt>
                <c:pt idx="620">
                  <c:v>93.000000000000668</c:v>
                </c:pt>
                <c:pt idx="621">
                  <c:v>93.150000000000674</c:v>
                </c:pt>
                <c:pt idx="622">
                  <c:v>93.300000000000679</c:v>
                </c:pt>
                <c:pt idx="623">
                  <c:v>93.450000000000685</c:v>
                </c:pt>
                <c:pt idx="624">
                  <c:v>93.600000000000691</c:v>
                </c:pt>
                <c:pt idx="625">
                  <c:v>93.750000000000696</c:v>
                </c:pt>
                <c:pt idx="626">
                  <c:v>93.900000000000702</c:v>
                </c:pt>
                <c:pt idx="627">
                  <c:v>94.050000000000708</c:v>
                </c:pt>
                <c:pt idx="628">
                  <c:v>94.200000000000713</c:v>
                </c:pt>
                <c:pt idx="629">
                  <c:v>94.350000000000719</c:v>
                </c:pt>
                <c:pt idx="630">
                  <c:v>94.500000000000725</c:v>
                </c:pt>
                <c:pt idx="631">
                  <c:v>94.65000000000073</c:v>
                </c:pt>
                <c:pt idx="632">
                  <c:v>94.800000000000736</c:v>
                </c:pt>
                <c:pt idx="633">
                  <c:v>94.950000000000742</c:v>
                </c:pt>
                <c:pt idx="634">
                  <c:v>95.100000000000747</c:v>
                </c:pt>
                <c:pt idx="635">
                  <c:v>95.250000000000753</c:v>
                </c:pt>
                <c:pt idx="636">
                  <c:v>95.400000000000759</c:v>
                </c:pt>
                <c:pt idx="637">
                  <c:v>95.550000000000765</c:v>
                </c:pt>
                <c:pt idx="638">
                  <c:v>95.70000000000077</c:v>
                </c:pt>
                <c:pt idx="639">
                  <c:v>95.850000000000776</c:v>
                </c:pt>
                <c:pt idx="640">
                  <c:v>96.000000000000782</c:v>
                </c:pt>
                <c:pt idx="641">
                  <c:v>96.150000000000787</c:v>
                </c:pt>
                <c:pt idx="642">
                  <c:v>96.300000000000793</c:v>
                </c:pt>
                <c:pt idx="643">
                  <c:v>96.450000000000799</c:v>
                </c:pt>
                <c:pt idx="644">
                  <c:v>96.600000000000804</c:v>
                </c:pt>
                <c:pt idx="645">
                  <c:v>96.75000000000081</c:v>
                </c:pt>
                <c:pt idx="646">
                  <c:v>96.900000000000816</c:v>
                </c:pt>
                <c:pt idx="647">
                  <c:v>97.050000000000821</c:v>
                </c:pt>
                <c:pt idx="648">
                  <c:v>97.200000000000827</c:v>
                </c:pt>
                <c:pt idx="649">
                  <c:v>97.350000000000833</c:v>
                </c:pt>
                <c:pt idx="650">
                  <c:v>97.500000000000838</c:v>
                </c:pt>
                <c:pt idx="651">
                  <c:v>97.650000000000844</c:v>
                </c:pt>
                <c:pt idx="652">
                  <c:v>97.80000000000085</c:v>
                </c:pt>
                <c:pt idx="653">
                  <c:v>97.950000000000855</c:v>
                </c:pt>
                <c:pt idx="654">
                  <c:v>98.100000000000861</c:v>
                </c:pt>
                <c:pt idx="655">
                  <c:v>98.250000000000867</c:v>
                </c:pt>
                <c:pt idx="656">
                  <c:v>98.400000000000873</c:v>
                </c:pt>
                <c:pt idx="657">
                  <c:v>98.550000000000878</c:v>
                </c:pt>
                <c:pt idx="658">
                  <c:v>98.700000000000884</c:v>
                </c:pt>
                <c:pt idx="659">
                  <c:v>98.85000000000089</c:v>
                </c:pt>
                <c:pt idx="660">
                  <c:v>99.000000000000895</c:v>
                </c:pt>
                <c:pt idx="661">
                  <c:v>99.150000000000901</c:v>
                </c:pt>
                <c:pt idx="662">
                  <c:v>99.300000000000907</c:v>
                </c:pt>
                <c:pt idx="663">
                  <c:v>99.450000000000912</c:v>
                </c:pt>
                <c:pt idx="664">
                  <c:v>99.600000000000918</c:v>
                </c:pt>
                <c:pt idx="665">
                  <c:v>99.750000000000924</c:v>
                </c:pt>
                <c:pt idx="666">
                  <c:v>99.900000000000929</c:v>
                </c:pt>
                <c:pt idx="667">
                  <c:v>100.05000000000094</c:v>
                </c:pt>
                <c:pt idx="668">
                  <c:v>100.20000000000094</c:v>
                </c:pt>
                <c:pt idx="669">
                  <c:v>100.35000000000095</c:v>
                </c:pt>
                <c:pt idx="670">
                  <c:v>100.50000000000095</c:v>
                </c:pt>
                <c:pt idx="671">
                  <c:v>100.65000000000096</c:v>
                </c:pt>
                <c:pt idx="672">
                  <c:v>100.80000000000096</c:v>
                </c:pt>
                <c:pt idx="673">
                  <c:v>100.95000000000097</c:v>
                </c:pt>
                <c:pt idx="674">
                  <c:v>101.10000000000097</c:v>
                </c:pt>
                <c:pt idx="675">
                  <c:v>101.25000000000098</c:v>
                </c:pt>
                <c:pt idx="676">
                  <c:v>101.40000000000099</c:v>
                </c:pt>
                <c:pt idx="677">
                  <c:v>101.55000000000099</c:v>
                </c:pt>
                <c:pt idx="678">
                  <c:v>101.700000000001</c:v>
                </c:pt>
                <c:pt idx="679">
                  <c:v>101.850000000001</c:v>
                </c:pt>
                <c:pt idx="680">
                  <c:v>102.00000000000101</c:v>
                </c:pt>
                <c:pt idx="681">
                  <c:v>102.15000000000101</c:v>
                </c:pt>
                <c:pt idx="682">
                  <c:v>102.30000000000102</c:v>
                </c:pt>
                <c:pt idx="683">
                  <c:v>102.45000000000103</c:v>
                </c:pt>
                <c:pt idx="684">
                  <c:v>102.60000000000103</c:v>
                </c:pt>
                <c:pt idx="685">
                  <c:v>102.75000000000104</c:v>
                </c:pt>
                <c:pt idx="686">
                  <c:v>102.90000000000104</c:v>
                </c:pt>
                <c:pt idx="687">
                  <c:v>103.05000000000105</c:v>
                </c:pt>
                <c:pt idx="688">
                  <c:v>103.20000000000105</c:v>
                </c:pt>
                <c:pt idx="689">
                  <c:v>103.35000000000106</c:v>
                </c:pt>
                <c:pt idx="690">
                  <c:v>103.50000000000107</c:v>
                </c:pt>
                <c:pt idx="691">
                  <c:v>103.65000000000107</c:v>
                </c:pt>
                <c:pt idx="692">
                  <c:v>103.80000000000108</c:v>
                </c:pt>
                <c:pt idx="693">
                  <c:v>103.95000000000108</c:v>
                </c:pt>
                <c:pt idx="694">
                  <c:v>104.10000000000109</c:v>
                </c:pt>
                <c:pt idx="695">
                  <c:v>104.25000000000109</c:v>
                </c:pt>
                <c:pt idx="696">
                  <c:v>104.4000000000011</c:v>
                </c:pt>
                <c:pt idx="697">
                  <c:v>104.55000000000111</c:v>
                </c:pt>
                <c:pt idx="698">
                  <c:v>104.70000000000111</c:v>
                </c:pt>
                <c:pt idx="699">
                  <c:v>104.85000000000112</c:v>
                </c:pt>
                <c:pt idx="700">
                  <c:v>105.00000000000112</c:v>
                </c:pt>
                <c:pt idx="701">
                  <c:v>105.15000000000113</c:v>
                </c:pt>
                <c:pt idx="702">
                  <c:v>105.30000000000113</c:v>
                </c:pt>
                <c:pt idx="703">
                  <c:v>105.45000000000114</c:v>
                </c:pt>
                <c:pt idx="704">
                  <c:v>105.60000000000115</c:v>
                </c:pt>
                <c:pt idx="705">
                  <c:v>105.75000000000115</c:v>
                </c:pt>
                <c:pt idx="706">
                  <c:v>105.90000000000116</c:v>
                </c:pt>
                <c:pt idx="707">
                  <c:v>106.05000000000116</c:v>
                </c:pt>
                <c:pt idx="708">
                  <c:v>106.20000000000117</c:v>
                </c:pt>
                <c:pt idx="709">
                  <c:v>106.35000000000117</c:v>
                </c:pt>
                <c:pt idx="710">
                  <c:v>106.50000000000118</c:v>
                </c:pt>
                <c:pt idx="711">
                  <c:v>106.65000000000119</c:v>
                </c:pt>
                <c:pt idx="712">
                  <c:v>106.80000000000119</c:v>
                </c:pt>
                <c:pt idx="713">
                  <c:v>106.9500000000012</c:v>
                </c:pt>
                <c:pt idx="714">
                  <c:v>107.1000000000012</c:v>
                </c:pt>
                <c:pt idx="715">
                  <c:v>107.25000000000121</c:v>
                </c:pt>
                <c:pt idx="716">
                  <c:v>107.40000000000121</c:v>
                </c:pt>
                <c:pt idx="717">
                  <c:v>107.55000000000122</c:v>
                </c:pt>
                <c:pt idx="718">
                  <c:v>107.70000000000122</c:v>
                </c:pt>
                <c:pt idx="719">
                  <c:v>107.85000000000123</c:v>
                </c:pt>
                <c:pt idx="720">
                  <c:v>108.00000000000124</c:v>
                </c:pt>
                <c:pt idx="721">
                  <c:v>108.15000000000124</c:v>
                </c:pt>
                <c:pt idx="722">
                  <c:v>108.30000000000125</c:v>
                </c:pt>
                <c:pt idx="723">
                  <c:v>108.45000000000125</c:v>
                </c:pt>
                <c:pt idx="724">
                  <c:v>108.60000000000126</c:v>
                </c:pt>
                <c:pt idx="725">
                  <c:v>108.75000000000126</c:v>
                </c:pt>
                <c:pt idx="726">
                  <c:v>108.90000000000127</c:v>
                </c:pt>
                <c:pt idx="727">
                  <c:v>109.05000000000128</c:v>
                </c:pt>
                <c:pt idx="728">
                  <c:v>109.20000000000128</c:v>
                </c:pt>
                <c:pt idx="729">
                  <c:v>109.35000000000129</c:v>
                </c:pt>
                <c:pt idx="730">
                  <c:v>109.50000000000129</c:v>
                </c:pt>
                <c:pt idx="731">
                  <c:v>109.6500000000013</c:v>
                </c:pt>
                <c:pt idx="732">
                  <c:v>109.8000000000013</c:v>
                </c:pt>
                <c:pt idx="733">
                  <c:v>109.95000000000131</c:v>
                </c:pt>
                <c:pt idx="734">
                  <c:v>110.10000000000132</c:v>
                </c:pt>
                <c:pt idx="735">
                  <c:v>110.25000000000132</c:v>
                </c:pt>
                <c:pt idx="736">
                  <c:v>110.40000000000133</c:v>
                </c:pt>
                <c:pt idx="737">
                  <c:v>110.55000000000133</c:v>
                </c:pt>
                <c:pt idx="738">
                  <c:v>110.70000000000134</c:v>
                </c:pt>
                <c:pt idx="739">
                  <c:v>110.85000000000134</c:v>
                </c:pt>
                <c:pt idx="740">
                  <c:v>111.00000000000135</c:v>
                </c:pt>
                <c:pt idx="741">
                  <c:v>111.15000000000136</c:v>
                </c:pt>
                <c:pt idx="742">
                  <c:v>111.30000000000136</c:v>
                </c:pt>
                <c:pt idx="743">
                  <c:v>111.45000000000137</c:v>
                </c:pt>
                <c:pt idx="744">
                  <c:v>111.60000000000137</c:v>
                </c:pt>
                <c:pt idx="745">
                  <c:v>111.75000000000138</c:v>
                </c:pt>
                <c:pt idx="746">
                  <c:v>111.90000000000138</c:v>
                </c:pt>
                <c:pt idx="747">
                  <c:v>112.05000000000139</c:v>
                </c:pt>
                <c:pt idx="748">
                  <c:v>112.2000000000014</c:v>
                </c:pt>
                <c:pt idx="749">
                  <c:v>112.3500000000014</c:v>
                </c:pt>
                <c:pt idx="750">
                  <c:v>112.50000000000141</c:v>
                </c:pt>
                <c:pt idx="751">
                  <c:v>112.65000000000141</c:v>
                </c:pt>
                <c:pt idx="752">
                  <c:v>112.80000000000142</c:v>
                </c:pt>
                <c:pt idx="753">
                  <c:v>112.95000000000142</c:v>
                </c:pt>
                <c:pt idx="754">
                  <c:v>113.10000000000143</c:v>
                </c:pt>
                <c:pt idx="755">
                  <c:v>113.25000000000144</c:v>
                </c:pt>
                <c:pt idx="756">
                  <c:v>113.40000000000144</c:v>
                </c:pt>
                <c:pt idx="757">
                  <c:v>113.55000000000145</c:v>
                </c:pt>
                <c:pt idx="758">
                  <c:v>113.70000000000145</c:v>
                </c:pt>
                <c:pt idx="759">
                  <c:v>113.85000000000146</c:v>
                </c:pt>
                <c:pt idx="760">
                  <c:v>114.00000000000146</c:v>
                </c:pt>
                <c:pt idx="761">
                  <c:v>114.15000000000147</c:v>
                </c:pt>
                <c:pt idx="762">
                  <c:v>114.30000000000148</c:v>
                </c:pt>
                <c:pt idx="763">
                  <c:v>114.45000000000148</c:v>
                </c:pt>
                <c:pt idx="764">
                  <c:v>114.60000000000149</c:v>
                </c:pt>
                <c:pt idx="765">
                  <c:v>114.75000000000149</c:v>
                </c:pt>
                <c:pt idx="766">
                  <c:v>114.9000000000015</c:v>
                </c:pt>
                <c:pt idx="767">
                  <c:v>115.0500000000015</c:v>
                </c:pt>
                <c:pt idx="768">
                  <c:v>115.20000000000151</c:v>
                </c:pt>
                <c:pt idx="769">
                  <c:v>115.35000000000151</c:v>
                </c:pt>
                <c:pt idx="770">
                  <c:v>115.50000000000152</c:v>
                </c:pt>
                <c:pt idx="771">
                  <c:v>115.65000000000153</c:v>
                </c:pt>
                <c:pt idx="772">
                  <c:v>115.80000000000153</c:v>
                </c:pt>
                <c:pt idx="773">
                  <c:v>115.95000000000154</c:v>
                </c:pt>
                <c:pt idx="774">
                  <c:v>116.10000000000154</c:v>
                </c:pt>
                <c:pt idx="775">
                  <c:v>116.25000000000155</c:v>
                </c:pt>
                <c:pt idx="776">
                  <c:v>116.40000000000155</c:v>
                </c:pt>
                <c:pt idx="777">
                  <c:v>116.55000000000156</c:v>
                </c:pt>
                <c:pt idx="778">
                  <c:v>116.70000000000157</c:v>
                </c:pt>
                <c:pt idx="779">
                  <c:v>116.85000000000157</c:v>
                </c:pt>
                <c:pt idx="780">
                  <c:v>117.00000000000158</c:v>
                </c:pt>
                <c:pt idx="781">
                  <c:v>117.15000000000158</c:v>
                </c:pt>
                <c:pt idx="782">
                  <c:v>117.30000000000159</c:v>
                </c:pt>
                <c:pt idx="783">
                  <c:v>117.45000000000159</c:v>
                </c:pt>
                <c:pt idx="784">
                  <c:v>117.6000000000016</c:v>
                </c:pt>
                <c:pt idx="785">
                  <c:v>117.75000000000161</c:v>
                </c:pt>
                <c:pt idx="786">
                  <c:v>117.90000000000161</c:v>
                </c:pt>
                <c:pt idx="787">
                  <c:v>118.05000000000162</c:v>
                </c:pt>
                <c:pt idx="788">
                  <c:v>118.20000000000162</c:v>
                </c:pt>
                <c:pt idx="789">
                  <c:v>118.35000000000163</c:v>
                </c:pt>
                <c:pt idx="790">
                  <c:v>118.50000000000163</c:v>
                </c:pt>
                <c:pt idx="791">
                  <c:v>118.65000000000164</c:v>
                </c:pt>
                <c:pt idx="792">
                  <c:v>118.80000000000165</c:v>
                </c:pt>
                <c:pt idx="793">
                  <c:v>118.95000000000165</c:v>
                </c:pt>
                <c:pt idx="794">
                  <c:v>119.10000000000166</c:v>
                </c:pt>
                <c:pt idx="795">
                  <c:v>119.25000000000166</c:v>
                </c:pt>
                <c:pt idx="796">
                  <c:v>119.40000000000167</c:v>
                </c:pt>
                <c:pt idx="797">
                  <c:v>119.55000000000167</c:v>
                </c:pt>
                <c:pt idx="798">
                  <c:v>119.70000000000168</c:v>
                </c:pt>
                <c:pt idx="799">
                  <c:v>119.85000000000169</c:v>
                </c:pt>
                <c:pt idx="800">
                  <c:v>120.00000000000169</c:v>
                </c:pt>
                <c:pt idx="801">
                  <c:v>120.1500000000017</c:v>
                </c:pt>
                <c:pt idx="802">
                  <c:v>120.3000000000017</c:v>
                </c:pt>
                <c:pt idx="803">
                  <c:v>120.45000000000171</c:v>
                </c:pt>
                <c:pt idx="804">
                  <c:v>120.60000000000171</c:v>
                </c:pt>
                <c:pt idx="805">
                  <c:v>120.75000000000172</c:v>
                </c:pt>
                <c:pt idx="806">
                  <c:v>120.90000000000173</c:v>
                </c:pt>
                <c:pt idx="807">
                  <c:v>121.05000000000173</c:v>
                </c:pt>
                <c:pt idx="808">
                  <c:v>121.20000000000174</c:v>
                </c:pt>
                <c:pt idx="809">
                  <c:v>121.35000000000174</c:v>
                </c:pt>
                <c:pt idx="810">
                  <c:v>121.50000000000175</c:v>
                </c:pt>
                <c:pt idx="811">
                  <c:v>121.65000000000175</c:v>
                </c:pt>
                <c:pt idx="812">
                  <c:v>121.80000000000176</c:v>
                </c:pt>
                <c:pt idx="813">
                  <c:v>121.95000000000176</c:v>
                </c:pt>
                <c:pt idx="814">
                  <c:v>122.10000000000177</c:v>
                </c:pt>
                <c:pt idx="815">
                  <c:v>122.25000000000178</c:v>
                </c:pt>
                <c:pt idx="816">
                  <c:v>122.40000000000178</c:v>
                </c:pt>
                <c:pt idx="817">
                  <c:v>122.55000000000179</c:v>
                </c:pt>
                <c:pt idx="818">
                  <c:v>122.70000000000179</c:v>
                </c:pt>
                <c:pt idx="819">
                  <c:v>122.8500000000018</c:v>
                </c:pt>
                <c:pt idx="820">
                  <c:v>123.0000000000018</c:v>
                </c:pt>
                <c:pt idx="821">
                  <c:v>123.15000000000181</c:v>
                </c:pt>
                <c:pt idx="822">
                  <c:v>123.30000000000182</c:v>
                </c:pt>
                <c:pt idx="823">
                  <c:v>123.45000000000182</c:v>
                </c:pt>
                <c:pt idx="824">
                  <c:v>123.60000000000183</c:v>
                </c:pt>
                <c:pt idx="825">
                  <c:v>123.75000000000183</c:v>
                </c:pt>
                <c:pt idx="826">
                  <c:v>123.90000000000184</c:v>
                </c:pt>
                <c:pt idx="827">
                  <c:v>124.05000000000184</c:v>
                </c:pt>
                <c:pt idx="828">
                  <c:v>124.20000000000185</c:v>
                </c:pt>
                <c:pt idx="829">
                  <c:v>124.35000000000186</c:v>
                </c:pt>
                <c:pt idx="830">
                  <c:v>124.50000000000186</c:v>
                </c:pt>
                <c:pt idx="831">
                  <c:v>124.65000000000187</c:v>
                </c:pt>
                <c:pt idx="832">
                  <c:v>124.80000000000187</c:v>
                </c:pt>
                <c:pt idx="833">
                  <c:v>124.95000000000188</c:v>
                </c:pt>
                <c:pt idx="834">
                  <c:v>125.10000000000188</c:v>
                </c:pt>
                <c:pt idx="835">
                  <c:v>125.25000000000189</c:v>
                </c:pt>
                <c:pt idx="836">
                  <c:v>125.4000000000019</c:v>
                </c:pt>
                <c:pt idx="837">
                  <c:v>125.5500000000019</c:v>
                </c:pt>
                <c:pt idx="838">
                  <c:v>125.70000000000191</c:v>
                </c:pt>
                <c:pt idx="839">
                  <c:v>125.85000000000191</c:v>
                </c:pt>
                <c:pt idx="840">
                  <c:v>126.00000000000192</c:v>
                </c:pt>
                <c:pt idx="841">
                  <c:v>126.15000000000192</c:v>
                </c:pt>
                <c:pt idx="842">
                  <c:v>126.30000000000193</c:v>
                </c:pt>
                <c:pt idx="843">
                  <c:v>126.45000000000194</c:v>
                </c:pt>
                <c:pt idx="844">
                  <c:v>126.60000000000194</c:v>
                </c:pt>
                <c:pt idx="845">
                  <c:v>126.75000000000195</c:v>
                </c:pt>
                <c:pt idx="846">
                  <c:v>126.90000000000195</c:v>
                </c:pt>
                <c:pt idx="847">
                  <c:v>127.05000000000196</c:v>
                </c:pt>
                <c:pt idx="848">
                  <c:v>127.20000000000196</c:v>
                </c:pt>
                <c:pt idx="849">
                  <c:v>127.35000000000197</c:v>
                </c:pt>
                <c:pt idx="850">
                  <c:v>127.50000000000198</c:v>
                </c:pt>
                <c:pt idx="851">
                  <c:v>127.65000000000198</c:v>
                </c:pt>
                <c:pt idx="852">
                  <c:v>127.80000000000199</c:v>
                </c:pt>
                <c:pt idx="853">
                  <c:v>127.95000000000199</c:v>
                </c:pt>
                <c:pt idx="854">
                  <c:v>128.10000000000198</c:v>
                </c:pt>
                <c:pt idx="855">
                  <c:v>128.25000000000199</c:v>
                </c:pt>
                <c:pt idx="856">
                  <c:v>128.400000000002</c:v>
                </c:pt>
                <c:pt idx="857">
                  <c:v>128.550000000002</c:v>
                </c:pt>
                <c:pt idx="858">
                  <c:v>128.70000000000201</c:v>
                </c:pt>
                <c:pt idx="859">
                  <c:v>128.85000000000201</c:v>
                </c:pt>
                <c:pt idx="860">
                  <c:v>129.00000000000202</c:v>
                </c:pt>
                <c:pt idx="861">
                  <c:v>129.15000000000202</c:v>
                </c:pt>
                <c:pt idx="862">
                  <c:v>129.30000000000203</c:v>
                </c:pt>
                <c:pt idx="863">
                  <c:v>129.45000000000203</c:v>
                </c:pt>
                <c:pt idx="864">
                  <c:v>129.60000000000204</c:v>
                </c:pt>
                <c:pt idx="865">
                  <c:v>129.75000000000205</c:v>
                </c:pt>
                <c:pt idx="866">
                  <c:v>129.90000000000205</c:v>
                </c:pt>
                <c:pt idx="867">
                  <c:v>130.05000000000206</c:v>
                </c:pt>
                <c:pt idx="868">
                  <c:v>130.20000000000206</c:v>
                </c:pt>
                <c:pt idx="869">
                  <c:v>130.35000000000207</c:v>
                </c:pt>
                <c:pt idx="870">
                  <c:v>130.50000000000207</c:v>
                </c:pt>
                <c:pt idx="871">
                  <c:v>130.65000000000208</c:v>
                </c:pt>
                <c:pt idx="872">
                  <c:v>130.80000000000209</c:v>
                </c:pt>
                <c:pt idx="873">
                  <c:v>130.95000000000209</c:v>
                </c:pt>
                <c:pt idx="874">
                  <c:v>131.1000000000021</c:v>
                </c:pt>
                <c:pt idx="875">
                  <c:v>131.2500000000021</c:v>
                </c:pt>
                <c:pt idx="876">
                  <c:v>131.40000000000211</c:v>
                </c:pt>
                <c:pt idx="877">
                  <c:v>131.55000000000211</c:v>
                </c:pt>
                <c:pt idx="878">
                  <c:v>131.70000000000212</c:v>
                </c:pt>
                <c:pt idx="879">
                  <c:v>131.85000000000213</c:v>
                </c:pt>
                <c:pt idx="880">
                  <c:v>132.00000000000213</c:v>
                </c:pt>
                <c:pt idx="881">
                  <c:v>132.15000000000214</c:v>
                </c:pt>
                <c:pt idx="882">
                  <c:v>132.30000000000214</c:v>
                </c:pt>
                <c:pt idx="883">
                  <c:v>132.45000000000215</c:v>
                </c:pt>
                <c:pt idx="884">
                  <c:v>132.60000000000215</c:v>
                </c:pt>
                <c:pt idx="885">
                  <c:v>132.75000000000216</c:v>
                </c:pt>
                <c:pt idx="886">
                  <c:v>132.90000000000217</c:v>
                </c:pt>
                <c:pt idx="887">
                  <c:v>133.05000000000217</c:v>
                </c:pt>
                <c:pt idx="888">
                  <c:v>133.20000000000218</c:v>
                </c:pt>
                <c:pt idx="889">
                  <c:v>133.35000000000218</c:v>
                </c:pt>
                <c:pt idx="890">
                  <c:v>133.50000000000219</c:v>
                </c:pt>
                <c:pt idx="891">
                  <c:v>133.65000000000219</c:v>
                </c:pt>
                <c:pt idx="892">
                  <c:v>133.8000000000022</c:v>
                </c:pt>
                <c:pt idx="893">
                  <c:v>133.95000000000221</c:v>
                </c:pt>
                <c:pt idx="894">
                  <c:v>134.10000000000221</c:v>
                </c:pt>
                <c:pt idx="895">
                  <c:v>134.25000000000222</c:v>
                </c:pt>
                <c:pt idx="896">
                  <c:v>134.40000000000222</c:v>
                </c:pt>
                <c:pt idx="897">
                  <c:v>134.55000000000223</c:v>
                </c:pt>
                <c:pt idx="898">
                  <c:v>134.70000000000223</c:v>
                </c:pt>
                <c:pt idx="899">
                  <c:v>134.85000000000224</c:v>
                </c:pt>
                <c:pt idx="900">
                  <c:v>135.00000000000225</c:v>
                </c:pt>
                <c:pt idx="901">
                  <c:v>135.15000000000225</c:v>
                </c:pt>
                <c:pt idx="902">
                  <c:v>135.30000000000226</c:v>
                </c:pt>
                <c:pt idx="903">
                  <c:v>135.45000000000226</c:v>
                </c:pt>
                <c:pt idx="904">
                  <c:v>135.60000000000227</c:v>
                </c:pt>
                <c:pt idx="905">
                  <c:v>135.75000000000227</c:v>
                </c:pt>
                <c:pt idx="906">
                  <c:v>135.90000000000228</c:v>
                </c:pt>
                <c:pt idx="907">
                  <c:v>136.05000000000229</c:v>
                </c:pt>
                <c:pt idx="908">
                  <c:v>136.20000000000229</c:v>
                </c:pt>
                <c:pt idx="909">
                  <c:v>136.3500000000023</c:v>
                </c:pt>
                <c:pt idx="910">
                  <c:v>136.5000000000023</c:v>
                </c:pt>
                <c:pt idx="911">
                  <c:v>136.65000000000231</c:v>
                </c:pt>
                <c:pt idx="912">
                  <c:v>136.80000000000231</c:v>
                </c:pt>
                <c:pt idx="913">
                  <c:v>136.95000000000232</c:v>
                </c:pt>
                <c:pt idx="914">
                  <c:v>137.10000000000232</c:v>
                </c:pt>
                <c:pt idx="915">
                  <c:v>137.25000000000233</c:v>
                </c:pt>
                <c:pt idx="916">
                  <c:v>137.40000000000234</c:v>
                </c:pt>
                <c:pt idx="917">
                  <c:v>137.55000000000234</c:v>
                </c:pt>
                <c:pt idx="918">
                  <c:v>137.70000000000235</c:v>
                </c:pt>
                <c:pt idx="919">
                  <c:v>137.85000000000235</c:v>
                </c:pt>
                <c:pt idx="920">
                  <c:v>138.00000000000236</c:v>
                </c:pt>
                <c:pt idx="921">
                  <c:v>138.15000000000236</c:v>
                </c:pt>
                <c:pt idx="922">
                  <c:v>138.30000000000237</c:v>
                </c:pt>
                <c:pt idx="923">
                  <c:v>138.45000000000238</c:v>
                </c:pt>
                <c:pt idx="924">
                  <c:v>138.60000000000238</c:v>
                </c:pt>
                <c:pt idx="925">
                  <c:v>138.75000000000239</c:v>
                </c:pt>
                <c:pt idx="926">
                  <c:v>138.90000000000239</c:v>
                </c:pt>
                <c:pt idx="927">
                  <c:v>139.0500000000024</c:v>
                </c:pt>
                <c:pt idx="928">
                  <c:v>139.2000000000024</c:v>
                </c:pt>
                <c:pt idx="929">
                  <c:v>139.35000000000241</c:v>
                </c:pt>
                <c:pt idx="930">
                  <c:v>139.50000000000242</c:v>
                </c:pt>
                <c:pt idx="931">
                  <c:v>139.65000000000242</c:v>
                </c:pt>
                <c:pt idx="932">
                  <c:v>139.80000000000243</c:v>
                </c:pt>
                <c:pt idx="933">
                  <c:v>139.95000000000243</c:v>
                </c:pt>
                <c:pt idx="934">
                  <c:v>140.10000000000244</c:v>
                </c:pt>
                <c:pt idx="935">
                  <c:v>140.25000000000244</c:v>
                </c:pt>
                <c:pt idx="936">
                  <c:v>140.40000000000245</c:v>
                </c:pt>
                <c:pt idx="937">
                  <c:v>140.55000000000246</c:v>
                </c:pt>
                <c:pt idx="938">
                  <c:v>140.70000000000246</c:v>
                </c:pt>
                <c:pt idx="939">
                  <c:v>140.85000000000247</c:v>
                </c:pt>
                <c:pt idx="940">
                  <c:v>141.00000000000247</c:v>
                </c:pt>
                <c:pt idx="941">
                  <c:v>141.15000000000248</c:v>
                </c:pt>
                <c:pt idx="942">
                  <c:v>141.30000000000248</c:v>
                </c:pt>
                <c:pt idx="943">
                  <c:v>141.45000000000249</c:v>
                </c:pt>
                <c:pt idx="944">
                  <c:v>141.6000000000025</c:v>
                </c:pt>
                <c:pt idx="945">
                  <c:v>141.7500000000025</c:v>
                </c:pt>
                <c:pt idx="946">
                  <c:v>141.90000000000251</c:v>
                </c:pt>
                <c:pt idx="947">
                  <c:v>142.05000000000251</c:v>
                </c:pt>
                <c:pt idx="948">
                  <c:v>142.20000000000252</c:v>
                </c:pt>
                <c:pt idx="949">
                  <c:v>142.35000000000252</c:v>
                </c:pt>
                <c:pt idx="950">
                  <c:v>142.50000000000253</c:v>
                </c:pt>
                <c:pt idx="951">
                  <c:v>142.65000000000254</c:v>
                </c:pt>
                <c:pt idx="952">
                  <c:v>142.80000000000254</c:v>
                </c:pt>
                <c:pt idx="953">
                  <c:v>142.95000000000255</c:v>
                </c:pt>
                <c:pt idx="954">
                  <c:v>143.10000000000255</c:v>
                </c:pt>
                <c:pt idx="955">
                  <c:v>143.25000000000256</c:v>
                </c:pt>
                <c:pt idx="956">
                  <c:v>143.40000000000256</c:v>
                </c:pt>
                <c:pt idx="957">
                  <c:v>143.55000000000257</c:v>
                </c:pt>
                <c:pt idx="958">
                  <c:v>143.70000000000258</c:v>
                </c:pt>
                <c:pt idx="959">
                  <c:v>143.85000000000258</c:v>
                </c:pt>
                <c:pt idx="960">
                  <c:v>144.00000000000259</c:v>
                </c:pt>
                <c:pt idx="961">
                  <c:v>144.15000000000259</c:v>
                </c:pt>
                <c:pt idx="962">
                  <c:v>144.3000000000026</c:v>
                </c:pt>
                <c:pt idx="963">
                  <c:v>144.4500000000026</c:v>
                </c:pt>
                <c:pt idx="964">
                  <c:v>144.60000000000261</c:v>
                </c:pt>
                <c:pt idx="965">
                  <c:v>144.75000000000261</c:v>
                </c:pt>
                <c:pt idx="966">
                  <c:v>144.90000000000262</c:v>
                </c:pt>
                <c:pt idx="967">
                  <c:v>145.05000000000263</c:v>
                </c:pt>
                <c:pt idx="968">
                  <c:v>145.20000000000263</c:v>
                </c:pt>
                <c:pt idx="969">
                  <c:v>145.35000000000264</c:v>
                </c:pt>
                <c:pt idx="970">
                  <c:v>145.50000000000264</c:v>
                </c:pt>
                <c:pt idx="971">
                  <c:v>145.65000000000265</c:v>
                </c:pt>
                <c:pt idx="972">
                  <c:v>145.80000000000265</c:v>
                </c:pt>
                <c:pt idx="973">
                  <c:v>145.95000000000266</c:v>
                </c:pt>
                <c:pt idx="974">
                  <c:v>146.10000000000267</c:v>
                </c:pt>
                <c:pt idx="975">
                  <c:v>146.25000000000267</c:v>
                </c:pt>
                <c:pt idx="976">
                  <c:v>146.40000000000268</c:v>
                </c:pt>
                <c:pt idx="977">
                  <c:v>146.55000000000268</c:v>
                </c:pt>
                <c:pt idx="978">
                  <c:v>146.70000000000269</c:v>
                </c:pt>
                <c:pt idx="979">
                  <c:v>146.85000000000269</c:v>
                </c:pt>
                <c:pt idx="980">
                  <c:v>147.0000000000027</c:v>
                </c:pt>
                <c:pt idx="981">
                  <c:v>147.15000000000271</c:v>
                </c:pt>
                <c:pt idx="982">
                  <c:v>147.30000000000271</c:v>
                </c:pt>
                <c:pt idx="983">
                  <c:v>147.45000000000272</c:v>
                </c:pt>
                <c:pt idx="984">
                  <c:v>147.60000000000272</c:v>
                </c:pt>
                <c:pt idx="985">
                  <c:v>147.75000000000273</c:v>
                </c:pt>
                <c:pt idx="986">
                  <c:v>147.90000000000273</c:v>
                </c:pt>
                <c:pt idx="987">
                  <c:v>148.05000000000274</c:v>
                </c:pt>
                <c:pt idx="988">
                  <c:v>148.20000000000275</c:v>
                </c:pt>
                <c:pt idx="989">
                  <c:v>148.35000000000275</c:v>
                </c:pt>
                <c:pt idx="990">
                  <c:v>148.50000000000276</c:v>
                </c:pt>
                <c:pt idx="991">
                  <c:v>148.65000000000276</c:v>
                </c:pt>
                <c:pt idx="992">
                  <c:v>148.80000000000277</c:v>
                </c:pt>
                <c:pt idx="993">
                  <c:v>148.95000000000277</c:v>
                </c:pt>
                <c:pt idx="994">
                  <c:v>149.10000000000278</c:v>
                </c:pt>
                <c:pt idx="995">
                  <c:v>149.25000000000279</c:v>
                </c:pt>
                <c:pt idx="996">
                  <c:v>149.40000000000279</c:v>
                </c:pt>
                <c:pt idx="997">
                  <c:v>149.5500000000028</c:v>
                </c:pt>
                <c:pt idx="998">
                  <c:v>149.7000000000028</c:v>
                </c:pt>
                <c:pt idx="999">
                  <c:v>149.85000000000281</c:v>
                </c:pt>
                <c:pt idx="1000">
                  <c:v>150.00000000000281</c:v>
                </c:pt>
              </c:numCache>
            </c:numRef>
          </c:yVal>
          <c:smooth val="0"/>
          <c:extLst>
            <c:ext xmlns:c16="http://schemas.microsoft.com/office/drawing/2014/chart" uri="{C3380CC4-5D6E-409C-BE32-E72D297353CC}">
              <c16:uniqueId val="{00000019-5186-4268-9072-C284E3E930D8}"/>
            </c:ext>
          </c:extLst>
        </c:ser>
        <c:ser>
          <c:idx val="11"/>
          <c:order val="11"/>
          <c:spPr>
            <a:ln w="12700">
              <a:solidFill>
                <a:srgbClr val="969696"/>
              </a:solidFill>
              <a:prstDash val="solid"/>
            </a:ln>
          </c:spPr>
          <c:marker>
            <c:symbol val="none"/>
          </c:marker>
          <c:xVal>
            <c:numRef>
              <c:f>'Compare A B'!$L$34:$L$35</c:f>
              <c:numCache>
                <c:formatCode>General</c:formatCode>
                <c:ptCount val="2"/>
                <c:pt idx="0">
                  <c:v>#N/A</c:v>
                </c:pt>
                <c:pt idx="1">
                  <c:v>#N/A</c:v>
                </c:pt>
              </c:numCache>
            </c:numRef>
          </c:xVal>
          <c:yVal>
            <c:numRef>
              <c:f>'Compare A B'!$M$34:$M$35</c:f>
              <c:numCache>
                <c:formatCode>General</c:formatCode>
                <c:ptCount val="2"/>
                <c:pt idx="0">
                  <c:v>0</c:v>
                </c:pt>
                <c:pt idx="1">
                  <c:v>105.33985905294664</c:v>
                </c:pt>
              </c:numCache>
            </c:numRef>
          </c:yVal>
          <c:smooth val="0"/>
          <c:extLst>
            <c:ext xmlns:c16="http://schemas.microsoft.com/office/drawing/2014/chart" uri="{C3380CC4-5D6E-409C-BE32-E72D297353CC}">
              <c16:uniqueId val="{0000001A-5186-4268-9072-C284E3E930D8}"/>
            </c:ext>
          </c:extLst>
        </c:ser>
        <c:ser>
          <c:idx val="12"/>
          <c:order val="12"/>
          <c:spPr>
            <a:ln w="12700">
              <a:solidFill>
                <a:srgbClr val="969696"/>
              </a:solidFill>
              <a:prstDash val="solid"/>
            </a:ln>
          </c:spPr>
          <c:marker>
            <c:symbol val="none"/>
          </c:marker>
          <c:xVal>
            <c:numRef>
              <c:f>'Compare A B'!$L$36:$L$37</c:f>
              <c:numCache>
                <c:formatCode>General</c:formatCode>
                <c:ptCount val="2"/>
                <c:pt idx="0">
                  <c:v>#N/A</c:v>
                </c:pt>
                <c:pt idx="1">
                  <c:v>#N/A</c:v>
                </c:pt>
              </c:numCache>
            </c:numRef>
          </c:xVal>
          <c:yVal>
            <c:numRef>
              <c:f>'Compare A B'!$M$36:$M$37</c:f>
              <c:numCache>
                <c:formatCode>General</c:formatCode>
                <c:ptCount val="2"/>
                <c:pt idx="0">
                  <c:v>43.126155041758707</c:v>
                </c:pt>
                <c:pt idx="1">
                  <c:v>150</c:v>
                </c:pt>
              </c:numCache>
            </c:numRef>
          </c:yVal>
          <c:smooth val="0"/>
          <c:extLst>
            <c:ext xmlns:c16="http://schemas.microsoft.com/office/drawing/2014/chart" uri="{C3380CC4-5D6E-409C-BE32-E72D297353CC}">
              <c16:uniqueId val="{0000001B-5186-4268-9072-C284E3E930D8}"/>
            </c:ext>
          </c:extLst>
        </c:ser>
        <c:ser>
          <c:idx val="13"/>
          <c:order val="13"/>
          <c:spPr>
            <a:ln w="28575">
              <a:noFill/>
            </a:ln>
          </c:spPr>
          <c:marker>
            <c:symbol val="none"/>
          </c:marker>
          <c:dLbls>
            <c:dLbl>
              <c:idx val="0"/>
              <c:layout/>
              <c:tx>
                <c:strRef>
                  <c:f>'Compare A B'!$M$31</c:f>
                  <c:strCache>
                    <c:ptCount val="1"/>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{848C3D7E-D9FA-4EF7-900C-32B8CB1B06B9}</c15:txfldGUID>
                      <c15:f>'Compare A B'!$M$31</c15:f>
                      <c15:dlblFieldTableCache>
                        <c:ptCount val="1"/>
                      </c15:dlblFieldTableCache>
                    </c15:dlblFTEntry>
                  </c15:dlblFieldTable>
                  <c15:showDataLabelsRange val="0"/>
                </c:ext>
                <c:ext xmlns:c16="http://schemas.microsoft.com/office/drawing/2014/chart" uri="{C3380CC4-5D6E-409C-BE32-E72D297353CC}">
                  <c16:uniqueId val="{0000001C-5186-4268-9072-C284E3E930D8}"/>
                </c:ext>
              </c:extLst>
            </c:dLbl>
            <c:dLbl>
              <c:idx val="1"/>
              <c:layout/>
              <c:tx>
                <c:strRef>
                  <c:f>'Compare A B'!$M$30</c:f>
                  <c:strCache>
                    <c:ptCount val="1"/>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{2B83F2FD-AE39-48B5-9293-848070A9D68C}</c15:txfldGUID>
                      <c15:f>'Compare A B'!$M$30</c15:f>
                      <c15:dlblFieldTableCache>
                        <c:ptCount val="1"/>
                      </c15:dlblFieldTableCache>
                    </c15:dlblFTEntry>
                  </c15:dlblFieldTable>
                  <c15:showDataLabelsRange val="0"/>
                </c:ext>
                <c:ext xmlns:c16="http://schemas.microsoft.com/office/drawing/2014/chart" uri="{C3380CC4-5D6E-409C-BE32-E72D297353CC}">
                  <c16:uniqueId val="{0000001D-5186-4268-9072-C284E3E930D8}"/>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'Compare A B'!$M$24:$M$25</c:f>
              <c:numCache>
                <c:formatCode>General</c:formatCode>
                <c:ptCount val="2"/>
                <c:pt idx="0">
                  <c:v>1.3</c:v>
                </c:pt>
                <c:pt idx="1">
                  <c:v>1.77</c:v>
                </c:pt>
              </c:numCache>
            </c:numRef>
          </c:xVal>
          <c:yVal>
            <c:numRef>
              <c:f>'Compare A B'!$N$24:$N$25</c:f>
              <c:numCache>
                <c:formatCode>General</c:formatCode>
                <c:ptCount val="2"/>
                <c:pt idx="0">
                  <c:v>6</c:v>
                </c:pt>
                <c:pt idx="1">
                  <c:v>6</c:v>
                </c:pt>
              </c:numCache>
            </c:numRef>
          </c:yVal>
          <c:smooth val="0"/>
          <c:extLst>
            <c:ext xmlns:c16="http://schemas.microsoft.com/office/drawing/2014/chart" uri="{C3380CC4-5D6E-409C-BE32-E72D297353CC}">
              <c16:uniqueId val="{0000001E-5186-4268-9072-C284E3E930D8}"/>
            </c:ext>
          </c:extLst>
        </c:ser>
        <c:dLbls>
          <c:showLegendKey val="0"/>
          <c:showVal val="0"/>
          <c:showCatName val="0"/>
          <c:showSerName val="0"/>
          <c:showPercent val="0"/>
          <c:showBubbleSize val="0"/>
        </c:dLbls>
        <c:axId val="186460032"/>
        <c:axId val="186461568"/>
      </c:scatterChart>
      <c:catAx>
        <c:axId val="186460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6461568"/>
        <c:crossesAt val="0"/>
        <c:auto val="1"/>
        <c:lblAlgn val="ctr"/>
        <c:lblOffset val="100"/>
        <c:tickLblSkip val="1"/>
        <c:tickMarkSkip val="1"/>
        <c:noMultiLvlLbl val="0"/>
      </c:catAx>
      <c:valAx>
        <c:axId val="186461568"/>
        <c:scaling>
          <c:orientation val="minMax"/>
          <c:max val="150"/>
          <c:min val="0"/>
        </c:scaling>
        <c:delete val="0"/>
        <c:axPos val="l"/>
        <c:title>
          <c:tx>
            <c:rich>
              <a:bodyPr/>
              <a:lstStyle/>
              <a:p>
                <a:pPr>
                  <a:defRPr sz="1200" b="0" i="0" u="none" strike="noStrike" baseline="0">
                    <a:solidFill>
                      <a:srgbClr val="000000"/>
                    </a:solidFill>
                    <a:latin typeface="Arial"/>
                    <a:ea typeface="Arial"/>
                    <a:cs typeface="Arial"/>
                  </a:defRPr>
                </a:pPr>
                <a:r>
                  <a:rPr lang="en-US"/>
                  <a:t>Dependent variable</a:t>
                </a:r>
              </a:p>
            </c:rich>
          </c:tx>
          <c:layout>
            <c:manualLayout>
              <c:xMode val="edge"/>
              <c:yMode val="edge"/>
              <c:x val="1.2315270935960592E-2"/>
              <c:y val="0.3370292904074351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6460032"/>
        <c:crosses val="autoZero"/>
        <c:crossBetween val="between"/>
        <c:majorUnit val="20"/>
        <c:minorUnit val="1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Paired data</a:t>
            </a:r>
          </a:p>
        </c:rich>
      </c:tx>
      <c:layout>
        <c:manualLayout>
          <c:xMode val="edge"/>
          <c:yMode val="edge"/>
          <c:x val="0.39162613294027898"/>
          <c:y val="1.1086474501108648E-2"/>
        </c:manualLayout>
      </c:layout>
      <c:overlay val="0"/>
      <c:spPr>
        <a:noFill/>
        <a:ln w="25400">
          <a:noFill/>
        </a:ln>
      </c:spPr>
    </c:title>
    <c:autoTitleDeleted val="0"/>
    <c:plotArea>
      <c:layout>
        <c:manualLayout>
          <c:layoutTarget val="inner"/>
          <c:xMode val="edge"/>
          <c:yMode val="edge"/>
          <c:x val="0.16256177186173687"/>
          <c:y val="8.2040000129919757E-2"/>
          <c:w val="0.75862160202143869"/>
          <c:h val="0.8292691905024322"/>
        </c:manualLayout>
      </c:layout>
      <c:lineChart>
        <c:grouping val="standard"/>
        <c:varyColors val="0"/>
        <c:ser>
          <c:idx val="0"/>
          <c:order val="0"/>
          <c:spPr>
            <a:ln w="28575">
              <a:noFill/>
            </a:ln>
          </c:spPr>
          <c:marker>
            <c:symbol val="circle"/>
            <c:size val="7"/>
            <c:spPr>
              <a:solidFill>
                <a:srgbClr val="000000"/>
              </a:solidFill>
              <a:ln>
                <a:solidFill>
                  <a:srgbClr val="000000"/>
                </a:solidFill>
                <a:prstDash val="solid"/>
              </a:ln>
            </c:spPr>
          </c:marker>
          <c:errBars>
            <c:errDir val="y"/>
            <c:errBarType val="both"/>
            <c:errValType val="cust"/>
            <c:noEndCap val="0"/>
            <c:plus>
              <c:numRef>
                <c:f>'Compare A B'!$K$11:$K$12</c:f>
                <c:numCache>
                  <c:formatCode>General</c:formatCode>
                  <c:ptCount val="2"/>
                  <c:pt idx="0">
                    <c:v>31.981551549288351</c:v>
                  </c:pt>
                  <c:pt idx="1">
                    <c:v>35.179706704217182</c:v>
                  </c:pt>
                </c:numCache>
              </c:numRef>
            </c:plus>
            <c:minus>
              <c:numRef>
                <c:f>'Compare A B'!$K$11:$K$12</c:f>
                <c:numCache>
                  <c:formatCode>General</c:formatCode>
                  <c:ptCount val="2"/>
                  <c:pt idx="0">
                    <c:v>31.981551549288351</c:v>
                  </c:pt>
                  <c:pt idx="1">
                    <c:v>35.179706704217182</c:v>
                  </c:pt>
                </c:numCache>
              </c:numRef>
            </c:minus>
            <c:spPr>
              <a:ln w="12700">
                <a:solidFill>
                  <a:srgbClr val="000000"/>
                </a:solidFill>
                <a:prstDash val="solid"/>
              </a:ln>
            </c:spPr>
          </c:errBars>
          <c:cat>
            <c:strRef>
              <c:f>'Compare A B'!$H$11:$H$13</c:f>
              <c:strCache>
                <c:ptCount val="2"/>
                <c:pt idx="0">
                  <c:v>         A       </c:v>
                </c:pt>
                <c:pt idx="1">
                  <c:v>B</c:v>
                </c:pt>
              </c:strCache>
            </c:strRef>
          </c:cat>
          <c:val>
            <c:numRef>
              <c:f>'Compare A B'!$L$11:$L$12</c:f>
              <c:numCache>
                <c:formatCode>General</c:formatCode>
                <c:ptCount val="2"/>
                <c:pt idx="0">
                  <c:v>50</c:v>
                </c:pt>
                <c:pt idx="1">
                  <c:v>104</c:v>
                </c:pt>
              </c:numCache>
            </c:numRef>
          </c:val>
          <c:smooth val="0"/>
          <c:extLst>
            <c:ext xmlns:c16="http://schemas.microsoft.com/office/drawing/2014/chart" uri="{C3380CC4-5D6E-409C-BE32-E72D297353CC}">
              <c16:uniqueId val="{00000000-29BA-4375-87B9-513BA2304916}"/>
            </c:ext>
          </c:extLst>
        </c:ser>
        <c:dLbls>
          <c:showLegendKey val="0"/>
          <c:showVal val="0"/>
          <c:showCatName val="0"/>
          <c:showSerName val="0"/>
          <c:showPercent val="0"/>
          <c:showBubbleSize val="0"/>
        </c:dLbls>
        <c:marker val="1"/>
        <c:smooth val="0"/>
        <c:axId val="186549376"/>
        <c:axId val="186550912"/>
      </c:lineChart>
      <c:scatterChart>
        <c:scatterStyle val="lineMarker"/>
        <c:varyColors val="0"/>
        <c:ser>
          <c:idx val="1"/>
          <c:order val="1"/>
          <c:spPr>
            <a:ln w="3175">
              <a:solidFill>
                <a:srgbClr val="000000"/>
              </a:solidFill>
              <a:prstDash val="solid"/>
            </a:ln>
          </c:spPr>
          <c:marker>
            <c:symbol val="dot"/>
            <c:size val="5"/>
            <c:spPr>
              <a:solidFill>
                <a:srgbClr val="000000"/>
              </a:solidFill>
              <a:ln>
                <a:solidFill>
                  <a:srgbClr val="000000"/>
                </a:solidFill>
                <a:prstDash val="solid"/>
              </a:ln>
            </c:spPr>
          </c:marker>
          <c:dLbls>
            <c:dLbl>
              <c:idx val="0"/>
              <c:tx>
                <c:rich>
                  <a:bodyPr/>
                  <a:lstStyle/>
                  <a:p>
                    <a:r>
                      <a:t>80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9BA-4375-87B9-513BA2304916}"/>
                </c:ext>
              </c:extLst>
            </c:dLbl>
            <c:dLbl>
              <c:idx val="1"/>
              <c:delete val="1"/>
              <c:extLst>
                <c:ext xmlns:c15="http://schemas.microsoft.com/office/drawing/2012/chart" uri="{CE6537A1-D6FC-4f65-9D91-7224C49458BB}"/>
                <c:ext xmlns:c16="http://schemas.microsoft.com/office/drawing/2014/chart" uri="{C3380CC4-5D6E-409C-BE32-E72D297353CC}">
                  <c16:uniqueId val="{00000002-29BA-4375-87B9-513BA2304916}"/>
                </c:ext>
              </c:extLst>
            </c:dLbl>
            <c:dLbl>
              <c:idx val="2"/>
              <c:tx>
                <c:rich>
                  <a:bodyPr/>
                  <a:lstStyle/>
                  <a:p>
                    <a:r>
                      <a:t>60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9BA-4375-87B9-513BA2304916}"/>
                </c:ext>
              </c:extLst>
            </c:dLbl>
            <c:dLbl>
              <c:idx val="3"/>
              <c:delete val="1"/>
              <c:extLst>
                <c:ext xmlns:c15="http://schemas.microsoft.com/office/drawing/2012/chart" uri="{CE6537A1-D6FC-4f65-9D91-7224C49458BB}"/>
                <c:ext xmlns:c16="http://schemas.microsoft.com/office/drawing/2014/chart" uri="{C3380CC4-5D6E-409C-BE32-E72D297353CC}">
                  <c16:uniqueId val="{00000004-29BA-4375-87B9-513BA2304916}"/>
                </c:ext>
              </c:extLst>
            </c:dLbl>
            <c:dLbl>
              <c:idx val="4"/>
              <c:tx>
                <c:rich>
                  <a:bodyPr/>
                  <a:lstStyle/>
                  <a:p>
                    <a:r>
                      <a:t>40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9BA-4375-87B9-513BA2304916}"/>
                </c:ext>
              </c:extLst>
            </c:dLbl>
            <c:dLbl>
              <c:idx val="5"/>
              <c:delete val="1"/>
              <c:extLst>
                <c:ext xmlns:c15="http://schemas.microsoft.com/office/drawing/2012/chart" uri="{CE6537A1-D6FC-4f65-9D91-7224C49458BB}"/>
                <c:ext xmlns:c16="http://schemas.microsoft.com/office/drawing/2014/chart" uri="{C3380CC4-5D6E-409C-BE32-E72D297353CC}">
                  <c16:uniqueId val="{00000006-29BA-4375-87B9-513BA2304916}"/>
                </c:ext>
              </c:extLst>
            </c:dLbl>
            <c:dLbl>
              <c:idx val="6"/>
              <c:tx>
                <c:rich>
                  <a:bodyPr/>
                  <a:lstStyle/>
                  <a:p>
                    <a:r>
                      <a:t>20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9BA-4375-87B9-513BA2304916}"/>
                </c:ext>
              </c:extLst>
            </c:dLbl>
            <c:dLbl>
              <c:idx val="7"/>
              <c:delete val="1"/>
              <c:extLst>
                <c:ext xmlns:c15="http://schemas.microsoft.com/office/drawing/2012/chart" uri="{CE6537A1-D6FC-4f65-9D91-7224C49458BB}"/>
                <c:ext xmlns:c16="http://schemas.microsoft.com/office/drawing/2014/chart" uri="{C3380CC4-5D6E-409C-BE32-E72D297353CC}">
                  <c16:uniqueId val="{00000008-29BA-4375-87B9-513BA2304916}"/>
                </c:ext>
              </c:extLst>
            </c:dLbl>
            <c:dLbl>
              <c:idx val="8"/>
              <c:tx>
                <c:rich>
                  <a:bodyPr/>
                  <a:lstStyle/>
                  <a:p>
                    <a:r>
                      <a:t>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9BA-4375-87B9-513BA2304916}"/>
                </c:ext>
              </c:extLst>
            </c:dLbl>
            <c:dLbl>
              <c:idx val="9"/>
              <c:delete val="1"/>
              <c:extLst>
                <c:ext xmlns:c15="http://schemas.microsoft.com/office/drawing/2012/chart" uri="{CE6537A1-D6FC-4f65-9D91-7224C49458BB}"/>
                <c:ext xmlns:c16="http://schemas.microsoft.com/office/drawing/2014/chart" uri="{C3380CC4-5D6E-409C-BE32-E72D297353CC}">
                  <c16:uniqueId val="{0000000A-29BA-4375-87B9-513BA2304916}"/>
                </c:ext>
              </c:extLst>
            </c:dLbl>
            <c:dLbl>
              <c:idx val="10"/>
              <c:tx>
                <c:rich>
                  <a:bodyPr/>
                  <a:lstStyle/>
                  <a:p>
                    <a:r>
                      <a:t>-20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9BA-4375-87B9-513BA2304916}"/>
                </c:ext>
              </c:extLst>
            </c:dLbl>
            <c:dLbl>
              <c:idx val="11"/>
              <c:delete val="1"/>
              <c:extLst>
                <c:ext xmlns:c15="http://schemas.microsoft.com/office/drawing/2012/chart" uri="{CE6537A1-D6FC-4f65-9D91-7224C49458BB}"/>
                <c:ext xmlns:c16="http://schemas.microsoft.com/office/drawing/2014/chart" uri="{C3380CC4-5D6E-409C-BE32-E72D297353CC}">
                  <c16:uniqueId val="{0000000C-29BA-4375-87B9-513BA2304916}"/>
                </c:ext>
              </c:extLst>
            </c:dLbl>
            <c:dLbl>
              <c:idx val="12"/>
              <c:tx>
                <c:rich>
                  <a:bodyPr/>
                  <a:lstStyle/>
                  <a:p>
                    <a:r>
                      <a:t>-40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9BA-4375-87B9-513BA2304916}"/>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'Compare A B'!$J$24:$J$36</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'Compare A B'!$I$24:$I$36</c:f>
              <c:numCache>
                <c:formatCode>General</c:formatCode>
                <c:ptCount val="13"/>
                <c:pt idx="0">
                  <c:v>130</c:v>
                </c:pt>
                <c:pt idx="1">
                  <c:v>120</c:v>
                </c:pt>
                <c:pt idx="2">
                  <c:v>110</c:v>
                </c:pt>
                <c:pt idx="3">
                  <c:v>100</c:v>
                </c:pt>
                <c:pt idx="4">
                  <c:v>90</c:v>
                </c:pt>
                <c:pt idx="5">
                  <c:v>80</c:v>
                </c:pt>
                <c:pt idx="6">
                  <c:v>70</c:v>
                </c:pt>
                <c:pt idx="7">
                  <c:v>60</c:v>
                </c:pt>
                <c:pt idx="8">
                  <c:v>50</c:v>
                </c:pt>
                <c:pt idx="9">
                  <c:v>40</c:v>
                </c:pt>
                <c:pt idx="10">
                  <c:v>30</c:v>
                </c:pt>
                <c:pt idx="11">
                  <c:v>20</c:v>
                </c:pt>
                <c:pt idx="12">
                  <c:v>10</c:v>
                </c:pt>
              </c:numCache>
            </c:numRef>
          </c:yVal>
          <c:smooth val="0"/>
          <c:extLst>
            <c:ext xmlns:c16="http://schemas.microsoft.com/office/drawing/2014/chart" uri="{C3380CC4-5D6E-409C-BE32-E72D297353CC}">
              <c16:uniqueId val="{0000000E-29BA-4375-87B9-513BA2304916}"/>
            </c:ext>
          </c:extLst>
        </c:ser>
        <c:ser>
          <c:idx val="2"/>
          <c:order val="2"/>
          <c:spPr>
            <a:ln w="3175">
              <a:solidFill>
                <a:srgbClr val="000000"/>
              </a:solidFill>
              <a:prstDash val="sysDash"/>
            </a:ln>
          </c:spPr>
          <c:marker>
            <c:symbol val="none"/>
          </c:marker>
          <c:xVal>
            <c:numRef>
              <c:f>'Compare A B'!$J$16:$J$17</c:f>
              <c:numCache>
                <c:formatCode>General</c:formatCode>
                <c:ptCount val="2"/>
                <c:pt idx="0">
                  <c:v>1</c:v>
                </c:pt>
                <c:pt idx="1">
                  <c:v>#N/A</c:v>
                </c:pt>
              </c:numCache>
            </c:numRef>
          </c:xVal>
          <c:yVal>
            <c:numRef>
              <c:f>'Compare A B'!$I$16:$I$17</c:f>
              <c:numCache>
                <c:formatCode>General</c:formatCode>
                <c:ptCount val="2"/>
                <c:pt idx="0">
                  <c:v>50</c:v>
                </c:pt>
                <c:pt idx="1">
                  <c:v>50</c:v>
                </c:pt>
              </c:numCache>
            </c:numRef>
          </c:yVal>
          <c:smooth val="0"/>
          <c:extLst>
            <c:ext xmlns:c16="http://schemas.microsoft.com/office/drawing/2014/chart" uri="{C3380CC4-5D6E-409C-BE32-E72D297353CC}">
              <c16:uniqueId val="{0000000F-29BA-4375-87B9-513BA2304916}"/>
            </c:ext>
          </c:extLst>
        </c:ser>
        <c:ser>
          <c:idx val="3"/>
          <c:order val="3"/>
          <c:spPr>
            <a:ln w="12700">
              <a:solidFill>
                <a:srgbClr val="000000"/>
              </a:solidFill>
              <a:prstDash val="sysDash"/>
            </a:ln>
          </c:spPr>
          <c:marker>
            <c:symbol val="none"/>
          </c:marker>
          <c:xVal>
            <c:numRef>
              <c:f>'Compare A B'!$J$18:$J$19</c:f>
              <c:numCache>
                <c:formatCode>General</c:formatCode>
                <c:ptCount val="2"/>
                <c:pt idx="0">
                  <c:v>2</c:v>
                </c:pt>
                <c:pt idx="1">
                  <c:v>#N/A</c:v>
                </c:pt>
              </c:numCache>
            </c:numRef>
          </c:xVal>
          <c:yVal>
            <c:numRef>
              <c:f>'Compare A B'!$I$18:$I$19</c:f>
              <c:numCache>
                <c:formatCode>General</c:formatCode>
                <c:ptCount val="2"/>
                <c:pt idx="0">
                  <c:v>104</c:v>
                </c:pt>
                <c:pt idx="1">
                  <c:v>104</c:v>
                </c:pt>
              </c:numCache>
            </c:numRef>
          </c:yVal>
          <c:smooth val="0"/>
          <c:extLst>
            <c:ext xmlns:c16="http://schemas.microsoft.com/office/drawing/2014/chart" uri="{C3380CC4-5D6E-409C-BE32-E72D297353CC}">
              <c16:uniqueId val="{00000010-29BA-4375-87B9-513BA2304916}"/>
            </c:ext>
          </c:extLst>
        </c:ser>
        <c:ser>
          <c:idx val="4"/>
          <c:order val="4"/>
          <c:spPr>
            <a:ln w="28575">
              <a:noFill/>
            </a:ln>
          </c:spPr>
          <c:marker>
            <c:symbol val="triangle"/>
            <c:size val="7"/>
            <c:spPr>
              <a:solidFill>
                <a:srgbClr val="000000"/>
              </a:solidFill>
              <a:ln>
                <a:solidFill>
                  <a:srgbClr val="000000"/>
                </a:solidFill>
                <a:prstDash val="solid"/>
              </a:ln>
            </c:spPr>
          </c:marker>
          <c:errBars>
            <c:errDir val="y"/>
            <c:errBarType val="both"/>
            <c:errValType val="cust"/>
            <c:noEndCap val="0"/>
            <c:plus>
              <c:numRef>
                <c:f>'Compare A B'!$Y$7</c:f>
                <c:numCache>
                  <c:formatCode>General</c:formatCode>
                  <c:ptCount val="1"/>
                  <c:pt idx="0">
                    <c:v>26.178028162274902</c:v>
                  </c:pt>
                </c:numCache>
              </c:numRef>
            </c:plus>
            <c:minus>
              <c:numRef>
                <c:f>'Compare A B'!$Y$7</c:f>
                <c:numCache>
                  <c:formatCode>General</c:formatCode>
                  <c:ptCount val="1"/>
                  <c:pt idx="0">
                    <c:v>26.178028162274902</c:v>
                  </c:pt>
                </c:numCache>
              </c:numRef>
            </c:minus>
            <c:spPr>
              <a:ln w="12700">
                <a:solidFill>
                  <a:srgbClr val="000000"/>
                </a:solidFill>
                <a:prstDash val="solid"/>
              </a:ln>
            </c:spPr>
          </c:errBars>
          <c:xVal>
            <c:numRef>
              <c:f>'Compare A B'!$J$22</c:f>
              <c:numCache>
                <c:formatCode>General</c:formatCode>
                <c:ptCount val="1"/>
                <c:pt idx="0">
                  <c:v>#N/A</c:v>
                </c:pt>
              </c:numCache>
            </c:numRef>
          </c:xVal>
          <c:yVal>
            <c:numRef>
              <c:f>'Compare A B'!$I$22</c:f>
              <c:numCache>
                <c:formatCode>General</c:formatCode>
                <c:ptCount val="1"/>
                <c:pt idx="0">
                  <c:v>104</c:v>
                </c:pt>
              </c:numCache>
            </c:numRef>
          </c:yVal>
          <c:smooth val="0"/>
          <c:extLst>
            <c:ext xmlns:c16="http://schemas.microsoft.com/office/drawing/2014/chart" uri="{C3380CC4-5D6E-409C-BE32-E72D297353CC}">
              <c16:uniqueId val="{00000011-29BA-4375-87B9-513BA2304916}"/>
            </c:ext>
          </c:extLst>
        </c:ser>
        <c:ser>
          <c:idx val="5"/>
          <c:order val="5"/>
          <c:spPr>
            <a:ln w="28575">
              <a:noFill/>
            </a:ln>
          </c:spPr>
          <c:marker>
            <c:symbol val="none"/>
          </c:marker>
          <c:dLbls>
            <c:dLbl>
              <c:idx val="0"/>
              <c:layout/>
              <c:tx>
                <c:strRef>
                  <c:f>'Compare A B'!$M$32</c:f>
                  <c:strCache>
                    <c:ptCount val="1"/>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{531801B3-80CE-4E45-87A4-4A919B75010E}</c15:txfldGUID>
                      <c15:f>'Compare A B'!$M$32</c15:f>
                      <c15:dlblFieldTableCache>
                        <c:ptCount val="1"/>
                      </c15:dlblFieldTableCache>
                    </c15:dlblFTEntry>
                  </c15:dlblFieldTable>
                  <c15:showDataLabelsRange val="0"/>
                </c:ext>
                <c:ext xmlns:c16="http://schemas.microsoft.com/office/drawing/2014/chart" uri="{C3380CC4-5D6E-409C-BE32-E72D297353CC}">
                  <c16:uniqueId val="{00000012-29BA-4375-87B9-513BA2304916}"/>
                </c:ext>
              </c:extLst>
            </c:dLbl>
            <c:dLbl>
              <c:idx val="1"/>
              <c:layout/>
              <c:tx>
                <c:strRef>
                  <c:f>'Compare A B'!$N$32</c:f>
                  <c:strCache>
                    <c:ptCount val="1"/>
                  </c:strCache>
                </c:strRef>
              </c:tx>
              <c:dLblPos val="ctr"/>
              <c:showLegendKey val="0"/>
              <c:showVal val="0"/>
              <c:showCatName val="0"/>
              <c:showSerName val="0"/>
              <c:showPercent val="0"/>
              <c:showBubbleSize val="0"/>
              <c:extLst>
                <c:ext xmlns:c15="http://schemas.microsoft.com/office/drawing/2012/chart" uri="{CE6537A1-D6FC-4f65-9D91-7224C49458BB}">
                  <c15:layout/>
                  <c15:dlblFieldTable>
                    <c15:dlblFTEntry>
                      <c15:txfldGUID>{33170200-C5EE-494E-B5FA-6AA6990ED431}</c15:txfldGUID>
                      <c15:f>'Compare A B'!$N$32</c15:f>
                      <c15:dlblFieldTableCache>
                        <c:ptCount val="1"/>
                      </c15:dlblFieldTableCache>
                    </c15:dlblFTEntry>
                  </c15:dlblFieldTable>
                  <c15:showDataLabelsRange val="0"/>
                </c:ext>
                <c:ext xmlns:c16="http://schemas.microsoft.com/office/drawing/2014/chart" uri="{C3380CC4-5D6E-409C-BE32-E72D297353CC}">
                  <c16:uniqueId val="{00000013-29BA-4375-87B9-513BA2304916}"/>
                </c:ext>
              </c:extLst>
            </c:dLbl>
            <c:dLbl>
              <c:idx val="2"/>
              <c:delete val="1"/>
              <c:extLst>
                <c:ext xmlns:c15="http://schemas.microsoft.com/office/drawing/2012/chart" uri="{CE6537A1-D6FC-4f65-9D91-7224C49458BB}"/>
                <c:ext xmlns:c16="http://schemas.microsoft.com/office/drawing/2014/chart" uri="{C3380CC4-5D6E-409C-BE32-E72D297353CC}">
                  <c16:uniqueId val="{00000014-29BA-4375-87B9-513BA2304916}"/>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'Compare A B'!$M$20:$M$21</c:f>
              <c:numCache>
                <c:formatCode>General</c:formatCode>
                <c:ptCount val="2"/>
                <c:pt idx="0">
                  <c:v>2.5</c:v>
                </c:pt>
                <c:pt idx="1">
                  <c:v>2.8</c:v>
                </c:pt>
              </c:numCache>
            </c:numRef>
          </c:xVal>
          <c:yVal>
            <c:numRef>
              <c:f>'Compare A B'!$N$20:$N$21</c:f>
              <c:numCache>
                <c:formatCode>General</c:formatCode>
                <c:ptCount val="2"/>
                <c:pt idx="0">
                  <c:v>6</c:v>
                </c:pt>
                <c:pt idx="1">
                  <c:v>6</c:v>
                </c:pt>
              </c:numCache>
            </c:numRef>
          </c:yVal>
          <c:smooth val="0"/>
          <c:extLst>
            <c:ext xmlns:c16="http://schemas.microsoft.com/office/drawing/2014/chart" uri="{C3380CC4-5D6E-409C-BE32-E72D297353CC}">
              <c16:uniqueId val="{00000015-29BA-4375-87B9-513BA2304916}"/>
            </c:ext>
          </c:extLst>
        </c:ser>
        <c:dLbls>
          <c:showLegendKey val="0"/>
          <c:showVal val="0"/>
          <c:showCatName val="0"/>
          <c:showSerName val="0"/>
          <c:showPercent val="0"/>
          <c:showBubbleSize val="0"/>
        </c:dLbls>
        <c:axId val="186549376"/>
        <c:axId val="186550912"/>
      </c:scatterChart>
      <c:catAx>
        <c:axId val="186549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6550912"/>
        <c:crossesAt val="0"/>
        <c:auto val="1"/>
        <c:lblAlgn val="ctr"/>
        <c:lblOffset val="100"/>
        <c:tickLblSkip val="1"/>
        <c:tickMarkSkip val="1"/>
        <c:noMultiLvlLbl val="0"/>
      </c:catAx>
      <c:valAx>
        <c:axId val="186550912"/>
        <c:scaling>
          <c:orientation val="minMax"/>
          <c:max val="150"/>
          <c:min val="0"/>
        </c:scaling>
        <c:delete val="0"/>
        <c:axPos val="l"/>
        <c:title>
          <c:tx>
            <c:rich>
              <a:bodyPr/>
              <a:lstStyle/>
              <a:p>
                <a:pPr>
                  <a:defRPr sz="1200" b="0" i="0" u="none" strike="noStrike" baseline="0">
                    <a:solidFill>
                      <a:srgbClr val="000000"/>
                    </a:solidFill>
                    <a:latin typeface="Arial"/>
                    <a:ea typeface="Arial"/>
                    <a:cs typeface="Arial"/>
                  </a:defRPr>
                </a:pPr>
                <a:r>
                  <a:rPr lang="en-US"/>
                  <a:t>Dependent variable</a:t>
                </a:r>
              </a:p>
            </c:rich>
          </c:tx>
          <c:layout>
            <c:manualLayout>
              <c:xMode val="edge"/>
              <c:yMode val="edge"/>
              <c:x val="1.2315270935960592E-2"/>
              <c:y val="0.33481199550721347"/>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6549376"/>
        <c:crosses val="autoZero"/>
        <c:crossBetween val="between"/>
        <c:majorUnit val="20"/>
        <c:minorUnit val="1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63461538461539"/>
          <c:y val="3.2490974729241874E-2"/>
          <c:w val="0.84375"/>
          <c:h val="0.89530685920577613"/>
        </c:manualLayout>
      </c:layout>
      <c:lineChart>
        <c:grouping val="standard"/>
        <c:varyColors val="0"/>
        <c:ser>
          <c:idx val="0"/>
          <c:order val="0"/>
          <c:spPr>
            <a:ln w="28575">
              <a:noFill/>
            </a:ln>
          </c:spPr>
          <c:marker>
            <c:symbol val="circle"/>
            <c:size val="7"/>
            <c:spPr>
              <a:solidFill>
                <a:srgbClr val="000000"/>
              </a:solidFill>
              <a:ln>
                <a:solidFill>
                  <a:srgbClr val="000000"/>
                </a:solidFill>
                <a:prstDash val="solid"/>
              </a:ln>
            </c:spPr>
          </c:marker>
          <c:cat>
            <c:strRef>
              <c:f>'Data two'!$W$58:$Y$58</c:f>
              <c:strCache>
                <c:ptCount val="3"/>
                <c:pt idx="0">
                  <c:v>     Expt'l     </c:v>
                </c:pt>
                <c:pt idx="1">
                  <c:v>Control</c:v>
                </c:pt>
                <c:pt idx="2">
                  <c:v>Difference</c:v>
                </c:pt>
              </c:strCache>
            </c:strRef>
          </c:cat>
          <c:val>
            <c:numRef>
              <c:f>'Data two'!$W$59:$X$59</c:f>
              <c:numCache>
                <c:formatCode>General</c:formatCode>
                <c:ptCount val="2"/>
                <c:pt idx="0">
                  <c:v>47.769230769230766</c:v>
                </c:pt>
                <c:pt idx="1">
                  <c:v>60.222222222222221</c:v>
                </c:pt>
              </c:numCache>
            </c:numRef>
          </c:val>
          <c:smooth val="0"/>
          <c:extLst>
            <c:ext xmlns:c16="http://schemas.microsoft.com/office/drawing/2014/chart" uri="{C3380CC4-5D6E-409C-BE32-E72D297353CC}">
              <c16:uniqueId val="{00000000-49BA-483D-A539-97BECDB55E5F}"/>
            </c:ext>
          </c:extLst>
        </c:ser>
        <c:ser>
          <c:idx val="2"/>
          <c:order val="2"/>
          <c:spPr>
            <a:ln w="28575">
              <a:noFill/>
            </a:ln>
          </c:spPr>
          <c:marker>
            <c:symbol val="none"/>
          </c:marker>
          <c:errBars>
            <c:errDir val="y"/>
            <c:errBarType val="both"/>
            <c:errValType val="cust"/>
            <c:noEndCap val="0"/>
            <c:plus>
              <c:numRef>
                <c:f>'Data two'!$W$62:$X$62</c:f>
                <c:numCache>
                  <c:formatCode>General</c:formatCode>
                  <c:ptCount val="2"/>
                  <c:pt idx="0">
                    <c:v>8.8440295034382039</c:v>
                  </c:pt>
                  <c:pt idx="1">
                    <c:v>8.9623016913002527</c:v>
                  </c:pt>
                </c:numCache>
              </c:numRef>
            </c:plus>
            <c:minus>
              <c:numRef>
                <c:f>'Data two'!$W$62:$X$62</c:f>
                <c:numCache>
                  <c:formatCode>General</c:formatCode>
                  <c:ptCount val="2"/>
                  <c:pt idx="0">
                    <c:v>8.8440295034382039</c:v>
                  </c:pt>
                  <c:pt idx="1">
                    <c:v>8.9623016913002527</c:v>
                  </c:pt>
                </c:numCache>
              </c:numRef>
            </c:minus>
            <c:spPr>
              <a:ln w="25400">
                <a:solidFill>
                  <a:srgbClr val="000000"/>
                </a:solidFill>
                <a:prstDash val="solid"/>
              </a:ln>
            </c:spPr>
          </c:errBars>
          <c:cat>
            <c:strRef>
              <c:f>'Data two'!$W$58:$Y$58</c:f>
              <c:strCache>
                <c:ptCount val="3"/>
                <c:pt idx="0">
                  <c:v>     Expt'l     </c:v>
                </c:pt>
                <c:pt idx="1">
                  <c:v>Control</c:v>
                </c:pt>
                <c:pt idx="2">
                  <c:v>Difference</c:v>
                </c:pt>
              </c:strCache>
            </c:strRef>
          </c:cat>
          <c:val>
            <c:numRef>
              <c:f>'Data two'!$W$61:$X$61</c:f>
              <c:numCache>
                <c:formatCode>General</c:formatCode>
                <c:ptCount val="2"/>
                <c:pt idx="0">
                  <c:v>47.769230769230766</c:v>
                </c:pt>
                <c:pt idx="1">
                  <c:v>60.222222222222221</c:v>
                </c:pt>
              </c:numCache>
            </c:numRef>
          </c:val>
          <c:smooth val="0"/>
          <c:extLst>
            <c:ext xmlns:c16="http://schemas.microsoft.com/office/drawing/2014/chart" uri="{C3380CC4-5D6E-409C-BE32-E72D297353CC}">
              <c16:uniqueId val="{00000001-49BA-483D-A539-97BECDB55E5F}"/>
            </c:ext>
          </c:extLst>
        </c:ser>
        <c:ser>
          <c:idx val="3"/>
          <c:order val="3"/>
          <c:spPr>
            <a:ln w="28575">
              <a:noFill/>
            </a:ln>
          </c:spPr>
          <c:marker>
            <c:symbol val="none"/>
          </c:marker>
          <c:cat>
            <c:strRef>
              <c:f>'Data two'!$W$58:$Y$58</c:f>
              <c:strCache>
                <c:ptCount val="3"/>
                <c:pt idx="0">
                  <c:v>     Expt'l     </c:v>
                </c:pt>
                <c:pt idx="1">
                  <c:v>Control</c:v>
                </c:pt>
                <c:pt idx="2">
                  <c:v>Difference</c:v>
                </c:pt>
              </c:strCache>
            </c:strRef>
          </c:cat>
          <c:val>
            <c:numRef>
              <c:f>'Data two'!$W$65:$X$65</c:f>
              <c:numCache>
                <c:formatCode>0.00</c:formatCode>
                <c:ptCount val="2"/>
                <c:pt idx="0">
                  <c:v>77</c:v>
                </c:pt>
                <c:pt idx="1">
                  <c:v>77</c:v>
                </c:pt>
              </c:numCache>
            </c:numRef>
          </c:val>
          <c:smooth val="0"/>
          <c:extLst>
            <c:ext xmlns:c16="http://schemas.microsoft.com/office/drawing/2014/chart" uri="{C3380CC4-5D6E-409C-BE32-E72D297353CC}">
              <c16:uniqueId val="{00000002-49BA-483D-A539-97BECDB55E5F}"/>
            </c:ext>
          </c:extLst>
        </c:ser>
        <c:ser>
          <c:idx val="4"/>
          <c:order val="4"/>
          <c:spPr>
            <a:ln w="12700">
              <a:solidFill>
                <a:srgbClr val="808080"/>
              </a:solidFill>
              <a:prstDash val="solid"/>
            </a:ln>
          </c:spPr>
          <c:marker>
            <c:symbol val="none"/>
          </c:marker>
          <c:cat>
            <c:strRef>
              <c:f>'Data two'!$W$58:$Y$58</c:f>
              <c:strCache>
                <c:ptCount val="3"/>
                <c:pt idx="0">
                  <c:v>     Expt'l     </c:v>
                </c:pt>
                <c:pt idx="1">
                  <c:v>Control</c:v>
                </c:pt>
                <c:pt idx="2">
                  <c:v>Difference</c:v>
                </c:pt>
              </c:strCache>
            </c:strRef>
          </c:cat>
          <c:val>
            <c:numRef>
              <c:f>'Data two'!$W$63:$X$63</c:f>
              <c:numCache>
                <c:formatCode>General</c:formatCode>
                <c:ptCount val="2"/>
                <c:pt idx="0">
                  <c:v>#N/A</c:v>
                </c:pt>
                <c:pt idx="1">
                  <c:v>#N/A</c:v>
                </c:pt>
              </c:numCache>
            </c:numRef>
          </c:val>
          <c:smooth val="0"/>
          <c:extLst>
            <c:ext xmlns:c16="http://schemas.microsoft.com/office/drawing/2014/chart" uri="{C3380CC4-5D6E-409C-BE32-E72D297353CC}">
              <c16:uniqueId val="{00000003-49BA-483D-A539-97BECDB55E5F}"/>
            </c:ext>
          </c:extLst>
        </c:ser>
        <c:ser>
          <c:idx val="5"/>
          <c:order val="5"/>
          <c:spPr>
            <a:ln w="12700">
              <a:solidFill>
                <a:srgbClr val="808080"/>
              </a:solidFill>
              <a:prstDash val="solid"/>
            </a:ln>
          </c:spPr>
          <c:marker>
            <c:symbol val="none"/>
          </c:marker>
          <c:cat>
            <c:strRef>
              <c:f>'Data two'!$W$58:$Y$58</c:f>
              <c:strCache>
                <c:ptCount val="3"/>
                <c:pt idx="0">
                  <c:v>     Expt'l     </c:v>
                </c:pt>
                <c:pt idx="1">
                  <c:v>Control</c:v>
                </c:pt>
                <c:pt idx="2">
                  <c:v>Difference</c:v>
                </c:pt>
              </c:strCache>
            </c:strRef>
          </c:cat>
          <c:val>
            <c:numRef>
              <c:f>'Data two'!$W$64:$X$64</c:f>
              <c:numCache>
                <c:formatCode>General</c:formatCode>
                <c:ptCount val="2"/>
                <c:pt idx="0">
                  <c:v>#N/A</c:v>
                </c:pt>
                <c:pt idx="1">
                  <c:v>#N/A</c:v>
                </c:pt>
              </c:numCache>
            </c:numRef>
          </c:val>
          <c:smooth val="0"/>
          <c:extLst>
            <c:ext xmlns:c16="http://schemas.microsoft.com/office/drawing/2014/chart" uri="{C3380CC4-5D6E-409C-BE32-E72D297353CC}">
              <c16:uniqueId val="{00000004-49BA-483D-A539-97BECDB55E5F}"/>
            </c:ext>
          </c:extLst>
        </c:ser>
        <c:dLbls>
          <c:showLegendKey val="0"/>
          <c:showVal val="0"/>
          <c:showCatName val="0"/>
          <c:showSerName val="0"/>
          <c:showPercent val="0"/>
          <c:showBubbleSize val="0"/>
        </c:dLbls>
        <c:marker val="1"/>
        <c:smooth val="0"/>
        <c:axId val="187351424"/>
        <c:axId val="187352960"/>
      </c:lineChart>
      <c:scatterChart>
        <c:scatterStyle val="lineMarker"/>
        <c:varyColors val="0"/>
        <c:ser>
          <c:idx val="9"/>
          <c:order val="1"/>
          <c:spPr>
            <a:ln w="28575">
              <a:noFill/>
            </a:ln>
          </c:spPr>
          <c:marker>
            <c:symbol val="none"/>
          </c:marker>
          <c:xVal>
            <c:numRef>
              <c:f>'Data two'!$AB$54:$AB$56</c:f>
              <c:numCache>
                <c:formatCode>General</c:formatCode>
                <c:ptCount val="3"/>
                <c:pt idx="0">
                  <c:v>1</c:v>
                </c:pt>
                <c:pt idx="1">
                  <c:v>2</c:v>
                </c:pt>
                <c:pt idx="2">
                  <c:v>3</c:v>
                </c:pt>
              </c:numCache>
            </c:numRef>
          </c:xVal>
          <c:yVal>
            <c:numRef>
              <c:f>'Data two'!$AC$54:$AC$56</c:f>
              <c:numCache>
                <c:formatCode>General</c:formatCode>
                <c:ptCount val="3"/>
                <c:pt idx="0">
                  <c:v>29</c:v>
                </c:pt>
                <c:pt idx="1">
                  <c:v>29</c:v>
                </c:pt>
                <c:pt idx="2">
                  <c:v>29</c:v>
                </c:pt>
              </c:numCache>
            </c:numRef>
          </c:yVal>
          <c:smooth val="0"/>
          <c:extLst>
            <c:ext xmlns:c16="http://schemas.microsoft.com/office/drawing/2014/chart" uri="{C3380CC4-5D6E-409C-BE32-E72D297353CC}">
              <c16:uniqueId val="{00000005-49BA-483D-A539-97BECDB55E5F}"/>
            </c:ext>
          </c:extLst>
        </c:ser>
        <c:ser>
          <c:idx val="8"/>
          <c:order val="6"/>
          <c:spPr>
            <a:ln w="28575">
              <a:noFill/>
            </a:ln>
          </c:spPr>
          <c:marker>
            <c:symbol val="none"/>
          </c:marker>
          <c:xVal>
            <c:strRef>
              <c:f>'Data two'!$W$58:$X$58</c:f>
              <c:strCache>
                <c:ptCount val="2"/>
                <c:pt idx="0">
                  <c:v>     Expt'l     </c:v>
                </c:pt>
                <c:pt idx="1">
                  <c:v>Control</c:v>
                </c:pt>
              </c:strCache>
            </c:strRef>
          </c:xVal>
          <c:yVal>
            <c:numRef>
              <c:f>'Data two'!$W$66:$X$66</c:f>
              <c:numCache>
                <c:formatCode>General</c:formatCode>
                <c:ptCount val="2"/>
                <c:pt idx="0">
                  <c:v>29</c:v>
                </c:pt>
                <c:pt idx="1">
                  <c:v>29</c:v>
                </c:pt>
              </c:numCache>
            </c:numRef>
          </c:yVal>
          <c:smooth val="0"/>
          <c:extLst>
            <c:ext xmlns:c16="http://schemas.microsoft.com/office/drawing/2014/chart" uri="{C3380CC4-5D6E-409C-BE32-E72D297353CC}">
              <c16:uniqueId val="{00000006-49BA-483D-A539-97BECDB55E5F}"/>
            </c:ext>
          </c:extLst>
        </c:ser>
        <c:ser>
          <c:idx val="6"/>
          <c:order val="7"/>
          <c:spPr>
            <a:ln w="12700">
              <a:solidFill>
                <a:srgbClr val="000000"/>
              </a:solidFill>
              <a:prstDash val="solid"/>
            </a:ln>
          </c:spPr>
          <c:marker>
            <c:symbol val="dot"/>
            <c:size val="5"/>
            <c:spPr>
              <a:noFill/>
              <a:ln>
                <a:solidFill>
                  <a:srgbClr val="000000"/>
                </a:solidFill>
                <a:prstDash val="solid"/>
              </a:ln>
            </c:spPr>
          </c:marker>
          <c:dLbls>
            <c:dLbl>
              <c:idx val="0"/>
              <c:tx>
                <c:strRef>
                  <c:f>'Data two'!$AC$64</c:f>
                  <c:strCache>
                    <c:ptCount val="1"/>
                    <c:pt idx="0">
                      <c:v>50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{B291E3CC-87AC-4835-9500-47556AC99586}</c15:txfldGUID>
                      <c15:f>'Data two'!$AC$64</c15:f>
                      <c15:dlblFieldTableCache>
                        <c:ptCount val="1"/>
                        <c:pt idx="0">
                          <c:v>50</c:v>
                        </c:pt>
                      </c15:dlblFieldTableCache>
                    </c15:dlblFTEntry>
                  </c15:dlblFieldTable>
                  <c15:showDataLabelsRange val="0"/>
                </c:ext>
                <c:ext xmlns:c16="http://schemas.microsoft.com/office/drawing/2014/chart" uri="{C3380CC4-5D6E-409C-BE32-E72D297353CC}">
                  <c16:uniqueId val="{00000007-49BA-483D-A539-97BECDB55E5F}"/>
                </c:ext>
              </c:extLst>
            </c:dLbl>
            <c:dLbl>
              <c:idx val="1"/>
              <c:delete val="1"/>
              <c:extLst>
                <c:ext xmlns:c15="http://schemas.microsoft.com/office/drawing/2012/chart" uri="{CE6537A1-D6FC-4f65-9D91-7224C49458BB}"/>
                <c:ext xmlns:c16="http://schemas.microsoft.com/office/drawing/2014/chart" uri="{C3380CC4-5D6E-409C-BE32-E72D297353CC}">
                  <c16:uniqueId val="{00000008-49BA-483D-A539-97BECDB55E5F}"/>
                </c:ext>
              </c:extLst>
            </c:dLbl>
            <c:dLbl>
              <c:idx val="2"/>
              <c:tx>
                <c:strRef>
                  <c:f>'Data two'!$AC$66</c:f>
                  <c:strCache>
                    <c:ptCount val="1"/>
                    <c:pt idx="0">
                      <c:v>40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{38B0629C-1C5C-4CAD-8F3C-5D21527DFE63}</c15:txfldGUID>
                      <c15:f>'Data two'!$AC$66</c15:f>
                      <c15:dlblFieldTableCache>
                        <c:ptCount val="1"/>
                        <c:pt idx="0">
                          <c:v>40</c:v>
                        </c:pt>
                      </c15:dlblFieldTableCache>
                    </c15:dlblFTEntry>
                  </c15:dlblFieldTable>
                  <c15:showDataLabelsRange val="0"/>
                </c:ext>
                <c:ext xmlns:c16="http://schemas.microsoft.com/office/drawing/2014/chart" uri="{C3380CC4-5D6E-409C-BE32-E72D297353CC}">
                  <c16:uniqueId val="{00000009-49BA-483D-A539-97BECDB55E5F}"/>
                </c:ext>
              </c:extLst>
            </c:dLbl>
            <c:dLbl>
              <c:idx val="3"/>
              <c:delete val="1"/>
              <c:extLst>
                <c:ext xmlns:c15="http://schemas.microsoft.com/office/drawing/2012/chart" uri="{CE6537A1-D6FC-4f65-9D91-7224C49458BB}"/>
                <c:ext xmlns:c16="http://schemas.microsoft.com/office/drawing/2014/chart" uri="{C3380CC4-5D6E-409C-BE32-E72D297353CC}">
                  <c16:uniqueId val="{0000000A-49BA-483D-A539-97BECDB55E5F}"/>
                </c:ext>
              </c:extLst>
            </c:dLbl>
            <c:dLbl>
              <c:idx val="4"/>
              <c:tx>
                <c:strRef>
                  <c:f>'Data two'!$AC$68</c:f>
                  <c:strCache>
                    <c:ptCount val="1"/>
                    <c:pt idx="0">
                      <c:v>30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{772E480E-FF8D-4A77-A472-D43429D27F92}</c15:txfldGUID>
                      <c15:f>'Data two'!$AC$68</c15:f>
                      <c15:dlblFieldTableCache>
                        <c:ptCount val="1"/>
                        <c:pt idx="0">
                          <c:v>30</c:v>
                        </c:pt>
                      </c15:dlblFieldTableCache>
                    </c15:dlblFTEntry>
                  </c15:dlblFieldTable>
                  <c15:showDataLabelsRange val="0"/>
                </c:ext>
                <c:ext xmlns:c16="http://schemas.microsoft.com/office/drawing/2014/chart" uri="{C3380CC4-5D6E-409C-BE32-E72D297353CC}">
                  <c16:uniqueId val="{0000000B-49BA-483D-A539-97BECDB55E5F}"/>
                </c:ext>
              </c:extLst>
            </c:dLbl>
            <c:dLbl>
              <c:idx val="5"/>
              <c:delete val="1"/>
              <c:extLst>
                <c:ext xmlns:c15="http://schemas.microsoft.com/office/drawing/2012/chart" uri="{CE6537A1-D6FC-4f65-9D91-7224C49458BB}"/>
                <c:ext xmlns:c16="http://schemas.microsoft.com/office/drawing/2014/chart" uri="{C3380CC4-5D6E-409C-BE32-E72D297353CC}">
                  <c16:uniqueId val="{0000000C-49BA-483D-A539-97BECDB55E5F}"/>
                </c:ext>
              </c:extLst>
            </c:dLbl>
            <c:dLbl>
              <c:idx val="6"/>
              <c:tx>
                <c:strRef>
                  <c:f>'Data two'!$AC$70</c:f>
                  <c:strCache>
                    <c:ptCount val="1"/>
                    <c:pt idx="0">
                      <c:v>20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{7B551522-28FE-47A6-A0F1-80671D305A0B}</c15:txfldGUID>
                      <c15:f>'Data two'!$AC$70</c15:f>
                      <c15:dlblFieldTableCache>
                        <c:ptCount val="1"/>
                        <c:pt idx="0">
                          <c:v>20</c:v>
                        </c:pt>
                      </c15:dlblFieldTableCache>
                    </c15:dlblFTEntry>
                  </c15:dlblFieldTable>
                  <c15:showDataLabelsRange val="0"/>
                </c:ext>
                <c:ext xmlns:c16="http://schemas.microsoft.com/office/drawing/2014/chart" uri="{C3380CC4-5D6E-409C-BE32-E72D297353CC}">
                  <c16:uniqueId val="{0000000D-49BA-483D-A539-97BECDB55E5F}"/>
                </c:ext>
              </c:extLst>
            </c:dLbl>
            <c:dLbl>
              <c:idx val="7"/>
              <c:delete val="1"/>
              <c:extLst>
                <c:ext xmlns:c15="http://schemas.microsoft.com/office/drawing/2012/chart" uri="{CE6537A1-D6FC-4f65-9D91-7224C49458BB}"/>
                <c:ext xmlns:c16="http://schemas.microsoft.com/office/drawing/2014/chart" uri="{C3380CC4-5D6E-409C-BE32-E72D297353CC}">
                  <c16:uniqueId val="{0000000E-49BA-483D-A539-97BECDB55E5F}"/>
                </c:ext>
              </c:extLst>
            </c:dLbl>
            <c:dLbl>
              <c:idx val="8"/>
              <c:tx>
                <c:strRef>
                  <c:f>'Data two'!$AC$72</c:f>
                  <c:strCache>
                    <c:ptCount val="1"/>
                    <c:pt idx="0">
                      <c:v>10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{70C5DAC0-B36C-4E43-BCC9-90BF2D3945EB}</c15:txfldGUID>
                      <c15:f>'Data two'!$AC$72</c15:f>
                      <c15:dlblFieldTableCache>
                        <c:ptCount val="1"/>
                        <c:pt idx="0">
                          <c:v>10</c:v>
                        </c:pt>
                      </c15:dlblFieldTableCache>
                    </c15:dlblFTEntry>
                  </c15:dlblFieldTable>
                  <c15:showDataLabelsRange val="0"/>
                </c:ext>
                <c:ext xmlns:c16="http://schemas.microsoft.com/office/drawing/2014/chart" uri="{C3380CC4-5D6E-409C-BE32-E72D297353CC}">
                  <c16:uniqueId val="{0000000F-49BA-483D-A539-97BECDB55E5F}"/>
                </c:ext>
              </c:extLst>
            </c:dLbl>
            <c:dLbl>
              <c:idx val="9"/>
              <c:delete val="1"/>
              <c:extLst>
                <c:ext xmlns:c15="http://schemas.microsoft.com/office/drawing/2012/chart" uri="{CE6537A1-D6FC-4f65-9D91-7224C49458BB}"/>
                <c:ext xmlns:c16="http://schemas.microsoft.com/office/drawing/2014/chart" uri="{C3380CC4-5D6E-409C-BE32-E72D297353CC}">
                  <c16:uniqueId val="{00000010-49BA-483D-A539-97BECDB55E5F}"/>
                </c:ext>
              </c:extLst>
            </c:dLbl>
            <c:dLbl>
              <c:idx val="10"/>
              <c:tx>
                <c:strRef>
                  <c:f>'Data two'!$AC$74</c:f>
                  <c:strCache>
                    <c:ptCount val="1"/>
                    <c:pt idx="0">
                      <c:v>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{F1FDCBF5-C1A8-4984-8C68-4528A01EC490}</c15:txfldGUID>
                      <c15:f>'Data two'!$AC$74</c15:f>
                      <c15:dlblFieldTableCache>
                        <c:ptCount val="1"/>
                        <c:pt idx="0">
                          <c:v>0</c:v>
                        </c:pt>
                      </c15:dlblFieldTableCache>
                    </c15:dlblFTEntry>
                  </c15:dlblFieldTable>
                  <c15:showDataLabelsRange val="0"/>
                </c:ext>
                <c:ext xmlns:c16="http://schemas.microsoft.com/office/drawing/2014/chart" uri="{C3380CC4-5D6E-409C-BE32-E72D297353CC}">
                  <c16:uniqueId val="{00000011-49BA-483D-A539-97BECDB55E5F}"/>
                </c:ext>
              </c:extLst>
            </c:dLbl>
            <c:dLbl>
              <c:idx val="11"/>
              <c:delete val="1"/>
              <c:extLst>
                <c:ext xmlns:c15="http://schemas.microsoft.com/office/drawing/2012/chart" uri="{CE6537A1-D6FC-4f65-9D91-7224C49458BB}"/>
                <c:ext xmlns:c16="http://schemas.microsoft.com/office/drawing/2014/chart" uri="{C3380CC4-5D6E-409C-BE32-E72D297353CC}">
                  <c16:uniqueId val="{00000012-49BA-483D-A539-97BECDB55E5F}"/>
                </c:ext>
              </c:extLst>
            </c:dLbl>
            <c:dLbl>
              <c:idx val="12"/>
              <c:tx>
                <c:strRef>
                  <c:f>'Data two'!$AC$76</c:f>
                  <c:strCache>
                    <c:ptCount val="1"/>
                    <c:pt idx="0">
                      <c:v>-10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{D3BA4C40-963D-4E83-8C9B-92867C4A65EF}</c15:txfldGUID>
                      <c15:f>'Data two'!$AC$76</c15:f>
                      <c15:dlblFieldTableCache>
                        <c:ptCount val="1"/>
                        <c:pt idx="0">
                          <c:v>-10</c:v>
                        </c:pt>
                      </c15:dlblFieldTableCache>
                    </c15:dlblFTEntry>
                  </c15:dlblFieldTable>
                  <c15:showDataLabelsRange val="0"/>
                </c:ext>
                <c:ext xmlns:c16="http://schemas.microsoft.com/office/drawing/2014/chart" uri="{C3380CC4-5D6E-409C-BE32-E72D297353CC}">
                  <c16:uniqueId val="{00000013-49BA-483D-A539-97BECDB55E5F}"/>
                </c:ext>
              </c:extLst>
            </c:dLbl>
            <c:dLbl>
              <c:idx val="13"/>
              <c:delete val="1"/>
              <c:extLst>
                <c:ext xmlns:c15="http://schemas.microsoft.com/office/drawing/2012/chart" uri="{CE6537A1-D6FC-4f65-9D91-7224C49458BB}"/>
                <c:ext xmlns:c16="http://schemas.microsoft.com/office/drawing/2014/chart" uri="{C3380CC4-5D6E-409C-BE32-E72D297353CC}">
                  <c16:uniqueId val="{00000014-49BA-483D-A539-97BECDB55E5F}"/>
                </c:ext>
              </c:extLst>
            </c:dLbl>
            <c:dLbl>
              <c:idx val="14"/>
              <c:tx>
                <c:strRef>
                  <c:f>'Data two'!$AC$78</c:f>
                  <c:strCache>
                    <c:ptCount val="1"/>
                    <c:pt idx="0">
                      <c:v>-20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{9BBE6D88-6449-49CA-9390-FF37BD91B7EE}</c15:txfldGUID>
                      <c15:f>'Data two'!$AC$78</c15:f>
                      <c15:dlblFieldTableCache>
                        <c:ptCount val="1"/>
                        <c:pt idx="0">
                          <c:v>-20</c:v>
                        </c:pt>
                      </c15:dlblFieldTableCache>
                    </c15:dlblFTEntry>
                  </c15:dlblFieldTable>
                  <c15:showDataLabelsRange val="0"/>
                </c:ext>
                <c:ext xmlns:c16="http://schemas.microsoft.com/office/drawing/2014/chart" uri="{C3380CC4-5D6E-409C-BE32-E72D297353CC}">
                  <c16:uniqueId val="{00000015-49BA-483D-A539-97BECDB55E5F}"/>
                </c:ext>
              </c:extLst>
            </c:dLbl>
            <c:dLbl>
              <c:idx val="15"/>
              <c:delete val="1"/>
              <c:extLst>
                <c:ext xmlns:c15="http://schemas.microsoft.com/office/drawing/2012/chart" uri="{CE6537A1-D6FC-4f65-9D91-7224C49458BB}"/>
                <c:ext xmlns:c16="http://schemas.microsoft.com/office/drawing/2014/chart" uri="{C3380CC4-5D6E-409C-BE32-E72D297353CC}">
                  <c16:uniqueId val="{00000016-49BA-483D-A539-97BECDB55E5F}"/>
                </c:ext>
              </c:extLst>
            </c:dLbl>
            <c:dLbl>
              <c:idx val="16"/>
              <c:tx>
                <c:strRef>
                  <c:f>'Data two'!$AC$80</c:f>
                  <c:strCache>
                    <c:ptCount val="1"/>
                    <c:pt idx="0">
                      <c:v>-30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{6E81A2EF-5C03-48F8-BD2D-9CFB48B8DD25}</c15:txfldGUID>
                      <c15:f>'Data two'!$AC$80</c15:f>
                      <c15:dlblFieldTableCache>
                        <c:ptCount val="1"/>
                        <c:pt idx="0">
                          <c:v>-30</c:v>
                        </c:pt>
                      </c15:dlblFieldTableCache>
                    </c15:dlblFTEntry>
                  </c15:dlblFieldTable>
                  <c15:showDataLabelsRange val="0"/>
                </c:ext>
                <c:ext xmlns:c16="http://schemas.microsoft.com/office/drawing/2014/chart" uri="{C3380CC4-5D6E-409C-BE32-E72D297353CC}">
                  <c16:uniqueId val="{00000017-49BA-483D-A539-97BECDB55E5F}"/>
                </c:ext>
              </c:extLst>
            </c:dLbl>
            <c:dLbl>
              <c:idx val="17"/>
              <c:delete val="1"/>
              <c:extLst>
                <c:ext xmlns:c15="http://schemas.microsoft.com/office/drawing/2012/chart" uri="{CE6537A1-D6FC-4f65-9D91-7224C49458BB}"/>
                <c:ext xmlns:c16="http://schemas.microsoft.com/office/drawing/2014/chart" uri="{C3380CC4-5D6E-409C-BE32-E72D297353CC}">
                  <c16:uniqueId val="{00000018-49BA-483D-A539-97BECDB55E5F}"/>
                </c:ext>
              </c:extLst>
            </c:dLbl>
            <c:dLbl>
              <c:idx val="18"/>
              <c:tx>
                <c:strRef>
                  <c:f>'Data two'!$AC$82</c:f>
                  <c:strCache>
                    <c:ptCount val="1"/>
                    <c:pt idx="0">
                      <c:v>-40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{72FF2519-46B7-4E88-81F4-8FBD4B38BE2B}</c15:txfldGUID>
                      <c15:f>'Data two'!$AC$82</c15:f>
                      <c15:dlblFieldTableCache>
                        <c:ptCount val="1"/>
                        <c:pt idx="0">
                          <c:v>-40</c:v>
                        </c:pt>
                      </c15:dlblFieldTableCache>
                    </c15:dlblFTEntry>
                  </c15:dlblFieldTable>
                  <c15:showDataLabelsRange val="0"/>
                </c:ext>
                <c:ext xmlns:c16="http://schemas.microsoft.com/office/drawing/2014/chart" uri="{C3380CC4-5D6E-409C-BE32-E72D297353CC}">
                  <c16:uniqueId val="{00000019-49BA-483D-A539-97BECDB55E5F}"/>
                </c:ext>
              </c:extLst>
            </c:dLbl>
            <c:dLbl>
              <c:idx val="19"/>
              <c:delete val="1"/>
              <c:extLst>
                <c:ext xmlns:c15="http://schemas.microsoft.com/office/drawing/2012/chart" uri="{CE6537A1-D6FC-4f65-9D91-7224C49458BB}"/>
                <c:ext xmlns:c16="http://schemas.microsoft.com/office/drawing/2014/chart" uri="{C3380CC4-5D6E-409C-BE32-E72D297353CC}">
                  <c16:uniqueId val="{0000001A-49BA-483D-A539-97BECDB55E5F}"/>
                </c:ext>
              </c:extLst>
            </c:dLbl>
            <c:dLbl>
              <c:idx val="20"/>
              <c:tx>
                <c:strRef>
                  <c:f>'Data two'!$AC$84</c:f>
                  <c:strCache>
                    <c:ptCount val="1"/>
                    <c:pt idx="0">
                      <c:v>-50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{F72399AC-BF87-4A11-85D6-1E5C4E80DEB6}</c15:txfldGUID>
                      <c15:f>'Data two'!$AC$84</c15:f>
                      <c15:dlblFieldTableCache>
                        <c:ptCount val="1"/>
                        <c:pt idx="0">
                          <c:v>-50</c:v>
                        </c:pt>
                      </c15:dlblFieldTableCache>
                    </c15:dlblFTEntry>
                  </c15:dlblFieldTable>
                  <c15:showDataLabelsRange val="0"/>
                </c:ext>
                <c:ext xmlns:c16="http://schemas.microsoft.com/office/drawing/2014/chart" uri="{C3380CC4-5D6E-409C-BE32-E72D297353CC}">
                  <c16:uniqueId val="{0000001B-49BA-483D-A539-97BECDB55E5F}"/>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'Data two'!$AE$64:$AE$84</c:f>
              <c:numCache>
                <c:formatCode>General</c:formatCode>
                <c:ptCount val="21"/>
                <c:pt idx="0">
                  <c:v>3.1</c:v>
                </c:pt>
                <c:pt idx="1">
                  <c:v>3.1</c:v>
                </c:pt>
                <c:pt idx="2">
                  <c:v>3.1</c:v>
                </c:pt>
                <c:pt idx="3">
                  <c:v>3.1</c:v>
                </c:pt>
                <c:pt idx="4">
                  <c:v>3.1</c:v>
                </c:pt>
                <c:pt idx="5">
                  <c:v>3.1</c:v>
                </c:pt>
                <c:pt idx="6">
                  <c:v>3.1</c:v>
                </c:pt>
                <c:pt idx="7">
                  <c:v>3.1</c:v>
                </c:pt>
                <c:pt idx="8">
                  <c:v>3.1</c:v>
                </c:pt>
                <c:pt idx="9">
                  <c:v>3.1</c:v>
                </c:pt>
                <c:pt idx="10">
                  <c:v>3.1</c:v>
                </c:pt>
                <c:pt idx="11">
                  <c:v>3.1</c:v>
                </c:pt>
                <c:pt idx="12">
                  <c:v>3.1</c:v>
                </c:pt>
                <c:pt idx="13">
                  <c:v>3.1</c:v>
                </c:pt>
                <c:pt idx="14">
                  <c:v>3.1</c:v>
                </c:pt>
                <c:pt idx="15">
                  <c:v>3.1</c:v>
                </c:pt>
                <c:pt idx="16">
                  <c:v>3.1</c:v>
                </c:pt>
                <c:pt idx="17">
                  <c:v>3.1</c:v>
                </c:pt>
                <c:pt idx="18">
                  <c:v>3.1</c:v>
                </c:pt>
                <c:pt idx="19">
                  <c:v>3.1</c:v>
                </c:pt>
                <c:pt idx="20">
                  <c:v>3.1</c:v>
                </c:pt>
              </c:numCache>
            </c:numRef>
          </c:xVal>
          <c:yVal>
            <c:numRef>
              <c:f>'Data two'!$AF$64:$AF$84</c:f>
              <c:numCache>
                <c:formatCode>General</c:formatCode>
                <c:ptCount val="21"/>
                <c:pt idx="0">
                  <c:v>#N/A</c:v>
                </c:pt>
                <c:pt idx="1">
                  <c:v>#N/A</c:v>
                </c:pt>
                <c:pt idx="2">
                  <c:v>#N/A</c:v>
                </c:pt>
                <c:pt idx="3">
                  <c:v>#N/A</c:v>
                </c:pt>
                <c:pt idx="4">
                  <c:v>#N/A</c:v>
                </c:pt>
                <c:pt idx="5">
                  <c:v>72.769230769230774</c:v>
                </c:pt>
                <c:pt idx="6">
                  <c:v>67.769230769230774</c:v>
                </c:pt>
                <c:pt idx="7">
                  <c:v>62.769230769230766</c:v>
                </c:pt>
                <c:pt idx="8">
                  <c:v>57.769230769230766</c:v>
                </c:pt>
                <c:pt idx="9">
                  <c:v>52.769230769230766</c:v>
                </c:pt>
                <c:pt idx="10">
                  <c:v>47.769230769230766</c:v>
                </c:pt>
                <c:pt idx="11">
                  <c:v>42.769230769230766</c:v>
                </c:pt>
                <c:pt idx="12">
                  <c:v>37.769230769230766</c:v>
                </c:pt>
                <c:pt idx="13">
                  <c:v>32.769230769230766</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C-49BA-483D-A539-97BECDB55E5F}"/>
            </c:ext>
          </c:extLst>
        </c:ser>
        <c:ser>
          <c:idx val="7"/>
          <c:order val="8"/>
          <c:spPr>
            <a:ln w="3175">
              <a:solidFill>
                <a:srgbClr val="000000"/>
              </a:solidFill>
              <a:prstDash val="sysDash"/>
            </a:ln>
          </c:spPr>
          <c:marker>
            <c:symbol val="none"/>
          </c:marker>
          <c:xVal>
            <c:numRef>
              <c:f>'Data two'!$AE$54:$AE$55</c:f>
              <c:numCache>
                <c:formatCode>General</c:formatCode>
                <c:ptCount val="2"/>
                <c:pt idx="0">
                  <c:v>1</c:v>
                </c:pt>
                <c:pt idx="1">
                  <c:v>3.1</c:v>
                </c:pt>
              </c:numCache>
            </c:numRef>
          </c:xVal>
          <c:yVal>
            <c:numRef>
              <c:f>'Data two'!$AF$54:$AF$55</c:f>
              <c:numCache>
                <c:formatCode>General</c:formatCode>
                <c:ptCount val="2"/>
                <c:pt idx="0">
                  <c:v>47.769230769230766</c:v>
                </c:pt>
                <c:pt idx="1">
                  <c:v>47.769230769230766</c:v>
                </c:pt>
              </c:numCache>
            </c:numRef>
          </c:yVal>
          <c:smooth val="0"/>
          <c:extLst>
            <c:ext xmlns:c16="http://schemas.microsoft.com/office/drawing/2014/chart" uri="{C3380CC4-5D6E-409C-BE32-E72D297353CC}">
              <c16:uniqueId val="{0000001D-49BA-483D-A539-97BECDB55E5F}"/>
            </c:ext>
          </c:extLst>
        </c:ser>
        <c:ser>
          <c:idx val="10"/>
          <c:order val="9"/>
          <c:spPr>
            <a:ln w="3175">
              <a:solidFill>
                <a:srgbClr val="000000"/>
              </a:solidFill>
              <a:prstDash val="sysDash"/>
            </a:ln>
          </c:spPr>
          <c:marker>
            <c:symbol val="none"/>
          </c:marker>
          <c:xVal>
            <c:numRef>
              <c:f>'Data two'!$AE$56:$AE$57</c:f>
              <c:numCache>
                <c:formatCode>General</c:formatCode>
                <c:ptCount val="2"/>
                <c:pt idx="0">
                  <c:v>2</c:v>
                </c:pt>
                <c:pt idx="1">
                  <c:v>3.1</c:v>
                </c:pt>
              </c:numCache>
            </c:numRef>
          </c:xVal>
          <c:yVal>
            <c:numRef>
              <c:f>'Data two'!$AF$56:$AF$57</c:f>
              <c:numCache>
                <c:formatCode>General</c:formatCode>
                <c:ptCount val="2"/>
                <c:pt idx="0">
                  <c:v>60.222222222222221</c:v>
                </c:pt>
                <c:pt idx="1">
                  <c:v>60.222222222222221</c:v>
                </c:pt>
              </c:numCache>
            </c:numRef>
          </c:yVal>
          <c:smooth val="0"/>
          <c:extLst>
            <c:ext xmlns:c16="http://schemas.microsoft.com/office/drawing/2014/chart" uri="{C3380CC4-5D6E-409C-BE32-E72D297353CC}">
              <c16:uniqueId val="{0000001E-49BA-483D-A539-97BECDB55E5F}"/>
            </c:ext>
          </c:extLst>
        </c:ser>
        <c:ser>
          <c:idx val="11"/>
          <c:order val="10"/>
          <c:spPr>
            <a:ln w="12700">
              <a:solidFill>
                <a:srgbClr val="FFFF99"/>
              </a:solidFill>
              <a:prstDash val="solid"/>
            </a:ln>
          </c:spPr>
          <c:marker>
            <c:symbol val="triangle"/>
            <c:size val="7"/>
            <c:spPr>
              <a:solidFill>
                <a:srgbClr val="000000"/>
              </a:solidFill>
              <a:ln>
                <a:solidFill>
                  <a:srgbClr val="000000"/>
                </a:solidFill>
                <a:prstDash val="solid"/>
              </a:ln>
            </c:spPr>
          </c:marker>
          <c:errBars>
            <c:errDir val="y"/>
            <c:errBarType val="both"/>
            <c:errValType val="cust"/>
            <c:noEndCap val="0"/>
            <c:plus>
              <c:numRef>
                <c:f>'Data two'!$AG$59</c:f>
                <c:numCache>
                  <c:formatCode>General</c:formatCode>
                  <c:ptCount val="1"/>
                  <c:pt idx="0">
                    <c:v>12.23274261924082</c:v>
                  </c:pt>
                </c:numCache>
              </c:numRef>
            </c:plus>
            <c:minus>
              <c:numRef>
                <c:f>'Data two'!$AG$59</c:f>
                <c:numCache>
                  <c:formatCode>General</c:formatCode>
                  <c:ptCount val="1"/>
                  <c:pt idx="0">
                    <c:v>12.23274261924082</c:v>
                  </c:pt>
                </c:numCache>
              </c:numRef>
            </c:minus>
            <c:spPr>
              <a:ln w="25400">
                <a:solidFill>
                  <a:srgbClr val="000000"/>
                </a:solidFill>
                <a:prstDash val="solid"/>
              </a:ln>
            </c:spPr>
          </c:errBars>
          <c:xVal>
            <c:numRef>
              <c:f>'Data two'!$AE$59</c:f>
              <c:numCache>
                <c:formatCode>General</c:formatCode>
                <c:ptCount val="1"/>
                <c:pt idx="0">
                  <c:v>2.7</c:v>
                </c:pt>
              </c:numCache>
            </c:numRef>
          </c:xVal>
          <c:yVal>
            <c:numRef>
              <c:f>'Data two'!$AF$59</c:f>
              <c:numCache>
                <c:formatCode>General</c:formatCode>
                <c:ptCount val="1"/>
                <c:pt idx="0">
                  <c:v>60.222222222222221</c:v>
                </c:pt>
              </c:numCache>
            </c:numRef>
          </c:yVal>
          <c:smooth val="0"/>
          <c:extLst>
            <c:ext xmlns:c16="http://schemas.microsoft.com/office/drawing/2014/chart" uri="{C3380CC4-5D6E-409C-BE32-E72D297353CC}">
              <c16:uniqueId val="{0000001F-49BA-483D-A539-97BECDB55E5F}"/>
            </c:ext>
          </c:extLst>
        </c:ser>
        <c:dLbls>
          <c:showLegendKey val="0"/>
          <c:showVal val="0"/>
          <c:showCatName val="0"/>
          <c:showSerName val="0"/>
          <c:showPercent val="0"/>
          <c:showBubbleSize val="0"/>
        </c:dLbls>
        <c:axId val="187351424"/>
        <c:axId val="187352960"/>
      </c:scatterChart>
      <c:catAx>
        <c:axId val="187351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7352960"/>
        <c:crossesAt val="0"/>
        <c:auto val="1"/>
        <c:lblAlgn val="ctr"/>
        <c:lblOffset val="100"/>
        <c:tickLblSkip val="1"/>
        <c:tickMarkSkip val="1"/>
        <c:noMultiLvlLbl val="0"/>
      </c:catAx>
      <c:valAx>
        <c:axId val="187352960"/>
        <c:scaling>
          <c:orientation val="minMax"/>
        </c:scaling>
        <c:delete val="0"/>
        <c:axPos val="l"/>
        <c:title>
          <c:tx>
            <c:strRef>
              <c:f>'Data two'!$W$69</c:f>
              <c:strCache>
                <c:ptCount val="1"/>
                <c:pt idx="0">
                  <c:v>Dependent variable (cm).</c:v>
                </c:pt>
              </c:strCache>
            </c:strRef>
          </c:tx>
          <c:layout>
            <c:manualLayout>
              <c:xMode val="edge"/>
              <c:yMode val="edge"/>
              <c:x val="1.201923076923077E-2"/>
              <c:y val="0.3158844765342960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7351424"/>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750054495833612"/>
          <c:y val="3.2490974729241874E-2"/>
          <c:w val="0.80059756498083201"/>
          <c:h val="0.89530685920577613"/>
        </c:manualLayout>
      </c:layout>
      <c:lineChart>
        <c:grouping val="standard"/>
        <c:varyColors val="0"/>
        <c:ser>
          <c:idx val="0"/>
          <c:order val="0"/>
          <c:spPr>
            <a:ln w="28575">
              <a:noFill/>
            </a:ln>
          </c:spPr>
          <c:marker>
            <c:symbol val="circle"/>
            <c:size val="7"/>
            <c:spPr>
              <a:solidFill>
                <a:srgbClr val="000000"/>
              </a:solidFill>
              <a:ln>
                <a:solidFill>
                  <a:srgbClr val="000000"/>
                </a:solidFill>
                <a:prstDash val="solid"/>
              </a:ln>
            </c:spPr>
          </c:marker>
          <c:cat>
            <c:strRef>
              <c:f>'Data two'!$W$58:$X$58</c:f>
              <c:strCache>
                <c:ptCount val="2"/>
                <c:pt idx="0">
                  <c:v>     Expt'l     </c:v>
                </c:pt>
                <c:pt idx="1">
                  <c:v>Control</c:v>
                </c:pt>
              </c:strCache>
            </c:strRef>
          </c:cat>
          <c:val>
            <c:numRef>
              <c:f>'Data two'!$W$59:$X$59</c:f>
              <c:numCache>
                <c:formatCode>General</c:formatCode>
                <c:ptCount val="2"/>
                <c:pt idx="0">
                  <c:v>47.769230769230766</c:v>
                </c:pt>
                <c:pt idx="1">
                  <c:v>60.222222222222221</c:v>
                </c:pt>
              </c:numCache>
            </c:numRef>
          </c:val>
          <c:smooth val="0"/>
          <c:extLst>
            <c:ext xmlns:c16="http://schemas.microsoft.com/office/drawing/2014/chart" uri="{C3380CC4-5D6E-409C-BE32-E72D297353CC}">
              <c16:uniqueId val="{00000000-20B5-4225-B665-A487FE8B3865}"/>
            </c:ext>
          </c:extLst>
        </c:ser>
        <c:ser>
          <c:idx val="2"/>
          <c:order val="1"/>
          <c:spPr>
            <a:ln w="28575">
              <a:noFill/>
            </a:ln>
          </c:spPr>
          <c:marker>
            <c:symbol val="none"/>
          </c:marker>
          <c:errBars>
            <c:errDir val="y"/>
            <c:errBarType val="both"/>
            <c:errValType val="cust"/>
            <c:noEndCap val="0"/>
            <c:plus>
              <c:numRef>
                <c:f>'Data two'!$W$62:$X$62</c:f>
                <c:numCache>
                  <c:formatCode>General</c:formatCode>
                  <c:ptCount val="2"/>
                  <c:pt idx="0">
                    <c:v>8.8440295034382039</c:v>
                  </c:pt>
                  <c:pt idx="1">
                    <c:v>8.9623016913002527</c:v>
                  </c:pt>
                </c:numCache>
              </c:numRef>
            </c:plus>
            <c:minus>
              <c:numRef>
                <c:f>'Data two'!$W$62:$X$62</c:f>
                <c:numCache>
                  <c:formatCode>General</c:formatCode>
                  <c:ptCount val="2"/>
                  <c:pt idx="0">
                    <c:v>8.8440295034382039</c:v>
                  </c:pt>
                  <c:pt idx="1">
                    <c:v>8.9623016913002527</c:v>
                  </c:pt>
                </c:numCache>
              </c:numRef>
            </c:minus>
            <c:spPr>
              <a:ln w="25400">
                <a:solidFill>
                  <a:srgbClr val="000000"/>
                </a:solidFill>
                <a:prstDash val="solid"/>
              </a:ln>
            </c:spPr>
          </c:errBars>
          <c:cat>
            <c:strRef>
              <c:f>'Data two'!$W$58:$X$58</c:f>
              <c:strCache>
                <c:ptCount val="2"/>
                <c:pt idx="0">
                  <c:v>     Expt'l     </c:v>
                </c:pt>
                <c:pt idx="1">
                  <c:v>Control</c:v>
                </c:pt>
              </c:strCache>
            </c:strRef>
          </c:cat>
          <c:val>
            <c:numRef>
              <c:f>'Data two'!$W$61:$X$61</c:f>
              <c:numCache>
                <c:formatCode>General</c:formatCode>
                <c:ptCount val="2"/>
                <c:pt idx="0">
                  <c:v>47.769230769230766</c:v>
                </c:pt>
                <c:pt idx="1">
                  <c:v>60.222222222222221</c:v>
                </c:pt>
              </c:numCache>
            </c:numRef>
          </c:val>
          <c:smooth val="0"/>
          <c:extLst>
            <c:ext xmlns:c16="http://schemas.microsoft.com/office/drawing/2014/chart" uri="{C3380CC4-5D6E-409C-BE32-E72D297353CC}">
              <c16:uniqueId val="{00000001-20B5-4225-B665-A487FE8B3865}"/>
            </c:ext>
          </c:extLst>
        </c:ser>
        <c:ser>
          <c:idx val="3"/>
          <c:order val="2"/>
          <c:spPr>
            <a:ln w="28575">
              <a:noFill/>
            </a:ln>
          </c:spPr>
          <c:marker>
            <c:symbol val="none"/>
          </c:marker>
          <c:cat>
            <c:strRef>
              <c:f>'Data two'!$W$58:$X$58</c:f>
              <c:strCache>
                <c:ptCount val="2"/>
                <c:pt idx="0">
                  <c:v>     Expt'l     </c:v>
                </c:pt>
                <c:pt idx="1">
                  <c:v>Control</c:v>
                </c:pt>
              </c:strCache>
            </c:strRef>
          </c:cat>
          <c:val>
            <c:numRef>
              <c:f>'Data two'!$W$65:$X$65</c:f>
              <c:numCache>
                <c:formatCode>0.00</c:formatCode>
                <c:ptCount val="2"/>
                <c:pt idx="0">
                  <c:v>77</c:v>
                </c:pt>
                <c:pt idx="1">
                  <c:v>77</c:v>
                </c:pt>
              </c:numCache>
            </c:numRef>
          </c:val>
          <c:smooth val="0"/>
          <c:extLst>
            <c:ext xmlns:c16="http://schemas.microsoft.com/office/drawing/2014/chart" uri="{C3380CC4-5D6E-409C-BE32-E72D297353CC}">
              <c16:uniqueId val="{00000002-20B5-4225-B665-A487FE8B3865}"/>
            </c:ext>
          </c:extLst>
        </c:ser>
        <c:ser>
          <c:idx val="4"/>
          <c:order val="3"/>
          <c:spPr>
            <a:ln w="12700">
              <a:solidFill>
                <a:srgbClr val="808080"/>
              </a:solidFill>
              <a:prstDash val="solid"/>
            </a:ln>
          </c:spPr>
          <c:marker>
            <c:symbol val="none"/>
          </c:marker>
          <c:cat>
            <c:strRef>
              <c:f>'Data two'!$W$58:$X$58</c:f>
              <c:strCache>
                <c:ptCount val="2"/>
                <c:pt idx="0">
                  <c:v>     Expt'l     </c:v>
                </c:pt>
                <c:pt idx="1">
                  <c:v>Control</c:v>
                </c:pt>
              </c:strCache>
            </c:strRef>
          </c:cat>
          <c:val>
            <c:numRef>
              <c:f>'Data two'!$W$63:$X$63</c:f>
              <c:numCache>
                <c:formatCode>General</c:formatCode>
                <c:ptCount val="2"/>
                <c:pt idx="0">
                  <c:v>#N/A</c:v>
                </c:pt>
                <c:pt idx="1">
                  <c:v>#N/A</c:v>
                </c:pt>
              </c:numCache>
            </c:numRef>
          </c:val>
          <c:smooth val="0"/>
          <c:extLst>
            <c:ext xmlns:c16="http://schemas.microsoft.com/office/drawing/2014/chart" uri="{C3380CC4-5D6E-409C-BE32-E72D297353CC}">
              <c16:uniqueId val="{00000003-20B5-4225-B665-A487FE8B3865}"/>
            </c:ext>
          </c:extLst>
        </c:ser>
        <c:ser>
          <c:idx val="5"/>
          <c:order val="4"/>
          <c:spPr>
            <a:ln w="12700">
              <a:solidFill>
                <a:srgbClr val="808080"/>
              </a:solidFill>
              <a:prstDash val="solid"/>
            </a:ln>
          </c:spPr>
          <c:marker>
            <c:symbol val="none"/>
          </c:marker>
          <c:cat>
            <c:strRef>
              <c:f>'Data two'!$W$58:$X$58</c:f>
              <c:strCache>
                <c:ptCount val="2"/>
                <c:pt idx="0">
                  <c:v>     Expt'l     </c:v>
                </c:pt>
                <c:pt idx="1">
                  <c:v>Control</c:v>
                </c:pt>
              </c:strCache>
            </c:strRef>
          </c:cat>
          <c:val>
            <c:numRef>
              <c:f>'Data two'!$W$64:$X$64</c:f>
              <c:numCache>
                <c:formatCode>General</c:formatCode>
                <c:ptCount val="2"/>
                <c:pt idx="0">
                  <c:v>#N/A</c:v>
                </c:pt>
                <c:pt idx="1">
                  <c:v>#N/A</c:v>
                </c:pt>
              </c:numCache>
            </c:numRef>
          </c:val>
          <c:smooth val="0"/>
          <c:extLst>
            <c:ext xmlns:c16="http://schemas.microsoft.com/office/drawing/2014/chart" uri="{C3380CC4-5D6E-409C-BE32-E72D297353CC}">
              <c16:uniqueId val="{00000004-20B5-4225-B665-A487FE8B3865}"/>
            </c:ext>
          </c:extLst>
        </c:ser>
        <c:dLbls>
          <c:showLegendKey val="0"/>
          <c:showVal val="0"/>
          <c:showCatName val="0"/>
          <c:showSerName val="0"/>
          <c:showPercent val="0"/>
          <c:showBubbleSize val="0"/>
        </c:dLbls>
        <c:marker val="1"/>
        <c:smooth val="0"/>
        <c:axId val="190214144"/>
        <c:axId val="190215680"/>
      </c:lineChart>
      <c:scatterChart>
        <c:scatterStyle val="lineMarker"/>
        <c:varyColors val="0"/>
        <c:ser>
          <c:idx val="6"/>
          <c:order val="5"/>
          <c:spPr>
            <a:ln w="28575">
              <a:noFill/>
            </a:ln>
          </c:spPr>
          <c:marker>
            <c:symbol val="circle"/>
            <c:size val="6"/>
            <c:spPr>
              <a:noFill/>
              <a:ln>
                <a:solidFill>
                  <a:srgbClr val="0000FF"/>
                </a:solidFill>
                <a:prstDash val="solid"/>
              </a:ln>
            </c:spPr>
          </c:marker>
          <c:xVal>
            <c:numRef>
              <c:f>'Data two'!$M$53:$M$152</c:f>
              <c:numCache>
                <c:formatCode>General</c:formatCode>
                <c:ptCount val="100"/>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pt idx="41">
                  <c:v>0.8</c:v>
                </c:pt>
                <c:pt idx="42">
                  <c:v>0.8</c:v>
                </c:pt>
                <c:pt idx="43">
                  <c:v>0.8</c:v>
                </c:pt>
                <c:pt idx="44">
                  <c:v>0.8</c:v>
                </c:pt>
                <c:pt idx="45">
                  <c:v>0.8</c:v>
                </c:pt>
                <c:pt idx="46">
                  <c:v>0.8</c:v>
                </c:pt>
                <c:pt idx="47">
                  <c:v>0.8</c:v>
                </c:pt>
                <c:pt idx="48">
                  <c:v>0.8</c:v>
                </c:pt>
                <c:pt idx="49">
                  <c:v>0.8</c:v>
                </c:pt>
                <c:pt idx="50">
                  <c:v>0.8</c:v>
                </c:pt>
                <c:pt idx="51">
                  <c:v>0.8</c:v>
                </c:pt>
                <c:pt idx="52">
                  <c:v>0.8</c:v>
                </c:pt>
                <c:pt idx="53">
                  <c:v>0.8</c:v>
                </c:pt>
                <c:pt idx="54">
                  <c:v>0.8</c:v>
                </c:pt>
                <c:pt idx="55">
                  <c:v>0.8</c:v>
                </c:pt>
                <c:pt idx="56">
                  <c:v>0.8</c:v>
                </c:pt>
                <c:pt idx="57">
                  <c:v>0.8</c:v>
                </c:pt>
                <c:pt idx="58">
                  <c:v>0.8</c:v>
                </c:pt>
                <c:pt idx="59">
                  <c:v>0.8</c:v>
                </c:pt>
                <c:pt idx="60">
                  <c:v>0.8</c:v>
                </c:pt>
                <c:pt idx="61">
                  <c:v>0.8</c:v>
                </c:pt>
                <c:pt idx="62">
                  <c:v>0.8</c:v>
                </c:pt>
                <c:pt idx="63">
                  <c:v>0.8</c:v>
                </c:pt>
                <c:pt idx="64">
                  <c:v>0.8</c:v>
                </c:pt>
                <c:pt idx="65">
                  <c:v>0.8</c:v>
                </c:pt>
                <c:pt idx="66">
                  <c:v>0.8</c:v>
                </c:pt>
                <c:pt idx="67">
                  <c:v>0.8</c:v>
                </c:pt>
                <c:pt idx="68">
                  <c:v>0.8</c:v>
                </c:pt>
                <c:pt idx="69">
                  <c:v>0.8</c:v>
                </c:pt>
                <c:pt idx="70">
                  <c:v>0.8</c:v>
                </c:pt>
                <c:pt idx="71">
                  <c:v>0.8</c:v>
                </c:pt>
                <c:pt idx="72">
                  <c:v>0.8</c:v>
                </c:pt>
                <c:pt idx="73">
                  <c:v>0.8</c:v>
                </c:pt>
                <c:pt idx="74">
                  <c:v>0.8</c:v>
                </c:pt>
                <c:pt idx="75">
                  <c:v>0.8</c:v>
                </c:pt>
                <c:pt idx="76">
                  <c:v>0.8</c:v>
                </c:pt>
                <c:pt idx="77">
                  <c:v>0.8</c:v>
                </c:pt>
                <c:pt idx="78">
                  <c:v>0.8</c:v>
                </c:pt>
                <c:pt idx="79">
                  <c:v>0.8</c:v>
                </c:pt>
                <c:pt idx="80">
                  <c:v>0.8</c:v>
                </c:pt>
                <c:pt idx="81">
                  <c:v>0.8</c:v>
                </c:pt>
                <c:pt idx="82">
                  <c:v>0.8</c:v>
                </c:pt>
                <c:pt idx="83">
                  <c:v>0.8</c:v>
                </c:pt>
                <c:pt idx="84">
                  <c:v>0.8</c:v>
                </c:pt>
                <c:pt idx="85">
                  <c:v>0.8</c:v>
                </c:pt>
                <c:pt idx="86">
                  <c:v>0.8</c:v>
                </c:pt>
                <c:pt idx="87">
                  <c:v>0.8</c:v>
                </c:pt>
                <c:pt idx="88">
                  <c:v>0.8</c:v>
                </c:pt>
                <c:pt idx="89">
                  <c:v>0.8</c:v>
                </c:pt>
                <c:pt idx="90">
                  <c:v>0.8</c:v>
                </c:pt>
                <c:pt idx="91">
                  <c:v>0.8</c:v>
                </c:pt>
                <c:pt idx="92">
                  <c:v>0.8</c:v>
                </c:pt>
                <c:pt idx="93">
                  <c:v>0.8</c:v>
                </c:pt>
                <c:pt idx="94">
                  <c:v>0.8</c:v>
                </c:pt>
                <c:pt idx="95">
                  <c:v>0.8</c:v>
                </c:pt>
                <c:pt idx="96">
                  <c:v>0.8</c:v>
                </c:pt>
                <c:pt idx="97">
                  <c:v>0.8</c:v>
                </c:pt>
                <c:pt idx="98">
                  <c:v>0.8</c:v>
                </c:pt>
                <c:pt idx="99">
                  <c:v>0.8</c:v>
                </c:pt>
              </c:numCache>
            </c:numRef>
          </c:xVal>
          <c:yVal>
            <c:numRef>
              <c:f>'Data two'!$N$53:$N$152</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5-20B5-4225-B665-A487FE8B3865}"/>
            </c:ext>
          </c:extLst>
        </c:ser>
        <c:ser>
          <c:idx val="7"/>
          <c:order val="6"/>
          <c:spPr>
            <a:ln w="28575">
              <a:noFill/>
            </a:ln>
          </c:spPr>
          <c:marker>
            <c:symbol val="circle"/>
            <c:size val="6"/>
            <c:spPr>
              <a:noFill/>
              <a:ln>
                <a:solidFill>
                  <a:srgbClr val="0000FF"/>
                </a:solidFill>
                <a:prstDash val="solid"/>
              </a:ln>
            </c:spPr>
          </c:marker>
          <c:xVal>
            <c:numRef>
              <c:f>'Data two'!$O$53:$O$152</c:f>
              <c:numCache>
                <c:formatCode>General</c:formatCode>
                <c:ptCount val="100"/>
                <c:pt idx="0">
                  <c:v>2.2000000000000002</c:v>
                </c:pt>
                <c:pt idx="1">
                  <c:v>2.2000000000000002</c:v>
                </c:pt>
                <c:pt idx="2">
                  <c:v>2.2000000000000002</c:v>
                </c:pt>
                <c:pt idx="3">
                  <c:v>2.2000000000000002</c:v>
                </c:pt>
                <c:pt idx="4">
                  <c:v>2.2000000000000002</c:v>
                </c:pt>
                <c:pt idx="5">
                  <c:v>2.2000000000000002</c:v>
                </c:pt>
                <c:pt idx="6">
                  <c:v>2.2000000000000002</c:v>
                </c:pt>
                <c:pt idx="7">
                  <c:v>2.2000000000000002</c:v>
                </c:pt>
                <c:pt idx="8">
                  <c:v>2.2000000000000002</c:v>
                </c:pt>
                <c:pt idx="9">
                  <c:v>2.2000000000000002</c:v>
                </c:pt>
                <c:pt idx="10">
                  <c:v>2.2000000000000002</c:v>
                </c:pt>
                <c:pt idx="11">
                  <c:v>2.2000000000000002</c:v>
                </c:pt>
                <c:pt idx="12">
                  <c:v>2.2000000000000002</c:v>
                </c:pt>
                <c:pt idx="13">
                  <c:v>2.2000000000000002</c:v>
                </c:pt>
                <c:pt idx="14">
                  <c:v>2.2000000000000002</c:v>
                </c:pt>
                <c:pt idx="15">
                  <c:v>2.2000000000000002</c:v>
                </c:pt>
                <c:pt idx="16">
                  <c:v>2.2000000000000002</c:v>
                </c:pt>
                <c:pt idx="17">
                  <c:v>2.2000000000000002</c:v>
                </c:pt>
                <c:pt idx="18">
                  <c:v>2.2000000000000002</c:v>
                </c:pt>
                <c:pt idx="19">
                  <c:v>2.2000000000000002</c:v>
                </c:pt>
                <c:pt idx="20">
                  <c:v>2.2000000000000002</c:v>
                </c:pt>
                <c:pt idx="21">
                  <c:v>2.2000000000000002</c:v>
                </c:pt>
                <c:pt idx="22">
                  <c:v>2.2000000000000002</c:v>
                </c:pt>
                <c:pt idx="23">
                  <c:v>2.2000000000000002</c:v>
                </c:pt>
                <c:pt idx="24">
                  <c:v>2.2000000000000002</c:v>
                </c:pt>
                <c:pt idx="25">
                  <c:v>2.2000000000000002</c:v>
                </c:pt>
                <c:pt idx="26">
                  <c:v>2.2000000000000002</c:v>
                </c:pt>
                <c:pt idx="27">
                  <c:v>2.2000000000000002</c:v>
                </c:pt>
                <c:pt idx="28">
                  <c:v>2.2000000000000002</c:v>
                </c:pt>
                <c:pt idx="29">
                  <c:v>2.2000000000000002</c:v>
                </c:pt>
                <c:pt idx="30">
                  <c:v>2.2000000000000002</c:v>
                </c:pt>
                <c:pt idx="31">
                  <c:v>2.2000000000000002</c:v>
                </c:pt>
                <c:pt idx="32">
                  <c:v>2.2000000000000002</c:v>
                </c:pt>
                <c:pt idx="33">
                  <c:v>2.2000000000000002</c:v>
                </c:pt>
                <c:pt idx="34">
                  <c:v>2.2000000000000002</c:v>
                </c:pt>
                <c:pt idx="35">
                  <c:v>2.2000000000000002</c:v>
                </c:pt>
                <c:pt idx="36">
                  <c:v>2.2000000000000002</c:v>
                </c:pt>
                <c:pt idx="37">
                  <c:v>2.2000000000000002</c:v>
                </c:pt>
                <c:pt idx="38">
                  <c:v>2.2000000000000002</c:v>
                </c:pt>
                <c:pt idx="39">
                  <c:v>2.2000000000000002</c:v>
                </c:pt>
                <c:pt idx="40">
                  <c:v>2.2000000000000002</c:v>
                </c:pt>
                <c:pt idx="41">
                  <c:v>2.2000000000000002</c:v>
                </c:pt>
                <c:pt idx="42">
                  <c:v>2.2000000000000002</c:v>
                </c:pt>
                <c:pt idx="43">
                  <c:v>2.2000000000000002</c:v>
                </c:pt>
                <c:pt idx="44">
                  <c:v>2.2000000000000002</c:v>
                </c:pt>
                <c:pt idx="45">
                  <c:v>2.2000000000000002</c:v>
                </c:pt>
                <c:pt idx="46">
                  <c:v>2.2000000000000002</c:v>
                </c:pt>
                <c:pt idx="47">
                  <c:v>2.2000000000000002</c:v>
                </c:pt>
                <c:pt idx="48">
                  <c:v>2.2000000000000002</c:v>
                </c:pt>
                <c:pt idx="49">
                  <c:v>2.2000000000000002</c:v>
                </c:pt>
                <c:pt idx="50">
                  <c:v>2.2000000000000002</c:v>
                </c:pt>
                <c:pt idx="51">
                  <c:v>2.2000000000000002</c:v>
                </c:pt>
                <c:pt idx="52">
                  <c:v>2.2000000000000002</c:v>
                </c:pt>
                <c:pt idx="53">
                  <c:v>2.2000000000000002</c:v>
                </c:pt>
                <c:pt idx="54">
                  <c:v>2.2000000000000002</c:v>
                </c:pt>
                <c:pt idx="55">
                  <c:v>2.2000000000000002</c:v>
                </c:pt>
                <c:pt idx="56">
                  <c:v>2.2000000000000002</c:v>
                </c:pt>
                <c:pt idx="57">
                  <c:v>2.2000000000000002</c:v>
                </c:pt>
                <c:pt idx="58">
                  <c:v>2.2000000000000002</c:v>
                </c:pt>
                <c:pt idx="59">
                  <c:v>2.2000000000000002</c:v>
                </c:pt>
                <c:pt idx="60">
                  <c:v>2.2000000000000002</c:v>
                </c:pt>
                <c:pt idx="61">
                  <c:v>2.2000000000000002</c:v>
                </c:pt>
                <c:pt idx="62">
                  <c:v>2.2000000000000002</c:v>
                </c:pt>
                <c:pt idx="63">
                  <c:v>2.2000000000000002</c:v>
                </c:pt>
                <c:pt idx="64">
                  <c:v>2.2000000000000002</c:v>
                </c:pt>
                <c:pt idx="65">
                  <c:v>2.2000000000000002</c:v>
                </c:pt>
                <c:pt idx="66">
                  <c:v>2.2000000000000002</c:v>
                </c:pt>
                <c:pt idx="67">
                  <c:v>2.2000000000000002</c:v>
                </c:pt>
                <c:pt idx="68">
                  <c:v>2.2000000000000002</c:v>
                </c:pt>
                <c:pt idx="69">
                  <c:v>2.2000000000000002</c:v>
                </c:pt>
                <c:pt idx="70">
                  <c:v>2.2000000000000002</c:v>
                </c:pt>
                <c:pt idx="71">
                  <c:v>2.2000000000000002</c:v>
                </c:pt>
                <c:pt idx="72">
                  <c:v>2.2000000000000002</c:v>
                </c:pt>
                <c:pt idx="73">
                  <c:v>2.2000000000000002</c:v>
                </c:pt>
                <c:pt idx="74">
                  <c:v>2.2000000000000002</c:v>
                </c:pt>
                <c:pt idx="75">
                  <c:v>2.2000000000000002</c:v>
                </c:pt>
                <c:pt idx="76">
                  <c:v>2.2000000000000002</c:v>
                </c:pt>
                <c:pt idx="77">
                  <c:v>2.2000000000000002</c:v>
                </c:pt>
                <c:pt idx="78">
                  <c:v>2.2000000000000002</c:v>
                </c:pt>
                <c:pt idx="79">
                  <c:v>2.2000000000000002</c:v>
                </c:pt>
                <c:pt idx="80">
                  <c:v>2.2000000000000002</c:v>
                </c:pt>
                <c:pt idx="81">
                  <c:v>2.2000000000000002</c:v>
                </c:pt>
                <c:pt idx="82">
                  <c:v>2.2000000000000002</c:v>
                </c:pt>
                <c:pt idx="83">
                  <c:v>2.2000000000000002</c:v>
                </c:pt>
                <c:pt idx="84">
                  <c:v>2.2000000000000002</c:v>
                </c:pt>
                <c:pt idx="85">
                  <c:v>2.2000000000000002</c:v>
                </c:pt>
                <c:pt idx="86">
                  <c:v>2.2000000000000002</c:v>
                </c:pt>
                <c:pt idx="87">
                  <c:v>2.2000000000000002</c:v>
                </c:pt>
                <c:pt idx="88">
                  <c:v>2.2000000000000002</c:v>
                </c:pt>
                <c:pt idx="89">
                  <c:v>2.2000000000000002</c:v>
                </c:pt>
                <c:pt idx="90">
                  <c:v>2.2000000000000002</c:v>
                </c:pt>
                <c:pt idx="91">
                  <c:v>2.2000000000000002</c:v>
                </c:pt>
                <c:pt idx="92">
                  <c:v>2.2000000000000002</c:v>
                </c:pt>
                <c:pt idx="93">
                  <c:v>2.2000000000000002</c:v>
                </c:pt>
                <c:pt idx="94">
                  <c:v>2.2000000000000002</c:v>
                </c:pt>
                <c:pt idx="95">
                  <c:v>2.2000000000000002</c:v>
                </c:pt>
                <c:pt idx="96">
                  <c:v>2.2000000000000002</c:v>
                </c:pt>
                <c:pt idx="97">
                  <c:v>2.2000000000000002</c:v>
                </c:pt>
                <c:pt idx="98">
                  <c:v>2.2000000000000002</c:v>
                </c:pt>
                <c:pt idx="99">
                  <c:v>2.2000000000000002</c:v>
                </c:pt>
              </c:numCache>
            </c:numRef>
          </c:xVal>
          <c:yVal>
            <c:numRef>
              <c:f>'Data two'!$P$53:$P$152</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6-20B5-4225-B665-A487FE8B3865}"/>
            </c:ext>
          </c:extLst>
        </c:ser>
        <c:ser>
          <c:idx val="8"/>
          <c:order val="7"/>
          <c:spPr>
            <a:ln w="28575">
              <a:noFill/>
            </a:ln>
          </c:spPr>
          <c:marker>
            <c:symbol val="none"/>
          </c:marker>
          <c:xVal>
            <c:strRef>
              <c:f>'Data two'!$W$58:$X$58</c:f>
              <c:strCache>
                <c:ptCount val="2"/>
                <c:pt idx="0">
                  <c:v>     Expt'l     </c:v>
                </c:pt>
                <c:pt idx="1">
                  <c:v>Control</c:v>
                </c:pt>
              </c:strCache>
            </c:strRef>
          </c:xVal>
          <c:yVal>
            <c:numRef>
              <c:f>'Data two'!$W$66:$X$66</c:f>
              <c:numCache>
                <c:formatCode>General</c:formatCode>
                <c:ptCount val="2"/>
                <c:pt idx="0">
                  <c:v>29</c:v>
                </c:pt>
                <c:pt idx="1">
                  <c:v>29</c:v>
                </c:pt>
              </c:numCache>
            </c:numRef>
          </c:yVal>
          <c:smooth val="0"/>
          <c:extLst>
            <c:ext xmlns:c16="http://schemas.microsoft.com/office/drawing/2014/chart" uri="{C3380CC4-5D6E-409C-BE32-E72D297353CC}">
              <c16:uniqueId val="{00000007-20B5-4225-B665-A487FE8B3865}"/>
            </c:ext>
          </c:extLst>
        </c:ser>
        <c:dLbls>
          <c:showLegendKey val="0"/>
          <c:showVal val="0"/>
          <c:showCatName val="0"/>
          <c:showSerName val="0"/>
          <c:showPercent val="0"/>
          <c:showBubbleSize val="0"/>
        </c:dLbls>
        <c:axId val="190214144"/>
        <c:axId val="190215680"/>
      </c:scatterChart>
      <c:catAx>
        <c:axId val="19021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90215680"/>
        <c:crossesAt val="0"/>
        <c:auto val="1"/>
        <c:lblAlgn val="ctr"/>
        <c:lblOffset val="100"/>
        <c:tickLblSkip val="1"/>
        <c:tickMarkSkip val="1"/>
        <c:noMultiLvlLbl val="0"/>
      </c:catAx>
      <c:valAx>
        <c:axId val="190215680"/>
        <c:scaling>
          <c:orientation val="minMax"/>
        </c:scaling>
        <c:delete val="0"/>
        <c:axPos val="l"/>
        <c:title>
          <c:tx>
            <c:strRef>
              <c:f>'Data two'!$W$69</c:f>
              <c:strCache>
                <c:ptCount val="1"/>
                <c:pt idx="0">
                  <c:v>Dependent variable (cm).</c:v>
                </c:pt>
              </c:strCache>
            </c:strRef>
          </c:tx>
          <c:layout>
            <c:manualLayout>
              <c:xMode val="edge"/>
              <c:yMode val="edge"/>
              <c:x val="1.488095238095238E-2"/>
              <c:y val="0.3158844765342960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90214144"/>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5842789843263"/>
          <c:y val="3.2490974729241874E-2"/>
          <c:w val="0.82767088382566445"/>
          <c:h val="0.89530685920577613"/>
        </c:manualLayout>
      </c:layout>
      <c:barChart>
        <c:barDir val="col"/>
        <c:grouping val="clustered"/>
        <c:varyColors val="0"/>
        <c:ser>
          <c:idx val="1"/>
          <c:order val="1"/>
          <c:spPr>
            <a:solidFill>
              <a:srgbClr val="C0C0C0"/>
            </a:solidFill>
            <a:ln w="12700">
              <a:solidFill>
                <a:srgbClr val="000000"/>
              </a:solidFill>
              <a:prstDash val="solid"/>
            </a:ln>
          </c:spPr>
          <c:invertIfNegative val="0"/>
          <c:cat>
            <c:strRef>
              <c:f>'Simulate two'!$AA$55:$AB$55</c:f>
              <c:strCache>
                <c:ptCount val="2"/>
                <c:pt idx="0">
                  <c:v>Test</c:v>
                </c:pt>
                <c:pt idx="1">
                  <c:v>Control</c:v>
                </c:pt>
              </c:strCache>
            </c:strRef>
          </c:cat>
          <c:val>
            <c:numRef>
              <c:f>'Simulate two'!$AY$5:$AZ$5</c:f>
              <c:numCache>
                <c:formatCode>General</c:formatCode>
                <c:ptCount val="2"/>
                <c:pt idx="0">
                  <c:v>#N/A</c:v>
                </c:pt>
                <c:pt idx="1">
                  <c:v>#N/A</c:v>
                </c:pt>
              </c:numCache>
            </c:numRef>
          </c:val>
          <c:extLst>
            <c:ext xmlns:c16="http://schemas.microsoft.com/office/drawing/2014/chart" uri="{C3380CC4-5D6E-409C-BE32-E72D297353CC}">
              <c16:uniqueId val="{00000000-C571-43E6-8316-9BEC1DCF0A0F}"/>
            </c:ext>
          </c:extLst>
        </c:ser>
        <c:dLbls>
          <c:showLegendKey val="0"/>
          <c:showVal val="0"/>
          <c:showCatName val="0"/>
          <c:showSerName val="0"/>
          <c:showPercent val="0"/>
          <c:showBubbleSize val="0"/>
        </c:dLbls>
        <c:gapWidth val="400"/>
        <c:axId val="185307136"/>
        <c:axId val="185308672"/>
      </c:barChart>
      <c:lineChart>
        <c:grouping val="standard"/>
        <c:varyColors val="0"/>
        <c:ser>
          <c:idx val="0"/>
          <c:order val="0"/>
          <c:spPr>
            <a:ln w="28575">
              <a:noFill/>
            </a:ln>
          </c:spPr>
          <c:marker>
            <c:symbol val="circle"/>
            <c:size val="7"/>
            <c:spPr>
              <a:solidFill>
                <a:srgbClr val="000000"/>
              </a:solidFill>
              <a:ln>
                <a:solidFill>
                  <a:srgbClr val="000000"/>
                </a:solidFill>
                <a:prstDash val="solid"/>
              </a:ln>
            </c:spPr>
          </c:marker>
          <c:cat>
            <c:strRef>
              <c:f>'Simulate two'!$AA$55:$AB$55</c:f>
              <c:strCache>
                <c:ptCount val="2"/>
                <c:pt idx="0">
                  <c:v>Test</c:v>
                </c:pt>
                <c:pt idx="1">
                  <c:v>Control</c:v>
                </c:pt>
              </c:strCache>
            </c:strRef>
          </c:cat>
          <c:val>
            <c:numRef>
              <c:f>'Simulate two'!$AY$4:$AZ$4</c:f>
              <c:numCache>
                <c:formatCode>General</c:formatCode>
                <c:ptCount val="2"/>
                <c:pt idx="0">
                  <c:v>57.913664615444169</c:v>
                </c:pt>
                <c:pt idx="1">
                  <c:v>64.223016018655954</c:v>
                </c:pt>
              </c:numCache>
            </c:numRef>
          </c:val>
          <c:smooth val="0"/>
          <c:extLst>
            <c:ext xmlns:c16="http://schemas.microsoft.com/office/drawing/2014/chart" uri="{C3380CC4-5D6E-409C-BE32-E72D297353CC}">
              <c16:uniqueId val="{00000001-C571-43E6-8316-9BEC1DCF0A0F}"/>
            </c:ext>
          </c:extLst>
        </c:ser>
        <c:ser>
          <c:idx val="2"/>
          <c:order val="2"/>
          <c:spPr>
            <a:ln w="28575">
              <a:noFill/>
            </a:ln>
          </c:spPr>
          <c:marker>
            <c:symbol val="none"/>
          </c:marker>
          <c:errBars>
            <c:errDir val="y"/>
            <c:errBarType val="both"/>
            <c:errValType val="cust"/>
            <c:noEndCap val="0"/>
            <c:plus>
              <c:numRef>
                <c:f>'Simulate two'!$AY$7:$AZ$7</c:f>
                <c:numCache>
                  <c:formatCode>General</c:formatCode>
                  <c:ptCount val="2"/>
                  <c:pt idx="0">
                    <c:v>7.3601279717408596</c:v>
                  </c:pt>
                  <c:pt idx="1">
                    <c:v>7.6940804565452297</c:v>
                  </c:pt>
                </c:numCache>
              </c:numRef>
            </c:plus>
            <c:minus>
              <c:numRef>
                <c:f>'Simulate two'!$AY$7:$AZ$7</c:f>
                <c:numCache>
                  <c:formatCode>General</c:formatCode>
                  <c:ptCount val="2"/>
                  <c:pt idx="0">
                    <c:v>7.3601279717408596</c:v>
                  </c:pt>
                  <c:pt idx="1">
                    <c:v>7.6940804565452297</c:v>
                  </c:pt>
                </c:numCache>
              </c:numRef>
            </c:minus>
            <c:spPr>
              <a:ln w="25400">
                <a:solidFill>
                  <a:srgbClr val="000000"/>
                </a:solidFill>
                <a:prstDash val="solid"/>
              </a:ln>
            </c:spPr>
          </c:errBars>
          <c:cat>
            <c:strRef>
              <c:f>'Simulate two'!$AA$55:$AB$55</c:f>
              <c:strCache>
                <c:ptCount val="2"/>
                <c:pt idx="0">
                  <c:v>Test</c:v>
                </c:pt>
                <c:pt idx="1">
                  <c:v>Control</c:v>
                </c:pt>
              </c:strCache>
            </c:strRef>
          </c:cat>
          <c:val>
            <c:numRef>
              <c:f>'Simulate two'!$AY$6:$AZ$6</c:f>
              <c:numCache>
                <c:formatCode>General</c:formatCode>
                <c:ptCount val="2"/>
                <c:pt idx="0">
                  <c:v>57.913664615444169</c:v>
                </c:pt>
                <c:pt idx="1">
                  <c:v>64.223016018655954</c:v>
                </c:pt>
              </c:numCache>
            </c:numRef>
          </c:val>
          <c:smooth val="0"/>
          <c:extLst>
            <c:ext xmlns:c16="http://schemas.microsoft.com/office/drawing/2014/chart" uri="{C3380CC4-5D6E-409C-BE32-E72D297353CC}">
              <c16:uniqueId val="{00000002-C571-43E6-8316-9BEC1DCF0A0F}"/>
            </c:ext>
          </c:extLst>
        </c:ser>
        <c:dLbls>
          <c:showLegendKey val="0"/>
          <c:showVal val="0"/>
          <c:showCatName val="0"/>
          <c:showSerName val="0"/>
          <c:showPercent val="0"/>
          <c:showBubbleSize val="0"/>
        </c:dLbls>
        <c:marker val="1"/>
        <c:smooth val="0"/>
        <c:axId val="185307136"/>
        <c:axId val="185308672"/>
      </c:lineChart>
      <c:scatterChart>
        <c:scatterStyle val="lineMarker"/>
        <c:varyColors val="0"/>
        <c:ser>
          <c:idx val="4"/>
          <c:order val="3"/>
          <c:spPr>
            <a:ln w="28575">
              <a:noFill/>
            </a:ln>
          </c:spPr>
          <c:marker>
            <c:symbol val="circle"/>
            <c:size val="6"/>
            <c:spPr>
              <a:noFill/>
              <a:ln>
                <a:solidFill>
                  <a:srgbClr val="0000FF"/>
                </a:solidFill>
                <a:prstDash val="solid"/>
              </a:ln>
            </c:spPr>
          </c:marker>
          <c:xVal>
            <c:numRef>
              <c:f>'Simulate two'!$Y$58:$Y$157</c:f>
              <c:numCache>
                <c:formatCode>General</c:formatCode>
                <c:ptCount val="100"/>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pt idx="41">
                  <c:v>0.8</c:v>
                </c:pt>
                <c:pt idx="42">
                  <c:v>0.8</c:v>
                </c:pt>
                <c:pt idx="43">
                  <c:v>0.8</c:v>
                </c:pt>
                <c:pt idx="44">
                  <c:v>0.8</c:v>
                </c:pt>
                <c:pt idx="45">
                  <c:v>0.8</c:v>
                </c:pt>
                <c:pt idx="46">
                  <c:v>0.8</c:v>
                </c:pt>
                <c:pt idx="47">
                  <c:v>0.8</c:v>
                </c:pt>
                <c:pt idx="48">
                  <c:v>0.8</c:v>
                </c:pt>
                <c:pt idx="49">
                  <c:v>0.8</c:v>
                </c:pt>
                <c:pt idx="50">
                  <c:v>0.8</c:v>
                </c:pt>
                <c:pt idx="51">
                  <c:v>0.8</c:v>
                </c:pt>
                <c:pt idx="52">
                  <c:v>0.8</c:v>
                </c:pt>
                <c:pt idx="53">
                  <c:v>0.8</c:v>
                </c:pt>
                <c:pt idx="54">
                  <c:v>0.8</c:v>
                </c:pt>
                <c:pt idx="55">
                  <c:v>0.8</c:v>
                </c:pt>
                <c:pt idx="56">
                  <c:v>0.8</c:v>
                </c:pt>
                <c:pt idx="57">
                  <c:v>0.8</c:v>
                </c:pt>
                <c:pt idx="58">
                  <c:v>0.8</c:v>
                </c:pt>
                <c:pt idx="59">
                  <c:v>0.8</c:v>
                </c:pt>
                <c:pt idx="60">
                  <c:v>0.8</c:v>
                </c:pt>
                <c:pt idx="61">
                  <c:v>0.8</c:v>
                </c:pt>
                <c:pt idx="62">
                  <c:v>0.8</c:v>
                </c:pt>
                <c:pt idx="63">
                  <c:v>0.8</c:v>
                </c:pt>
                <c:pt idx="64">
                  <c:v>0.8</c:v>
                </c:pt>
                <c:pt idx="65">
                  <c:v>0.8</c:v>
                </c:pt>
                <c:pt idx="66">
                  <c:v>0.8</c:v>
                </c:pt>
                <c:pt idx="67">
                  <c:v>0.8</c:v>
                </c:pt>
                <c:pt idx="68">
                  <c:v>0.8</c:v>
                </c:pt>
                <c:pt idx="69">
                  <c:v>0.8</c:v>
                </c:pt>
                <c:pt idx="70">
                  <c:v>0.8</c:v>
                </c:pt>
                <c:pt idx="71">
                  <c:v>0.8</c:v>
                </c:pt>
                <c:pt idx="72">
                  <c:v>0.8</c:v>
                </c:pt>
                <c:pt idx="73">
                  <c:v>0.8</c:v>
                </c:pt>
                <c:pt idx="74">
                  <c:v>0.8</c:v>
                </c:pt>
                <c:pt idx="75">
                  <c:v>0.8</c:v>
                </c:pt>
                <c:pt idx="76">
                  <c:v>0.8</c:v>
                </c:pt>
                <c:pt idx="77">
                  <c:v>0.8</c:v>
                </c:pt>
                <c:pt idx="78">
                  <c:v>0.8</c:v>
                </c:pt>
                <c:pt idx="79">
                  <c:v>0.8</c:v>
                </c:pt>
                <c:pt idx="80">
                  <c:v>0.8</c:v>
                </c:pt>
                <c:pt idx="81">
                  <c:v>0.8</c:v>
                </c:pt>
                <c:pt idx="82">
                  <c:v>0.8</c:v>
                </c:pt>
                <c:pt idx="83">
                  <c:v>0.8</c:v>
                </c:pt>
                <c:pt idx="84">
                  <c:v>0.8</c:v>
                </c:pt>
                <c:pt idx="85">
                  <c:v>0.8</c:v>
                </c:pt>
                <c:pt idx="86">
                  <c:v>0.8</c:v>
                </c:pt>
                <c:pt idx="87">
                  <c:v>0.8</c:v>
                </c:pt>
                <c:pt idx="88">
                  <c:v>0.8</c:v>
                </c:pt>
                <c:pt idx="89">
                  <c:v>0.8</c:v>
                </c:pt>
                <c:pt idx="90">
                  <c:v>0.8</c:v>
                </c:pt>
                <c:pt idx="91">
                  <c:v>0.8</c:v>
                </c:pt>
                <c:pt idx="92">
                  <c:v>0.8</c:v>
                </c:pt>
                <c:pt idx="93">
                  <c:v>0.8</c:v>
                </c:pt>
                <c:pt idx="94">
                  <c:v>0.8</c:v>
                </c:pt>
                <c:pt idx="95">
                  <c:v>0.8</c:v>
                </c:pt>
                <c:pt idx="96">
                  <c:v>0.8</c:v>
                </c:pt>
                <c:pt idx="97">
                  <c:v>0.8</c:v>
                </c:pt>
                <c:pt idx="98">
                  <c:v>0.8</c:v>
                </c:pt>
                <c:pt idx="99">
                  <c:v>0.8</c:v>
                </c:pt>
              </c:numCache>
            </c:numRef>
          </c:xVal>
          <c:yVal>
            <c:numRef>
              <c:f>'Simulate two'!$Z$58:$Z$157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3-C571-43E6-8316-9BEC1DCF0A0F}"/>
            </c:ext>
          </c:extLst>
        </c:ser>
        <c:ser>
          <c:idx val="5"/>
          <c:order val="4"/>
          <c:spPr>
            <a:ln w="28575">
              <a:noFill/>
            </a:ln>
          </c:spPr>
          <c:marker>
            <c:symbol val="circle"/>
            <c:size val="6"/>
            <c:spPr>
              <a:noFill/>
              <a:ln>
                <a:solidFill>
                  <a:srgbClr val="0000FF"/>
                </a:solidFill>
                <a:prstDash val="solid"/>
              </a:ln>
            </c:spPr>
          </c:marker>
          <c:xVal>
            <c:numRef>
              <c:f>'Simulate two'!$AA$58:$AA$157</c:f>
              <c:numCache>
                <c:formatCode>General</c:formatCode>
                <c:ptCount val="100"/>
                <c:pt idx="0">
                  <c:v>2.2000000000000002</c:v>
                </c:pt>
                <c:pt idx="1">
                  <c:v>2.2000000000000002</c:v>
                </c:pt>
                <c:pt idx="2">
                  <c:v>2.2000000000000002</c:v>
                </c:pt>
                <c:pt idx="3">
                  <c:v>2.2000000000000002</c:v>
                </c:pt>
                <c:pt idx="4">
                  <c:v>2.2000000000000002</c:v>
                </c:pt>
                <c:pt idx="5">
                  <c:v>2.2000000000000002</c:v>
                </c:pt>
                <c:pt idx="6">
                  <c:v>2.2000000000000002</c:v>
                </c:pt>
                <c:pt idx="7">
                  <c:v>2.2000000000000002</c:v>
                </c:pt>
                <c:pt idx="8">
                  <c:v>2.2000000000000002</c:v>
                </c:pt>
                <c:pt idx="9">
                  <c:v>2.2000000000000002</c:v>
                </c:pt>
                <c:pt idx="10">
                  <c:v>2.2000000000000002</c:v>
                </c:pt>
                <c:pt idx="11">
                  <c:v>2.2000000000000002</c:v>
                </c:pt>
                <c:pt idx="12">
                  <c:v>2.2000000000000002</c:v>
                </c:pt>
                <c:pt idx="13">
                  <c:v>2.2000000000000002</c:v>
                </c:pt>
                <c:pt idx="14">
                  <c:v>2.2000000000000002</c:v>
                </c:pt>
                <c:pt idx="15">
                  <c:v>2.2000000000000002</c:v>
                </c:pt>
                <c:pt idx="16">
                  <c:v>2.2000000000000002</c:v>
                </c:pt>
                <c:pt idx="17">
                  <c:v>2.2000000000000002</c:v>
                </c:pt>
                <c:pt idx="18">
                  <c:v>2.2000000000000002</c:v>
                </c:pt>
                <c:pt idx="19">
                  <c:v>2.2000000000000002</c:v>
                </c:pt>
                <c:pt idx="20">
                  <c:v>2.2000000000000002</c:v>
                </c:pt>
                <c:pt idx="21">
                  <c:v>2.2000000000000002</c:v>
                </c:pt>
                <c:pt idx="22">
                  <c:v>2.2000000000000002</c:v>
                </c:pt>
                <c:pt idx="23">
                  <c:v>2.2000000000000002</c:v>
                </c:pt>
                <c:pt idx="24">
                  <c:v>2.2000000000000002</c:v>
                </c:pt>
                <c:pt idx="25">
                  <c:v>2.2000000000000002</c:v>
                </c:pt>
                <c:pt idx="26">
                  <c:v>2.2000000000000002</c:v>
                </c:pt>
                <c:pt idx="27">
                  <c:v>2.2000000000000002</c:v>
                </c:pt>
                <c:pt idx="28">
                  <c:v>2.2000000000000002</c:v>
                </c:pt>
                <c:pt idx="29">
                  <c:v>2.2000000000000002</c:v>
                </c:pt>
                <c:pt idx="30">
                  <c:v>2.2000000000000002</c:v>
                </c:pt>
                <c:pt idx="31">
                  <c:v>2.2000000000000002</c:v>
                </c:pt>
                <c:pt idx="32">
                  <c:v>2.2000000000000002</c:v>
                </c:pt>
                <c:pt idx="33">
                  <c:v>2.2000000000000002</c:v>
                </c:pt>
                <c:pt idx="34">
                  <c:v>2.2000000000000002</c:v>
                </c:pt>
                <c:pt idx="35">
                  <c:v>2.2000000000000002</c:v>
                </c:pt>
                <c:pt idx="36">
                  <c:v>2.2000000000000002</c:v>
                </c:pt>
                <c:pt idx="37">
                  <c:v>2.2000000000000002</c:v>
                </c:pt>
                <c:pt idx="38">
                  <c:v>2.2000000000000002</c:v>
                </c:pt>
                <c:pt idx="39">
                  <c:v>2.2000000000000002</c:v>
                </c:pt>
                <c:pt idx="40">
                  <c:v>2.2000000000000002</c:v>
                </c:pt>
                <c:pt idx="41">
                  <c:v>2.2000000000000002</c:v>
                </c:pt>
                <c:pt idx="42">
                  <c:v>2.2000000000000002</c:v>
                </c:pt>
                <c:pt idx="43">
                  <c:v>2.2000000000000002</c:v>
                </c:pt>
                <c:pt idx="44">
                  <c:v>2.2000000000000002</c:v>
                </c:pt>
                <c:pt idx="45">
                  <c:v>2.2000000000000002</c:v>
                </c:pt>
                <c:pt idx="46">
                  <c:v>2.2000000000000002</c:v>
                </c:pt>
                <c:pt idx="47">
                  <c:v>2.2000000000000002</c:v>
                </c:pt>
                <c:pt idx="48">
                  <c:v>2.2000000000000002</c:v>
                </c:pt>
                <c:pt idx="49">
                  <c:v>2.2000000000000002</c:v>
                </c:pt>
                <c:pt idx="50">
                  <c:v>2.2000000000000002</c:v>
                </c:pt>
                <c:pt idx="51">
                  <c:v>2.2000000000000002</c:v>
                </c:pt>
                <c:pt idx="52">
                  <c:v>2.2000000000000002</c:v>
                </c:pt>
                <c:pt idx="53">
                  <c:v>2.2000000000000002</c:v>
                </c:pt>
                <c:pt idx="54">
                  <c:v>2.2000000000000002</c:v>
                </c:pt>
                <c:pt idx="55">
                  <c:v>2.2000000000000002</c:v>
                </c:pt>
                <c:pt idx="56">
                  <c:v>2.2000000000000002</c:v>
                </c:pt>
                <c:pt idx="57">
                  <c:v>2.2000000000000002</c:v>
                </c:pt>
                <c:pt idx="58">
                  <c:v>2.2000000000000002</c:v>
                </c:pt>
                <c:pt idx="59">
                  <c:v>2.2000000000000002</c:v>
                </c:pt>
                <c:pt idx="60">
                  <c:v>2.2000000000000002</c:v>
                </c:pt>
                <c:pt idx="61">
                  <c:v>2.2000000000000002</c:v>
                </c:pt>
                <c:pt idx="62">
                  <c:v>2.2000000000000002</c:v>
                </c:pt>
                <c:pt idx="63">
                  <c:v>2.2000000000000002</c:v>
                </c:pt>
                <c:pt idx="64">
                  <c:v>2.2000000000000002</c:v>
                </c:pt>
                <c:pt idx="65">
                  <c:v>2.2000000000000002</c:v>
                </c:pt>
                <c:pt idx="66">
                  <c:v>2.2000000000000002</c:v>
                </c:pt>
                <c:pt idx="67">
                  <c:v>2.2000000000000002</c:v>
                </c:pt>
                <c:pt idx="68">
                  <c:v>2.2000000000000002</c:v>
                </c:pt>
                <c:pt idx="69">
                  <c:v>2.2000000000000002</c:v>
                </c:pt>
                <c:pt idx="70">
                  <c:v>2.2000000000000002</c:v>
                </c:pt>
                <c:pt idx="71">
                  <c:v>2.2000000000000002</c:v>
                </c:pt>
                <c:pt idx="72">
                  <c:v>2.2000000000000002</c:v>
                </c:pt>
                <c:pt idx="73">
                  <c:v>2.2000000000000002</c:v>
                </c:pt>
                <c:pt idx="74">
                  <c:v>2.2000000000000002</c:v>
                </c:pt>
                <c:pt idx="75">
                  <c:v>2.2000000000000002</c:v>
                </c:pt>
                <c:pt idx="76">
                  <c:v>2.2000000000000002</c:v>
                </c:pt>
                <c:pt idx="77">
                  <c:v>2.2000000000000002</c:v>
                </c:pt>
                <c:pt idx="78">
                  <c:v>2.2000000000000002</c:v>
                </c:pt>
                <c:pt idx="79">
                  <c:v>2.2000000000000002</c:v>
                </c:pt>
                <c:pt idx="80">
                  <c:v>2.2000000000000002</c:v>
                </c:pt>
                <c:pt idx="81">
                  <c:v>2.2000000000000002</c:v>
                </c:pt>
                <c:pt idx="82">
                  <c:v>2.2000000000000002</c:v>
                </c:pt>
                <c:pt idx="83">
                  <c:v>2.2000000000000002</c:v>
                </c:pt>
                <c:pt idx="84">
                  <c:v>2.2000000000000002</c:v>
                </c:pt>
                <c:pt idx="85">
                  <c:v>2.2000000000000002</c:v>
                </c:pt>
                <c:pt idx="86">
                  <c:v>2.2000000000000002</c:v>
                </c:pt>
                <c:pt idx="87">
                  <c:v>2.2000000000000002</c:v>
                </c:pt>
                <c:pt idx="88">
                  <c:v>2.2000000000000002</c:v>
                </c:pt>
                <c:pt idx="89">
                  <c:v>2.2000000000000002</c:v>
                </c:pt>
                <c:pt idx="90">
                  <c:v>2.2000000000000002</c:v>
                </c:pt>
                <c:pt idx="91">
                  <c:v>2.2000000000000002</c:v>
                </c:pt>
                <c:pt idx="92">
                  <c:v>2.2000000000000002</c:v>
                </c:pt>
                <c:pt idx="93">
                  <c:v>2.2000000000000002</c:v>
                </c:pt>
                <c:pt idx="94">
                  <c:v>2.2000000000000002</c:v>
                </c:pt>
                <c:pt idx="95">
                  <c:v>2.2000000000000002</c:v>
                </c:pt>
                <c:pt idx="96">
                  <c:v>2.2000000000000002</c:v>
                </c:pt>
                <c:pt idx="97">
                  <c:v>2.2000000000000002</c:v>
                </c:pt>
                <c:pt idx="98">
                  <c:v>2.2000000000000002</c:v>
                </c:pt>
                <c:pt idx="99">
                  <c:v>2.2000000000000002</c:v>
                </c:pt>
              </c:numCache>
            </c:numRef>
          </c:xVal>
          <c:yVal>
            <c:numRef>
              <c:f>'Simulate two'!$AB$58:$AB$157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4-C571-43E6-8316-9BEC1DCF0A0F}"/>
            </c:ext>
          </c:extLst>
        </c:ser>
        <c:ser>
          <c:idx val="6"/>
          <c:order val="5"/>
          <c:spPr>
            <a:ln w="28575">
              <a:noFill/>
            </a:ln>
          </c:spPr>
          <c:marker>
            <c:symbol val="square"/>
            <c:size val="7"/>
            <c:spPr>
              <a:solidFill>
                <a:srgbClr val="FF0000"/>
              </a:solidFill>
              <a:ln>
                <a:solidFill>
                  <a:srgbClr val="FF0000"/>
                </a:solidFill>
                <a:prstDash val="solid"/>
              </a:ln>
            </c:spPr>
          </c:marker>
          <c:errBars>
            <c:errDir val="y"/>
            <c:errBarType val="both"/>
            <c:errValType val="cust"/>
            <c:noEndCap val="1"/>
            <c:plus>
              <c:numRef>
                <c:f>'Simulate two'!$AY$12:$AZ$12</c:f>
                <c:numCache>
                  <c:formatCode>General</c:formatCode>
                  <c:ptCount val="2"/>
                  <c:pt idx="0">
                    <c:v>25</c:v>
                  </c:pt>
                  <c:pt idx="1">
                    <c:v>25</c:v>
                  </c:pt>
                </c:numCache>
              </c:numRef>
            </c:plus>
            <c:minus>
              <c:numRef>
                <c:f>'Simulate two'!$AY$12:$AZ$12</c:f>
                <c:numCache>
                  <c:formatCode>General</c:formatCode>
                  <c:ptCount val="2"/>
                  <c:pt idx="0">
                    <c:v>25</c:v>
                  </c:pt>
                  <c:pt idx="1">
                    <c:v>25</c:v>
                  </c:pt>
                </c:numCache>
              </c:numRef>
            </c:minus>
            <c:spPr>
              <a:ln w="38100">
                <a:pattFill prst="pct50">
                  <a:fgClr>
                    <a:srgbClr val="FF0000"/>
                  </a:fgClr>
                  <a:bgClr>
                    <a:srgbClr val="FFFFFF"/>
                  </a:bgClr>
                </a:pattFill>
                <a:prstDash val="solid"/>
              </a:ln>
            </c:spPr>
          </c:errBars>
          <c:xVal>
            <c:numRef>
              <c:f>'Simulate two'!$AY$10:$AY$11</c:f>
              <c:numCache>
                <c:formatCode>General</c:formatCode>
                <c:ptCount val="2"/>
                <c:pt idx="0">
                  <c:v>0.7</c:v>
                </c:pt>
                <c:pt idx="1">
                  <c:v>2.2999999999999998</c:v>
                </c:pt>
              </c:numCache>
            </c:numRef>
          </c:xVal>
          <c:yVal>
            <c:numRef>
              <c:f>'Simulate two'!$AZ$10:$AZ$11</c:f>
              <c:numCache>
                <c:formatCode>General</c:formatCode>
                <c:ptCount val="2"/>
                <c:pt idx="0">
                  <c:v>#N/A</c:v>
                </c:pt>
                <c:pt idx="1">
                  <c:v>#N/A</c:v>
                </c:pt>
              </c:numCache>
            </c:numRef>
          </c:yVal>
          <c:smooth val="0"/>
          <c:extLst>
            <c:ext xmlns:c16="http://schemas.microsoft.com/office/drawing/2014/chart" uri="{C3380CC4-5D6E-409C-BE32-E72D297353CC}">
              <c16:uniqueId val="{00000005-C571-43E6-8316-9BEC1DCF0A0F}"/>
            </c:ext>
          </c:extLst>
        </c:ser>
        <c:ser>
          <c:idx val="7"/>
          <c:order val="6"/>
          <c:spPr>
            <a:ln w="28575">
              <a:noFill/>
            </a:ln>
          </c:spPr>
          <c:marker>
            <c:symbol val="none"/>
          </c:marker>
          <c:errBars>
            <c:errDir val="x"/>
            <c:errBarType val="plus"/>
            <c:errValType val="cust"/>
            <c:noEndCap val="1"/>
            <c:plus>
              <c:numRef>
                <c:f>'Simulate two'!$AY$13:$AZ$13</c:f>
                <c:numCache>
                  <c:formatCode>General</c:formatCode>
                  <c:ptCount val="2"/>
                  <c:pt idx="0">
                    <c:v>0.3</c:v>
                  </c:pt>
                  <c:pt idx="1">
                    <c:v>-0.3</c:v>
                  </c:pt>
                </c:numCache>
              </c:numRef>
            </c:plus>
            <c:spPr>
              <a:ln w="12700">
                <a:solidFill>
                  <a:srgbClr val="FF0000"/>
                </a:solidFill>
                <a:prstDash val="solid"/>
              </a:ln>
            </c:spPr>
          </c:errBars>
          <c:xVal>
            <c:numRef>
              <c:f>'Simulate two'!$AY$10:$AY$11</c:f>
              <c:numCache>
                <c:formatCode>General</c:formatCode>
                <c:ptCount val="2"/>
                <c:pt idx="0">
                  <c:v>0.7</c:v>
                </c:pt>
                <c:pt idx="1">
                  <c:v>2.2999999999999998</c:v>
                </c:pt>
              </c:numCache>
            </c:numRef>
          </c:xVal>
          <c:yVal>
            <c:numRef>
              <c:f>'Simulate two'!$AZ$10:$AZ$11</c:f>
              <c:numCache>
                <c:formatCode>General</c:formatCode>
                <c:ptCount val="2"/>
                <c:pt idx="0">
                  <c:v>#N/A</c:v>
                </c:pt>
                <c:pt idx="1">
                  <c:v>#N/A</c:v>
                </c:pt>
              </c:numCache>
            </c:numRef>
          </c:yVal>
          <c:smooth val="0"/>
          <c:extLst>
            <c:ext xmlns:c16="http://schemas.microsoft.com/office/drawing/2014/chart" uri="{C3380CC4-5D6E-409C-BE32-E72D297353CC}">
              <c16:uniqueId val="{00000006-C571-43E6-8316-9BEC1DCF0A0F}"/>
            </c:ext>
          </c:extLst>
        </c:ser>
        <c:ser>
          <c:idx val="8"/>
          <c:order val="7"/>
          <c:spPr>
            <a:ln w="12700">
              <a:solidFill>
                <a:srgbClr val="808080"/>
              </a:solidFill>
              <a:prstDash val="solid"/>
            </a:ln>
          </c:spPr>
          <c:marker>
            <c:symbol val="none"/>
          </c:marker>
          <c:xVal>
            <c:strRef>
              <c:f>'Simulate two'!$AA$55:$AB$55</c:f>
              <c:strCache>
                <c:ptCount val="2"/>
                <c:pt idx="0">
                  <c:v>Test</c:v>
                </c:pt>
                <c:pt idx="1">
                  <c:v>Control</c:v>
                </c:pt>
              </c:strCache>
            </c:strRef>
          </c:xVal>
          <c:yVal>
            <c:numRef>
              <c:f>'Simulate two'!$AY$15:$AZ$15</c:f>
              <c:numCache>
                <c:formatCode>General</c:formatCode>
                <c:ptCount val="2"/>
                <c:pt idx="0">
                  <c:v>#N/A</c:v>
                </c:pt>
                <c:pt idx="1">
                  <c:v>#N/A</c:v>
                </c:pt>
              </c:numCache>
            </c:numRef>
          </c:yVal>
          <c:smooth val="0"/>
          <c:extLst>
            <c:ext xmlns:c16="http://schemas.microsoft.com/office/drawing/2014/chart" uri="{C3380CC4-5D6E-409C-BE32-E72D297353CC}">
              <c16:uniqueId val="{00000007-C571-43E6-8316-9BEC1DCF0A0F}"/>
            </c:ext>
          </c:extLst>
        </c:ser>
        <c:ser>
          <c:idx val="9"/>
          <c:order val="8"/>
          <c:spPr>
            <a:ln w="12700">
              <a:solidFill>
                <a:srgbClr val="808080"/>
              </a:solidFill>
              <a:prstDash val="solid"/>
            </a:ln>
          </c:spPr>
          <c:marker>
            <c:symbol val="none"/>
          </c:marker>
          <c:xVal>
            <c:strRef>
              <c:f>'Simulate two'!$AA$55:$AB$55</c:f>
              <c:strCache>
                <c:ptCount val="2"/>
                <c:pt idx="0">
                  <c:v>Test</c:v>
                </c:pt>
                <c:pt idx="1">
                  <c:v>Control</c:v>
                </c:pt>
              </c:strCache>
            </c:strRef>
          </c:xVal>
          <c:yVal>
            <c:numRef>
              <c:f>'Simulate two'!$AY$16:$AZ$16</c:f>
              <c:numCache>
                <c:formatCode>General</c:formatCode>
                <c:ptCount val="2"/>
                <c:pt idx="0">
                  <c:v>#N/A</c:v>
                </c:pt>
                <c:pt idx="1">
                  <c:v>#N/A</c:v>
                </c:pt>
              </c:numCache>
            </c:numRef>
          </c:yVal>
          <c:smooth val="0"/>
          <c:extLst>
            <c:ext xmlns:c16="http://schemas.microsoft.com/office/drawing/2014/chart" uri="{C3380CC4-5D6E-409C-BE32-E72D297353CC}">
              <c16:uniqueId val="{00000008-C571-43E6-8316-9BEC1DCF0A0F}"/>
            </c:ext>
          </c:extLst>
        </c:ser>
        <c:ser>
          <c:idx val="3"/>
          <c:order val="9"/>
          <c:spPr>
            <a:ln w="28575">
              <a:noFill/>
            </a:ln>
          </c:spPr>
          <c:marker>
            <c:symbol val="diamond"/>
            <c:size val="8"/>
            <c:spPr>
              <a:solidFill>
                <a:srgbClr val="FF00FF"/>
              </a:solidFill>
              <a:ln>
                <a:solidFill>
                  <a:srgbClr val="FF00FF"/>
                </a:solidFill>
                <a:prstDash val="solid"/>
              </a:ln>
            </c:spPr>
          </c:marker>
          <c:errBars>
            <c:errDir val="y"/>
            <c:errBarType val="plus"/>
            <c:errValType val="cust"/>
            <c:noEndCap val="1"/>
            <c:plus>
              <c:numRef>
                <c:f>'Simulate two'!$AZ$8</c:f>
                <c:numCache>
                  <c:formatCode>General</c:formatCode>
                  <c:ptCount val="1"/>
                  <c:pt idx="0">
                    <c:v>#N/A</c:v>
                  </c:pt>
                </c:numCache>
              </c:numRef>
            </c:plus>
            <c:spPr>
              <a:ln w="38100">
                <a:solidFill>
                  <a:srgbClr val="FF00FF"/>
                </a:solidFill>
                <a:prstDash val="solid"/>
              </a:ln>
            </c:spPr>
          </c:errBars>
          <c:xVal>
            <c:numRef>
              <c:f>'Simulate two'!$AX$8</c:f>
              <c:numCache>
                <c:formatCode>0.00</c:formatCode>
                <c:ptCount val="1"/>
                <c:pt idx="0">
                  <c:v>1.5</c:v>
                </c:pt>
              </c:numCache>
            </c:numRef>
          </c:xVal>
          <c:yVal>
            <c:numRef>
              <c:f>'Simulate two'!$AY$8</c:f>
              <c:numCache>
                <c:formatCode>General</c:formatCode>
                <c:ptCount val="1"/>
                <c:pt idx="0">
                  <c:v>#N/A</c:v>
                </c:pt>
              </c:numCache>
            </c:numRef>
          </c:yVal>
          <c:smooth val="0"/>
          <c:extLst>
            <c:ext xmlns:c16="http://schemas.microsoft.com/office/drawing/2014/chart" uri="{C3380CC4-5D6E-409C-BE32-E72D297353CC}">
              <c16:uniqueId val="{00000009-C571-43E6-8316-9BEC1DCF0A0F}"/>
            </c:ext>
          </c:extLst>
        </c:ser>
        <c:ser>
          <c:idx val="10"/>
          <c:order val="10"/>
          <c:spPr>
            <a:ln w="12700">
              <a:pattFill prst="pct50">
                <a:fgClr>
                  <a:srgbClr val="FF00FF"/>
                </a:fgClr>
                <a:bgClr>
                  <a:srgbClr val="FFFFFF"/>
                </a:bgClr>
              </a:pattFill>
              <a:prstDash val="solid"/>
            </a:ln>
          </c:spPr>
          <c:marker>
            <c:symbol val="none"/>
          </c:marker>
          <c:xVal>
            <c:numRef>
              <c:f>'Simulate two'!$AW$18:$AW$19</c:f>
              <c:numCache>
                <c:formatCode>General</c:formatCode>
                <c:ptCount val="2"/>
                <c:pt idx="0">
                  <c:v>1.05</c:v>
                </c:pt>
                <c:pt idx="1">
                  <c:v>1.6</c:v>
                </c:pt>
              </c:numCache>
            </c:numRef>
          </c:xVal>
          <c:yVal>
            <c:numRef>
              <c:f>'Simulate two'!$AX$18:$AX$19</c:f>
              <c:numCache>
                <c:formatCode>General</c:formatCode>
                <c:ptCount val="2"/>
                <c:pt idx="0">
                  <c:v>#N/A</c:v>
                </c:pt>
                <c:pt idx="1">
                  <c:v>#N/A</c:v>
                </c:pt>
              </c:numCache>
            </c:numRef>
          </c:yVal>
          <c:smooth val="0"/>
          <c:extLst>
            <c:ext xmlns:c16="http://schemas.microsoft.com/office/drawing/2014/chart" uri="{C3380CC4-5D6E-409C-BE32-E72D297353CC}">
              <c16:uniqueId val="{0000000A-C571-43E6-8316-9BEC1DCF0A0F}"/>
            </c:ext>
          </c:extLst>
        </c:ser>
        <c:ser>
          <c:idx val="11"/>
          <c:order val="11"/>
          <c:spPr>
            <a:ln w="12700">
              <a:pattFill prst="pct50">
                <a:fgClr>
                  <a:srgbClr val="FF00FF"/>
                </a:fgClr>
                <a:bgClr>
                  <a:srgbClr val="FFFFFF"/>
                </a:bgClr>
              </a:pattFill>
              <a:prstDash val="solid"/>
            </a:ln>
          </c:spPr>
          <c:marker>
            <c:symbol val="none"/>
          </c:marker>
          <c:xVal>
            <c:numRef>
              <c:f>'Simulate two'!$AY$18:$AY$19</c:f>
              <c:numCache>
                <c:formatCode>General</c:formatCode>
                <c:ptCount val="2"/>
                <c:pt idx="0">
                  <c:v>1.4</c:v>
                </c:pt>
                <c:pt idx="1">
                  <c:v>1.95</c:v>
                </c:pt>
              </c:numCache>
            </c:numRef>
          </c:xVal>
          <c:yVal>
            <c:numRef>
              <c:f>'Simulate two'!$AZ$18:$AZ$19</c:f>
              <c:numCache>
                <c:formatCode>General</c:formatCode>
                <c:ptCount val="2"/>
                <c:pt idx="0">
                  <c:v>#N/A</c:v>
                </c:pt>
                <c:pt idx="1">
                  <c:v>#N/A</c:v>
                </c:pt>
              </c:numCache>
            </c:numRef>
          </c:yVal>
          <c:smooth val="0"/>
          <c:extLst>
            <c:ext xmlns:c16="http://schemas.microsoft.com/office/drawing/2014/chart" uri="{C3380CC4-5D6E-409C-BE32-E72D297353CC}">
              <c16:uniqueId val="{0000000B-C571-43E6-8316-9BEC1DCF0A0F}"/>
            </c:ext>
          </c:extLst>
        </c:ser>
        <c:ser>
          <c:idx val="12"/>
          <c:order val="12"/>
          <c:spPr>
            <a:ln w="28575">
              <a:noFill/>
            </a:ln>
          </c:spPr>
          <c:marker>
            <c:symbol val="none"/>
          </c:marker>
          <c:dLbls>
            <c:dLbl>
              <c:idx val="0"/>
              <c:tx>
                <c:rich>
                  <a:bodyPr/>
                  <a:lstStyle/>
                  <a:p>
                    <a:pPr>
                      <a:defRPr sz="1400" b="0" i="0" u="none" strike="noStrike" baseline="0">
                        <a:solidFill>
                          <a:srgbClr val="FF0000"/>
                        </a:solidFill>
                        <a:latin typeface="Symbol"/>
                        <a:ea typeface="Symbol"/>
                        <a:cs typeface="Symbol"/>
                      </a:defRPr>
                    </a:pPr>
                    <a:r>
                      <a:t>s</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571-43E6-8316-9BEC1DCF0A0F}"/>
                </c:ext>
              </c:extLst>
            </c:dLbl>
            <c:dLbl>
              <c:idx val="1"/>
              <c:tx>
                <c:rich>
                  <a:bodyPr/>
                  <a:lstStyle/>
                  <a:p>
                    <a:pPr>
                      <a:defRPr sz="1400" b="0" i="0" u="none" strike="noStrike" baseline="0">
                        <a:solidFill>
                          <a:srgbClr val="FF0000"/>
                        </a:solidFill>
                        <a:latin typeface="Symbol"/>
                        <a:ea typeface="Symbol"/>
                        <a:cs typeface="Symbol"/>
                      </a:defRPr>
                    </a:pPr>
                    <a:r>
                      <a:t>s</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C571-43E6-8316-9BEC1DCF0A0F}"/>
                </c:ext>
              </c:extLst>
            </c:dLbl>
            <c:spPr>
              <a:noFill/>
              <a:ln w="25400">
                <a:noFill/>
              </a:ln>
            </c:spPr>
            <c:txPr>
              <a:bodyPr/>
              <a:lstStyle/>
              <a:p>
                <a:pPr>
                  <a:defRPr sz="1400" b="0" i="0" u="none" strike="noStrike" baseline="0">
                    <a:solidFill>
                      <a:srgbClr val="FF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'Simulate two'!$AY$24:$AY$25</c:f>
              <c:numCache>
                <c:formatCode>General</c:formatCode>
                <c:ptCount val="2"/>
                <c:pt idx="0">
                  <c:v>0.62999999999999989</c:v>
                </c:pt>
                <c:pt idx="1">
                  <c:v>2.3699999999999997</c:v>
                </c:pt>
              </c:numCache>
            </c:numRef>
          </c:xVal>
          <c:yVal>
            <c:numRef>
              <c:f>'Simulate two'!$AZ$24:$AZ$25</c:f>
              <c:numCache>
                <c:formatCode>General</c:formatCode>
                <c:ptCount val="2"/>
                <c:pt idx="0">
                  <c:v>#N/A</c:v>
                </c:pt>
                <c:pt idx="1">
                  <c:v>#N/A</c:v>
                </c:pt>
              </c:numCache>
            </c:numRef>
          </c:yVal>
          <c:smooth val="0"/>
          <c:extLst>
            <c:ext xmlns:c16="http://schemas.microsoft.com/office/drawing/2014/chart" uri="{C3380CC4-5D6E-409C-BE32-E72D297353CC}">
              <c16:uniqueId val="{0000000E-C571-43E6-8316-9BEC1DCF0A0F}"/>
            </c:ext>
          </c:extLst>
        </c:ser>
        <c:ser>
          <c:idx val="13"/>
          <c:order val="13"/>
          <c:spPr>
            <a:ln w="28575">
              <a:noFill/>
            </a:ln>
          </c:spPr>
          <c:marker>
            <c:symbol val="none"/>
          </c:marker>
          <c:dLbls>
            <c:dLbl>
              <c:idx val="0"/>
              <c:tx>
                <c:rich>
                  <a:bodyPr/>
                  <a:lstStyle/>
                  <a:p>
                    <a:pPr>
                      <a:defRPr sz="1200" b="0" i="0" u="none" strike="noStrike" baseline="0">
                        <a:solidFill>
                          <a:srgbClr val="000000"/>
                        </a:solidFill>
                        <a:latin typeface="Arial"/>
                        <a:ea typeface="Arial"/>
                        <a:cs typeface="Arial"/>
                      </a:defRPr>
                    </a:pPr>
                    <a:r>
                      <a:rPr lang="en-AU" sz="1400" b="0" i="0" u="none" strike="noStrike" baseline="0">
                        <a:solidFill>
                          <a:srgbClr val="FF0000"/>
                        </a:solidFill>
                        <a:latin typeface="Symbol"/>
                      </a:rPr>
                      <a:t>m</a:t>
                    </a:r>
                    <a:r>
                      <a:rPr lang="en-AU" sz="1400" b="0" i="0" u="none" strike="noStrike" baseline="-25000">
                        <a:solidFill>
                          <a:srgbClr val="FF0000"/>
                        </a:solidFill>
                        <a:latin typeface="Arial"/>
                        <a:cs typeface="Arial"/>
                      </a:rPr>
                      <a:t>1</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C571-43E6-8316-9BEC1DCF0A0F}"/>
                </c:ext>
              </c:extLst>
            </c:dLbl>
            <c:dLbl>
              <c:idx val="1"/>
              <c:tx>
                <c:rich>
                  <a:bodyPr/>
                  <a:lstStyle/>
                  <a:p>
                    <a:pPr>
                      <a:defRPr sz="1200" b="0" i="0" u="none" strike="noStrike" baseline="0">
                        <a:solidFill>
                          <a:srgbClr val="000000"/>
                        </a:solidFill>
                        <a:latin typeface="Arial"/>
                        <a:ea typeface="Arial"/>
                        <a:cs typeface="Arial"/>
                      </a:defRPr>
                    </a:pPr>
                    <a:r>
                      <a:rPr lang="en-AU" sz="1400" b="0" i="0" u="none" strike="noStrike" baseline="0">
                        <a:solidFill>
                          <a:srgbClr val="FF0000"/>
                        </a:solidFill>
                        <a:latin typeface="Symbol"/>
                      </a:rPr>
                      <a:t>m</a:t>
                    </a:r>
                    <a:r>
                      <a:rPr lang="en-AU" sz="1400" b="0" i="0" u="none" strike="noStrike" baseline="-25000">
                        <a:solidFill>
                          <a:srgbClr val="FF0000"/>
                        </a:solidFill>
                        <a:latin typeface="Arial"/>
                        <a:cs typeface="Arial"/>
                      </a:rPr>
                      <a:t>2</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C571-43E6-8316-9BEC1DCF0A0F}"/>
                </c:ext>
              </c:extLst>
            </c:dLbl>
            <c:spPr>
              <a:noFill/>
              <a:ln w="25400">
                <a:noFill/>
              </a:ln>
            </c:spPr>
            <c:txPr>
              <a:bodyPr/>
              <a:lstStyle/>
              <a:p>
                <a:pPr>
                  <a:defRPr sz="1400" b="0" i="0" u="none" strike="noStrike" baseline="0">
                    <a:solidFill>
                      <a:srgbClr val="FF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'Simulate two'!$AY$27:$AY$28</c:f>
              <c:numCache>
                <c:formatCode>General</c:formatCode>
                <c:ptCount val="2"/>
                <c:pt idx="0">
                  <c:v>0.6</c:v>
                </c:pt>
                <c:pt idx="1">
                  <c:v>2.4</c:v>
                </c:pt>
              </c:numCache>
            </c:numRef>
          </c:xVal>
          <c:yVal>
            <c:numRef>
              <c:f>'Simulate two'!$AZ$27:$AZ$28</c:f>
              <c:numCache>
                <c:formatCode>General</c:formatCode>
                <c:ptCount val="2"/>
                <c:pt idx="0">
                  <c:v>#N/A</c:v>
                </c:pt>
                <c:pt idx="1">
                  <c:v>#N/A</c:v>
                </c:pt>
              </c:numCache>
            </c:numRef>
          </c:yVal>
          <c:smooth val="0"/>
          <c:extLst>
            <c:ext xmlns:c16="http://schemas.microsoft.com/office/drawing/2014/chart" uri="{C3380CC4-5D6E-409C-BE32-E72D297353CC}">
              <c16:uniqueId val="{00000011-C571-43E6-8316-9BEC1DCF0A0F}"/>
            </c:ext>
          </c:extLst>
        </c:ser>
        <c:dLbls>
          <c:showLegendKey val="0"/>
          <c:showVal val="0"/>
          <c:showCatName val="0"/>
          <c:showSerName val="0"/>
          <c:showPercent val="0"/>
          <c:showBubbleSize val="0"/>
        </c:dLbls>
        <c:axId val="185307136"/>
        <c:axId val="185308672"/>
      </c:scatterChart>
      <c:catAx>
        <c:axId val="18530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5308672"/>
        <c:crossesAt val="0"/>
        <c:auto val="1"/>
        <c:lblAlgn val="ctr"/>
        <c:lblOffset val="100"/>
        <c:tickLblSkip val="1"/>
        <c:tickMarkSkip val="1"/>
        <c:noMultiLvlLbl val="0"/>
      </c:catAx>
      <c:valAx>
        <c:axId val="185308672"/>
        <c:scaling>
          <c:orientation val="minMax"/>
          <c:max val="100"/>
          <c:min val="0"/>
        </c:scaling>
        <c:delete val="0"/>
        <c:axPos val="l"/>
        <c:title>
          <c:tx>
            <c:strRef>
              <c:f>'Simulate two'!$W$56</c:f>
              <c:strCache>
                <c:ptCount val="1"/>
                <c:pt idx="0">
                  <c:v>Dependent variable (cm).</c:v>
                </c:pt>
              </c:strCache>
            </c:strRef>
          </c:tx>
          <c:layout>
            <c:manualLayout>
              <c:xMode val="edge"/>
              <c:yMode val="edge"/>
              <c:x val="1.2135922330097087E-2"/>
              <c:y val="0.32490974729241878"/>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5307136"/>
        <c:crosses val="autoZero"/>
        <c:crossBetween val="between"/>
        <c:majorUnit val="10"/>
        <c:minorUnit val="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200" verticalDpi="2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534905903554123"/>
          <c:y val="2.5684931506849314E-2"/>
          <c:w val="0.76976831596147799"/>
          <c:h val="0.90924657534246578"/>
        </c:manualLayout>
      </c:layout>
      <c:scatterChart>
        <c:scatterStyle val="lineMarker"/>
        <c:varyColors val="0"/>
        <c:ser>
          <c:idx val="11"/>
          <c:order val="0"/>
          <c:spPr>
            <a:ln w="28575">
              <a:noFill/>
            </a:ln>
          </c:spPr>
          <c:marker>
            <c:symbol val="triangle"/>
            <c:size val="9"/>
            <c:spPr>
              <a:solidFill>
                <a:srgbClr val="FF00FF"/>
              </a:solidFill>
              <a:ln>
                <a:solidFill>
                  <a:srgbClr val="000000"/>
                </a:solidFill>
                <a:prstDash val="solid"/>
              </a:ln>
            </c:spPr>
          </c:marker>
          <c:dLbls>
            <c:dLbl>
              <c:idx val="0"/>
              <c:delete val="1"/>
              <c:extLst>
                <c:ext xmlns:c15="http://schemas.microsoft.com/office/drawing/2012/chart" uri="{CE6537A1-D6FC-4f65-9D91-7224C49458BB}"/>
                <c:ext xmlns:c16="http://schemas.microsoft.com/office/drawing/2014/chart" uri="{C3380CC4-5D6E-409C-BE32-E72D297353CC}">
                  <c16:uniqueId val="{00000000-64D8-49E9-92E8-C924DE8325D3}"/>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0"/>
            <c:plus>
              <c:numRef>
                <c:f>'Data paired'!$Z$16</c:f>
                <c:numCache>
                  <c:formatCode>General</c:formatCode>
                  <c:ptCount val="1"/>
                  <c:pt idx="0">
                    <c:v>5.7651248336674978</c:v>
                  </c:pt>
                </c:numCache>
              </c:numRef>
            </c:plus>
            <c:minus>
              <c:numRef>
                <c:f>'Data paired'!$Z$16</c:f>
                <c:numCache>
                  <c:formatCode>General</c:formatCode>
                  <c:ptCount val="1"/>
                  <c:pt idx="0">
                    <c:v>5.7651248336674978</c:v>
                  </c:pt>
                </c:numCache>
              </c:numRef>
            </c:minus>
            <c:spPr>
              <a:ln w="25400">
                <a:solidFill>
                  <a:srgbClr val="000000"/>
                </a:solidFill>
                <a:prstDash val="solid"/>
              </a:ln>
            </c:spPr>
          </c:errBars>
          <c:xVal>
            <c:numRef>
              <c:f>'Data paired'!$W$16</c:f>
              <c:numCache>
                <c:formatCode>General</c:formatCode>
                <c:ptCount val="1"/>
                <c:pt idx="0">
                  <c:v>4.0999999999999996</c:v>
                </c:pt>
              </c:numCache>
            </c:numRef>
          </c:xVal>
          <c:yVal>
            <c:numRef>
              <c:f>'Data paired'!$X$16</c:f>
              <c:numCache>
                <c:formatCode>General</c:formatCode>
                <c:ptCount val="1"/>
                <c:pt idx="0">
                  <c:v>451.25</c:v>
                </c:pt>
              </c:numCache>
            </c:numRef>
          </c:yVal>
          <c:smooth val="0"/>
          <c:extLst>
            <c:ext xmlns:c16="http://schemas.microsoft.com/office/drawing/2014/chart" uri="{C3380CC4-5D6E-409C-BE32-E72D297353CC}">
              <c16:uniqueId val="{00000001-64D8-49E9-92E8-C924DE8325D3}"/>
            </c:ext>
          </c:extLst>
        </c:ser>
        <c:ser>
          <c:idx val="8"/>
          <c:order val="1"/>
          <c:spPr>
            <a:ln w="12700">
              <a:solidFill>
                <a:srgbClr val="000000"/>
              </a:solidFill>
              <a:prstDash val="solid"/>
            </a:ln>
          </c:spPr>
          <c:marker>
            <c:symbol val="dot"/>
            <c:size val="8"/>
            <c:spPr>
              <a:noFill/>
              <a:ln>
                <a:solidFill>
                  <a:srgbClr val="000000"/>
                </a:solidFill>
                <a:prstDash val="solid"/>
              </a:ln>
            </c:spPr>
          </c:marker>
          <c:dLbls>
            <c:dLbl>
              <c:idx val="0"/>
              <c:tx>
                <c:strRef>
                  <c:f>'Data paired'!$AD$63</c:f>
                  <c:strCache>
                    <c:ptCount val="1"/>
                    <c:pt idx="0">
                      <c:v>50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{52CCBE82-317B-4A8E-8467-2A953AD0C297}</c15:txfldGUID>
                      <c15:f>'Data paired'!$AD$63</c15:f>
                      <c15:dlblFieldTableCache>
                        <c:ptCount val="1"/>
                        <c:pt idx="0">
                          <c:v>50</c:v>
                        </c:pt>
                      </c15:dlblFieldTableCache>
                    </c15:dlblFTEntry>
                  </c15:dlblFieldTable>
                  <c15:showDataLabelsRange val="0"/>
                </c:ext>
                <c:ext xmlns:c16="http://schemas.microsoft.com/office/drawing/2014/chart" uri="{C3380CC4-5D6E-409C-BE32-E72D297353CC}">
                  <c16:uniqueId val="{00000002-64D8-49E9-92E8-C924DE8325D3}"/>
                </c:ext>
              </c:extLst>
            </c:dLbl>
            <c:dLbl>
              <c:idx val="1"/>
              <c:delete val="1"/>
              <c:extLst>
                <c:ext xmlns:c15="http://schemas.microsoft.com/office/drawing/2012/chart" uri="{CE6537A1-D6FC-4f65-9D91-7224C49458BB}"/>
                <c:ext xmlns:c16="http://schemas.microsoft.com/office/drawing/2014/chart" uri="{C3380CC4-5D6E-409C-BE32-E72D297353CC}">
                  <c16:uniqueId val="{00000003-64D8-49E9-92E8-C924DE8325D3}"/>
                </c:ext>
              </c:extLst>
            </c:dLbl>
            <c:dLbl>
              <c:idx val="2"/>
              <c:tx>
                <c:strRef>
                  <c:f>'Data paired'!$AD$65</c:f>
                  <c:strCache>
                    <c:ptCount val="1"/>
                    <c:pt idx="0">
                      <c:v>40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{A50C8B19-1F6C-446F-AB22-F76CC28F0E70}</c15:txfldGUID>
                      <c15:f>'Data paired'!$AD$65</c15:f>
                      <c15:dlblFieldTableCache>
                        <c:ptCount val="1"/>
                        <c:pt idx="0">
                          <c:v>40</c:v>
                        </c:pt>
                      </c15:dlblFieldTableCache>
                    </c15:dlblFTEntry>
                  </c15:dlblFieldTable>
                  <c15:showDataLabelsRange val="0"/>
                </c:ext>
                <c:ext xmlns:c16="http://schemas.microsoft.com/office/drawing/2014/chart" uri="{C3380CC4-5D6E-409C-BE32-E72D297353CC}">
                  <c16:uniqueId val="{00000004-64D8-49E9-92E8-C924DE8325D3}"/>
                </c:ext>
              </c:extLst>
            </c:dLbl>
            <c:dLbl>
              <c:idx val="3"/>
              <c:delete val="1"/>
              <c:extLst>
                <c:ext xmlns:c15="http://schemas.microsoft.com/office/drawing/2012/chart" uri="{CE6537A1-D6FC-4f65-9D91-7224C49458BB}"/>
                <c:ext xmlns:c16="http://schemas.microsoft.com/office/drawing/2014/chart" uri="{C3380CC4-5D6E-409C-BE32-E72D297353CC}">
                  <c16:uniqueId val="{00000005-64D8-49E9-92E8-C924DE8325D3}"/>
                </c:ext>
              </c:extLst>
            </c:dLbl>
            <c:dLbl>
              <c:idx val="4"/>
              <c:tx>
                <c:strRef>
                  <c:f>'Data paired'!$AD$67</c:f>
                  <c:strCache>
                    <c:ptCount val="1"/>
                    <c:pt idx="0">
                      <c:v>30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{385C81E3-C283-4E5C-B99D-76FE64EB7561}</c15:txfldGUID>
                      <c15:f>'Data paired'!$AD$67</c15:f>
                      <c15:dlblFieldTableCache>
                        <c:ptCount val="1"/>
                        <c:pt idx="0">
                          <c:v>30</c:v>
                        </c:pt>
                      </c15:dlblFieldTableCache>
                    </c15:dlblFTEntry>
                  </c15:dlblFieldTable>
                  <c15:showDataLabelsRange val="0"/>
                </c:ext>
                <c:ext xmlns:c16="http://schemas.microsoft.com/office/drawing/2014/chart" uri="{C3380CC4-5D6E-409C-BE32-E72D297353CC}">
                  <c16:uniqueId val="{00000006-64D8-49E9-92E8-C924DE8325D3}"/>
                </c:ext>
              </c:extLst>
            </c:dLbl>
            <c:dLbl>
              <c:idx val="5"/>
              <c:delete val="1"/>
              <c:extLst>
                <c:ext xmlns:c15="http://schemas.microsoft.com/office/drawing/2012/chart" uri="{CE6537A1-D6FC-4f65-9D91-7224C49458BB}"/>
                <c:ext xmlns:c16="http://schemas.microsoft.com/office/drawing/2014/chart" uri="{C3380CC4-5D6E-409C-BE32-E72D297353CC}">
                  <c16:uniqueId val="{00000007-64D8-49E9-92E8-C924DE8325D3}"/>
                </c:ext>
              </c:extLst>
            </c:dLbl>
            <c:dLbl>
              <c:idx val="6"/>
              <c:tx>
                <c:strRef>
                  <c:f>'Data paired'!$AD$69</c:f>
                  <c:strCache>
                    <c:ptCount val="1"/>
                    <c:pt idx="0">
                      <c:v>20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{10D615C2-5610-48FE-A7A5-2918CE07EA75}</c15:txfldGUID>
                      <c15:f>'Data paired'!$AD$69</c15:f>
                      <c15:dlblFieldTableCache>
                        <c:ptCount val="1"/>
                        <c:pt idx="0">
                          <c:v>20</c:v>
                        </c:pt>
                      </c15:dlblFieldTableCache>
                    </c15:dlblFTEntry>
                  </c15:dlblFieldTable>
                  <c15:showDataLabelsRange val="0"/>
                </c:ext>
                <c:ext xmlns:c16="http://schemas.microsoft.com/office/drawing/2014/chart" uri="{C3380CC4-5D6E-409C-BE32-E72D297353CC}">
                  <c16:uniqueId val="{00000008-64D8-49E9-92E8-C924DE8325D3}"/>
                </c:ext>
              </c:extLst>
            </c:dLbl>
            <c:dLbl>
              <c:idx val="7"/>
              <c:delete val="1"/>
              <c:extLst>
                <c:ext xmlns:c15="http://schemas.microsoft.com/office/drawing/2012/chart" uri="{CE6537A1-D6FC-4f65-9D91-7224C49458BB}"/>
                <c:ext xmlns:c16="http://schemas.microsoft.com/office/drawing/2014/chart" uri="{C3380CC4-5D6E-409C-BE32-E72D297353CC}">
                  <c16:uniqueId val="{00000009-64D8-49E9-92E8-C924DE8325D3}"/>
                </c:ext>
              </c:extLst>
            </c:dLbl>
            <c:dLbl>
              <c:idx val="8"/>
              <c:tx>
                <c:strRef>
                  <c:f>'Data paired'!$AD$71</c:f>
                  <c:strCache>
                    <c:ptCount val="1"/>
                    <c:pt idx="0">
                      <c:v>10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{D1A63F78-9109-4D80-AFFD-89607DF80A7F}</c15:txfldGUID>
                      <c15:f>'Data paired'!$AD$71</c15:f>
                      <c15:dlblFieldTableCache>
                        <c:ptCount val="1"/>
                        <c:pt idx="0">
                          <c:v>10</c:v>
                        </c:pt>
                      </c15:dlblFieldTableCache>
                    </c15:dlblFTEntry>
                  </c15:dlblFieldTable>
                  <c15:showDataLabelsRange val="0"/>
                </c:ext>
                <c:ext xmlns:c16="http://schemas.microsoft.com/office/drawing/2014/chart" uri="{C3380CC4-5D6E-409C-BE32-E72D297353CC}">
                  <c16:uniqueId val="{0000000A-64D8-49E9-92E8-C924DE8325D3}"/>
                </c:ext>
              </c:extLst>
            </c:dLbl>
            <c:dLbl>
              <c:idx val="9"/>
              <c:delete val="1"/>
              <c:extLst>
                <c:ext xmlns:c15="http://schemas.microsoft.com/office/drawing/2012/chart" uri="{CE6537A1-D6FC-4f65-9D91-7224C49458BB}"/>
                <c:ext xmlns:c16="http://schemas.microsoft.com/office/drawing/2014/chart" uri="{C3380CC4-5D6E-409C-BE32-E72D297353CC}">
                  <c16:uniqueId val="{0000000B-64D8-49E9-92E8-C924DE8325D3}"/>
                </c:ext>
              </c:extLst>
            </c:dLbl>
            <c:dLbl>
              <c:idx val="10"/>
              <c:tx>
                <c:strRef>
                  <c:f>'Data paired'!$AD$73</c:f>
                  <c:strCache>
                    <c:ptCount val="1"/>
                    <c:pt idx="0">
                      <c:v>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{7BCB4F55-19B1-4144-B460-CF5586B0B45D}</c15:txfldGUID>
                      <c15:f>'Data paired'!$AD$73</c15:f>
                      <c15:dlblFieldTableCache>
                        <c:ptCount val="1"/>
                        <c:pt idx="0">
                          <c:v>0</c:v>
                        </c:pt>
                      </c15:dlblFieldTableCache>
                    </c15:dlblFTEntry>
                  </c15:dlblFieldTable>
                  <c15:showDataLabelsRange val="0"/>
                </c:ext>
                <c:ext xmlns:c16="http://schemas.microsoft.com/office/drawing/2014/chart" uri="{C3380CC4-5D6E-409C-BE32-E72D297353CC}">
                  <c16:uniqueId val="{0000000C-64D8-49E9-92E8-C924DE8325D3}"/>
                </c:ext>
              </c:extLst>
            </c:dLbl>
            <c:dLbl>
              <c:idx val="11"/>
              <c:delete val="1"/>
              <c:extLst>
                <c:ext xmlns:c15="http://schemas.microsoft.com/office/drawing/2012/chart" uri="{CE6537A1-D6FC-4f65-9D91-7224C49458BB}"/>
                <c:ext xmlns:c16="http://schemas.microsoft.com/office/drawing/2014/chart" uri="{C3380CC4-5D6E-409C-BE32-E72D297353CC}">
                  <c16:uniqueId val="{0000000D-64D8-49E9-92E8-C924DE8325D3}"/>
                </c:ext>
              </c:extLst>
            </c:dLbl>
            <c:dLbl>
              <c:idx val="12"/>
              <c:tx>
                <c:strRef>
                  <c:f>'Data paired'!$AD$75</c:f>
                  <c:strCache>
                    <c:ptCount val="1"/>
                    <c:pt idx="0">
                      <c:v>-10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{FB4BC2DF-C047-4AAB-8592-A4BBDA560FF9}</c15:txfldGUID>
                      <c15:f>'Data paired'!$AD$75</c15:f>
                      <c15:dlblFieldTableCache>
                        <c:ptCount val="1"/>
                        <c:pt idx="0">
                          <c:v>-10</c:v>
                        </c:pt>
                      </c15:dlblFieldTableCache>
                    </c15:dlblFTEntry>
                  </c15:dlblFieldTable>
                  <c15:showDataLabelsRange val="0"/>
                </c:ext>
                <c:ext xmlns:c16="http://schemas.microsoft.com/office/drawing/2014/chart" uri="{C3380CC4-5D6E-409C-BE32-E72D297353CC}">
                  <c16:uniqueId val="{0000000E-64D8-49E9-92E8-C924DE8325D3}"/>
                </c:ext>
              </c:extLst>
            </c:dLbl>
            <c:dLbl>
              <c:idx val="13"/>
              <c:delete val="1"/>
              <c:extLst>
                <c:ext xmlns:c15="http://schemas.microsoft.com/office/drawing/2012/chart" uri="{CE6537A1-D6FC-4f65-9D91-7224C49458BB}"/>
                <c:ext xmlns:c16="http://schemas.microsoft.com/office/drawing/2014/chart" uri="{C3380CC4-5D6E-409C-BE32-E72D297353CC}">
                  <c16:uniqueId val="{0000000F-64D8-49E9-92E8-C924DE8325D3}"/>
                </c:ext>
              </c:extLst>
            </c:dLbl>
            <c:dLbl>
              <c:idx val="14"/>
              <c:tx>
                <c:strRef>
                  <c:f>'Data paired'!$AD$77</c:f>
                  <c:strCache>
                    <c:ptCount val="1"/>
                    <c:pt idx="0">
                      <c:v>-20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{03BFA988-1DFE-47EE-995C-BDF20C2130CD}</c15:txfldGUID>
                      <c15:f>'Data paired'!$AD$77</c15:f>
                      <c15:dlblFieldTableCache>
                        <c:ptCount val="1"/>
                        <c:pt idx="0">
                          <c:v>-20</c:v>
                        </c:pt>
                      </c15:dlblFieldTableCache>
                    </c15:dlblFTEntry>
                  </c15:dlblFieldTable>
                  <c15:showDataLabelsRange val="0"/>
                </c:ext>
                <c:ext xmlns:c16="http://schemas.microsoft.com/office/drawing/2014/chart" uri="{C3380CC4-5D6E-409C-BE32-E72D297353CC}">
                  <c16:uniqueId val="{00000010-64D8-49E9-92E8-C924DE8325D3}"/>
                </c:ext>
              </c:extLst>
            </c:dLbl>
            <c:dLbl>
              <c:idx val="15"/>
              <c:delete val="1"/>
              <c:extLst>
                <c:ext xmlns:c15="http://schemas.microsoft.com/office/drawing/2012/chart" uri="{CE6537A1-D6FC-4f65-9D91-7224C49458BB}"/>
                <c:ext xmlns:c16="http://schemas.microsoft.com/office/drawing/2014/chart" uri="{C3380CC4-5D6E-409C-BE32-E72D297353CC}">
                  <c16:uniqueId val="{00000011-64D8-49E9-92E8-C924DE8325D3}"/>
                </c:ext>
              </c:extLst>
            </c:dLbl>
            <c:dLbl>
              <c:idx val="16"/>
              <c:tx>
                <c:strRef>
                  <c:f>'Data paired'!$AD$79</c:f>
                  <c:strCache>
                    <c:ptCount val="1"/>
                    <c:pt idx="0">
                      <c:v>-30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{3CC8B84A-DFA1-4359-BE84-E659C3404D62}</c15:txfldGUID>
                      <c15:f>'Data paired'!$AD$79</c15:f>
                      <c15:dlblFieldTableCache>
                        <c:ptCount val="1"/>
                        <c:pt idx="0">
                          <c:v>-30</c:v>
                        </c:pt>
                      </c15:dlblFieldTableCache>
                    </c15:dlblFTEntry>
                  </c15:dlblFieldTable>
                  <c15:showDataLabelsRange val="0"/>
                </c:ext>
                <c:ext xmlns:c16="http://schemas.microsoft.com/office/drawing/2014/chart" uri="{C3380CC4-5D6E-409C-BE32-E72D297353CC}">
                  <c16:uniqueId val="{00000012-64D8-49E9-92E8-C924DE8325D3}"/>
                </c:ext>
              </c:extLst>
            </c:dLbl>
            <c:dLbl>
              <c:idx val="17"/>
              <c:delete val="1"/>
              <c:extLst>
                <c:ext xmlns:c15="http://schemas.microsoft.com/office/drawing/2012/chart" uri="{CE6537A1-D6FC-4f65-9D91-7224C49458BB}"/>
                <c:ext xmlns:c16="http://schemas.microsoft.com/office/drawing/2014/chart" uri="{C3380CC4-5D6E-409C-BE32-E72D297353CC}">
                  <c16:uniqueId val="{00000013-64D8-49E9-92E8-C924DE8325D3}"/>
                </c:ext>
              </c:extLst>
            </c:dLbl>
            <c:dLbl>
              <c:idx val="18"/>
              <c:tx>
                <c:strRef>
                  <c:f>'Data paired'!$AD$81</c:f>
                  <c:strCache>
                    <c:ptCount val="1"/>
                    <c:pt idx="0">
                      <c:v>-40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{C0BC17B5-9B8D-4FF8-99D7-8B0204867653}</c15:txfldGUID>
                      <c15:f>'Data paired'!$AD$81</c15:f>
                      <c15:dlblFieldTableCache>
                        <c:ptCount val="1"/>
                        <c:pt idx="0">
                          <c:v>-40</c:v>
                        </c:pt>
                      </c15:dlblFieldTableCache>
                    </c15:dlblFTEntry>
                  </c15:dlblFieldTable>
                  <c15:showDataLabelsRange val="0"/>
                </c:ext>
                <c:ext xmlns:c16="http://schemas.microsoft.com/office/drawing/2014/chart" uri="{C3380CC4-5D6E-409C-BE32-E72D297353CC}">
                  <c16:uniqueId val="{00000014-64D8-49E9-92E8-C924DE8325D3}"/>
                </c:ext>
              </c:extLst>
            </c:dLbl>
            <c:dLbl>
              <c:idx val="19"/>
              <c:delete val="1"/>
              <c:extLst>
                <c:ext xmlns:c15="http://schemas.microsoft.com/office/drawing/2012/chart" uri="{CE6537A1-D6FC-4f65-9D91-7224C49458BB}"/>
                <c:ext xmlns:c16="http://schemas.microsoft.com/office/drawing/2014/chart" uri="{C3380CC4-5D6E-409C-BE32-E72D297353CC}">
                  <c16:uniqueId val="{00000015-64D8-49E9-92E8-C924DE8325D3}"/>
                </c:ext>
              </c:extLst>
            </c:dLbl>
            <c:dLbl>
              <c:idx val="20"/>
              <c:tx>
                <c:strRef>
                  <c:f>'Data paired'!$AD$83</c:f>
                  <c:strCache>
                    <c:ptCount val="1"/>
                    <c:pt idx="0">
                      <c:v>-50</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{F507A461-701D-4C5B-92C1-E7032A3F9B59}</c15:txfldGUID>
                      <c15:f>'Data paired'!$AD$83</c15:f>
                      <c15:dlblFieldTableCache>
                        <c:ptCount val="1"/>
                        <c:pt idx="0">
                          <c:v>-50</c:v>
                        </c:pt>
                      </c15:dlblFieldTableCache>
                    </c15:dlblFTEntry>
                  </c15:dlblFieldTable>
                  <c15:showDataLabelsRange val="0"/>
                </c:ext>
                <c:ext xmlns:c16="http://schemas.microsoft.com/office/drawing/2014/chart" uri="{C3380CC4-5D6E-409C-BE32-E72D297353CC}">
                  <c16:uniqueId val="{00000016-64D8-49E9-92E8-C924DE8325D3}"/>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'Data paired'!$AF$63:$AF$83</c:f>
              <c:numCache>
                <c:formatCode>General</c:formatCode>
                <c:ptCount val="21"/>
                <c:pt idx="0">
                  <c:v>4.5999999999999996</c:v>
                </c:pt>
                <c:pt idx="1">
                  <c:v>4.5999999999999996</c:v>
                </c:pt>
                <c:pt idx="2">
                  <c:v>4.5999999999999996</c:v>
                </c:pt>
                <c:pt idx="3">
                  <c:v>4.5999999999999996</c:v>
                </c:pt>
                <c:pt idx="4">
                  <c:v>4.5999999999999996</c:v>
                </c:pt>
                <c:pt idx="5">
                  <c:v>4.5999999999999996</c:v>
                </c:pt>
                <c:pt idx="6">
                  <c:v>4.5999999999999996</c:v>
                </c:pt>
                <c:pt idx="7">
                  <c:v>4.5999999999999996</c:v>
                </c:pt>
                <c:pt idx="8">
                  <c:v>4.5999999999999996</c:v>
                </c:pt>
                <c:pt idx="9">
                  <c:v>4.5999999999999996</c:v>
                </c:pt>
                <c:pt idx="10">
                  <c:v>4.5999999999999996</c:v>
                </c:pt>
                <c:pt idx="11">
                  <c:v>4.5999999999999996</c:v>
                </c:pt>
                <c:pt idx="12">
                  <c:v>4.5999999999999996</c:v>
                </c:pt>
                <c:pt idx="13">
                  <c:v>4.5999999999999996</c:v>
                </c:pt>
                <c:pt idx="14">
                  <c:v>4.5999999999999996</c:v>
                </c:pt>
                <c:pt idx="15">
                  <c:v>4.5999999999999996</c:v>
                </c:pt>
                <c:pt idx="16">
                  <c:v>4.5999999999999996</c:v>
                </c:pt>
                <c:pt idx="17">
                  <c:v>4.5999999999999996</c:v>
                </c:pt>
                <c:pt idx="18">
                  <c:v>4.5999999999999996</c:v>
                </c:pt>
                <c:pt idx="19">
                  <c:v>4.5999999999999996</c:v>
                </c:pt>
                <c:pt idx="20">
                  <c:v>4.5999999999999996</c:v>
                </c:pt>
              </c:numCache>
            </c:numRef>
          </c:xVal>
          <c:yVal>
            <c:numRef>
              <c:f>'Data paired'!$AG$63:$AG$83</c:f>
              <c:numCache>
                <c:formatCode>General</c:formatCode>
                <c:ptCount val="21"/>
                <c:pt idx="0">
                  <c:v>#N/A</c:v>
                </c:pt>
                <c:pt idx="1">
                  <c:v>#N/A</c:v>
                </c:pt>
                <c:pt idx="2">
                  <c:v>#N/A</c:v>
                </c:pt>
                <c:pt idx="3">
                  <c:v>#N/A</c:v>
                </c:pt>
                <c:pt idx="4">
                  <c:v>#N/A</c:v>
                </c:pt>
                <c:pt idx="5">
                  <c:v>470.125</c:v>
                </c:pt>
                <c:pt idx="6">
                  <c:v>465.125</c:v>
                </c:pt>
                <c:pt idx="7">
                  <c:v>460.125</c:v>
                </c:pt>
                <c:pt idx="8">
                  <c:v>455.125</c:v>
                </c:pt>
                <c:pt idx="9">
                  <c:v>450.125</c:v>
                </c:pt>
                <c:pt idx="10">
                  <c:v>445.125</c:v>
                </c:pt>
                <c:pt idx="11">
                  <c:v>440.125</c:v>
                </c:pt>
                <c:pt idx="12">
                  <c:v>435.125</c:v>
                </c:pt>
                <c:pt idx="13">
                  <c:v>430.125</c:v>
                </c:pt>
                <c:pt idx="14">
                  <c:v>425.125</c:v>
                </c:pt>
                <c:pt idx="15">
                  <c:v>420.125</c:v>
                </c:pt>
                <c:pt idx="16">
                  <c:v>#N/A</c:v>
                </c:pt>
                <c:pt idx="17">
                  <c:v>#N/A</c:v>
                </c:pt>
                <c:pt idx="18">
                  <c:v>#N/A</c:v>
                </c:pt>
                <c:pt idx="19">
                  <c:v>#N/A</c:v>
                </c:pt>
                <c:pt idx="20">
                  <c:v>#N/A</c:v>
                </c:pt>
              </c:numCache>
            </c:numRef>
          </c:yVal>
          <c:smooth val="0"/>
          <c:extLst>
            <c:ext xmlns:c16="http://schemas.microsoft.com/office/drawing/2014/chart" uri="{C3380CC4-5D6E-409C-BE32-E72D297353CC}">
              <c16:uniqueId val="{00000017-64D8-49E9-92E8-C924DE8325D3}"/>
            </c:ext>
          </c:extLst>
        </c:ser>
        <c:ser>
          <c:idx val="9"/>
          <c:order val="2"/>
          <c:spPr>
            <a:ln w="12700">
              <a:solidFill>
                <a:srgbClr val="000000"/>
              </a:solidFill>
              <a:prstDash val="solid"/>
            </a:ln>
          </c:spPr>
          <c:marker>
            <c:symbol val="none"/>
          </c:marker>
          <c:xVal>
            <c:numRef>
              <c:f>'Data paired'!$Z$3:$Z$4</c:f>
              <c:numCache>
                <c:formatCode>General</c:formatCode>
                <c:ptCount val="2"/>
                <c:pt idx="0">
                  <c:v>4.0999999999999996</c:v>
                </c:pt>
                <c:pt idx="1">
                  <c:v>4.5999999999999996</c:v>
                </c:pt>
              </c:numCache>
            </c:numRef>
          </c:xVal>
          <c:yVal>
            <c:numRef>
              <c:f>'Data paired'!$AA$3:$AA$4</c:f>
              <c:numCache>
                <c:formatCode>General</c:formatCode>
                <c:ptCount val="2"/>
                <c:pt idx="0">
                  <c:v>451.25</c:v>
                </c:pt>
                <c:pt idx="1">
                  <c:v>451.25</c:v>
                </c:pt>
              </c:numCache>
            </c:numRef>
          </c:yVal>
          <c:smooth val="0"/>
          <c:extLst>
            <c:ext xmlns:c16="http://schemas.microsoft.com/office/drawing/2014/chart" uri="{C3380CC4-5D6E-409C-BE32-E72D297353CC}">
              <c16:uniqueId val="{00000018-64D8-49E9-92E8-C924DE8325D3}"/>
            </c:ext>
          </c:extLst>
        </c:ser>
        <c:ser>
          <c:idx val="12"/>
          <c:order val="3"/>
          <c:spPr>
            <a:ln w="12700">
              <a:solidFill>
                <a:srgbClr val="000000"/>
              </a:solidFill>
              <a:prstDash val="sysDash"/>
            </a:ln>
          </c:spPr>
          <c:marker>
            <c:symbol val="none"/>
          </c:marker>
          <c:xVal>
            <c:numRef>
              <c:f>'Data paired'!$Z$5:$Z$6</c:f>
              <c:numCache>
                <c:formatCode>General</c:formatCode>
                <c:ptCount val="2"/>
                <c:pt idx="0">
                  <c:v>3</c:v>
                </c:pt>
                <c:pt idx="1">
                  <c:v>4.0999999999999996</c:v>
                </c:pt>
              </c:numCache>
            </c:numRef>
          </c:xVal>
          <c:yVal>
            <c:numRef>
              <c:f>'Data paired'!$AA$5:$AA$6</c:f>
              <c:numCache>
                <c:formatCode>General</c:formatCode>
                <c:ptCount val="2"/>
                <c:pt idx="0">
                  <c:v>451.25</c:v>
                </c:pt>
                <c:pt idx="1">
                  <c:v>451.25</c:v>
                </c:pt>
              </c:numCache>
            </c:numRef>
          </c:yVal>
          <c:smooth val="0"/>
          <c:extLst>
            <c:ext xmlns:c16="http://schemas.microsoft.com/office/drawing/2014/chart" uri="{C3380CC4-5D6E-409C-BE32-E72D297353CC}">
              <c16:uniqueId val="{00000019-64D8-49E9-92E8-C924DE8325D3}"/>
            </c:ext>
          </c:extLst>
        </c:ser>
        <c:ser>
          <c:idx val="13"/>
          <c:order val="4"/>
          <c:spPr>
            <a:ln w="12700">
              <a:solidFill>
                <a:srgbClr val="000000"/>
              </a:solidFill>
              <a:prstDash val="sysDash"/>
            </a:ln>
          </c:spPr>
          <c:marker>
            <c:symbol val="none"/>
          </c:marker>
          <c:xVal>
            <c:numRef>
              <c:f>'Data paired'!$Z$7:$Z$8</c:f>
              <c:numCache>
                <c:formatCode>General</c:formatCode>
                <c:ptCount val="2"/>
                <c:pt idx="0">
                  <c:v>1</c:v>
                </c:pt>
                <c:pt idx="1">
                  <c:v>4.5999999999999996</c:v>
                </c:pt>
              </c:numCache>
            </c:numRef>
          </c:xVal>
          <c:yVal>
            <c:numRef>
              <c:f>'Data paired'!$AA$7:$AA$8</c:f>
              <c:numCache>
                <c:formatCode>General</c:formatCode>
                <c:ptCount val="2"/>
                <c:pt idx="0">
                  <c:v>445.125</c:v>
                </c:pt>
                <c:pt idx="1">
                  <c:v>445.125</c:v>
                </c:pt>
              </c:numCache>
            </c:numRef>
          </c:yVal>
          <c:smooth val="0"/>
          <c:extLst>
            <c:ext xmlns:c16="http://schemas.microsoft.com/office/drawing/2014/chart" uri="{C3380CC4-5D6E-409C-BE32-E72D297353CC}">
              <c16:uniqueId val="{0000001A-64D8-49E9-92E8-C924DE8325D3}"/>
            </c:ext>
          </c:extLst>
        </c:ser>
        <c:ser>
          <c:idx val="0"/>
          <c:order val="5"/>
          <c:spPr>
            <a:ln w="28575">
              <a:noFill/>
            </a:ln>
          </c:spPr>
          <c:marker>
            <c:symbol val="circle"/>
            <c:size val="7"/>
            <c:spPr>
              <a:solidFill>
                <a:srgbClr val="000000"/>
              </a:solidFill>
              <a:ln>
                <a:solidFill>
                  <a:srgbClr val="000000"/>
                </a:solidFill>
                <a:prstDash val="solid"/>
              </a:ln>
            </c:spPr>
          </c:marker>
          <c:xVal>
            <c:numRef>
              <c:f>'Data paired'!$X$10:$X$11</c:f>
              <c:numCache>
                <c:formatCode>General</c:formatCode>
                <c:ptCount val="2"/>
                <c:pt idx="0">
                  <c:v>1</c:v>
                </c:pt>
                <c:pt idx="1">
                  <c:v>3</c:v>
                </c:pt>
              </c:numCache>
            </c:numRef>
          </c:xVal>
          <c:yVal>
            <c:numRef>
              <c:f>'Data paired'!$Y$10:$Y$11</c:f>
              <c:numCache>
                <c:formatCode>General</c:formatCode>
                <c:ptCount val="2"/>
                <c:pt idx="0">
                  <c:v>445.125</c:v>
                </c:pt>
                <c:pt idx="1">
                  <c:v>451.25</c:v>
                </c:pt>
              </c:numCache>
            </c:numRef>
          </c:yVal>
          <c:smooth val="0"/>
          <c:extLst>
            <c:ext xmlns:c16="http://schemas.microsoft.com/office/drawing/2014/chart" uri="{C3380CC4-5D6E-409C-BE32-E72D297353CC}">
              <c16:uniqueId val="{0000001B-64D8-49E9-92E8-C924DE8325D3}"/>
            </c:ext>
          </c:extLst>
        </c:ser>
        <c:ser>
          <c:idx val="3"/>
          <c:order val="6"/>
          <c:spPr>
            <a:ln w="28575">
              <a:noFill/>
            </a:ln>
          </c:spPr>
          <c:marker>
            <c:symbol val="none"/>
          </c:marker>
          <c:errBars>
            <c:errDir val="y"/>
            <c:errBarType val="both"/>
            <c:errValType val="cust"/>
            <c:noEndCap val="0"/>
            <c:plus>
              <c:numRef>
                <c:f>'Data paired'!$X$14:$Y$14</c:f>
                <c:numCache>
                  <c:formatCode>General</c:formatCode>
                  <c:ptCount val="2"/>
                  <c:pt idx="0">
                    <c:v>12.411763647740019</c:v>
                  </c:pt>
                  <c:pt idx="1">
                    <c:v>10.372340502242993</c:v>
                  </c:pt>
                </c:numCache>
              </c:numRef>
            </c:plus>
            <c:minus>
              <c:numRef>
                <c:f>'Data paired'!$X$14:$Y$14</c:f>
                <c:numCache>
                  <c:formatCode>General</c:formatCode>
                  <c:ptCount val="2"/>
                  <c:pt idx="0">
                    <c:v>12.411763647740019</c:v>
                  </c:pt>
                  <c:pt idx="1">
                    <c:v>10.372340502242993</c:v>
                  </c:pt>
                </c:numCache>
              </c:numRef>
            </c:minus>
            <c:spPr>
              <a:ln w="12700">
                <a:solidFill>
                  <a:srgbClr val="000000"/>
                </a:solidFill>
                <a:prstDash val="solid"/>
              </a:ln>
            </c:spPr>
          </c:errBars>
          <c:xVal>
            <c:numRef>
              <c:f>'Data paired'!$X$12:$X$13</c:f>
              <c:numCache>
                <c:formatCode>General</c:formatCode>
                <c:ptCount val="2"/>
                <c:pt idx="0">
                  <c:v>1</c:v>
                </c:pt>
                <c:pt idx="1">
                  <c:v>3</c:v>
                </c:pt>
              </c:numCache>
            </c:numRef>
          </c:xVal>
          <c:yVal>
            <c:numRef>
              <c:f>'Data paired'!$Y$12:$Y$13</c:f>
              <c:numCache>
                <c:formatCode>General</c:formatCode>
                <c:ptCount val="2"/>
                <c:pt idx="0">
                  <c:v>445.125</c:v>
                </c:pt>
                <c:pt idx="1">
                  <c:v>451.25</c:v>
                </c:pt>
              </c:numCache>
            </c:numRef>
          </c:yVal>
          <c:smooth val="0"/>
          <c:extLst>
            <c:ext xmlns:c16="http://schemas.microsoft.com/office/drawing/2014/chart" uri="{C3380CC4-5D6E-409C-BE32-E72D297353CC}">
              <c16:uniqueId val="{0000001C-64D8-49E9-92E8-C924DE8325D3}"/>
            </c:ext>
          </c:extLst>
        </c:ser>
        <c:ser>
          <c:idx val="4"/>
          <c:order val="7"/>
          <c:spPr>
            <a:ln w="28575">
              <a:noFill/>
            </a:ln>
          </c:spPr>
          <c:marker>
            <c:symbol val="triangle"/>
            <c:size val="6"/>
            <c:spPr>
              <a:noFill/>
              <a:ln>
                <a:solidFill>
                  <a:srgbClr val="FF00FF"/>
                </a:solidFill>
                <a:prstDash val="solid"/>
              </a:ln>
            </c:spPr>
          </c:marker>
          <c:xVal>
            <c:numRef>
              <c:f>'Data paired'!$U$65:$U$164</c:f>
              <c:numCache>
                <c:formatCode>General</c:formatCode>
                <c:ptCount val="100"/>
                <c:pt idx="0">
                  <c:v>3.9</c:v>
                </c:pt>
                <c:pt idx="1">
                  <c:v>3.9</c:v>
                </c:pt>
                <c:pt idx="2">
                  <c:v>3.9</c:v>
                </c:pt>
                <c:pt idx="3">
                  <c:v>3.9</c:v>
                </c:pt>
                <c:pt idx="4">
                  <c:v>3.9</c:v>
                </c:pt>
                <c:pt idx="5">
                  <c:v>3.9</c:v>
                </c:pt>
                <c:pt idx="6">
                  <c:v>3.9</c:v>
                </c:pt>
                <c:pt idx="7">
                  <c:v>3.9</c:v>
                </c:pt>
                <c:pt idx="8">
                  <c:v>3.9</c:v>
                </c:pt>
                <c:pt idx="9">
                  <c:v>3.9</c:v>
                </c:pt>
                <c:pt idx="10">
                  <c:v>3.9</c:v>
                </c:pt>
                <c:pt idx="11">
                  <c:v>3.9</c:v>
                </c:pt>
                <c:pt idx="12">
                  <c:v>3.9</c:v>
                </c:pt>
                <c:pt idx="13">
                  <c:v>3.9</c:v>
                </c:pt>
                <c:pt idx="14">
                  <c:v>3.9</c:v>
                </c:pt>
                <c:pt idx="15">
                  <c:v>3.9</c:v>
                </c:pt>
                <c:pt idx="16">
                  <c:v>3.9</c:v>
                </c:pt>
                <c:pt idx="17">
                  <c:v>3.9</c:v>
                </c:pt>
                <c:pt idx="18">
                  <c:v>3.9</c:v>
                </c:pt>
                <c:pt idx="19">
                  <c:v>3.9</c:v>
                </c:pt>
                <c:pt idx="20">
                  <c:v>3.9</c:v>
                </c:pt>
                <c:pt idx="21">
                  <c:v>3.9</c:v>
                </c:pt>
                <c:pt idx="22">
                  <c:v>3.9</c:v>
                </c:pt>
                <c:pt idx="23">
                  <c:v>3.9</c:v>
                </c:pt>
                <c:pt idx="24">
                  <c:v>3.9</c:v>
                </c:pt>
                <c:pt idx="25">
                  <c:v>3.9</c:v>
                </c:pt>
                <c:pt idx="26">
                  <c:v>3.9</c:v>
                </c:pt>
                <c:pt idx="27">
                  <c:v>3.9</c:v>
                </c:pt>
                <c:pt idx="28">
                  <c:v>3.9</c:v>
                </c:pt>
                <c:pt idx="29">
                  <c:v>3.9</c:v>
                </c:pt>
                <c:pt idx="30">
                  <c:v>3.9</c:v>
                </c:pt>
                <c:pt idx="31">
                  <c:v>3.9</c:v>
                </c:pt>
                <c:pt idx="32">
                  <c:v>3.9</c:v>
                </c:pt>
                <c:pt idx="33">
                  <c:v>3.9</c:v>
                </c:pt>
                <c:pt idx="34">
                  <c:v>3.9</c:v>
                </c:pt>
                <c:pt idx="35">
                  <c:v>3.9</c:v>
                </c:pt>
                <c:pt idx="36">
                  <c:v>3.9</c:v>
                </c:pt>
                <c:pt idx="37">
                  <c:v>3.9</c:v>
                </c:pt>
                <c:pt idx="38">
                  <c:v>3.9</c:v>
                </c:pt>
                <c:pt idx="39">
                  <c:v>3.9</c:v>
                </c:pt>
                <c:pt idx="40">
                  <c:v>3.9</c:v>
                </c:pt>
                <c:pt idx="41">
                  <c:v>3.9</c:v>
                </c:pt>
                <c:pt idx="42">
                  <c:v>3.9</c:v>
                </c:pt>
                <c:pt idx="43">
                  <c:v>3.9</c:v>
                </c:pt>
                <c:pt idx="44">
                  <c:v>3.9</c:v>
                </c:pt>
                <c:pt idx="45">
                  <c:v>3.9</c:v>
                </c:pt>
                <c:pt idx="46">
                  <c:v>3.9</c:v>
                </c:pt>
                <c:pt idx="47">
                  <c:v>3.9</c:v>
                </c:pt>
                <c:pt idx="48">
                  <c:v>3.9</c:v>
                </c:pt>
                <c:pt idx="49">
                  <c:v>3.9</c:v>
                </c:pt>
                <c:pt idx="50">
                  <c:v>3.9</c:v>
                </c:pt>
                <c:pt idx="51">
                  <c:v>3.9</c:v>
                </c:pt>
                <c:pt idx="52">
                  <c:v>3.9</c:v>
                </c:pt>
                <c:pt idx="53">
                  <c:v>3.9</c:v>
                </c:pt>
                <c:pt idx="54">
                  <c:v>3.9</c:v>
                </c:pt>
                <c:pt idx="55">
                  <c:v>3.9</c:v>
                </c:pt>
                <c:pt idx="56">
                  <c:v>3.9</c:v>
                </c:pt>
                <c:pt idx="57">
                  <c:v>3.9</c:v>
                </c:pt>
                <c:pt idx="58">
                  <c:v>3.9</c:v>
                </c:pt>
                <c:pt idx="59">
                  <c:v>3.9</c:v>
                </c:pt>
                <c:pt idx="60">
                  <c:v>3.9</c:v>
                </c:pt>
                <c:pt idx="61">
                  <c:v>3.9</c:v>
                </c:pt>
                <c:pt idx="62">
                  <c:v>3.9</c:v>
                </c:pt>
                <c:pt idx="63">
                  <c:v>3.9</c:v>
                </c:pt>
                <c:pt idx="64">
                  <c:v>3.9</c:v>
                </c:pt>
                <c:pt idx="65">
                  <c:v>3.9</c:v>
                </c:pt>
                <c:pt idx="66">
                  <c:v>3.9</c:v>
                </c:pt>
                <c:pt idx="67">
                  <c:v>3.9</c:v>
                </c:pt>
                <c:pt idx="68">
                  <c:v>3.9</c:v>
                </c:pt>
                <c:pt idx="69">
                  <c:v>3.9</c:v>
                </c:pt>
                <c:pt idx="70">
                  <c:v>3.9</c:v>
                </c:pt>
                <c:pt idx="71">
                  <c:v>3.9</c:v>
                </c:pt>
                <c:pt idx="72">
                  <c:v>3.9</c:v>
                </c:pt>
                <c:pt idx="73">
                  <c:v>3.9</c:v>
                </c:pt>
                <c:pt idx="74">
                  <c:v>3.9</c:v>
                </c:pt>
                <c:pt idx="75">
                  <c:v>3.9</c:v>
                </c:pt>
                <c:pt idx="76">
                  <c:v>3.9</c:v>
                </c:pt>
                <c:pt idx="77">
                  <c:v>3.9</c:v>
                </c:pt>
                <c:pt idx="78">
                  <c:v>3.9</c:v>
                </c:pt>
                <c:pt idx="79">
                  <c:v>3.9</c:v>
                </c:pt>
                <c:pt idx="80">
                  <c:v>3.9</c:v>
                </c:pt>
                <c:pt idx="81">
                  <c:v>3.9</c:v>
                </c:pt>
                <c:pt idx="82">
                  <c:v>3.9</c:v>
                </c:pt>
                <c:pt idx="83">
                  <c:v>3.9</c:v>
                </c:pt>
                <c:pt idx="84">
                  <c:v>3.9</c:v>
                </c:pt>
                <c:pt idx="85">
                  <c:v>3.9</c:v>
                </c:pt>
                <c:pt idx="86">
                  <c:v>3.9</c:v>
                </c:pt>
                <c:pt idx="87">
                  <c:v>3.9</c:v>
                </c:pt>
                <c:pt idx="88">
                  <c:v>3.9</c:v>
                </c:pt>
                <c:pt idx="89">
                  <c:v>3.9</c:v>
                </c:pt>
                <c:pt idx="90">
                  <c:v>3.9</c:v>
                </c:pt>
                <c:pt idx="91">
                  <c:v>3.9</c:v>
                </c:pt>
                <c:pt idx="92">
                  <c:v>3.9</c:v>
                </c:pt>
                <c:pt idx="93">
                  <c:v>3.9</c:v>
                </c:pt>
                <c:pt idx="94">
                  <c:v>3.9</c:v>
                </c:pt>
                <c:pt idx="95">
                  <c:v>3.9</c:v>
                </c:pt>
                <c:pt idx="96">
                  <c:v>3.9</c:v>
                </c:pt>
                <c:pt idx="97">
                  <c:v>3.9</c:v>
                </c:pt>
                <c:pt idx="98">
                  <c:v>3.9</c:v>
                </c:pt>
                <c:pt idx="99">
                  <c:v>3.9</c:v>
                </c:pt>
              </c:numCache>
            </c:numRef>
          </c:xVal>
          <c:yVal>
            <c:numRef>
              <c:f>'Data paired'!$V$65:$V$164</c:f>
              <c:numCache>
                <c:formatCode>General</c:formatCode>
                <c:ptCount val="100"/>
                <c:pt idx="0">
                  <c:v>447.125</c:v>
                </c:pt>
                <c:pt idx="1">
                  <c:v>444.125</c:v>
                </c:pt>
                <c:pt idx="2">
                  <c:v>441.125</c:v>
                </c:pt>
                <c:pt idx="3">
                  <c:v>458.125</c:v>
                </c:pt>
                <c:pt idx="4">
                  <c:v>460.125</c:v>
                </c:pt>
                <c:pt idx="5">
                  <c:v>450.125</c:v>
                </c:pt>
                <c:pt idx="6">
                  <c:v>452.125</c:v>
                </c:pt>
                <c:pt idx="7">
                  <c:v>457.125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1D-64D8-49E9-92E8-C924DE8325D3}"/>
            </c:ext>
          </c:extLst>
        </c:ser>
        <c:ser>
          <c:idx val="5"/>
          <c:order val="8"/>
          <c:spPr>
            <a:ln w="28575">
              <a:noFill/>
            </a:ln>
          </c:spPr>
          <c:marker>
            <c:symbol val="none"/>
          </c:marker>
          <c:xVal>
            <c:numRef>
              <c:f>'Data paired'!$X$17:$X$18</c:f>
              <c:numCache>
                <c:formatCode>General</c:formatCode>
                <c:ptCount val="2"/>
                <c:pt idx="0">
                  <c:v>0.8</c:v>
                </c:pt>
                <c:pt idx="1">
                  <c:v>0.8</c:v>
                </c:pt>
              </c:numCache>
            </c:numRef>
          </c:xVal>
          <c:yVal>
            <c:numRef>
              <c:f>'Data paired'!$Y$17:$Y$18</c:f>
              <c:numCache>
                <c:formatCode>0.00</c:formatCode>
                <c:ptCount val="2"/>
                <c:pt idx="0">
                  <c:v>466</c:v>
                </c:pt>
                <c:pt idx="1">
                  <c:v>423</c:v>
                </c:pt>
              </c:numCache>
            </c:numRef>
          </c:yVal>
          <c:smooth val="0"/>
          <c:extLst>
            <c:ext xmlns:c16="http://schemas.microsoft.com/office/drawing/2014/chart" uri="{C3380CC4-5D6E-409C-BE32-E72D297353CC}">
              <c16:uniqueId val="{0000001E-64D8-49E9-92E8-C924DE8325D3}"/>
            </c:ext>
          </c:extLst>
        </c:ser>
        <c:ser>
          <c:idx val="1"/>
          <c:order val="9"/>
          <c:spPr>
            <a:ln w="28575">
              <a:noFill/>
            </a:ln>
          </c:spPr>
          <c:marker>
            <c:symbol val="triangle"/>
            <c:size val="10"/>
            <c:spPr>
              <a:solidFill>
                <a:srgbClr val="808000"/>
              </a:solidFill>
              <a:ln>
                <a:solidFill>
                  <a:srgbClr val="0000FF"/>
                </a:solidFill>
                <a:prstDash val="solid"/>
              </a:ln>
            </c:spPr>
          </c:marker>
          <c:dPt>
            <c:idx val="0"/>
            <c:marker>
              <c:spPr>
                <a:solidFill>
                  <a:srgbClr val="800080"/>
                </a:solidFill>
                <a:ln>
                  <a:solidFill>
                    <a:srgbClr val="0000FF"/>
                  </a:solidFill>
                  <a:prstDash val="solid"/>
                </a:ln>
              </c:spPr>
            </c:marker>
            <c:bubble3D val="0"/>
            <c:extLst>
              <c:ext xmlns:c16="http://schemas.microsoft.com/office/drawing/2014/chart" uri="{C3380CC4-5D6E-409C-BE32-E72D297353CC}">
                <c16:uniqueId val="{0000001F-64D8-49E9-92E8-C924DE8325D3}"/>
              </c:ext>
            </c:extLst>
          </c:dPt>
          <c:dPt>
            <c:idx val="2"/>
            <c:marker>
              <c:spPr>
                <a:solidFill>
                  <a:srgbClr val="00FF00"/>
                </a:solidFill>
                <a:ln>
                  <a:solidFill>
                    <a:srgbClr val="0000FF"/>
                  </a:solidFill>
                  <a:prstDash val="solid"/>
                </a:ln>
              </c:spPr>
            </c:marker>
            <c:bubble3D val="0"/>
            <c:extLst>
              <c:ext xmlns:c16="http://schemas.microsoft.com/office/drawing/2014/chart" uri="{C3380CC4-5D6E-409C-BE32-E72D297353CC}">
                <c16:uniqueId val="{00000020-64D8-49E9-92E8-C924DE8325D3}"/>
              </c:ext>
            </c:extLst>
          </c:dPt>
          <c:dPt>
            <c:idx val="4"/>
            <c:marker>
              <c:spPr>
                <a:solidFill>
                  <a:srgbClr val="FFCC00"/>
                </a:solidFill>
                <a:ln>
                  <a:solidFill>
                    <a:srgbClr val="0000FF"/>
                  </a:solidFill>
                  <a:prstDash val="solid"/>
                </a:ln>
              </c:spPr>
            </c:marker>
            <c:bubble3D val="0"/>
            <c:extLst>
              <c:ext xmlns:c16="http://schemas.microsoft.com/office/drawing/2014/chart" uri="{C3380CC4-5D6E-409C-BE32-E72D297353CC}">
                <c16:uniqueId val="{00000021-64D8-49E9-92E8-C924DE8325D3}"/>
              </c:ext>
            </c:extLst>
          </c:dPt>
          <c:dPt>
            <c:idx val="6"/>
            <c:marker>
              <c:spPr>
                <a:solidFill>
                  <a:srgbClr val="FF0000"/>
                </a:solidFill>
                <a:ln>
                  <a:solidFill>
                    <a:srgbClr val="0000FF"/>
                  </a:solidFill>
                  <a:prstDash val="solid"/>
                </a:ln>
              </c:spPr>
            </c:marker>
            <c:bubble3D val="0"/>
            <c:extLst>
              <c:ext xmlns:c16="http://schemas.microsoft.com/office/drawing/2014/chart" uri="{C3380CC4-5D6E-409C-BE32-E72D297353CC}">
                <c16:uniqueId val="{00000022-64D8-49E9-92E8-C924DE8325D3}"/>
              </c:ext>
            </c:extLst>
          </c:dPt>
          <c:xVal>
            <c:numRef>
              <c:f>'Data paired'!$U$65:$U$74</c:f>
              <c:numCache>
                <c:formatCode>General</c:formatCode>
                <c:ptCount val="10"/>
                <c:pt idx="0">
                  <c:v>3.9</c:v>
                </c:pt>
                <c:pt idx="1">
                  <c:v>3.9</c:v>
                </c:pt>
                <c:pt idx="2">
                  <c:v>3.9</c:v>
                </c:pt>
                <c:pt idx="3">
                  <c:v>3.9</c:v>
                </c:pt>
                <c:pt idx="4">
                  <c:v>3.9</c:v>
                </c:pt>
                <c:pt idx="5">
                  <c:v>3.9</c:v>
                </c:pt>
                <c:pt idx="6">
                  <c:v>3.9</c:v>
                </c:pt>
                <c:pt idx="7">
                  <c:v>3.9</c:v>
                </c:pt>
                <c:pt idx="8">
                  <c:v>3.9</c:v>
                </c:pt>
                <c:pt idx="9">
                  <c:v>3.9</c:v>
                </c:pt>
              </c:numCache>
            </c:numRef>
          </c:xVal>
          <c:yVal>
            <c:numRef>
              <c:f>'Data paired'!$Y$65:$Y$74</c:f>
              <c:numCache>
                <c:formatCode>General</c:formatCode>
                <c:ptCount val="10"/>
                <c:pt idx="0">
                  <c:v>447.125</c:v>
                </c:pt>
                <c:pt idx="2">
                  <c:v>#N/A</c:v>
                </c:pt>
                <c:pt idx="4">
                  <c:v>#N/A</c:v>
                </c:pt>
                <c:pt idx="6">
                  <c:v>#N/A</c:v>
                </c:pt>
              </c:numCache>
            </c:numRef>
          </c:yVal>
          <c:smooth val="0"/>
          <c:extLst>
            <c:ext xmlns:c16="http://schemas.microsoft.com/office/drawing/2014/chart" uri="{C3380CC4-5D6E-409C-BE32-E72D297353CC}">
              <c16:uniqueId val="{00000023-64D8-49E9-92E8-C924DE8325D3}"/>
            </c:ext>
          </c:extLst>
        </c:ser>
        <c:ser>
          <c:idx val="2"/>
          <c:order val="10"/>
          <c:spPr>
            <a:ln w="12700">
              <a:solidFill>
                <a:srgbClr val="0000FF"/>
              </a:solidFill>
              <a:prstDash val="solid"/>
            </a:ln>
          </c:spPr>
          <c:marker>
            <c:symbol val="circle"/>
            <c:size val="6"/>
            <c:spPr>
              <a:noFill/>
              <a:ln>
                <a:solidFill>
                  <a:srgbClr val="0000FF"/>
                </a:solidFill>
                <a:prstDash val="solid"/>
              </a:ln>
            </c:spPr>
          </c:marker>
          <c:xVal>
            <c:numRef>
              <c:f>'Data paired'!$P$63:$P$64</c:f>
              <c:numCache>
                <c:formatCode>General</c:formatCode>
                <c:ptCount val="2"/>
                <c:pt idx="0">
                  <c:v>1.4</c:v>
                </c:pt>
                <c:pt idx="1">
                  <c:v>2.6</c:v>
                </c:pt>
              </c:numCache>
            </c:numRef>
          </c:xVal>
          <c:yVal>
            <c:numRef>
              <c:f>'Data paired'!$Q$63:$Q$64</c:f>
              <c:numCache>
                <c:formatCode>General</c:formatCode>
                <c:ptCount val="2"/>
                <c:pt idx="0">
                  <c:v>441</c:v>
                </c:pt>
                <c:pt idx="1">
                  <c:v>443</c:v>
                </c:pt>
              </c:numCache>
            </c:numRef>
          </c:yVal>
          <c:smooth val="0"/>
          <c:extLst>
            <c:ext xmlns:c16="http://schemas.microsoft.com/office/drawing/2014/chart" uri="{C3380CC4-5D6E-409C-BE32-E72D297353CC}">
              <c16:uniqueId val="{00000024-64D8-49E9-92E8-C924DE8325D3}"/>
            </c:ext>
          </c:extLst>
        </c:ser>
        <c:ser>
          <c:idx val="114"/>
          <c:order val="11"/>
          <c:spPr>
            <a:ln w="12700">
              <a:solidFill>
                <a:srgbClr val="0000FF"/>
              </a:solidFill>
              <a:prstDash val="solid"/>
            </a:ln>
          </c:spPr>
          <c:marker>
            <c:symbol val="circle"/>
            <c:size val="6"/>
            <c:spPr>
              <a:noFill/>
              <a:ln>
                <a:solidFill>
                  <a:srgbClr val="0000FF"/>
                </a:solidFill>
                <a:prstDash val="solid"/>
              </a:ln>
            </c:spPr>
          </c:marker>
          <c:xVal>
            <c:numRef>
              <c:f>'Data paired'!$P$65:$P$66</c:f>
              <c:numCache>
                <c:formatCode>General</c:formatCode>
                <c:ptCount val="2"/>
                <c:pt idx="0">
                  <c:v>1.4</c:v>
                </c:pt>
                <c:pt idx="1">
                  <c:v>2.6</c:v>
                </c:pt>
              </c:numCache>
            </c:numRef>
          </c:xVal>
          <c:yVal>
            <c:numRef>
              <c:f>'Data paired'!$Q$65:$Q$66</c:f>
              <c:numCache>
                <c:formatCode>General</c:formatCode>
                <c:ptCount val="2"/>
                <c:pt idx="0">
                  <c:v>462</c:v>
                </c:pt>
                <c:pt idx="1">
                  <c:v>461</c:v>
                </c:pt>
              </c:numCache>
            </c:numRef>
          </c:yVal>
          <c:smooth val="0"/>
          <c:extLst>
            <c:ext xmlns:c16="http://schemas.microsoft.com/office/drawing/2014/chart" uri="{C3380CC4-5D6E-409C-BE32-E72D297353CC}">
              <c16:uniqueId val="{00000025-64D8-49E9-92E8-C924DE8325D3}"/>
            </c:ext>
          </c:extLst>
        </c:ser>
        <c:ser>
          <c:idx val="115"/>
          <c:order val="12"/>
          <c:spPr>
            <a:ln w="12700">
              <a:solidFill>
                <a:srgbClr val="0000FF"/>
              </a:solidFill>
              <a:prstDash val="solid"/>
            </a:ln>
          </c:spPr>
          <c:marker>
            <c:symbol val="circle"/>
            <c:size val="6"/>
            <c:spPr>
              <a:noFill/>
              <a:ln>
                <a:solidFill>
                  <a:srgbClr val="0000FF"/>
                </a:solidFill>
                <a:prstDash val="solid"/>
              </a:ln>
            </c:spPr>
          </c:marker>
          <c:xVal>
            <c:numRef>
              <c:f>'Data paired'!$P$67:$P$68</c:f>
              <c:numCache>
                <c:formatCode>General</c:formatCode>
                <c:ptCount val="2"/>
                <c:pt idx="0">
                  <c:v>1.4</c:v>
                </c:pt>
                <c:pt idx="1">
                  <c:v>2.6</c:v>
                </c:pt>
              </c:numCache>
            </c:numRef>
          </c:xVal>
          <c:yVal>
            <c:numRef>
              <c:f>'Data paired'!$Q$67:$Q$68</c:f>
              <c:numCache>
                <c:formatCode>General</c:formatCode>
                <c:ptCount val="2"/>
                <c:pt idx="0">
                  <c:v>445</c:v>
                </c:pt>
                <c:pt idx="1">
                  <c:v>441</c:v>
                </c:pt>
              </c:numCache>
            </c:numRef>
          </c:yVal>
          <c:smooth val="0"/>
          <c:extLst>
            <c:ext xmlns:c16="http://schemas.microsoft.com/office/drawing/2014/chart" uri="{C3380CC4-5D6E-409C-BE32-E72D297353CC}">
              <c16:uniqueId val="{00000026-64D8-49E9-92E8-C924DE8325D3}"/>
            </c:ext>
          </c:extLst>
        </c:ser>
        <c:ser>
          <c:idx val="116"/>
          <c:order val="13"/>
          <c:spPr>
            <a:ln w="12700">
              <a:solidFill>
                <a:srgbClr val="0000FF"/>
              </a:solidFill>
              <a:prstDash val="solid"/>
            </a:ln>
          </c:spPr>
          <c:marker>
            <c:symbol val="circle"/>
            <c:size val="6"/>
            <c:spPr>
              <a:noFill/>
              <a:ln>
                <a:solidFill>
                  <a:srgbClr val="0000FF"/>
                </a:solidFill>
                <a:prstDash val="solid"/>
              </a:ln>
            </c:spPr>
          </c:marker>
          <c:xVal>
            <c:numRef>
              <c:f>'Data paired'!$P$69:$P$70</c:f>
              <c:numCache>
                <c:formatCode>General</c:formatCode>
                <c:ptCount val="2"/>
                <c:pt idx="0">
                  <c:v>1.4</c:v>
                </c:pt>
                <c:pt idx="1">
                  <c:v>2.6</c:v>
                </c:pt>
              </c:numCache>
            </c:numRef>
          </c:xVal>
          <c:yVal>
            <c:numRef>
              <c:f>'Data paired'!$Q$69:$Q$70</c:f>
              <c:numCache>
                <c:formatCode>General</c:formatCode>
                <c:ptCount val="2"/>
                <c:pt idx="0">
                  <c:v>446</c:v>
                </c:pt>
                <c:pt idx="1">
                  <c:v>459</c:v>
                </c:pt>
              </c:numCache>
            </c:numRef>
          </c:yVal>
          <c:smooth val="0"/>
          <c:extLst>
            <c:ext xmlns:c16="http://schemas.microsoft.com/office/drawing/2014/chart" uri="{C3380CC4-5D6E-409C-BE32-E72D297353CC}">
              <c16:uniqueId val="{00000027-64D8-49E9-92E8-C924DE8325D3}"/>
            </c:ext>
          </c:extLst>
        </c:ser>
        <c:ser>
          <c:idx val="117"/>
          <c:order val="14"/>
          <c:spPr>
            <a:ln w="12700">
              <a:solidFill>
                <a:srgbClr val="0000FF"/>
              </a:solidFill>
              <a:prstDash val="solid"/>
            </a:ln>
          </c:spPr>
          <c:marker>
            <c:symbol val="circle"/>
            <c:size val="6"/>
            <c:spPr>
              <a:noFill/>
              <a:ln>
                <a:solidFill>
                  <a:srgbClr val="0000FF"/>
                </a:solidFill>
                <a:prstDash val="solid"/>
              </a:ln>
            </c:spPr>
          </c:marker>
          <c:xVal>
            <c:numRef>
              <c:f>'Data paired'!$P$71:$P$72</c:f>
              <c:numCache>
                <c:formatCode>General</c:formatCode>
                <c:ptCount val="2"/>
                <c:pt idx="0">
                  <c:v>1.4</c:v>
                </c:pt>
                <c:pt idx="1">
                  <c:v>2.6</c:v>
                </c:pt>
              </c:numCache>
            </c:numRef>
          </c:xVal>
          <c:yVal>
            <c:numRef>
              <c:f>'Data paired'!$Q$71:$Q$72</c:f>
              <c:numCache>
                <c:formatCode>General</c:formatCode>
                <c:ptCount val="2"/>
                <c:pt idx="0">
                  <c:v>426</c:v>
                </c:pt>
                <c:pt idx="1">
                  <c:v>441</c:v>
                </c:pt>
              </c:numCache>
            </c:numRef>
          </c:yVal>
          <c:smooth val="0"/>
          <c:extLst>
            <c:ext xmlns:c16="http://schemas.microsoft.com/office/drawing/2014/chart" uri="{C3380CC4-5D6E-409C-BE32-E72D297353CC}">
              <c16:uniqueId val="{00000028-64D8-49E9-92E8-C924DE8325D3}"/>
            </c:ext>
          </c:extLst>
        </c:ser>
        <c:ser>
          <c:idx val="118"/>
          <c:order val="15"/>
          <c:spPr>
            <a:ln w="12700">
              <a:solidFill>
                <a:srgbClr val="0000FF"/>
              </a:solidFill>
              <a:prstDash val="solid"/>
            </a:ln>
          </c:spPr>
          <c:marker>
            <c:symbol val="circle"/>
            <c:size val="6"/>
            <c:spPr>
              <a:noFill/>
              <a:ln>
                <a:solidFill>
                  <a:srgbClr val="0000FF"/>
                </a:solidFill>
                <a:prstDash val="solid"/>
              </a:ln>
            </c:spPr>
          </c:marker>
          <c:xVal>
            <c:numRef>
              <c:f>'Data paired'!$P$73:$P$74</c:f>
              <c:numCache>
                <c:formatCode>General</c:formatCode>
                <c:ptCount val="2"/>
                <c:pt idx="0">
                  <c:v>1.4</c:v>
                </c:pt>
                <c:pt idx="1">
                  <c:v>2.6</c:v>
                </c:pt>
              </c:numCache>
            </c:numRef>
          </c:xVal>
          <c:yVal>
            <c:numRef>
              <c:f>'Data paired'!$Q$73:$Q$74</c:f>
              <c:numCache>
                <c:formatCode>General</c:formatCode>
                <c:ptCount val="2"/>
                <c:pt idx="0">
                  <c:v>459</c:v>
                </c:pt>
                <c:pt idx="1">
                  <c:v>464</c:v>
                </c:pt>
              </c:numCache>
            </c:numRef>
          </c:yVal>
          <c:smooth val="0"/>
          <c:extLst>
            <c:ext xmlns:c16="http://schemas.microsoft.com/office/drawing/2014/chart" uri="{C3380CC4-5D6E-409C-BE32-E72D297353CC}">
              <c16:uniqueId val="{00000029-64D8-49E9-92E8-C924DE8325D3}"/>
            </c:ext>
          </c:extLst>
        </c:ser>
        <c:ser>
          <c:idx val="119"/>
          <c:order val="16"/>
          <c:spPr>
            <a:ln w="12700">
              <a:solidFill>
                <a:srgbClr val="0000FF"/>
              </a:solidFill>
              <a:prstDash val="solid"/>
            </a:ln>
          </c:spPr>
          <c:marker>
            <c:symbol val="circle"/>
            <c:size val="6"/>
            <c:spPr>
              <a:noFill/>
              <a:ln>
                <a:solidFill>
                  <a:srgbClr val="0000FF"/>
                </a:solidFill>
                <a:prstDash val="solid"/>
              </a:ln>
            </c:spPr>
          </c:marker>
          <c:xVal>
            <c:numRef>
              <c:f>'Data paired'!$P$75:$P$76</c:f>
              <c:numCache>
                <c:formatCode>General</c:formatCode>
                <c:ptCount val="2"/>
                <c:pt idx="0">
                  <c:v>1.4</c:v>
                </c:pt>
                <c:pt idx="1">
                  <c:v>2.6</c:v>
                </c:pt>
              </c:numCache>
            </c:numRef>
          </c:xVal>
          <c:yVal>
            <c:numRef>
              <c:f>'Data paired'!$Q$75:$Q$76</c:f>
              <c:numCache>
                <c:formatCode>General</c:formatCode>
                <c:ptCount val="2"/>
                <c:pt idx="0">
                  <c:v>459</c:v>
                </c:pt>
                <c:pt idx="1">
                  <c:v>466</c:v>
                </c:pt>
              </c:numCache>
            </c:numRef>
          </c:yVal>
          <c:smooth val="0"/>
          <c:extLst>
            <c:ext xmlns:c16="http://schemas.microsoft.com/office/drawing/2014/chart" uri="{C3380CC4-5D6E-409C-BE32-E72D297353CC}">
              <c16:uniqueId val="{0000002A-64D8-49E9-92E8-C924DE8325D3}"/>
            </c:ext>
          </c:extLst>
        </c:ser>
        <c:ser>
          <c:idx val="120"/>
          <c:order val="17"/>
          <c:spPr>
            <a:ln w="12700">
              <a:solidFill>
                <a:srgbClr val="0000FF"/>
              </a:solidFill>
              <a:prstDash val="solid"/>
            </a:ln>
          </c:spPr>
          <c:marker>
            <c:symbol val="circle"/>
            <c:size val="6"/>
            <c:spPr>
              <a:noFill/>
              <a:ln>
                <a:solidFill>
                  <a:srgbClr val="0000FF"/>
                </a:solidFill>
                <a:prstDash val="solid"/>
              </a:ln>
            </c:spPr>
          </c:marker>
          <c:xVal>
            <c:numRef>
              <c:f>'Data paired'!$P$77:$P$78</c:f>
              <c:numCache>
                <c:formatCode>General</c:formatCode>
                <c:ptCount val="2"/>
                <c:pt idx="0">
                  <c:v>1.4</c:v>
                </c:pt>
                <c:pt idx="1">
                  <c:v>2.6</c:v>
                </c:pt>
              </c:numCache>
            </c:numRef>
          </c:xVal>
          <c:yVal>
            <c:numRef>
              <c:f>'Data paired'!$Q$77:$Q$78</c:f>
              <c:numCache>
                <c:formatCode>General</c:formatCode>
                <c:ptCount val="2"/>
                <c:pt idx="0">
                  <c:v>423</c:v>
                </c:pt>
                <c:pt idx="1">
                  <c:v>435</c:v>
                </c:pt>
              </c:numCache>
            </c:numRef>
          </c:yVal>
          <c:smooth val="0"/>
          <c:extLst>
            <c:ext xmlns:c16="http://schemas.microsoft.com/office/drawing/2014/chart" uri="{C3380CC4-5D6E-409C-BE32-E72D297353CC}">
              <c16:uniqueId val="{0000002B-64D8-49E9-92E8-C924DE8325D3}"/>
            </c:ext>
          </c:extLst>
        </c:ser>
        <c:ser>
          <c:idx val="121"/>
          <c:order val="18"/>
          <c:spPr>
            <a:ln w="12700">
              <a:solidFill>
                <a:srgbClr val="0000FF"/>
              </a:solidFill>
              <a:prstDash val="solid"/>
            </a:ln>
          </c:spPr>
          <c:marker>
            <c:symbol val="circle"/>
            <c:size val="6"/>
            <c:spPr>
              <a:noFill/>
              <a:ln>
                <a:solidFill>
                  <a:srgbClr val="0000FF"/>
                </a:solidFill>
                <a:prstDash val="solid"/>
              </a:ln>
            </c:spPr>
          </c:marker>
          <c:xVal>
            <c:numRef>
              <c:f>'Data paired'!$P$79:$P$80</c:f>
              <c:numCache>
                <c:formatCode>General</c:formatCode>
                <c:ptCount val="2"/>
                <c:pt idx="0">
                  <c:v>1.4</c:v>
                </c:pt>
                <c:pt idx="1">
                  <c:v>2.6</c:v>
                </c:pt>
              </c:numCache>
            </c:numRef>
          </c:xVal>
          <c:yVal>
            <c:numRef>
              <c:f>'Data paired'!$Q$79:$Q$80</c:f>
              <c:numCache>
                <c:formatCode>General</c:formatCode>
                <c:ptCount val="2"/>
                <c:pt idx="0">
                  <c:v>#N/A</c:v>
                </c:pt>
                <c:pt idx="1">
                  <c:v>#N/A</c:v>
                </c:pt>
              </c:numCache>
            </c:numRef>
          </c:yVal>
          <c:smooth val="0"/>
          <c:extLst>
            <c:ext xmlns:c16="http://schemas.microsoft.com/office/drawing/2014/chart" uri="{C3380CC4-5D6E-409C-BE32-E72D297353CC}">
              <c16:uniqueId val="{0000002C-64D8-49E9-92E8-C924DE8325D3}"/>
            </c:ext>
          </c:extLst>
        </c:ser>
        <c:ser>
          <c:idx val="122"/>
          <c:order val="19"/>
          <c:spPr>
            <a:ln w="12700">
              <a:solidFill>
                <a:srgbClr val="0000FF"/>
              </a:solidFill>
              <a:prstDash val="solid"/>
            </a:ln>
          </c:spPr>
          <c:marker>
            <c:symbol val="circle"/>
            <c:size val="6"/>
            <c:spPr>
              <a:noFill/>
              <a:ln>
                <a:solidFill>
                  <a:srgbClr val="0000FF"/>
                </a:solidFill>
                <a:prstDash val="solid"/>
              </a:ln>
            </c:spPr>
          </c:marker>
          <c:xVal>
            <c:numRef>
              <c:f>'Data paired'!$P$81:$P$82</c:f>
              <c:numCache>
                <c:formatCode>General</c:formatCode>
                <c:ptCount val="2"/>
                <c:pt idx="0">
                  <c:v>1.4</c:v>
                </c:pt>
                <c:pt idx="1">
                  <c:v>2.6</c:v>
                </c:pt>
              </c:numCache>
            </c:numRef>
          </c:xVal>
          <c:yVal>
            <c:numRef>
              <c:f>'Data paired'!$Q$81:$Q$82</c:f>
              <c:numCache>
                <c:formatCode>General</c:formatCode>
                <c:ptCount val="2"/>
                <c:pt idx="0">
                  <c:v>#N/A</c:v>
                </c:pt>
                <c:pt idx="1">
                  <c:v>#N/A</c:v>
                </c:pt>
              </c:numCache>
            </c:numRef>
          </c:yVal>
          <c:smooth val="0"/>
          <c:extLst>
            <c:ext xmlns:c16="http://schemas.microsoft.com/office/drawing/2014/chart" uri="{C3380CC4-5D6E-409C-BE32-E72D297353CC}">
              <c16:uniqueId val="{0000002D-64D8-49E9-92E8-C924DE8325D3}"/>
            </c:ext>
          </c:extLst>
        </c:ser>
        <c:ser>
          <c:idx val="123"/>
          <c:order val="20"/>
          <c:spPr>
            <a:ln w="12700">
              <a:solidFill>
                <a:srgbClr val="0000FF"/>
              </a:solidFill>
              <a:prstDash val="solid"/>
            </a:ln>
          </c:spPr>
          <c:marker>
            <c:symbol val="circle"/>
            <c:size val="6"/>
            <c:spPr>
              <a:noFill/>
              <a:ln>
                <a:solidFill>
                  <a:srgbClr val="0000FF"/>
                </a:solidFill>
                <a:prstDash val="solid"/>
              </a:ln>
            </c:spPr>
          </c:marker>
          <c:xVal>
            <c:numRef>
              <c:f>'Data paired'!$P$83:$P$84</c:f>
              <c:numCache>
                <c:formatCode>General</c:formatCode>
                <c:ptCount val="2"/>
                <c:pt idx="0">
                  <c:v>1.4</c:v>
                </c:pt>
                <c:pt idx="1">
                  <c:v>2.6</c:v>
                </c:pt>
              </c:numCache>
            </c:numRef>
          </c:xVal>
          <c:yVal>
            <c:numRef>
              <c:f>'Data paired'!$Q$83:$Q$84</c:f>
              <c:numCache>
                <c:formatCode>General</c:formatCode>
                <c:ptCount val="2"/>
                <c:pt idx="0">
                  <c:v>#N/A</c:v>
                </c:pt>
                <c:pt idx="1">
                  <c:v>#N/A</c:v>
                </c:pt>
              </c:numCache>
            </c:numRef>
          </c:yVal>
          <c:smooth val="0"/>
          <c:extLst>
            <c:ext xmlns:c16="http://schemas.microsoft.com/office/drawing/2014/chart" uri="{C3380CC4-5D6E-409C-BE32-E72D297353CC}">
              <c16:uniqueId val="{0000002E-64D8-49E9-92E8-C924DE8325D3}"/>
            </c:ext>
          </c:extLst>
        </c:ser>
        <c:ser>
          <c:idx val="124"/>
          <c:order val="21"/>
          <c:spPr>
            <a:ln w="12700">
              <a:solidFill>
                <a:srgbClr val="0000FF"/>
              </a:solidFill>
              <a:prstDash val="solid"/>
            </a:ln>
          </c:spPr>
          <c:marker>
            <c:symbol val="circle"/>
            <c:size val="6"/>
            <c:spPr>
              <a:noFill/>
              <a:ln>
                <a:solidFill>
                  <a:srgbClr val="0000FF"/>
                </a:solidFill>
                <a:prstDash val="solid"/>
              </a:ln>
            </c:spPr>
          </c:marker>
          <c:xVal>
            <c:numRef>
              <c:f>'Data paired'!$P$85:$P$86</c:f>
              <c:numCache>
                <c:formatCode>General</c:formatCode>
                <c:ptCount val="2"/>
                <c:pt idx="0">
                  <c:v>1.4</c:v>
                </c:pt>
                <c:pt idx="1">
                  <c:v>2.6</c:v>
                </c:pt>
              </c:numCache>
            </c:numRef>
          </c:xVal>
          <c:yVal>
            <c:numRef>
              <c:f>'Data paired'!$Q$85:$Q$86</c:f>
              <c:numCache>
                <c:formatCode>General</c:formatCode>
                <c:ptCount val="2"/>
                <c:pt idx="0">
                  <c:v>#N/A</c:v>
                </c:pt>
                <c:pt idx="1">
                  <c:v>#N/A</c:v>
                </c:pt>
              </c:numCache>
            </c:numRef>
          </c:yVal>
          <c:smooth val="0"/>
          <c:extLst>
            <c:ext xmlns:c16="http://schemas.microsoft.com/office/drawing/2014/chart" uri="{C3380CC4-5D6E-409C-BE32-E72D297353CC}">
              <c16:uniqueId val="{0000002F-64D8-49E9-92E8-C924DE8325D3}"/>
            </c:ext>
          </c:extLst>
        </c:ser>
        <c:ser>
          <c:idx val="125"/>
          <c:order val="22"/>
          <c:spPr>
            <a:ln w="12700">
              <a:solidFill>
                <a:srgbClr val="0000FF"/>
              </a:solidFill>
              <a:prstDash val="solid"/>
            </a:ln>
          </c:spPr>
          <c:marker>
            <c:symbol val="circle"/>
            <c:size val="6"/>
            <c:spPr>
              <a:noFill/>
              <a:ln>
                <a:solidFill>
                  <a:srgbClr val="0000FF"/>
                </a:solidFill>
                <a:prstDash val="solid"/>
              </a:ln>
            </c:spPr>
          </c:marker>
          <c:xVal>
            <c:numRef>
              <c:f>'Data paired'!$P$87:$P$88</c:f>
              <c:numCache>
                <c:formatCode>General</c:formatCode>
                <c:ptCount val="2"/>
                <c:pt idx="0">
                  <c:v>1.4</c:v>
                </c:pt>
                <c:pt idx="1">
                  <c:v>2.6</c:v>
                </c:pt>
              </c:numCache>
            </c:numRef>
          </c:xVal>
          <c:yVal>
            <c:numRef>
              <c:f>'Data paired'!$Q$87:$Q$88</c:f>
              <c:numCache>
                <c:formatCode>General</c:formatCode>
                <c:ptCount val="2"/>
                <c:pt idx="0">
                  <c:v>#N/A</c:v>
                </c:pt>
                <c:pt idx="1">
                  <c:v>#N/A</c:v>
                </c:pt>
              </c:numCache>
            </c:numRef>
          </c:yVal>
          <c:smooth val="0"/>
          <c:extLst>
            <c:ext xmlns:c16="http://schemas.microsoft.com/office/drawing/2014/chart" uri="{C3380CC4-5D6E-409C-BE32-E72D297353CC}">
              <c16:uniqueId val="{00000030-64D8-49E9-92E8-C924DE8325D3}"/>
            </c:ext>
          </c:extLst>
        </c:ser>
        <c:ser>
          <c:idx val="126"/>
          <c:order val="23"/>
          <c:spPr>
            <a:ln w="12700">
              <a:solidFill>
                <a:srgbClr val="0000FF"/>
              </a:solidFill>
              <a:prstDash val="solid"/>
            </a:ln>
          </c:spPr>
          <c:marker>
            <c:symbol val="circle"/>
            <c:size val="6"/>
            <c:spPr>
              <a:noFill/>
              <a:ln>
                <a:solidFill>
                  <a:srgbClr val="0000FF"/>
                </a:solidFill>
                <a:prstDash val="solid"/>
              </a:ln>
            </c:spPr>
          </c:marker>
          <c:xVal>
            <c:numRef>
              <c:f>'Data paired'!$P$89:$P$90</c:f>
              <c:numCache>
                <c:formatCode>General</c:formatCode>
                <c:ptCount val="2"/>
                <c:pt idx="0">
                  <c:v>1.4</c:v>
                </c:pt>
                <c:pt idx="1">
                  <c:v>2.6</c:v>
                </c:pt>
              </c:numCache>
            </c:numRef>
          </c:xVal>
          <c:yVal>
            <c:numRef>
              <c:f>'Data paired'!$Q$89:$Q$90</c:f>
              <c:numCache>
                <c:formatCode>General</c:formatCode>
                <c:ptCount val="2"/>
                <c:pt idx="0">
                  <c:v>#N/A</c:v>
                </c:pt>
                <c:pt idx="1">
                  <c:v>#N/A</c:v>
                </c:pt>
              </c:numCache>
            </c:numRef>
          </c:yVal>
          <c:smooth val="0"/>
          <c:extLst>
            <c:ext xmlns:c16="http://schemas.microsoft.com/office/drawing/2014/chart" uri="{C3380CC4-5D6E-409C-BE32-E72D297353CC}">
              <c16:uniqueId val="{00000031-64D8-49E9-92E8-C924DE8325D3}"/>
            </c:ext>
          </c:extLst>
        </c:ser>
        <c:ser>
          <c:idx val="127"/>
          <c:order val="24"/>
          <c:spPr>
            <a:ln w="12700">
              <a:solidFill>
                <a:srgbClr val="0000FF"/>
              </a:solidFill>
              <a:prstDash val="solid"/>
            </a:ln>
          </c:spPr>
          <c:marker>
            <c:symbol val="circle"/>
            <c:size val="6"/>
            <c:spPr>
              <a:noFill/>
              <a:ln>
                <a:solidFill>
                  <a:srgbClr val="0000FF"/>
                </a:solidFill>
                <a:prstDash val="solid"/>
              </a:ln>
            </c:spPr>
          </c:marker>
          <c:xVal>
            <c:numRef>
              <c:f>'Data paired'!$P$91:$P$92</c:f>
              <c:numCache>
                <c:formatCode>General</c:formatCode>
                <c:ptCount val="2"/>
                <c:pt idx="0">
                  <c:v>1.4</c:v>
                </c:pt>
                <c:pt idx="1">
                  <c:v>2.6</c:v>
                </c:pt>
              </c:numCache>
            </c:numRef>
          </c:xVal>
          <c:yVal>
            <c:numRef>
              <c:f>'Data paired'!$Q$91:$Q$92</c:f>
              <c:numCache>
                <c:formatCode>General</c:formatCode>
                <c:ptCount val="2"/>
                <c:pt idx="0">
                  <c:v>#N/A</c:v>
                </c:pt>
                <c:pt idx="1">
                  <c:v>#N/A</c:v>
                </c:pt>
              </c:numCache>
            </c:numRef>
          </c:yVal>
          <c:smooth val="0"/>
          <c:extLst>
            <c:ext xmlns:c16="http://schemas.microsoft.com/office/drawing/2014/chart" uri="{C3380CC4-5D6E-409C-BE32-E72D297353CC}">
              <c16:uniqueId val="{00000032-64D8-49E9-92E8-C924DE8325D3}"/>
            </c:ext>
          </c:extLst>
        </c:ser>
        <c:ser>
          <c:idx val="128"/>
          <c:order val="25"/>
          <c:spPr>
            <a:ln w="12700">
              <a:solidFill>
                <a:srgbClr val="0000FF"/>
              </a:solidFill>
              <a:prstDash val="solid"/>
            </a:ln>
          </c:spPr>
          <c:marker>
            <c:symbol val="circle"/>
            <c:size val="6"/>
            <c:spPr>
              <a:noFill/>
              <a:ln>
                <a:solidFill>
                  <a:srgbClr val="0000FF"/>
                </a:solidFill>
                <a:prstDash val="solid"/>
              </a:ln>
            </c:spPr>
          </c:marker>
          <c:xVal>
            <c:numRef>
              <c:f>'Data paired'!$P$93:$P$94</c:f>
              <c:numCache>
                <c:formatCode>General</c:formatCode>
                <c:ptCount val="2"/>
                <c:pt idx="0">
                  <c:v>1.4</c:v>
                </c:pt>
                <c:pt idx="1">
                  <c:v>2.6</c:v>
                </c:pt>
              </c:numCache>
            </c:numRef>
          </c:xVal>
          <c:yVal>
            <c:numRef>
              <c:f>'Data paired'!$Q$93:$Q$94</c:f>
              <c:numCache>
                <c:formatCode>General</c:formatCode>
                <c:ptCount val="2"/>
                <c:pt idx="0">
                  <c:v>#N/A</c:v>
                </c:pt>
                <c:pt idx="1">
                  <c:v>#N/A</c:v>
                </c:pt>
              </c:numCache>
            </c:numRef>
          </c:yVal>
          <c:smooth val="0"/>
          <c:extLst>
            <c:ext xmlns:c16="http://schemas.microsoft.com/office/drawing/2014/chart" uri="{C3380CC4-5D6E-409C-BE32-E72D297353CC}">
              <c16:uniqueId val="{00000033-64D8-49E9-92E8-C924DE8325D3}"/>
            </c:ext>
          </c:extLst>
        </c:ser>
        <c:ser>
          <c:idx val="129"/>
          <c:order val="26"/>
          <c:spPr>
            <a:ln w="12700">
              <a:solidFill>
                <a:srgbClr val="0000FF"/>
              </a:solidFill>
              <a:prstDash val="solid"/>
            </a:ln>
          </c:spPr>
          <c:marker>
            <c:symbol val="circle"/>
            <c:size val="6"/>
            <c:spPr>
              <a:noFill/>
              <a:ln>
                <a:solidFill>
                  <a:srgbClr val="0000FF"/>
                </a:solidFill>
                <a:prstDash val="solid"/>
              </a:ln>
            </c:spPr>
          </c:marker>
          <c:xVal>
            <c:numRef>
              <c:f>'Data paired'!$P$95:$P$96</c:f>
              <c:numCache>
                <c:formatCode>General</c:formatCode>
                <c:ptCount val="2"/>
                <c:pt idx="0">
                  <c:v>1.4</c:v>
                </c:pt>
                <c:pt idx="1">
                  <c:v>2.6</c:v>
                </c:pt>
              </c:numCache>
            </c:numRef>
          </c:xVal>
          <c:yVal>
            <c:numRef>
              <c:f>'Data paired'!$Q$95:$Q$96</c:f>
              <c:numCache>
                <c:formatCode>General</c:formatCode>
                <c:ptCount val="2"/>
                <c:pt idx="0">
                  <c:v>#N/A</c:v>
                </c:pt>
                <c:pt idx="1">
                  <c:v>#N/A</c:v>
                </c:pt>
              </c:numCache>
            </c:numRef>
          </c:yVal>
          <c:smooth val="0"/>
          <c:extLst>
            <c:ext xmlns:c16="http://schemas.microsoft.com/office/drawing/2014/chart" uri="{C3380CC4-5D6E-409C-BE32-E72D297353CC}">
              <c16:uniqueId val="{00000034-64D8-49E9-92E8-C924DE8325D3}"/>
            </c:ext>
          </c:extLst>
        </c:ser>
        <c:ser>
          <c:idx val="130"/>
          <c:order val="27"/>
          <c:spPr>
            <a:ln w="12700">
              <a:solidFill>
                <a:srgbClr val="0000FF"/>
              </a:solidFill>
              <a:prstDash val="solid"/>
            </a:ln>
          </c:spPr>
          <c:marker>
            <c:symbol val="circle"/>
            <c:size val="6"/>
            <c:spPr>
              <a:noFill/>
              <a:ln>
                <a:solidFill>
                  <a:srgbClr val="0000FF"/>
                </a:solidFill>
                <a:prstDash val="solid"/>
              </a:ln>
            </c:spPr>
          </c:marker>
          <c:xVal>
            <c:numRef>
              <c:f>'Data paired'!$P$97:$P$98</c:f>
              <c:numCache>
                <c:formatCode>General</c:formatCode>
                <c:ptCount val="2"/>
                <c:pt idx="0">
                  <c:v>1.4</c:v>
                </c:pt>
                <c:pt idx="1">
                  <c:v>2.6</c:v>
                </c:pt>
              </c:numCache>
            </c:numRef>
          </c:xVal>
          <c:yVal>
            <c:numRef>
              <c:f>'Data paired'!$Q$97:$Q$98</c:f>
              <c:numCache>
                <c:formatCode>General</c:formatCode>
                <c:ptCount val="2"/>
                <c:pt idx="0">
                  <c:v>#N/A</c:v>
                </c:pt>
                <c:pt idx="1">
                  <c:v>#N/A</c:v>
                </c:pt>
              </c:numCache>
            </c:numRef>
          </c:yVal>
          <c:smooth val="0"/>
          <c:extLst>
            <c:ext xmlns:c16="http://schemas.microsoft.com/office/drawing/2014/chart" uri="{C3380CC4-5D6E-409C-BE32-E72D297353CC}">
              <c16:uniqueId val="{00000035-64D8-49E9-92E8-C924DE8325D3}"/>
            </c:ext>
          </c:extLst>
        </c:ser>
        <c:ser>
          <c:idx val="131"/>
          <c:order val="28"/>
          <c:spPr>
            <a:ln w="12700">
              <a:solidFill>
                <a:srgbClr val="0000FF"/>
              </a:solidFill>
              <a:prstDash val="solid"/>
            </a:ln>
          </c:spPr>
          <c:marker>
            <c:symbol val="circle"/>
            <c:size val="6"/>
            <c:spPr>
              <a:noFill/>
              <a:ln>
                <a:solidFill>
                  <a:srgbClr val="0000FF"/>
                </a:solidFill>
                <a:prstDash val="solid"/>
              </a:ln>
            </c:spPr>
          </c:marker>
          <c:xVal>
            <c:numRef>
              <c:f>'Data paired'!$P$99:$P$100</c:f>
              <c:numCache>
                <c:formatCode>General</c:formatCode>
                <c:ptCount val="2"/>
                <c:pt idx="0">
                  <c:v>1.4</c:v>
                </c:pt>
                <c:pt idx="1">
                  <c:v>2.6</c:v>
                </c:pt>
              </c:numCache>
            </c:numRef>
          </c:xVal>
          <c:yVal>
            <c:numRef>
              <c:f>'Data paired'!$Q$99:$Q$100</c:f>
              <c:numCache>
                <c:formatCode>General</c:formatCode>
                <c:ptCount val="2"/>
                <c:pt idx="0">
                  <c:v>#N/A</c:v>
                </c:pt>
                <c:pt idx="1">
                  <c:v>#N/A</c:v>
                </c:pt>
              </c:numCache>
            </c:numRef>
          </c:yVal>
          <c:smooth val="0"/>
          <c:extLst>
            <c:ext xmlns:c16="http://schemas.microsoft.com/office/drawing/2014/chart" uri="{C3380CC4-5D6E-409C-BE32-E72D297353CC}">
              <c16:uniqueId val="{00000036-64D8-49E9-92E8-C924DE8325D3}"/>
            </c:ext>
          </c:extLst>
        </c:ser>
        <c:ser>
          <c:idx val="132"/>
          <c:order val="29"/>
          <c:spPr>
            <a:ln w="12700">
              <a:solidFill>
                <a:srgbClr val="0000FF"/>
              </a:solidFill>
              <a:prstDash val="solid"/>
            </a:ln>
          </c:spPr>
          <c:marker>
            <c:symbol val="circle"/>
            <c:size val="6"/>
            <c:spPr>
              <a:noFill/>
              <a:ln>
                <a:solidFill>
                  <a:srgbClr val="0000FF"/>
                </a:solidFill>
                <a:prstDash val="solid"/>
              </a:ln>
            </c:spPr>
          </c:marker>
          <c:xVal>
            <c:numRef>
              <c:f>'Data paired'!$P$101:$P$102</c:f>
              <c:numCache>
                <c:formatCode>General</c:formatCode>
                <c:ptCount val="2"/>
                <c:pt idx="0">
                  <c:v>1.4</c:v>
                </c:pt>
                <c:pt idx="1">
                  <c:v>2.6</c:v>
                </c:pt>
              </c:numCache>
            </c:numRef>
          </c:xVal>
          <c:yVal>
            <c:numRef>
              <c:f>'Data paired'!$Q$101:$Q$102</c:f>
              <c:numCache>
                <c:formatCode>General</c:formatCode>
                <c:ptCount val="2"/>
                <c:pt idx="0">
                  <c:v>#N/A</c:v>
                </c:pt>
                <c:pt idx="1">
                  <c:v>#N/A</c:v>
                </c:pt>
              </c:numCache>
            </c:numRef>
          </c:yVal>
          <c:smooth val="0"/>
          <c:extLst>
            <c:ext xmlns:c16="http://schemas.microsoft.com/office/drawing/2014/chart" uri="{C3380CC4-5D6E-409C-BE32-E72D297353CC}">
              <c16:uniqueId val="{00000037-64D8-49E9-92E8-C924DE8325D3}"/>
            </c:ext>
          </c:extLst>
        </c:ser>
        <c:ser>
          <c:idx val="133"/>
          <c:order val="30"/>
          <c:spPr>
            <a:ln w="12700">
              <a:solidFill>
                <a:srgbClr val="0000FF"/>
              </a:solidFill>
              <a:prstDash val="solid"/>
            </a:ln>
          </c:spPr>
          <c:marker>
            <c:symbol val="circle"/>
            <c:size val="6"/>
            <c:spPr>
              <a:noFill/>
              <a:ln>
                <a:solidFill>
                  <a:srgbClr val="0000FF"/>
                </a:solidFill>
                <a:prstDash val="solid"/>
              </a:ln>
            </c:spPr>
          </c:marker>
          <c:xVal>
            <c:numRef>
              <c:f>'Data paired'!$P$103:$P$104</c:f>
              <c:numCache>
                <c:formatCode>General</c:formatCode>
                <c:ptCount val="2"/>
                <c:pt idx="0">
                  <c:v>1.4</c:v>
                </c:pt>
                <c:pt idx="1">
                  <c:v>2.6</c:v>
                </c:pt>
              </c:numCache>
            </c:numRef>
          </c:xVal>
          <c:yVal>
            <c:numRef>
              <c:f>'Data paired'!$Q$103:$Q$104</c:f>
              <c:numCache>
                <c:formatCode>General</c:formatCode>
                <c:ptCount val="2"/>
                <c:pt idx="0">
                  <c:v>#N/A</c:v>
                </c:pt>
                <c:pt idx="1">
                  <c:v>#N/A</c:v>
                </c:pt>
              </c:numCache>
            </c:numRef>
          </c:yVal>
          <c:smooth val="0"/>
          <c:extLst>
            <c:ext xmlns:c16="http://schemas.microsoft.com/office/drawing/2014/chart" uri="{C3380CC4-5D6E-409C-BE32-E72D297353CC}">
              <c16:uniqueId val="{00000038-64D8-49E9-92E8-C924DE8325D3}"/>
            </c:ext>
          </c:extLst>
        </c:ser>
        <c:ser>
          <c:idx val="134"/>
          <c:order val="31"/>
          <c:spPr>
            <a:ln w="12700">
              <a:solidFill>
                <a:srgbClr val="0000FF"/>
              </a:solidFill>
              <a:prstDash val="solid"/>
            </a:ln>
          </c:spPr>
          <c:marker>
            <c:symbol val="circle"/>
            <c:size val="6"/>
            <c:spPr>
              <a:noFill/>
              <a:ln>
                <a:solidFill>
                  <a:srgbClr val="0000FF"/>
                </a:solidFill>
                <a:prstDash val="solid"/>
              </a:ln>
            </c:spPr>
          </c:marker>
          <c:xVal>
            <c:numRef>
              <c:f>'Data paired'!$P$105:$P$106</c:f>
              <c:numCache>
                <c:formatCode>General</c:formatCode>
                <c:ptCount val="2"/>
                <c:pt idx="0">
                  <c:v>1.4</c:v>
                </c:pt>
                <c:pt idx="1">
                  <c:v>2.6</c:v>
                </c:pt>
              </c:numCache>
            </c:numRef>
          </c:xVal>
          <c:yVal>
            <c:numRef>
              <c:f>'Data paired'!$Q$105:$Q$106</c:f>
              <c:numCache>
                <c:formatCode>General</c:formatCode>
                <c:ptCount val="2"/>
                <c:pt idx="0">
                  <c:v>#N/A</c:v>
                </c:pt>
                <c:pt idx="1">
                  <c:v>#N/A</c:v>
                </c:pt>
              </c:numCache>
            </c:numRef>
          </c:yVal>
          <c:smooth val="0"/>
          <c:extLst>
            <c:ext xmlns:c16="http://schemas.microsoft.com/office/drawing/2014/chart" uri="{C3380CC4-5D6E-409C-BE32-E72D297353CC}">
              <c16:uniqueId val="{00000039-64D8-49E9-92E8-C924DE8325D3}"/>
            </c:ext>
          </c:extLst>
        </c:ser>
        <c:ser>
          <c:idx val="135"/>
          <c:order val="32"/>
          <c:spPr>
            <a:ln w="12700">
              <a:solidFill>
                <a:srgbClr val="0000FF"/>
              </a:solidFill>
              <a:prstDash val="solid"/>
            </a:ln>
          </c:spPr>
          <c:marker>
            <c:symbol val="circle"/>
            <c:size val="6"/>
            <c:spPr>
              <a:noFill/>
              <a:ln>
                <a:solidFill>
                  <a:srgbClr val="0000FF"/>
                </a:solidFill>
                <a:prstDash val="solid"/>
              </a:ln>
            </c:spPr>
          </c:marker>
          <c:xVal>
            <c:numRef>
              <c:f>'Data paired'!$P$107:$P$108</c:f>
              <c:numCache>
                <c:formatCode>General</c:formatCode>
                <c:ptCount val="2"/>
                <c:pt idx="0">
                  <c:v>1.4</c:v>
                </c:pt>
                <c:pt idx="1">
                  <c:v>2.6</c:v>
                </c:pt>
              </c:numCache>
            </c:numRef>
          </c:xVal>
          <c:yVal>
            <c:numRef>
              <c:f>'Data paired'!$Q$107:$Q$108</c:f>
              <c:numCache>
                <c:formatCode>General</c:formatCode>
                <c:ptCount val="2"/>
                <c:pt idx="0">
                  <c:v>#N/A</c:v>
                </c:pt>
                <c:pt idx="1">
                  <c:v>#N/A</c:v>
                </c:pt>
              </c:numCache>
            </c:numRef>
          </c:yVal>
          <c:smooth val="0"/>
          <c:extLst>
            <c:ext xmlns:c16="http://schemas.microsoft.com/office/drawing/2014/chart" uri="{C3380CC4-5D6E-409C-BE32-E72D297353CC}">
              <c16:uniqueId val="{0000003A-64D8-49E9-92E8-C924DE8325D3}"/>
            </c:ext>
          </c:extLst>
        </c:ser>
        <c:ser>
          <c:idx val="136"/>
          <c:order val="33"/>
          <c:spPr>
            <a:ln w="12700">
              <a:solidFill>
                <a:srgbClr val="0000FF"/>
              </a:solidFill>
              <a:prstDash val="solid"/>
            </a:ln>
          </c:spPr>
          <c:marker>
            <c:symbol val="circle"/>
            <c:size val="6"/>
            <c:spPr>
              <a:noFill/>
              <a:ln>
                <a:solidFill>
                  <a:srgbClr val="0000FF"/>
                </a:solidFill>
                <a:prstDash val="solid"/>
              </a:ln>
            </c:spPr>
          </c:marker>
          <c:xVal>
            <c:numRef>
              <c:f>'Data paired'!$P$109:$P$110</c:f>
              <c:numCache>
                <c:formatCode>General</c:formatCode>
                <c:ptCount val="2"/>
                <c:pt idx="0">
                  <c:v>1.4</c:v>
                </c:pt>
                <c:pt idx="1">
                  <c:v>2.6</c:v>
                </c:pt>
              </c:numCache>
            </c:numRef>
          </c:xVal>
          <c:yVal>
            <c:numRef>
              <c:f>'Data paired'!$Q$109:$Q$110</c:f>
              <c:numCache>
                <c:formatCode>General</c:formatCode>
                <c:ptCount val="2"/>
                <c:pt idx="0">
                  <c:v>#N/A</c:v>
                </c:pt>
                <c:pt idx="1">
                  <c:v>#N/A</c:v>
                </c:pt>
              </c:numCache>
            </c:numRef>
          </c:yVal>
          <c:smooth val="0"/>
          <c:extLst>
            <c:ext xmlns:c16="http://schemas.microsoft.com/office/drawing/2014/chart" uri="{C3380CC4-5D6E-409C-BE32-E72D297353CC}">
              <c16:uniqueId val="{0000003B-64D8-49E9-92E8-C924DE8325D3}"/>
            </c:ext>
          </c:extLst>
        </c:ser>
        <c:ser>
          <c:idx val="137"/>
          <c:order val="34"/>
          <c:spPr>
            <a:ln w="12700">
              <a:solidFill>
                <a:srgbClr val="0000FF"/>
              </a:solidFill>
              <a:prstDash val="solid"/>
            </a:ln>
          </c:spPr>
          <c:marker>
            <c:symbol val="circle"/>
            <c:size val="6"/>
            <c:spPr>
              <a:noFill/>
              <a:ln>
                <a:solidFill>
                  <a:srgbClr val="0000FF"/>
                </a:solidFill>
                <a:prstDash val="solid"/>
              </a:ln>
            </c:spPr>
          </c:marker>
          <c:xVal>
            <c:numRef>
              <c:f>'Data paired'!$P$111:$P$112</c:f>
              <c:numCache>
                <c:formatCode>General</c:formatCode>
                <c:ptCount val="2"/>
                <c:pt idx="0">
                  <c:v>1.4</c:v>
                </c:pt>
                <c:pt idx="1">
                  <c:v>2.6</c:v>
                </c:pt>
              </c:numCache>
            </c:numRef>
          </c:xVal>
          <c:yVal>
            <c:numRef>
              <c:f>'Data paired'!$Q$111:$Q$112</c:f>
              <c:numCache>
                <c:formatCode>General</c:formatCode>
                <c:ptCount val="2"/>
                <c:pt idx="0">
                  <c:v>#N/A</c:v>
                </c:pt>
                <c:pt idx="1">
                  <c:v>#N/A</c:v>
                </c:pt>
              </c:numCache>
            </c:numRef>
          </c:yVal>
          <c:smooth val="0"/>
          <c:extLst>
            <c:ext xmlns:c16="http://schemas.microsoft.com/office/drawing/2014/chart" uri="{C3380CC4-5D6E-409C-BE32-E72D297353CC}">
              <c16:uniqueId val="{0000003C-64D8-49E9-92E8-C924DE8325D3}"/>
            </c:ext>
          </c:extLst>
        </c:ser>
        <c:ser>
          <c:idx val="138"/>
          <c:order val="35"/>
          <c:spPr>
            <a:ln w="12700">
              <a:solidFill>
                <a:srgbClr val="0000FF"/>
              </a:solidFill>
              <a:prstDash val="solid"/>
            </a:ln>
          </c:spPr>
          <c:marker>
            <c:symbol val="circle"/>
            <c:size val="6"/>
            <c:spPr>
              <a:noFill/>
              <a:ln>
                <a:solidFill>
                  <a:srgbClr val="0000FF"/>
                </a:solidFill>
                <a:prstDash val="solid"/>
              </a:ln>
            </c:spPr>
          </c:marker>
          <c:xVal>
            <c:numRef>
              <c:f>'Data paired'!$P$113:$P$114</c:f>
              <c:numCache>
                <c:formatCode>General</c:formatCode>
                <c:ptCount val="2"/>
                <c:pt idx="0">
                  <c:v>1.4</c:v>
                </c:pt>
                <c:pt idx="1">
                  <c:v>2.6</c:v>
                </c:pt>
              </c:numCache>
            </c:numRef>
          </c:xVal>
          <c:yVal>
            <c:numRef>
              <c:f>'Data paired'!$Q$113:$Q$114</c:f>
              <c:numCache>
                <c:formatCode>General</c:formatCode>
                <c:ptCount val="2"/>
                <c:pt idx="0">
                  <c:v>#N/A</c:v>
                </c:pt>
                <c:pt idx="1">
                  <c:v>#N/A</c:v>
                </c:pt>
              </c:numCache>
            </c:numRef>
          </c:yVal>
          <c:smooth val="0"/>
          <c:extLst>
            <c:ext xmlns:c16="http://schemas.microsoft.com/office/drawing/2014/chart" uri="{C3380CC4-5D6E-409C-BE32-E72D297353CC}">
              <c16:uniqueId val="{0000003D-64D8-49E9-92E8-C924DE8325D3}"/>
            </c:ext>
          </c:extLst>
        </c:ser>
        <c:ser>
          <c:idx val="139"/>
          <c:order val="36"/>
          <c:spPr>
            <a:ln w="12700">
              <a:solidFill>
                <a:srgbClr val="0000FF"/>
              </a:solidFill>
              <a:prstDash val="solid"/>
            </a:ln>
          </c:spPr>
          <c:marker>
            <c:symbol val="circle"/>
            <c:size val="6"/>
            <c:spPr>
              <a:noFill/>
              <a:ln>
                <a:solidFill>
                  <a:srgbClr val="0000FF"/>
                </a:solidFill>
                <a:prstDash val="solid"/>
              </a:ln>
            </c:spPr>
          </c:marker>
          <c:xVal>
            <c:numRef>
              <c:f>'Data paired'!$P$115:$P$116</c:f>
              <c:numCache>
                <c:formatCode>General</c:formatCode>
                <c:ptCount val="2"/>
                <c:pt idx="0">
                  <c:v>1.4</c:v>
                </c:pt>
                <c:pt idx="1">
                  <c:v>2.6</c:v>
                </c:pt>
              </c:numCache>
            </c:numRef>
          </c:xVal>
          <c:yVal>
            <c:numRef>
              <c:f>'Data paired'!$Q$115:$Q$116</c:f>
              <c:numCache>
                <c:formatCode>General</c:formatCode>
                <c:ptCount val="2"/>
                <c:pt idx="0">
                  <c:v>#N/A</c:v>
                </c:pt>
                <c:pt idx="1">
                  <c:v>#N/A</c:v>
                </c:pt>
              </c:numCache>
            </c:numRef>
          </c:yVal>
          <c:smooth val="0"/>
          <c:extLst>
            <c:ext xmlns:c16="http://schemas.microsoft.com/office/drawing/2014/chart" uri="{C3380CC4-5D6E-409C-BE32-E72D297353CC}">
              <c16:uniqueId val="{0000003E-64D8-49E9-92E8-C924DE8325D3}"/>
            </c:ext>
          </c:extLst>
        </c:ser>
        <c:ser>
          <c:idx val="140"/>
          <c:order val="37"/>
          <c:spPr>
            <a:ln w="12700">
              <a:solidFill>
                <a:srgbClr val="0000FF"/>
              </a:solidFill>
              <a:prstDash val="solid"/>
            </a:ln>
          </c:spPr>
          <c:marker>
            <c:symbol val="circle"/>
            <c:size val="6"/>
            <c:spPr>
              <a:noFill/>
              <a:ln>
                <a:solidFill>
                  <a:srgbClr val="0000FF"/>
                </a:solidFill>
                <a:prstDash val="solid"/>
              </a:ln>
            </c:spPr>
          </c:marker>
          <c:xVal>
            <c:numRef>
              <c:f>'Data paired'!$P$117:$P$118</c:f>
              <c:numCache>
                <c:formatCode>General</c:formatCode>
                <c:ptCount val="2"/>
                <c:pt idx="0">
                  <c:v>1.4</c:v>
                </c:pt>
                <c:pt idx="1">
                  <c:v>2.6</c:v>
                </c:pt>
              </c:numCache>
            </c:numRef>
          </c:xVal>
          <c:yVal>
            <c:numRef>
              <c:f>'Data paired'!$Q$117:$Q$118</c:f>
              <c:numCache>
                <c:formatCode>General</c:formatCode>
                <c:ptCount val="2"/>
                <c:pt idx="0">
                  <c:v>#N/A</c:v>
                </c:pt>
                <c:pt idx="1">
                  <c:v>#N/A</c:v>
                </c:pt>
              </c:numCache>
            </c:numRef>
          </c:yVal>
          <c:smooth val="0"/>
          <c:extLst>
            <c:ext xmlns:c16="http://schemas.microsoft.com/office/drawing/2014/chart" uri="{C3380CC4-5D6E-409C-BE32-E72D297353CC}">
              <c16:uniqueId val="{0000003F-64D8-49E9-92E8-C924DE8325D3}"/>
            </c:ext>
          </c:extLst>
        </c:ser>
        <c:ser>
          <c:idx val="141"/>
          <c:order val="38"/>
          <c:spPr>
            <a:ln w="12700">
              <a:solidFill>
                <a:srgbClr val="0000FF"/>
              </a:solidFill>
              <a:prstDash val="solid"/>
            </a:ln>
          </c:spPr>
          <c:marker>
            <c:symbol val="circle"/>
            <c:size val="6"/>
            <c:spPr>
              <a:noFill/>
              <a:ln>
                <a:solidFill>
                  <a:srgbClr val="0000FF"/>
                </a:solidFill>
                <a:prstDash val="solid"/>
              </a:ln>
            </c:spPr>
          </c:marker>
          <c:xVal>
            <c:numRef>
              <c:f>'Data paired'!$P$119:$P$120</c:f>
              <c:numCache>
                <c:formatCode>General</c:formatCode>
                <c:ptCount val="2"/>
                <c:pt idx="0">
                  <c:v>1.4</c:v>
                </c:pt>
                <c:pt idx="1">
                  <c:v>2.6</c:v>
                </c:pt>
              </c:numCache>
            </c:numRef>
          </c:xVal>
          <c:yVal>
            <c:numRef>
              <c:f>'Data paired'!$Q$119:$Q$120</c:f>
              <c:numCache>
                <c:formatCode>General</c:formatCode>
                <c:ptCount val="2"/>
                <c:pt idx="0">
                  <c:v>#N/A</c:v>
                </c:pt>
                <c:pt idx="1">
                  <c:v>#N/A</c:v>
                </c:pt>
              </c:numCache>
            </c:numRef>
          </c:yVal>
          <c:smooth val="0"/>
          <c:extLst>
            <c:ext xmlns:c16="http://schemas.microsoft.com/office/drawing/2014/chart" uri="{C3380CC4-5D6E-409C-BE32-E72D297353CC}">
              <c16:uniqueId val="{00000040-64D8-49E9-92E8-C924DE8325D3}"/>
            </c:ext>
          </c:extLst>
        </c:ser>
        <c:ser>
          <c:idx val="142"/>
          <c:order val="39"/>
          <c:spPr>
            <a:ln w="12700">
              <a:solidFill>
                <a:srgbClr val="0000FF"/>
              </a:solidFill>
              <a:prstDash val="solid"/>
            </a:ln>
          </c:spPr>
          <c:marker>
            <c:symbol val="circle"/>
            <c:size val="6"/>
            <c:spPr>
              <a:noFill/>
              <a:ln>
                <a:solidFill>
                  <a:srgbClr val="0000FF"/>
                </a:solidFill>
                <a:prstDash val="solid"/>
              </a:ln>
            </c:spPr>
          </c:marker>
          <c:xVal>
            <c:numRef>
              <c:f>'Data paired'!$P$121:$P$122</c:f>
              <c:numCache>
                <c:formatCode>General</c:formatCode>
                <c:ptCount val="2"/>
                <c:pt idx="0">
                  <c:v>1.4</c:v>
                </c:pt>
                <c:pt idx="1">
                  <c:v>2.6</c:v>
                </c:pt>
              </c:numCache>
            </c:numRef>
          </c:xVal>
          <c:yVal>
            <c:numRef>
              <c:f>'Data paired'!$Q$121:$Q$122</c:f>
              <c:numCache>
                <c:formatCode>General</c:formatCode>
                <c:ptCount val="2"/>
                <c:pt idx="0">
                  <c:v>#N/A</c:v>
                </c:pt>
                <c:pt idx="1">
                  <c:v>#N/A</c:v>
                </c:pt>
              </c:numCache>
            </c:numRef>
          </c:yVal>
          <c:smooth val="0"/>
          <c:extLst>
            <c:ext xmlns:c16="http://schemas.microsoft.com/office/drawing/2014/chart" uri="{C3380CC4-5D6E-409C-BE32-E72D297353CC}">
              <c16:uniqueId val="{00000041-64D8-49E9-92E8-C924DE8325D3}"/>
            </c:ext>
          </c:extLst>
        </c:ser>
        <c:ser>
          <c:idx val="143"/>
          <c:order val="40"/>
          <c:spPr>
            <a:ln w="12700">
              <a:solidFill>
                <a:srgbClr val="0000FF"/>
              </a:solidFill>
              <a:prstDash val="solid"/>
            </a:ln>
          </c:spPr>
          <c:marker>
            <c:symbol val="circle"/>
            <c:size val="6"/>
            <c:spPr>
              <a:noFill/>
              <a:ln>
                <a:solidFill>
                  <a:srgbClr val="0000FF"/>
                </a:solidFill>
                <a:prstDash val="solid"/>
              </a:ln>
            </c:spPr>
          </c:marker>
          <c:xVal>
            <c:numRef>
              <c:f>'Data paired'!$P$123:$P$124</c:f>
              <c:numCache>
                <c:formatCode>General</c:formatCode>
                <c:ptCount val="2"/>
                <c:pt idx="0">
                  <c:v>1.4</c:v>
                </c:pt>
                <c:pt idx="1">
                  <c:v>2.6</c:v>
                </c:pt>
              </c:numCache>
            </c:numRef>
          </c:xVal>
          <c:yVal>
            <c:numRef>
              <c:f>'Data paired'!$Q$123:$Q$124</c:f>
              <c:numCache>
                <c:formatCode>General</c:formatCode>
                <c:ptCount val="2"/>
                <c:pt idx="0">
                  <c:v>#N/A</c:v>
                </c:pt>
                <c:pt idx="1">
                  <c:v>#N/A</c:v>
                </c:pt>
              </c:numCache>
            </c:numRef>
          </c:yVal>
          <c:smooth val="0"/>
          <c:extLst>
            <c:ext xmlns:c16="http://schemas.microsoft.com/office/drawing/2014/chart" uri="{C3380CC4-5D6E-409C-BE32-E72D297353CC}">
              <c16:uniqueId val="{00000042-64D8-49E9-92E8-C924DE8325D3}"/>
            </c:ext>
          </c:extLst>
        </c:ser>
        <c:ser>
          <c:idx val="144"/>
          <c:order val="41"/>
          <c:spPr>
            <a:ln w="12700">
              <a:solidFill>
                <a:srgbClr val="0000FF"/>
              </a:solidFill>
              <a:prstDash val="solid"/>
            </a:ln>
          </c:spPr>
          <c:marker>
            <c:symbol val="circle"/>
            <c:size val="6"/>
            <c:spPr>
              <a:noFill/>
              <a:ln>
                <a:solidFill>
                  <a:srgbClr val="0000FF"/>
                </a:solidFill>
                <a:prstDash val="solid"/>
              </a:ln>
            </c:spPr>
          </c:marker>
          <c:xVal>
            <c:numRef>
              <c:f>'Data paired'!$P$125:$P$126</c:f>
              <c:numCache>
                <c:formatCode>General</c:formatCode>
                <c:ptCount val="2"/>
                <c:pt idx="0">
                  <c:v>1.4</c:v>
                </c:pt>
                <c:pt idx="1">
                  <c:v>2.6</c:v>
                </c:pt>
              </c:numCache>
            </c:numRef>
          </c:xVal>
          <c:yVal>
            <c:numRef>
              <c:f>'Data paired'!$Q$125:$Q$126</c:f>
              <c:numCache>
                <c:formatCode>General</c:formatCode>
                <c:ptCount val="2"/>
                <c:pt idx="0">
                  <c:v>#N/A</c:v>
                </c:pt>
                <c:pt idx="1">
                  <c:v>#N/A</c:v>
                </c:pt>
              </c:numCache>
            </c:numRef>
          </c:yVal>
          <c:smooth val="0"/>
          <c:extLst>
            <c:ext xmlns:c16="http://schemas.microsoft.com/office/drawing/2014/chart" uri="{C3380CC4-5D6E-409C-BE32-E72D297353CC}">
              <c16:uniqueId val="{00000043-64D8-49E9-92E8-C924DE8325D3}"/>
            </c:ext>
          </c:extLst>
        </c:ser>
        <c:ser>
          <c:idx val="145"/>
          <c:order val="42"/>
          <c:spPr>
            <a:ln w="12700">
              <a:solidFill>
                <a:srgbClr val="0000FF"/>
              </a:solidFill>
              <a:prstDash val="solid"/>
            </a:ln>
          </c:spPr>
          <c:marker>
            <c:symbol val="circle"/>
            <c:size val="6"/>
            <c:spPr>
              <a:noFill/>
              <a:ln>
                <a:solidFill>
                  <a:srgbClr val="0000FF"/>
                </a:solidFill>
                <a:prstDash val="solid"/>
              </a:ln>
            </c:spPr>
          </c:marker>
          <c:xVal>
            <c:numRef>
              <c:f>'Data paired'!$P$127:$P$128</c:f>
              <c:numCache>
                <c:formatCode>General</c:formatCode>
                <c:ptCount val="2"/>
                <c:pt idx="0">
                  <c:v>1.4</c:v>
                </c:pt>
                <c:pt idx="1">
                  <c:v>2.6</c:v>
                </c:pt>
              </c:numCache>
            </c:numRef>
          </c:xVal>
          <c:yVal>
            <c:numRef>
              <c:f>'Data paired'!$Q$127:$Q$128</c:f>
              <c:numCache>
                <c:formatCode>General</c:formatCode>
                <c:ptCount val="2"/>
                <c:pt idx="0">
                  <c:v>#N/A</c:v>
                </c:pt>
                <c:pt idx="1">
                  <c:v>#N/A</c:v>
                </c:pt>
              </c:numCache>
            </c:numRef>
          </c:yVal>
          <c:smooth val="0"/>
          <c:extLst>
            <c:ext xmlns:c16="http://schemas.microsoft.com/office/drawing/2014/chart" uri="{C3380CC4-5D6E-409C-BE32-E72D297353CC}">
              <c16:uniqueId val="{00000044-64D8-49E9-92E8-C924DE8325D3}"/>
            </c:ext>
          </c:extLst>
        </c:ser>
        <c:ser>
          <c:idx val="146"/>
          <c:order val="43"/>
          <c:spPr>
            <a:ln w="12700">
              <a:solidFill>
                <a:srgbClr val="0000FF"/>
              </a:solidFill>
              <a:prstDash val="solid"/>
            </a:ln>
          </c:spPr>
          <c:marker>
            <c:symbol val="circle"/>
            <c:size val="6"/>
            <c:spPr>
              <a:noFill/>
              <a:ln>
                <a:solidFill>
                  <a:srgbClr val="0000FF"/>
                </a:solidFill>
                <a:prstDash val="solid"/>
              </a:ln>
            </c:spPr>
          </c:marker>
          <c:xVal>
            <c:numRef>
              <c:f>'Data paired'!$P$129:$P$130</c:f>
              <c:numCache>
                <c:formatCode>General</c:formatCode>
                <c:ptCount val="2"/>
                <c:pt idx="0">
                  <c:v>1.4</c:v>
                </c:pt>
                <c:pt idx="1">
                  <c:v>2.6</c:v>
                </c:pt>
              </c:numCache>
            </c:numRef>
          </c:xVal>
          <c:yVal>
            <c:numRef>
              <c:f>'Data paired'!$Q$129:$Q$130</c:f>
              <c:numCache>
                <c:formatCode>General</c:formatCode>
                <c:ptCount val="2"/>
                <c:pt idx="0">
                  <c:v>#N/A</c:v>
                </c:pt>
                <c:pt idx="1">
                  <c:v>#N/A</c:v>
                </c:pt>
              </c:numCache>
            </c:numRef>
          </c:yVal>
          <c:smooth val="0"/>
          <c:extLst>
            <c:ext xmlns:c16="http://schemas.microsoft.com/office/drawing/2014/chart" uri="{C3380CC4-5D6E-409C-BE32-E72D297353CC}">
              <c16:uniqueId val="{00000045-64D8-49E9-92E8-C924DE8325D3}"/>
            </c:ext>
          </c:extLst>
        </c:ser>
        <c:ser>
          <c:idx val="147"/>
          <c:order val="44"/>
          <c:spPr>
            <a:ln w="12700">
              <a:solidFill>
                <a:srgbClr val="0000FF"/>
              </a:solidFill>
              <a:prstDash val="solid"/>
            </a:ln>
          </c:spPr>
          <c:marker>
            <c:symbol val="circle"/>
            <c:size val="6"/>
            <c:spPr>
              <a:noFill/>
              <a:ln>
                <a:solidFill>
                  <a:srgbClr val="0000FF"/>
                </a:solidFill>
                <a:prstDash val="solid"/>
              </a:ln>
            </c:spPr>
          </c:marker>
          <c:xVal>
            <c:numRef>
              <c:f>'Data paired'!$P$131:$P$132</c:f>
              <c:numCache>
                <c:formatCode>General</c:formatCode>
                <c:ptCount val="2"/>
                <c:pt idx="0">
                  <c:v>1.4</c:v>
                </c:pt>
                <c:pt idx="1">
                  <c:v>2.6</c:v>
                </c:pt>
              </c:numCache>
            </c:numRef>
          </c:xVal>
          <c:yVal>
            <c:numRef>
              <c:f>'Data paired'!$Q$131:$Q$132</c:f>
              <c:numCache>
                <c:formatCode>General</c:formatCode>
                <c:ptCount val="2"/>
                <c:pt idx="0">
                  <c:v>#N/A</c:v>
                </c:pt>
                <c:pt idx="1">
                  <c:v>#N/A</c:v>
                </c:pt>
              </c:numCache>
            </c:numRef>
          </c:yVal>
          <c:smooth val="0"/>
          <c:extLst>
            <c:ext xmlns:c16="http://schemas.microsoft.com/office/drawing/2014/chart" uri="{C3380CC4-5D6E-409C-BE32-E72D297353CC}">
              <c16:uniqueId val="{00000046-64D8-49E9-92E8-C924DE8325D3}"/>
            </c:ext>
          </c:extLst>
        </c:ser>
        <c:ser>
          <c:idx val="148"/>
          <c:order val="45"/>
          <c:spPr>
            <a:ln w="12700">
              <a:solidFill>
                <a:srgbClr val="0000FF"/>
              </a:solidFill>
              <a:prstDash val="solid"/>
            </a:ln>
          </c:spPr>
          <c:marker>
            <c:symbol val="circle"/>
            <c:size val="6"/>
            <c:spPr>
              <a:noFill/>
              <a:ln>
                <a:solidFill>
                  <a:srgbClr val="0000FF"/>
                </a:solidFill>
                <a:prstDash val="solid"/>
              </a:ln>
            </c:spPr>
          </c:marker>
          <c:xVal>
            <c:numRef>
              <c:f>'Data paired'!$P$133:$P$134</c:f>
              <c:numCache>
                <c:formatCode>General</c:formatCode>
                <c:ptCount val="2"/>
                <c:pt idx="0">
                  <c:v>1.4</c:v>
                </c:pt>
                <c:pt idx="1">
                  <c:v>2.6</c:v>
                </c:pt>
              </c:numCache>
            </c:numRef>
          </c:xVal>
          <c:yVal>
            <c:numRef>
              <c:f>'Data paired'!$Q$133:$Q$134</c:f>
              <c:numCache>
                <c:formatCode>General</c:formatCode>
                <c:ptCount val="2"/>
                <c:pt idx="0">
                  <c:v>#N/A</c:v>
                </c:pt>
                <c:pt idx="1">
                  <c:v>#N/A</c:v>
                </c:pt>
              </c:numCache>
            </c:numRef>
          </c:yVal>
          <c:smooth val="0"/>
          <c:extLst>
            <c:ext xmlns:c16="http://schemas.microsoft.com/office/drawing/2014/chart" uri="{C3380CC4-5D6E-409C-BE32-E72D297353CC}">
              <c16:uniqueId val="{00000047-64D8-49E9-92E8-C924DE8325D3}"/>
            </c:ext>
          </c:extLst>
        </c:ser>
        <c:ser>
          <c:idx val="149"/>
          <c:order val="46"/>
          <c:spPr>
            <a:ln w="12700">
              <a:solidFill>
                <a:srgbClr val="0000FF"/>
              </a:solidFill>
              <a:prstDash val="solid"/>
            </a:ln>
          </c:spPr>
          <c:marker>
            <c:symbol val="circle"/>
            <c:size val="6"/>
            <c:spPr>
              <a:noFill/>
              <a:ln>
                <a:solidFill>
                  <a:srgbClr val="0000FF"/>
                </a:solidFill>
                <a:prstDash val="solid"/>
              </a:ln>
            </c:spPr>
          </c:marker>
          <c:xVal>
            <c:numRef>
              <c:f>'Data paired'!$P$135:$P$136</c:f>
              <c:numCache>
                <c:formatCode>General</c:formatCode>
                <c:ptCount val="2"/>
                <c:pt idx="0">
                  <c:v>1.4</c:v>
                </c:pt>
                <c:pt idx="1">
                  <c:v>2.6</c:v>
                </c:pt>
              </c:numCache>
            </c:numRef>
          </c:xVal>
          <c:yVal>
            <c:numRef>
              <c:f>'Data paired'!$Q$135:$Q$136</c:f>
              <c:numCache>
                <c:formatCode>General</c:formatCode>
                <c:ptCount val="2"/>
                <c:pt idx="0">
                  <c:v>#N/A</c:v>
                </c:pt>
                <c:pt idx="1">
                  <c:v>#N/A</c:v>
                </c:pt>
              </c:numCache>
            </c:numRef>
          </c:yVal>
          <c:smooth val="0"/>
          <c:extLst>
            <c:ext xmlns:c16="http://schemas.microsoft.com/office/drawing/2014/chart" uri="{C3380CC4-5D6E-409C-BE32-E72D297353CC}">
              <c16:uniqueId val="{00000048-64D8-49E9-92E8-C924DE8325D3}"/>
            </c:ext>
          </c:extLst>
        </c:ser>
        <c:ser>
          <c:idx val="150"/>
          <c:order val="47"/>
          <c:spPr>
            <a:ln w="12700">
              <a:solidFill>
                <a:srgbClr val="0000FF"/>
              </a:solidFill>
              <a:prstDash val="solid"/>
            </a:ln>
          </c:spPr>
          <c:marker>
            <c:symbol val="circle"/>
            <c:size val="6"/>
            <c:spPr>
              <a:noFill/>
              <a:ln>
                <a:solidFill>
                  <a:srgbClr val="0000FF"/>
                </a:solidFill>
                <a:prstDash val="solid"/>
              </a:ln>
            </c:spPr>
          </c:marker>
          <c:xVal>
            <c:numRef>
              <c:f>'Data paired'!$P$137:$P$138</c:f>
              <c:numCache>
                <c:formatCode>General</c:formatCode>
                <c:ptCount val="2"/>
                <c:pt idx="0">
                  <c:v>1.4</c:v>
                </c:pt>
                <c:pt idx="1">
                  <c:v>2.6</c:v>
                </c:pt>
              </c:numCache>
            </c:numRef>
          </c:xVal>
          <c:yVal>
            <c:numRef>
              <c:f>'Data paired'!$Q$137:$Q$138</c:f>
              <c:numCache>
                <c:formatCode>General</c:formatCode>
                <c:ptCount val="2"/>
                <c:pt idx="0">
                  <c:v>#N/A</c:v>
                </c:pt>
                <c:pt idx="1">
                  <c:v>#N/A</c:v>
                </c:pt>
              </c:numCache>
            </c:numRef>
          </c:yVal>
          <c:smooth val="0"/>
          <c:extLst>
            <c:ext xmlns:c16="http://schemas.microsoft.com/office/drawing/2014/chart" uri="{C3380CC4-5D6E-409C-BE32-E72D297353CC}">
              <c16:uniqueId val="{00000049-64D8-49E9-92E8-C924DE8325D3}"/>
            </c:ext>
          </c:extLst>
        </c:ser>
        <c:ser>
          <c:idx val="151"/>
          <c:order val="48"/>
          <c:spPr>
            <a:ln w="12700">
              <a:solidFill>
                <a:srgbClr val="0000FF"/>
              </a:solidFill>
              <a:prstDash val="solid"/>
            </a:ln>
          </c:spPr>
          <c:marker>
            <c:symbol val="circle"/>
            <c:size val="6"/>
            <c:spPr>
              <a:noFill/>
              <a:ln>
                <a:solidFill>
                  <a:srgbClr val="0000FF"/>
                </a:solidFill>
                <a:prstDash val="solid"/>
              </a:ln>
            </c:spPr>
          </c:marker>
          <c:xVal>
            <c:numRef>
              <c:f>'Data paired'!$P$139:$P$140</c:f>
              <c:numCache>
                <c:formatCode>General</c:formatCode>
                <c:ptCount val="2"/>
                <c:pt idx="0">
                  <c:v>1.4</c:v>
                </c:pt>
                <c:pt idx="1">
                  <c:v>2.6</c:v>
                </c:pt>
              </c:numCache>
            </c:numRef>
          </c:xVal>
          <c:yVal>
            <c:numRef>
              <c:f>'Data paired'!$Q$139:$Q$140</c:f>
              <c:numCache>
                <c:formatCode>General</c:formatCode>
                <c:ptCount val="2"/>
                <c:pt idx="0">
                  <c:v>#N/A</c:v>
                </c:pt>
                <c:pt idx="1">
                  <c:v>#N/A</c:v>
                </c:pt>
              </c:numCache>
            </c:numRef>
          </c:yVal>
          <c:smooth val="0"/>
          <c:extLst>
            <c:ext xmlns:c16="http://schemas.microsoft.com/office/drawing/2014/chart" uri="{C3380CC4-5D6E-409C-BE32-E72D297353CC}">
              <c16:uniqueId val="{0000004A-64D8-49E9-92E8-C924DE8325D3}"/>
            </c:ext>
          </c:extLst>
        </c:ser>
        <c:ser>
          <c:idx val="152"/>
          <c:order val="49"/>
          <c:spPr>
            <a:ln w="12700">
              <a:solidFill>
                <a:srgbClr val="0000FF"/>
              </a:solidFill>
              <a:prstDash val="solid"/>
            </a:ln>
          </c:spPr>
          <c:marker>
            <c:symbol val="circle"/>
            <c:size val="6"/>
            <c:spPr>
              <a:noFill/>
              <a:ln>
                <a:solidFill>
                  <a:srgbClr val="0000FF"/>
                </a:solidFill>
                <a:prstDash val="solid"/>
              </a:ln>
            </c:spPr>
          </c:marker>
          <c:xVal>
            <c:numRef>
              <c:f>'Data paired'!$P$141:$P$142</c:f>
              <c:numCache>
                <c:formatCode>General</c:formatCode>
                <c:ptCount val="2"/>
                <c:pt idx="0">
                  <c:v>1.4</c:v>
                </c:pt>
                <c:pt idx="1">
                  <c:v>2.6</c:v>
                </c:pt>
              </c:numCache>
            </c:numRef>
          </c:xVal>
          <c:yVal>
            <c:numRef>
              <c:f>'Data paired'!$Q$141:$Q$142</c:f>
              <c:numCache>
                <c:formatCode>General</c:formatCode>
                <c:ptCount val="2"/>
                <c:pt idx="0">
                  <c:v>#N/A</c:v>
                </c:pt>
                <c:pt idx="1">
                  <c:v>#N/A</c:v>
                </c:pt>
              </c:numCache>
            </c:numRef>
          </c:yVal>
          <c:smooth val="0"/>
          <c:extLst>
            <c:ext xmlns:c16="http://schemas.microsoft.com/office/drawing/2014/chart" uri="{C3380CC4-5D6E-409C-BE32-E72D297353CC}">
              <c16:uniqueId val="{0000004B-64D8-49E9-92E8-C924DE8325D3}"/>
            </c:ext>
          </c:extLst>
        </c:ser>
        <c:ser>
          <c:idx val="153"/>
          <c:order val="50"/>
          <c:spPr>
            <a:ln w="12700">
              <a:solidFill>
                <a:srgbClr val="0000FF"/>
              </a:solidFill>
              <a:prstDash val="solid"/>
            </a:ln>
          </c:spPr>
          <c:marker>
            <c:symbol val="circle"/>
            <c:size val="6"/>
            <c:spPr>
              <a:noFill/>
              <a:ln>
                <a:solidFill>
                  <a:srgbClr val="0000FF"/>
                </a:solidFill>
                <a:prstDash val="solid"/>
              </a:ln>
            </c:spPr>
          </c:marker>
          <c:xVal>
            <c:numRef>
              <c:f>'Data paired'!$P$143:$P$144</c:f>
              <c:numCache>
                <c:formatCode>General</c:formatCode>
                <c:ptCount val="2"/>
                <c:pt idx="0">
                  <c:v>1.4</c:v>
                </c:pt>
                <c:pt idx="1">
                  <c:v>2.6</c:v>
                </c:pt>
              </c:numCache>
            </c:numRef>
          </c:xVal>
          <c:yVal>
            <c:numRef>
              <c:f>'Data paired'!$Q$143:$Q$144</c:f>
              <c:numCache>
                <c:formatCode>General</c:formatCode>
                <c:ptCount val="2"/>
                <c:pt idx="0">
                  <c:v>#N/A</c:v>
                </c:pt>
                <c:pt idx="1">
                  <c:v>#N/A</c:v>
                </c:pt>
              </c:numCache>
            </c:numRef>
          </c:yVal>
          <c:smooth val="0"/>
          <c:extLst>
            <c:ext xmlns:c16="http://schemas.microsoft.com/office/drawing/2014/chart" uri="{C3380CC4-5D6E-409C-BE32-E72D297353CC}">
              <c16:uniqueId val="{0000004C-64D8-49E9-92E8-C924DE8325D3}"/>
            </c:ext>
          </c:extLst>
        </c:ser>
        <c:ser>
          <c:idx val="154"/>
          <c:order val="51"/>
          <c:spPr>
            <a:ln w="12700">
              <a:solidFill>
                <a:srgbClr val="0000FF"/>
              </a:solidFill>
              <a:prstDash val="solid"/>
            </a:ln>
          </c:spPr>
          <c:marker>
            <c:symbol val="circle"/>
            <c:size val="6"/>
            <c:spPr>
              <a:noFill/>
              <a:ln>
                <a:solidFill>
                  <a:srgbClr val="0000FF"/>
                </a:solidFill>
                <a:prstDash val="solid"/>
              </a:ln>
            </c:spPr>
          </c:marker>
          <c:xVal>
            <c:numRef>
              <c:f>'Data paired'!$P$145:$P$146</c:f>
              <c:numCache>
                <c:formatCode>General</c:formatCode>
                <c:ptCount val="2"/>
                <c:pt idx="0">
                  <c:v>1.4</c:v>
                </c:pt>
                <c:pt idx="1">
                  <c:v>2.6</c:v>
                </c:pt>
              </c:numCache>
            </c:numRef>
          </c:xVal>
          <c:yVal>
            <c:numRef>
              <c:f>'Data paired'!$Q$145:$Q$146</c:f>
              <c:numCache>
                <c:formatCode>General</c:formatCode>
                <c:ptCount val="2"/>
                <c:pt idx="0">
                  <c:v>#N/A</c:v>
                </c:pt>
                <c:pt idx="1">
                  <c:v>#N/A</c:v>
                </c:pt>
              </c:numCache>
            </c:numRef>
          </c:yVal>
          <c:smooth val="0"/>
          <c:extLst>
            <c:ext xmlns:c16="http://schemas.microsoft.com/office/drawing/2014/chart" uri="{C3380CC4-5D6E-409C-BE32-E72D297353CC}">
              <c16:uniqueId val="{0000004D-64D8-49E9-92E8-C924DE8325D3}"/>
            </c:ext>
          </c:extLst>
        </c:ser>
        <c:ser>
          <c:idx val="155"/>
          <c:order val="52"/>
          <c:spPr>
            <a:ln w="12700">
              <a:solidFill>
                <a:srgbClr val="0000FF"/>
              </a:solidFill>
              <a:prstDash val="solid"/>
            </a:ln>
          </c:spPr>
          <c:marker>
            <c:symbol val="circle"/>
            <c:size val="6"/>
            <c:spPr>
              <a:noFill/>
              <a:ln>
                <a:solidFill>
                  <a:srgbClr val="0000FF"/>
                </a:solidFill>
                <a:prstDash val="solid"/>
              </a:ln>
            </c:spPr>
          </c:marker>
          <c:xVal>
            <c:numRef>
              <c:f>'Data paired'!$P$147:$P$148</c:f>
              <c:numCache>
                <c:formatCode>General</c:formatCode>
                <c:ptCount val="2"/>
                <c:pt idx="0">
                  <c:v>1.4</c:v>
                </c:pt>
                <c:pt idx="1">
                  <c:v>2.6</c:v>
                </c:pt>
              </c:numCache>
            </c:numRef>
          </c:xVal>
          <c:yVal>
            <c:numRef>
              <c:f>'Data paired'!$Q$147:$Q$148</c:f>
              <c:numCache>
                <c:formatCode>General</c:formatCode>
                <c:ptCount val="2"/>
                <c:pt idx="0">
                  <c:v>#N/A</c:v>
                </c:pt>
                <c:pt idx="1">
                  <c:v>#N/A</c:v>
                </c:pt>
              </c:numCache>
            </c:numRef>
          </c:yVal>
          <c:smooth val="0"/>
          <c:extLst>
            <c:ext xmlns:c16="http://schemas.microsoft.com/office/drawing/2014/chart" uri="{C3380CC4-5D6E-409C-BE32-E72D297353CC}">
              <c16:uniqueId val="{0000004E-64D8-49E9-92E8-C924DE8325D3}"/>
            </c:ext>
          </c:extLst>
        </c:ser>
        <c:ser>
          <c:idx val="156"/>
          <c:order val="53"/>
          <c:spPr>
            <a:ln w="12700">
              <a:solidFill>
                <a:srgbClr val="0000FF"/>
              </a:solidFill>
              <a:prstDash val="solid"/>
            </a:ln>
          </c:spPr>
          <c:marker>
            <c:symbol val="circle"/>
            <c:size val="6"/>
            <c:spPr>
              <a:noFill/>
              <a:ln>
                <a:solidFill>
                  <a:srgbClr val="0000FF"/>
                </a:solidFill>
                <a:prstDash val="solid"/>
              </a:ln>
            </c:spPr>
          </c:marker>
          <c:xVal>
            <c:numRef>
              <c:f>'Data paired'!$P$149:$P$150</c:f>
              <c:numCache>
                <c:formatCode>General</c:formatCode>
                <c:ptCount val="2"/>
                <c:pt idx="0">
                  <c:v>1.4</c:v>
                </c:pt>
                <c:pt idx="1">
                  <c:v>2.6</c:v>
                </c:pt>
              </c:numCache>
            </c:numRef>
          </c:xVal>
          <c:yVal>
            <c:numRef>
              <c:f>'Data paired'!$Q$149:$Q$150</c:f>
              <c:numCache>
                <c:formatCode>General</c:formatCode>
                <c:ptCount val="2"/>
                <c:pt idx="0">
                  <c:v>#N/A</c:v>
                </c:pt>
                <c:pt idx="1">
                  <c:v>#N/A</c:v>
                </c:pt>
              </c:numCache>
            </c:numRef>
          </c:yVal>
          <c:smooth val="0"/>
          <c:extLst>
            <c:ext xmlns:c16="http://schemas.microsoft.com/office/drawing/2014/chart" uri="{C3380CC4-5D6E-409C-BE32-E72D297353CC}">
              <c16:uniqueId val="{0000004F-64D8-49E9-92E8-C924DE8325D3}"/>
            </c:ext>
          </c:extLst>
        </c:ser>
        <c:ser>
          <c:idx val="157"/>
          <c:order val="54"/>
          <c:spPr>
            <a:ln w="12700">
              <a:solidFill>
                <a:srgbClr val="0000FF"/>
              </a:solidFill>
              <a:prstDash val="solid"/>
            </a:ln>
          </c:spPr>
          <c:marker>
            <c:symbol val="circle"/>
            <c:size val="6"/>
            <c:spPr>
              <a:noFill/>
              <a:ln>
                <a:solidFill>
                  <a:srgbClr val="0000FF"/>
                </a:solidFill>
                <a:prstDash val="solid"/>
              </a:ln>
            </c:spPr>
          </c:marker>
          <c:xVal>
            <c:numRef>
              <c:f>'Data paired'!$P$151:$P$152</c:f>
              <c:numCache>
                <c:formatCode>General</c:formatCode>
                <c:ptCount val="2"/>
                <c:pt idx="0">
                  <c:v>1.4</c:v>
                </c:pt>
                <c:pt idx="1">
                  <c:v>2.6</c:v>
                </c:pt>
              </c:numCache>
            </c:numRef>
          </c:xVal>
          <c:yVal>
            <c:numRef>
              <c:f>'Data paired'!$Q$151:$Q$152</c:f>
              <c:numCache>
                <c:formatCode>General</c:formatCode>
                <c:ptCount val="2"/>
                <c:pt idx="0">
                  <c:v>#N/A</c:v>
                </c:pt>
                <c:pt idx="1">
                  <c:v>#N/A</c:v>
                </c:pt>
              </c:numCache>
            </c:numRef>
          </c:yVal>
          <c:smooth val="0"/>
          <c:extLst>
            <c:ext xmlns:c16="http://schemas.microsoft.com/office/drawing/2014/chart" uri="{C3380CC4-5D6E-409C-BE32-E72D297353CC}">
              <c16:uniqueId val="{00000050-64D8-49E9-92E8-C924DE8325D3}"/>
            </c:ext>
          </c:extLst>
        </c:ser>
        <c:ser>
          <c:idx val="158"/>
          <c:order val="55"/>
          <c:spPr>
            <a:ln w="12700">
              <a:solidFill>
                <a:srgbClr val="0000FF"/>
              </a:solidFill>
              <a:prstDash val="solid"/>
            </a:ln>
          </c:spPr>
          <c:marker>
            <c:symbol val="circle"/>
            <c:size val="6"/>
            <c:spPr>
              <a:noFill/>
              <a:ln>
                <a:solidFill>
                  <a:srgbClr val="0000FF"/>
                </a:solidFill>
                <a:prstDash val="solid"/>
              </a:ln>
            </c:spPr>
          </c:marker>
          <c:xVal>
            <c:numRef>
              <c:f>'Data paired'!$P$153:$P$154</c:f>
              <c:numCache>
                <c:formatCode>General</c:formatCode>
                <c:ptCount val="2"/>
                <c:pt idx="0">
                  <c:v>1.4</c:v>
                </c:pt>
                <c:pt idx="1">
                  <c:v>2.6</c:v>
                </c:pt>
              </c:numCache>
            </c:numRef>
          </c:xVal>
          <c:yVal>
            <c:numRef>
              <c:f>'Data paired'!$Q$153:$Q$154</c:f>
              <c:numCache>
                <c:formatCode>General</c:formatCode>
                <c:ptCount val="2"/>
                <c:pt idx="0">
                  <c:v>#N/A</c:v>
                </c:pt>
                <c:pt idx="1">
                  <c:v>#N/A</c:v>
                </c:pt>
              </c:numCache>
            </c:numRef>
          </c:yVal>
          <c:smooth val="0"/>
          <c:extLst>
            <c:ext xmlns:c16="http://schemas.microsoft.com/office/drawing/2014/chart" uri="{C3380CC4-5D6E-409C-BE32-E72D297353CC}">
              <c16:uniqueId val="{00000051-64D8-49E9-92E8-C924DE8325D3}"/>
            </c:ext>
          </c:extLst>
        </c:ser>
        <c:ser>
          <c:idx val="159"/>
          <c:order val="56"/>
          <c:spPr>
            <a:ln w="12700">
              <a:solidFill>
                <a:srgbClr val="0000FF"/>
              </a:solidFill>
              <a:prstDash val="solid"/>
            </a:ln>
          </c:spPr>
          <c:marker>
            <c:symbol val="circle"/>
            <c:size val="6"/>
            <c:spPr>
              <a:noFill/>
              <a:ln>
                <a:solidFill>
                  <a:srgbClr val="0000FF"/>
                </a:solidFill>
                <a:prstDash val="solid"/>
              </a:ln>
            </c:spPr>
          </c:marker>
          <c:xVal>
            <c:numRef>
              <c:f>'Data paired'!$P$155:$P$156</c:f>
              <c:numCache>
                <c:formatCode>General</c:formatCode>
                <c:ptCount val="2"/>
                <c:pt idx="0">
                  <c:v>1.4</c:v>
                </c:pt>
                <c:pt idx="1">
                  <c:v>2.6</c:v>
                </c:pt>
              </c:numCache>
            </c:numRef>
          </c:xVal>
          <c:yVal>
            <c:numRef>
              <c:f>'Data paired'!$Q$155:$Q$156</c:f>
              <c:numCache>
                <c:formatCode>General</c:formatCode>
                <c:ptCount val="2"/>
                <c:pt idx="0">
                  <c:v>#N/A</c:v>
                </c:pt>
                <c:pt idx="1">
                  <c:v>#N/A</c:v>
                </c:pt>
              </c:numCache>
            </c:numRef>
          </c:yVal>
          <c:smooth val="0"/>
          <c:extLst>
            <c:ext xmlns:c16="http://schemas.microsoft.com/office/drawing/2014/chart" uri="{C3380CC4-5D6E-409C-BE32-E72D297353CC}">
              <c16:uniqueId val="{00000052-64D8-49E9-92E8-C924DE8325D3}"/>
            </c:ext>
          </c:extLst>
        </c:ser>
        <c:ser>
          <c:idx val="160"/>
          <c:order val="57"/>
          <c:spPr>
            <a:ln w="12700">
              <a:solidFill>
                <a:srgbClr val="0000FF"/>
              </a:solidFill>
              <a:prstDash val="solid"/>
            </a:ln>
          </c:spPr>
          <c:marker>
            <c:symbol val="circle"/>
            <c:size val="6"/>
            <c:spPr>
              <a:noFill/>
              <a:ln>
                <a:solidFill>
                  <a:srgbClr val="0000FF"/>
                </a:solidFill>
                <a:prstDash val="solid"/>
              </a:ln>
            </c:spPr>
          </c:marker>
          <c:xVal>
            <c:numRef>
              <c:f>'Data paired'!$P$157:$P$158</c:f>
              <c:numCache>
                <c:formatCode>General</c:formatCode>
                <c:ptCount val="2"/>
                <c:pt idx="0">
                  <c:v>1.4</c:v>
                </c:pt>
                <c:pt idx="1">
                  <c:v>2.6</c:v>
                </c:pt>
              </c:numCache>
            </c:numRef>
          </c:xVal>
          <c:yVal>
            <c:numRef>
              <c:f>'Data paired'!$Q$157:$Q$158</c:f>
              <c:numCache>
                <c:formatCode>General</c:formatCode>
                <c:ptCount val="2"/>
                <c:pt idx="0">
                  <c:v>#N/A</c:v>
                </c:pt>
                <c:pt idx="1">
                  <c:v>#N/A</c:v>
                </c:pt>
              </c:numCache>
            </c:numRef>
          </c:yVal>
          <c:smooth val="0"/>
          <c:extLst>
            <c:ext xmlns:c16="http://schemas.microsoft.com/office/drawing/2014/chart" uri="{C3380CC4-5D6E-409C-BE32-E72D297353CC}">
              <c16:uniqueId val="{00000053-64D8-49E9-92E8-C924DE8325D3}"/>
            </c:ext>
          </c:extLst>
        </c:ser>
        <c:ser>
          <c:idx val="161"/>
          <c:order val="58"/>
          <c:spPr>
            <a:ln w="12700">
              <a:solidFill>
                <a:srgbClr val="0000FF"/>
              </a:solidFill>
              <a:prstDash val="solid"/>
            </a:ln>
          </c:spPr>
          <c:marker>
            <c:symbol val="circle"/>
            <c:size val="6"/>
            <c:spPr>
              <a:noFill/>
              <a:ln>
                <a:solidFill>
                  <a:srgbClr val="0000FF"/>
                </a:solidFill>
                <a:prstDash val="solid"/>
              </a:ln>
            </c:spPr>
          </c:marker>
          <c:xVal>
            <c:numRef>
              <c:f>'Data paired'!$P$159:$P$160</c:f>
              <c:numCache>
                <c:formatCode>General</c:formatCode>
                <c:ptCount val="2"/>
                <c:pt idx="0">
                  <c:v>1.4</c:v>
                </c:pt>
                <c:pt idx="1">
                  <c:v>2.6</c:v>
                </c:pt>
              </c:numCache>
            </c:numRef>
          </c:xVal>
          <c:yVal>
            <c:numRef>
              <c:f>'Data paired'!$Q$159:$Q$160</c:f>
              <c:numCache>
                <c:formatCode>General</c:formatCode>
                <c:ptCount val="2"/>
                <c:pt idx="0">
                  <c:v>#N/A</c:v>
                </c:pt>
                <c:pt idx="1">
                  <c:v>#N/A</c:v>
                </c:pt>
              </c:numCache>
            </c:numRef>
          </c:yVal>
          <c:smooth val="0"/>
          <c:extLst>
            <c:ext xmlns:c16="http://schemas.microsoft.com/office/drawing/2014/chart" uri="{C3380CC4-5D6E-409C-BE32-E72D297353CC}">
              <c16:uniqueId val="{00000054-64D8-49E9-92E8-C924DE8325D3}"/>
            </c:ext>
          </c:extLst>
        </c:ser>
        <c:ser>
          <c:idx val="162"/>
          <c:order val="59"/>
          <c:spPr>
            <a:ln w="12700">
              <a:solidFill>
                <a:srgbClr val="0000FF"/>
              </a:solidFill>
              <a:prstDash val="solid"/>
            </a:ln>
          </c:spPr>
          <c:marker>
            <c:symbol val="circle"/>
            <c:size val="6"/>
            <c:spPr>
              <a:noFill/>
              <a:ln>
                <a:solidFill>
                  <a:srgbClr val="0000FF"/>
                </a:solidFill>
                <a:prstDash val="solid"/>
              </a:ln>
            </c:spPr>
          </c:marker>
          <c:xVal>
            <c:numRef>
              <c:f>'Data paired'!$P$161:$P$162</c:f>
              <c:numCache>
                <c:formatCode>General</c:formatCode>
                <c:ptCount val="2"/>
                <c:pt idx="0">
                  <c:v>1.4</c:v>
                </c:pt>
                <c:pt idx="1">
                  <c:v>2.6</c:v>
                </c:pt>
              </c:numCache>
            </c:numRef>
          </c:xVal>
          <c:yVal>
            <c:numRef>
              <c:f>'Data paired'!$Q$161:$Q$162</c:f>
              <c:numCache>
                <c:formatCode>General</c:formatCode>
                <c:ptCount val="2"/>
                <c:pt idx="0">
                  <c:v>#N/A</c:v>
                </c:pt>
                <c:pt idx="1">
                  <c:v>#N/A</c:v>
                </c:pt>
              </c:numCache>
            </c:numRef>
          </c:yVal>
          <c:smooth val="0"/>
          <c:extLst>
            <c:ext xmlns:c16="http://schemas.microsoft.com/office/drawing/2014/chart" uri="{C3380CC4-5D6E-409C-BE32-E72D297353CC}">
              <c16:uniqueId val="{00000055-64D8-49E9-92E8-C924DE8325D3}"/>
            </c:ext>
          </c:extLst>
        </c:ser>
        <c:ser>
          <c:idx val="163"/>
          <c:order val="60"/>
          <c:spPr>
            <a:ln w="12700">
              <a:solidFill>
                <a:srgbClr val="0000FF"/>
              </a:solidFill>
              <a:prstDash val="solid"/>
            </a:ln>
          </c:spPr>
          <c:marker>
            <c:symbol val="circle"/>
            <c:size val="6"/>
            <c:spPr>
              <a:noFill/>
              <a:ln>
                <a:solidFill>
                  <a:srgbClr val="0000FF"/>
                </a:solidFill>
                <a:prstDash val="solid"/>
              </a:ln>
            </c:spPr>
          </c:marker>
          <c:xVal>
            <c:numRef>
              <c:f>'Data paired'!$P$163:$P$164</c:f>
              <c:numCache>
                <c:formatCode>General</c:formatCode>
                <c:ptCount val="2"/>
                <c:pt idx="0">
                  <c:v>1.4</c:v>
                </c:pt>
                <c:pt idx="1">
                  <c:v>2.6</c:v>
                </c:pt>
              </c:numCache>
            </c:numRef>
          </c:xVal>
          <c:yVal>
            <c:numRef>
              <c:f>'Data paired'!$Q$163:$Q$164</c:f>
              <c:numCache>
                <c:formatCode>General</c:formatCode>
                <c:ptCount val="2"/>
                <c:pt idx="0">
                  <c:v>#N/A</c:v>
                </c:pt>
                <c:pt idx="1">
                  <c:v>#N/A</c:v>
                </c:pt>
              </c:numCache>
            </c:numRef>
          </c:yVal>
          <c:smooth val="0"/>
          <c:extLst>
            <c:ext xmlns:c16="http://schemas.microsoft.com/office/drawing/2014/chart" uri="{C3380CC4-5D6E-409C-BE32-E72D297353CC}">
              <c16:uniqueId val="{00000056-64D8-49E9-92E8-C924DE8325D3}"/>
            </c:ext>
          </c:extLst>
        </c:ser>
        <c:ser>
          <c:idx val="164"/>
          <c:order val="61"/>
          <c:spPr>
            <a:ln w="12700">
              <a:solidFill>
                <a:srgbClr val="0000FF"/>
              </a:solidFill>
              <a:prstDash val="solid"/>
            </a:ln>
          </c:spPr>
          <c:marker>
            <c:symbol val="circle"/>
            <c:size val="6"/>
            <c:spPr>
              <a:noFill/>
              <a:ln>
                <a:solidFill>
                  <a:srgbClr val="0000FF"/>
                </a:solidFill>
                <a:prstDash val="solid"/>
              </a:ln>
            </c:spPr>
          </c:marker>
          <c:xVal>
            <c:numRef>
              <c:f>'Data paired'!$P$165:$P$166</c:f>
              <c:numCache>
                <c:formatCode>General</c:formatCode>
                <c:ptCount val="2"/>
                <c:pt idx="0">
                  <c:v>1.4</c:v>
                </c:pt>
                <c:pt idx="1">
                  <c:v>2.6</c:v>
                </c:pt>
              </c:numCache>
            </c:numRef>
          </c:xVal>
          <c:yVal>
            <c:numRef>
              <c:f>'Data paired'!$Q$165:$Q$166</c:f>
              <c:numCache>
                <c:formatCode>General</c:formatCode>
                <c:ptCount val="2"/>
                <c:pt idx="0">
                  <c:v>#N/A</c:v>
                </c:pt>
                <c:pt idx="1">
                  <c:v>#N/A</c:v>
                </c:pt>
              </c:numCache>
            </c:numRef>
          </c:yVal>
          <c:smooth val="0"/>
          <c:extLst>
            <c:ext xmlns:c16="http://schemas.microsoft.com/office/drawing/2014/chart" uri="{C3380CC4-5D6E-409C-BE32-E72D297353CC}">
              <c16:uniqueId val="{00000057-64D8-49E9-92E8-C924DE8325D3}"/>
            </c:ext>
          </c:extLst>
        </c:ser>
        <c:ser>
          <c:idx val="165"/>
          <c:order val="62"/>
          <c:spPr>
            <a:ln w="12700">
              <a:solidFill>
                <a:srgbClr val="0000FF"/>
              </a:solidFill>
              <a:prstDash val="solid"/>
            </a:ln>
          </c:spPr>
          <c:marker>
            <c:symbol val="circle"/>
            <c:size val="6"/>
            <c:spPr>
              <a:noFill/>
              <a:ln>
                <a:solidFill>
                  <a:srgbClr val="0000FF"/>
                </a:solidFill>
                <a:prstDash val="solid"/>
              </a:ln>
            </c:spPr>
          </c:marker>
          <c:xVal>
            <c:numRef>
              <c:f>'Data paired'!$P$167:$P$168</c:f>
              <c:numCache>
                <c:formatCode>General</c:formatCode>
                <c:ptCount val="2"/>
                <c:pt idx="0">
                  <c:v>1.4</c:v>
                </c:pt>
                <c:pt idx="1">
                  <c:v>2.6</c:v>
                </c:pt>
              </c:numCache>
            </c:numRef>
          </c:xVal>
          <c:yVal>
            <c:numRef>
              <c:f>'Data paired'!$Q$167:$Q$168</c:f>
              <c:numCache>
                <c:formatCode>General</c:formatCode>
                <c:ptCount val="2"/>
                <c:pt idx="0">
                  <c:v>#N/A</c:v>
                </c:pt>
                <c:pt idx="1">
                  <c:v>#N/A</c:v>
                </c:pt>
              </c:numCache>
            </c:numRef>
          </c:yVal>
          <c:smooth val="0"/>
          <c:extLst>
            <c:ext xmlns:c16="http://schemas.microsoft.com/office/drawing/2014/chart" uri="{C3380CC4-5D6E-409C-BE32-E72D297353CC}">
              <c16:uniqueId val="{00000058-64D8-49E9-92E8-C924DE8325D3}"/>
            </c:ext>
          </c:extLst>
        </c:ser>
        <c:ser>
          <c:idx val="166"/>
          <c:order val="63"/>
          <c:spPr>
            <a:ln w="12700">
              <a:solidFill>
                <a:srgbClr val="0000FF"/>
              </a:solidFill>
              <a:prstDash val="solid"/>
            </a:ln>
          </c:spPr>
          <c:marker>
            <c:symbol val="circle"/>
            <c:size val="6"/>
            <c:spPr>
              <a:noFill/>
              <a:ln>
                <a:solidFill>
                  <a:srgbClr val="0000FF"/>
                </a:solidFill>
                <a:prstDash val="solid"/>
              </a:ln>
            </c:spPr>
          </c:marker>
          <c:xVal>
            <c:numRef>
              <c:f>'Data paired'!$P$169:$P$170</c:f>
              <c:numCache>
                <c:formatCode>General</c:formatCode>
                <c:ptCount val="2"/>
                <c:pt idx="0">
                  <c:v>1.4</c:v>
                </c:pt>
                <c:pt idx="1">
                  <c:v>2.6</c:v>
                </c:pt>
              </c:numCache>
            </c:numRef>
          </c:xVal>
          <c:yVal>
            <c:numRef>
              <c:f>'Data paired'!$Q$169:$Q$170</c:f>
              <c:numCache>
                <c:formatCode>General</c:formatCode>
                <c:ptCount val="2"/>
                <c:pt idx="0">
                  <c:v>#N/A</c:v>
                </c:pt>
                <c:pt idx="1">
                  <c:v>#N/A</c:v>
                </c:pt>
              </c:numCache>
            </c:numRef>
          </c:yVal>
          <c:smooth val="0"/>
          <c:extLst>
            <c:ext xmlns:c16="http://schemas.microsoft.com/office/drawing/2014/chart" uri="{C3380CC4-5D6E-409C-BE32-E72D297353CC}">
              <c16:uniqueId val="{00000059-64D8-49E9-92E8-C924DE8325D3}"/>
            </c:ext>
          </c:extLst>
        </c:ser>
        <c:ser>
          <c:idx val="167"/>
          <c:order val="64"/>
          <c:spPr>
            <a:ln w="12700">
              <a:solidFill>
                <a:srgbClr val="0000FF"/>
              </a:solidFill>
              <a:prstDash val="solid"/>
            </a:ln>
          </c:spPr>
          <c:marker>
            <c:symbol val="circle"/>
            <c:size val="6"/>
            <c:spPr>
              <a:noFill/>
              <a:ln>
                <a:solidFill>
                  <a:srgbClr val="0000FF"/>
                </a:solidFill>
                <a:prstDash val="solid"/>
              </a:ln>
            </c:spPr>
          </c:marker>
          <c:xVal>
            <c:numRef>
              <c:f>'Data paired'!$P$171:$P$172</c:f>
              <c:numCache>
                <c:formatCode>General</c:formatCode>
                <c:ptCount val="2"/>
                <c:pt idx="0">
                  <c:v>1.4</c:v>
                </c:pt>
                <c:pt idx="1">
                  <c:v>2.6</c:v>
                </c:pt>
              </c:numCache>
            </c:numRef>
          </c:xVal>
          <c:yVal>
            <c:numRef>
              <c:f>'Data paired'!$Q$171:$Q$172</c:f>
              <c:numCache>
                <c:formatCode>General</c:formatCode>
                <c:ptCount val="2"/>
                <c:pt idx="0">
                  <c:v>#N/A</c:v>
                </c:pt>
                <c:pt idx="1">
                  <c:v>#N/A</c:v>
                </c:pt>
              </c:numCache>
            </c:numRef>
          </c:yVal>
          <c:smooth val="0"/>
          <c:extLst>
            <c:ext xmlns:c16="http://schemas.microsoft.com/office/drawing/2014/chart" uri="{C3380CC4-5D6E-409C-BE32-E72D297353CC}">
              <c16:uniqueId val="{0000005A-64D8-49E9-92E8-C924DE8325D3}"/>
            </c:ext>
          </c:extLst>
        </c:ser>
        <c:ser>
          <c:idx val="168"/>
          <c:order val="65"/>
          <c:spPr>
            <a:ln w="12700">
              <a:solidFill>
                <a:srgbClr val="0000FF"/>
              </a:solidFill>
              <a:prstDash val="solid"/>
            </a:ln>
          </c:spPr>
          <c:marker>
            <c:symbol val="circle"/>
            <c:size val="6"/>
            <c:spPr>
              <a:noFill/>
              <a:ln>
                <a:solidFill>
                  <a:srgbClr val="0000FF"/>
                </a:solidFill>
                <a:prstDash val="solid"/>
              </a:ln>
            </c:spPr>
          </c:marker>
          <c:xVal>
            <c:numRef>
              <c:f>'Data paired'!$P$173:$P$174</c:f>
              <c:numCache>
                <c:formatCode>General</c:formatCode>
                <c:ptCount val="2"/>
                <c:pt idx="0">
                  <c:v>1.4</c:v>
                </c:pt>
                <c:pt idx="1">
                  <c:v>2.6</c:v>
                </c:pt>
              </c:numCache>
            </c:numRef>
          </c:xVal>
          <c:yVal>
            <c:numRef>
              <c:f>'Data paired'!$Q$173:$Q$174</c:f>
              <c:numCache>
                <c:formatCode>General</c:formatCode>
                <c:ptCount val="2"/>
                <c:pt idx="0">
                  <c:v>#N/A</c:v>
                </c:pt>
                <c:pt idx="1">
                  <c:v>#N/A</c:v>
                </c:pt>
              </c:numCache>
            </c:numRef>
          </c:yVal>
          <c:smooth val="0"/>
          <c:extLst>
            <c:ext xmlns:c16="http://schemas.microsoft.com/office/drawing/2014/chart" uri="{C3380CC4-5D6E-409C-BE32-E72D297353CC}">
              <c16:uniqueId val="{0000005B-64D8-49E9-92E8-C924DE8325D3}"/>
            </c:ext>
          </c:extLst>
        </c:ser>
        <c:ser>
          <c:idx val="169"/>
          <c:order val="66"/>
          <c:spPr>
            <a:ln w="12700">
              <a:solidFill>
                <a:srgbClr val="0000FF"/>
              </a:solidFill>
              <a:prstDash val="solid"/>
            </a:ln>
          </c:spPr>
          <c:marker>
            <c:symbol val="circle"/>
            <c:size val="6"/>
            <c:spPr>
              <a:noFill/>
              <a:ln>
                <a:solidFill>
                  <a:srgbClr val="0000FF"/>
                </a:solidFill>
                <a:prstDash val="solid"/>
              </a:ln>
            </c:spPr>
          </c:marker>
          <c:xVal>
            <c:numRef>
              <c:f>'Data paired'!$P$175:$P$176</c:f>
              <c:numCache>
                <c:formatCode>General</c:formatCode>
                <c:ptCount val="2"/>
                <c:pt idx="0">
                  <c:v>1.4</c:v>
                </c:pt>
                <c:pt idx="1">
                  <c:v>2.6</c:v>
                </c:pt>
              </c:numCache>
            </c:numRef>
          </c:xVal>
          <c:yVal>
            <c:numRef>
              <c:f>'Data paired'!$Q$175:$Q$176</c:f>
              <c:numCache>
                <c:formatCode>General</c:formatCode>
                <c:ptCount val="2"/>
                <c:pt idx="0">
                  <c:v>#N/A</c:v>
                </c:pt>
                <c:pt idx="1">
                  <c:v>#N/A</c:v>
                </c:pt>
              </c:numCache>
            </c:numRef>
          </c:yVal>
          <c:smooth val="0"/>
          <c:extLst>
            <c:ext xmlns:c16="http://schemas.microsoft.com/office/drawing/2014/chart" uri="{C3380CC4-5D6E-409C-BE32-E72D297353CC}">
              <c16:uniqueId val="{0000005C-64D8-49E9-92E8-C924DE8325D3}"/>
            </c:ext>
          </c:extLst>
        </c:ser>
        <c:ser>
          <c:idx val="170"/>
          <c:order val="67"/>
          <c:spPr>
            <a:ln w="12700">
              <a:solidFill>
                <a:srgbClr val="0000FF"/>
              </a:solidFill>
              <a:prstDash val="solid"/>
            </a:ln>
          </c:spPr>
          <c:marker>
            <c:symbol val="circle"/>
            <c:size val="6"/>
            <c:spPr>
              <a:noFill/>
              <a:ln>
                <a:solidFill>
                  <a:srgbClr val="0000FF"/>
                </a:solidFill>
                <a:prstDash val="solid"/>
              </a:ln>
            </c:spPr>
          </c:marker>
          <c:xVal>
            <c:numRef>
              <c:f>'Data paired'!$P$177:$P$178</c:f>
              <c:numCache>
                <c:formatCode>General</c:formatCode>
                <c:ptCount val="2"/>
                <c:pt idx="0">
                  <c:v>1.4</c:v>
                </c:pt>
                <c:pt idx="1">
                  <c:v>2.6</c:v>
                </c:pt>
              </c:numCache>
            </c:numRef>
          </c:xVal>
          <c:yVal>
            <c:numRef>
              <c:f>'Data paired'!$Q$177:$Q$178</c:f>
              <c:numCache>
                <c:formatCode>General</c:formatCode>
                <c:ptCount val="2"/>
                <c:pt idx="0">
                  <c:v>#N/A</c:v>
                </c:pt>
                <c:pt idx="1">
                  <c:v>#N/A</c:v>
                </c:pt>
              </c:numCache>
            </c:numRef>
          </c:yVal>
          <c:smooth val="0"/>
          <c:extLst>
            <c:ext xmlns:c16="http://schemas.microsoft.com/office/drawing/2014/chart" uri="{C3380CC4-5D6E-409C-BE32-E72D297353CC}">
              <c16:uniqueId val="{0000005D-64D8-49E9-92E8-C924DE8325D3}"/>
            </c:ext>
          </c:extLst>
        </c:ser>
        <c:ser>
          <c:idx val="171"/>
          <c:order val="68"/>
          <c:spPr>
            <a:ln w="12700">
              <a:solidFill>
                <a:srgbClr val="0000FF"/>
              </a:solidFill>
              <a:prstDash val="solid"/>
            </a:ln>
          </c:spPr>
          <c:marker>
            <c:symbol val="circle"/>
            <c:size val="6"/>
            <c:spPr>
              <a:noFill/>
              <a:ln>
                <a:solidFill>
                  <a:srgbClr val="0000FF"/>
                </a:solidFill>
                <a:prstDash val="solid"/>
              </a:ln>
            </c:spPr>
          </c:marker>
          <c:xVal>
            <c:numRef>
              <c:f>'Data paired'!$P$179:$P$180</c:f>
              <c:numCache>
                <c:formatCode>General</c:formatCode>
                <c:ptCount val="2"/>
                <c:pt idx="0">
                  <c:v>1.4</c:v>
                </c:pt>
                <c:pt idx="1">
                  <c:v>2.6</c:v>
                </c:pt>
              </c:numCache>
            </c:numRef>
          </c:xVal>
          <c:yVal>
            <c:numRef>
              <c:f>'Data paired'!$Q$179:$Q$180</c:f>
              <c:numCache>
                <c:formatCode>General</c:formatCode>
                <c:ptCount val="2"/>
                <c:pt idx="0">
                  <c:v>#N/A</c:v>
                </c:pt>
                <c:pt idx="1">
                  <c:v>#N/A</c:v>
                </c:pt>
              </c:numCache>
            </c:numRef>
          </c:yVal>
          <c:smooth val="0"/>
          <c:extLst>
            <c:ext xmlns:c16="http://schemas.microsoft.com/office/drawing/2014/chart" uri="{C3380CC4-5D6E-409C-BE32-E72D297353CC}">
              <c16:uniqueId val="{0000005E-64D8-49E9-92E8-C924DE8325D3}"/>
            </c:ext>
          </c:extLst>
        </c:ser>
        <c:ser>
          <c:idx val="172"/>
          <c:order val="69"/>
          <c:spPr>
            <a:ln w="12700">
              <a:solidFill>
                <a:srgbClr val="0000FF"/>
              </a:solidFill>
              <a:prstDash val="solid"/>
            </a:ln>
          </c:spPr>
          <c:marker>
            <c:symbol val="circle"/>
            <c:size val="6"/>
            <c:spPr>
              <a:noFill/>
              <a:ln>
                <a:solidFill>
                  <a:srgbClr val="0000FF"/>
                </a:solidFill>
                <a:prstDash val="solid"/>
              </a:ln>
            </c:spPr>
          </c:marker>
          <c:xVal>
            <c:numRef>
              <c:f>'Data paired'!$P$181:$P$182</c:f>
              <c:numCache>
                <c:formatCode>General</c:formatCode>
                <c:ptCount val="2"/>
                <c:pt idx="0">
                  <c:v>1.4</c:v>
                </c:pt>
                <c:pt idx="1">
                  <c:v>2.6</c:v>
                </c:pt>
              </c:numCache>
            </c:numRef>
          </c:xVal>
          <c:yVal>
            <c:numRef>
              <c:f>'Data paired'!$Q$181:$Q$182</c:f>
              <c:numCache>
                <c:formatCode>General</c:formatCode>
                <c:ptCount val="2"/>
                <c:pt idx="0">
                  <c:v>#N/A</c:v>
                </c:pt>
                <c:pt idx="1">
                  <c:v>#N/A</c:v>
                </c:pt>
              </c:numCache>
            </c:numRef>
          </c:yVal>
          <c:smooth val="0"/>
          <c:extLst>
            <c:ext xmlns:c16="http://schemas.microsoft.com/office/drawing/2014/chart" uri="{C3380CC4-5D6E-409C-BE32-E72D297353CC}">
              <c16:uniqueId val="{0000005F-64D8-49E9-92E8-C924DE8325D3}"/>
            </c:ext>
          </c:extLst>
        </c:ser>
        <c:ser>
          <c:idx val="173"/>
          <c:order val="70"/>
          <c:spPr>
            <a:ln w="12700">
              <a:solidFill>
                <a:srgbClr val="0000FF"/>
              </a:solidFill>
              <a:prstDash val="solid"/>
            </a:ln>
          </c:spPr>
          <c:marker>
            <c:symbol val="circle"/>
            <c:size val="5"/>
            <c:spPr>
              <a:noFill/>
              <a:ln>
                <a:solidFill>
                  <a:srgbClr val="0000FF"/>
                </a:solidFill>
                <a:prstDash val="solid"/>
              </a:ln>
            </c:spPr>
          </c:marker>
          <c:xVal>
            <c:numRef>
              <c:f>'Data paired'!$P$183:$P$184</c:f>
              <c:numCache>
                <c:formatCode>General</c:formatCode>
                <c:ptCount val="2"/>
                <c:pt idx="0">
                  <c:v>1.4</c:v>
                </c:pt>
                <c:pt idx="1">
                  <c:v>2.6</c:v>
                </c:pt>
              </c:numCache>
            </c:numRef>
          </c:xVal>
          <c:yVal>
            <c:numRef>
              <c:f>'Data paired'!$Q$183:$Q$184</c:f>
              <c:numCache>
                <c:formatCode>General</c:formatCode>
                <c:ptCount val="2"/>
                <c:pt idx="0">
                  <c:v>#N/A</c:v>
                </c:pt>
                <c:pt idx="1">
                  <c:v>#N/A</c:v>
                </c:pt>
              </c:numCache>
            </c:numRef>
          </c:yVal>
          <c:smooth val="0"/>
          <c:extLst>
            <c:ext xmlns:c16="http://schemas.microsoft.com/office/drawing/2014/chart" uri="{C3380CC4-5D6E-409C-BE32-E72D297353CC}">
              <c16:uniqueId val="{00000060-64D8-49E9-92E8-C924DE8325D3}"/>
            </c:ext>
          </c:extLst>
        </c:ser>
        <c:ser>
          <c:idx val="174"/>
          <c:order val="71"/>
          <c:spPr>
            <a:ln w="12700">
              <a:solidFill>
                <a:srgbClr val="0000FF"/>
              </a:solidFill>
              <a:prstDash val="solid"/>
            </a:ln>
          </c:spPr>
          <c:marker>
            <c:symbol val="circle"/>
            <c:size val="6"/>
            <c:spPr>
              <a:noFill/>
              <a:ln>
                <a:solidFill>
                  <a:srgbClr val="0000FF"/>
                </a:solidFill>
                <a:prstDash val="solid"/>
              </a:ln>
            </c:spPr>
          </c:marker>
          <c:xVal>
            <c:numRef>
              <c:f>'Data paired'!$P$185:$P$186</c:f>
              <c:numCache>
                <c:formatCode>General</c:formatCode>
                <c:ptCount val="2"/>
                <c:pt idx="0">
                  <c:v>1.4</c:v>
                </c:pt>
                <c:pt idx="1">
                  <c:v>2.6</c:v>
                </c:pt>
              </c:numCache>
            </c:numRef>
          </c:xVal>
          <c:yVal>
            <c:numRef>
              <c:f>'Data paired'!$Q$185:$Q$186</c:f>
              <c:numCache>
                <c:formatCode>General</c:formatCode>
                <c:ptCount val="2"/>
                <c:pt idx="0">
                  <c:v>#N/A</c:v>
                </c:pt>
                <c:pt idx="1">
                  <c:v>#N/A</c:v>
                </c:pt>
              </c:numCache>
            </c:numRef>
          </c:yVal>
          <c:smooth val="0"/>
          <c:extLst>
            <c:ext xmlns:c16="http://schemas.microsoft.com/office/drawing/2014/chart" uri="{C3380CC4-5D6E-409C-BE32-E72D297353CC}">
              <c16:uniqueId val="{00000061-64D8-49E9-92E8-C924DE8325D3}"/>
            </c:ext>
          </c:extLst>
        </c:ser>
        <c:ser>
          <c:idx val="175"/>
          <c:order val="72"/>
          <c:spPr>
            <a:ln w="12700">
              <a:solidFill>
                <a:srgbClr val="0000FF"/>
              </a:solidFill>
              <a:prstDash val="solid"/>
            </a:ln>
          </c:spPr>
          <c:marker>
            <c:symbol val="circle"/>
            <c:size val="6"/>
            <c:spPr>
              <a:noFill/>
              <a:ln>
                <a:solidFill>
                  <a:srgbClr val="0000FF"/>
                </a:solidFill>
                <a:prstDash val="solid"/>
              </a:ln>
            </c:spPr>
          </c:marker>
          <c:xVal>
            <c:numRef>
              <c:f>'Data paired'!$P$187:$P$188</c:f>
              <c:numCache>
                <c:formatCode>General</c:formatCode>
                <c:ptCount val="2"/>
                <c:pt idx="0">
                  <c:v>1.4</c:v>
                </c:pt>
                <c:pt idx="1">
                  <c:v>2.6</c:v>
                </c:pt>
              </c:numCache>
            </c:numRef>
          </c:xVal>
          <c:yVal>
            <c:numRef>
              <c:f>'Data paired'!$Q$187:$Q$188</c:f>
              <c:numCache>
                <c:formatCode>General</c:formatCode>
                <c:ptCount val="2"/>
                <c:pt idx="0">
                  <c:v>#N/A</c:v>
                </c:pt>
                <c:pt idx="1">
                  <c:v>#N/A</c:v>
                </c:pt>
              </c:numCache>
            </c:numRef>
          </c:yVal>
          <c:smooth val="0"/>
          <c:extLst>
            <c:ext xmlns:c16="http://schemas.microsoft.com/office/drawing/2014/chart" uri="{C3380CC4-5D6E-409C-BE32-E72D297353CC}">
              <c16:uniqueId val="{00000062-64D8-49E9-92E8-C924DE8325D3}"/>
            </c:ext>
          </c:extLst>
        </c:ser>
        <c:ser>
          <c:idx val="176"/>
          <c:order val="73"/>
          <c:spPr>
            <a:ln w="12700">
              <a:solidFill>
                <a:srgbClr val="0000FF"/>
              </a:solidFill>
              <a:prstDash val="solid"/>
            </a:ln>
          </c:spPr>
          <c:marker>
            <c:symbol val="circle"/>
            <c:size val="6"/>
            <c:spPr>
              <a:noFill/>
              <a:ln>
                <a:solidFill>
                  <a:srgbClr val="0000FF"/>
                </a:solidFill>
                <a:prstDash val="solid"/>
              </a:ln>
            </c:spPr>
          </c:marker>
          <c:xVal>
            <c:numRef>
              <c:f>'Data paired'!$P$189:$P$190</c:f>
              <c:numCache>
                <c:formatCode>General</c:formatCode>
                <c:ptCount val="2"/>
                <c:pt idx="0">
                  <c:v>1.4</c:v>
                </c:pt>
                <c:pt idx="1">
                  <c:v>2.6</c:v>
                </c:pt>
              </c:numCache>
            </c:numRef>
          </c:xVal>
          <c:yVal>
            <c:numRef>
              <c:f>'Data paired'!$Q$189:$Q$190</c:f>
              <c:numCache>
                <c:formatCode>General</c:formatCode>
                <c:ptCount val="2"/>
                <c:pt idx="0">
                  <c:v>#N/A</c:v>
                </c:pt>
                <c:pt idx="1">
                  <c:v>#N/A</c:v>
                </c:pt>
              </c:numCache>
            </c:numRef>
          </c:yVal>
          <c:smooth val="0"/>
          <c:extLst>
            <c:ext xmlns:c16="http://schemas.microsoft.com/office/drawing/2014/chart" uri="{C3380CC4-5D6E-409C-BE32-E72D297353CC}">
              <c16:uniqueId val="{00000063-64D8-49E9-92E8-C924DE8325D3}"/>
            </c:ext>
          </c:extLst>
        </c:ser>
        <c:ser>
          <c:idx val="177"/>
          <c:order val="74"/>
          <c:spPr>
            <a:ln w="12700">
              <a:solidFill>
                <a:srgbClr val="0000FF"/>
              </a:solidFill>
              <a:prstDash val="solid"/>
            </a:ln>
          </c:spPr>
          <c:marker>
            <c:symbol val="circle"/>
            <c:size val="6"/>
            <c:spPr>
              <a:noFill/>
              <a:ln>
                <a:solidFill>
                  <a:srgbClr val="0000FF"/>
                </a:solidFill>
                <a:prstDash val="solid"/>
              </a:ln>
            </c:spPr>
          </c:marker>
          <c:xVal>
            <c:numRef>
              <c:f>'Data paired'!$P$191:$P$192</c:f>
              <c:numCache>
                <c:formatCode>General</c:formatCode>
                <c:ptCount val="2"/>
                <c:pt idx="0">
                  <c:v>1.4</c:v>
                </c:pt>
                <c:pt idx="1">
                  <c:v>2.6</c:v>
                </c:pt>
              </c:numCache>
            </c:numRef>
          </c:xVal>
          <c:yVal>
            <c:numRef>
              <c:f>'Data paired'!$Q$191:$Q$192</c:f>
              <c:numCache>
                <c:formatCode>General</c:formatCode>
                <c:ptCount val="2"/>
                <c:pt idx="0">
                  <c:v>#N/A</c:v>
                </c:pt>
                <c:pt idx="1">
                  <c:v>#N/A</c:v>
                </c:pt>
              </c:numCache>
            </c:numRef>
          </c:yVal>
          <c:smooth val="0"/>
          <c:extLst>
            <c:ext xmlns:c16="http://schemas.microsoft.com/office/drawing/2014/chart" uri="{C3380CC4-5D6E-409C-BE32-E72D297353CC}">
              <c16:uniqueId val="{00000064-64D8-49E9-92E8-C924DE8325D3}"/>
            </c:ext>
          </c:extLst>
        </c:ser>
        <c:ser>
          <c:idx val="178"/>
          <c:order val="75"/>
          <c:spPr>
            <a:ln w="12700">
              <a:solidFill>
                <a:srgbClr val="0000FF"/>
              </a:solidFill>
              <a:prstDash val="solid"/>
            </a:ln>
          </c:spPr>
          <c:marker>
            <c:symbol val="circle"/>
            <c:size val="6"/>
            <c:spPr>
              <a:noFill/>
              <a:ln>
                <a:solidFill>
                  <a:srgbClr val="0000FF"/>
                </a:solidFill>
                <a:prstDash val="solid"/>
              </a:ln>
            </c:spPr>
          </c:marker>
          <c:xVal>
            <c:numRef>
              <c:f>'Data paired'!$P$193:$P$194</c:f>
              <c:numCache>
                <c:formatCode>General</c:formatCode>
                <c:ptCount val="2"/>
                <c:pt idx="0">
                  <c:v>1.4</c:v>
                </c:pt>
                <c:pt idx="1">
                  <c:v>2.6</c:v>
                </c:pt>
              </c:numCache>
            </c:numRef>
          </c:xVal>
          <c:yVal>
            <c:numRef>
              <c:f>'Data paired'!$Q$193:$Q$194</c:f>
              <c:numCache>
                <c:formatCode>General</c:formatCode>
                <c:ptCount val="2"/>
                <c:pt idx="0">
                  <c:v>#N/A</c:v>
                </c:pt>
                <c:pt idx="1">
                  <c:v>#N/A</c:v>
                </c:pt>
              </c:numCache>
            </c:numRef>
          </c:yVal>
          <c:smooth val="0"/>
          <c:extLst>
            <c:ext xmlns:c16="http://schemas.microsoft.com/office/drawing/2014/chart" uri="{C3380CC4-5D6E-409C-BE32-E72D297353CC}">
              <c16:uniqueId val="{00000065-64D8-49E9-92E8-C924DE8325D3}"/>
            </c:ext>
          </c:extLst>
        </c:ser>
        <c:ser>
          <c:idx val="179"/>
          <c:order val="76"/>
          <c:spPr>
            <a:ln w="12700">
              <a:solidFill>
                <a:srgbClr val="0000FF"/>
              </a:solidFill>
              <a:prstDash val="solid"/>
            </a:ln>
          </c:spPr>
          <c:marker>
            <c:symbol val="circle"/>
            <c:size val="6"/>
            <c:spPr>
              <a:noFill/>
              <a:ln>
                <a:solidFill>
                  <a:srgbClr val="0000FF"/>
                </a:solidFill>
                <a:prstDash val="solid"/>
              </a:ln>
            </c:spPr>
          </c:marker>
          <c:xVal>
            <c:numRef>
              <c:f>'Data paired'!$P$195:$P$196</c:f>
              <c:numCache>
                <c:formatCode>General</c:formatCode>
                <c:ptCount val="2"/>
                <c:pt idx="0">
                  <c:v>1.4</c:v>
                </c:pt>
                <c:pt idx="1">
                  <c:v>2.6</c:v>
                </c:pt>
              </c:numCache>
            </c:numRef>
          </c:xVal>
          <c:yVal>
            <c:numRef>
              <c:f>'Data paired'!$Q$195:$Q$196</c:f>
              <c:numCache>
                <c:formatCode>General</c:formatCode>
                <c:ptCount val="2"/>
                <c:pt idx="0">
                  <c:v>#N/A</c:v>
                </c:pt>
                <c:pt idx="1">
                  <c:v>#N/A</c:v>
                </c:pt>
              </c:numCache>
            </c:numRef>
          </c:yVal>
          <c:smooth val="0"/>
          <c:extLst>
            <c:ext xmlns:c16="http://schemas.microsoft.com/office/drawing/2014/chart" uri="{C3380CC4-5D6E-409C-BE32-E72D297353CC}">
              <c16:uniqueId val="{00000066-64D8-49E9-92E8-C924DE8325D3}"/>
            </c:ext>
          </c:extLst>
        </c:ser>
        <c:ser>
          <c:idx val="180"/>
          <c:order val="77"/>
          <c:spPr>
            <a:ln w="12700">
              <a:solidFill>
                <a:srgbClr val="0000FF"/>
              </a:solidFill>
              <a:prstDash val="solid"/>
            </a:ln>
          </c:spPr>
          <c:marker>
            <c:symbol val="circle"/>
            <c:size val="6"/>
            <c:spPr>
              <a:noFill/>
              <a:ln>
                <a:solidFill>
                  <a:srgbClr val="0000FF"/>
                </a:solidFill>
                <a:prstDash val="solid"/>
              </a:ln>
            </c:spPr>
          </c:marker>
          <c:xVal>
            <c:numRef>
              <c:f>'Data paired'!$P$197:$P$198</c:f>
              <c:numCache>
                <c:formatCode>General</c:formatCode>
                <c:ptCount val="2"/>
                <c:pt idx="0">
                  <c:v>1.4</c:v>
                </c:pt>
                <c:pt idx="1">
                  <c:v>2.6</c:v>
                </c:pt>
              </c:numCache>
            </c:numRef>
          </c:xVal>
          <c:yVal>
            <c:numRef>
              <c:f>'Data paired'!$Q$197:$Q$198</c:f>
              <c:numCache>
                <c:formatCode>General</c:formatCode>
                <c:ptCount val="2"/>
                <c:pt idx="0">
                  <c:v>#N/A</c:v>
                </c:pt>
                <c:pt idx="1">
                  <c:v>#N/A</c:v>
                </c:pt>
              </c:numCache>
            </c:numRef>
          </c:yVal>
          <c:smooth val="0"/>
          <c:extLst>
            <c:ext xmlns:c16="http://schemas.microsoft.com/office/drawing/2014/chart" uri="{C3380CC4-5D6E-409C-BE32-E72D297353CC}">
              <c16:uniqueId val="{00000067-64D8-49E9-92E8-C924DE8325D3}"/>
            </c:ext>
          </c:extLst>
        </c:ser>
        <c:ser>
          <c:idx val="181"/>
          <c:order val="78"/>
          <c:spPr>
            <a:ln w="12700">
              <a:solidFill>
                <a:srgbClr val="0000FF"/>
              </a:solidFill>
              <a:prstDash val="solid"/>
            </a:ln>
          </c:spPr>
          <c:marker>
            <c:symbol val="circle"/>
            <c:size val="6"/>
            <c:spPr>
              <a:noFill/>
              <a:ln>
                <a:solidFill>
                  <a:srgbClr val="0000FF"/>
                </a:solidFill>
                <a:prstDash val="solid"/>
              </a:ln>
            </c:spPr>
          </c:marker>
          <c:xVal>
            <c:numRef>
              <c:f>'Data paired'!$P$199:$P$200</c:f>
              <c:numCache>
                <c:formatCode>General</c:formatCode>
                <c:ptCount val="2"/>
                <c:pt idx="0">
                  <c:v>1.4</c:v>
                </c:pt>
                <c:pt idx="1">
                  <c:v>2.6</c:v>
                </c:pt>
              </c:numCache>
            </c:numRef>
          </c:xVal>
          <c:yVal>
            <c:numRef>
              <c:f>'Data paired'!$Q$199:$Q$200</c:f>
              <c:numCache>
                <c:formatCode>General</c:formatCode>
                <c:ptCount val="2"/>
                <c:pt idx="0">
                  <c:v>#N/A</c:v>
                </c:pt>
                <c:pt idx="1">
                  <c:v>#N/A</c:v>
                </c:pt>
              </c:numCache>
            </c:numRef>
          </c:yVal>
          <c:smooth val="0"/>
          <c:extLst>
            <c:ext xmlns:c16="http://schemas.microsoft.com/office/drawing/2014/chart" uri="{C3380CC4-5D6E-409C-BE32-E72D297353CC}">
              <c16:uniqueId val="{00000068-64D8-49E9-92E8-C924DE8325D3}"/>
            </c:ext>
          </c:extLst>
        </c:ser>
        <c:ser>
          <c:idx val="182"/>
          <c:order val="79"/>
          <c:spPr>
            <a:ln w="12700">
              <a:solidFill>
                <a:srgbClr val="0000FF"/>
              </a:solidFill>
              <a:prstDash val="solid"/>
            </a:ln>
          </c:spPr>
          <c:marker>
            <c:symbol val="circle"/>
            <c:size val="6"/>
            <c:spPr>
              <a:noFill/>
              <a:ln>
                <a:solidFill>
                  <a:srgbClr val="0000FF"/>
                </a:solidFill>
                <a:prstDash val="solid"/>
              </a:ln>
            </c:spPr>
          </c:marker>
          <c:xVal>
            <c:numRef>
              <c:f>'Data paired'!$P$201:$P$202</c:f>
              <c:numCache>
                <c:formatCode>General</c:formatCode>
                <c:ptCount val="2"/>
                <c:pt idx="0">
                  <c:v>1.4</c:v>
                </c:pt>
                <c:pt idx="1">
                  <c:v>2.6</c:v>
                </c:pt>
              </c:numCache>
            </c:numRef>
          </c:xVal>
          <c:yVal>
            <c:numRef>
              <c:f>'Data paired'!$Q$201:$Q$202</c:f>
              <c:numCache>
                <c:formatCode>General</c:formatCode>
                <c:ptCount val="2"/>
                <c:pt idx="0">
                  <c:v>#N/A</c:v>
                </c:pt>
                <c:pt idx="1">
                  <c:v>#N/A</c:v>
                </c:pt>
              </c:numCache>
            </c:numRef>
          </c:yVal>
          <c:smooth val="0"/>
          <c:extLst>
            <c:ext xmlns:c16="http://schemas.microsoft.com/office/drawing/2014/chart" uri="{C3380CC4-5D6E-409C-BE32-E72D297353CC}">
              <c16:uniqueId val="{00000069-64D8-49E9-92E8-C924DE8325D3}"/>
            </c:ext>
          </c:extLst>
        </c:ser>
        <c:ser>
          <c:idx val="183"/>
          <c:order val="80"/>
          <c:spPr>
            <a:ln w="12700">
              <a:solidFill>
                <a:srgbClr val="0000FF"/>
              </a:solidFill>
              <a:prstDash val="solid"/>
            </a:ln>
          </c:spPr>
          <c:marker>
            <c:symbol val="circle"/>
            <c:size val="6"/>
            <c:spPr>
              <a:noFill/>
              <a:ln>
                <a:solidFill>
                  <a:srgbClr val="0000FF"/>
                </a:solidFill>
                <a:prstDash val="solid"/>
              </a:ln>
            </c:spPr>
          </c:marker>
          <c:xVal>
            <c:numRef>
              <c:f>'Data paired'!$P$203:$P$204</c:f>
              <c:numCache>
                <c:formatCode>General</c:formatCode>
                <c:ptCount val="2"/>
                <c:pt idx="0">
                  <c:v>1.4</c:v>
                </c:pt>
                <c:pt idx="1">
                  <c:v>2.6</c:v>
                </c:pt>
              </c:numCache>
            </c:numRef>
          </c:xVal>
          <c:yVal>
            <c:numRef>
              <c:f>'Data paired'!$Q$203:$Q$204</c:f>
              <c:numCache>
                <c:formatCode>General</c:formatCode>
                <c:ptCount val="2"/>
                <c:pt idx="0">
                  <c:v>#N/A</c:v>
                </c:pt>
                <c:pt idx="1">
                  <c:v>#N/A</c:v>
                </c:pt>
              </c:numCache>
            </c:numRef>
          </c:yVal>
          <c:smooth val="0"/>
          <c:extLst>
            <c:ext xmlns:c16="http://schemas.microsoft.com/office/drawing/2014/chart" uri="{C3380CC4-5D6E-409C-BE32-E72D297353CC}">
              <c16:uniqueId val="{0000006A-64D8-49E9-92E8-C924DE8325D3}"/>
            </c:ext>
          </c:extLst>
        </c:ser>
        <c:ser>
          <c:idx val="184"/>
          <c:order val="81"/>
          <c:spPr>
            <a:ln w="12700">
              <a:solidFill>
                <a:srgbClr val="0000FF"/>
              </a:solidFill>
              <a:prstDash val="solid"/>
            </a:ln>
          </c:spPr>
          <c:marker>
            <c:symbol val="circle"/>
            <c:size val="6"/>
            <c:spPr>
              <a:noFill/>
              <a:ln>
                <a:solidFill>
                  <a:srgbClr val="0000FF"/>
                </a:solidFill>
                <a:prstDash val="solid"/>
              </a:ln>
            </c:spPr>
          </c:marker>
          <c:xVal>
            <c:numRef>
              <c:f>'Data paired'!$P$205:$P$206</c:f>
              <c:numCache>
                <c:formatCode>General</c:formatCode>
                <c:ptCount val="2"/>
                <c:pt idx="0">
                  <c:v>1.4</c:v>
                </c:pt>
                <c:pt idx="1">
                  <c:v>2.6</c:v>
                </c:pt>
              </c:numCache>
            </c:numRef>
          </c:xVal>
          <c:yVal>
            <c:numRef>
              <c:f>'Data paired'!$Q$205:$Q$206</c:f>
              <c:numCache>
                <c:formatCode>General</c:formatCode>
                <c:ptCount val="2"/>
                <c:pt idx="0">
                  <c:v>#N/A</c:v>
                </c:pt>
                <c:pt idx="1">
                  <c:v>#N/A</c:v>
                </c:pt>
              </c:numCache>
            </c:numRef>
          </c:yVal>
          <c:smooth val="0"/>
          <c:extLst>
            <c:ext xmlns:c16="http://schemas.microsoft.com/office/drawing/2014/chart" uri="{C3380CC4-5D6E-409C-BE32-E72D297353CC}">
              <c16:uniqueId val="{0000006B-64D8-49E9-92E8-C924DE8325D3}"/>
            </c:ext>
          </c:extLst>
        </c:ser>
        <c:ser>
          <c:idx val="185"/>
          <c:order val="82"/>
          <c:spPr>
            <a:ln w="12700">
              <a:solidFill>
                <a:srgbClr val="0000FF"/>
              </a:solidFill>
              <a:prstDash val="solid"/>
            </a:ln>
          </c:spPr>
          <c:marker>
            <c:symbol val="circle"/>
            <c:size val="6"/>
            <c:spPr>
              <a:noFill/>
              <a:ln>
                <a:solidFill>
                  <a:srgbClr val="0000FF"/>
                </a:solidFill>
                <a:prstDash val="solid"/>
              </a:ln>
            </c:spPr>
          </c:marker>
          <c:xVal>
            <c:numRef>
              <c:f>'Data paired'!$P$207:$P$208</c:f>
              <c:numCache>
                <c:formatCode>General</c:formatCode>
                <c:ptCount val="2"/>
                <c:pt idx="0">
                  <c:v>1.4</c:v>
                </c:pt>
                <c:pt idx="1">
                  <c:v>2.6</c:v>
                </c:pt>
              </c:numCache>
            </c:numRef>
          </c:xVal>
          <c:yVal>
            <c:numRef>
              <c:f>'Data paired'!$Q$207:$Q$208</c:f>
              <c:numCache>
                <c:formatCode>General</c:formatCode>
                <c:ptCount val="2"/>
                <c:pt idx="0">
                  <c:v>#N/A</c:v>
                </c:pt>
                <c:pt idx="1">
                  <c:v>#N/A</c:v>
                </c:pt>
              </c:numCache>
            </c:numRef>
          </c:yVal>
          <c:smooth val="0"/>
          <c:extLst>
            <c:ext xmlns:c16="http://schemas.microsoft.com/office/drawing/2014/chart" uri="{C3380CC4-5D6E-409C-BE32-E72D297353CC}">
              <c16:uniqueId val="{0000006C-64D8-49E9-92E8-C924DE8325D3}"/>
            </c:ext>
          </c:extLst>
        </c:ser>
        <c:ser>
          <c:idx val="186"/>
          <c:order val="83"/>
          <c:spPr>
            <a:ln w="12700">
              <a:solidFill>
                <a:srgbClr val="0000FF"/>
              </a:solidFill>
              <a:prstDash val="solid"/>
            </a:ln>
          </c:spPr>
          <c:marker>
            <c:symbol val="circle"/>
            <c:size val="6"/>
            <c:spPr>
              <a:noFill/>
              <a:ln>
                <a:solidFill>
                  <a:srgbClr val="0000FF"/>
                </a:solidFill>
                <a:prstDash val="solid"/>
              </a:ln>
            </c:spPr>
          </c:marker>
          <c:xVal>
            <c:numRef>
              <c:f>'Data paired'!$P$209:$P$210</c:f>
              <c:numCache>
                <c:formatCode>General</c:formatCode>
                <c:ptCount val="2"/>
                <c:pt idx="0">
                  <c:v>1.4</c:v>
                </c:pt>
                <c:pt idx="1">
                  <c:v>2.6</c:v>
                </c:pt>
              </c:numCache>
            </c:numRef>
          </c:xVal>
          <c:yVal>
            <c:numRef>
              <c:f>'Data paired'!$Q$209:$Q$210</c:f>
              <c:numCache>
                <c:formatCode>General</c:formatCode>
                <c:ptCount val="2"/>
                <c:pt idx="0">
                  <c:v>#N/A</c:v>
                </c:pt>
                <c:pt idx="1">
                  <c:v>#N/A</c:v>
                </c:pt>
              </c:numCache>
            </c:numRef>
          </c:yVal>
          <c:smooth val="0"/>
          <c:extLst>
            <c:ext xmlns:c16="http://schemas.microsoft.com/office/drawing/2014/chart" uri="{C3380CC4-5D6E-409C-BE32-E72D297353CC}">
              <c16:uniqueId val="{0000006D-64D8-49E9-92E8-C924DE8325D3}"/>
            </c:ext>
          </c:extLst>
        </c:ser>
        <c:ser>
          <c:idx val="187"/>
          <c:order val="84"/>
          <c:spPr>
            <a:ln w="12700">
              <a:solidFill>
                <a:srgbClr val="0000FF"/>
              </a:solidFill>
              <a:prstDash val="solid"/>
            </a:ln>
          </c:spPr>
          <c:marker>
            <c:symbol val="circle"/>
            <c:size val="6"/>
            <c:spPr>
              <a:noFill/>
              <a:ln>
                <a:solidFill>
                  <a:srgbClr val="0000FF"/>
                </a:solidFill>
                <a:prstDash val="solid"/>
              </a:ln>
            </c:spPr>
          </c:marker>
          <c:xVal>
            <c:numRef>
              <c:f>'Data paired'!$P$211:$P$212</c:f>
              <c:numCache>
                <c:formatCode>General</c:formatCode>
                <c:ptCount val="2"/>
                <c:pt idx="0">
                  <c:v>1.4</c:v>
                </c:pt>
                <c:pt idx="1">
                  <c:v>2.6</c:v>
                </c:pt>
              </c:numCache>
            </c:numRef>
          </c:xVal>
          <c:yVal>
            <c:numRef>
              <c:f>'Data paired'!$Q$211:$Q$212</c:f>
              <c:numCache>
                <c:formatCode>General</c:formatCode>
                <c:ptCount val="2"/>
                <c:pt idx="0">
                  <c:v>#N/A</c:v>
                </c:pt>
                <c:pt idx="1">
                  <c:v>#N/A</c:v>
                </c:pt>
              </c:numCache>
            </c:numRef>
          </c:yVal>
          <c:smooth val="0"/>
          <c:extLst>
            <c:ext xmlns:c16="http://schemas.microsoft.com/office/drawing/2014/chart" uri="{C3380CC4-5D6E-409C-BE32-E72D297353CC}">
              <c16:uniqueId val="{0000006E-64D8-49E9-92E8-C924DE8325D3}"/>
            </c:ext>
          </c:extLst>
        </c:ser>
        <c:ser>
          <c:idx val="188"/>
          <c:order val="85"/>
          <c:spPr>
            <a:ln w="12700">
              <a:solidFill>
                <a:srgbClr val="0000FF"/>
              </a:solidFill>
              <a:prstDash val="solid"/>
            </a:ln>
          </c:spPr>
          <c:marker>
            <c:symbol val="circle"/>
            <c:size val="6"/>
            <c:spPr>
              <a:noFill/>
              <a:ln>
                <a:solidFill>
                  <a:srgbClr val="0000FF"/>
                </a:solidFill>
                <a:prstDash val="solid"/>
              </a:ln>
            </c:spPr>
          </c:marker>
          <c:xVal>
            <c:numRef>
              <c:f>'Data paired'!$P$213:$P$214</c:f>
              <c:numCache>
                <c:formatCode>General</c:formatCode>
                <c:ptCount val="2"/>
                <c:pt idx="0">
                  <c:v>1.4</c:v>
                </c:pt>
                <c:pt idx="1">
                  <c:v>2.6</c:v>
                </c:pt>
              </c:numCache>
            </c:numRef>
          </c:xVal>
          <c:yVal>
            <c:numRef>
              <c:f>'Data paired'!$Q$213:$Q$214</c:f>
              <c:numCache>
                <c:formatCode>General</c:formatCode>
                <c:ptCount val="2"/>
                <c:pt idx="0">
                  <c:v>#N/A</c:v>
                </c:pt>
                <c:pt idx="1">
                  <c:v>#N/A</c:v>
                </c:pt>
              </c:numCache>
            </c:numRef>
          </c:yVal>
          <c:smooth val="0"/>
          <c:extLst>
            <c:ext xmlns:c16="http://schemas.microsoft.com/office/drawing/2014/chart" uri="{C3380CC4-5D6E-409C-BE32-E72D297353CC}">
              <c16:uniqueId val="{0000006F-64D8-49E9-92E8-C924DE8325D3}"/>
            </c:ext>
          </c:extLst>
        </c:ser>
        <c:ser>
          <c:idx val="189"/>
          <c:order val="86"/>
          <c:spPr>
            <a:ln w="12700">
              <a:solidFill>
                <a:srgbClr val="0000FF"/>
              </a:solidFill>
              <a:prstDash val="solid"/>
            </a:ln>
          </c:spPr>
          <c:marker>
            <c:symbol val="circle"/>
            <c:size val="6"/>
            <c:spPr>
              <a:noFill/>
              <a:ln>
                <a:solidFill>
                  <a:srgbClr val="0000FF"/>
                </a:solidFill>
                <a:prstDash val="solid"/>
              </a:ln>
            </c:spPr>
          </c:marker>
          <c:xVal>
            <c:numRef>
              <c:f>'Data paired'!$P$215:$P$216</c:f>
              <c:numCache>
                <c:formatCode>General</c:formatCode>
                <c:ptCount val="2"/>
                <c:pt idx="0">
                  <c:v>1.4</c:v>
                </c:pt>
                <c:pt idx="1">
                  <c:v>2.6</c:v>
                </c:pt>
              </c:numCache>
            </c:numRef>
          </c:xVal>
          <c:yVal>
            <c:numRef>
              <c:f>'Data paired'!$Q$215:$Q$216</c:f>
              <c:numCache>
                <c:formatCode>General</c:formatCode>
                <c:ptCount val="2"/>
                <c:pt idx="0">
                  <c:v>#N/A</c:v>
                </c:pt>
                <c:pt idx="1">
                  <c:v>#N/A</c:v>
                </c:pt>
              </c:numCache>
            </c:numRef>
          </c:yVal>
          <c:smooth val="0"/>
          <c:extLst>
            <c:ext xmlns:c16="http://schemas.microsoft.com/office/drawing/2014/chart" uri="{C3380CC4-5D6E-409C-BE32-E72D297353CC}">
              <c16:uniqueId val="{00000070-64D8-49E9-92E8-C924DE8325D3}"/>
            </c:ext>
          </c:extLst>
        </c:ser>
        <c:ser>
          <c:idx val="190"/>
          <c:order val="87"/>
          <c:spPr>
            <a:ln w="12700">
              <a:solidFill>
                <a:srgbClr val="0000FF"/>
              </a:solidFill>
              <a:prstDash val="solid"/>
            </a:ln>
          </c:spPr>
          <c:marker>
            <c:symbol val="circle"/>
            <c:size val="6"/>
            <c:spPr>
              <a:noFill/>
              <a:ln>
                <a:solidFill>
                  <a:srgbClr val="0000FF"/>
                </a:solidFill>
                <a:prstDash val="solid"/>
              </a:ln>
            </c:spPr>
          </c:marker>
          <c:xVal>
            <c:numRef>
              <c:f>'Data paired'!$P$217:$P$218</c:f>
              <c:numCache>
                <c:formatCode>General</c:formatCode>
                <c:ptCount val="2"/>
                <c:pt idx="0">
                  <c:v>1.4</c:v>
                </c:pt>
                <c:pt idx="1">
                  <c:v>2.6</c:v>
                </c:pt>
              </c:numCache>
            </c:numRef>
          </c:xVal>
          <c:yVal>
            <c:numRef>
              <c:f>'Data paired'!$Q$217:$Q$218</c:f>
              <c:numCache>
                <c:formatCode>General</c:formatCode>
                <c:ptCount val="2"/>
                <c:pt idx="0">
                  <c:v>#N/A</c:v>
                </c:pt>
                <c:pt idx="1">
                  <c:v>#N/A</c:v>
                </c:pt>
              </c:numCache>
            </c:numRef>
          </c:yVal>
          <c:smooth val="0"/>
          <c:extLst>
            <c:ext xmlns:c16="http://schemas.microsoft.com/office/drawing/2014/chart" uri="{C3380CC4-5D6E-409C-BE32-E72D297353CC}">
              <c16:uniqueId val="{00000071-64D8-49E9-92E8-C924DE8325D3}"/>
            </c:ext>
          </c:extLst>
        </c:ser>
        <c:ser>
          <c:idx val="191"/>
          <c:order val="88"/>
          <c:spPr>
            <a:ln w="12700">
              <a:solidFill>
                <a:srgbClr val="0000FF"/>
              </a:solidFill>
              <a:prstDash val="solid"/>
            </a:ln>
          </c:spPr>
          <c:marker>
            <c:symbol val="circle"/>
            <c:size val="6"/>
            <c:spPr>
              <a:noFill/>
              <a:ln>
                <a:solidFill>
                  <a:srgbClr val="0000FF"/>
                </a:solidFill>
                <a:prstDash val="solid"/>
              </a:ln>
            </c:spPr>
          </c:marker>
          <c:xVal>
            <c:numRef>
              <c:f>'Data paired'!$P$219:$P$220</c:f>
              <c:numCache>
                <c:formatCode>General</c:formatCode>
                <c:ptCount val="2"/>
                <c:pt idx="0">
                  <c:v>1.4</c:v>
                </c:pt>
                <c:pt idx="1">
                  <c:v>2.6</c:v>
                </c:pt>
              </c:numCache>
            </c:numRef>
          </c:xVal>
          <c:yVal>
            <c:numRef>
              <c:f>'Data paired'!$Q$219:$Q$220</c:f>
              <c:numCache>
                <c:formatCode>General</c:formatCode>
                <c:ptCount val="2"/>
                <c:pt idx="0">
                  <c:v>#N/A</c:v>
                </c:pt>
                <c:pt idx="1">
                  <c:v>#N/A</c:v>
                </c:pt>
              </c:numCache>
            </c:numRef>
          </c:yVal>
          <c:smooth val="0"/>
          <c:extLst>
            <c:ext xmlns:c16="http://schemas.microsoft.com/office/drawing/2014/chart" uri="{C3380CC4-5D6E-409C-BE32-E72D297353CC}">
              <c16:uniqueId val="{00000072-64D8-49E9-92E8-C924DE8325D3}"/>
            </c:ext>
          </c:extLst>
        </c:ser>
        <c:ser>
          <c:idx val="192"/>
          <c:order val="89"/>
          <c:spPr>
            <a:ln w="12700">
              <a:solidFill>
                <a:srgbClr val="0000FF"/>
              </a:solidFill>
              <a:prstDash val="solid"/>
            </a:ln>
          </c:spPr>
          <c:marker>
            <c:symbol val="circle"/>
            <c:size val="6"/>
            <c:spPr>
              <a:noFill/>
              <a:ln>
                <a:solidFill>
                  <a:srgbClr val="0000FF"/>
                </a:solidFill>
                <a:prstDash val="solid"/>
              </a:ln>
            </c:spPr>
          </c:marker>
          <c:xVal>
            <c:numRef>
              <c:f>'Data paired'!$P$221:$P$222</c:f>
              <c:numCache>
                <c:formatCode>General</c:formatCode>
                <c:ptCount val="2"/>
                <c:pt idx="0">
                  <c:v>1.4</c:v>
                </c:pt>
                <c:pt idx="1">
                  <c:v>2.6</c:v>
                </c:pt>
              </c:numCache>
            </c:numRef>
          </c:xVal>
          <c:yVal>
            <c:numRef>
              <c:f>'Data paired'!$Q$221:$Q$222</c:f>
              <c:numCache>
                <c:formatCode>General</c:formatCode>
                <c:ptCount val="2"/>
                <c:pt idx="0">
                  <c:v>#N/A</c:v>
                </c:pt>
                <c:pt idx="1">
                  <c:v>#N/A</c:v>
                </c:pt>
              </c:numCache>
            </c:numRef>
          </c:yVal>
          <c:smooth val="0"/>
          <c:extLst>
            <c:ext xmlns:c16="http://schemas.microsoft.com/office/drawing/2014/chart" uri="{C3380CC4-5D6E-409C-BE32-E72D297353CC}">
              <c16:uniqueId val="{00000073-64D8-49E9-92E8-C924DE8325D3}"/>
            </c:ext>
          </c:extLst>
        </c:ser>
        <c:ser>
          <c:idx val="193"/>
          <c:order val="90"/>
          <c:spPr>
            <a:ln w="12700">
              <a:solidFill>
                <a:srgbClr val="0000FF"/>
              </a:solidFill>
              <a:prstDash val="solid"/>
            </a:ln>
          </c:spPr>
          <c:marker>
            <c:symbol val="circle"/>
            <c:size val="6"/>
            <c:spPr>
              <a:noFill/>
              <a:ln>
                <a:solidFill>
                  <a:srgbClr val="0000FF"/>
                </a:solidFill>
                <a:prstDash val="solid"/>
              </a:ln>
            </c:spPr>
          </c:marker>
          <c:xVal>
            <c:numRef>
              <c:f>'Data paired'!$P$223:$P$224</c:f>
              <c:numCache>
                <c:formatCode>General</c:formatCode>
                <c:ptCount val="2"/>
                <c:pt idx="0">
                  <c:v>1.4</c:v>
                </c:pt>
                <c:pt idx="1">
                  <c:v>2.6</c:v>
                </c:pt>
              </c:numCache>
            </c:numRef>
          </c:xVal>
          <c:yVal>
            <c:numRef>
              <c:f>'Data paired'!$Q$223:$Q$224</c:f>
              <c:numCache>
                <c:formatCode>General</c:formatCode>
                <c:ptCount val="2"/>
                <c:pt idx="0">
                  <c:v>#N/A</c:v>
                </c:pt>
                <c:pt idx="1">
                  <c:v>#N/A</c:v>
                </c:pt>
              </c:numCache>
            </c:numRef>
          </c:yVal>
          <c:smooth val="0"/>
          <c:extLst>
            <c:ext xmlns:c16="http://schemas.microsoft.com/office/drawing/2014/chart" uri="{C3380CC4-5D6E-409C-BE32-E72D297353CC}">
              <c16:uniqueId val="{00000074-64D8-49E9-92E8-C924DE8325D3}"/>
            </c:ext>
          </c:extLst>
        </c:ser>
        <c:ser>
          <c:idx val="194"/>
          <c:order val="91"/>
          <c:spPr>
            <a:ln w="12700">
              <a:solidFill>
                <a:srgbClr val="0000FF"/>
              </a:solidFill>
              <a:prstDash val="solid"/>
            </a:ln>
          </c:spPr>
          <c:marker>
            <c:symbol val="circle"/>
            <c:size val="6"/>
            <c:spPr>
              <a:noFill/>
              <a:ln>
                <a:solidFill>
                  <a:srgbClr val="0000FF"/>
                </a:solidFill>
                <a:prstDash val="solid"/>
              </a:ln>
            </c:spPr>
          </c:marker>
          <c:xVal>
            <c:numRef>
              <c:f>'Data paired'!$P$225:$P$226</c:f>
              <c:numCache>
                <c:formatCode>General</c:formatCode>
                <c:ptCount val="2"/>
                <c:pt idx="0">
                  <c:v>1.4</c:v>
                </c:pt>
                <c:pt idx="1">
                  <c:v>2.6</c:v>
                </c:pt>
              </c:numCache>
            </c:numRef>
          </c:xVal>
          <c:yVal>
            <c:numRef>
              <c:f>'Data paired'!$Q$225:$Q$226</c:f>
              <c:numCache>
                <c:formatCode>General</c:formatCode>
                <c:ptCount val="2"/>
                <c:pt idx="0">
                  <c:v>#N/A</c:v>
                </c:pt>
                <c:pt idx="1">
                  <c:v>#N/A</c:v>
                </c:pt>
              </c:numCache>
            </c:numRef>
          </c:yVal>
          <c:smooth val="0"/>
          <c:extLst>
            <c:ext xmlns:c16="http://schemas.microsoft.com/office/drawing/2014/chart" uri="{C3380CC4-5D6E-409C-BE32-E72D297353CC}">
              <c16:uniqueId val="{00000075-64D8-49E9-92E8-C924DE8325D3}"/>
            </c:ext>
          </c:extLst>
        </c:ser>
        <c:ser>
          <c:idx val="195"/>
          <c:order val="92"/>
          <c:spPr>
            <a:ln w="12700">
              <a:solidFill>
                <a:srgbClr val="0000FF"/>
              </a:solidFill>
              <a:prstDash val="solid"/>
            </a:ln>
          </c:spPr>
          <c:marker>
            <c:symbol val="circle"/>
            <c:size val="6"/>
            <c:spPr>
              <a:noFill/>
              <a:ln>
                <a:solidFill>
                  <a:srgbClr val="0000FF"/>
                </a:solidFill>
                <a:prstDash val="solid"/>
              </a:ln>
            </c:spPr>
          </c:marker>
          <c:xVal>
            <c:numRef>
              <c:f>'Data paired'!$P$227:$P$228</c:f>
              <c:numCache>
                <c:formatCode>General</c:formatCode>
                <c:ptCount val="2"/>
                <c:pt idx="0">
                  <c:v>1.4</c:v>
                </c:pt>
                <c:pt idx="1">
                  <c:v>2.6</c:v>
                </c:pt>
              </c:numCache>
            </c:numRef>
          </c:xVal>
          <c:yVal>
            <c:numRef>
              <c:f>'Data paired'!$Q$227:$Q$228</c:f>
              <c:numCache>
                <c:formatCode>General</c:formatCode>
                <c:ptCount val="2"/>
                <c:pt idx="0">
                  <c:v>#N/A</c:v>
                </c:pt>
                <c:pt idx="1">
                  <c:v>#N/A</c:v>
                </c:pt>
              </c:numCache>
            </c:numRef>
          </c:yVal>
          <c:smooth val="0"/>
          <c:extLst>
            <c:ext xmlns:c16="http://schemas.microsoft.com/office/drawing/2014/chart" uri="{C3380CC4-5D6E-409C-BE32-E72D297353CC}">
              <c16:uniqueId val="{00000076-64D8-49E9-92E8-C924DE8325D3}"/>
            </c:ext>
          </c:extLst>
        </c:ser>
        <c:ser>
          <c:idx val="196"/>
          <c:order val="93"/>
          <c:spPr>
            <a:ln w="12700">
              <a:solidFill>
                <a:srgbClr val="0000FF"/>
              </a:solidFill>
              <a:prstDash val="solid"/>
            </a:ln>
          </c:spPr>
          <c:marker>
            <c:symbol val="circle"/>
            <c:size val="6"/>
            <c:spPr>
              <a:noFill/>
              <a:ln>
                <a:solidFill>
                  <a:srgbClr val="0000FF"/>
                </a:solidFill>
                <a:prstDash val="solid"/>
              </a:ln>
            </c:spPr>
          </c:marker>
          <c:xVal>
            <c:numRef>
              <c:f>'Data paired'!$P$229:$P$230</c:f>
              <c:numCache>
                <c:formatCode>General</c:formatCode>
                <c:ptCount val="2"/>
                <c:pt idx="0">
                  <c:v>1.4</c:v>
                </c:pt>
                <c:pt idx="1">
                  <c:v>2.6</c:v>
                </c:pt>
              </c:numCache>
            </c:numRef>
          </c:xVal>
          <c:yVal>
            <c:numRef>
              <c:f>'Data paired'!$Q$229:$Q$230</c:f>
              <c:numCache>
                <c:formatCode>General</c:formatCode>
                <c:ptCount val="2"/>
                <c:pt idx="0">
                  <c:v>#N/A</c:v>
                </c:pt>
                <c:pt idx="1">
                  <c:v>#N/A</c:v>
                </c:pt>
              </c:numCache>
            </c:numRef>
          </c:yVal>
          <c:smooth val="0"/>
          <c:extLst>
            <c:ext xmlns:c16="http://schemas.microsoft.com/office/drawing/2014/chart" uri="{C3380CC4-5D6E-409C-BE32-E72D297353CC}">
              <c16:uniqueId val="{00000077-64D8-49E9-92E8-C924DE8325D3}"/>
            </c:ext>
          </c:extLst>
        </c:ser>
        <c:ser>
          <c:idx val="197"/>
          <c:order val="94"/>
          <c:spPr>
            <a:ln w="12700">
              <a:solidFill>
                <a:srgbClr val="0000FF"/>
              </a:solidFill>
              <a:prstDash val="solid"/>
            </a:ln>
          </c:spPr>
          <c:marker>
            <c:symbol val="circle"/>
            <c:size val="6"/>
            <c:spPr>
              <a:noFill/>
              <a:ln>
                <a:solidFill>
                  <a:srgbClr val="0000FF"/>
                </a:solidFill>
                <a:prstDash val="solid"/>
              </a:ln>
            </c:spPr>
          </c:marker>
          <c:xVal>
            <c:numRef>
              <c:f>'Data paired'!$P$231:$P$232</c:f>
              <c:numCache>
                <c:formatCode>General</c:formatCode>
                <c:ptCount val="2"/>
                <c:pt idx="0">
                  <c:v>1.4</c:v>
                </c:pt>
                <c:pt idx="1">
                  <c:v>2.6</c:v>
                </c:pt>
              </c:numCache>
            </c:numRef>
          </c:xVal>
          <c:yVal>
            <c:numRef>
              <c:f>'Data paired'!$Q$231:$Q$232</c:f>
              <c:numCache>
                <c:formatCode>General</c:formatCode>
                <c:ptCount val="2"/>
                <c:pt idx="0">
                  <c:v>#N/A</c:v>
                </c:pt>
                <c:pt idx="1">
                  <c:v>#N/A</c:v>
                </c:pt>
              </c:numCache>
            </c:numRef>
          </c:yVal>
          <c:smooth val="0"/>
          <c:extLst>
            <c:ext xmlns:c16="http://schemas.microsoft.com/office/drawing/2014/chart" uri="{C3380CC4-5D6E-409C-BE32-E72D297353CC}">
              <c16:uniqueId val="{00000078-64D8-49E9-92E8-C924DE8325D3}"/>
            </c:ext>
          </c:extLst>
        </c:ser>
        <c:ser>
          <c:idx val="198"/>
          <c:order val="95"/>
          <c:spPr>
            <a:ln w="12700">
              <a:solidFill>
                <a:srgbClr val="0000FF"/>
              </a:solidFill>
              <a:prstDash val="solid"/>
            </a:ln>
          </c:spPr>
          <c:marker>
            <c:symbol val="circle"/>
            <c:size val="6"/>
            <c:spPr>
              <a:noFill/>
              <a:ln>
                <a:solidFill>
                  <a:srgbClr val="0000FF"/>
                </a:solidFill>
                <a:prstDash val="solid"/>
              </a:ln>
            </c:spPr>
          </c:marker>
          <c:xVal>
            <c:numRef>
              <c:f>'Data paired'!$P$233:$P$234</c:f>
              <c:numCache>
                <c:formatCode>General</c:formatCode>
                <c:ptCount val="2"/>
                <c:pt idx="0">
                  <c:v>1.4</c:v>
                </c:pt>
                <c:pt idx="1">
                  <c:v>2.6</c:v>
                </c:pt>
              </c:numCache>
            </c:numRef>
          </c:xVal>
          <c:yVal>
            <c:numRef>
              <c:f>'Data paired'!$Q$233:$Q$234</c:f>
              <c:numCache>
                <c:formatCode>General</c:formatCode>
                <c:ptCount val="2"/>
                <c:pt idx="0">
                  <c:v>#N/A</c:v>
                </c:pt>
                <c:pt idx="1">
                  <c:v>#N/A</c:v>
                </c:pt>
              </c:numCache>
            </c:numRef>
          </c:yVal>
          <c:smooth val="0"/>
          <c:extLst>
            <c:ext xmlns:c16="http://schemas.microsoft.com/office/drawing/2014/chart" uri="{C3380CC4-5D6E-409C-BE32-E72D297353CC}">
              <c16:uniqueId val="{00000079-64D8-49E9-92E8-C924DE8325D3}"/>
            </c:ext>
          </c:extLst>
        </c:ser>
        <c:ser>
          <c:idx val="199"/>
          <c:order val="96"/>
          <c:spPr>
            <a:ln w="12700">
              <a:solidFill>
                <a:srgbClr val="0000FF"/>
              </a:solidFill>
              <a:prstDash val="solid"/>
            </a:ln>
          </c:spPr>
          <c:marker>
            <c:symbol val="circle"/>
            <c:size val="6"/>
            <c:spPr>
              <a:noFill/>
              <a:ln>
                <a:solidFill>
                  <a:srgbClr val="0000FF"/>
                </a:solidFill>
                <a:prstDash val="solid"/>
              </a:ln>
            </c:spPr>
          </c:marker>
          <c:xVal>
            <c:numRef>
              <c:f>'Data paired'!$P$235:$P$236</c:f>
              <c:numCache>
                <c:formatCode>General</c:formatCode>
                <c:ptCount val="2"/>
                <c:pt idx="0">
                  <c:v>1.4</c:v>
                </c:pt>
                <c:pt idx="1">
                  <c:v>2.6</c:v>
                </c:pt>
              </c:numCache>
            </c:numRef>
          </c:xVal>
          <c:yVal>
            <c:numRef>
              <c:f>'Data paired'!$Q$235:$Q$236</c:f>
              <c:numCache>
                <c:formatCode>General</c:formatCode>
                <c:ptCount val="2"/>
                <c:pt idx="0">
                  <c:v>#N/A</c:v>
                </c:pt>
                <c:pt idx="1">
                  <c:v>#N/A</c:v>
                </c:pt>
              </c:numCache>
            </c:numRef>
          </c:yVal>
          <c:smooth val="0"/>
          <c:extLst>
            <c:ext xmlns:c16="http://schemas.microsoft.com/office/drawing/2014/chart" uri="{C3380CC4-5D6E-409C-BE32-E72D297353CC}">
              <c16:uniqueId val="{0000007A-64D8-49E9-92E8-C924DE8325D3}"/>
            </c:ext>
          </c:extLst>
        </c:ser>
        <c:ser>
          <c:idx val="200"/>
          <c:order val="97"/>
          <c:spPr>
            <a:ln w="12700">
              <a:solidFill>
                <a:srgbClr val="0000FF"/>
              </a:solidFill>
              <a:prstDash val="solid"/>
            </a:ln>
          </c:spPr>
          <c:marker>
            <c:symbol val="circle"/>
            <c:size val="6"/>
            <c:spPr>
              <a:noFill/>
              <a:ln>
                <a:solidFill>
                  <a:srgbClr val="0000FF"/>
                </a:solidFill>
                <a:prstDash val="solid"/>
              </a:ln>
            </c:spPr>
          </c:marker>
          <c:xVal>
            <c:numRef>
              <c:f>'Data paired'!$P$237:$P$238</c:f>
              <c:numCache>
                <c:formatCode>General</c:formatCode>
                <c:ptCount val="2"/>
                <c:pt idx="0">
                  <c:v>1.4</c:v>
                </c:pt>
                <c:pt idx="1">
                  <c:v>2.6</c:v>
                </c:pt>
              </c:numCache>
            </c:numRef>
          </c:xVal>
          <c:yVal>
            <c:numRef>
              <c:f>'Data paired'!$Q$237:$Q$238</c:f>
              <c:numCache>
                <c:formatCode>General</c:formatCode>
                <c:ptCount val="2"/>
                <c:pt idx="0">
                  <c:v>#N/A</c:v>
                </c:pt>
                <c:pt idx="1">
                  <c:v>#N/A</c:v>
                </c:pt>
              </c:numCache>
            </c:numRef>
          </c:yVal>
          <c:smooth val="0"/>
          <c:extLst>
            <c:ext xmlns:c16="http://schemas.microsoft.com/office/drawing/2014/chart" uri="{C3380CC4-5D6E-409C-BE32-E72D297353CC}">
              <c16:uniqueId val="{0000007B-64D8-49E9-92E8-C924DE8325D3}"/>
            </c:ext>
          </c:extLst>
        </c:ser>
        <c:ser>
          <c:idx val="201"/>
          <c:order val="98"/>
          <c:spPr>
            <a:ln w="12700">
              <a:solidFill>
                <a:srgbClr val="0000FF"/>
              </a:solidFill>
              <a:prstDash val="solid"/>
            </a:ln>
          </c:spPr>
          <c:marker>
            <c:symbol val="circle"/>
            <c:size val="6"/>
            <c:spPr>
              <a:noFill/>
              <a:ln>
                <a:solidFill>
                  <a:srgbClr val="0000FF"/>
                </a:solidFill>
                <a:prstDash val="solid"/>
              </a:ln>
            </c:spPr>
          </c:marker>
          <c:xVal>
            <c:numRef>
              <c:f>'Data paired'!$P$239:$P$240</c:f>
              <c:numCache>
                <c:formatCode>General</c:formatCode>
                <c:ptCount val="2"/>
                <c:pt idx="0">
                  <c:v>1.4</c:v>
                </c:pt>
                <c:pt idx="1">
                  <c:v>2.6</c:v>
                </c:pt>
              </c:numCache>
            </c:numRef>
          </c:xVal>
          <c:yVal>
            <c:numRef>
              <c:f>'Data paired'!$Q$239:$Q$240</c:f>
              <c:numCache>
                <c:formatCode>General</c:formatCode>
                <c:ptCount val="2"/>
                <c:pt idx="0">
                  <c:v>#N/A</c:v>
                </c:pt>
                <c:pt idx="1">
                  <c:v>#N/A</c:v>
                </c:pt>
              </c:numCache>
            </c:numRef>
          </c:yVal>
          <c:smooth val="0"/>
          <c:extLst>
            <c:ext xmlns:c16="http://schemas.microsoft.com/office/drawing/2014/chart" uri="{C3380CC4-5D6E-409C-BE32-E72D297353CC}">
              <c16:uniqueId val="{0000007C-64D8-49E9-92E8-C924DE8325D3}"/>
            </c:ext>
          </c:extLst>
        </c:ser>
        <c:ser>
          <c:idx val="202"/>
          <c:order val="99"/>
          <c:spPr>
            <a:ln w="12700">
              <a:solidFill>
                <a:srgbClr val="0000FF"/>
              </a:solidFill>
              <a:prstDash val="solid"/>
            </a:ln>
          </c:spPr>
          <c:marker>
            <c:symbol val="circle"/>
            <c:size val="6"/>
            <c:spPr>
              <a:noFill/>
              <a:ln>
                <a:solidFill>
                  <a:srgbClr val="0000FF"/>
                </a:solidFill>
                <a:prstDash val="solid"/>
              </a:ln>
            </c:spPr>
          </c:marker>
          <c:xVal>
            <c:numRef>
              <c:f>'Data paired'!$P$241:$P$242</c:f>
              <c:numCache>
                <c:formatCode>General</c:formatCode>
                <c:ptCount val="2"/>
                <c:pt idx="0">
                  <c:v>1.4</c:v>
                </c:pt>
                <c:pt idx="1">
                  <c:v>2.6</c:v>
                </c:pt>
              </c:numCache>
            </c:numRef>
          </c:xVal>
          <c:yVal>
            <c:numRef>
              <c:f>'Data paired'!$Q$241:$Q$242</c:f>
              <c:numCache>
                <c:formatCode>General</c:formatCode>
                <c:ptCount val="2"/>
                <c:pt idx="0">
                  <c:v>#N/A</c:v>
                </c:pt>
                <c:pt idx="1">
                  <c:v>#N/A</c:v>
                </c:pt>
              </c:numCache>
            </c:numRef>
          </c:yVal>
          <c:smooth val="0"/>
          <c:extLst>
            <c:ext xmlns:c16="http://schemas.microsoft.com/office/drawing/2014/chart" uri="{C3380CC4-5D6E-409C-BE32-E72D297353CC}">
              <c16:uniqueId val="{0000007D-64D8-49E9-92E8-C924DE8325D3}"/>
            </c:ext>
          </c:extLst>
        </c:ser>
        <c:ser>
          <c:idx val="203"/>
          <c:order val="100"/>
          <c:spPr>
            <a:ln w="12700">
              <a:solidFill>
                <a:srgbClr val="0000FF"/>
              </a:solidFill>
              <a:prstDash val="solid"/>
            </a:ln>
          </c:spPr>
          <c:marker>
            <c:symbol val="circle"/>
            <c:size val="6"/>
            <c:spPr>
              <a:noFill/>
              <a:ln>
                <a:solidFill>
                  <a:srgbClr val="0000FF"/>
                </a:solidFill>
                <a:prstDash val="solid"/>
              </a:ln>
            </c:spPr>
          </c:marker>
          <c:xVal>
            <c:numRef>
              <c:f>'Data paired'!$P$243:$P$244</c:f>
              <c:numCache>
                <c:formatCode>General</c:formatCode>
                <c:ptCount val="2"/>
                <c:pt idx="0">
                  <c:v>1.4</c:v>
                </c:pt>
                <c:pt idx="1">
                  <c:v>2.6</c:v>
                </c:pt>
              </c:numCache>
            </c:numRef>
          </c:xVal>
          <c:yVal>
            <c:numRef>
              <c:f>'Data paired'!$Q$243:$Q$244</c:f>
              <c:numCache>
                <c:formatCode>General</c:formatCode>
                <c:ptCount val="2"/>
                <c:pt idx="0">
                  <c:v>#N/A</c:v>
                </c:pt>
                <c:pt idx="1">
                  <c:v>#N/A</c:v>
                </c:pt>
              </c:numCache>
            </c:numRef>
          </c:yVal>
          <c:smooth val="0"/>
          <c:extLst>
            <c:ext xmlns:c16="http://schemas.microsoft.com/office/drawing/2014/chart" uri="{C3380CC4-5D6E-409C-BE32-E72D297353CC}">
              <c16:uniqueId val="{0000007E-64D8-49E9-92E8-C924DE8325D3}"/>
            </c:ext>
          </c:extLst>
        </c:ser>
        <c:ser>
          <c:idx val="204"/>
          <c:order val="101"/>
          <c:spPr>
            <a:ln w="12700">
              <a:solidFill>
                <a:srgbClr val="0000FF"/>
              </a:solidFill>
              <a:prstDash val="solid"/>
            </a:ln>
          </c:spPr>
          <c:marker>
            <c:symbol val="circle"/>
            <c:size val="6"/>
            <c:spPr>
              <a:noFill/>
              <a:ln>
                <a:solidFill>
                  <a:srgbClr val="0000FF"/>
                </a:solidFill>
                <a:prstDash val="solid"/>
              </a:ln>
            </c:spPr>
          </c:marker>
          <c:xVal>
            <c:numRef>
              <c:f>'Data paired'!$P$245:$P$246</c:f>
              <c:numCache>
                <c:formatCode>General</c:formatCode>
                <c:ptCount val="2"/>
                <c:pt idx="0">
                  <c:v>1.4</c:v>
                </c:pt>
                <c:pt idx="1">
                  <c:v>2.6</c:v>
                </c:pt>
              </c:numCache>
            </c:numRef>
          </c:xVal>
          <c:yVal>
            <c:numRef>
              <c:f>'Data paired'!$Q$245:$Q$246</c:f>
              <c:numCache>
                <c:formatCode>General</c:formatCode>
                <c:ptCount val="2"/>
                <c:pt idx="0">
                  <c:v>#N/A</c:v>
                </c:pt>
                <c:pt idx="1">
                  <c:v>#N/A</c:v>
                </c:pt>
              </c:numCache>
            </c:numRef>
          </c:yVal>
          <c:smooth val="0"/>
          <c:extLst>
            <c:ext xmlns:c16="http://schemas.microsoft.com/office/drawing/2014/chart" uri="{C3380CC4-5D6E-409C-BE32-E72D297353CC}">
              <c16:uniqueId val="{0000007F-64D8-49E9-92E8-C924DE8325D3}"/>
            </c:ext>
          </c:extLst>
        </c:ser>
        <c:ser>
          <c:idx val="205"/>
          <c:order val="102"/>
          <c:spPr>
            <a:ln w="12700">
              <a:solidFill>
                <a:srgbClr val="0000FF"/>
              </a:solidFill>
              <a:prstDash val="solid"/>
            </a:ln>
          </c:spPr>
          <c:marker>
            <c:symbol val="circle"/>
            <c:size val="6"/>
            <c:spPr>
              <a:noFill/>
              <a:ln>
                <a:solidFill>
                  <a:srgbClr val="0000FF"/>
                </a:solidFill>
                <a:prstDash val="solid"/>
              </a:ln>
            </c:spPr>
          </c:marker>
          <c:xVal>
            <c:numRef>
              <c:f>'Data paired'!$P$247:$P$248</c:f>
              <c:numCache>
                <c:formatCode>General</c:formatCode>
                <c:ptCount val="2"/>
                <c:pt idx="0">
                  <c:v>1.4</c:v>
                </c:pt>
                <c:pt idx="1">
                  <c:v>2.6</c:v>
                </c:pt>
              </c:numCache>
            </c:numRef>
          </c:xVal>
          <c:yVal>
            <c:numRef>
              <c:f>'Data paired'!$Q$247:$Q$248</c:f>
              <c:numCache>
                <c:formatCode>General</c:formatCode>
                <c:ptCount val="2"/>
                <c:pt idx="0">
                  <c:v>#N/A</c:v>
                </c:pt>
                <c:pt idx="1">
                  <c:v>#N/A</c:v>
                </c:pt>
              </c:numCache>
            </c:numRef>
          </c:yVal>
          <c:smooth val="0"/>
          <c:extLst>
            <c:ext xmlns:c16="http://schemas.microsoft.com/office/drawing/2014/chart" uri="{C3380CC4-5D6E-409C-BE32-E72D297353CC}">
              <c16:uniqueId val="{00000080-64D8-49E9-92E8-C924DE8325D3}"/>
            </c:ext>
          </c:extLst>
        </c:ser>
        <c:ser>
          <c:idx val="206"/>
          <c:order val="103"/>
          <c:spPr>
            <a:ln w="12700">
              <a:solidFill>
                <a:srgbClr val="0000FF"/>
              </a:solidFill>
              <a:prstDash val="solid"/>
            </a:ln>
          </c:spPr>
          <c:marker>
            <c:symbol val="circle"/>
            <c:size val="6"/>
            <c:spPr>
              <a:noFill/>
              <a:ln>
                <a:solidFill>
                  <a:srgbClr val="0000FF"/>
                </a:solidFill>
                <a:prstDash val="solid"/>
              </a:ln>
            </c:spPr>
          </c:marker>
          <c:xVal>
            <c:numRef>
              <c:f>'Data paired'!$P$249:$P$250</c:f>
              <c:numCache>
                <c:formatCode>General</c:formatCode>
                <c:ptCount val="2"/>
                <c:pt idx="0">
                  <c:v>1.4</c:v>
                </c:pt>
                <c:pt idx="1">
                  <c:v>2.6</c:v>
                </c:pt>
              </c:numCache>
            </c:numRef>
          </c:xVal>
          <c:yVal>
            <c:numRef>
              <c:f>'Data paired'!$Q$249:$Q$250</c:f>
              <c:numCache>
                <c:formatCode>General</c:formatCode>
                <c:ptCount val="2"/>
                <c:pt idx="0">
                  <c:v>#N/A</c:v>
                </c:pt>
                <c:pt idx="1">
                  <c:v>#N/A</c:v>
                </c:pt>
              </c:numCache>
            </c:numRef>
          </c:yVal>
          <c:smooth val="0"/>
          <c:extLst>
            <c:ext xmlns:c16="http://schemas.microsoft.com/office/drawing/2014/chart" uri="{C3380CC4-5D6E-409C-BE32-E72D297353CC}">
              <c16:uniqueId val="{00000081-64D8-49E9-92E8-C924DE8325D3}"/>
            </c:ext>
          </c:extLst>
        </c:ser>
        <c:ser>
          <c:idx val="207"/>
          <c:order val="104"/>
          <c:spPr>
            <a:ln w="12700">
              <a:solidFill>
                <a:srgbClr val="0000FF"/>
              </a:solidFill>
              <a:prstDash val="solid"/>
            </a:ln>
          </c:spPr>
          <c:marker>
            <c:symbol val="circle"/>
            <c:size val="6"/>
            <c:spPr>
              <a:noFill/>
              <a:ln>
                <a:solidFill>
                  <a:srgbClr val="0000FF"/>
                </a:solidFill>
                <a:prstDash val="solid"/>
              </a:ln>
            </c:spPr>
          </c:marker>
          <c:xVal>
            <c:numRef>
              <c:f>'Data paired'!$P$251:$P$252</c:f>
              <c:numCache>
                <c:formatCode>General</c:formatCode>
                <c:ptCount val="2"/>
                <c:pt idx="0">
                  <c:v>1.4</c:v>
                </c:pt>
                <c:pt idx="1">
                  <c:v>2.6</c:v>
                </c:pt>
              </c:numCache>
            </c:numRef>
          </c:xVal>
          <c:yVal>
            <c:numRef>
              <c:f>'Data paired'!$Q$251:$Q$252</c:f>
              <c:numCache>
                <c:formatCode>General</c:formatCode>
                <c:ptCount val="2"/>
                <c:pt idx="0">
                  <c:v>#N/A</c:v>
                </c:pt>
                <c:pt idx="1">
                  <c:v>#N/A</c:v>
                </c:pt>
              </c:numCache>
            </c:numRef>
          </c:yVal>
          <c:smooth val="0"/>
          <c:extLst>
            <c:ext xmlns:c16="http://schemas.microsoft.com/office/drawing/2014/chart" uri="{C3380CC4-5D6E-409C-BE32-E72D297353CC}">
              <c16:uniqueId val="{00000082-64D8-49E9-92E8-C924DE8325D3}"/>
            </c:ext>
          </c:extLst>
        </c:ser>
        <c:ser>
          <c:idx val="208"/>
          <c:order val="105"/>
          <c:spPr>
            <a:ln w="12700">
              <a:solidFill>
                <a:srgbClr val="0000FF"/>
              </a:solidFill>
              <a:prstDash val="solid"/>
            </a:ln>
          </c:spPr>
          <c:marker>
            <c:symbol val="circle"/>
            <c:size val="6"/>
            <c:spPr>
              <a:noFill/>
              <a:ln>
                <a:solidFill>
                  <a:srgbClr val="0000FF"/>
                </a:solidFill>
                <a:prstDash val="solid"/>
              </a:ln>
            </c:spPr>
          </c:marker>
          <c:xVal>
            <c:numRef>
              <c:f>'Data paired'!$P$253:$P$254</c:f>
              <c:numCache>
                <c:formatCode>General</c:formatCode>
                <c:ptCount val="2"/>
                <c:pt idx="0">
                  <c:v>1.4</c:v>
                </c:pt>
                <c:pt idx="1">
                  <c:v>2.6</c:v>
                </c:pt>
              </c:numCache>
            </c:numRef>
          </c:xVal>
          <c:yVal>
            <c:numRef>
              <c:f>'Data paired'!$Q$253:$Q$254</c:f>
              <c:numCache>
                <c:formatCode>General</c:formatCode>
                <c:ptCount val="2"/>
                <c:pt idx="0">
                  <c:v>#N/A</c:v>
                </c:pt>
                <c:pt idx="1">
                  <c:v>#N/A</c:v>
                </c:pt>
              </c:numCache>
            </c:numRef>
          </c:yVal>
          <c:smooth val="0"/>
          <c:extLst>
            <c:ext xmlns:c16="http://schemas.microsoft.com/office/drawing/2014/chart" uri="{C3380CC4-5D6E-409C-BE32-E72D297353CC}">
              <c16:uniqueId val="{00000083-64D8-49E9-92E8-C924DE8325D3}"/>
            </c:ext>
          </c:extLst>
        </c:ser>
        <c:ser>
          <c:idx val="209"/>
          <c:order val="106"/>
          <c:spPr>
            <a:ln w="12700">
              <a:solidFill>
                <a:srgbClr val="0000FF"/>
              </a:solidFill>
              <a:prstDash val="solid"/>
            </a:ln>
          </c:spPr>
          <c:marker>
            <c:symbol val="circle"/>
            <c:size val="6"/>
            <c:spPr>
              <a:noFill/>
              <a:ln>
                <a:solidFill>
                  <a:srgbClr val="0000FF"/>
                </a:solidFill>
                <a:prstDash val="solid"/>
              </a:ln>
            </c:spPr>
          </c:marker>
          <c:xVal>
            <c:numRef>
              <c:f>'Data paired'!$P$255:$P$256</c:f>
              <c:numCache>
                <c:formatCode>General</c:formatCode>
                <c:ptCount val="2"/>
                <c:pt idx="0">
                  <c:v>1.4</c:v>
                </c:pt>
                <c:pt idx="1">
                  <c:v>2.6</c:v>
                </c:pt>
              </c:numCache>
            </c:numRef>
          </c:xVal>
          <c:yVal>
            <c:numRef>
              <c:f>'Data paired'!$Q$255:$Q$256</c:f>
              <c:numCache>
                <c:formatCode>General</c:formatCode>
                <c:ptCount val="2"/>
                <c:pt idx="0">
                  <c:v>#N/A</c:v>
                </c:pt>
                <c:pt idx="1">
                  <c:v>#N/A</c:v>
                </c:pt>
              </c:numCache>
            </c:numRef>
          </c:yVal>
          <c:smooth val="0"/>
          <c:extLst>
            <c:ext xmlns:c16="http://schemas.microsoft.com/office/drawing/2014/chart" uri="{C3380CC4-5D6E-409C-BE32-E72D297353CC}">
              <c16:uniqueId val="{00000084-64D8-49E9-92E8-C924DE8325D3}"/>
            </c:ext>
          </c:extLst>
        </c:ser>
        <c:ser>
          <c:idx val="210"/>
          <c:order val="107"/>
          <c:spPr>
            <a:ln w="12700">
              <a:solidFill>
                <a:srgbClr val="0000FF"/>
              </a:solidFill>
              <a:prstDash val="solid"/>
            </a:ln>
          </c:spPr>
          <c:marker>
            <c:symbol val="circle"/>
            <c:size val="6"/>
            <c:spPr>
              <a:noFill/>
              <a:ln>
                <a:solidFill>
                  <a:srgbClr val="0000FF"/>
                </a:solidFill>
                <a:prstDash val="solid"/>
              </a:ln>
            </c:spPr>
          </c:marker>
          <c:xVal>
            <c:numRef>
              <c:f>'Data paired'!$P$257:$P$258</c:f>
              <c:numCache>
                <c:formatCode>General</c:formatCode>
                <c:ptCount val="2"/>
                <c:pt idx="0">
                  <c:v>1.4</c:v>
                </c:pt>
                <c:pt idx="1">
                  <c:v>2.6</c:v>
                </c:pt>
              </c:numCache>
            </c:numRef>
          </c:xVal>
          <c:yVal>
            <c:numRef>
              <c:f>'Data paired'!$Q$257:$Q$258</c:f>
              <c:numCache>
                <c:formatCode>General</c:formatCode>
                <c:ptCount val="2"/>
                <c:pt idx="0">
                  <c:v>#N/A</c:v>
                </c:pt>
                <c:pt idx="1">
                  <c:v>#N/A</c:v>
                </c:pt>
              </c:numCache>
            </c:numRef>
          </c:yVal>
          <c:smooth val="0"/>
          <c:extLst>
            <c:ext xmlns:c16="http://schemas.microsoft.com/office/drawing/2014/chart" uri="{C3380CC4-5D6E-409C-BE32-E72D297353CC}">
              <c16:uniqueId val="{00000085-64D8-49E9-92E8-C924DE8325D3}"/>
            </c:ext>
          </c:extLst>
        </c:ser>
        <c:ser>
          <c:idx val="211"/>
          <c:order val="108"/>
          <c:spPr>
            <a:ln w="12700">
              <a:solidFill>
                <a:srgbClr val="0000FF"/>
              </a:solidFill>
              <a:prstDash val="solid"/>
            </a:ln>
          </c:spPr>
          <c:marker>
            <c:symbol val="circle"/>
            <c:size val="6"/>
            <c:spPr>
              <a:noFill/>
              <a:ln>
                <a:solidFill>
                  <a:srgbClr val="0000FF"/>
                </a:solidFill>
                <a:prstDash val="solid"/>
              </a:ln>
            </c:spPr>
          </c:marker>
          <c:xVal>
            <c:numRef>
              <c:f>'Data paired'!$P$259:$P$260</c:f>
              <c:numCache>
                <c:formatCode>General</c:formatCode>
                <c:ptCount val="2"/>
                <c:pt idx="0">
                  <c:v>1.4</c:v>
                </c:pt>
                <c:pt idx="1">
                  <c:v>2.6</c:v>
                </c:pt>
              </c:numCache>
            </c:numRef>
          </c:xVal>
          <c:yVal>
            <c:numRef>
              <c:f>'Data paired'!$Q$259:$Q$260</c:f>
              <c:numCache>
                <c:formatCode>General</c:formatCode>
                <c:ptCount val="2"/>
                <c:pt idx="0">
                  <c:v>#N/A</c:v>
                </c:pt>
                <c:pt idx="1">
                  <c:v>#N/A</c:v>
                </c:pt>
              </c:numCache>
            </c:numRef>
          </c:yVal>
          <c:smooth val="0"/>
          <c:extLst>
            <c:ext xmlns:c16="http://schemas.microsoft.com/office/drawing/2014/chart" uri="{C3380CC4-5D6E-409C-BE32-E72D297353CC}">
              <c16:uniqueId val="{00000086-64D8-49E9-92E8-C924DE8325D3}"/>
            </c:ext>
          </c:extLst>
        </c:ser>
        <c:ser>
          <c:idx val="212"/>
          <c:order val="109"/>
          <c:spPr>
            <a:ln w="12700">
              <a:solidFill>
                <a:srgbClr val="0000FF"/>
              </a:solidFill>
              <a:prstDash val="solid"/>
            </a:ln>
          </c:spPr>
          <c:marker>
            <c:symbol val="circle"/>
            <c:size val="6"/>
            <c:spPr>
              <a:noFill/>
              <a:ln>
                <a:solidFill>
                  <a:srgbClr val="0000FF"/>
                </a:solidFill>
                <a:prstDash val="solid"/>
              </a:ln>
            </c:spPr>
          </c:marker>
          <c:xVal>
            <c:numRef>
              <c:f>'Data paired'!$P$261:$P$262</c:f>
              <c:numCache>
                <c:formatCode>General</c:formatCode>
                <c:ptCount val="2"/>
                <c:pt idx="0">
                  <c:v>1.4</c:v>
                </c:pt>
                <c:pt idx="1">
                  <c:v>2.6</c:v>
                </c:pt>
              </c:numCache>
            </c:numRef>
          </c:xVal>
          <c:yVal>
            <c:numRef>
              <c:f>'Data paired'!$Q$261:$Q$262</c:f>
              <c:numCache>
                <c:formatCode>General</c:formatCode>
                <c:ptCount val="2"/>
                <c:pt idx="0">
                  <c:v>#N/A</c:v>
                </c:pt>
                <c:pt idx="1">
                  <c:v>#N/A</c:v>
                </c:pt>
              </c:numCache>
            </c:numRef>
          </c:yVal>
          <c:smooth val="0"/>
          <c:extLst>
            <c:ext xmlns:c16="http://schemas.microsoft.com/office/drawing/2014/chart" uri="{C3380CC4-5D6E-409C-BE32-E72D297353CC}">
              <c16:uniqueId val="{00000087-64D8-49E9-92E8-C924DE8325D3}"/>
            </c:ext>
          </c:extLst>
        </c:ser>
        <c:ser>
          <c:idx val="10"/>
          <c:order val="110"/>
          <c:spPr>
            <a:ln w="38100">
              <a:solidFill>
                <a:srgbClr val="00FF00"/>
              </a:solidFill>
              <a:prstDash val="solid"/>
            </a:ln>
          </c:spPr>
          <c:marker>
            <c:symbol val="circle"/>
            <c:size val="7"/>
            <c:spPr>
              <a:solidFill>
                <a:srgbClr val="0000FF"/>
              </a:solidFill>
              <a:ln>
                <a:solidFill>
                  <a:srgbClr val="0000FF"/>
                </a:solidFill>
                <a:prstDash val="solid"/>
              </a:ln>
            </c:spPr>
          </c:marker>
          <c:xVal>
            <c:numRef>
              <c:f>'Data paired'!$Z$67:$Z$68</c:f>
              <c:numCache>
                <c:formatCode>General</c:formatCode>
                <c:ptCount val="2"/>
                <c:pt idx="0">
                  <c:v>1.4</c:v>
                </c:pt>
                <c:pt idx="1">
                  <c:v>2.6</c:v>
                </c:pt>
              </c:numCache>
            </c:numRef>
          </c:xVal>
          <c:yVal>
            <c:numRef>
              <c:f>'Data paired'!$AA$67:$AA$68</c:f>
              <c:numCache>
                <c:formatCode>General</c:formatCode>
                <c:ptCount val="2"/>
                <c:pt idx="0">
                  <c:v>#N/A</c:v>
                </c:pt>
                <c:pt idx="1">
                  <c:v>#N/A</c:v>
                </c:pt>
              </c:numCache>
            </c:numRef>
          </c:yVal>
          <c:smooth val="0"/>
          <c:extLst>
            <c:ext xmlns:c16="http://schemas.microsoft.com/office/drawing/2014/chart" uri="{C3380CC4-5D6E-409C-BE32-E72D297353CC}">
              <c16:uniqueId val="{00000088-64D8-49E9-92E8-C924DE8325D3}"/>
            </c:ext>
          </c:extLst>
        </c:ser>
        <c:ser>
          <c:idx val="14"/>
          <c:order val="111"/>
          <c:spPr>
            <a:ln w="38100">
              <a:solidFill>
                <a:srgbClr val="800080"/>
              </a:solidFill>
              <a:prstDash val="solid"/>
            </a:ln>
          </c:spPr>
          <c:marker>
            <c:symbol val="circle"/>
            <c:size val="7"/>
            <c:spPr>
              <a:solidFill>
                <a:srgbClr val="0000FF"/>
              </a:solidFill>
              <a:ln>
                <a:solidFill>
                  <a:srgbClr val="0000FF"/>
                </a:solidFill>
                <a:prstDash val="solid"/>
              </a:ln>
            </c:spPr>
          </c:marker>
          <c:xVal>
            <c:numRef>
              <c:f>'Data paired'!$Z$65:$Z$66</c:f>
              <c:numCache>
                <c:formatCode>General</c:formatCode>
                <c:ptCount val="2"/>
                <c:pt idx="0">
                  <c:v>1.4</c:v>
                </c:pt>
                <c:pt idx="1">
                  <c:v>2.6</c:v>
                </c:pt>
              </c:numCache>
            </c:numRef>
          </c:xVal>
          <c:yVal>
            <c:numRef>
              <c:f>'Data paired'!$AA$65:$AA$66</c:f>
              <c:numCache>
                <c:formatCode>General</c:formatCode>
                <c:ptCount val="2"/>
                <c:pt idx="0">
                  <c:v>441</c:v>
                </c:pt>
                <c:pt idx="1">
                  <c:v>443</c:v>
                </c:pt>
              </c:numCache>
            </c:numRef>
          </c:yVal>
          <c:smooth val="0"/>
          <c:extLst>
            <c:ext xmlns:c16="http://schemas.microsoft.com/office/drawing/2014/chart" uri="{C3380CC4-5D6E-409C-BE32-E72D297353CC}">
              <c16:uniqueId val="{00000089-64D8-49E9-92E8-C924DE8325D3}"/>
            </c:ext>
          </c:extLst>
        </c:ser>
        <c:ser>
          <c:idx val="15"/>
          <c:order val="112"/>
          <c:spPr>
            <a:ln w="38100">
              <a:solidFill>
                <a:srgbClr val="FF0000"/>
              </a:solidFill>
              <a:prstDash val="solid"/>
            </a:ln>
          </c:spPr>
          <c:marker>
            <c:symbol val="circle"/>
            <c:size val="7"/>
            <c:spPr>
              <a:solidFill>
                <a:srgbClr val="0000FF"/>
              </a:solidFill>
              <a:ln>
                <a:solidFill>
                  <a:srgbClr val="0000FF"/>
                </a:solidFill>
                <a:prstDash val="solid"/>
              </a:ln>
            </c:spPr>
          </c:marker>
          <c:xVal>
            <c:numRef>
              <c:f>'Data paired'!$Z$71:$Z$72</c:f>
              <c:numCache>
                <c:formatCode>General</c:formatCode>
                <c:ptCount val="2"/>
                <c:pt idx="0">
                  <c:v>1.4</c:v>
                </c:pt>
                <c:pt idx="1">
                  <c:v>2.6</c:v>
                </c:pt>
              </c:numCache>
            </c:numRef>
          </c:xVal>
          <c:yVal>
            <c:numRef>
              <c:f>'Data paired'!$AA$71:$AA$72</c:f>
              <c:numCache>
                <c:formatCode>General</c:formatCode>
                <c:ptCount val="2"/>
                <c:pt idx="0">
                  <c:v>#N/A</c:v>
                </c:pt>
                <c:pt idx="1">
                  <c:v>#N/A</c:v>
                </c:pt>
              </c:numCache>
            </c:numRef>
          </c:yVal>
          <c:smooth val="0"/>
          <c:extLst>
            <c:ext xmlns:c16="http://schemas.microsoft.com/office/drawing/2014/chart" uri="{C3380CC4-5D6E-409C-BE32-E72D297353CC}">
              <c16:uniqueId val="{0000008A-64D8-49E9-92E8-C924DE8325D3}"/>
            </c:ext>
          </c:extLst>
        </c:ser>
        <c:ser>
          <c:idx val="16"/>
          <c:order val="113"/>
          <c:spPr>
            <a:ln w="38100">
              <a:solidFill>
                <a:srgbClr val="FFCC00"/>
              </a:solidFill>
              <a:prstDash val="solid"/>
            </a:ln>
          </c:spPr>
          <c:marker>
            <c:symbol val="circle"/>
            <c:size val="7"/>
            <c:spPr>
              <a:solidFill>
                <a:srgbClr val="0000FF"/>
              </a:solidFill>
              <a:ln>
                <a:solidFill>
                  <a:srgbClr val="0000FF"/>
                </a:solidFill>
                <a:prstDash val="solid"/>
              </a:ln>
            </c:spPr>
          </c:marker>
          <c:xVal>
            <c:numRef>
              <c:f>'Data paired'!$Z$69:$Z$70</c:f>
              <c:numCache>
                <c:formatCode>General</c:formatCode>
                <c:ptCount val="2"/>
                <c:pt idx="0">
                  <c:v>1.4</c:v>
                </c:pt>
                <c:pt idx="1">
                  <c:v>2.6</c:v>
                </c:pt>
              </c:numCache>
            </c:numRef>
          </c:xVal>
          <c:yVal>
            <c:numRef>
              <c:f>'Data paired'!$AA$69:$AA$70</c:f>
              <c:numCache>
                <c:formatCode>General</c:formatCode>
                <c:ptCount val="2"/>
                <c:pt idx="0">
                  <c:v>#N/A</c:v>
                </c:pt>
                <c:pt idx="1">
                  <c:v>#N/A</c:v>
                </c:pt>
              </c:numCache>
            </c:numRef>
          </c:yVal>
          <c:smooth val="0"/>
          <c:extLst>
            <c:ext xmlns:c16="http://schemas.microsoft.com/office/drawing/2014/chart" uri="{C3380CC4-5D6E-409C-BE32-E72D297353CC}">
              <c16:uniqueId val="{0000008B-64D8-49E9-92E8-C924DE8325D3}"/>
            </c:ext>
          </c:extLst>
        </c:ser>
        <c:dLbls>
          <c:showLegendKey val="0"/>
          <c:showVal val="0"/>
          <c:showCatName val="0"/>
          <c:showSerName val="0"/>
          <c:showPercent val="0"/>
          <c:showBubbleSize val="0"/>
        </c:dLbls>
        <c:axId val="185102336"/>
        <c:axId val="185104640"/>
      </c:scatterChart>
      <c:valAx>
        <c:axId val="185102336"/>
        <c:scaling>
          <c:orientation val="minMax"/>
          <c:max val="5"/>
          <c:min val="0.5"/>
        </c:scaling>
        <c:delete val="0"/>
        <c:axPos val="b"/>
        <c:title>
          <c:tx>
            <c:rich>
              <a:bodyPr/>
              <a:lstStyle/>
              <a:p>
                <a:pPr>
                  <a:defRPr sz="1200" b="0" i="0" u="none" strike="noStrike" baseline="0">
                    <a:solidFill>
                      <a:srgbClr val="000000"/>
                    </a:solidFill>
                    <a:latin typeface="Arial"/>
                    <a:ea typeface="Arial"/>
                    <a:cs typeface="Arial"/>
                  </a:defRPr>
                </a:pPr>
                <a:r>
                  <a:t>Difference</a:t>
                </a:r>
              </a:p>
            </c:rich>
          </c:tx>
          <c:layout>
            <c:manualLayout>
              <c:xMode val="edge"/>
              <c:yMode val="edge"/>
              <c:x val="0.74418677897820906"/>
              <c:y val="0.94163658243080628"/>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185104640"/>
        <c:crosses val="autoZero"/>
        <c:crossBetween val="midCat"/>
      </c:valAx>
      <c:valAx>
        <c:axId val="185104640"/>
        <c:scaling>
          <c:orientation val="minMax"/>
        </c:scaling>
        <c:delete val="0"/>
        <c:axPos val="l"/>
        <c:title>
          <c:tx>
            <c:strRef>
              <c:f>'Data paired'!$V$15</c:f>
              <c:strCache>
                <c:ptCount val="1"/>
                <c:pt idx="0">
                  <c:v>Dependent variable (ms).</c:v>
                </c:pt>
              </c:strCache>
            </c:strRef>
          </c:tx>
          <c:layout>
            <c:manualLayout>
              <c:xMode val="edge"/>
              <c:yMode val="edge"/>
              <c:x val="1.1627906976744186E-2"/>
              <c:y val="0.3140794223826715"/>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510233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300" verticalDpi="300"/>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18604651162792"/>
          <c:y val="3.2490974729241874E-2"/>
          <c:w val="0.81395348837209303"/>
          <c:h val="0.90974729241877261"/>
        </c:manualLayout>
      </c:layout>
      <c:barChart>
        <c:barDir val="col"/>
        <c:grouping val="clustered"/>
        <c:varyColors val="0"/>
        <c:ser>
          <c:idx val="113"/>
          <c:order val="112"/>
          <c:spPr>
            <a:pattFill prst="pct70">
              <a:fgClr>
                <a:srgbClr val="C0C0C0"/>
              </a:fgClr>
              <a:bgClr>
                <a:srgbClr val="FFFFFF"/>
              </a:bgClr>
            </a:pattFill>
            <a:ln w="12700">
              <a:solidFill>
                <a:srgbClr val="000000"/>
              </a:solidFill>
              <a:prstDash val="solid"/>
            </a:ln>
          </c:spPr>
          <c:invertIfNegative val="0"/>
          <c:val>
            <c:numRef>
              <c:f>'Simulate paired'!$Z$33:$AD$33</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0-C973-40A9-9B84-3BF93160712E}"/>
            </c:ext>
          </c:extLst>
        </c:ser>
        <c:dLbls>
          <c:showLegendKey val="0"/>
          <c:showVal val="0"/>
          <c:showCatName val="0"/>
          <c:showSerName val="0"/>
          <c:showPercent val="0"/>
          <c:showBubbleSize val="0"/>
        </c:dLbls>
        <c:gapWidth val="300"/>
        <c:axId val="9390720"/>
        <c:axId val="9404800"/>
      </c:barChart>
      <c:scatterChart>
        <c:scatterStyle val="lineMarker"/>
        <c:varyColors val="0"/>
        <c:ser>
          <c:idx val="6"/>
          <c:order val="0"/>
          <c:spPr>
            <a:ln w="28575">
              <a:noFill/>
            </a:ln>
          </c:spPr>
          <c:marker>
            <c:symbol val="square"/>
            <c:size val="7"/>
            <c:spPr>
              <a:solidFill>
                <a:srgbClr val="FF0000"/>
              </a:solidFill>
              <a:ln>
                <a:solidFill>
                  <a:srgbClr val="FF0000"/>
                </a:solidFill>
                <a:prstDash val="solid"/>
              </a:ln>
            </c:spPr>
          </c:marker>
          <c:dPt>
            <c:idx val="2"/>
            <c:marker>
              <c:symbol val="triangle"/>
              <c:size val="7"/>
            </c:marker>
            <c:bubble3D val="0"/>
            <c:extLst>
              <c:ext xmlns:c16="http://schemas.microsoft.com/office/drawing/2014/chart" uri="{C3380CC4-5D6E-409C-BE32-E72D297353CC}">
                <c16:uniqueId val="{00000001-C973-40A9-9B84-3BF93160712E}"/>
              </c:ext>
            </c:extLst>
          </c:dPt>
          <c:errBars>
            <c:errDir val="y"/>
            <c:errBarType val="both"/>
            <c:errValType val="cust"/>
            <c:noEndCap val="1"/>
            <c:plus>
              <c:numRef>
                <c:f>'Simulate paired'!$AA$20:$AC$20</c:f>
                <c:numCache>
                  <c:formatCode>General</c:formatCode>
                  <c:ptCount val="3"/>
                  <c:pt idx="0">
                    <c:v>13</c:v>
                  </c:pt>
                  <c:pt idx="1">
                    <c:v>13</c:v>
                  </c:pt>
                  <c:pt idx="2">
                    <c:v>6</c:v>
                  </c:pt>
                </c:numCache>
              </c:numRef>
            </c:plus>
            <c:minus>
              <c:numRef>
                <c:f>'Simulate paired'!$AA$20:$AC$20</c:f>
                <c:numCache>
                  <c:formatCode>General</c:formatCode>
                  <c:ptCount val="3"/>
                  <c:pt idx="0">
                    <c:v>13</c:v>
                  </c:pt>
                  <c:pt idx="1">
                    <c:v>13</c:v>
                  </c:pt>
                  <c:pt idx="2">
                    <c:v>6</c:v>
                  </c:pt>
                </c:numCache>
              </c:numRef>
            </c:minus>
            <c:spPr>
              <a:ln w="38100">
                <a:pattFill prst="pct50">
                  <a:fgClr>
                    <a:srgbClr val="FF0000"/>
                  </a:fgClr>
                  <a:bgClr>
                    <a:srgbClr val="FFFFFF"/>
                  </a:bgClr>
                </a:pattFill>
                <a:prstDash val="solid"/>
              </a:ln>
            </c:spPr>
          </c:errBars>
          <c:xVal>
            <c:numRef>
              <c:f>'Simulate paired'!$AB$17:$AB$19</c:f>
              <c:numCache>
                <c:formatCode>General</c:formatCode>
                <c:ptCount val="3"/>
                <c:pt idx="0">
                  <c:v>0.28999999999999998</c:v>
                </c:pt>
                <c:pt idx="1">
                  <c:v>2.7</c:v>
                </c:pt>
                <c:pt idx="2">
                  <c:v>4.1000000000000005</c:v>
                </c:pt>
              </c:numCache>
            </c:numRef>
          </c:xVal>
          <c:yVal>
            <c:numRef>
              <c:f>'Simulate paired'!$AC$17:$AC$19</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C973-40A9-9B84-3BF93160712E}"/>
            </c:ext>
          </c:extLst>
        </c:ser>
        <c:ser>
          <c:idx val="7"/>
          <c:order val="1"/>
          <c:spPr>
            <a:ln w="28575">
              <a:noFill/>
            </a:ln>
          </c:spPr>
          <c:marker>
            <c:symbol val="none"/>
          </c:marker>
          <c:errBars>
            <c:errDir val="x"/>
            <c:errBarType val="both"/>
            <c:errValType val="cust"/>
            <c:noEndCap val="1"/>
            <c:plus>
              <c:numRef>
                <c:f>'Simulate paired'!$AA$21:$AC$21</c:f>
                <c:numCache>
                  <c:formatCode>General</c:formatCode>
                  <c:ptCount val="3"/>
                  <c:pt idx="0">
                    <c:v>0.21</c:v>
                  </c:pt>
                  <c:pt idx="1">
                    <c:v>0</c:v>
                  </c:pt>
                  <c:pt idx="2">
                    <c:v>0.5</c:v>
                  </c:pt>
                </c:numCache>
              </c:numRef>
            </c:plus>
            <c:minus>
              <c:numRef>
                <c:f>'Simulate paired'!$AA$22:$AC$22</c:f>
                <c:numCache>
                  <c:formatCode>General</c:formatCode>
                  <c:ptCount val="3"/>
                  <c:pt idx="0">
                    <c:v>0</c:v>
                  </c:pt>
                  <c:pt idx="1">
                    <c:v>0.2</c:v>
                  </c:pt>
                  <c:pt idx="2">
                    <c:v>0.2</c:v>
                  </c:pt>
                </c:numCache>
              </c:numRef>
            </c:minus>
            <c:spPr>
              <a:ln w="12700">
                <a:solidFill>
                  <a:srgbClr val="FF0000"/>
                </a:solidFill>
                <a:prstDash val="solid"/>
              </a:ln>
            </c:spPr>
          </c:errBars>
          <c:xVal>
            <c:numRef>
              <c:f>'Simulate paired'!$AB$17:$AB$19</c:f>
              <c:numCache>
                <c:formatCode>General</c:formatCode>
                <c:ptCount val="3"/>
                <c:pt idx="0">
                  <c:v>0.28999999999999998</c:v>
                </c:pt>
                <c:pt idx="1">
                  <c:v>2.7</c:v>
                </c:pt>
                <c:pt idx="2">
                  <c:v>4.1000000000000005</c:v>
                </c:pt>
              </c:numCache>
            </c:numRef>
          </c:xVal>
          <c:yVal>
            <c:numRef>
              <c:f>'Simulate paired'!$AC$17:$AC$19</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C973-40A9-9B84-3BF93160712E}"/>
            </c:ext>
          </c:extLst>
        </c:ser>
        <c:ser>
          <c:idx val="11"/>
          <c:order val="2"/>
          <c:spPr>
            <a:ln w="12700">
              <a:solidFill>
                <a:srgbClr val="FFFF99"/>
              </a:solidFill>
              <a:prstDash val="solid"/>
            </a:ln>
          </c:spPr>
          <c:marker>
            <c:symbol val="triangle"/>
            <c:size val="9"/>
            <c:spPr>
              <a:solidFill>
                <a:srgbClr val="FF00FF"/>
              </a:solidFill>
              <a:ln>
                <a:solidFill>
                  <a:srgbClr val="000000"/>
                </a:solidFill>
                <a:prstDash val="solid"/>
              </a:ln>
            </c:spPr>
          </c:marker>
          <c:dLbls>
            <c:dLbl>
              <c:idx val="0"/>
              <c:delete val="1"/>
              <c:extLst>
                <c:ext xmlns:c15="http://schemas.microsoft.com/office/drawing/2012/chart" uri="{CE6537A1-D6FC-4f65-9D91-7224C49458BB}"/>
                <c:ext xmlns:c16="http://schemas.microsoft.com/office/drawing/2014/chart" uri="{C3380CC4-5D6E-409C-BE32-E72D297353CC}">
                  <c16:uniqueId val="{00000004-C973-40A9-9B84-3BF93160712E}"/>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0"/>
            <c:plus>
              <c:numRef>
                <c:f>'Simulate paired'!$AD$23</c:f>
                <c:numCache>
                  <c:formatCode>General</c:formatCode>
                  <c:ptCount val="1"/>
                  <c:pt idx="0">
                    <c:v>4.0474072835781625</c:v>
                  </c:pt>
                </c:numCache>
              </c:numRef>
            </c:plus>
            <c:minus>
              <c:numRef>
                <c:f>'Simulate paired'!$AD$23</c:f>
                <c:numCache>
                  <c:formatCode>General</c:formatCode>
                  <c:ptCount val="1"/>
                  <c:pt idx="0">
                    <c:v>4.0474072835781625</c:v>
                  </c:pt>
                </c:numCache>
              </c:numRef>
            </c:minus>
            <c:spPr>
              <a:ln w="25400">
                <a:solidFill>
                  <a:srgbClr val="000000"/>
                </a:solidFill>
                <a:prstDash val="solid"/>
              </a:ln>
            </c:spPr>
          </c:errBars>
          <c:xVal>
            <c:numRef>
              <c:f>'Simulate paired'!$AA$23</c:f>
              <c:numCache>
                <c:formatCode>General</c:formatCode>
                <c:ptCount val="1"/>
                <c:pt idx="0">
                  <c:v>3.9000000000000004</c:v>
                </c:pt>
              </c:numCache>
            </c:numRef>
          </c:xVal>
          <c:yVal>
            <c:numRef>
              <c:f>'Simulate paired'!$AB$23</c:f>
              <c:numCache>
                <c:formatCode>General</c:formatCode>
                <c:ptCount val="1"/>
                <c:pt idx="0">
                  <c:v>50.889960423040215</c:v>
                </c:pt>
              </c:numCache>
            </c:numRef>
          </c:yVal>
          <c:smooth val="0"/>
          <c:extLst>
            <c:ext xmlns:c16="http://schemas.microsoft.com/office/drawing/2014/chart" uri="{C3380CC4-5D6E-409C-BE32-E72D297353CC}">
              <c16:uniqueId val="{00000005-C973-40A9-9B84-3BF93160712E}"/>
            </c:ext>
          </c:extLst>
        </c:ser>
        <c:ser>
          <c:idx val="8"/>
          <c:order val="3"/>
          <c:spPr>
            <a:ln w="12700">
              <a:solidFill>
                <a:srgbClr val="000000"/>
              </a:solidFill>
              <a:prstDash val="solid"/>
            </a:ln>
          </c:spPr>
          <c:marker>
            <c:symbol val="dot"/>
            <c:size val="10"/>
            <c:spPr>
              <a:noFill/>
              <a:ln>
                <a:solidFill>
                  <a:srgbClr val="000000"/>
                </a:solidFill>
                <a:prstDash val="solid"/>
              </a:ln>
            </c:spPr>
          </c:marker>
          <c:dLbls>
            <c:dLbl>
              <c:idx val="0"/>
              <c:tx>
                <c:rich>
                  <a:bodyPr/>
                  <a:lstStyle/>
                  <a:p>
                    <a:r>
                      <a:t>40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973-40A9-9B84-3BF93160712E}"/>
                </c:ext>
              </c:extLst>
            </c:dLbl>
            <c:dLbl>
              <c:idx val="1"/>
              <c:tx>
                <c:rich>
                  <a:bodyPr/>
                  <a:lstStyle/>
                  <a:p>
                    <a:r>
                      <a:t>30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973-40A9-9B84-3BF93160712E}"/>
                </c:ext>
              </c:extLst>
            </c:dLbl>
            <c:dLbl>
              <c:idx val="2"/>
              <c:tx>
                <c:rich>
                  <a:bodyPr/>
                  <a:lstStyle/>
                  <a:p>
                    <a:r>
                      <a:t>20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973-40A9-9B84-3BF93160712E}"/>
                </c:ext>
              </c:extLst>
            </c:dLbl>
            <c:dLbl>
              <c:idx val="3"/>
              <c:tx>
                <c:rich>
                  <a:bodyPr/>
                  <a:lstStyle/>
                  <a:p>
                    <a:r>
                      <a:t>10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973-40A9-9B84-3BF93160712E}"/>
                </c:ext>
              </c:extLst>
            </c:dLbl>
            <c:dLbl>
              <c:idx val="4"/>
              <c:layout>
                <c:manualLayout>
                  <c:x val="-1.5505679038425426E-3"/>
                  <c:y val="-7.15388915735715E-3"/>
                </c:manualLayout>
              </c:layout>
              <c:tx>
                <c:rich>
                  <a:bodyPr/>
                  <a:lstStyle/>
                  <a:p>
                    <a:r>
                      <a:t>0</a:t>
                    </a:r>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973-40A9-9B84-3BF93160712E}"/>
                </c:ext>
              </c:extLst>
            </c:dLbl>
            <c:dLbl>
              <c:idx val="5"/>
              <c:layout>
                <c:manualLayout>
                  <c:x val="-1.5505679038425165E-3"/>
                  <c:y val="-6.9734784956934671E-3"/>
                </c:manualLayout>
              </c:layout>
              <c:tx>
                <c:rich>
                  <a:bodyPr/>
                  <a:lstStyle/>
                  <a:p>
                    <a:r>
                      <a:t>-10</a:t>
                    </a:r>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973-40A9-9B84-3BF93160712E}"/>
                </c:ext>
              </c:extLst>
            </c:dLbl>
            <c:dLbl>
              <c:idx val="6"/>
              <c:layout>
                <c:manualLayout>
                  <c:x val="7.7501613229484588E-4"/>
                  <c:y val="-6.7928783270322377E-3"/>
                </c:manualLayout>
              </c:layout>
              <c:tx>
                <c:rich>
                  <a:bodyPr/>
                  <a:lstStyle/>
                  <a:p>
                    <a:r>
                      <a:t>-20</a:t>
                    </a:r>
                  </a:p>
                </c:rich>
              </c:tx>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973-40A9-9B84-3BF93160712E}"/>
                </c:ext>
              </c:extLst>
            </c:dLbl>
            <c:dLbl>
              <c:idx val="7"/>
              <c:tx>
                <c:rich>
                  <a:bodyPr/>
                  <a:lstStyle/>
                  <a:p>
                    <a:r>
                      <a:t>-30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C973-40A9-9B84-3BF93160712E}"/>
                </c:ext>
              </c:extLst>
            </c:dLbl>
            <c:dLbl>
              <c:idx val="8"/>
              <c:tx>
                <c:rich>
                  <a:bodyPr/>
                  <a:lstStyle/>
                  <a:p>
                    <a:r>
                      <a:t>-40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C973-40A9-9B84-3BF93160712E}"/>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'Simulate paired'!$AB$24:$AB$32</c:f>
              <c:numCache>
                <c:formatCode>General</c:formatCode>
                <c:ptCount val="9"/>
                <c:pt idx="0">
                  <c:v>4.5999999999999996</c:v>
                </c:pt>
                <c:pt idx="1">
                  <c:v>4.5999999999999996</c:v>
                </c:pt>
                <c:pt idx="2">
                  <c:v>4.5999999999999996</c:v>
                </c:pt>
                <c:pt idx="3">
                  <c:v>4.5999999999999996</c:v>
                </c:pt>
                <c:pt idx="4">
                  <c:v>4.5999999999999996</c:v>
                </c:pt>
                <c:pt idx="5">
                  <c:v>4.5999999999999996</c:v>
                </c:pt>
                <c:pt idx="6">
                  <c:v>4.5999999999999996</c:v>
                </c:pt>
                <c:pt idx="7">
                  <c:v>4.5999999999999996</c:v>
                </c:pt>
                <c:pt idx="8">
                  <c:v>4.5999999999999996</c:v>
                </c:pt>
              </c:numCache>
            </c:numRef>
          </c:xVal>
          <c:yVal>
            <c:numRef>
              <c:f>'Simulate paired'!$AC$24:$AC$32</c:f>
              <c:numCache>
                <c:formatCode>General</c:formatCode>
                <c:ptCount val="9"/>
                <c:pt idx="0">
                  <c:v>82.556760820537207</c:v>
                </c:pt>
                <c:pt idx="1">
                  <c:v>72.556760820537207</c:v>
                </c:pt>
                <c:pt idx="2">
                  <c:v>62.556760820537207</c:v>
                </c:pt>
                <c:pt idx="3">
                  <c:v>52.556760820537207</c:v>
                </c:pt>
                <c:pt idx="4">
                  <c:v>42.556760820537207</c:v>
                </c:pt>
                <c:pt idx="5">
                  <c:v>32.556760820537207</c:v>
                </c:pt>
                <c:pt idx="6">
                  <c:v>22.556760820537207</c:v>
                </c:pt>
                <c:pt idx="7">
                  <c:v>12.556760820537207</c:v>
                </c:pt>
                <c:pt idx="8">
                  <c:v>#N/A</c:v>
                </c:pt>
              </c:numCache>
            </c:numRef>
          </c:yVal>
          <c:smooth val="0"/>
          <c:extLst>
            <c:ext xmlns:c16="http://schemas.microsoft.com/office/drawing/2014/chart" uri="{C3380CC4-5D6E-409C-BE32-E72D297353CC}">
              <c16:uniqueId val="{0000000F-C973-40A9-9B84-3BF93160712E}"/>
            </c:ext>
          </c:extLst>
        </c:ser>
        <c:ser>
          <c:idx val="9"/>
          <c:order val="4"/>
          <c:spPr>
            <a:ln w="12700">
              <a:solidFill>
                <a:srgbClr val="000000"/>
              </a:solidFill>
              <a:prstDash val="solid"/>
            </a:ln>
          </c:spPr>
          <c:marker>
            <c:symbol val="none"/>
          </c:marker>
          <c:xVal>
            <c:numRef>
              <c:f>'Simulate paired'!$Z$25:$Z$26</c:f>
              <c:numCache>
                <c:formatCode>General</c:formatCode>
                <c:ptCount val="2"/>
                <c:pt idx="0">
                  <c:v>3.9000000000000004</c:v>
                </c:pt>
                <c:pt idx="1">
                  <c:v>4.5999999999999996</c:v>
                </c:pt>
              </c:numCache>
            </c:numRef>
          </c:xVal>
          <c:yVal>
            <c:numRef>
              <c:f>'Simulate paired'!$AA$25:$AA$26</c:f>
              <c:numCache>
                <c:formatCode>General</c:formatCode>
                <c:ptCount val="2"/>
                <c:pt idx="0">
                  <c:v>50.889960423040215</c:v>
                </c:pt>
                <c:pt idx="1">
                  <c:v>50.889960423040215</c:v>
                </c:pt>
              </c:numCache>
            </c:numRef>
          </c:yVal>
          <c:smooth val="0"/>
          <c:extLst>
            <c:ext xmlns:c16="http://schemas.microsoft.com/office/drawing/2014/chart" uri="{C3380CC4-5D6E-409C-BE32-E72D297353CC}">
              <c16:uniqueId val="{00000010-C973-40A9-9B84-3BF93160712E}"/>
            </c:ext>
          </c:extLst>
        </c:ser>
        <c:ser>
          <c:idx val="12"/>
          <c:order val="5"/>
          <c:spPr>
            <a:ln w="12700">
              <a:solidFill>
                <a:srgbClr val="000000"/>
              </a:solidFill>
              <a:prstDash val="sysDash"/>
            </a:ln>
          </c:spPr>
          <c:marker>
            <c:symbol val="none"/>
          </c:marker>
          <c:xVal>
            <c:numRef>
              <c:f>'Simulate paired'!$Z$27:$Z$28</c:f>
              <c:numCache>
                <c:formatCode>General</c:formatCode>
                <c:ptCount val="2"/>
                <c:pt idx="0">
                  <c:v>2.5</c:v>
                </c:pt>
                <c:pt idx="1">
                  <c:v>3.9000000000000004</c:v>
                </c:pt>
              </c:numCache>
            </c:numRef>
          </c:xVal>
          <c:yVal>
            <c:numRef>
              <c:f>'Simulate paired'!$AA$27:$AA$28</c:f>
              <c:numCache>
                <c:formatCode>General</c:formatCode>
                <c:ptCount val="2"/>
                <c:pt idx="0">
                  <c:v>50.889960423040215</c:v>
                </c:pt>
                <c:pt idx="1">
                  <c:v>50.889960423040215</c:v>
                </c:pt>
              </c:numCache>
            </c:numRef>
          </c:yVal>
          <c:smooth val="0"/>
          <c:extLst>
            <c:ext xmlns:c16="http://schemas.microsoft.com/office/drawing/2014/chart" uri="{C3380CC4-5D6E-409C-BE32-E72D297353CC}">
              <c16:uniqueId val="{00000011-C973-40A9-9B84-3BF93160712E}"/>
            </c:ext>
          </c:extLst>
        </c:ser>
        <c:ser>
          <c:idx val="13"/>
          <c:order val="6"/>
          <c:spPr>
            <a:ln w="12700">
              <a:solidFill>
                <a:srgbClr val="000000"/>
              </a:solidFill>
              <a:prstDash val="sysDash"/>
            </a:ln>
          </c:spPr>
          <c:marker>
            <c:symbol val="none"/>
          </c:marker>
          <c:xVal>
            <c:numRef>
              <c:f>'Simulate paired'!$Z$29:$Z$30</c:f>
              <c:numCache>
                <c:formatCode>General</c:formatCode>
                <c:ptCount val="2"/>
                <c:pt idx="0">
                  <c:v>0.55000000000000004</c:v>
                </c:pt>
                <c:pt idx="1">
                  <c:v>4.5999999999999996</c:v>
                </c:pt>
              </c:numCache>
            </c:numRef>
          </c:xVal>
          <c:yVal>
            <c:numRef>
              <c:f>'Simulate paired'!$AA$29:$AA$30</c:f>
              <c:numCache>
                <c:formatCode>General</c:formatCode>
                <c:ptCount val="2"/>
                <c:pt idx="0">
                  <c:v>42.556760820537207</c:v>
                </c:pt>
                <c:pt idx="1">
                  <c:v>42.556760820537207</c:v>
                </c:pt>
              </c:numCache>
            </c:numRef>
          </c:yVal>
          <c:smooth val="0"/>
          <c:extLst>
            <c:ext xmlns:c16="http://schemas.microsoft.com/office/drawing/2014/chart" uri="{C3380CC4-5D6E-409C-BE32-E72D297353CC}">
              <c16:uniqueId val="{00000012-C973-40A9-9B84-3BF93160712E}"/>
            </c:ext>
          </c:extLst>
        </c:ser>
        <c:ser>
          <c:idx val="10"/>
          <c:order val="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paired'!$AA$63,'Simulate paired'!$AB$63)</c:f>
              <c:numCache>
                <c:formatCode>General</c:formatCode>
                <c:ptCount val="2"/>
                <c:pt idx="0">
                  <c:v>#N/A</c:v>
                </c:pt>
                <c:pt idx="1">
                  <c:v>#N/A</c:v>
                </c:pt>
              </c:numCache>
            </c:numRef>
          </c:yVal>
          <c:smooth val="0"/>
          <c:extLst>
            <c:ext xmlns:c16="http://schemas.microsoft.com/office/drawing/2014/chart" uri="{C3380CC4-5D6E-409C-BE32-E72D297353CC}">
              <c16:uniqueId val="{00000013-C973-40A9-9B84-3BF93160712E}"/>
            </c:ext>
          </c:extLst>
        </c:ser>
        <c:ser>
          <c:idx val="14"/>
          <c:order val="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paired'!$AA$64,'Simulate paired'!$AB$64)</c:f>
              <c:numCache>
                <c:formatCode>General</c:formatCode>
                <c:ptCount val="2"/>
                <c:pt idx="0">
                  <c:v>#N/A</c:v>
                </c:pt>
                <c:pt idx="1">
                  <c:v>#N/A</c:v>
                </c:pt>
              </c:numCache>
            </c:numRef>
          </c:yVal>
          <c:smooth val="0"/>
          <c:extLst>
            <c:ext xmlns:c16="http://schemas.microsoft.com/office/drawing/2014/chart" uri="{C3380CC4-5D6E-409C-BE32-E72D297353CC}">
              <c16:uniqueId val="{00000014-C973-40A9-9B84-3BF93160712E}"/>
            </c:ext>
          </c:extLst>
        </c:ser>
        <c:ser>
          <c:idx val="15"/>
          <c:order val="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paired'!$AA$65,'Simulate paired'!$AB$65)</c:f>
              <c:numCache>
                <c:formatCode>General</c:formatCode>
                <c:ptCount val="2"/>
                <c:pt idx="0">
                  <c:v>#N/A</c:v>
                </c:pt>
                <c:pt idx="1">
                  <c:v>#N/A</c:v>
                </c:pt>
              </c:numCache>
            </c:numRef>
          </c:yVal>
          <c:smooth val="0"/>
          <c:extLst>
            <c:ext xmlns:c16="http://schemas.microsoft.com/office/drawing/2014/chart" uri="{C3380CC4-5D6E-409C-BE32-E72D297353CC}">
              <c16:uniqueId val="{00000015-C973-40A9-9B84-3BF93160712E}"/>
            </c:ext>
          </c:extLst>
        </c:ser>
        <c:ser>
          <c:idx val="16"/>
          <c:order val="1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paired'!$AA$66,'Simulate paired'!$AB$66)</c:f>
              <c:numCache>
                <c:formatCode>General</c:formatCode>
                <c:ptCount val="2"/>
                <c:pt idx="0">
                  <c:v>#N/A</c:v>
                </c:pt>
                <c:pt idx="1">
                  <c:v>#N/A</c:v>
                </c:pt>
              </c:numCache>
            </c:numRef>
          </c:yVal>
          <c:smooth val="0"/>
          <c:extLst>
            <c:ext xmlns:c16="http://schemas.microsoft.com/office/drawing/2014/chart" uri="{C3380CC4-5D6E-409C-BE32-E72D297353CC}">
              <c16:uniqueId val="{00000016-C973-40A9-9B84-3BF93160712E}"/>
            </c:ext>
          </c:extLst>
        </c:ser>
        <c:ser>
          <c:idx val="17"/>
          <c:order val="1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paired'!$AA$67,'Simulate paired'!$AB$67)</c:f>
              <c:numCache>
                <c:formatCode>General</c:formatCode>
                <c:ptCount val="2"/>
                <c:pt idx="0">
                  <c:v>#N/A</c:v>
                </c:pt>
                <c:pt idx="1">
                  <c:v>#N/A</c:v>
                </c:pt>
              </c:numCache>
            </c:numRef>
          </c:yVal>
          <c:smooth val="0"/>
          <c:extLst>
            <c:ext xmlns:c16="http://schemas.microsoft.com/office/drawing/2014/chart" uri="{C3380CC4-5D6E-409C-BE32-E72D297353CC}">
              <c16:uniqueId val="{00000017-C973-40A9-9B84-3BF93160712E}"/>
            </c:ext>
          </c:extLst>
        </c:ser>
        <c:ser>
          <c:idx val="18"/>
          <c:order val="1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paired'!$AA$68,'Simulate paired'!$AB$68)</c:f>
              <c:numCache>
                <c:formatCode>General</c:formatCode>
                <c:ptCount val="2"/>
                <c:pt idx="0">
                  <c:v>#N/A</c:v>
                </c:pt>
                <c:pt idx="1">
                  <c:v>#N/A</c:v>
                </c:pt>
              </c:numCache>
            </c:numRef>
          </c:yVal>
          <c:smooth val="0"/>
          <c:extLst>
            <c:ext xmlns:c16="http://schemas.microsoft.com/office/drawing/2014/chart" uri="{C3380CC4-5D6E-409C-BE32-E72D297353CC}">
              <c16:uniqueId val="{00000018-C973-40A9-9B84-3BF93160712E}"/>
            </c:ext>
          </c:extLst>
        </c:ser>
        <c:ser>
          <c:idx val="19"/>
          <c:order val="1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paired'!$AA$69,'Simulate paired'!$AB$69)</c:f>
              <c:numCache>
                <c:formatCode>General</c:formatCode>
                <c:ptCount val="2"/>
                <c:pt idx="0">
                  <c:v>#N/A</c:v>
                </c:pt>
                <c:pt idx="1">
                  <c:v>#N/A</c:v>
                </c:pt>
              </c:numCache>
            </c:numRef>
          </c:yVal>
          <c:smooth val="0"/>
          <c:extLst>
            <c:ext xmlns:c16="http://schemas.microsoft.com/office/drawing/2014/chart" uri="{C3380CC4-5D6E-409C-BE32-E72D297353CC}">
              <c16:uniqueId val="{00000019-C973-40A9-9B84-3BF93160712E}"/>
            </c:ext>
          </c:extLst>
        </c:ser>
        <c:ser>
          <c:idx val="20"/>
          <c:order val="1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paired'!$AA$70,'Simulate paired'!$AB$70)</c:f>
              <c:numCache>
                <c:formatCode>General</c:formatCode>
                <c:ptCount val="2"/>
                <c:pt idx="0">
                  <c:v>#N/A</c:v>
                </c:pt>
                <c:pt idx="1">
                  <c:v>#N/A</c:v>
                </c:pt>
              </c:numCache>
            </c:numRef>
          </c:yVal>
          <c:smooth val="0"/>
          <c:extLst>
            <c:ext xmlns:c16="http://schemas.microsoft.com/office/drawing/2014/chart" uri="{C3380CC4-5D6E-409C-BE32-E72D297353CC}">
              <c16:uniqueId val="{0000001A-C973-40A9-9B84-3BF93160712E}"/>
            </c:ext>
          </c:extLst>
        </c:ser>
        <c:ser>
          <c:idx val="21"/>
          <c:order val="1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paired'!$AA$71,'Simulate paired'!$AB$71)</c:f>
              <c:numCache>
                <c:formatCode>General</c:formatCode>
                <c:ptCount val="2"/>
                <c:pt idx="0">
                  <c:v>#N/A</c:v>
                </c:pt>
                <c:pt idx="1">
                  <c:v>#N/A</c:v>
                </c:pt>
              </c:numCache>
            </c:numRef>
          </c:yVal>
          <c:smooth val="0"/>
          <c:extLst>
            <c:ext xmlns:c16="http://schemas.microsoft.com/office/drawing/2014/chart" uri="{C3380CC4-5D6E-409C-BE32-E72D297353CC}">
              <c16:uniqueId val="{0000001B-C973-40A9-9B84-3BF93160712E}"/>
            </c:ext>
          </c:extLst>
        </c:ser>
        <c:ser>
          <c:idx val="22"/>
          <c:order val="1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paired'!$AA$72,'Simulate paired'!$AB$72)</c:f>
              <c:numCache>
                <c:formatCode>General</c:formatCode>
                <c:ptCount val="2"/>
                <c:pt idx="0">
                  <c:v>#N/A</c:v>
                </c:pt>
                <c:pt idx="1">
                  <c:v>#N/A</c:v>
                </c:pt>
              </c:numCache>
            </c:numRef>
          </c:yVal>
          <c:smooth val="0"/>
          <c:extLst>
            <c:ext xmlns:c16="http://schemas.microsoft.com/office/drawing/2014/chart" uri="{C3380CC4-5D6E-409C-BE32-E72D297353CC}">
              <c16:uniqueId val="{0000001C-C973-40A9-9B84-3BF93160712E}"/>
            </c:ext>
          </c:extLst>
        </c:ser>
        <c:ser>
          <c:idx val="23"/>
          <c:order val="1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paired'!$AA$73,'Simulate paired'!$AB$73)</c:f>
              <c:numCache>
                <c:formatCode>General</c:formatCode>
                <c:ptCount val="2"/>
                <c:pt idx="0">
                  <c:v>#N/A</c:v>
                </c:pt>
                <c:pt idx="1">
                  <c:v>#N/A</c:v>
                </c:pt>
              </c:numCache>
            </c:numRef>
          </c:yVal>
          <c:smooth val="0"/>
          <c:extLst>
            <c:ext xmlns:c16="http://schemas.microsoft.com/office/drawing/2014/chart" uri="{C3380CC4-5D6E-409C-BE32-E72D297353CC}">
              <c16:uniqueId val="{0000001D-C973-40A9-9B84-3BF93160712E}"/>
            </c:ext>
          </c:extLst>
        </c:ser>
        <c:ser>
          <c:idx val="24"/>
          <c:order val="1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paired'!$AA$74,'Simulate paired'!$AB$74)</c:f>
              <c:numCache>
                <c:formatCode>General</c:formatCode>
                <c:ptCount val="2"/>
                <c:pt idx="0">
                  <c:v>#N/A</c:v>
                </c:pt>
                <c:pt idx="1">
                  <c:v>#N/A</c:v>
                </c:pt>
              </c:numCache>
            </c:numRef>
          </c:yVal>
          <c:smooth val="0"/>
          <c:extLst>
            <c:ext xmlns:c16="http://schemas.microsoft.com/office/drawing/2014/chart" uri="{C3380CC4-5D6E-409C-BE32-E72D297353CC}">
              <c16:uniqueId val="{0000001E-C973-40A9-9B84-3BF93160712E}"/>
            </c:ext>
          </c:extLst>
        </c:ser>
        <c:ser>
          <c:idx val="25"/>
          <c:order val="1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paired'!$AA$75,'Simulate paired'!$AB$75)</c:f>
              <c:numCache>
                <c:formatCode>General</c:formatCode>
                <c:ptCount val="2"/>
                <c:pt idx="0">
                  <c:v>#N/A</c:v>
                </c:pt>
                <c:pt idx="1">
                  <c:v>#N/A</c:v>
                </c:pt>
              </c:numCache>
            </c:numRef>
          </c:yVal>
          <c:smooth val="0"/>
          <c:extLst>
            <c:ext xmlns:c16="http://schemas.microsoft.com/office/drawing/2014/chart" uri="{C3380CC4-5D6E-409C-BE32-E72D297353CC}">
              <c16:uniqueId val="{0000001F-C973-40A9-9B84-3BF93160712E}"/>
            </c:ext>
          </c:extLst>
        </c:ser>
        <c:ser>
          <c:idx val="26"/>
          <c:order val="2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paired'!$AA$76,'Simulate paired'!$AB$76)</c:f>
              <c:numCache>
                <c:formatCode>General</c:formatCode>
                <c:ptCount val="2"/>
                <c:pt idx="0">
                  <c:v>#N/A</c:v>
                </c:pt>
                <c:pt idx="1">
                  <c:v>#N/A</c:v>
                </c:pt>
              </c:numCache>
            </c:numRef>
          </c:yVal>
          <c:smooth val="0"/>
          <c:extLst>
            <c:ext xmlns:c16="http://schemas.microsoft.com/office/drawing/2014/chart" uri="{C3380CC4-5D6E-409C-BE32-E72D297353CC}">
              <c16:uniqueId val="{00000020-C973-40A9-9B84-3BF93160712E}"/>
            </c:ext>
          </c:extLst>
        </c:ser>
        <c:ser>
          <c:idx val="27"/>
          <c:order val="2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paired'!$AA$77,'Simulate paired'!$AB$77)</c:f>
              <c:numCache>
                <c:formatCode>General</c:formatCode>
                <c:ptCount val="2"/>
                <c:pt idx="0">
                  <c:v>#N/A</c:v>
                </c:pt>
                <c:pt idx="1">
                  <c:v>#N/A</c:v>
                </c:pt>
              </c:numCache>
            </c:numRef>
          </c:yVal>
          <c:smooth val="0"/>
          <c:extLst>
            <c:ext xmlns:c16="http://schemas.microsoft.com/office/drawing/2014/chart" uri="{C3380CC4-5D6E-409C-BE32-E72D297353CC}">
              <c16:uniqueId val="{00000021-C973-40A9-9B84-3BF93160712E}"/>
            </c:ext>
          </c:extLst>
        </c:ser>
        <c:ser>
          <c:idx val="28"/>
          <c:order val="2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paired'!$AA$78,'Simulate paired'!$AB$78)</c:f>
              <c:numCache>
                <c:formatCode>General</c:formatCode>
                <c:ptCount val="2"/>
                <c:pt idx="0">
                  <c:v>#N/A</c:v>
                </c:pt>
                <c:pt idx="1">
                  <c:v>#N/A</c:v>
                </c:pt>
              </c:numCache>
            </c:numRef>
          </c:yVal>
          <c:smooth val="0"/>
          <c:extLst>
            <c:ext xmlns:c16="http://schemas.microsoft.com/office/drawing/2014/chart" uri="{C3380CC4-5D6E-409C-BE32-E72D297353CC}">
              <c16:uniqueId val="{00000022-C973-40A9-9B84-3BF93160712E}"/>
            </c:ext>
          </c:extLst>
        </c:ser>
        <c:ser>
          <c:idx val="29"/>
          <c:order val="2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paired'!$AA$79,'Simulate paired'!$AB$79)</c:f>
              <c:numCache>
                <c:formatCode>General</c:formatCode>
                <c:ptCount val="2"/>
                <c:pt idx="0">
                  <c:v>#N/A</c:v>
                </c:pt>
                <c:pt idx="1">
                  <c:v>#N/A</c:v>
                </c:pt>
              </c:numCache>
            </c:numRef>
          </c:yVal>
          <c:smooth val="0"/>
          <c:extLst>
            <c:ext xmlns:c16="http://schemas.microsoft.com/office/drawing/2014/chart" uri="{C3380CC4-5D6E-409C-BE32-E72D297353CC}">
              <c16:uniqueId val="{00000023-C973-40A9-9B84-3BF93160712E}"/>
            </c:ext>
          </c:extLst>
        </c:ser>
        <c:ser>
          <c:idx val="30"/>
          <c:order val="2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paired'!$AA$80,'Simulate paired'!$AB$80)</c:f>
              <c:numCache>
                <c:formatCode>General</c:formatCode>
                <c:ptCount val="2"/>
                <c:pt idx="0">
                  <c:v>#N/A</c:v>
                </c:pt>
                <c:pt idx="1">
                  <c:v>#N/A</c:v>
                </c:pt>
              </c:numCache>
            </c:numRef>
          </c:yVal>
          <c:smooth val="0"/>
          <c:extLst>
            <c:ext xmlns:c16="http://schemas.microsoft.com/office/drawing/2014/chart" uri="{C3380CC4-5D6E-409C-BE32-E72D297353CC}">
              <c16:uniqueId val="{00000024-C973-40A9-9B84-3BF93160712E}"/>
            </c:ext>
          </c:extLst>
        </c:ser>
        <c:ser>
          <c:idx val="31"/>
          <c:order val="2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paired'!$AA$81,'Simulate paired'!$AB$81)</c:f>
              <c:numCache>
                <c:formatCode>General</c:formatCode>
                <c:ptCount val="2"/>
                <c:pt idx="0">
                  <c:v>#N/A</c:v>
                </c:pt>
                <c:pt idx="1">
                  <c:v>#N/A</c:v>
                </c:pt>
              </c:numCache>
            </c:numRef>
          </c:yVal>
          <c:smooth val="0"/>
          <c:extLst>
            <c:ext xmlns:c16="http://schemas.microsoft.com/office/drawing/2014/chart" uri="{C3380CC4-5D6E-409C-BE32-E72D297353CC}">
              <c16:uniqueId val="{00000025-C973-40A9-9B84-3BF93160712E}"/>
            </c:ext>
          </c:extLst>
        </c:ser>
        <c:ser>
          <c:idx val="32"/>
          <c:order val="2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paired'!$AA$82,'Simulate paired'!$AB$82)</c:f>
              <c:numCache>
                <c:formatCode>General</c:formatCode>
                <c:ptCount val="2"/>
                <c:pt idx="0">
                  <c:v>#N/A</c:v>
                </c:pt>
                <c:pt idx="1">
                  <c:v>#N/A</c:v>
                </c:pt>
              </c:numCache>
            </c:numRef>
          </c:yVal>
          <c:smooth val="0"/>
          <c:extLst>
            <c:ext xmlns:c16="http://schemas.microsoft.com/office/drawing/2014/chart" uri="{C3380CC4-5D6E-409C-BE32-E72D297353CC}">
              <c16:uniqueId val="{00000026-C973-40A9-9B84-3BF93160712E}"/>
            </c:ext>
          </c:extLst>
        </c:ser>
        <c:ser>
          <c:idx val="33"/>
          <c:order val="2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paired'!$AA$83,'Simulate paired'!$AB$83)</c:f>
              <c:numCache>
                <c:formatCode>General</c:formatCode>
                <c:ptCount val="2"/>
                <c:pt idx="0">
                  <c:v>#N/A</c:v>
                </c:pt>
                <c:pt idx="1">
                  <c:v>#N/A</c:v>
                </c:pt>
              </c:numCache>
            </c:numRef>
          </c:yVal>
          <c:smooth val="0"/>
          <c:extLst>
            <c:ext xmlns:c16="http://schemas.microsoft.com/office/drawing/2014/chart" uri="{C3380CC4-5D6E-409C-BE32-E72D297353CC}">
              <c16:uniqueId val="{00000027-C973-40A9-9B84-3BF93160712E}"/>
            </c:ext>
          </c:extLst>
        </c:ser>
        <c:ser>
          <c:idx val="34"/>
          <c:order val="2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paired'!$AA$84,'Simulate paired'!$AB$84)</c:f>
              <c:numCache>
                <c:formatCode>General</c:formatCode>
                <c:ptCount val="2"/>
                <c:pt idx="0">
                  <c:v>#N/A</c:v>
                </c:pt>
                <c:pt idx="1">
                  <c:v>#N/A</c:v>
                </c:pt>
              </c:numCache>
            </c:numRef>
          </c:yVal>
          <c:smooth val="0"/>
          <c:extLst>
            <c:ext xmlns:c16="http://schemas.microsoft.com/office/drawing/2014/chart" uri="{C3380CC4-5D6E-409C-BE32-E72D297353CC}">
              <c16:uniqueId val="{00000028-C973-40A9-9B84-3BF93160712E}"/>
            </c:ext>
          </c:extLst>
        </c:ser>
        <c:ser>
          <c:idx val="35"/>
          <c:order val="2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paired'!$AA$85,'Simulate paired'!$AB$85)</c:f>
              <c:numCache>
                <c:formatCode>General</c:formatCode>
                <c:ptCount val="2"/>
                <c:pt idx="0">
                  <c:v>#N/A</c:v>
                </c:pt>
                <c:pt idx="1">
                  <c:v>#N/A</c:v>
                </c:pt>
              </c:numCache>
            </c:numRef>
          </c:yVal>
          <c:smooth val="0"/>
          <c:extLst>
            <c:ext xmlns:c16="http://schemas.microsoft.com/office/drawing/2014/chart" uri="{C3380CC4-5D6E-409C-BE32-E72D297353CC}">
              <c16:uniqueId val="{00000029-C973-40A9-9B84-3BF93160712E}"/>
            </c:ext>
          </c:extLst>
        </c:ser>
        <c:ser>
          <c:idx val="36"/>
          <c:order val="3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paired'!$AA$86,'Simulate paired'!$AB$86)</c:f>
              <c:numCache>
                <c:formatCode>General</c:formatCode>
                <c:ptCount val="2"/>
                <c:pt idx="0">
                  <c:v>#N/A</c:v>
                </c:pt>
                <c:pt idx="1">
                  <c:v>#N/A</c:v>
                </c:pt>
              </c:numCache>
            </c:numRef>
          </c:yVal>
          <c:smooth val="0"/>
          <c:extLst>
            <c:ext xmlns:c16="http://schemas.microsoft.com/office/drawing/2014/chart" uri="{C3380CC4-5D6E-409C-BE32-E72D297353CC}">
              <c16:uniqueId val="{0000002A-C973-40A9-9B84-3BF93160712E}"/>
            </c:ext>
          </c:extLst>
        </c:ser>
        <c:ser>
          <c:idx val="37"/>
          <c:order val="3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paired'!$AA$87,'Simulate paired'!$AB$87)</c:f>
              <c:numCache>
                <c:formatCode>General</c:formatCode>
                <c:ptCount val="2"/>
                <c:pt idx="0">
                  <c:v>#N/A</c:v>
                </c:pt>
                <c:pt idx="1">
                  <c:v>#N/A</c:v>
                </c:pt>
              </c:numCache>
            </c:numRef>
          </c:yVal>
          <c:smooth val="0"/>
          <c:extLst>
            <c:ext xmlns:c16="http://schemas.microsoft.com/office/drawing/2014/chart" uri="{C3380CC4-5D6E-409C-BE32-E72D297353CC}">
              <c16:uniqueId val="{0000002B-C973-40A9-9B84-3BF93160712E}"/>
            </c:ext>
          </c:extLst>
        </c:ser>
        <c:ser>
          <c:idx val="38"/>
          <c:order val="3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paired'!$AA$88,'Simulate paired'!$AB$88)</c:f>
              <c:numCache>
                <c:formatCode>General</c:formatCode>
                <c:ptCount val="2"/>
                <c:pt idx="0">
                  <c:v>#N/A</c:v>
                </c:pt>
                <c:pt idx="1">
                  <c:v>#N/A</c:v>
                </c:pt>
              </c:numCache>
            </c:numRef>
          </c:yVal>
          <c:smooth val="0"/>
          <c:extLst>
            <c:ext xmlns:c16="http://schemas.microsoft.com/office/drawing/2014/chart" uri="{C3380CC4-5D6E-409C-BE32-E72D297353CC}">
              <c16:uniqueId val="{0000002C-C973-40A9-9B84-3BF93160712E}"/>
            </c:ext>
          </c:extLst>
        </c:ser>
        <c:ser>
          <c:idx val="39"/>
          <c:order val="3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paired'!$AA$89,'Simulate paired'!$AB$89)</c:f>
              <c:numCache>
                <c:formatCode>General</c:formatCode>
                <c:ptCount val="2"/>
                <c:pt idx="0">
                  <c:v>#N/A</c:v>
                </c:pt>
                <c:pt idx="1">
                  <c:v>#N/A</c:v>
                </c:pt>
              </c:numCache>
            </c:numRef>
          </c:yVal>
          <c:smooth val="0"/>
          <c:extLst>
            <c:ext xmlns:c16="http://schemas.microsoft.com/office/drawing/2014/chart" uri="{C3380CC4-5D6E-409C-BE32-E72D297353CC}">
              <c16:uniqueId val="{0000002D-C973-40A9-9B84-3BF93160712E}"/>
            </c:ext>
          </c:extLst>
        </c:ser>
        <c:ser>
          <c:idx val="40"/>
          <c:order val="3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paired'!$AA$90,'Simulate paired'!$AB$90)</c:f>
              <c:numCache>
                <c:formatCode>General</c:formatCode>
                <c:ptCount val="2"/>
                <c:pt idx="0">
                  <c:v>#N/A</c:v>
                </c:pt>
                <c:pt idx="1">
                  <c:v>#N/A</c:v>
                </c:pt>
              </c:numCache>
            </c:numRef>
          </c:yVal>
          <c:smooth val="0"/>
          <c:extLst>
            <c:ext xmlns:c16="http://schemas.microsoft.com/office/drawing/2014/chart" uri="{C3380CC4-5D6E-409C-BE32-E72D297353CC}">
              <c16:uniqueId val="{0000002E-C973-40A9-9B84-3BF93160712E}"/>
            </c:ext>
          </c:extLst>
        </c:ser>
        <c:ser>
          <c:idx val="41"/>
          <c:order val="3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paired'!$AA$91,'Simulate paired'!$AB$91)</c:f>
              <c:numCache>
                <c:formatCode>General</c:formatCode>
                <c:ptCount val="2"/>
                <c:pt idx="0">
                  <c:v>#N/A</c:v>
                </c:pt>
                <c:pt idx="1">
                  <c:v>#N/A</c:v>
                </c:pt>
              </c:numCache>
            </c:numRef>
          </c:yVal>
          <c:smooth val="0"/>
          <c:extLst>
            <c:ext xmlns:c16="http://schemas.microsoft.com/office/drawing/2014/chart" uri="{C3380CC4-5D6E-409C-BE32-E72D297353CC}">
              <c16:uniqueId val="{0000002F-C973-40A9-9B84-3BF93160712E}"/>
            </c:ext>
          </c:extLst>
        </c:ser>
        <c:ser>
          <c:idx val="42"/>
          <c:order val="3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paired'!$AA$92,'Simulate paired'!$AB$92)</c:f>
              <c:numCache>
                <c:formatCode>General</c:formatCode>
                <c:ptCount val="2"/>
                <c:pt idx="0">
                  <c:v>#N/A</c:v>
                </c:pt>
                <c:pt idx="1">
                  <c:v>#N/A</c:v>
                </c:pt>
              </c:numCache>
            </c:numRef>
          </c:yVal>
          <c:smooth val="0"/>
          <c:extLst>
            <c:ext xmlns:c16="http://schemas.microsoft.com/office/drawing/2014/chart" uri="{C3380CC4-5D6E-409C-BE32-E72D297353CC}">
              <c16:uniqueId val="{00000030-C973-40A9-9B84-3BF93160712E}"/>
            </c:ext>
          </c:extLst>
        </c:ser>
        <c:ser>
          <c:idx val="43"/>
          <c:order val="3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paired'!$AA$93,'Simulate paired'!$AB$93)</c:f>
              <c:numCache>
                <c:formatCode>General</c:formatCode>
                <c:ptCount val="2"/>
                <c:pt idx="0">
                  <c:v>#N/A</c:v>
                </c:pt>
                <c:pt idx="1">
                  <c:v>#N/A</c:v>
                </c:pt>
              </c:numCache>
            </c:numRef>
          </c:yVal>
          <c:smooth val="0"/>
          <c:extLst>
            <c:ext xmlns:c16="http://schemas.microsoft.com/office/drawing/2014/chart" uri="{C3380CC4-5D6E-409C-BE32-E72D297353CC}">
              <c16:uniqueId val="{00000031-C973-40A9-9B84-3BF93160712E}"/>
            </c:ext>
          </c:extLst>
        </c:ser>
        <c:ser>
          <c:idx val="44"/>
          <c:order val="3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paired'!$AA$94,'Simulate paired'!$AB$94)</c:f>
              <c:numCache>
                <c:formatCode>General</c:formatCode>
                <c:ptCount val="2"/>
                <c:pt idx="0">
                  <c:v>#N/A</c:v>
                </c:pt>
                <c:pt idx="1">
                  <c:v>#N/A</c:v>
                </c:pt>
              </c:numCache>
            </c:numRef>
          </c:yVal>
          <c:smooth val="0"/>
          <c:extLst>
            <c:ext xmlns:c16="http://schemas.microsoft.com/office/drawing/2014/chart" uri="{C3380CC4-5D6E-409C-BE32-E72D297353CC}">
              <c16:uniqueId val="{00000032-C973-40A9-9B84-3BF93160712E}"/>
            </c:ext>
          </c:extLst>
        </c:ser>
        <c:ser>
          <c:idx val="45"/>
          <c:order val="3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paired'!$AA$95,'Simulate paired'!$AB$95)</c:f>
              <c:numCache>
                <c:formatCode>General</c:formatCode>
                <c:ptCount val="2"/>
                <c:pt idx="0">
                  <c:v>#N/A</c:v>
                </c:pt>
                <c:pt idx="1">
                  <c:v>#N/A</c:v>
                </c:pt>
              </c:numCache>
            </c:numRef>
          </c:yVal>
          <c:smooth val="0"/>
          <c:extLst>
            <c:ext xmlns:c16="http://schemas.microsoft.com/office/drawing/2014/chart" uri="{C3380CC4-5D6E-409C-BE32-E72D297353CC}">
              <c16:uniqueId val="{00000033-C973-40A9-9B84-3BF93160712E}"/>
            </c:ext>
          </c:extLst>
        </c:ser>
        <c:ser>
          <c:idx val="46"/>
          <c:order val="4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paired'!$AA$96,'Simulate paired'!$AB$96)</c:f>
              <c:numCache>
                <c:formatCode>General</c:formatCode>
                <c:ptCount val="2"/>
                <c:pt idx="0">
                  <c:v>#N/A</c:v>
                </c:pt>
                <c:pt idx="1">
                  <c:v>#N/A</c:v>
                </c:pt>
              </c:numCache>
            </c:numRef>
          </c:yVal>
          <c:smooth val="0"/>
          <c:extLst>
            <c:ext xmlns:c16="http://schemas.microsoft.com/office/drawing/2014/chart" uri="{C3380CC4-5D6E-409C-BE32-E72D297353CC}">
              <c16:uniqueId val="{00000034-C973-40A9-9B84-3BF93160712E}"/>
            </c:ext>
          </c:extLst>
        </c:ser>
        <c:ser>
          <c:idx val="47"/>
          <c:order val="4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paired'!$AA$97,'Simulate paired'!$AB$97)</c:f>
              <c:numCache>
                <c:formatCode>General</c:formatCode>
                <c:ptCount val="2"/>
                <c:pt idx="0">
                  <c:v>#N/A</c:v>
                </c:pt>
                <c:pt idx="1">
                  <c:v>#N/A</c:v>
                </c:pt>
              </c:numCache>
            </c:numRef>
          </c:yVal>
          <c:smooth val="0"/>
          <c:extLst>
            <c:ext xmlns:c16="http://schemas.microsoft.com/office/drawing/2014/chart" uri="{C3380CC4-5D6E-409C-BE32-E72D297353CC}">
              <c16:uniqueId val="{00000035-C973-40A9-9B84-3BF93160712E}"/>
            </c:ext>
          </c:extLst>
        </c:ser>
        <c:ser>
          <c:idx val="48"/>
          <c:order val="4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paired'!$AA$98,'Simulate paired'!$AB$98)</c:f>
              <c:numCache>
                <c:formatCode>General</c:formatCode>
                <c:ptCount val="2"/>
                <c:pt idx="0">
                  <c:v>#N/A</c:v>
                </c:pt>
                <c:pt idx="1">
                  <c:v>#N/A</c:v>
                </c:pt>
              </c:numCache>
            </c:numRef>
          </c:yVal>
          <c:smooth val="0"/>
          <c:extLst>
            <c:ext xmlns:c16="http://schemas.microsoft.com/office/drawing/2014/chart" uri="{C3380CC4-5D6E-409C-BE32-E72D297353CC}">
              <c16:uniqueId val="{00000036-C973-40A9-9B84-3BF93160712E}"/>
            </c:ext>
          </c:extLst>
        </c:ser>
        <c:ser>
          <c:idx val="49"/>
          <c:order val="4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paired'!$AA$99,'Simulate paired'!$AB$99)</c:f>
              <c:numCache>
                <c:formatCode>General</c:formatCode>
                <c:ptCount val="2"/>
                <c:pt idx="0">
                  <c:v>#N/A</c:v>
                </c:pt>
                <c:pt idx="1">
                  <c:v>#N/A</c:v>
                </c:pt>
              </c:numCache>
            </c:numRef>
          </c:yVal>
          <c:smooth val="0"/>
          <c:extLst>
            <c:ext xmlns:c16="http://schemas.microsoft.com/office/drawing/2014/chart" uri="{C3380CC4-5D6E-409C-BE32-E72D297353CC}">
              <c16:uniqueId val="{00000037-C973-40A9-9B84-3BF93160712E}"/>
            </c:ext>
          </c:extLst>
        </c:ser>
        <c:ser>
          <c:idx val="50"/>
          <c:order val="4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paired'!$AA$100,'Simulate paired'!$AB$100)</c:f>
              <c:numCache>
                <c:formatCode>General</c:formatCode>
                <c:ptCount val="2"/>
                <c:pt idx="0">
                  <c:v>#N/A</c:v>
                </c:pt>
                <c:pt idx="1">
                  <c:v>#N/A</c:v>
                </c:pt>
              </c:numCache>
            </c:numRef>
          </c:yVal>
          <c:smooth val="0"/>
          <c:extLst>
            <c:ext xmlns:c16="http://schemas.microsoft.com/office/drawing/2014/chart" uri="{C3380CC4-5D6E-409C-BE32-E72D297353CC}">
              <c16:uniqueId val="{00000038-C973-40A9-9B84-3BF93160712E}"/>
            </c:ext>
          </c:extLst>
        </c:ser>
        <c:ser>
          <c:idx val="51"/>
          <c:order val="4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paired'!$AA$101,'Simulate paired'!$AB$101)</c:f>
              <c:numCache>
                <c:formatCode>General</c:formatCode>
                <c:ptCount val="2"/>
                <c:pt idx="0">
                  <c:v>#N/A</c:v>
                </c:pt>
                <c:pt idx="1">
                  <c:v>#N/A</c:v>
                </c:pt>
              </c:numCache>
            </c:numRef>
          </c:yVal>
          <c:smooth val="0"/>
          <c:extLst>
            <c:ext xmlns:c16="http://schemas.microsoft.com/office/drawing/2014/chart" uri="{C3380CC4-5D6E-409C-BE32-E72D297353CC}">
              <c16:uniqueId val="{00000039-C973-40A9-9B84-3BF93160712E}"/>
            </c:ext>
          </c:extLst>
        </c:ser>
        <c:ser>
          <c:idx val="52"/>
          <c:order val="4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paired'!$AA$102,'Simulate paired'!$AB$102)</c:f>
              <c:numCache>
                <c:formatCode>General</c:formatCode>
                <c:ptCount val="2"/>
                <c:pt idx="0">
                  <c:v>#N/A</c:v>
                </c:pt>
                <c:pt idx="1">
                  <c:v>#N/A</c:v>
                </c:pt>
              </c:numCache>
            </c:numRef>
          </c:yVal>
          <c:smooth val="0"/>
          <c:extLst>
            <c:ext xmlns:c16="http://schemas.microsoft.com/office/drawing/2014/chart" uri="{C3380CC4-5D6E-409C-BE32-E72D297353CC}">
              <c16:uniqueId val="{0000003A-C973-40A9-9B84-3BF93160712E}"/>
            </c:ext>
          </c:extLst>
        </c:ser>
        <c:ser>
          <c:idx val="53"/>
          <c:order val="4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paired'!$AA$103,'Simulate paired'!$AB$103)</c:f>
              <c:numCache>
                <c:formatCode>General</c:formatCode>
                <c:ptCount val="2"/>
                <c:pt idx="0">
                  <c:v>#N/A</c:v>
                </c:pt>
                <c:pt idx="1">
                  <c:v>#N/A</c:v>
                </c:pt>
              </c:numCache>
            </c:numRef>
          </c:yVal>
          <c:smooth val="0"/>
          <c:extLst>
            <c:ext xmlns:c16="http://schemas.microsoft.com/office/drawing/2014/chart" uri="{C3380CC4-5D6E-409C-BE32-E72D297353CC}">
              <c16:uniqueId val="{0000003B-C973-40A9-9B84-3BF93160712E}"/>
            </c:ext>
          </c:extLst>
        </c:ser>
        <c:ser>
          <c:idx val="54"/>
          <c:order val="4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paired'!$AA$104,'Simulate paired'!$AB$104)</c:f>
              <c:numCache>
                <c:formatCode>General</c:formatCode>
                <c:ptCount val="2"/>
                <c:pt idx="0">
                  <c:v>#N/A</c:v>
                </c:pt>
                <c:pt idx="1">
                  <c:v>#N/A</c:v>
                </c:pt>
              </c:numCache>
            </c:numRef>
          </c:yVal>
          <c:smooth val="0"/>
          <c:extLst>
            <c:ext xmlns:c16="http://schemas.microsoft.com/office/drawing/2014/chart" uri="{C3380CC4-5D6E-409C-BE32-E72D297353CC}">
              <c16:uniqueId val="{0000003C-C973-40A9-9B84-3BF93160712E}"/>
            </c:ext>
          </c:extLst>
        </c:ser>
        <c:ser>
          <c:idx val="55"/>
          <c:order val="4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paired'!$AA$105,'Simulate paired'!$AB$105)</c:f>
              <c:numCache>
                <c:formatCode>General</c:formatCode>
                <c:ptCount val="2"/>
                <c:pt idx="0">
                  <c:v>#N/A</c:v>
                </c:pt>
                <c:pt idx="1">
                  <c:v>#N/A</c:v>
                </c:pt>
              </c:numCache>
            </c:numRef>
          </c:yVal>
          <c:smooth val="0"/>
          <c:extLst>
            <c:ext xmlns:c16="http://schemas.microsoft.com/office/drawing/2014/chart" uri="{C3380CC4-5D6E-409C-BE32-E72D297353CC}">
              <c16:uniqueId val="{0000003D-C973-40A9-9B84-3BF93160712E}"/>
            </c:ext>
          </c:extLst>
        </c:ser>
        <c:ser>
          <c:idx val="56"/>
          <c:order val="5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paired'!$AA$106,'Simulate paired'!$AB$106)</c:f>
              <c:numCache>
                <c:formatCode>General</c:formatCode>
                <c:ptCount val="2"/>
                <c:pt idx="0">
                  <c:v>#N/A</c:v>
                </c:pt>
                <c:pt idx="1">
                  <c:v>#N/A</c:v>
                </c:pt>
              </c:numCache>
            </c:numRef>
          </c:yVal>
          <c:smooth val="0"/>
          <c:extLst>
            <c:ext xmlns:c16="http://schemas.microsoft.com/office/drawing/2014/chart" uri="{C3380CC4-5D6E-409C-BE32-E72D297353CC}">
              <c16:uniqueId val="{0000003E-C973-40A9-9B84-3BF93160712E}"/>
            </c:ext>
          </c:extLst>
        </c:ser>
        <c:ser>
          <c:idx val="57"/>
          <c:order val="5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paired'!$AA$107,'Simulate paired'!$AB$107)</c:f>
              <c:numCache>
                <c:formatCode>General</c:formatCode>
                <c:ptCount val="2"/>
                <c:pt idx="0">
                  <c:v>#N/A</c:v>
                </c:pt>
                <c:pt idx="1">
                  <c:v>#N/A</c:v>
                </c:pt>
              </c:numCache>
            </c:numRef>
          </c:yVal>
          <c:smooth val="0"/>
          <c:extLst>
            <c:ext xmlns:c16="http://schemas.microsoft.com/office/drawing/2014/chart" uri="{C3380CC4-5D6E-409C-BE32-E72D297353CC}">
              <c16:uniqueId val="{0000003F-C973-40A9-9B84-3BF93160712E}"/>
            </c:ext>
          </c:extLst>
        </c:ser>
        <c:ser>
          <c:idx val="58"/>
          <c:order val="5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paired'!$AA$108,'Simulate paired'!$AB$108)</c:f>
              <c:numCache>
                <c:formatCode>General</c:formatCode>
                <c:ptCount val="2"/>
                <c:pt idx="0">
                  <c:v>#N/A</c:v>
                </c:pt>
                <c:pt idx="1">
                  <c:v>#N/A</c:v>
                </c:pt>
              </c:numCache>
            </c:numRef>
          </c:yVal>
          <c:smooth val="0"/>
          <c:extLst>
            <c:ext xmlns:c16="http://schemas.microsoft.com/office/drawing/2014/chart" uri="{C3380CC4-5D6E-409C-BE32-E72D297353CC}">
              <c16:uniqueId val="{00000040-C973-40A9-9B84-3BF93160712E}"/>
            </c:ext>
          </c:extLst>
        </c:ser>
        <c:ser>
          <c:idx val="59"/>
          <c:order val="5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paired'!$AA$109,'Simulate paired'!$AB$109)</c:f>
              <c:numCache>
                <c:formatCode>General</c:formatCode>
                <c:ptCount val="2"/>
                <c:pt idx="0">
                  <c:v>#N/A</c:v>
                </c:pt>
                <c:pt idx="1">
                  <c:v>#N/A</c:v>
                </c:pt>
              </c:numCache>
            </c:numRef>
          </c:yVal>
          <c:smooth val="0"/>
          <c:extLst>
            <c:ext xmlns:c16="http://schemas.microsoft.com/office/drawing/2014/chart" uri="{C3380CC4-5D6E-409C-BE32-E72D297353CC}">
              <c16:uniqueId val="{00000041-C973-40A9-9B84-3BF93160712E}"/>
            </c:ext>
          </c:extLst>
        </c:ser>
        <c:ser>
          <c:idx val="60"/>
          <c:order val="5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paired'!$AA$110,'Simulate paired'!$AB$110)</c:f>
              <c:numCache>
                <c:formatCode>General</c:formatCode>
                <c:ptCount val="2"/>
                <c:pt idx="0">
                  <c:v>#N/A</c:v>
                </c:pt>
                <c:pt idx="1">
                  <c:v>#N/A</c:v>
                </c:pt>
              </c:numCache>
            </c:numRef>
          </c:yVal>
          <c:smooth val="0"/>
          <c:extLst>
            <c:ext xmlns:c16="http://schemas.microsoft.com/office/drawing/2014/chart" uri="{C3380CC4-5D6E-409C-BE32-E72D297353CC}">
              <c16:uniqueId val="{00000042-C973-40A9-9B84-3BF93160712E}"/>
            </c:ext>
          </c:extLst>
        </c:ser>
        <c:ser>
          <c:idx val="61"/>
          <c:order val="5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paired'!$AA$111,'Simulate paired'!$AB$111)</c:f>
              <c:numCache>
                <c:formatCode>General</c:formatCode>
                <c:ptCount val="2"/>
                <c:pt idx="0">
                  <c:v>#N/A</c:v>
                </c:pt>
                <c:pt idx="1">
                  <c:v>#N/A</c:v>
                </c:pt>
              </c:numCache>
            </c:numRef>
          </c:yVal>
          <c:smooth val="0"/>
          <c:extLst>
            <c:ext xmlns:c16="http://schemas.microsoft.com/office/drawing/2014/chart" uri="{C3380CC4-5D6E-409C-BE32-E72D297353CC}">
              <c16:uniqueId val="{00000043-C973-40A9-9B84-3BF93160712E}"/>
            </c:ext>
          </c:extLst>
        </c:ser>
        <c:ser>
          <c:idx val="62"/>
          <c:order val="5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paired'!$AA$112,'Simulate paired'!$AB$112)</c:f>
              <c:numCache>
                <c:formatCode>General</c:formatCode>
                <c:ptCount val="2"/>
                <c:pt idx="0">
                  <c:v>#N/A</c:v>
                </c:pt>
                <c:pt idx="1">
                  <c:v>#N/A</c:v>
                </c:pt>
              </c:numCache>
            </c:numRef>
          </c:yVal>
          <c:smooth val="0"/>
          <c:extLst>
            <c:ext xmlns:c16="http://schemas.microsoft.com/office/drawing/2014/chart" uri="{C3380CC4-5D6E-409C-BE32-E72D297353CC}">
              <c16:uniqueId val="{00000044-C973-40A9-9B84-3BF93160712E}"/>
            </c:ext>
          </c:extLst>
        </c:ser>
        <c:ser>
          <c:idx val="63"/>
          <c:order val="5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paired'!$AA$113,'Simulate paired'!$AB$113)</c:f>
              <c:numCache>
                <c:formatCode>General</c:formatCode>
                <c:ptCount val="2"/>
                <c:pt idx="0">
                  <c:v>#N/A</c:v>
                </c:pt>
                <c:pt idx="1">
                  <c:v>#N/A</c:v>
                </c:pt>
              </c:numCache>
            </c:numRef>
          </c:yVal>
          <c:smooth val="0"/>
          <c:extLst>
            <c:ext xmlns:c16="http://schemas.microsoft.com/office/drawing/2014/chart" uri="{C3380CC4-5D6E-409C-BE32-E72D297353CC}">
              <c16:uniqueId val="{00000045-C973-40A9-9B84-3BF93160712E}"/>
            </c:ext>
          </c:extLst>
        </c:ser>
        <c:ser>
          <c:idx val="64"/>
          <c:order val="5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paired'!$AA$114,'Simulate paired'!$AB$114)</c:f>
              <c:numCache>
                <c:formatCode>General</c:formatCode>
                <c:ptCount val="2"/>
                <c:pt idx="0">
                  <c:v>#N/A</c:v>
                </c:pt>
                <c:pt idx="1">
                  <c:v>#N/A</c:v>
                </c:pt>
              </c:numCache>
            </c:numRef>
          </c:yVal>
          <c:smooth val="0"/>
          <c:extLst>
            <c:ext xmlns:c16="http://schemas.microsoft.com/office/drawing/2014/chart" uri="{C3380CC4-5D6E-409C-BE32-E72D297353CC}">
              <c16:uniqueId val="{00000046-C973-40A9-9B84-3BF93160712E}"/>
            </c:ext>
          </c:extLst>
        </c:ser>
        <c:ser>
          <c:idx val="65"/>
          <c:order val="5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paired'!$AA$115,'Simulate paired'!$AB$115)</c:f>
              <c:numCache>
                <c:formatCode>General</c:formatCode>
                <c:ptCount val="2"/>
                <c:pt idx="0">
                  <c:v>#N/A</c:v>
                </c:pt>
                <c:pt idx="1">
                  <c:v>#N/A</c:v>
                </c:pt>
              </c:numCache>
            </c:numRef>
          </c:yVal>
          <c:smooth val="0"/>
          <c:extLst>
            <c:ext xmlns:c16="http://schemas.microsoft.com/office/drawing/2014/chart" uri="{C3380CC4-5D6E-409C-BE32-E72D297353CC}">
              <c16:uniqueId val="{00000047-C973-40A9-9B84-3BF93160712E}"/>
            </c:ext>
          </c:extLst>
        </c:ser>
        <c:ser>
          <c:idx val="66"/>
          <c:order val="6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paired'!$AA$116,'Simulate paired'!$AB$116)</c:f>
              <c:numCache>
                <c:formatCode>General</c:formatCode>
                <c:ptCount val="2"/>
                <c:pt idx="0">
                  <c:v>#N/A</c:v>
                </c:pt>
                <c:pt idx="1">
                  <c:v>#N/A</c:v>
                </c:pt>
              </c:numCache>
            </c:numRef>
          </c:yVal>
          <c:smooth val="0"/>
          <c:extLst>
            <c:ext xmlns:c16="http://schemas.microsoft.com/office/drawing/2014/chart" uri="{C3380CC4-5D6E-409C-BE32-E72D297353CC}">
              <c16:uniqueId val="{00000048-C973-40A9-9B84-3BF93160712E}"/>
            </c:ext>
          </c:extLst>
        </c:ser>
        <c:ser>
          <c:idx val="67"/>
          <c:order val="6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paired'!$AA$117,'Simulate paired'!$AB$117)</c:f>
              <c:numCache>
                <c:formatCode>General</c:formatCode>
                <c:ptCount val="2"/>
                <c:pt idx="0">
                  <c:v>#N/A</c:v>
                </c:pt>
                <c:pt idx="1">
                  <c:v>#N/A</c:v>
                </c:pt>
              </c:numCache>
            </c:numRef>
          </c:yVal>
          <c:smooth val="0"/>
          <c:extLst>
            <c:ext xmlns:c16="http://schemas.microsoft.com/office/drawing/2014/chart" uri="{C3380CC4-5D6E-409C-BE32-E72D297353CC}">
              <c16:uniqueId val="{00000049-C973-40A9-9B84-3BF93160712E}"/>
            </c:ext>
          </c:extLst>
        </c:ser>
        <c:ser>
          <c:idx val="68"/>
          <c:order val="6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paired'!$AA$118,'Simulate paired'!$AB$118)</c:f>
              <c:numCache>
                <c:formatCode>General</c:formatCode>
                <c:ptCount val="2"/>
                <c:pt idx="0">
                  <c:v>#N/A</c:v>
                </c:pt>
                <c:pt idx="1">
                  <c:v>#N/A</c:v>
                </c:pt>
              </c:numCache>
            </c:numRef>
          </c:yVal>
          <c:smooth val="0"/>
          <c:extLst>
            <c:ext xmlns:c16="http://schemas.microsoft.com/office/drawing/2014/chart" uri="{C3380CC4-5D6E-409C-BE32-E72D297353CC}">
              <c16:uniqueId val="{0000004A-C973-40A9-9B84-3BF93160712E}"/>
            </c:ext>
          </c:extLst>
        </c:ser>
        <c:ser>
          <c:idx val="69"/>
          <c:order val="6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paired'!$AA$119,'Simulate paired'!$AB$119)</c:f>
              <c:numCache>
                <c:formatCode>General</c:formatCode>
                <c:ptCount val="2"/>
                <c:pt idx="0">
                  <c:v>#N/A</c:v>
                </c:pt>
                <c:pt idx="1">
                  <c:v>#N/A</c:v>
                </c:pt>
              </c:numCache>
            </c:numRef>
          </c:yVal>
          <c:smooth val="0"/>
          <c:extLst>
            <c:ext xmlns:c16="http://schemas.microsoft.com/office/drawing/2014/chart" uri="{C3380CC4-5D6E-409C-BE32-E72D297353CC}">
              <c16:uniqueId val="{0000004B-C973-40A9-9B84-3BF93160712E}"/>
            </c:ext>
          </c:extLst>
        </c:ser>
        <c:ser>
          <c:idx val="70"/>
          <c:order val="6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paired'!$AA$120,'Simulate paired'!$AB$120)</c:f>
              <c:numCache>
                <c:formatCode>General</c:formatCode>
                <c:ptCount val="2"/>
                <c:pt idx="0">
                  <c:v>#N/A</c:v>
                </c:pt>
                <c:pt idx="1">
                  <c:v>#N/A</c:v>
                </c:pt>
              </c:numCache>
            </c:numRef>
          </c:yVal>
          <c:smooth val="0"/>
          <c:extLst>
            <c:ext xmlns:c16="http://schemas.microsoft.com/office/drawing/2014/chart" uri="{C3380CC4-5D6E-409C-BE32-E72D297353CC}">
              <c16:uniqueId val="{0000004C-C973-40A9-9B84-3BF93160712E}"/>
            </c:ext>
          </c:extLst>
        </c:ser>
        <c:ser>
          <c:idx val="71"/>
          <c:order val="6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paired'!$AA$121,'Simulate paired'!$AB$121)</c:f>
              <c:numCache>
                <c:formatCode>General</c:formatCode>
                <c:ptCount val="2"/>
                <c:pt idx="0">
                  <c:v>#N/A</c:v>
                </c:pt>
                <c:pt idx="1">
                  <c:v>#N/A</c:v>
                </c:pt>
              </c:numCache>
            </c:numRef>
          </c:yVal>
          <c:smooth val="0"/>
          <c:extLst>
            <c:ext xmlns:c16="http://schemas.microsoft.com/office/drawing/2014/chart" uri="{C3380CC4-5D6E-409C-BE32-E72D297353CC}">
              <c16:uniqueId val="{0000004D-C973-40A9-9B84-3BF93160712E}"/>
            </c:ext>
          </c:extLst>
        </c:ser>
        <c:ser>
          <c:idx val="72"/>
          <c:order val="6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paired'!$AA$122,'Simulate paired'!$AB$122)</c:f>
              <c:numCache>
                <c:formatCode>General</c:formatCode>
                <c:ptCount val="2"/>
                <c:pt idx="0">
                  <c:v>#N/A</c:v>
                </c:pt>
                <c:pt idx="1">
                  <c:v>#N/A</c:v>
                </c:pt>
              </c:numCache>
            </c:numRef>
          </c:yVal>
          <c:smooth val="0"/>
          <c:extLst>
            <c:ext xmlns:c16="http://schemas.microsoft.com/office/drawing/2014/chart" uri="{C3380CC4-5D6E-409C-BE32-E72D297353CC}">
              <c16:uniqueId val="{0000004E-C973-40A9-9B84-3BF93160712E}"/>
            </c:ext>
          </c:extLst>
        </c:ser>
        <c:ser>
          <c:idx val="73"/>
          <c:order val="6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paired'!$AA$123,'Simulate paired'!$AB$123)</c:f>
              <c:numCache>
                <c:formatCode>General</c:formatCode>
                <c:ptCount val="2"/>
                <c:pt idx="0">
                  <c:v>#N/A</c:v>
                </c:pt>
                <c:pt idx="1">
                  <c:v>#N/A</c:v>
                </c:pt>
              </c:numCache>
            </c:numRef>
          </c:yVal>
          <c:smooth val="0"/>
          <c:extLst>
            <c:ext xmlns:c16="http://schemas.microsoft.com/office/drawing/2014/chart" uri="{C3380CC4-5D6E-409C-BE32-E72D297353CC}">
              <c16:uniqueId val="{0000004F-C973-40A9-9B84-3BF93160712E}"/>
            </c:ext>
          </c:extLst>
        </c:ser>
        <c:ser>
          <c:idx val="74"/>
          <c:order val="6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paired'!$AA$124,'Simulate paired'!$AB$124)</c:f>
              <c:numCache>
                <c:formatCode>General</c:formatCode>
                <c:ptCount val="2"/>
                <c:pt idx="0">
                  <c:v>#N/A</c:v>
                </c:pt>
                <c:pt idx="1">
                  <c:v>#N/A</c:v>
                </c:pt>
              </c:numCache>
            </c:numRef>
          </c:yVal>
          <c:smooth val="0"/>
          <c:extLst>
            <c:ext xmlns:c16="http://schemas.microsoft.com/office/drawing/2014/chart" uri="{C3380CC4-5D6E-409C-BE32-E72D297353CC}">
              <c16:uniqueId val="{00000050-C973-40A9-9B84-3BF93160712E}"/>
            </c:ext>
          </c:extLst>
        </c:ser>
        <c:ser>
          <c:idx val="75"/>
          <c:order val="6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paired'!$AA$125,'Simulate paired'!$AB$125)</c:f>
              <c:numCache>
                <c:formatCode>General</c:formatCode>
                <c:ptCount val="2"/>
                <c:pt idx="0">
                  <c:v>#N/A</c:v>
                </c:pt>
                <c:pt idx="1">
                  <c:v>#N/A</c:v>
                </c:pt>
              </c:numCache>
            </c:numRef>
          </c:yVal>
          <c:smooth val="0"/>
          <c:extLst>
            <c:ext xmlns:c16="http://schemas.microsoft.com/office/drawing/2014/chart" uri="{C3380CC4-5D6E-409C-BE32-E72D297353CC}">
              <c16:uniqueId val="{00000051-C973-40A9-9B84-3BF93160712E}"/>
            </c:ext>
          </c:extLst>
        </c:ser>
        <c:ser>
          <c:idx val="76"/>
          <c:order val="7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paired'!$AA$126,'Simulate paired'!$AB$126)</c:f>
              <c:numCache>
                <c:formatCode>General</c:formatCode>
                <c:ptCount val="2"/>
                <c:pt idx="0">
                  <c:v>#N/A</c:v>
                </c:pt>
                <c:pt idx="1">
                  <c:v>#N/A</c:v>
                </c:pt>
              </c:numCache>
            </c:numRef>
          </c:yVal>
          <c:smooth val="0"/>
          <c:extLst>
            <c:ext xmlns:c16="http://schemas.microsoft.com/office/drawing/2014/chart" uri="{C3380CC4-5D6E-409C-BE32-E72D297353CC}">
              <c16:uniqueId val="{00000052-C973-40A9-9B84-3BF93160712E}"/>
            </c:ext>
          </c:extLst>
        </c:ser>
        <c:ser>
          <c:idx val="77"/>
          <c:order val="7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paired'!$AA$127,'Simulate paired'!$AB$127)</c:f>
              <c:numCache>
                <c:formatCode>General</c:formatCode>
                <c:ptCount val="2"/>
                <c:pt idx="0">
                  <c:v>#N/A</c:v>
                </c:pt>
                <c:pt idx="1">
                  <c:v>#N/A</c:v>
                </c:pt>
              </c:numCache>
            </c:numRef>
          </c:yVal>
          <c:smooth val="0"/>
          <c:extLst>
            <c:ext xmlns:c16="http://schemas.microsoft.com/office/drawing/2014/chart" uri="{C3380CC4-5D6E-409C-BE32-E72D297353CC}">
              <c16:uniqueId val="{00000053-C973-40A9-9B84-3BF93160712E}"/>
            </c:ext>
          </c:extLst>
        </c:ser>
        <c:ser>
          <c:idx val="78"/>
          <c:order val="7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paired'!$AA$128,'Simulate paired'!$AB$128)</c:f>
              <c:numCache>
                <c:formatCode>General</c:formatCode>
                <c:ptCount val="2"/>
                <c:pt idx="0">
                  <c:v>#N/A</c:v>
                </c:pt>
                <c:pt idx="1">
                  <c:v>#N/A</c:v>
                </c:pt>
              </c:numCache>
            </c:numRef>
          </c:yVal>
          <c:smooth val="0"/>
          <c:extLst>
            <c:ext xmlns:c16="http://schemas.microsoft.com/office/drawing/2014/chart" uri="{C3380CC4-5D6E-409C-BE32-E72D297353CC}">
              <c16:uniqueId val="{00000054-C973-40A9-9B84-3BF93160712E}"/>
            </c:ext>
          </c:extLst>
        </c:ser>
        <c:ser>
          <c:idx val="79"/>
          <c:order val="7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paired'!$AA$129,'Simulate paired'!$AB$129)</c:f>
              <c:numCache>
                <c:formatCode>General</c:formatCode>
                <c:ptCount val="2"/>
                <c:pt idx="0">
                  <c:v>#N/A</c:v>
                </c:pt>
                <c:pt idx="1">
                  <c:v>#N/A</c:v>
                </c:pt>
              </c:numCache>
            </c:numRef>
          </c:yVal>
          <c:smooth val="0"/>
          <c:extLst>
            <c:ext xmlns:c16="http://schemas.microsoft.com/office/drawing/2014/chart" uri="{C3380CC4-5D6E-409C-BE32-E72D297353CC}">
              <c16:uniqueId val="{00000055-C973-40A9-9B84-3BF93160712E}"/>
            </c:ext>
          </c:extLst>
        </c:ser>
        <c:ser>
          <c:idx val="80"/>
          <c:order val="7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paired'!$AA$130,'Simulate paired'!$AB$130)</c:f>
              <c:numCache>
                <c:formatCode>General</c:formatCode>
                <c:ptCount val="2"/>
                <c:pt idx="0">
                  <c:v>#N/A</c:v>
                </c:pt>
                <c:pt idx="1">
                  <c:v>#N/A</c:v>
                </c:pt>
              </c:numCache>
            </c:numRef>
          </c:yVal>
          <c:smooth val="0"/>
          <c:extLst>
            <c:ext xmlns:c16="http://schemas.microsoft.com/office/drawing/2014/chart" uri="{C3380CC4-5D6E-409C-BE32-E72D297353CC}">
              <c16:uniqueId val="{00000056-C973-40A9-9B84-3BF93160712E}"/>
            </c:ext>
          </c:extLst>
        </c:ser>
        <c:ser>
          <c:idx val="81"/>
          <c:order val="7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paired'!$AA$131,'Simulate paired'!$AB$131)</c:f>
              <c:numCache>
                <c:formatCode>General</c:formatCode>
                <c:ptCount val="2"/>
                <c:pt idx="0">
                  <c:v>#N/A</c:v>
                </c:pt>
                <c:pt idx="1">
                  <c:v>#N/A</c:v>
                </c:pt>
              </c:numCache>
            </c:numRef>
          </c:yVal>
          <c:smooth val="0"/>
          <c:extLst>
            <c:ext xmlns:c16="http://schemas.microsoft.com/office/drawing/2014/chart" uri="{C3380CC4-5D6E-409C-BE32-E72D297353CC}">
              <c16:uniqueId val="{00000057-C973-40A9-9B84-3BF93160712E}"/>
            </c:ext>
          </c:extLst>
        </c:ser>
        <c:ser>
          <c:idx val="82"/>
          <c:order val="7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paired'!$AA$132,'Simulate paired'!$AB$132)</c:f>
              <c:numCache>
                <c:formatCode>General</c:formatCode>
                <c:ptCount val="2"/>
                <c:pt idx="0">
                  <c:v>#N/A</c:v>
                </c:pt>
                <c:pt idx="1">
                  <c:v>#N/A</c:v>
                </c:pt>
              </c:numCache>
            </c:numRef>
          </c:yVal>
          <c:smooth val="0"/>
          <c:extLst>
            <c:ext xmlns:c16="http://schemas.microsoft.com/office/drawing/2014/chart" uri="{C3380CC4-5D6E-409C-BE32-E72D297353CC}">
              <c16:uniqueId val="{00000058-C973-40A9-9B84-3BF93160712E}"/>
            </c:ext>
          </c:extLst>
        </c:ser>
        <c:ser>
          <c:idx val="83"/>
          <c:order val="7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paired'!$AA$133,'Simulate paired'!$AB$133)</c:f>
              <c:numCache>
                <c:formatCode>General</c:formatCode>
                <c:ptCount val="2"/>
                <c:pt idx="0">
                  <c:v>#N/A</c:v>
                </c:pt>
                <c:pt idx="1">
                  <c:v>#N/A</c:v>
                </c:pt>
              </c:numCache>
            </c:numRef>
          </c:yVal>
          <c:smooth val="0"/>
          <c:extLst>
            <c:ext xmlns:c16="http://schemas.microsoft.com/office/drawing/2014/chart" uri="{C3380CC4-5D6E-409C-BE32-E72D297353CC}">
              <c16:uniqueId val="{00000059-C973-40A9-9B84-3BF93160712E}"/>
            </c:ext>
          </c:extLst>
        </c:ser>
        <c:ser>
          <c:idx val="84"/>
          <c:order val="7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paired'!$AA$134,'Simulate paired'!$AB$134)</c:f>
              <c:numCache>
                <c:formatCode>General</c:formatCode>
                <c:ptCount val="2"/>
                <c:pt idx="0">
                  <c:v>#N/A</c:v>
                </c:pt>
                <c:pt idx="1">
                  <c:v>#N/A</c:v>
                </c:pt>
              </c:numCache>
            </c:numRef>
          </c:yVal>
          <c:smooth val="0"/>
          <c:extLst>
            <c:ext xmlns:c16="http://schemas.microsoft.com/office/drawing/2014/chart" uri="{C3380CC4-5D6E-409C-BE32-E72D297353CC}">
              <c16:uniqueId val="{0000005A-C973-40A9-9B84-3BF93160712E}"/>
            </c:ext>
          </c:extLst>
        </c:ser>
        <c:ser>
          <c:idx val="85"/>
          <c:order val="7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paired'!$AA$135,'Simulate paired'!$AB$135)</c:f>
              <c:numCache>
                <c:formatCode>General</c:formatCode>
                <c:ptCount val="2"/>
                <c:pt idx="0">
                  <c:v>#N/A</c:v>
                </c:pt>
                <c:pt idx="1">
                  <c:v>#N/A</c:v>
                </c:pt>
              </c:numCache>
            </c:numRef>
          </c:yVal>
          <c:smooth val="0"/>
          <c:extLst>
            <c:ext xmlns:c16="http://schemas.microsoft.com/office/drawing/2014/chart" uri="{C3380CC4-5D6E-409C-BE32-E72D297353CC}">
              <c16:uniqueId val="{0000005B-C973-40A9-9B84-3BF93160712E}"/>
            </c:ext>
          </c:extLst>
        </c:ser>
        <c:ser>
          <c:idx val="86"/>
          <c:order val="8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paired'!$AA$136,'Simulate paired'!$AB$136)</c:f>
              <c:numCache>
                <c:formatCode>General</c:formatCode>
                <c:ptCount val="2"/>
                <c:pt idx="0">
                  <c:v>#N/A</c:v>
                </c:pt>
                <c:pt idx="1">
                  <c:v>#N/A</c:v>
                </c:pt>
              </c:numCache>
            </c:numRef>
          </c:yVal>
          <c:smooth val="0"/>
          <c:extLst>
            <c:ext xmlns:c16="http://schemas.microsoft.com/office/drawing/2014/chart" uri="{C3380CC4-5D6E-409C-BE32-E72D297353CC}">
              <c16:uniqueId val="{0000005C-C973-40A9-9B84-3BF93160712E}"/>
            </c:ext>
          </c:extLst>
        </c:ser>
        <c:ser>
          <c:idx val="87"/>
          <c:order val="81"/>
          <c:spPr>
            <a:ln w="12700">
              <a:solidFill>
                <a:srgbClr val="FFFFFF"/>
              </a:solidFill>
              <a:prstDash val="solid"/>
            </a:ln>
          </c:spPr>
          <c:marker>
            <c:symbol val="plus"/>
            <c:size val="5"/>
            <c:spPr>
              <a:noFill/>
              <a:ln>
                <a:solidFill>
                  <a:srgbClr val="FFFFFF"/>
                </a:solidFill>
                <a:prstDash val="solid"/>
              </a:ln>
            </c:spPr>
          </c:marker>
          <c:xVal>
            <c:strRef>
              <c:f>'Simulate paired'!$Z$9:$AA$9</c:f>
              <c:strCache>
                <c:ptCount val="2"/>
                <c:pt idx="0">
                  <c:v>Measure 1</c:v>
                </c:pt>
                <c:pt idx="1">
                  <c:v>Measure 2</c:v>
                </c:pt>
              </c:strCache>
            </c:strRef>
          </c:xVal>
          <c:yVal>
            <c:numRef>
              <c:f>('Simulate paired'!$AA$137,'Simulate paired'!$AB$137)</c:f>
              <c:numCache>
                <c:formatCode>General</c:formatCode>
                <c:ptCount val="2"/>
                <c:pt idx="0">
                  <c:v>#N/A</c:v>
                </c:pt>
                <c:pt idx="1">
                  <c:v>#N/A</c:v>
                </c:pt>
              </c:numCache>
            </c:numRef>
          </c:yVal>
          <c:smooth val="0"/>
          <c:extLst>
            <c:ext xmlns:c16="http://schemas.microsoft.com/office/drawing/2014/chart" uri="{C3380CC4-5D6E-409C-BE32-E72D297353CC}">
              <c16:uniqueId val="{0000005D-C973-40A9-9B84-3BF93160712E}"/>
            </c:ext>
          </c:extLst>
        </c:ser>
        <c:ser>
          <c:idx val="88"/>
          <c:order val="8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paired'!$AA$138,'Simulate paired'!$AB$138)</c:f>
              <c:numCache>
                <c:formatCode>General</c:formatCode>
                <c:ptCount val="2"/>
                <c:pt idx="0">
                  <c:v>#N/A</c:v>
                </c:pt>
                <c:pt idx="1">
                  <c:v>#N/A</c:v>
                </c:pt>
              </c:numCache>
            </c:numRef>
          </c:yVal>
          <c:smooth val="0"/>
          <c:extLst>
            <c:ext xmlns:c16="http://schemas.microsoft.com/office/drawing/2014/chart" uri="{C3380CC4-5D6E-409C-BE32-E72D297353CC}">
              <c16:uniqueId val="{0000005E-C973-40A9-9B84-3BF93160712E}"/>
            </c:ext>
          </c:extLst>
        </c:ser>
        <c:ser>
          <c:idx val="89"/>
          <c:order val="8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paired'!$AA$139,'Simulate paired'!$AB$139)</c:f>
              <c:numCache>
                <c:formatCode>General</c:formatCode>
                <c:ptCount val="2"/>
                <c:pt idx="0">
                  <c:v>#N/A</c:v>
                </c:pt>
                <c:pt idx="1">
                  <c:v>#N/A</c:v>
                </c:pt>
              </c:numCache>
            </c:numRef>
          </c:yVal>
          <c:smooth val="0"/>
          <c:extLst>
            <c:ext xmlns:c16="http://schemas.microsoft.com/office/drawing/2014/chart" uri="{C3380CC4-5D6E-409C-BE32-E72D297353CC}">
              <c16:uniqueId val="{0000005F-C973-40A9-9B84-3BF93160712E}"/>
            </c:ext>
          </c:extLst>
        </c:ser>
        <c:ser>
          <c:idx val="90"/>
          <c:order val="8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paired'!$AA$140,'Simulate paired'!$AB$140)</c:f>
              <c:numCache>
                <c:formatCode>General</c:formatCode>
                <c:ptCount val="2"/>
                <c:pt idx="0">
                  <c:v>#N/A</c:v>
                </c:pt>
                <c:pt idx="1">
                  <c:v>#N/A</c:v>
                </c:pt>
              </c:numCache>
            </c:numRef>
          </c:yVal>
          <c:smooth val="0"/>
          <c:extLst>
            <c:ext xmlns:c16="http://schemas.microsoft.com/office/drawing/2014/chart" uri="{C3380CC4-5D6E-409C-BE32-E72D297353CC}">
              <c16:uniqueId val="{00000060-C973-40A9-9B84-3BF93160712E}"/>
            </c:ext>
          </c:extLst>
        </c:ser>
        <c:ser>
          <c:idx val="91"/>
          <c:order val="8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paired'!$AA$141,'Simulate paired'!$AB$141)</c:f>
              <c:numCache>
                <c:formatCode>General</c:formatCode>
                <c:ptCount val="2"/>
                <c:pt idx="0">
                  <c:v>#N/A</c:v>
                </c:pt>
                <c:pt idx="1">
                  <c:v>#N/A</c:v>
                </c:pt>
              </c:numCache>
            </c:numRef>
          </c:yVal>
          <c:smooth val="0"/>
          <c:extLst>
            <c:ext xmlns:c16="http://schemas.microsoft.com/office/drawing/2014/chart" uri="{C3380CC4-5D6E-409C-BE32-E72D297353CC}">
              <c16:uniqueId val="{00000061-C973-40A9-9B84-3BF93160712E}"/>
            </c:ext>
          </c:extLst>
        </c:ser>
        <c:ser>
          <c:idx val="92"/>
          <c:order val="8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paired'!$AA$142,'Simulate paired'!$AB$142)</c:f>
              <c:numCache>
                <c:formatCode>General</c:formatCode>
                <c:ptCount val="2"/>
                <c:pt idx="0">
                  <c:v>#N/A</c:v>
                </c:pt>
                <c:pt idx="1">
                  <c:v>#N/A</c:v>
                </c:pt>
              </c:numCache>
            </c:numRef>
          </c:yVal>
          <c:smooth val="0"/>
          <c:extLst>
            <c:ext xmlns:c16="http://schemas.microsoft.com/office/drawing/2014/chart" uri="{C3380CC4-5D6E-409C-BE32-E72D297353CC}">
              <c16:uniqueId val="{00000062-C973-40A9-9B84-3BF93160712E}"/>
            </c:ext>
          </c:extLst>
        </c:ser>
        <c:ser>
          <c:idx val="93"/>
          <c:order val="8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paired'!$AA$143,'Simulate paired'!$AB$143)</c:f>
              <c:numCache>
                <c:formatCode>General</c:formatCode>
                <c:ptCount val="2"/>
                <c:pt idx="0">
                  <c:v>#N/A</c:v>
                </c:pt>
                <c:pt idx="1">
                  <c:v>#N/A</c:v>
                </c:pt>
              </c:numCache>
            </c:numRef>
          </c:yVal>
          <c:smooth val="0"/>
          <c:extLst>
            <c:ext xmlns:c16="http://schemas.microsoft.com/office/drawing/2014/chart" uri="{C3380CC4-5D6E-409C-BE32-E72D297353CC}">
              <c16:uniqueId val="{00000063-C973-40A9-9B84-3BF93160712E}"/>
            </c:ext>
          </c:extLst>
        </c:ser>
        <c:ser>
          <c:idx val="94"/>
          <c:order val="8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paired'!$AA$144,'Simulate paired'!$AB$144)</c:f>
              <c:numCache>
                <c:formatCode>General</c:formatCode>
                <c:ptCount val="2"/>
                <c:pt idx="0">
                  <c:v>#N/A</c:v>
                </c:pt>
                <c:pt idx="1">
                  <c:v>#N/A</c:v>
                </c:pt>
              </c:numCache>
            </c:numRef>
          </c:yVal>
          <c:smooth val="0"/>
          <c:extLst>
            <c:ext xmlns:c16="http://schemas.microsoft.com/office/drawing/2014/chart" uri="{C3380CC4-5D6E-409C-BE32-E72D297353CC}">
              <c16:uniqueId val="{00000064-C973-40A9-9B84-3BF93160712E}"/>
            </c:ext>
          </c:extLst>
        </c:ser>
        <c:ser>
          <c:idx val="95"/>
          <c:order val="8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paired'!$AA$145,'Simulate paired'!$AB$145)</c:f>
              <c:numCache>
                <c:formatCode>General</c:formatCode>
                <c:ptCount val="2"/>
                <c:pt idx="0">
                  <c:v>#N/A</c:v>
                </c:pt>
                <c:pt idx="1">
                  <c:v>#N/A</c:v>
                </c:pt>
              </c:numCache>
            </c:numRef>
          </c:yVal>
          <c:smooth val="0"/>
          <c:extLst>
            <c:ext xmlns:c16="http://schemas.microsoft.com/office/drawing/2014/chart" uri="{C3380CC4-5D6E-409C-BE32-E72D297353CC}">
              <c16:uniqueId val="{00000065-C973-40A9-9B84-3BF93160712E}"/>
            </c:ext>
          </c:extLst>
        </c:ser>
        <c:ser>
          <c:idx val="96"/>
          <c:order val="9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paired'!$AA$146,'Simulate paired'!$AB$146)</c:f>
              <c:numCache>
                <c:formatCode>General</c:formatCode>
                <c:ptCount val="2"/>
                <c:pt idx="0">
                  <c:v>#N/A</c:v>
                </c:pt>
                <c:pt idx="1">
                  <c:v>#N/A</c:v>
                </c:pt>
              </c:numCache>
            </c:numRef>
          </c:yVal>
          <c:smooth val="0"/>
          <c:extLst>
            <c:ext xmlns:c16="http://schemas.microsoft.com/office/drawing/2014/chart" uri="{C3380CC4-5D6E-409C-BE32-E72D297353CC}">
              <c16:uniqueId val="{00000066-C973-40A9-9B84-3BF93160712E}"/>
            </c:ext>
          </c:extLst>
        </c:ser>
        <c:ser>
          <c:idx val="97"/>
          <c:order val="9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paired'!$AA$147,'Simulate paired'!$AB$147)</c:f>
              <c:numCache>
                <c:formatCode>General</c:formatCode>
                <c:ptCount val="2"/>
                <c:pt idx="0">
                  <c:v>#N/A</c:v>
                </c:pt>
                <c:pt idx="1">
                  <c:v>#N/A</c:v>
                </c:pt>
              </c:numCache>
            </c:numRef>
          </c:yVal>
          <c:smooth val="0"/>
          <c:extLst>
            <c:ext xmlns:c16="http://schemas.microsoft.com/office/drawing/2014/chart" uri="{C3380CC4-5D6E-409C-BE32-E72D297353CC}">
              <c16:uniqueId val="{00000067-C973-40A9-9B84-3BF93160712E}"/>
            </c:ext>
          </c:extLst>
        </c:ser>
        <c:ser>
          <c:idx val="98"/>
          <c:order val="9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paired'!$AA$148,'Simulate paired'!$AB$148)</c:f>
              <c:numCache>
                <c:formatCode>General</c:formatCode>
                <c:ptCount val="2"/>
                <c:pt idx="0">
                  <c:v>#N/A</c:v>
                </c:pt>
                <c:pt idx="1">
                  <c:v>#N/A</c:v>
                </c:pt>
              </c:numCache>
            </c:numRef>
          </c:yVal>
          <c:smooth val="0"/>
          <c:extLst>
            <c:ext xmlns:c16="http://schemas.microsoft.com/office/drawing/2014/chart" uri="{C3380CC4-5D6E-409C-BE32-E72D297353CC}">
              <c16:uniqueId val="{00000068-C973-40A9-9B84-3BF93160712E}"/>
            </c:ext>
          </c:extLst>
        </c:ser>
        <c:ser>
          <c:idx val="215"/>
          <c:order val="9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paired'!$AA$137:$AB$137</c:f>
              <c:numCache>
                <c:formatCode>General</c:formatCode>
                <c:ptCount val="2"/>
                <c:pt idx="0">
                  <c:v>#N/A</c:v>
                </c:pt>
                <c:pt idx="1">
                  <c:v>#N/A</c:v>
                </c:pt>
              </c:numCache>
            </c:numRef>
          </c:yVal>
          <c:smooth val="0"/>
          <c:extLst>
            <c:ext xmlns:c16="http://schemas.microsoft.com/office/drawing/2014/chart" uri="{C3380CC4-5D6E-409C-BE32-E72D297353CC}">
              <c16:uniqueId val="{00000069-C973-40A9-9B84-3BF93160712E}"/>
            </c:ext>
          </c:extLst>
        </c:ser>
        <c:ser>
          <c:idx val="99"/>
          <c:order val="9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paired'!$AA$149,'Simulate paired'!$AB$149)</c:f>
              <c:numCache>
                <c:formatCode>General</c:formatCode>
                <c:ptCount val="2"/>
                <c:pt idx="0">
                  <c:v>#N/A</c:v>
                </c:pt>
                <c:pt idx="1">
                  <c:v>#N/A</c:v>
                </c:pt>
              </c:numCache>
            </c:numRef>
          </c:yVal>
          <c:smooth val="0"/>
          <c:extLst>
            <c:ext xmlns:c16="http://schemas.microsoft.com/office/drawing/2014/chart" uri="{C3380CC4-5D6E-409C-BE32-E72D297353CC}">
              <c16:uniqueId val="{0000006A-C973-40A9-9B84-3BF93160712E}"/>
            </c:ext>
          </c:extLst>
        </c:ser>
        <c:ser>
          <c:idx val="100"/>
          <c:order val="9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paired'!$AA$150,'Simulate paired'!$AB$150)</c:f>
              <c:numCache>
                <c:formatCode>General</c:formatCode>
                <c:ptCount val="2"/>
                <c:pt idx="0">
                  <c:v>#N/A</c:v>
                </c:pt>
                <c:pt idx="1">
                  <c:v>#N/A</c:v>
                </c:pt>
              </c:numCache>
            </c:numRef>
          </c:yVal>
          <c:smooth val="0"/>
          <c:extLst>
            <c:ext xmlns:c16="http://schemas.microsoft.com/office/drawing/2014/chart" uri="{C3380CC4-5D6E-409C-BE32-E72D297353CC}">
              <c16:uniqueId val="{0000006B-C973-40A9-9B84-3BF93160712E}"/>
            </c:ext>
          </c:extLst>
        </c:ser>
        <c:ser>
          <c:idx val="101"/>
          <c:order val="9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paired'!$AA$151,'Simulate paired'!$AB$151)</c:f>
              <c:numCache>
                <c:formatCode>General</c:formatCode>
                <c:ptCount val="2"/>
                <c:pt idx="0">
                  <c:v>#N/A</c:v>
                </c:pt>
                <c:pt idx="1">
                  <c:v>#N/A</c:v>
                </c:pt>
              </c:numCache>
            </c:numRef>
          </c:yVal>
          <c:smooth val="0"/>
          <c:extLst>
            <c:ext xmlns:c16="http://schemas.microsoft.com/office/drawing/2014/chart" uri="{C3380CC4-5D6E-409C-BE32-E72D297353CC}">
              <c16:uniqueId val="{0000006C-C973-40A9-9B84-3BF93160712E}"/>
            </c:ext>
          </c:extLst>
        </c:ser>
        <c:ser>
          <c:idx val="102"/>
          <c:order val="9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paired'!$AA$152,'Simulate paired'!$AB$152)</c:f>
              <c:numCache>
                <c:formatCode>General</c:formatCode>
                <c:ptCount val="2"/>
                <c:pt idx="0">
                  <c:v>#N/A</c:v>
                </c:pt>
                <c:pt idx="1">
                  <c:v>#N/A</c:v>
                </c:pt>
              </c:numCache>
            </c:numRef>
          </c:yVal>
          <c:smooth val="0"/>
          <c:extLst>
            <c:ext xmlns:c16="http://schemas.microsoft.com/office/drawing/2014/chart" uri="{C3380CC4-5D6E-409C-BE32-E72D297353CC}">
              <c16:uniqueId val="{0000006D-C973-40A9-9B84-3BF93160712E}"/>
            </c:ext>
          </c:extLst>
        </c:ser>
        <c:ser>
          <c:idx val="103"/>
          <c:order val="98"/>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paired'!$AA$153,'Simulate paired'!$AB$153)</c:f>
              <c:numCache>
                <c:formatCode>General</c:formatCode>
                <c:ptCount val="2"/>
                <c:pt idx="0">
                  <c:v>#N/A</c:v>
                </c:pt>
                <c:pt idx="1">
                  <c:v>#N/A</c:v>
                </c:pt>
              </c:numCache>
            </c:numRef>
          </c:yVal>
          <c:smooth val="0"/>
          <c:extLst>
            <c:ext xmlns:c16="http://schemas.microsoft.com/office/drawing/2014/chart" uri="{C3380CC4-5D6E-409C-BE32-E72D297353CC}">
              <c16:uniqueId val="{0000006E-C973-40A9-9B84-3BF93160712E}"/>
            </c:ext>
          </c:extLst>
        </c:ser>
        <c:ser>
          <c:idx val="104"/>
          <c:order val="99"/>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paired'!$AA$154,'Simulate paired'!$AB$154)</c:f>
              <c:numCache>
                <c:formatCode>General</c:formatCode>
                <c:ptCount val="2"/>
                <c:pt idx="0">
                  <c:v>#N/A</c:v>
                </c:pt>
                <c:pt idx="1">
                  <c:v>#N/A</c:v>
                </c:pt>
              </c:numCache>
            </c:numRef>
          </c:yVal>
          <c:smooth val="0"/>
          <c:extLst>
            <c:ext xmlns:c16="http://schemas.microsoft.com/office/drawing/2014/chart" uri="{C3380CC4-5D6E-409C-BE32-E72D297353CC}">
              <c16:uniqueId val="{0000006F-C973-40A9-9B84-3BF93160712E}"/>
            </c:ext>
          </c:extLst>
        </c:ser>
        <c:ser>
          <c:idx val="105"/>
          <c:order val="100"/>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paired'!$AA$155,'Simulate paired'!$AB$155)</c:f>
              <c:numCache>
                <c:formatCode>General</c:formatCode>
                <c:ptCount val="2"/>
                <c:pt idx="0">
                  <c:v>#N/A</c:v>
                </c:pt>
                <c:pt idx="1">
                  <c:v>#N/A</c:v>
                </c:pt>
              </c:numCache>
            </c:numRef>
          </c:yVal>
          <c:smooth val="0"/>
          <c:extLst>
            <c:ext xmlns:c16="http://schemas.microsoft.com/office/drawing/2014/chart" uri="{C3380CC4-5D6E-409C-BE32-E72D297353CC}">
              <c16:uniqueId val="{00000070-C973-40A9-9B84-3BF93160712E}"/>
            </c:ext>
          </c:extLst>
        </c:ser>
        <c:ser>
          <c:idx val="106"/>
          <c:order val="101"/>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paired'!$AA$156,'Simulate paired'!$AB$156)</c:f>
              <c:numCache>
                <c:formatCode>General</c:formatCode>
                <c:ptCount val="2"/>
                <c:pt idx="0">
                  <c:v>#N/A</c:v>
                </c:pt>
                <c:pt idx="1">
                  <c:v>#N/A</c:v>
                </c:pt>
              </c:numCache>
            </c:numRef>
          </c:yVal>
          <c:smooth val="0"/>
          <c:extLst>
            <c:ext xmlns:c16="http://schemas.microsoft.com/office/drawing/2014/chart" uri="{C3380CC4-5D6E-409C-BE32-E72D297353CC}">
              <c16:uniqueId val="{00000071-C973-40A9-9B84-3BF93160712E}"/>
            </c:ext>
          </c:extLst>
        </c:ser>
        <c:ser>
          <c:idx val="107"/>
          <c:order val="102"/>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paired'!$AA$157,'Simulate paired'!$AB$157)</c:f>
              <c:numCache>
                <c:formatCode>General</c:formatCode>
                <c:ptCount val="2"/>
                <c:pt idx="0">
                  <c:v>#N/A</c:v>
                </c:pt>
                <c:pt idx="1">
                  <c:v>#N/A</c:v>
                </c:pt>
              </c:numCache>
            </c:numRef>
          </c:yVal>
          <c:smooth val="0"/>
          <c:extLst>
            <c:ext xmlns:c16="http://schemas.microsoft.com/office/drawing/2014/chart" uri="{C3380CC4-5D6E-409C-BE32-E72D297353CC}">
              <c16:uniqueId val="{00000072-C973-40A9-9B84-3BF93160712E}"/>
            </c:ext>
          </c:extLst>
        </c:ser>
        <c:ser>
          <c:idx val="108"/>
          <c:order val="103"/>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paired'!$AA$158,'Simulate paired'!$AB$158)</c:f>
              <c:numCache>
                <c:formatCode>General</c:formatCode>
                <c:ptCount val="2"/>
                <c:pt idx="0">
                  <c:v>#N/A</c:v>
                </c:pt>
                <c:pt idx="1">
                  <c:v>#N/A</c:v>
                </c:pt>
              </c:numCache>
            </c:numRef>
          </c:yVal>
          <c:smooth val="0"/>
          <c:extLst>
            <c:ext xmlns:c16="http://schemas.microsoft.com/office/drawing/2014/chart" uri="{C3380CC4-5D6E-409C-BE32-E72D297353CC}">
              <c16:uniqueId val="{00000073-C973-40A9-9B84-3BF93160712E}"/>
            </c:ext>
          </c:extLst>
        </c:ser>
        <c:ser>
          <c:idx val="109"/>
          <c:order val="104"/>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paired'!$AA$159,'Simulate paired'!$AB$159)</c:f>
              <c:numCache>
                <c:formatCode>General</c:formatCode>
                <c:ptCount val="2"/>
                <c:pt idx="0">
                  <c:v>#N/A</c:v>
                </c:pt>
                <c:pt idx="1">
                  <c:v>#N/A</c:v>
                </c:pt>
              </c:numCache>
            </c:numRef>
          </c:yVal>
          <c:smooth val="0"/>
          <c:extLst>
            <c:ext xmlns:c16="http://schemas.microsoft.com/office/drawing/2014/chart" uri="{C3380CC4-5D6E-409C-BE32-E72D297353CC}">
              <c16:uniqueId val="{00000074-C973-40A9-9B84-3BF93160712E}"/>
            </c:ext>
          </c:extLst>
        </c:ser>
        <c:ser>
          <c:idx val="110"/>
          <c:order val="105"/>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paired'!$AA$160,'Simulate paired'!$AB$160)</c:f>
              <c:numCache>
                <c:formatCode>General</c:formatCode>
                <c:ptCount val="2"/>
                <c:pt idx="0">
                  <c:v>#N/A</c:v>
                </c:pt>
                <c:pt idx="1">
                  <c:v>#N/A</c:v>
                </c:pt>
              </c:numCache>
            </c:numRef>
          </c:yVal>
          <c:smooth val="0"/>
          <c:extLst>
            <c:ext xmlns:c16="http://schemas.microsoft.com/office/drawing/2014/chart" uri="{C3380CC4-5D6E-409C-BE32-E72D297353CC}">
              <c16:uniqueId val="{00000075-C973-40A9-9B84-3BF93160712E}"/>
            </c:ext>
          </c:extLst>
        </c:ser>
        <c:ser>
          <c:idx val="111"/>
          <c:order val="106"/>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paired'!$AA$161,'Simulate paired'!$AB$161)</c:f>
              <c:numCache>
                <c:formatCode>General</c:formatCode>
                <c:ptCount val="2"/>
                <c:pt idx="0">
                  <c:v>#N/A</c:v>
                </c:pt>
                <c:pt idx="1">
                  <c:v>#N/A</c:v>
                </c:pt>
              </c:numCache>
            </c:numRef>
          </c:yVal>
          <c:smooth val="0"/>
          <c:extLst>
            <c:ext xmlns:c16="http://schemas.microsoft.com/office/drawing/2014/chart" uri="{C3380CC4-5D6E-409C-BE32-E72D297353CC}">
              <c16:uniqueId val="{00000076-C973-40A9-9B84-3BF93160712E}"/>
            </c:ext>
          </c:extLst>
        </c:ser>
        <c:ser>
          <c:idx val="112"/>
          <c:order val="107"/>
          <c:spPr>
            <a:ln w="12700">
              <a:solidFill>
                <a:srgbClr val="0000FF"/>
              </a:solidFill>
              <a:prstDash val="solid"/>
            </a:ln>
          </c:spPr>
          <c:marker>
            <c:symbol val="circle"/>
            <c:size val="6"/>
            <c:spPr>
              <a:noFill/>
              <a:ln>
                <a:solidFill>
                  <a:srgbClr val="0000FF"/>
                </a:solidFill>
                <a:prstDash val="solid"/>
              </a:ln>
            </c:spPr>
          </c:marker>
          <c:xVal>
            <c:strRef>
              <c:f>'Simulate paired'!$Z$9:$AA$9</c:f>
              <c:strCache>
                <c:ptCount val="2"/>
                <c:pt idx="0">
                  <c:v>Measure 1</c:v>
                </c:pt>
                <c:pt idx="1">
                  <c:v>Measure 2</c:v>
                </c:pt>
              </c:strCache>
            </c:strRef>
          </c:xVal>
          <c:yVal>
            <c:numRef>
              <c:f>('Simulate paired'!$AA$162,'Simulate paired'!$AB$162)</c:f>
              <c:numCache>
                <c:formatCode>General</c:formatCode>
                <c:ptCount val="2"/>
                <c:pt idx="0">
                  <c:v>#N/A</c:v>
                </c:pt>
                <c:pt idx="1">
                  <c:v>#N/A</c:v>
                </c:pt>
              </c:numCache>
            </c:numRef>
          </c:yVal>
          <c:smooth val="0"/>
          <c:extLst>
            <c:ext xmlns:c16="http://schemas.microsoft.com/office/drawing/2014/chart" uri="{C3380CC4-5D6E-409C-BE32-E72D297353CC}">
              <c16:uniqueId val="{00000077-C973-40A9-9B84-3BF93160712E}"/>
            </c:ext>
          </c:extLst>
        </c:ser>
        <c:ser>
          <c:idx val="0"/>
          <c:order val="108"/>
          <c:spPr>
            <a:ln w="28575">
              <a:noFill/>
            </a:ln>
          </c:spPr>
          <c:marker>
            <c:symbol val="circle"/>
            <c:size val="7"/>
            <c:spPr>
              <a:solidFill>
                <a:srgbClr val="000000"/>
              </a:solidFill>
              <a:ln>
                <a:solidFill>
                  <a:srgbClr val="000000"/>
                </a:solidFill>
                <a:prstDash val="solid"/>
              </a:ln>
            </c:spPr>
          </c:marker>
          <c:xVal>
            <c:numRef>
              <c:f>'Simulate paired'!$AB$10:$AB$11</c:f>
              <c:numCache>
                <c:formatCode>General</c:formatCode>
                <c:ptCount val="2"/>
                <c:pt idx="0">
                  <c:v>0.5</c:v>
                </c:pt>
                <c:pt idx="1">
                  <c:v>2.5</c:v>
                </c:pt>
              </c:numCache>
            </c:numRef>
          </c:xVal>
          <c:yVal>
            <c:numRef>
              <c:f>'Simulate paired'!$AC$10:$AC$11</c:f>
              <c:numCache>
                <c:formatCode>General</c:formatCode>
                <c:ptCount val="2"/>
                <c:pt idx="0">
                  <c:v>42.556760820537207</c:v>
                </c:pt>
                <c:pt idx="1">
                  <c:v>50.889960423040222</c:v>
                </c:pt>
              </c:numCache>
            </c:numRef>
          </c:yVal>
          <c:smooth val="0"/>
          <c:extLst>
            <c:ext xmlns:c16="http://schemas.microsoft.com/office/drawing/2014/chart" uri="{C3380CC4-5D6E-409C-BE32-E72D297353CC}">
              <c16:uniqueId val="{00000078-C973-40A9-9B84-3BF93160712E}"/>
            </c:ext>
          </c:extLst>
        </c:ser>
        <c:ser>
          <c:idx val="2"/>
          <c:order val="109"/>
          <c:spPr>
            <a:ln w="28575">
              <a:noFill/>
            </a:ln>
          </c:spPr>
          <c:marker>
            <c:symbol val="none"/>
          </c:marker>
          <c:xVal>
            <c:numRef>
              <c:f>'Simulate paired'!$AB$15:$AB$16</c:f>
              <c:numCache>
                <c:formatCode>General</c:formatCode>
                <c:ptCount val="2"/>
                <c:pt idx="0">
                  <c:v>0.55000000000000004</c:v>
                </c:pt>
                <c:pt idx="1">
                  <c:v>1.7</c:v>
                </c:pt>
              </c:numCache>
            </c:numRef>
          </c:xVal>
          <c:yVal>
            <c:numRef>
              <c:f>'Simulate paired'!$AC$15:$AC$16</c:f>
              <c:numCache>
                <c:formatCode>General</c:formatCode>
                <c:ptCount val="2"/>
                <c:pt idx="0">
                  <c:v>#N/A</c:v>
                </c:pt>
                <c:pt idx="1">
                  <c:v>#N/A</c:v>
                </c:pt>
              </c:numCache>
            </c:numRef>
          </c:yVal>
          <c:smooth val="0"/>
          <c:extLst>
            <c:ext xmlns:c16="http://schemas.microsoft.com/office/drawing/2014/chart" uri="{C3380CC4-5D6E-409C-BE32-E72D297353CC}">
              <c16:uniqueId val="{00000079-C973-40A9-9B84-3BF93160712E}"/>
            </c:ext>
          </c:extLst>
        </c:ser>
        <c:ser>
          <c:idx val="3"/>
          <c:order val="110"/>
          <c:spPr>
            <a:ln w="28575">
              <a:noFill/>
            </a:ln>
          </c:spPr>
          <c:marker>
            <c:symbol val="none"/>
          </c:marker>
          <c:errBars>
            <c:errDir val="y"/>
            <c:errBarType val="both"/>
            <c:errValType val="cust"/>
            <c:noEndCap val="0"/>
            <c:plus>
              <c:numRef>
                <c:f>'Simulate paired'!$AB$14:$AC$14</c:f>
                <c:numCache>
                  <c:formatCode>General</c:formatCode>
                  <c:ptCount val="2"/>
                  <c:pt idx="0">
                    <c:v>12.671814277072103</c:v>
                  </c:pt>
                  <c:pt idx="1">
                    <c:v>11.044245129463301</c:v>
                  </c:pt>
                </c:numCache>
              </c:numRef>
            </c:plus>
            <c:minus>
              <c:numRef>
                <c:f>'Simulate paired'!$AB$14:$AC$14</c:f>
                <c:numCache>
                  <c:formatCode>General</c:formatCode>
                  <c:ptCount val="2"/>
                  <c:pt idx="0">
                    <c:v>12.671814277072103</c:v>
                  </c:pt>
                  <c:pt idx="1">
                    <c:v>11.044245129463301</c:v>
                  </c:pt>
                </c:numCache>
              </c:numRef>
            </c:minus>
            <c:spPr>
              <a:ln w="12700">
                <a:solidFill>
                  <a:srgbClr val="000000"/>
                </a:solidFill>
                <a:prstDash val="solid"/>
              </a:ln>
            </c:spPr>
          </c:errBars>
          <c:xVal>
            <c:numRef>
              <c:f>'Simulate paired'!$AB$12:$AB$13</c:f>
              <c:numCache>
                <c:formatCode>General</c:formatCode>
                <c:ptCount val="2"/>
                <c:pt idx="0">
                  <c:v>0.5</c:v>
                </c:pt>
                <c:pt idx="1">
                  <c:v>2.5</c:v>
                </c:pt>
              </c:numCache>
            </c:numRef>
          </c:xVal>
          <c:yVal>
            <c:numRef>
              <c:f>'Simulate paired'!$AC$12:$AC$13</c:f>
              <c:numCache>
                <c:formatCode>General</c:formatCode>
                <c:ptCount val="2"/>
                <c:pt idx="0">
                  <c:v>42.556760820537207</c:v>
                </c:pt>
                <c:pt idx="1">
                  <c:v>50.889960423040222</c:v>
                </c:pt>
              </c:numCache>
            </c:numRef>
          </c:yVal>
          <c:smooth val="0"/>
          <c:extLst>
            <c:ext xmlns:c16="http://schemas.microsoft.com/office/drawing/2014/chart" uri="{C3380CC4-5D6E-409C-BE32-E72D297353CC}">
              <c16:uniqueId val="{0000007A-C973-40A9-9B84-3BF93160712E}"/>
            </c:ext>
          </c:extLst>
        </c:ser>
        <c:ser>
          <c:idx val="4"/>
          <c:order val="111"/>
          <c:spPr>
            <a:ln w="28575">
              <a:noFill/>
            </a:ln>
          </c:spPr>
          <c:marker>
            <c:symbol val="triangle"/>
            <c:size val="6"/>
            <c:spPr>
              <a:noFill/>
              <a:ln>
                <a:solidFill>
                  <a:srgbClr val="FF00FF"/>
                </a:solidFill>
                <a:prstDash val="solid"/>
              </a:ln>
            </c:spPr>
          </c:marker>
          <c:xVal>
            <c:numRef>
              <c:f>'Simulate paired'!$AJ$63:$AJ$162</c:f>
              <c:numCache>
                <c:formatCode>General</c:formatCode>
                <c:ptCount val="100"/>
                <c:pt idx="0">
                  <c:v>3.7</c:v>
                </c:pt>
                <c:pt idx="1">
                  <c:v>3.7</c:v>
                </c:pt>
                <c:pt idx="2">
                  <c:v>3.7</c:v>
                </c:pt>
                <c:pt idx="3">
                  <c:v>3.7</c:v>
                </c:pt>
                <c:pt idx="4">
                  <c:v>3.7</c:v>
                </c:pt>
                <c:pt idx="5">
                  <c:v>3.7</c:v>
                </c:pt>
                <c:pt idx="6">
                  <c:v>3.7</c:v>
                </c:pt>
                <c:pt idx="7">
                  <c:v>3.7</c:v>
                </c:pt>
                <c:pt idx="8">
                  <c:v>3.7</c:v>
                </c:pt>
                <c:pt idx="9">
                  <c:v>3.7</c:v>
                </c:pt>
                <c:pt idx="10">
                  <c:v>3.7</c:v>
                </c:pt>
                <c:pt idx="11">
                  <c:v>3.7</c:v>
                </c:pt>
                <c:pt idx="12">
                  <c:v>3.7</c:v>
                </c:pt>
                <c:pt idx="13">
                  <c:v>3.7</c:v>
                </c:pt>
                <c:pt idx="14">
                  <c:v>3.7</c:v>
                </c:pt>
                <c:pt idx="15">
                  <c:v>3.7</c:v>
                </c:pt>
                <c:pt idx="16">
                  <c:v>3.7</c:v>
                </c:pt>
                <c:pt idx="17">
                  <c:v>3.7</c:v>
                </c:pt>
                <c:pt idx="18">
                  <c:v>3.7</c:v>
                </c:pt>
                <c:pt idx="19">
                  <c:v>3.7</c:v>
                </c:pt>
                <c:pt idx="20">
                  <c:v>3.7</c:v>
                </c:pt>
                <c:pt idx="21">
                  <c:v>3.7</c:v>
                </c:pt>
                <c:pt idx="22">
                  <c:v>3.7</c:v>
                </c:pt>
                <c:pt idx="23">
                  <c:v>3.7</c:v>
                </c:pt>
                <c:pt idx="24">
                  <c:v>3.7</c:v>
                </c:pt>
                <c:pt idx="25">
                  <c:v>3.7</c:v>
                </c:pt>
                <c:pt idx="26">
                  <c:v>3.7</c:v>
                </c:pt>
                <c:pt idx="27">
                  <c:v>3.7</c:v>
                </c:pt>
                <c:pt idx="28">
                  <c:v>3.7</c:v>
                </c:pt>
                <c:pt idx="29">
                  <c:v>3.7</c:v>
                </c:pt>
                <c:pt idx="30">
                  <c:v>3.7</c:v>
                </c:pt>
                <c:pt idx="31">
                  <c:v>3.7</c:v>
                </c:pt>
                <c:pt idx="32">
                  <c:v>3.7</c:v>
                </c:pt>
                <c:pt idx="33">
                  <c:v>3.7</c:v>
                </c:pt>
                <c:pt idx="34">
                  <c:v>3.7</c:v>
                </c:pt>
                <c:pt idx="35">
                  <c:v>3.7</c:v>
                </c:pt>
                <c:pt idx="36">
                  <c:v>3.7</c:v>
                </c:pt>
                <c:pt idx="37">
                  <c:v>3.7</c:v>
                </c:pt>
                <c:pt idx="38">
                  <c:v>3.7</c:v>
                </c:pt>
                <c:pt idx="39">
                  <c:v>3.7</c:v>
                </c:pt>
                <c:pt idx="40">
                  <c:v>3.7</c:v>
                </c:pt>
                <c:pt idx="41">
                  <c:v>3.7</c:v>
                </c:pt>
                <c:pt idx="42">
                  <c:v>3.7</c:v>
                </c:pt>
                <c:pt idx="43">
                  <c:v>3.7</c:v>
                </c:pt>
                <c:pt idx="44">
                  <c:v>3.7</c:v>
                </c:pt>
                <c:pt idx="45">
                  <c:v>3.7</c:v>
                </c:pt>
                <c:pt idx="46">
                  <c:v>3.7</c:v>
                </c:pt>
                <c:pt idx="47">
                  <c:v>3.7</c:v>
                </c:pt>
                <c:pt idx="48">
                  <c:v>3.7</c:v>
                </c:pt>
                <c:pt idx="49">
                  <c:v>3.7</c:v>
                </c:pt>
                <c:pt idx="50">
                  <c:v>3.7</c:v>
                </c:pt>
                <c:pt idx="51">
                  <c:v>3.7</c:v>
                </c:pt>
                <c:pt idx="52">
                  <c:v>3.7</c:v>
                </c:pt>
                <c:pt idx="53">
                  <c:v>3.7</c:v>
                </c:pt>
                <c:pt idx="54">
                  <c:v>3.7</c:v>
                </c:pt>
                <c:pt idx="55">
                  <c:v>3.7</c:v>
                </c:pt>
                <c:pt idx="56">
                  <c:v>3.7</c:v>
                </c:pt>
                <c:pt idx="57">
                  <c:v>3.7</c:v>
                </c:pt>
                <c:pt idx="58">
                  <c:v>3.7</c:v>
                </c:pt>
                <c:pt idx="59">
                  <c:v>3.7</c:v>
                </c:pt>
                <c:pt idx="60">
                  <c:v>3.7</c:v>
                </c:pt>
                <c:pt idx="61">
                  <c:v>3.7</c:v>
                </c:pt>
                <c:pt idx="62">
                  <c:v>3.7</c:v>
                </c:pt>
                <c:pt idx="63">
                  <c:v>3.7</c:v>
                </c:pt>
                <c:pt idx="64">
                  <c:v>3.7</c:v>
                </c:pt>
                <c:pt idx="65">
                  <c:v>3.7</c:v>
                </c:pt>
                <c:pt idx="66">
                  <c:v>3.7</c:v>
                </c:pt>
                <c:pt idx="67">
                  <c:v>3.7</c:v>
                </c:pt>
                <c:pt idx="68">
                  <c:v>3.7</c:v>
                </c:pt>
                <c:pt idx="69">
                  <c:v>3.7</c:v>
                </c:pt>
                <c:pt idx="70">
                  <c:v>3.7</c:v>
                </c:pt>
                <c:pt idx="71">
                  <c:v>3.7</c:v>
                </c:pt>
                <c:pt idx="72">
                  <c:v>3.7</c:v>
                </c:pt>
                <c:pt idx="73">
                  <c:v>3.7</c:v>
                </c:pt>
                <c:pt idx="74">
                  <c:v>3.7</c:v>
                </c:pt>
                <c:pt idx="75">
                  <c:v>3.7</c:v>
                </c:pt>
                <c:pt idx="76">
                  <c:v>3.7</c:v>
                </c:pt>
                <c:pt idx="77">
                  <c:v>3.7</c:v>
                </c:pt>
                <c:pt idx="78">
                  <c:v>3.7</c:v>
                </c:pt>
                <c:pt idx="79">
                  <c:v>3.7</c:v>
                </c:pt>
                <c:pt idx="80">
                  <c:v>3.7</c:v>
                </c:pt>
                <c:pt idx="81">
                  <c:v>3.7</c:v>
                </c:pt>
                <c:pt idx="82">
                  <c:v>3.7</c:v>
                </c:pt>
                <c:pt idx="83">
                  <c:v>3.7</c:v>
                </c:pt>
                <c:pt idx="84">
                  <c:v>3.7</c:v>
                </c:pt>
                <c:pt idx="85">
                  <c:v>3.7</c:v>
                </c:pt>
                <c:pt idx="86">
                  <c:v>3.7</c:v>
                </c:pt>
                <c:pt idx="87">
                  <c:v>3.7</c:v>
                </c:pt>
                <c:pt idx="88">
                  <c:v>3.7</c:v>
                </c:pt>
                <c:pt idx="89">
                  <c:v>3.7</c:v>
                </c:pt>
                <c:pt idx="90">
                  <c:v>3.7</c:v>
                </c:pt>
                <c:pt idx="91">
                  <c:v>3.7</c:v>
                </c:pt>
                <c:pt idx="92">
                  <c:v>3.7</c:v>
                </c:pt>
                <c:pt idx="93">
                  <c:v>3.7</c:v>
                </c:pt>
                <c:pt idx="94">
                  <c:v>3.7</c:v>
                </c:pt>
                <c:pt idx="95">
                  <c:v>3.7</c:v>
                </c:pt>
                <c:pt idx="96">
                  <c:v>3.7</c:v>
                </c:pt>
                <c:pt idx="97">
                  <c:v>3.7</c:v>
                </c:pt>
                <c:pt idx="98">
                  <c:v>3.7</c:v>
                </c:pt>
                <c:pt idx="99">
                  <c:v>3.7</c:v>
                </c:pt>
              </c:numCache>
            </c:numRef>
          </c:xVal>
          <c:yVal>
            <c:numRef>
              <c:f>'Simulate paired'!$AK$63:$AK$162</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7B-C973-40A9-9B84-3BF93160712E}"/>
            </c:ext>
          </c:extLst>
        </c:ser>
        <c:ser>
          <c:idx val="1"/>
          <c:order val="113"/>
          <c:spPr>
            <a:ln w="12700">
              <a:solidFill>
                <a:srgbClr val="FF00FF"/>
              </a:solidFill>
              <a:prstDash val="solid"/>
            </a:ln>
          </c:spPr>
          <c:marker>
            <c:symbol val="diamond"/>
            <c:size val="8"/>
            <c:spPr>
              <a:solidFill>
                <a:srgbClr val="FF00FF"/>
              </a:solidFill>
              <a:ln>
                <a:solidFill>
                  <a:srgbClr val="FF00FF"/>
                </a:solidFill>
                <a:prstDash val="solid"/>
              </a:ln>
            </c:spPr>
          </c:marker>
          <c:errBars>
            <c:errDir val="y"/>
            <c:errBarType val="plus"/>
            <c:errValType val="cust"/>
            <c:noEndCap val="1"/>
            <c:plus>
              <c:numRef>
                <c:f>'Simulate paired'!$AA$15</c:f>
                <c:numCache>
                  <c:formatCode>General</c:formatCode>
                  <c:ptCount val="1"/>
                  <c:pt idx="0">
                    <c:v>#N/A</c:v>
                  </c:pt>
                </c:numCache>
              </c:numRef>
            </c:plus>
            <c:spPr>
              <a:ln w="38100">
                <a:solidFill>
                  <a:srgbClr val="FF00FF"/>
                </a:solidFill>
                <a:prstDash val="solid"/>
              </a:ln>
            </c:spPr>
          </c:errBars>
          <c:xVal>
            <c:numRef>
              <c:f>'Simulate paired'!$Z$16</c:f>
              <c:numCache>
                <c:formatCode>0.00</c:formatCode>
                <c:ptCount val="1"/>
                <c:pt idx="0">
                  <c:v>1.5</c:v>
                </c:pt>
              </c:numCache>
            </c:numRef>
          </c:xVal>
          <c:yVal>
            <c:numRef>
              <c:f>'Simulate paired'!$AA$16</c:f>
              <c:numCache>
                <c:formatCode>General</c:formatCode>
                <c:ptCount val="1"/>
                <c:pt idx="0">
                  <c:v>#N/A</c:v>
                </c:pt>
              </c:numCache>
            </c:numRef>
          </c:yVal>
          <c:smooth val="0"/>
          <c:extLst>
            <c:ext xmlns:c16="http://schemas.microsoft.com/office/drawing/2014/chart" uri="{C3380CC4-5D6E-409C-BE32-E72D297353CC}">
              <c16:uniqueId val="{0000007C-C973-40A9-9B84-3BF93160712E}"/>
            </c:ext>
          </c:extLst>
        </c:ser>
        <c:ser>
          <c:idx val="5"/>
          <c:order val="114"/>
          <c:spPr>
            <a:ln w="12700">
              <a:pattFill prst="pct50">
                <a:fgClr>
                  <a:srgbClr val="FF00FF"/>
                </a:fgClr>
                <a:bgClr>
                  <a:srgbClr val="FFFFFF"/>
                </a:bgClr>
              </a:pattFill>
              <a:prstDash val="solid"/>
            </a:ln>
          </c:spPr>
          <c:marker>
            <c:symbol val="none"/>
          </c:marker>
          <c:xVal>
            <c:numRef>
              <c:f>'Simulate paired'!$AB$15:$AB$16</c:f>
              <c:numCache>
                <c:formatCode>General</c:formatCode>
                <c:ptCount val="2"/>
                <c:pt idx="0">
                  <c:v>0.55000000000000004</c:v>
                </c:pt>
                <c:pt idx="1">
                  <c:v>1.7</c:v>
                </c:pt>
              </c:numCache>
            </c:numRef>
          </c:xVal>
          <c:yVal>
            <c:numRef>
              <c:f>'Simulate paired'!$AC$15:$AC$16</c:f>
              <c:numCache>
                <c:formatCode>General</c:formatCode>
                <c:ptCount val="2"/>
                <c:pt idx="0">
                  <c:v>#N/A</c:v>
                </c:pt>
                <c:pt idx="1">
                  <c:v>#N/A</c:v>
                </c:pt>
              </c:numCache>
            </c:numRef>
          </c:yVal>
          <c:smooth val="0"/>
          <c:extLst>
            <c:ext xmlns:c16="http://schemas.microsoft.com/office/drawing/2014/chart" uri="{C3380CC4-5D6E-409C-BE32-E72D297353CC}">
              <c16:uniqueId val="{0000007D-C973-40A9-9B84-3BF93160712E}"/>
            </c:ext>
          </c:extLst>
        </c:ser>
        <c:ser>
          <c:idx val="114"/>
          <c:order val="115"/>
          <c:spPr>
            <a:ln w="12700">
              <a:pattFill prst="pct50">
                <a:fgClr>
                  <a:srgbClr val="FF00FF"/>
                </a:fgClr>
                <a:bgClr>
                  <a:srgbClr val="FFFFFF"/>
                </a:bgClr>
              </a:pattFill>
              <a:prstDash val="solid"/>
            </a:ln>
          </c:spPr>
          <c:marker>
            <c:symbol val="none"/>
          </c:marker>
          <c:xVal>
            <c:numRef>
              <c:f>'Simulate paired'!$Z$18:$Z$19</c:f>
              <c:numCache>
                <c:formatCode>General</c:formatCode>
                <c:ptCount val="2"/>
                <c:pt idx="0">
                  <c:v>1.3</c:v>
                </c:pt>
                <c:pt idx="1">
                  <c:v>2.4500000000000002</c:v>
                </c:pt>
              </c:numCache>
            </c:numRef>
          </c:xVal>
          <c:yVal>
            <c:numRef>
              <c:f>'Simulate paired'!$AA$18:$AA$19</c:f>
              <c:numCache>
                <c:formatCode>General</c:formatCode>
                <c:ptCount val="2"/>
                <c:pt idx="0">
                  <c:v>#N/A</c:v>
                </c:pt>
                <c:pt idx="1">
                  <c:v>#N/A</c:v>
                </c:pt>
              </c:numCache>
            </c:numRef>
          </c:yVal>
          <c:smooth val="0"/>
          <c:extLst>
            <c:ext xmlns:c16="http://schemas.microsoft.com/office/drawing/2014/chart" uri="{C3380CC4-5D6E-409C-BE32-E72D297353CC}">
              <c16:uniqueId val="{0000007E-C973-40A9-9B84-3BF93160712E}"/>
            </c:ext>
          </c:extLst>
        </c:ser>
        <c:ser>
          <c:idx val="217"/>
          <c:order val="116"/>
          <c:spPr>
            <a:ln w="38100">
              <a:solidFill>
                <a:srgbClr val="800080"/>
              </a:solidFill>
              <a:prstDash val="solid"/>
            </a:ln>
          </c:spPr>
          <c:marker>
            <c:symbol val="circle"/>
            <c:size val="7"/>
            <c:spPr>
              <a:solidFill>
                <a:srgbClr val="0000FF"/>
              </a:solidFill>
              <a:ln>
                <a:solidFill>
                  <a:srgbClr val="0000FF"/>
                </a:solidFill>
                <a:prstDash val="solid"/>
              </a:ln>
            </c:spPr>
          </c:marker>
          <c:xVal>
            <c:strRef>
              <c:f>'Simulate paired'!$AO$61:$AP$61</c:f>
              <c:strCache>
                <c:ptCount val="2"/>
                <c:pt idx="0">
                  <c:v>Measure 1</c:v>
                </c:pt>
                <c:pt idx="1">
                  <c:v>Measure 2</c:v>
                </c:pt>
              </c:strCache>
            </c:strRef>
          </c:xVal>
          <c:yVal>
            <c:numRef>
              <c:f>'Simulate paired'!$AO$63:$AP$63</c:f>
              <c:numCache>
                <c:formatCode>General</c:formatCode>
                <c:ptCount val="2"/>
                <c:pt idx="0">
                  <c:v>#N/A</c:v>
                </c:pt>
                <c:pt idx="1">
                  <c:v>#N/A</c:v>
                </c:pt>
              </c:numCache>
            </c:numRef>
          </c:yVal>
          <c:smooth val="0"/>
          <c:extLst>
            <c:ext xmlns:c16="http://schemas.microsoft.com/office/drawing/2014/chart" uri="{C3380CC4-5D6E-409C-BE32-E72D297353CC}">
              <c16:uniqueId val="{0000007F-C973-40A9-9B84-3BF93160712E}"/>
            </c:ext>
          </c:extLst>
        </c:ser>
        <c:ser>
          <c:idx val="218"/>
          <c:order val="117"/>
          <c:spPr>
            <a:ln w="28575">
              <a:noFill/>
            </a:ln>
          </c:spPr>
          <c:marker>
            <c:symbol val="none"/>
          </c:marker>
          <c:dLbls>
            <c:dLbl>
              <c:idx val="0"/>
              <c:tx>
                <c:rich>
                  <a:bodyPr/>
                  <a:lstStyle/>
                  <a:p>
                    <a:pPr>
                      <a:defRPr sz="1400" b="0" i="0" u="none" strike="noStrike" baseline="0">
                        <a:solidFill>
                          <a:srgbClr val="FF0000"/>
                        </a:solidFill>
                        <a:latin typeface="Symbol"/>
                        <a:ea typeface="Symbol"/>
                        <a:cs typeface="Symbol"/>
                      </a:defRPr>
                    </a:pPr>
                    <a:r>
                      <a:t>s</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C973-40A9-9B84-3BF93160712E}"/>
                </c:ext>
              </c:extLst>
            </c:dLbl>
            <c:dLbl>
              <c:idx val="1"/>
              <c:tx>
                <c:rich>
                  <a:bodyPr/>
                  <a:lstStyle/>
                  <a:p>
                    <a:pPr>
                      <a:defRPr sz="1400" b="0" i="0" u="none" strike="noStrike" baseline="0">
                        <a:solidFill>
                          <a:srgbClr val="FF0000"/>
                        </a:solidFill>
                        <a:latin typeface="Symbol"/>
                        <a:ea typeface="Symbol"/>
                        <a:cs typeface="Symbol"/>
                      </a:defRPr>
                    </a:pPr>
                    <a:r>
                      <a:t>s</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C973-40A9-9B84-3BF93160712E}"/>
                </c:ext>
              </c:extLst>
            </c:dLbl>
            <c:dLbl>
              <c:idx val="2"/>
              <c:tx>
                <c:rich>
                  <a:bodyPr/>
                  <a:lstStyle/>
                  <a:p>
                    <a:pPr>
                      <a:defRPr sz="1200" b="0" i="0" u="none" strike="noStrike" baseline="0">
                        <a:solidFill>
                          <a:srgbClr val="000000"/>
                        </a:solidFill>
                        <a:latin typeface="Arial"/>
                        <a:ea typeface="Arial"/>
                        <a:cs typeface="Arial"/>
                      </a:defRPr>
                    </a:pPr>
                    <a:r>
                      <a:rPr lang="en-AU" sz="1400" b="0" i="0" u="none" strike="noStrike" baseline="0">
                        <a:solidFill>
                          <a:srgbClr val="FF0000"/>
                        </a:solidFill>
                        <a:latin typeface="Symbol"/>
                      </a:rPr>
                      <a:t>s</a:t>
                    </a:r>
                    <a:r>
                      <a:rPr lang="en-AU" sz="1400" b="0" i="0" u="none" strike="noStrike" baseline="-25000">
                        <a:solidFill>
                          <a:srgbClr val="FF0000"/>
                        </a:solidFill>
                        <a:latin typeface="Arial"/>
                        <a:cs typeface="Arial"/>
                      </a:rPr>
                      <a:t>diff</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C973-40A9-9B84-3BF93160712E}"/>
                </c:ext>
              </c:extLst>
            </c:dLbl>
            <c:spPr>
              <a:noFill/>
              <a:ln w="25400">
                <a:noFill/>
              </a:ln>
            </c:spPr>
            <c:txPr>
              <a:bodyPr/>
              <a:lstStyle/>
              <a:p>
                <a:pPr>
                  <a:defRPr sz="1400" b="0" i="0" u="none" strike="noStrike" baseline="0">
                    <a:solidFill>
                      <a:srgbClr val="FF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'Simulate paired'!$AA$34:$AA$36</c:f>
              <c:numCache>
                <c:formatCode>General</c:formatCode>
                <c:ptCount val="3"/>
                <c:pt idx="0">
                  <c:v>0.14000000000000001</c:v>
                </c:pt>
                <c:pt idx="1">
                  <c:v>2.83</c:v>
                </c:pt>
                <c:pt idx="2">
                  <c:v>4.33</c:v>
                </c:pt>
              </c:numCache>
            </c:numRef>
          </c:xVal>
          <c:yVal>
            <c:numRef>
              <c:f>'Simulate paired'!$AB$34:$AB$36</c:f>
              <c:numCache>
                <c:formatCode>General</c:formatCode>
                <c:ptCount val="3"/>
                <c:pt idx="0">
                  <c:v>#N/A</c:v>
                </c:pt>
                <c:pt idx="1">
                  <c:v>#N/A</c:v>
                </c:pt>
                <c:pt idx="2">
                  <c:v>#N/A</c:v>
                </c:pt>
              </c:numCache>
            </c:numRef>
          </c:yVal>
          <c:smooth val="0"/>
          <c:extLst>
            <c:ext xmlns:c16="http://schemas.microsoft.com/office/drawing/2014/chart" uri="{C3380CC4-5D6E-409C-BE32-E72D297353CC}">
              <c16:uniqueId val="{00000083-C973-40A9-9B84-3BF93160712E}"/>
            </c:ext>
          </c:extLst>
        </c:ser>
        <c:ser>
          <c:idx val="219"/>
          <c:order val="118"/>
          <c:spPr>
            <a:ln w="12700">
              <a:solidFill>
                <a:srgbClr val="CCCCFF"/>
              </a:solidFill>
              <a:prstDash val="solid"/>
            </a:ln>
          </c:spPr>
          <c:marker>
            <c:symbol val="triangle"/>
            <c:size val="9"/>
            <c:spPr>
              <a:solidFill>
                <a:srgbClr val="00FF00"/>
              </a:solidFill>
              <a:ln>
                <a:solidFill>
                  <a:srgbClr val="FF00FF"/>
                </a:solidFill>
                <a:prstDash val="solid"/>
              </a:ln>
            </c:spPr>
          </c:marker>
          <c:xVal>
            <c:numRef>
              <c:f>'Simulate paired'!$AJ$65</c:f>
              <c:numCache>
                <c:formatCode>General</c:formatCode>
                <c:ptCount val="1"/>
                <c:pt idx="0">
                  <c:v>3.7</c:v>
                </c:pt>
              </c:numCache>
            </c:numRef>
          </c:xVal>
          <c:yVal>
            <c:numRef>
              <c:f>'Simulate paired'!$AN$65</c:f>
              <c:numCache>
                <c:formatCode>General</c:formatCode>
                <c:ptCount val="1"/>
                <c:pt idx="0">
                  <c:v>#N/A</c:v>
                </c:pt>
              </c:numCache>
            </c:numRef>
          </c:yVal>
          <c:smooth val="0"/>
          <c:extLst>
            <c:ext xmlns:c16="http://schemas.microsoft.com/office/drawing/2014/chart" uri="{C3380CC4-5D6E-409C-BE32-E72D297353CC}">
              <c16:uniqueId val="{00000084-C973-40A9-9B84-3BF93160712E}"/>
            </c:ext>
          </c:extLst>
        </c:ser>
        <c:ser>
          <c:idx val="220"/>
          <c:order val="119"/>
          <c:spPr>
            <a:ln w="12700">
              <a:solidFill>
                <a:srgbClr val="000080"/>
              </a:solidFill>
              <a:prstDash val="solid"/>
            </a:ln>
          </c:spPr>
          <c:marker>
            <c:symbol val="triangle"/>
            <c:size val="9"/>
            <c:spPr>
              <a:solidFill>
                <a:srgbClr val="FFCC00"/>
              </a:solidFill>
              <a:ln>
                <a:solidFill>
                  <a:srgbClr val="FF00FF"/>
                </a:solidFill>
                <a:prstDash val="solid"/>
              </a:ln>
            </c:spPr>
          </c:marker>
          <c:xVal>
            <c:numRef>
              <c:f>'Simulate paired'!$AJ$67</c:f>
              <c:numCache>
                <c:formatCode>General</c:formatCode>
                <c:ptCount val="1"/>
                <c:pt idx="0">
                  <c:v>3.7</c:v>
                </c:pt>
              </c:numCache>
            </c:numRef>
          </c:xVal>
          <c:yVal>
            <c:numRef>
              <c:f>'Simulate paired'!$AN$67</c:f>
              <c:numCache>
                <c:formatCode>General</c:formatCode>
                <c:ptCount val="1"/>
                <c:pt idx="0">
                  <c:v>#N/A</c:v>
                </c:pt>
              </c:numCache>
            </c:numRef>
          </c:yVal>
          <c:smooth val="0"/>
          <c:extLst>
            <c:ext xmlns:c16="http://schemas.microsoft.com/office/drawing/2014/chart" uri="{C3380CC4-5D6E-409C-BE32-E72D297353CC}">
              <c16:uniqueId val="{00000085-C973-40A9-9B84-3BF93160712E}"/>
            </c:ext>
          </c:extLst>
        </c:ser>
        <c:ser>
          <c:idx val="221"/>
          <c:order val="120"/>
          <c:spPr>
            <a:ln w="12700">
              <a:solidFill>
                <a:srgbClr val="FF00FF"/>
              </a:solidFill>
              <a:prstDash val="solid"/>
            </a:ln>
          </c:spPr>
          <c:marker>
            <c:symbol val="triangle"/>
            <c:size val="9"/>
            <c:spPr>
              <a:solidFill>
                <a:srgbClr val="FF0000"/>
              </a:solidFill>
              <a:ln>
                <a:solidFill>
                  <a:srgbClr val="FF00FF"/>
                </a:solidFill>
                <a:prstDash val="solid"/>
              </a:ln>
            </c:spPr>
          </c:marker>
          <c:xVal>
            <c:numRef>
              <c:f>'Simulate paired'!$AJ$69</c:f>
              <c:numCache>
                <c:formatCode>General</c:formatCode>
                <c:ptCount val="1"/>
                <c:pt idx="0">
                  <c:v>3.7</c:v>
                </c:pt>
              </c:numCache>
            </c:numRef>
          </c:xVal>
          <c:yVal>
            <c:numRef>
              <c:f>'Simulate paired'!$AN$69</c:f>
              <c:numCache>
                <c:formatCode>General</c:formatCode>
                <c:ptCount val="1"/>
                <c:pt idx="0">
                  <c:v>#N/A</c:v>
                </c:pt>
              </c:numCache>
            </c:numRef>
          </c:yVal>
          <c:smooth val="0"/>
          <c:extLst>
            <c:ext xmlns:c16="http://schemas.microsoft.com/office/drawing/2014/chart" uri="{C3380CC4-5D6E-409C-BE32-E72D297353CC}">
              <c16:uniqueId val="{00000086-C973-40A9-9B84-3BF93160712E}"/>
            </c:ext>
          </c:extLst>
        </c:ser>
        <c:ser>
          <c:idx val="222"/>
          <c:order val="121"/>
          <c:spPr>
            <a:ln w="38100">
              <a:solidFill>
                <a:srgbClr val="00FF00"/>
              </a:solidFill>
              <a:prstDash val="solid"/>
            </a:ln>
          </c:spPr>
          <c:marker>
            <c:symbol val="circle"/>
            <c:size val="7"/>
            <c:spPr>
              <a:solidFill>
                <a:srgbClr val="0000FF"/>
              </a:solidFill>
              <a:ln>
                <a:solidFill>
                  <a:srgbClr val="0000FF"/>
                </a:solidFill>
                <a:prstDash val="solid"/>
              </a:ln>
            </c:spPr>
          </c:marker>
          <c:xVal>
            <c:strRef>
              <c:f>'Simulate paired'!$AO$61:$AP$61</c:f>
              <c:strCache>
                <c:ptCount val="2"/>
                <c:pt idx="0">
                  <c:v>Measure 1</c:v>
                </c:pt>
                <c:pt idx="1">
                  <c:v>Measure 2</c:v>
                </c:pt>
              </c:strCache>
            </c:strRef>
          </c:xVal>
          <c:yVal>
            <c:numRef>
              <c:f>'Simulate paired'!$AO$65:$AP$65</c:f>
              <c:numCache>
                <c:formatCode>General</c:formatCode>
                <c:ptCount val="2"/>
                <c:pt idx="0">
                  <c:v>#N/A</c:v>
                </c:pt>
                <c:pt idx="1">
                  <c:v>#N/A</c:v>
                </c:pt>
              </c:numCache>
            </c:numRef>
          </c:yVal>
          <c:smooth val="0"/>
          <c:extLst>
            <c:ext xmlns:c16="http://schemas.microsoft.com/office/drawing/2014/chart" uri="{C3380CC4-5D6E-409C-BE32-E72D297353CC}">
              <c16:uniqueId val="{00000087-C973-40A9-9B84-3BF93160712E}"/>
            </c:ext>
          </c:extLst>
        </c:ser>
        <c:ser>
          <c:idx val="223"/>
          <c:order val="122"/>
          <c:spPr>
            <a:ln w="38100">
              <a:solidFill>
                <a:srgbClr val="FFCC00"/>
              </a:solidFill>
              <a:prstDash val="solid"/>
            </a:ln>
          </c:spPr>
          <c:marker>
            <c:symbol val="circle"/>
            <c:size val="7"/>
            <c:spPr>
              <a:solidFill>
                <a:srgbClr val="0000FF"/>
              </a:solidFill>
              <a:ln>
                <a:solidFill>
                  <a:srgbClr val="0000FF"/>
                </a:solidFill>
                <a:prstDash val="solid"/>
              </a:ln>
            </c:spPr>
          </c:marker>
          <c:xVal>
            <c:strRef>
              <c:f>'Simulate paired'!$AO$61:$AP$61</c:f>
              <c:strCache>
                <c:ptCount val="2"/>
                <c:pt idx="0">
                  <c:v>Measure 1</c:v>
                </c:pt>
                <c:pt idx="1">
                  <c:v>Measure 2</c:v>
                </c:pt>
              </c:strCache>
            </c:strRef>
          </c:xVal>
          <c:yVal>
            <c:numRef>
              <c:f>'Simulate paired'!$AO$67:$AP$67</c:f>
              <c:numCache>
                <c:formatCode>General</c:formatCode>
                <c:ptCount val="2"/>
                <c:pt idx="0">
                  <c:v>#N/A</c:v>
                </c:pt>
                <c:pt idx="1">
                  <c:v>#N/A</c:v>
                </c:pt>
              </c:numCache>
            </c:numRef>
          </c:yVal>
          <c:smooth val="0"/>
          <c:extLst>
            <c:ext xmlns:c16="http://schemas.microsoft.com/office/drawing/2014/chart" uri="{C3380CC4-5D6E-409C-BE32-E72D297353CC}">
              <c16:uniqueId val="{00000088-C973-40A9-9B84-3BF93160712E}"/>
            </c:ext>
          </c:extLst>
        </c:ser>
        <c:ser>
          <c:idx val="224"/>
          <c:order val="123"/>
          <c:spPr>
            <a:ln w="38100">
              <a:solidFill>
                <a:srgbClr val="FF0000"/>
              </a:solidFill>
              <a:prstDash val="solid"/>
            </a:ln>
          </c:spPr>
          <c:marker>
            <c:symbol val="circle"/>
            <c:size val="7"/>
            <c:spPr>
              <a:solidFill>
                <a:srgbClr val="0000FF"/>
              </a:solidFill>
              <a:ln>
                <a:solidFill>
                  <a:srgbClr val="0000FF"/>
                </a:solidFill>
                <a:prstDash val="solid"/>
              </a:ln>
            </c:spPr>
          </c:marker>
          <c:xVal>
            <c:strRef>
              <c:f>'Simulate paired'!$AO$61:$AP$61</c:f>
              <c:strCache>
                <c:ptCount val="2"/>
                <c:pt idx="0">
                  <c:v>Measure 1</c:v>
                </c:pt>
                <c:pt idx="1">
                  <c:v>Measure 2</c:v>
                </c:pt>
              </c:strCache>
            </c:strRef>
          </c:xVal>
          <c:yVal>
            <c:numRef>
              <c:f>'Simulate paired'!$AO$69:$AP$69</c:f>
              <c:numCache>
                <c:formatCode>General</c:formatCode>
                <c:ptCount val="2"/>
                <c:pt idx="0">
                  <c:v>#N/A</c:v>
                </c:pt>
                <c:pt idx="1">
                  <c:v>#N/A</c:v>
                </c:pt>
              </c:numCache>
            </c:numRef>
          </c:yVal>
          <c:smooth val="0"/>
          <c:extLst>
            <c:ext xmlns:c16="http://schemas.microsoft.com/office/drawing/2014/chart" uri="{C3380CC4-5D6E-409C-BE32-E72D297353CC}">
              <c16:uniqueId val="{00000089-C973-40A9-9B84-3BF93160712E}"/>
            </c:ext>
          </c:extLst>
        </c:ser>
        <c:ser>
          <c:idx val="216"/>
          <c:order val="124"/>
          <c:spPr>
            <a:ln w="28575">
              <a:noFill/>
            </a:ln>
          </c:spPr>
          <c:marker>
            <c:symbol val="triangle"/>
            <c:size val="9"/>
            <c:spPr>
              <a:solidFill>
                <a:srgbClr val="800080"/>
              </a:solidFill>
              <a:ln>
                <a:solidFill>
                  <a:srgbClr val="0000FF"/>
                </a:solidFill>
                <a:prstDash val="solid"/>
              </a:ln>
            </c:spPr>
          </c:marker>
          <c:xVal>
            <c:numRef>
              <c:f>'Simulate paired'!$AJ$63</c:f>
              <c:numCache>
                <c:formatCode>General</c:formatCode>
                <c:ptCount val="1"/>
                <c:pt idx="0">
                  <c:v>3.7</c:v>
                </c:pt>
              </c:numCache>
            </c:numRef>
          </c:xVal>
          <c:yVal>
            <c:numRef>
              <c:f>'Simulate paired'!$AN$63</c:f>
              <c:numCache>
                <c:formatCode>General</c:formatCode>
                <c:ptCount val="1"/>
                <c:pt idx="0">
                  <c:v>#N/A</c:v>
                </c:pt>
              </c:numCache>
            </c:numRef>
          </c:yVal>
          <c:smooth val="0"/>
          <c:extLst>
            <c:ext xmlns:c16="http://schemas.microsoft.com/office/drawing/2014/chart" uri="{C3380CC4-5D6E-409C-BE32-E72D297353CC}">
              <c16:uniqueId val="{0000008A-C973-40A9-9B84-3BF93160712E}"/>
            </c:ext>
          </c:extLst>
        </c:ser>
        <c:ser>
          <c:idx val="225"/>
          <c:order val="125"/>
          <c:spPr>
            <a:ln w="28575">
              <a:noFill/>
            </a:ln>
          </c:spPr>
          <c:marker>
            <c:symbol val="none"/>
          </c:marker>
          <c:dLbls>
            <c:dLbl>
              <c:idx val="0"/>
              <c:tx>
                <c:rich>
                  <a:bodyPr/>
                  <a:lstStyle/>
                  <a:p>
                    <a:pPr>
                      <a:defRPr sz="1200" b="0" i="0" u="none" strike="noStrike" baseline="0">
                        <a:solidFill>
                          <a:srgbClr val="000000"/>
                        </a:solidFill>
                        <a:latin typeface="Arial"/>
                        <a:ea typeface="Arial"/>
                        <a:cs typeface="Arial"/>
                      </a:defRPr>
                    </a:pPr>
                    <a:r>
                      <a:rPr lang="en-AU" sz="1400" b="0" i="0" u="none" strike="noStrike" baseline="0">
                        <a:solidFill>
                          <a:srgbClr val="FF0000"/>
                        </a:solidFill>
                        <a:latin typeface="Symbol"/>
                      </a:rPr>
                      <a:t>m</a:t>
                    </a:r>
                    <a:r>
                      <a:rPr lang="en-AU" sz="1400" b="0" i="0" u="none" strike="noStrike" baseline="-25000">
                        <a:solidFill>
                          <a:srgbClr val="FF0000"/>
                        </a:solidFill>
                        <a:latin typeface="Arial"/>
                        <a:cs typeface="Arial"/>
                      </a:rPr>
                      <a:t>1</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C973-40A9-9B84-3BF93160712E}"/>
                </c:ext>
              </c:extLst>
            </c:dLbl>
            <c:dLbl>
              <c:idx val="1"/>
              <c:tx>
                <c:rich>
                  <a:bodyPr/>
                  <a:lstStyle/>
                  <a:p>
                    <a:pPr>
                      <a:defRPr sz="1200" b="0" i="0" u="none" strike="noStrike" baseline="0">
                        <a:solidFill>
                          <a:srgbClr val="000000"/>
                        </a:solidFill>
                        <a:latin typeface="Arial"/>
                        <a:ea typeface="Arial"/>
                        <a:cs typeface="Arial"/>
                      </a:defRPr>
                    </a:pPr>
                    <a:r>
                      <a:rPr lang="en-AU" sz="1400" b="0" i="0" u="none" strike="noStrike" baseline="0">
                        <a:solidFill>
                          <a:srgbClr val="FF0000"/>
                        </a:solidFill>
                        <a:latin typeface="Symbol"/>
                      </a:rPr>
                      <a:t>m</a:t>
                    </a:r>
                    <a:r>
                      <a:rPr lang="en-AU" sz="1400" b="0" i="0" u="none" strike="noStrike" baseline="-25000">
                        <a:solidFill>
                          <a:srgbClr val="FF0000"/>
                        </a:solidFill>
                        <a:latin typeface="Arial"/>
                        <a:cs typeface="Arial"/>
                      </a:rPr>
                      <a:t>2</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C973-40A9-9B84-3BF93160712E}"/>
                </c:ext>
              </c:extLst>
            </c:dLbl>
            <c:dLbl>
              <c:idx val="2"/>
              <c:tx>
                <c:rich>
                  <a:bodyPr/>
                  <a:lstStyle/>
                  <a:p>
                    <a:pPr>
                      <a:defRPr sz="1200" b="0" i="0" u="none" strike="noStrike" baseline="0">
                        <a:solidFill>
                          <a:srgbClr val="000000"/>
                        </a:solidFill>
                        <a:latin typeface="Arial"/>
                        <a:ea typeface="Arial"/>
                        <a:cs typeface="Arial"/>
                      </a:defRPr>
                    </a:pPr>
                    <a:r>
                      <a:rPr lang="en-AU" sz="1400" b="0" i="0" u="none" strike="noStrike" baseline="0">
                        <a:solidFill>
                          <a:srgbClr val="FF0000"/>
                        </a:solidFill>
                        <a:latin typeface="Symbol"/>
                      </a:rPr>
                      <a:t>m</a:t>
                    </a:r>
                    <a:r>
                      <a:rPr lang="en-AU" sz="1400" b="0" i="0" u="none" strike="noStrike" baseline="-25000">
                        <a:solidFill>
                          <a:srgbClr val="FF0000"/>
                        </a:solidFill>
                        <a:latin typeface="Arial"/>
                        <a:cs typeface="Arial"/>
                      </a:rPr>
                      <a:t>diff</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C973-40A9-9B84-3BF93160712E}"/>
                </c:ext>
              </c:extLst>
            </c:dLbl>
            <c:spPr>
              <a:noFill/>
              <a:ln w="25400">
                <a:noFill/>
              </a:ln>
            </c:spPr>
            <c:txPr>
              <a:bodyPr/>
              <a:lstStyle/>
              <a:p>
                <a:pPr>
                  <a:defRPr sz="1400" b="0" i="0" u="none" strike="noStrike" baseline="0">
                    <a:solidFill>
                      <a:srgbClr val="FF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'Simulate paired'!$AC$34:$AC$36</c:f>
              <c:numCache>
                <c:formatCode>General</c:formatCode>
                <c:ptCount val="3"/>
                <c:pt idx="0">
                  <c:v>0.14000000000000001</c:v>
                </c:pt>
                <c:pt idx="1">
                  <c:v>2.9</c:v>
                </c:pt>
                <c:pt idx="2">
                  <c:v>4.37</c:v>
                </c:pt>
              </c:numCache>
            </c:numRef>
          </c:xVal>
          <c:yVal>
            <c:numRef>
              <c:f>'Simulate paired'!$AD$34:$AD$36</c:f>
              <c:numCache>
                <c:formatCode>General</c:formatCode>
                <c:ptCount val="3"/>
                <c:pt idx="0">
                  <c:v>#N/A</c:v>
                </c:pt>
                <c:pt idx="1">
                  <c:v>#N/A</c:v>
                </c:pt>
                <c:pt idx="2">
                  <c:v>#N/A</c:v>
                </c:pt>
              </c:numCache>
            </c:numRef>
          </c:yVal>
          <c:smooth val="0"/>
          <c:extLst>
            <c:ext xmlns:c16="http://schemas.microsoft.com/office/drawing/2014/chart" uri="{C3380CC4-5D6E-409C-BE32-E72D297353CC}">
              <c16:uniqueId val="{0000008E-C973-40A9-9B84-3BF93160712E}"/>
            </c:ext>
          </c:extLst>
        </c:ser>
        <c:dLbls>
          <c:showLegendKey val="0"/>
          <c:showVal val="0"/>
          <c:showCatName val="0"/>
          <c:showSerName val="0"/>
          <c:showPercent val="0"/>
          <c:showBubbleSize val="0"/>
        </c:dLbls>
        <c:axId val="212118144"/>
        <c:axId val="9388800"/>
      </c:scatterChart>
      <c:valAx>
        <c:axId val="212118144"/>
        <c:scaling>
          <c:orientation val="minMax"/>
        </c:scaling>
        <c:delete val="0"/>
        <c:axPos val="b"/>
        <c:title>
          <c:tx>
            <c:rich>
              <a:bodyPr/>
              <a:lstStyle/>
              <a:p>
                <a:pPr>
                  <a:defRPr sz="1200" b="0" i="0" u="none" strike="noStrike" baseline="0">
                    <a:solidFill>
                      <a:srgbClr val="000000"/>
                    </a:solidFill>
                    <a:latin typeface="Arial"/>
                    <a:ea typeface="Arial"/>
                    <a:cs typeface="Arial"/>
                  </a:defRPr>
                </a:pPr>
                <a:r>
                  <a:t>Differences</a:t>
                </a:r>
              </a:p>
            </c:rich>
          </c:tx>
          <c:layout>
            <c:manualLayout>
              <c:xMode val="edge"/>
              <c:yMode val="edge"/>
              <c:x val="0.76511627906976742"/>
              <c:y val="0.94584837545126355"/>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9388800"/>
        <c:crossesAt val="0"/>
        <c:crossBetween val="midCat"/>
      </c:valAx>
      <c:valAx>
        <c:axId val="9388800"/>
        <c:scaling>
          <c:orientation val="minMax"/>
          <c:max val="100"/>
          <c:min val="0"/>
        </c:scaling>
        <c:delete val="0"/>
        <c:axPos val="l"/>
        <c:title>
          <c:tx>
            <c:strRef>
              <c:f>'Simulate paired'!$Z$61</c:f>
              <c:strCache>
                <c:ptCount val="1"/>
                <c:pt idx="0">
                  <c:v>Dependent variable (cm).</c:v>
                </c:pt>
              </c:strCache>
            </c:strRef>
          </c:tx>
          <c:layout>
            <c:manualLayout>
              <c:xMode val="edge"/>
              <c:yMode val="edge"/>
              <c:x val="1.1627906976744186E-2"/>
              <c:y val="0.33754512635379064"/>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12118144"/>
        <c:crosses val="autoZero"/>
        <c:crossBetween val="midCat"/>
        <c:majorUnit val="10"/>
        <c:minorUnit val="5"/>
      </c:valAx>
      <c:catAx>
        <c:axId val="9390720"/>
        <c:scaling>
          <c:orientation val="minMax"/>
        </c:scaling>
        <c:delete val="1"/>
        <c:axPos val="b"/>
        <c:majorTickMark val="out"/>
        <c:minorTickMark val="none"/>
        <c:tickLblPos val="none"/>
        <c:crossAx val="9404800"/>
        <c:crossesAt val="0"/>
        <c:auto val="1"/>
        <c:lblAlgn val="ctr"/>
        <c:lblOffset val="100"/>
        <c:noMultiLvlLbl val="0"/>
      </c:catAx>
      <c:valAx>
        <c:axId val="9404800"/>
        <c:scaling>
          <c:orientation val="minMax"/>
          <c:max val="100"/>
          <c:min val="0"/>
        </c:scaling>
        <c:delete val="0"/>
        <c:axPos val="r"/>
        <c:numFmt formatCode="General" sourceLinked="1"/>
        <c:majorTickMark val="none"/>
        <c:minorTickMark val="none"/>
        <c:tickLblPos val="none"/>
        <c:spPr>
          <a:ln w="9525">
            <a:noFill/>
          </a:ln>
        </c:spPr>
        <c:crossAx val="9390720"/>
        <c:crosses val="max"/>
        <c:crossBetween val="between"/>
        <c:majorUnit val="10"/>
        <c:minorUnit val="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300" verticalDpi="300"/>
  </c:printSettings>
  <c:userShapes r:id="rId1"/>
</c:chartSpace>
</file>

<file path=xl/ctrlProps/ctrlProp1.xml><?xml version="1.0" encoding="utf-8"?>
<formControlPr xmlns="http://schemas.microsoft.com/office/spreadsheetml/2009/9/main" objectType="Spin" dx="15" fmlaLink="$H$10" max="200" min="2" page="10" val="15"/>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5" fmlaLink="$I$6" max="100" page="10" val="47"/>
</file>

<file path=xl/ctrlProps/ctrlProp5.xml><?xml version="1.0" encoding="utf-8"?>
<formControlPr xmlns="http://schemas.microsoft.com/office/spreadsheetml/2009/9/main" objectType="Spin" dx="15" fmlaLink="$N$6" max="50" page="10" val="50"/>
</file>

<file path=xl/ctrlProps/ctrlProp6.xml><?xml version="1.0" encoding="utf-8"?>
<formControlPr xmlns="http://schemas.microsoft.com/office/spreadsheetml/2009/9/main" objectType="CheckBox" checked="Checked" fmlaLink="$AP$14" lockText="1"/>
</file>

<file path=xl/ctrlProps/ctrlProp7.xml><?xml version="1.0" encoding="utf-8"?>
<formControlPr xmlns="http://schemas.microsoft.com/office/spreadsheetml/2009/9/main" objectType="Spin" dx="15" fmlaLink="I13" max="99" page="10" val="95"/>
</file>

<file path=xl/ctrlProps/ctrlProp8.xml><?xml version="1.0" encoding="utf-8"?>
<formControlPr xmlns="http://schemas.microsoft.com/office/spreadsheetml/2009/9/main" objectType="CheckBox" checked="Checked" fmlaLink="$AP$15" lockText="1"/>
</file>

<file path=xl/ctrlProps/ctrlProp9.xml><?xml version="1.0" encoding="utf-8"?>
<formControlPr xmlns="http://schemas.microsoft.com/office/spreadsheetml/2009/9/main" objectType="CheckBox" checked="Checked" fmlaLink="$AP$22" lockText="1"/>
</file>

<file path=xl/ctrlProps/ctrlProp10.xml><?xml version="1.0" encoding="utf-8"?>
<formControlPr xmlns="http://schemas.microsoft.com/office/spreadsheetml/2009/9/main" objectType="CheckBox" fmlaLink="$AP$23"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Spin" dx="15" fmlaLink="$Q$17" max="20" min="1" page="10" val="20"/>
</file>

<file path=xl/ctrlProps/ctrlProp13.xml><?xml version="1.0" encoding="utf-8"?>
<formControlPr xmlns="http://schemas.microsoft.com/office/spreadsheetml/2009/9/main" objectType="CheckBox" checked="Checked" fmlaLink="$AP$17" lockText="1"/>
</file>

<file path=xl/ctrlProps/ctrlProp14.xml><?xml version="1.0" encoding="utf-8"?>
<formControlPr xmlns="http://schemas.microsoft.com/office/spreadsheetml/2009/9/main" objectType="Spin" dx="15" fmlaLink="$AM$26" max="1000" page="10" val="325"/>
</file>

<file path=xl/ctrlProps/ctrlProp15.xml><?xml version="1.0" encoding="utf-8"?>
<formControlPr xmlns="http://schemas.microsoft.com/office/spreadsheetml/2009/9/main" objectType="Spin" dx="15" fmlaLink="$AM$25" max="1000" min="1" page="10" val="127"/>
</file>

<file path=xl/ctrlProps/ctrlProp16.xml><?xml version="1.0" encoding="utf-8"?>
<formControlPr xmlns="http://schemas.microsoft.com/office/spreadsheetml/2009/9/main" objectType="CheckBox" checked="Checked" fmlaLink="$AP$16" lockText="1"/>
</file>

<file path=xl/ctrlProps/ctrlProp17.xml><?xml version="1.0" encoding="utf-8"?>
<formControlPr xmlns="http://schemas.microsoft.com/office/spreadsheetml/2009/9/main" objectType="Scroll" dx="16" fmlaLink="$AE$12" horiz="1" max="999" min="1" page="10" val="300"/>
</file>

<file path=xl/ctrlProps/ctrlProp18.xml><?xml version="1.0" encoding="utf-8"?>
<formControlPr xmlns="http://schemas.microsoft.com/office/spreadsheetml/2009/9/main" objectType="Spin" dx="18" fmlaLink="$G$7" max="99" min="1" page="10" val="80"/>
</file>

<file path=xl/ctrlProps/ctrlProp19.xml><?xml version="1.0" encoding="utf-8"?>
<formControlPr xmlns="http://schemas.microsoft.com/office/spreadsheetml/2009/9/main" objectType="Spin" dx="15" fmlaLink="$U$10" max="200" min="2" page="10" val="32"/>
</file>

<file path=xl/ctrlProps/ctrlProp20.xml><?xml version="1.0" encoding="utf-8"?>
<formControlPr xmlns="http://schemas.microsoft.com/office/spreadsheetml/2009/9/main" objectType="Scroll" dx="15" fmlaLink="$BY$8" horiz="1" max="1000" page="10" val="500"/>
</file>

<file path=xl/ctrlProps/ctrlProp21.xml><?xml version="1.0" encoding="utf-8"?>
<formControlPr xmlns="http://schemas.microsoft.com/office/spreadsheetml/2009/9/main" objectType="Scroll" dx="15" fmlaLink="$BY$10" horiz="1" max="500" min="10" page="10" val="20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Spin" dx="15" fmlaLink="$AA$89" max="3000" page="10" val="772"/>
</file>

<file path=xl/ctrlProps/ctrlProp26.xml><?xml version="1.0" encoding="utf-8"?>
<formControlPr xmlns="http://schemas.microsoft.com/office/spreadsheetml/2009/9/main" objectType="Spin" dx="15" fmlaLink="$AA$86" max="1000" min="1" page="10" val="161"/>
</file>

<file path=xl/ctrlProps/ctrlProp27.xml><?xml version="1.0" encoding="utf-8"?>
<formControlPr xmlns="http://schemas.microsoft.com/office/spreadsheetml/2009/9/main" objectType="CheckBox" checked="Checked" fmlaLink="$BR$2" lockText="1"/>
</file>

<file path=xl/ctrlProps/ctrlProp28.xml><?xml version="1.0" encoding="utf-8"?>
<formControlPr xmlns="http://schemas.microsoft.com/office/spreadsheetml/2009/9/main" objectType="Scroll" dx="15" fmlaLink="$BY$9" horiz="1" max="1000" page="10" val="607"/>
</file>

<file path=xl/ctrlProps/ctrlProp29.xml><?xml version="1.0" encoding="utf-8"?>
<formControlPr xmlns="http://schemas.microsoft.com/office/spreadsheetml/2009/9/main" objectType="CheckBox" checked="Checked" fmlaLink="$BT$1" lockText="1"/>
</file>

<file path=xl/ctrlProps/ctrlProp30.xml><?xml version="1.0" encoding="utf-8"?>
<formControlPr xmlns="http://schemas.microsoft.com/office/spreadsheetml/2009/9/main" objectType="CheckBox" checked="Checked" fmlaLink="$BT$3" lockText="1"/>
</file>

<file path=xl/ctrlProps/ctrlProp31.xml><?xml version="1.0" encoding="utf-8"?>
<formControlPr xmlns="http://schemas.microsoft.com/office/spreadsheetml/2009/9/main" objectType="CheckBox" fmlaLink="BP4" lockText="1"/>
</file>

<file path=xl/ctrlProps/ctrlProp32.xml><?xml version="1.0" encoding="utf-8"?>
<formControlPr xmlns="http://schemas.microsoft.com/office/spreadsheetml/2009/9/main" objectType="CheckBox" checked="Checked" fmlaLink="$BT$5" lockText="1"/>
</file>

<file path=xl/ctrlProps/ctrlProp33.xml><?xml version="1.0" encoding="utf-8"?>
<formControlPr xmlns="http://schemas.microsoft.com/office/spreadsheetml/2009/9/main" objectType="CheckBox" checked="Checked" fmlaLink="BP7" lockText="1"/>
</file>

<file path=xl/ctrlProps/ctrlProp34.xml><?xml version="1.0" encoding="utf-8"?>
<formControlPr xmlns="http://schemas.microsoft.com/office/spreadsheetml/2009/9/main" objectType="Spin" dx="15" fmlaLink="$AA$92" max="1000" page="10" val="90"/>
</file>

<file path=xl/ctrlProps/ctrlProp35.xml><?xml version="1.0" encoding="utf-8"?>
<formControlPr xmlns="http://schemas.microsoft.com/office/spreadsheetml/2009/9/main" objectType="CheckBox" checked="Checked" fmlaLink="$BP$11" lockText="1"/>
</file>

<file path=xl/ctrlProps/ctrlProp36.xml><?xml version="1.0" encoding="utf-8"?>
<formControlPr xmlns="http://schemas.microsoft.com/office/spreadsheetml/2009/9/main" objectType="Scroll" dx="16" fmlaLink="$L$16" max="3000" min="1" page="40" val="2987"/>
</file>

<file path=xl/ctrlProps/ctrlProp37.xml><?xml version="1.0" encoding="utf-8"?>
<formControlPr xmlns="http://schemas.microsoft.com/office/spreadsheetml/2009/9/main" objectType="CheckBox" fmlaLink="$BT$2" lockText="1"/>
</file>

<file path=xl/ctrlProps/ctrlProp38.xml><?xml version="1.0" encoding="utf-8"?>
<formControlPr xmlns="http://schemas.microsoft.com/office/spreadsheetml/2009/9/main" objectType="CheckBox" fmlaLink="$BR$4" lockText="1"/>
</file>

<file path=xl/ctrlProps/ctrlProp39.xml><?xml version="1.0" encoding="utf-8"?>
<formControlPr xmlns="http://schemas.microsoft.com/office/spreadsheetml/2009/9/main" objectType="Spin" dx="15" fmlaLink="$BT$8" max="20" min="1" page="10" val="20"/>
</file>

<file path=xl/ctrlProps/ctrlProp40.xml><?xml version="1.0" encoding="utf-8"?>
<formControlPr xmlns="http://schemas.microsoft.com/office/spreadsheetml/2009/9/main" objectType="CheckBox" fmlaLink="$BT$9"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BP$8" lockText="1"/>
</file>

<file path=xl/ctrlProps/ctrlProp47.xml><?xml version="1.0" encoding="utf-8"?>
<formControlPr xmlns="http://schemas.microsoft.com/office/spreadsheetml/2009/9/main" objectType="CheckBox" checked="Checked" fmlaLink="$BT$4" lockText="1"/>
</file>

<file path=xl/ctrlProps/ctrlProp48.xml><?xml version="1.0" encoding="utf-8"?>
<formControlPr xmlns="http://schemas.microsoft.com/office/spreadsheetml/2009/9/main" objectType="CheckBox" fmlaLink="$J$56"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Spin" dx="18" fmlaLink="$F$56" max="107" page="10" val="27"/>
</file>

<file path=xl/ctrlProps/ctrlProp51.xml><?xml version="1.0" encoding="utf-8"?>
<formControlPr xmlns="http://schemas.microsoft.com/office/spreadsheetml/2009/9/main" objectType="Spin" dx="18" fmlaLink="$F$57" max="140" page="10" val="30"/>
</file>

<file path=xl/ctrlProps/ctrlProp52.xml><?xml version="1.0" encoding="utf-8"?>
<formControlPr xmlns="http://schemas.microsoft.com/office/spreadsheetml/2009/9/main" objectType="Spin" dx="18" fmlaLink="$F$58" inc="10" max="1000" min="10" page="10" val="200"/>
</file>

<file path=xl/ctrlProps/ctrlProp53.xml><?xml version="1.0" encoding="utf-8"?>
<formControlPr xmlns="http://schemas.microsoft.com/office/spreadsheetml/2009/9/main" objectType="Scroll" dx="15" fmlaLink="$AM$6" horiz="1" max="2000" page="10" val="1700"/>
</file>

<file path=xl/ctrlProps/ctrlProp54.xml><?xml version="1.0" encoding="utf-8"?>
<formControlPr xmlns="http://schemas.microsoft.com/office/spreadsheetml/2009/9/main" objectType="Scroll" dx="15" fmlaLink="$AM$2" horiz="1" max="1400" page="10" val="500"/>
</file>

<file path=xl/ctrlProps/ctrlProp55.xml><?xml version="1.0" encoding="utf-8"?>
<formControlPr xmlns="http://schemas.microsoft.com/office/spreadsheetml/2009/9/main" objectType="Scroll" dx="15" fmlaLink="$AM$4" horiz="1" max="1400" page="10" val="1040"/>
</file>

<file path=xl/ctrlProps/ctrlProp56.xml><?xml version="1.0" encoding="utf-8"?>
<formControlPr xmlns="http://schemas.microsoft.com/office/spreadsheetml/2009/9/main" objectType="Scroll" dx="15" fmlaLink="$AM$3" horiz="1" max="1400" page="10" val="500"/>
</file>

<file path=xl/ctrlProps/ctrlProp57.xml><?xml version="1.0" encoding="utf-8"?>
<formControlPr xmlns="http://schemas.microsoft.com/office/spreadsheetml/2009/9/main" objectType="Scroll" dx="15" fmlaLink="$AM$5" horiz="1" max="1400" page="10" val="550"/>
</file>

<file path=xl/ctrlProps/ctrlProp58.xml><?xml version="1.0" encoding="utf-8"?>
<formControlPr xmlns="http://schemas.microsoft.com/office/spreadsheetml/2009/9/main" objectType="Spin" dx="15" fmlaLink="$C$25" max="100" min="2" page="10" val="40"/>
</file>

<file path=xl/ctrlProps/ctrlProp59.xml><?xml version="1.0" encoding="utf-8"?>
<formControlPr xmlns="http://schemas.microsoft.com/office/spreadsheetml/2009/9/main" objectType="Spin" dx="15" fmlaLink="$C$16" max="100" min="2" page="10" val="40"/>
</file>

<file path=xl/ctrlProps/ctrlProp60.xml><?xml version="1.0" encoding="utf-8"?>
<formControlPr xmlns="http://schemas.microsoft.com/office/spreadsheetml/2009/9/main" objectType="CheckBox" fmlaLink="$M$16" lockText="1"/>
</file>

<file path=xl/ctrlProps/ctrlProp61.xml><?xml version="1.0" encoding="utf-8"?>
<formControlPr xmlns="http://schemas.microsoft.com/office/spreadsheetml/2009/9/main" objectType="CheckBox" fmlaLink="$M$17" lockText="1"/>
</file>

<file path=xl/ctrlProps/ctrlProp62.xml><?xml version="1.0" encoding="utf-8"?>
<formControlPr xmlns="http://schemas.microsoft.com/office/spreadsheetml/2009/9/main" objectType="CheckBox" fmlaLink="$M$18" lockText="1"/>
</file>

<file path=xl/ctrlProps/ctrlProp63.xml><?xml version="1.0" encoding="utf-8"?>
<formControlPr xmlns="http://schemas.microsoft.com/office/spreadsheetml/2009/9/main" objectType="CheckBox" fmlaLink="$AL$4"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CheckBox" checked="Checked" fmlaLink="$W$54" lockText="1"/>
</file>

<file path=xl/ctrlProps/ctrlProp67.xml><?xml version="1.0" encoding="utf-8"?>
<formControlPr xmlns="http://schemas.microsoft.com/office/spreadsheetml/2009/9/main" objectType="CheckBox" checked="Checked" fmlaLink="$W$55" lockText="1"/>
</file>

<file path=xl/ctrlProps/ctrlProp68.xml><?xml version="1.0" encoding="utf-8"?>
<formControlPr xmlns="http://schemas.microsoft.com/office/spreadsheetml/2009/9/main" objectType="CheckBox" fmlaLink="$W$56" lockText="1"/>
</file>

<file path=xl/ctrlProps/ctrlProp69.xml><?xml version="1.0" encoding="utf-8"?>
<formControlPr xmlns="http://schemas.microsoft.com/office/spreadsheetml/2009/9/main" objectType="CheckBox" checked="Checked" fmlaLink="$Y$53" lockText="1"/>
</file>

<file path=xl/ctrlProps/ctrlProp70.xml><?xml version="1.0" encoding="utf-8"?>
<formControlPr xmlns="http://schemas.microsoft.com/office/spreadsheetml/2009/9/main" objectType="Spin" dx="15" fmlaLink="$P$10" max="99" page="10" val="95"/>
</file>

<file path=xl/ctrlProps/ctrlProp71.xml><?xml version="1.0" encoding="utf-8"?>
<formControlPr xmlns="http://schemas.microsoft.com/office/spreadsheetml/2009/9/main" objectType="CheckBox" fmlaLink="$Y$54" lockText="1"/>
</file>

<file path=xl/ctrlProps/ctrlProp72.xml><?xml version="1.0" encoding="utf-8"?>
<formControlPr xmlns="http://schemas.microsoft.com/office/spreadsheetml/2009/9/main" objectType="Radio" checked="Checked" firstButton="1" fmlaLink="Y56" lockText="1"/>
</file>

<file path=xl/ctrlProps/ctrlProp73.xml><?xml version="1.0" encoding="utf-8"?>
<formControlPr xmlns="http://schemas.microsoft.com/office/spreadsheetml/2009/9/main" objectType="Radio" lockText="1"/>
</file>

<file path=xl/ctrlProps/ctrlProp74.xml><?xml version="1.0" encoding="utf-8"?>
<formControlPr xmlns="http://schemas.microsoft.com/office/spreadsheetml/2009/9/main" objectType="CheckBox" fmlaLink="$Y$57" lockText="1"/>
</file>

<file path=xl/ctrlProps/ctrlProp75.xml><?xml version="1.0" encoding="utf-8"?>
<formControlPr xmlns="http://schemas.microsoft.com/office/spreadsheetml/2009/9/main" objectType="CheckBox" fmlaLink="$W$53" lockText="1"/>
</file>

<file path=xl/ctrlProps/ctrlProp76.xml><?xml version="1.0" encoding="utf-8"?>
<formControlPr xmlns="http://schemas.microsoft.com/office/spreadsheetml/2009/9/main" objectType="CheckBox" fmlaLink="$AY$37" lockText="1"/>
</file>

<file path=xl/ctrlProps/ctrlProp77.xml><?xml version="1.0" encoding="utf-8"?>
<formControlPr xmlns="http://schemas.microsoft.com/office/spreadsheetml/2009/9/main" objectType="CheckBox" fmlaLink="$D$7" lockText="1"/>
</file>

<file path=xl/ctrlProps/ctrlProp78.xml><?xml version="1.0" encoding="utf-8"?>
<formControlPr xmlns="http://schemas.microsoft.com/office/spreadsheetml/2009/9/main" objectType="CheckBox" fmlaLink="$D$4"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Spin" dx="15" fmlaLink="B3" max="90" min="10" page="10" val="67"/>
</file>

<file path=xl/ctrlProps/ctrlProp81.xml><?xml version="1.0" encoding="utf-8"?>
<formControlPr xmlns="http://schemas.microsoft.com/office/spreadsheetml/2009/9/main" objectType="Spin" dx="15" fmlaLink="B4" max="50" min="5" page="10" val="25"/>
</file>

<file path=xl/ctrlProps/ctrlProp82.xml><?xml version="1.0" encoding="utf-8"?>
<formControlPr xmlns="http://schemas.microsoft.com/office/spreadsheetml/2009/9/main" objectType="Spin" dx="15" fmlaLink="L11" max="100" min="2" page="10" val="20"/>
</file>

<file path=xl/ctrlProps/ctrlProp83.xml><?xml version="1.0" encoding="utf-8"?>
<formControlPr xmlns="http://schemas.microsoft.com/office/spreadsheetml/2009/9/main" objectType="Radio" checked="Checked" firstButton="1" fmlaLink="$D$14" lockText="1"/>
</file>

<file path=xl/ctrlProps/ctrlProp84.xml><?xml version="1.0" encoding="utf-8"?>
<formControlPr xmlns="http://schemas.microsoft.com/office/spreadsheetml/2009/9/main" objectType="Radio" lockText="1"/>
</file>

<file path=xl/ctrlProps/ctrlProp85.xml><?xml version="1.0" encoding="utf-8"?>
<formControlPr xmlns="http://schemas.microsoft.com/office/spreadsheetml/2009/9/main" objectType="CheckBox" fmlaLink="$D$5" lockText="1"/>
</file>

<file path=xl/ctrlProps/ctrlProp86.xml><?xml version="1.0" encoding="utf-8"?>
<formControlPr xmlns="http://schemas.microsoft.com/office/spreadsheetml/2009/9/main" objectType="CheckBox" checked="Checked" fmlaLink="$D$8" lockText="1"/>
</file>

<file path=xl/ctrlProps/ctrlProp87.xml><?xml version="1.0" encoding="utf-8"?>
<formControlPr xmlns="http://schemas.microsoft.com/office/spreadsheetml/2009/9/main" objectType="Spin" dx="15" fmlaLink="L21" max="99" page="10" val="95"/>
</file>

<file path=xl/ctrlProps/ctrlProp88.xml><?xml version="1.0" encoding="utf-8"?>
<formControlPr xmlns="http://schemas.microsoft.com/office/spreadsheetml/2009/9/main" objectType="Spin" dx="15" fmlaLink="I11" max="100" min="2" page="10" val="40"/>
</file>

<file path=xl/ctrlProps/ctrlProp89.xml><?xml version="1.0" encoding="utf-8"?>
<formControlPr xmlns="http://schemas.microsoft.com/office/spreadsheetml/2009/9/main" objectType="Spin" dx="15" fmlaLink="B5" max="90" min="10" page="10" val="57"/>
</file>

<file path=xl/ctrlProps/ctrlProp90.xml><?xml version="1.0" encoding="utf-8"?>
<formControlPr xmlns="http://schemas.microsoft.com/office/spreadsheetml/2009/9/main" objectType="CheckBox" fmlaLink="$D$6" lockText="1"/>
</file>

<file path=xl/ctrlProps/ctrlProp91.xml><?xml version="1.0" encoding="utf-8"?>
<formControlPr xmlns="http://schemas.microsoft.com/office/spreadsheetml/2009/9/main" objectType="CheckBox" checked="Checked" fmlaLink="$B$15"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Spin" dx="15" fmlaLink="$AX$3" max="20" min="1" page="10" val="20"/>
</file>

<file path=xl/ctrlProps/ctrlProp94.xml><?xml version="1.0" encoding="utf-8"?>
<formControlPr xmlns="http://schemas.microsoft.com/office/spreadsheetml/2009/9/main" objectType="CheckBox" checked="Checked" fmlaLink="$AX$21" lockText="1"/>
</file>

<file path=xl/ctrlProps/ctrlProp95.xml><?xml version="1.0" encoding="utf-8"?>
<formControlPr xmlns="http://schemas.microsoft.com/office/spreadsheetml/2009/9/main" objectType="CheckBox" checked="Checked" fmlaLink="$AX$22" lockText="1"/>
</file>

<file path=xl/ctrlProps/ctrlProp96.xml><?xml version="1.0" encoding="utf-8"?>
<formControlPr xmlns="http://schemas.microsoft.com/office/spreadsheetml/2009/9/main" objectType="CheckBox" fmlaLink="$D$15" lockText="1"/>
</file>

<file path=xl/ctrlProps/ctrlProp97.xml><?xml version="1.0" encoding="utf-8"?>
<formControlPr xmlns="http://schemas.microsoft.com/office/spreadsheetml/2009/9/main" objectType="CheckBox" fmlaLink="$AY$31"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checked="Checked" fmlaLink="$Y$6" lockText="1"/>
</file>

<file path=xl/ctrlProps/ctrlProp100.xml><?xml version="1.0" encoding="utf-8"?>
<formControlPr xmlns="http://schemas.microsoft.com/office/spreadsheetml/2009/9/main" objectType="CheckBox" checked="Checked" fmlaLink="$Y$5" lockText="1"/>
</file>

<file path=xl/ctrlProps/ctrlProp101.xml><?xml version="1.0" encoding="utf-8"?>
<formControlPr xmlns="http://schemas.microsoft.com/office/spreadsheetml/2009/9/main" objectType="CheckBox" checked="Checked" fmlaLink="$Y$8" lockText="1"/>
</file>

<file path=xl/ctrlProps/ctrlProp102.xml><?xml version="1.0" encoding="utf-8"?>
<formControlPr xmlns="http://schemas.microsoft.com/office/spreadsheetml/2009/9/main" objectType="Spin" dx="15" fmlaLink="$Q$11" max="99" page="10" val="95"/>
</file>

<file path=xl/ctrlProps/ctrlProp103.xml><?xml version="1.0" encoding="utf-8"?>
<formControlPr xmlns="http://schemas.microsoft.com/office/spreadsheetml/2009/9/main" objectType="CheckBox" checked="Checked" fmlaLink="$Y$7" lockText="1"/>
</file>

<file path=xl/ctrlProps/ctrlProp104.xml><?xml version="1.0" encoding="utf-8"?>
<formControlPr xmlns="http://schemas.microsoft.com/office/spreadsheetml/2009/9/main" objectType="CheckBox" checked="Checked" fmlaLink="W3" lockText="1"/>
</file>

<file path=xl/ctrlProps/ctrlProp105.xml><?xml version="1.0" encoding="utf-8"?>
<formControlPr xmlns="http://schemas.microsoft.com/office/spreadsheetml/2009/9/main" objectType="CheckBox" fmlaLink="W4" lockText="1"/>
</file>

<file path=xl/ctrlProps/ctrlProp106.xml><?xml version="1.0" encoding="utf-8"?>
<formControlPr xmlns="http://schemas.microsoft.com/office/spreadsheetml/2009/9/main" objectType="CheckBox" fmlaLink="W5" lockText="1"/>
</file>

<file path=xl/ctrlProps/ctrlProp107.xml><?xml version="1.0" encoding="utf-8"?>
<formControlPr xmlns="http://schemas.microsoft.com/office/spreadsheetml/2009/9/main" objectType="CheckBox" fmlaLink="W6" lockText="1"/>
</file>

<file path=xl/ctrlProps/ctrlProp108.xml><?xml version="1.0" encoding="utf-8"?>
<formControlPr xmlns="http://schemas.microsoft.com/office/spreadsheetml/2009/9/main" objectType="CheckBox" fmlaLink="$C$3"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CheckBox" fmlaLink="$AU$67" lockText="1"/>
</file>

<file path=xl/ctrlProps/ctrlProp111.xml><?xml version="1.0" encoding="utf-8"?>
<formControlPr xmlns="http://schemas.microsoft.com/office/spreadsheetml/2009/9/main" objectType="CheckBox" checked="Checked" fmlaLink="$B$8"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Spin" dx="15" fmlaLink="D3" max="100" page="10" val="51"/>
</file>

<file path=xl/ctrlProps/ctrlProp114.xml><?xml version="1.0" encoding="utf-8"?>
<formControlPr xmlns="http://schemas.microsoft.com/office/spreadsheetml/2009/9/main" objectType="Spin" dx="15" fmlaLink="D4" max="50" min="1" page="10" val="13"/>
</file>

<file path=xl/ctrlProps/ctrlProp115.xml><?xml version="1.0" encoding="utf-8"?>
<formControlPr xmlns="http://schemas.microsoft.com/office/spreadsheetml/2009/9/main" objectType="CheckBox" checked="Checked" fmlaLink="$B$7" lockText="1"/>
</file>

<file path=xl/ctrlProps/ctrlProp116.xml><?xml version="1.0" encoding="utf-8"?>
<formControlPr xmlns="http://schemas.microsoft.com/office/spreadsheetml/2009/9/main" objectType="Spin" dx="15" fmlaLink="M21" max="99" page="10" val="95"/>
</file>

<file path=xl/ctrlProps/ctrlProp117.xml><?xml version="1.0" encoding="utf-8"?>
<formControlPr xmlns="http://schemas.microsoft.com/office/spreadsheetml/2009/9/main" objectType="Spin" dx="15" fmlaLink="L11" max="100" min="2" page="10" val="8"/>
</file>

<file path=xl/ctrlProps/ctrlProp118.xml><?xml version="1.0" encoding="utf-8"?>
<formControlPr xmlns="http://schemas.microsoft.com/office/spreadsheetml/2009/9/main" objectType="Spin" dx="15" fmlaLink="D5" max="100" page="10" val="45"/>
</file>

<file path=xl/ctrlProps/ctrlProp119.xml><?xml version="1.0" encoding="utf-8"?>
<formControlPr xmlns="http://schemas.microsoft.com/office/spreadsheetml/2009/9/main" objectType="Spin" dx="15" fmlaLink="$D$6" max="50" min="1" page="10" val="6"/>
</file>

<file path=xl/ctrlProps/ctrlProp120.xml><?xml version="1.0" encoding="utf-8"?>
<formControlPr xmlns="http://schemas.microsoft.com/office/spreadsheetml/2009/9/main" objectType="CheckBox" checked="Checked" fmlaLink="$B$5" lockText="1"/>
</file>

<file path=xl/ctrlProps/ctrlProp121.xml><?xml version="1.0" encoding="utf-8"?>
<formControlPr xmlns="http://schemas.microsoft.com/office/spreadsheetml/2009/9/main" objectType="CheckBox" fmlaLink="$B$6"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fmlaLink="$Z$10" lockText="1"/>
</file>

<file path=xl/ctrlProps/ctrlProp124.xml><?xml version="1.0" encoding="utf-8"?>
<formControlPr xmlns="http://schemas.microsoft.com/office/spreadsheetml/2009/9/main" objectType="Spin" dx="15" fmlaLink="$AD$3" max="20" min="1" page="10" val="20"/>
</file>

<file path=xl/ctrlProps/ctrlProp125.xml><?xml version="1.0" encoding="utf-8"?>
<formControlPr xmlns="http://schemas.microsoft.com/office/spreadsheetml/2009/9/main" objectType="Radio" checked="Checked" firstButton="1" fmlaLink="$B$9"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CheckBox" fmlaLink="$B$4" lockText="1"/>
</file>

<file path=xl/ctrlProps/ctrlProp128.xml><?xml version="1.0" encoding="utf-8"?>
<formControlPr xmlns="http://schemas.microsoft.com/office/spreadsheetml/2009/9/main" objectType="CheckBox" fmlaLink="$B$3" lockText="1"/>
</file>

<file path=xl/ctrlProps/ctrlProp129.xml><?xml version="1.0" encoding="utf-8"?>
<formControlPr xmlns="http://schemas.microsoft.com/office/spreadsheetml/2009/9/main" objectType="CheckBox" fmlaLink="AA3" lockText="1"/>
</file>

<file path=xl/ctrlProps/ctrlProp130.xml><?xml version="1.0" encoding="utf-8"?>
<formControlPr xmlns="http://schemas.microsoft.com/office/spreadsheetml/2009/9/main" objectType="CheckBox" fmlaLink="AA4" lockText="1"/>
</file>

<file path=xl/ctrlProps/ctrlProp131.xml><?xml version="1.0" encoding="utf-8"?>
<formControlPr xmlns="http://schemas.microsoft.com/office/spreadsheetml/2009/9/main" objectType="CheckBox" fmlaLink="AA5" lockText="1"/>
</file>

<file path=xl/ctrlProps/ctrlProp132.xml><?xml version="1.0" encoding="utf-8"?>
<formControlPr xmlns="http://schemas.microsoft.com/office/spreadsheetml/2009/9/main" objectType="CheckBox" fmlaLink="AA6" lockText="1"/>
</file>

<file path=xl/ctrlProps/ctrlProp133.xml><?xml version="1.0" encoding="utf-8"?>
<formControlPr xmlns="http://schemas.microsoft.com/office/spreadsheetml/2009/9/main" objectType="CheckBox" fmlaLink="$D$12" lockText="1"/>
</file>

<file path=xl/ctrlProps/ctrlProp134.xml><?xml version="1.0" encoding="utf-8"?>
<formControlPr xmlns="http://schemas.microsoft.com/office/spreadsheetml/2009/9/main" objectType="CheckBox" fmlaLink="$AU$61"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emf"/><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chart" Target="../charts/chart4.xml"/><Relationship Id="rId7" Type="http://schemas.openxmlformats.org/officeDocument/2006/relationships/image" Target="../media/image24.emf"/><Relationship Id="rId12" Type="http://schemas.openxmlformats.org/officeDocument/2006/relationships/chart" Target="../charts/chart8.xml"/><Relationship Id="rId2" Type="http://schemas.openxmlformats.org/officeDocument/2006/relationships/image" Target="../media/image1.emf"/><Relationship Id="rId1" Type="http://schemas.openxmlformats.org/officeDocument/2006/relationships/chart" Target="../charts/chart3.xml"/><Relationship Id="rId6" Type="http://schemas.openxmlformats.org/officeDocument/2006/relationships/chart" Target="../charts/chart7.xml"/><Relationship Id="rId11" Type="http://schemas.openxmlformats.org/officeDocument/2006/relationships/image" Target="../media/image28.emf"/><Relationship Id="rId5" Type="http://schemas.openxmlformats.org/officeDocument/2006/relationships/chart" Target="../charts/chart6.xml"/><Relationship Id="rId10" Type="http://schemas.openxmlformats.org/officeDocument/2006/relationships/image" Target="../media/image27.emf"/><Relationship Id="rId4" Type="http://schemas.openxmlformats.org/officeDocument/2006/relationships/chart" Target="../charts/chart5.xml"/><Relationship Id="rId9" Type="http://schemas.openxmlformats.org/officeDocument/2006/relationships/image" Target="../media/image26.emf"/></Relationships>
</file>

<file path=xl/drawings/_rels/drawing9.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1.emf"/><Relationship Id="rId1" Type="http://schemas.openxmlformats.org/officeDocument/2006/relationships/image" Target="../media/image3.emf"/><Relationship Id="rId4"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image" Target="../media/image1.emf"/><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0</xdr:row>
      <xdr:rowOff>114300</xdr:rowOff>
    </xdr:from>
    <xdr:to>
      <xdr:col>4</xdr:col>
      <xdr:colOff>104775</xdr:colOff>
      <xdr:row>7</xdr:row>
      <xdr:rowOff>114300</xdr:rowOff>
    </xdr:to>
    <xdr:pic>
      <xdr:nvPicPr>
        <xdr:cNvPr id="6153"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66700" y="114300"/>
          <a:ext cx="1152525" cy="12096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0</xdr:colOff>
      <xdr:row>0</xdr:row>
      <xdr:rowOff>9525</xdr:rowOff>
    </xdr:from>
    <xdr:to>
      <xdr:col>32</xdr:col>
      <xdr:colOff>0</xdr:colOff>
      <xdr:row>22</xdr:row>
      <xdr:rowOff>0</xdr:rowOff>
    </xdr:to>
    <xdr:graphicFrame macro="">
      <xdr:nvGraphicFramePr>
        <xdr:cNvPr id="17413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5</xdr:col>
      <xdr:colOff>47625</xdr:colOff>
      <xdr:row>0</xdr:row>
      <xdr:rowOff>28575</xdr:rowOff>
    </xdr:from>
    <xdr:to>
      <xdr:col>6</xdr:col>
      <xdr:colOff>352425</xdr:colOff>
      <xdr:row>3</xdr:row>
      <xdr:rowOff>57150</xdr:rowOff>
    </xdr:to>
    <xdr:pic>
      <xdr:nvPicPr>
        <xdr:cNvPr id="174134" name="Picture 8"/>
        <xdr:cNvPicPr>
          <a:picLocks noChangeAspect="1" noChangeArrowheads="1"/>
        </xdr:cNvPicPr>
      </xdr:nvPicPr>
      <xdr:blipFill>
        <a:blip xmlns:r="http://schemas.openxmlformats.org/officeDocument/2006/relationships" r:embed="rId2" cstate="print"/>
        <a:srcRect/>
        <a:stretch>
          <a:fillRect/>
        </a:stretch>
      </xdr:blipFill>
      <xdr:spPr bwMode="auto">
        <a:xfrm>
          <a:off x="104775" y="28575"/>
          <a:ext cx="457200" cy="457200"/>
        </a:xfrm>
        <a:prstGeom prst="rect">
          <a:avLst/>
        </a:prstGeom>
        <a:noFill/>
        <a:ln w="9525">
          <a:noFill/>
          <a:miter lim="800000"/>
          <a:headEnd/>
          <a:tailEnd/>
        </a:ln>
      </xdr:spPr>
    </xdr:pic>
    <xdr:clientData/>
  </xdr:twoCellAnchor>
  <xdr:twoCellAnchor editAs="oneCell">
    <xdr:from>
      <xdr:col>6</xdr:col>
      <xdr:colOff>9525</xdr:colOff>
      <xdr:row>22</xdr:row>
      <xdr:rowOff>0</xdr:rowOff>
    </xdr:from>
    <xdr:to>
      <xdr:col>32</xdr:col>
      <xdr:colOff>0</xdr:colOff>
      <xdr:row>37</xdr:row>
      <xdr:rowOff>28575</xdr:rowOff>
    </xdr:to>
    <xdr:graphicFrame macro="">
      <xdr:nvGraphicFramePr>
        <xdr:cNvPr id="174135"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9525</xdr:colOff>
          <xdr:row>8</xdr:row>
          <xdr:rowOff>95250</xdr:rowOff>
        </xdr:from>
        <xdr:to>
          <xdr:col>8</xdr:col>
          <xdr:colOff>152400</xdr:colOff>
          <xdr:row>10</xdr:row>
          <xdr:rowOff>47625</xdr:rowOff>
        </xdr:to>
        <xdr:sp macro="" textlink="">
          <xdr:nvSpPr>
            <xdr:cNvPr id="174081" name="Spinner 1" hidden="1">
              <a:extLst>
                <a:ext uri="{63B3BB69-23CF-44E3-9099-C40C66FF867C}">
                  <a14:compatExt spid="_x0000_s1740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14</xdr:row>
          <xdr:rowOff>123825</xdr:rowOff>
        </xdr:from>
        <xdr:to>
          <xdr:col>7</xdr:col>
          <xdr:colOff>247650</xdr:colOff>
          <xdr:row>17</xdr:row>
          <xdr:rowOff>57150</xdr:rowOff>
        </xdr:to>
        <xdr:sp macro="" textlink="">
          <xdr:nvSpPr>
            <xdr:cNvPr id="174082" name="Button 2" hidden="1">
              <a:extLst>
                <a:ext uri="{63B3BB69-23CF-44E3-9099-C40C66FF867C}">
                  <a14:compatExt spid="_x0000_s174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14</xdr:row>
          <xdr:rowOff>123825</xdr:rowOff>
        </xdr:from>
        <xdr:to>
          <xdr:col>11</xdr:col>
          <xdr:colOff>209550</xdr:colOff>
          <xdr:row>17</xdr:row>
          <xdr:rowOff>57150</xdr:rowOff>
        </xdr:to>
        <xdr:sp macro="" textlink="">
          <xdr:nvSpPr>
            <xdr:cNvPr id="174083" name="Button 3" hidden="1">
              <a:extLst>
                <a:ext uri="{63B3BB69-23CF-44E3-9099-C40C66FF867C}">
                  <a14:compatExt spid="_x0000_s174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One initial experiment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xdr:row>
          <xdr:rowOff>95250</xdr:rowOff>
        </xdr:from>
        <xdr:to>
          <xdr:col>10</xdr:col>
          <xdr:colOff>47625</xdr:colOff>
          <xdr:row>6</xdr:row>
          <xdr:rowOff>47625</xdr:rowOff>
        </xdr:to>
        <xdr:sp macro="" textlink="">
          <xdr:nvSpPr>
            <xdr:cNvPr id="174085" name="Spinner 5" hidden="1">
              <a:extLst>
                <a:ext uri="{63B3BB69-23CF-44E3-9099-C40C66FF867C}">
                  <a14:compatExt spid="_x0000_s1740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4</xdr:row>
          <xdr:rowOff>95250</xdr:rowOff>
        </xdr:from>
        <xdr:to>
          <xdr:col>14</xdr:col>
          <xdr:colOff>152400</xdr:colOff>
          <xdr:row>6</xdr:row>
          <xdr:rowOff>57150</xdr:rowOff>
        </xdr:to>
        <xdr:sp macro="" textlink="">
          <xdr:nvSpPr>
            <xdr:cNvPr id="174086" name="Spinner 6" hidden="1">
              <a:extLst>
                <a:ext uri="{63B3BB69-23CF-44E3-9099-C40C66FF867C}">
                  <a14:compatExt spid="_x0000_s1740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6</xdr:row>
          <xdr:rowOff>95250</xdr:rowOff>
        </xdr:from>
        <xdr:to>
          <xdr:col>10</xdr:col>
          <xdr:colOff>57150</xdr:colOff>
          <xdr:row>8</xdr:row>
          <xdr:rowOff>9525</xdr:rowOff>
        </xdr:to>
        <xdr:sp macro="" textlink="">
          <xdr:nvSpPr>
            <xdr:cNvPr id="174087" name="Check Box 7" hidden="1">
              <a:extLst>
                <a:ext uri="{63B3BB69-23CF-44E3-9099-C40C66FF867C}">
                  <a14:compatExt spid="_x0000_s174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11</xdr:row>
          <xdr:rowOff>95250</xdr:rowOff>
        </xdr:from>
        <xdr:to>
          <xdr:col>10</xdr:col>
          <xdr:colOff>47625</xdr:colOff>
          <xdr:row>13</xdr:row>
          <xdr:rowOff>57150</xdr:rowOff>
        </xdr:to>
        <xdr:sp macro="" textlink="">
          <xdr:nvSpPr>
            <xdr:cNvPr id="174091" name="Spinner 11" hidden="1">
              <a:extLst>
                <a:ext uri="{63B3BB69-23CF-44E3-9099-C40C66FF867C}">
                  <a14:compatExt spid="_x0000_s1740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104775</xdr:rowOff>
        </xdr:from>
        <xdr:to>
          <xdr:col>12</xdr:col>
          <xdr:colOff>47625</xdr:colOff>
          <xdr:row>11</xdr:row>
          <xdr:rowOff>19050</xdr:rowOff>
        </xdr:to>
        <xdr:sp macro="" textlink="">
          <xdr:nvSpPr>
            <xdr:cNvPr id="174092" name="Check Box 12" hidden="1">
              <a:extLst>
                <a:ext uri="{63B3BB69-23CF-44E3-9099-C40C66FF867C}">
                  <a14:compatExt spid="_x0000_s174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8</xdr:row>
          <xdr:rowOff>104775</xdr:rowOff>
        </xdr:from>
        <xdr:to>
          <xdr:col>10</xdr:col>
          <xdr:colOff>57150</xdr:colOff>
          <xdr:row>10</xdr:row>
          <xdr:rowOff>19050</xdr:rowOff>
        </xdr:to>
        <xdr:sp macro="" textlink="">
          <xdr:nvSpPr>
            <xdr:cNvPr id="174093" name="Check Box 13" hidden="1">
              <a:extLst>
                <a:ext uri="{63B3BB69-23CF-44E3-9099-C40C66FF867C}">
                  <a14:compatExt spid="_x0000_s174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104775</xdr:rowOff>
        </xdr:from>
        <xdr:to>
          <xdr:col>8</xdr:col>
          <xdr:colOff>238125</xdr:colOff>
          <xdr:row>20</xdr:row>
          <xdr:rowOff>19050</xdr:rowOff>
        </xdr:to>
        <xdr:sp macro="" textlink="">
          <xdr:nvSpPr>
            <xdr:cNvPr id="174094" name="Check Box 14" hidden="1">
              <a:extLst>
                <a:ext uri="{63B3BB69-23CF-44E3-9099-C40C66FF867C}">
                  <a14:compatExt spid="_x0000_s174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14</xdr:row>
          <xdr:rowOff>123825</xdr:rowOff>
        </xdr:from>
        <xdr:to>
          <xdr:col>14</xdr:col>
          <xdr:colOff>180975</xdr:colOff>
          <xdr:row>17</xdr:row>
          <xdr:rowOff>57150</xdr:rowOff>
        </xdr:to>
        <xdr:sp macro="" textlink="">
          <xdr:nvSpPr>
            <xdr:cNvPr id="174106" name="Button 26" hidden="1">
              <a:extLst>
                <a:ext uri="{63B3BB69-23CF-44E3-9099-C40C66FF867C}">
                  <a14:compatExt spid="_x0000_s17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Arial"/>
                  <a:cs typeface="Arial"/>
                </a:rPr>
                <a:t>Run-</a:t>
              </a:r>
            </a:p>
            <a:p>
              <a:pPr algn="ctr" rtl="0">
                <a:defRPr sz="1000"/>
              </a:pPr>
              <a:r>
                <a:rPr lang="en-US" sz="800" b="1" i="0" u="none" strike="noStrike" baseline="0">
                  <a:solidFill>
                    <a:srgbClr val="FF0000"/>
                  </a:solidFill>
                  <a:latin typeface="Arial"/>
                  <a:cs typeface="Arial"/>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16</xdr:row>
          <xdr:rowOff>9525</xdr:rowOff>
        </xdr:from>
        <xdr:to>
          <xdr:col>16</xdr:col>
          <xdr:colOff>57150</xdr:colOff>
          <xdr:row>17</xdr:row>
          <xdr:rowOff>28575</xdr:rowOff>
        </xdr:to>
        <xdr:sp macro="" textlink="">
          <xdr:nvSpPr>
            <xdr:cNvPr id="174107" name="Spinner 27" hidden="1">
              <a:extLst>
                <a:ext uri="{63B3BB69-23CF-44E3-9099-C40C66FF867C}">
                  <a14:compatExt spid="_x0000_s1741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12</xdr:row>
          <xdr:rowOff>95250</xdr:rowOff>
        </xdr:from>
        <xdr:to>
          <xdr:col>12</xdr:col>
          <xdr:colOff>76200</xdr:colOff>
          <xdr:row>14</xdr:row>
          <xdr:rowOff>9525</xdr:rowOff>
        </xdr:to>
        <xdr:sp macro="" textlink="">
          <xdr:nvSpPr>
            <xdr:cNvPr id="174108" name="Check Box 28" hidden="1">
              <a:extLst>
                <a:ext uri="{63B3BB69-23CF-44E3-9099-C40C66FF867C}">
                  <a14:compatExt spid="_x0000_s174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9525</xdr:colOff>
          <xdr:row>25</xdr:row>
          <xdr:rowOff>28575</xdr:rowOff>
        </xdr:from>
        <xdr:to>
          <xdr:col>39</xdr:col>
          <xdr:colOff>152400</xdr:colOff>
          <xdr:row>26</xdr:row>
          <xdr:rowOff>114300</xdr:rowOff>
        </xdr:to>
        <xdr:sp macro="" textlink="">
          <xdr:nvSpPr>
            <xdr:cNvPr id="174112" name="Spinner 32" hidden="1">
              <a:extLst>
                <a:ext uri="{63B3BB69-23CF-44E3-9099-C40C66FF867C}">
                  <a14:compatExt spid="_x0000_s174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9525</xdr:colOff>
          <xdr:row>23</xdr:row>
          <xdr:rowOff>19050</xdr:rowOff>
        </xdr:from>
        <xdr:to>
          <xdr:col>39</xdr:col>
          <xdr:colOff>152400</xdr:colOff>
          <xdr:row>24</xdr:row>
          <xdr:rowOff>104775</xdr:rowOff>
        </xdr:to>
        <xdr:sp macro="" textlink="">
          <xdr:nvSpPr>
            <xdr:cNvPr id="174113" name="Spinner 33" hidden="1">
              <a:extLst>
                <a:ext uri="{63B3BB69-23CF-44E3-9099-C40C66FF867C}">
                  <a14:compatExt spid="_x0000_s1741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0</xdr:colOff>
          <xdr:row>60</xdr:row>
          <xdr:rowOff>123825</xdr:rowOff>
        </xdr:to>
        <xdr:sp macro="" textlink="">
          <xdr:nvSpPr>
            <xdr:cNvPr id="174120" name="Object 40" hidden="1">
              <a:extLst>
                <a:ext uri="{63B3BB69-23CF-44E3-9099-C40C66FF867C}">
                  <a14:compatExt spid="_x0000_s17412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10</xdr:row>
          <xdr:rowOff>114300</xdr:rowOff>
        </xdr:from>
        <xdr:to>
          <xdr:col>13</xdr:col>
          <xdr:colOff>247650</xdr:colOff>
          <xdr:row>12</xdr:row>
          <xdr:rowOff>28575</xdr:rowOff>
        </xdr:to>
        <xdr:sp macro="" textlink="">
          <xdr:nvSpPr>
            <xdr:cNvPr id="174122" name="Check Box 42" hidden="1">
              <a:extLst>
                <a:ext uri="{63B3BB69-23CF-44E3-9099-C40C66FF867C}">
                  <a14:compatExt spid="_x0000_s174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0.08754</cdr:x>
      <cdr:y>0.0828</cdr:y>
    </cdr:from>
    <cdr:to>
      <cdr:x>0.31814</cdr:x>
      <cdr:y>0.33216</cdr:y>
    </cdr:to>
    <cdr:sp macro="" textlink="">
      <cdr:nvSpPr>
        <cdr:cNvPr id="175105" name="Text Box 1"/>
        <cdr:cNvSpPr txBox="1">
          <a:spLocks xmlns:a="http://schemas.openxmlformats.org/drawingml/2006/main" noChangeArrowheads="1"/>
        </cdr:cNvSpPr>
      </cdr:nvSpPr>
      <cdr:spPr bwMode="auto">
        <a:xfrm xmlns:a="http://schemas.openxmlformats.org/drawingml/2006/main">
          <a:off x="813624" y="183781"/>
          <a:ext cx="2134991" cy="54391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100" b="0" i="0" u="none" strike="noStrike" baseline="0">
              <a:solidFill>
                <a:srgbClr val="000000"/>
              </a:solidFill>
              <a:latin typeface="Arial"/>
              <a:cs typeface="Arial"/>
            </a:rPr>
            <a:t>Dot histogram of the capture percentages for all CIs in the current run of samples.</a:t>
          </a:r>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0</xdr:col>
      <xdr:colOff>38100</xdr:colOff>
      <xdr:row>0</xdr:row>
      <xdr:rowOff>47625</xdr:rowOff>
    </xdr:from>
    <xdr:to>
      <xdr:col>0</xdr:col>
      <xdr:colOff>504825</xdr:colOff>
      <xdr:row>3</xdr:row>
      <xdr:rowOff>9525</xdr:rowOff>
    </xdr:to>
    <xdr:pic>
      <xdr:nvPicPr>
        <xdr:cNvPr id="176149" name="Picture 58"/>
        <xdr:cNvPicPr>
          <a:picLocks noChangeArrowheads="1"/>
        </xdr:cNvPicPr>
      </xdr:nvPicPr>
      <xdr:blipFill>
        <a:blip xmlns:r="http://schemas.openxmlformats.org/officeDocument/2006/relationships" r:embed="rId1" cstate="print"/>
        <a:srcRect/>
        <a:stretch>
          <a:fillRect/>
        </a:stretch>
      </xdr:blipFill>
      <xdr:spPr bwMode="auto">
        <a:xfrm>
          <a:off x="38100" y="47625"/>
          <a:ext cx="466725"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11</xdr:row>
          <xdr:rowOff>28575</xdr:rowOff>
        </xdr:from>
        <xdr:to>
          <xdr:col>10</xdr:col>
          <xdr:colOff>28575</xdr:colOff>
          <xdr:row>11</xdr:row>
          <xdr:rowOff>190500</xdr:rowOff>
        </xdr:to>
        <xdr:sp macro="" textlink="">
          <xdr:nvSpPr>
            <xdr:cNvPr id="176129" name="Scroll Bar 1" hidden="1">
              <a:extLst>
                <a:ext uri="{63B3BB69-23CF-44E3-9099-C40C66FF867C}">
                  <a14:compatExt spid="_x0000_s176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5</xdr:row>
          <xdr:rowOff>95250</xdr:rowOff>
        </xdr:from>
        <xdr:to>
          <xdr:col>7</xdr:col>
          <xdr:colOff>314325</xdr:colOff>
          <xdr:row>7</xdr:row>
          <xdr:rowOff>57150</xdr:rowOff>
        </xdr:to>
        <xdr:sp macro="" textlink="">
          <xdr:nvSpPr>
            <xdr:cNvPr id="176143" name="Spinner 15" hidden="1">
              <a:extLst>
                <a:ext uri="{63B3BB69-23CF-44E3-9099-C40C66FF867C}">
                  <a14:compatExt spid="_x0000_s17614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32</xdr:col>
      <xdr:colOff>257175</xdr:colOff>
      <xdr:row>13</xdr:row>
      <xdr:rowOff>57150</xdr:rowOff>
    </xdr:from>
    <xdr:to>
      <xdr:col>34</xdr:col>
      <xdr:colOff>400050</xdr:colOff>
      <xdr:row>14</xdr:row>
      <xdr:rowOff>76200</xdr:rowOff>
    </xdr:to>
    <xdr:sp macro="" textlink="">
      <xdr:nvSpPr>
        <xdr:cNvPr id="84996" name="Text Box 13316"/>
        <xdr:cNvSpPr txBox="1">
          <a:spLocks noChangeArrowheads="1"/>
        </xdr:cNvSpPr>
      </xdr:nvSpPr>
      <xdr:spPr bwMode="auto">
        <a:xfrm>
          <a:off x="4667250" y="1952625"/>
          <a:ext cx="962025" cy="161925"/>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0" i="0" strike="noStrike">
              <a:solidFill>
                <a:srgbClr val="000000"/>
              </a:solidFill>
              <a:latin typeface="Arial"/>
              <a:cs typeface="Arial"/>
            </a:rPr>
            <a:t>(E-C) Difference</a:t>
          </a:r>
        </a:p>
      </xdr:txBody>
    </xdr:sp>
    <xdr:clientData/>
  </xdr:twoCellAnchor>
  <xdr:twoCellAnchor editAs="oneCell">
    <xdr:from>
      <xdr:col>32</xdr:col>
      <xdr:colOff>0</xdr:colOff>
      <xdr:row>0</xdr:row>
      <xdr:rowOff>9525</xdr:rowOff>
    </xdr:from>
    <xdr:to>
      <xdr:col>48</xdr:col>
      <xdr:colOff>152400</xdr:colOff>
      <xdr:row>10</xdr:row>
      <xdr:rowOff>66675</xdr:rowOff>
    </xdr:to>
    <xdr:graphicFrame macro="">
      <xdr:nvGraphicFramePr>
        <xdr:cNvPr id="177359" name="Chart 136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13</xdr:col>
      <xdr:colOff>47625</xdr:colOff>
      <xdr:row>0</xdr:row>
      <xdr:rowOff>47625</xdr:rowOff>
    </xdr:from>
    <xdr:to>
      <xdr:col>14</xdr:col>
      <xdr:colOff>323850</xdr:colOff>
      <xdr:row>3</xdr:row>
      <xdr:rowOff>76200</xdr:rowOff>
    </xdr:to>
    <xdr:pic>
      <xdr:nvPicPr>
        <xdr:cNvPr id="177360" name="Picture 58"/>
        <xdr:cNvPicPr>
          <a:picLocks noChangeArrowheads="1"/>
        </xdr:cNvPicPr>
      </xdr:nvPicPr>
      <xdr:blipFill>
        <a:blip xmlns:r="http://schemas.openxmlformats.org/officeDocument/2006/relationships" r:embed="rId2" cstate="print"/>
        <a:srcRect/>
        <a:stretch>
          <a:fillRect/>
        </a:stretch>
      </xdr:blipFill>
      <xdr:spPr bwMode="auto">
        <a:xfrm>
          <a:off x="85725" y="47625"/>
          <a:ext cx="466725" cy="457200"/>
        </a:xfrm>
        <a:prstGeom prst="rect">
          <a:avLst/>
        </a:prstGeom>
        <a:noFill/>
        <a:ln w="9525">
          <a:noFill/>
          <a:miter lim="800000"/>
          <a:headEnd/>
          <a:tailEnd/>
        </a:ln>
      </xdr:spPr>
    </xdr:pic>
    <xdr:clientData/>
  </xdr:twoCellAnchor>
  <xdr:twoCellAnchor editAs="oneCell">
    <xdr:from>
      <xdr:col>32</xdr:col>
      <xdr:colOff>0</xdr:colOff>
      <xdr:row>10</xdr:row>
      <xdr:rowOff>66675</xdr:rowOff>
    </xdr:from>
    <xdr:to>
      <xdr:col>48</xdr:col>
      <xdr:colOff>152400</xdr:colOff>
      <xdr:row>41</xdr:row>
      <xdr:rowOff>0</xdr:rowOff>
    </xdr:to>
    <xdr:graphicFrame macro="">
      <xdr:nvGraphicFramePr>
        <xdr:cNvPr id="177361" name="Chart 129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15</xdr:col>
      <xdr:colOff>0</xdr:colOff>
      <xdr:row>14</xdr:row>
      <xdr:rowOff>0</xdr:rowOff>
    </xdr:from>
    <xdr:to>
      <xdr:col>32</xdr:col>
      <xdr:colOff>0</xdr:colOff>
      <xdr:row>41</xdr:row>
      <xdr:rowOff>0</xdr:rowOff>
    </xdr:to>
    <xdr:graphicFrame macro="">
      <xdr:nvGraphicFramePr>
        <xdr:cNvPr id="177362" name="Chart 136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13</xdr:col>
      <xdr:colOff>85725</xdr:colOff>
      <xdr:row>30</xdr:row>
      <xdr:rowOff>28575</xdr:rowOff>
    </xdr:from>
    <xdr:to>
      <xdr:col>14</xdr:col>
      <xdr:colOff>238125</xdr:colOff>
      <xdr:row>38</xdr:row>
      <xdr:rowOff>95250</xdr:rowOff>
    </xdr:to>
    <xdr:sp macro="" textlink="">
      <xdr:nvSpPr>
        <xdr:cNvPr id="85358" name="Text Box 13678"/>
        <xdr:cNvSpPr txBox="1">
          <a:spLocks noChangeArrowheads="1"/>
        </xdr:cNvSpPr>
      </xdr:nvSpPr>
      <xdr:spPr bwMode="auto">
        <a:xfrm>
          <a:off x="123825" y="4352925"/>
          <a:ext cx="304800" cy="1209675"/>
        </a:xfrm>
        <a:prstGeom prst="rect">
          <a:avLst/>
        </a:prstGeom>
        <a:noFill/>
        <a:ln w="9525">
          <a:noFill/>
          <a:miter lim="800000"/>
          <a:headEnd/>
          <a:tailEnd/>
        </a:ln>
      </xdr:spPr>
      <xdr:txBody>
        <a:bodyPr vertOverflow="clip" vert="vert270" wrap="square" lIns="0" tIns="0" rIns="27432" bIns="22860" anchor="b" upright="1"/>
        <a:lstStyle/>
        <a:p>
          <a:pPr algn="l" rtl="0">
            <a:defRPr sz="1000"/>
          </a:pPr>
          <a:r>
            <a:rPr lang="en-AU" sz="900" b="0" i="0" strike="noStrike">
              <a:solidFill>
                <a:srgbClr val="000000"/>
              </a:solidFill>
              <a:latin typeface="Arial"/>
              <a:cs typeface="Arial"/>
            </a:rPr>
            <a:t>Vertical scale (when </a:t>
          </a:r>
          <a:r>
            <a:rPr lang="en-AU" sz="900" b="0" i="1" strike="noStrike">
              <a:solidFill>
                <a:srgbClr val="000000"/>
              </a:solidFill>
              <a:latin typeface="Arial"/>
              <a:cs typeface="Arial"/>
            </a:rPr>
            <a:t>p</a:t>
          </a:r>
          <a:r>
            <a:rPr lang="en-AU" sz="900" b="0" i="0" strike="noStrike">
              <a:solidFill>
                <a:srgbClr val="000000"/>
              </a:solidFill>
              <a:latin typeface="Arial"/>
              <a:cs typeface="Arial"/>
            </a:rPr>
            <a:t> values not displayed)</a:t>
          </a:r>
        </a:p>
      </xdr:txBody>
    </xdr:sp>
    <xdr:clientData/>
  </xdr:twoCellAnchor>
  <xdr:twoCellAnchor>
    <xdr:from>
      <xdr:col>76</xdr:col>
      <xdr:colOff>19050</xdr:colOff>
      <xdr:row>2</xdr:row>
      <xdr:rowOff>0</xdr:rowOff>
    </xdr:from>
    <xdr:to>
      <xdr:col>77</xdr:col>
      <xdr:colOff>247650</xdr:colOff>
      <xdr:row>5</xdr:row>
      <xdr:rowOff>19050</xdr:rowOff>
    </xdr:to>
    <xdr:sp macro="" textlink="">
      <xdr:nvSpPr>
        <xdr:cNvPr id="177364" name="Rectangle 15064"/>
        <xdr:cNvSpPr>
          <a:spLocks noChangeArrowheads="1"/>
        </xdr:cNvSpPr>
      </xdr:nvSpPr>
      <xdr:spPr bwMode="auto">
        <a:xfrm>
          <a:off x="26698575" y="285750"/>
          <a:ext cx="704850" cy="447675"/>
        </a:xfrm>
        <a:prstGeom prst="rect">
          <a:avLst/>
        </a:prstGeom>
        <a:solidFill>
          <a:srgbClr val="FF0000"/>
        </a:solidFill>
        <a:ln w="9525">
          <a:solidFill>
            <a:srgbClr val="000000"/>
          </a:solidFill>
          <a:miter lim="800000"/>
          <a:headEnd/>
          <a:tailEnd/>
        </a:ln>
      </xdr:spPr>
    </xdr:sp>
    <xdr:clientData/>
  </xdr:twoCellAnchor>
  <xdr:twoCellAnchor>
    <xdr:from>
      <xdr:col>78</xdr:col>
      <xdr:colOff>19050</xdr:colOff>
      <xdr:row>2</xdr:row>
      <xdr:rowOff>0</xdr:rowOff>
    </xdr:from>
    <xdr:to>
      <xdr:col>79</xdr:col>
      <xdr:colOff>247650</xdr:colOff>
      <xdr:row>5</xdr:row>
      <xdr:rowOff>19050</xdr:rowOff>
    </xdr:to>
    <xdr:sp macro="" textlink="">
      <xdr:nvSpPr>
        <xdr:cNvPr id="177365" name="Rectangle 15066"/>
        <xdr:cNvSpPr>
          <a:spLocks noChangeArrowheads="1"/>
        </xdr:cNvSpPr>
      </xdr:nvSpPr>
      <xdr:spPr bwMode="auto">
        <a:xfrm>
          <a:off x="27651075" y="285750"/>
          <a:ext cx="704850" cy="447675"/>
        </a:xfrm>
        <a:prstGeom prst="rect">
          <a:avLst/>
        </a:prstGeom>
        <a:solidFill>
          <a:srgbClr val="FF8080"/>
        </a:solidFill>
        <a:ln w="9525">
          <a:solidFill>
            <a:srgbClr val="000000"/>
          </a:solidFill>
          <a:miter lim="800000"/>
          <a:headEnd/>
          <a:tailEnd/>
        </a:ln>
      </xdr:spPr>
    </xdr:sp>
    <xdr:clientData/>
  </xdr:twoCellAnchor>
  <xdr:twoCellAnchor>
    <xdr:from>
      <xdr:col>80</xdr:col>
      <xdr:colOff>19050</xdr:colOff>
      <xdr:row>2</xdr:row>
      <xdr:rowOff>0</xdr:rowOff>
    </xdr:from>
    <xdr:to>
      <xdr:col>81</xdr:col>
      <xdr:colOff>247650</xdr:colOff>
      <xdr:row>5</xdr:row>
      <xdr:rowOff>19050</xdr:rowOff>
    </xdr:to>
    <xdr:sp macro="" textlink="">
      <xdr:nvSpPr>
        <xdr:cNvPr id="177366" name="Rectangle 15067"/>
        <xdr:cNvSpPr>
          <a:spLocks noChangeArrowheads="1"/>
        </xdr:cNvSpPr>
      </xdr:nvSpPr>
      <xdr:spPr bwMode="auto">
        <a:xfrm>
          <a:off x="28603575" y="285750"/>
          <a:ext cx="704850" cy="447675"/>
        </a:xfrm>
        <a:prstGeom prst="rect">
          <a:avLst/>
        </a:prstGeom>
        <a:solidFill>
          <a:srgbClr val="FFCC99"/>
        </a:solidFill>
        <a:ln w="9525">
          <a:solidFill>
            <a:srgbClr val="000000"/>
          </a:solidFill>
          <a:miter lim="800000"/>
          <a:headEnd/>
          <a:tailEnd/>
        </a:ln>
      </xdr:spPr>
    </xdr:sp>
    <xdr:clientData/>
  </xdr:twoCellAnchor>
  <xdr:twoCellAnchor>
    <xdr:from>
      <xdr:col>82</xdr:col>
      <xdr:colOff>19050</xdr:colOff>
      <xdr:row>2</xdr:row>
      <xdr:rowOff>0</xdr:rowOff>
    </xdr:from>
    <xdr:to>
      <xdr:col>83</xdr:col>
      <xdr:colOff>247650</xdr:colOff>
      <xdr:row>5</xdr:row>
      <xdr:rowOff>19050</xdr:rowOff>
    </xdr:to>
    <xdr:sp macro="" textlink="">
      <xdr:nvSpPr>
        <xdr:cNvPr id="177367" name="Rectangle 15068"/>
        <xdr:cNvSpPr>
          <a:spLocks noChangeArrowheads="1"/>
        </xdr:cNvSpPr>
      </xdr:nvSpPr>
      <xdr:spPr bwMode="auto">
        <a:xfrm>
          <a:off x="29556075" y="285750"/>
          <a:ext cx="704850" cy="447675"/>
        </a:xfrm>
        <a:prstGeom prst="rect">
          <a:avLst/>
        </a:prstGeom>
        <a:solidFill>
          <a:srgbClr val="CCFFFF"/>
        </a:solidFill>
        <a:ln w="9525">
          <a:solidFill>
            <a:srgbClr val="000000"/>
          </a:solidFill>
          <a:miter lim="800000"/>
          <a:headEnd/>
          <a:tailEnd/>
        </a:ln>
      </xdr:spPr>
    </xdr:sp>
    <xdr:clientData/>
  </xdr:twoCellAnchor>
  <xdr:twoCellAnchor>
    <xdr:from>
      <xdr:col>84</xdr:col>
      <xdr:colOff>19050</xdr:colOff>
      <xdr:row>2</xdr:row>
      <xdr:rowOff>0</xdr:rowOff>
    </xdr:from>
    <xdr:to>
      <xdr:col>85</xdr:col>
      <xdr:colOff>247650</xdr:colOff>
      <xdr:row>5</xdr:row>
      <xdr:rowOff>19050</xdr:rowOff>
    </xdr:to>
    <xdr:sp macro="" textlink="">
      <xdr:nvSpPr>
        <xdr:cNvPr id="177368" name="Rectangle 15069"/>
        <xdr:cNvSpPr>
          <a:spLocks noChangeArrowheads="1"/>
        </xdr:cNvSpPr>
      </xdr:nvSpPr>
      <xdr:spPr bwMode="auto">
        <a:xfrm>
          <a:off x="30508575" y="285750"/>
          <a:ext cx="704850" cy="447675"/>
        </a:xfrm>
        <a:prstGeom prst="rect">
          <a:avLst/>
        </a:prstGeom>
        <a:solidFill>
          <a:srgbClr val="0000FF"/>
        </a:solidFill>
        <a:ln w="9525">
          <a:solidFill>
            <a:srgbClr val="000000"/>
          </a:solidFill>
          <a:miter lim="800000"/>
          <a:headEnd/>
          <a:tailEnd/>
        </a:ln>
      </xdr:spPr>
    </xdr:sp>
    <xdr:clientData/>
  </xdr:twoCellAnchor>
  <xdr:twoCellAnchor>
    <xdr:from>
      <xdr:col>87</xdr:col>
      <xdr:colOff>19050</xdr:colOff>
      <xdr:row>2</xdr:row>
      <xdr:rowOff>0</xdr:rowOff>
    </xdr:from>
    <xdr:to>
      <xdr:col>88</xdr:col>
      <xdr:colOff>266700</xdr:colOff>
      <xdr:row>2</xdr:row>
      <xdr:rowOff>95250</xdr:rowOff>
    </xdr:to>
    <xdr:sp macro="" textlink="">
      <xdr:nvSpPr>
        <xdr:cNvPr id="177369" name="Rectangle 15073"/>
        <xdr:cNvSpPr>
          <a:spLocks noChangeArrowheads="1"/>
        </xdr:cNvSpPr>
      </xdr:nvSpPr>
      <xdr:spPr bwMode="auto">
        <a:xfrm>
          <a:off x="31937325" y="285750"/>
          <a:ext cx="723900" cy="95250"/>
        </a:xfrm>
        <a:prstGeom prst="rect">
          <a:avLst/>
        </a:prstGeom>
        <a:solidFill>
          <a:srgbClr val="FF0000"/>
        </a:solidFill>
        <a:ln w="19050">
          <a:solidFill>
            <a:srgbClr val="000000"/>
          </a:solidFill>
          <a:miter lim="800000"/>
          <a:headEnd/>
          <a:tailEnd/>
        </a:ln>
      </xdr:spPr>
    </xdr:sp>
    <xdr:clientData/>
  </xdr:twoCellAnchor>
  <xdr:twoCellAnchor>
    <xdr:from>
      <xdr:col>87</xdr:col>
      <xdr:colOff>19050</xdr:colOff>
      <xdr:row>3</xdr:row>
      <xdr:rowOff>0</xdr:rowOff>
    </xdr:from>
    <xdr:to>
      <xdr:col>88</xdr:col>
      <xdr:colOff>266700</xdr:colOff>
      <xdr:row>3</xdr:row>
      <xdr:rowOff>95250</xdr:rowOff>
    </xdr:to>
    <xdr:sp macro="" textlink="">
      <xdr:nvSpPr>
        <xdr:cNvPr id="177370" name="Rectangle 15074"/>
        <xdr:cNvSpPr>
          <a:spLocks noChangeArrowheads="1"/>
        </xdr:cNvSpPr>
      </xdr:nvSpPr>
      <xdr:spPr bwMode="auto">
        <a:xfrm>
          <a:off x="31937325" y="428625"/>
          <a:ext cx="723900" cy="95250"/>
        </a:xfrm>
        <a:prstGeom prst="rect">
          <a:avLst/>
        </a:prstGeom>
        <a:solidFill>
          <a:srgbClr val="FF8080"/>
        </a:solidFill>
        <a:ln w="19050">
          <a:solidFill>
            <a:srgbClr val="000000"/>
          </a:solidFill>
          <a:miter lim="800000"/>
          <a:headEnd/>
          <a:tailEnd/>
        </a:ln>
      </xdr:spPr>
    </xdr:sp>
    <xdr:clientData/>
  </xdr:twoCellAnchor>
  <xdr:twoCellAnchor>
    <xdr:from>
      <xdr:col>87</xdr:col>
      <xdr:colOff>19050</xdr:colOff>
      <xdr:row>4</xdr:row>
      <xdr:rowOff>0</xdr:rowOff>
    </xdr:from>
    <xdr:to>
      <xdr:col>88</xdr:col>
      <xdr:colOff>266700</xdr:colOff>
      <xdr:row>4</xdr:row>
      <xdr:rowOff>95250</xdr:rowOff>
    </xdr:to>
    <xdr:sp macro="" textlink="">
      <xdr:nvSpPr>
        <xdr:cNvPr id="177371" name="Rectangle 15075"/>
        <xdr:cNvSpPr>
          <a:spLocks noChangeArrowheads="1"/>
        </xdr:cNvSpPr>
      </xdr:nvSpPr>
      <xdr:spPr bwMode="auto">
        <a:xfrm>
          <a:off x="31937325" y="571500"/>
          <a:ext cx="723900" cy="95250"/>
        </a:xfrm>
        <a:prstGeom prst="rect">
          <a:avLst/>
        </a:prstGeom>
        <a:solidFill>
          <a:srgbClr val="FFCC99"/>
        </a:solidFill>
        <a:ln w="19050">
          <a:solidFill>
            <a:srgbClr val="000000"/>
          </a:solidFill>
          <a:miter lim="800000"/>
          <a:headEnd/>
          <a:tailEnd/>
        </a:ln>
      </xdr:spPr>
    </xdr:sp>
    <xdr:clientData/>
  </xdr:twoCellAnchor>
  <xdr:twoCellAnchor>
    <xdr:from>
      <xdr:col>87</xdr:col>
      <xdr:colOff>19050</xdr:colOff>
      <xdr:row>5</xdr:row>
      <xdr:rowOff>0</xdr:rowOff>
    </xdr:from>
    <xdr:to>
      <xdr:col>88</xdr:col>
      <xdr:colOff>266700</xdr:colOff>
      <xdr:row>5</xdr:row>
      <xdr:rowOff>95250</xdr:rowOff>
    </xdr:to>
    <xdr:sp macro="" textlink="">
      <xdr:nvSpPr>
        <xdr:cNvPr id="177372" name="Rectangle 15076"/>
        <xdr:cNvSpPr>
          <a:spLocks noChangeArrowheads="1"/>
        </xdr:cNvSpPr>
      </xdr:nvSpPr>
      <xdr:spPr bwMode="auto">
        <a:xfrm>
          <a:off x="31937325" y="714375"/>
          <a:ext cx="723900" cy="95250"/>
        </a:xfrm>
        <a:prstGeom prst="rect">
          <a:avLst/>
        </a:prstGeom>
        <a:solidFill>
          <a:srgbClr val="CCFFFF"/>
        </a:solidFill>
        <a:ln w="19050">
          <a:solidFill>
            <a:srgbClr val="000000"/>
          </a:solidFill>
          <a:miter lim="800000"/>
          <a:headEnd/>
          <a:tailEnd/>
        </a:ln>
      </xdr:spPr>
    </xdr:sp>
    <xdr:clientData/>
  </xdr:twoCellAnchor>
  <xdr:twoCellAnchor>
    <xdr:from>
      <xdr:col>87</xdr:col>
      <xdr:colOff>19050</xdr:colOff>
      <xdr:row>6</xdr:row>
      <xdr:rowOff>0</xdr:rowOff>
    </xdr:from>
    <xdr:to>
      <xdr:col>88</xdr:col>
      <xdr:colOff>266700</xdr:colOff>
      <xdr:row>6</xdr:row>
      <xdr:rowOff>95250</xdr:rowOff>
    </xdr:to>
    <xdr:sp macro="" textlink="">
      <xdr:nvSpPr>
        <xdr:cNvPr id="177373" name="Rectangle 15077"/>
        <xdr:cNvSpPr>
          <a:spLocks noChangeArrowheads="1"/>
        </xdr:cNvSpPr>
      </xdr:nvSpPr>
      <xdr:spPr bwMode="auto">
        <a:xfrm>
          <a:off x="31937325" y="857250"/>
          <a:ext cx="723900" cy="95250"/>
        </a:xfrm>
        <a:prstGeom prst="rect">
          <a:avLst/>
        </a:prstGeom>
        <a:solidFill>
          <a:srgbClr val="0000FF"/>
        </a:solidFill>
        <a:ln w="19050">
          <a:solidFill>
            <a:srgbClr val="000000"/>
          </a:solidFill>
          <a:miter lim="800000"/>
          <a:headEnd/>
          <a:tailEnd/>
        </a:ln>
      </xdr:spPr>
    </xdr:sp>
    <xdr:clientData/>
  </xdr:twoCellAnchor>
  <xdr:twoCellAnchor>
    <xdr:from>
      <xdr:col>89</xdr:col>
      <xdr:colOff>19050</xdr:colOff>
      <xdr:row>2</xdr:row>
      <xdr:rowOff>0</xdr:rowOff>
    </xdr:from>
    <xdr:to>
      <xdr:col>90</xdr:col>
      <xdr:colOff>266700</xdr:colOff>
      <xdr:row>2</xdr:row>
      <xdr:rowOff>95250</xdr:rowOff>
    </xdr:to>
    <xdr:sp macro="" textlink="">
      <xdr:nvSpPr>
        <xdr:cNvPr id="177374" name="Rectangle 15078"/>
        <xdr:cNvSpPr>
          <a:spLocks noChangeArrowheads="1"/>
        </xdr:cNvSpPr>
      </xdr:nvSpPr>
      <xdr:spPr bwMode="auto">
        <a:xfrm>
          <a:off x="32889825" y="285750"/>
          <a:ext cx="723900" cy="95250"/>
        </a:xfrm>
        <a:prstGeom prst="rect">
          <a:avLst/>
        </a:prstGeom>
        <a:solidFill>
          <a:srgbClr val="FF0000"/>
        </a:solidFill>
        <a:ln w="3175">
          <a:noFill/>
          <a:miter lim="800000"/>
          <a:headEnd/>
          <a:tailEnd/>
        </a:ln>
      </xdr:spPr>
    </xdr:sp>
    <xdr:clientData/>
  </xdr:twoCellAnchor>
  <xdr:twoCellAnchor>
    <xdr:from>
      <xdr:col>89</xdr:col>
      <xdr:colOff>19050</xdr:colOff>
      <xdr:row>3</xdr:row>
      <xdr:rowOff>0</xdr:rowOff>
    </xdr:from>
    <xdr:to>
      <xdr:col>90</xdr:col>
      <xdr:colOff>266700</xdr:colOff>
      <xdr:row>3</xdr:row>
      <xdr:rowOff>95250</xdr:rowOff>
    </xdr:to>
    <xdr:sp macro="" textlink="">
      <xdr:nvSpPr>
        <xdr:cNvPr id="177375" name="Rectangle 15079"/>
        <xdr:cNvSpPr>
          <a:spLocks noChangeArrowheads="1"/>
        </xdr:cNvSpPr>
      </xdr:nvSpPr>
      <xdr:spPr bwMode="auto">
        <a:xfrm>
          <a:off x="32889825" y="428625"/>
          <a:ext cx="723900" cy="95250"/>
        </a:xfrm>
        <a:prstGeom prst="rect">
          <a:avLst/>
        </a:prstGeom>
        <a:solidFill>
          <a:srgbClr val="FF8080"/>
        </a:solidFill>
        <a:ln w="9525">
          <a:noFill/>
          <a:miter lim="800000"/>
          <a:headEnd/>
          <a:tailEnd/>
        </a:ln>
      </xdr:spPr>
    </xdr:sp>
    <xdr:clientData/>
  </xdr:twoCellAnchor>
  <xdr:twoCellAnchor>
    <xdr:from>
      <xdr:col>89</xdr:col>
      <xdr:colOff>19050</xdr:colOff>
      <xdr:row>4</xdr:row>
      <xdr:rowOff>0</xdr:rowOff>
    </xdr:from>
    <xdr:to>
      <xdr:col>90</xdr:col>
      <xdr:colOff>266700</xdr:colOff>
      <xdr:row>4</xdr:row>
      <xdr:rowOff>95250</xdr:rowOff>
    </xdr:to>
    <xdr:sp macro="" textlink="">
      <xdr:nvSpPr>
        <xdr:cNvPr id="177376" name="Rectangle 15080"/>
        <xdr:cNvSpPr>
          <a:spLocks noChangeArrowheads="1"/>
        </xdr:cNvSpPr>
      </xdr:nvSpPr>
      <xdr:spPr bwMode="auto">
        <a:xfrm>
          <a:off x="32889825" y="571500"/>
          <a:ext cx="723900" cy="95250"/>
        </a:xfrm>
        <a:prstGeom prst="rect">
          <a:avLst/>
        </a:prstGeom>
        <a:solidFill>
          <a:srgbClr val="FFCC99"/>
        </a:solidFill>
        <a:ln w="9525">
          <a:noFill/>
          <a:miter lim="800000"/>
          <a:headEnd/>
          <a:tailEnd/>
        </a:ln>
      </xdr:spPr>
    </xdr:sp>
    <xdr:clientData/>
  </xdr:twoCellAnchor>
  <xdr:twoCellAnchor>
    <xdr:from>
      <xdr:col>89</xdr:col>
      <xdr:colOff>19050</xdr:colOff>
      <xdr:row>5</xdr:row>
      <xdr:rowOff>0</xdr:rowOff>
    </xdr:from>
    <xdr:to>
      <xdr:col>90</xdr:col>
      <xdr:colOff>266700</xdr:colOff>
      <xdr:row>5</xdr:row>
      <xdr:rowOff>95250</xdr:rowOff>
    </xdr:to>
    <xdr:sp macro="" textlink="">
      <xdr:nvSpPr>
        <xdr:cNvPr id="177377" name="Rectangle 15081"/>
        <xdr:cNvSpPr>
          <a:spLocks noChangeArrowheads="1"/>
        </xdr:cNvSpPr>
      </xdr:nvSpPr>
      <xdr:spPr bwMode="auto">
        <a:xfrm>
          <a:off x="32889825" y="714375"/>
          <a:ext cx="723900" cy="95250"/>
        </a:xfrm>
        <a:prstGeom prst="rect">
          <a:avLst/>
        </a:prstGeom>
        <a:solidFill>
          <a:srgbClr val="CCFFFF"/>
        </a:solidFill>
        <a:ln w="9525">
          <a:noFill/>
          <a:miter lim="800000"/>
          <a:headEnd/>
          <a:tailEnd/>
        </a:ln>
      </xdr:spPr>
    </xdr:sp>
    <xdr:clientData/>
  </xdr:twoCellAnchor>
  <xdr:twoCellAnchor>
    <xdr:from>
      <xdr:col>89</xdr:col>
      <xdr:colOff>19050</xdr:colOff>
      <xdr:row>6</xdr:row>
      <xdr:rowOff>0</xdr:rowOff>
    </xdr:from>
    <xdr:to>
      <xdr:col>90</xdr:col>
      <xdr:colOff>266700</xdr:colOff>
      <xdr:row>6</xdr:row>
      <xdr:rowOff>95250</xdr:rowOff>
    </xdr:to>
    <xdr:sp macro="" textlink="">
      <xdr:nvSpPr>
        <xdr:cNvPr id="177378" name="Rectangle 15082"/>
        <xdr:cNvSpPr>
          <a:spLocks noChangeArrowheads="1"/>
        </xdr:cNvSpPr>
      </xdr:nvSpPr>
      <xdr:spPr bwMode="auto">
        <a:xfrm>
          <a:off x="32889825" y="857250"/>
          <a:ext cx="723900" cy="95250"/>
        </a:xfrm>
        <a:prstGeom prst="rect">
          <a:avLst/>
        </a:prstGeom>
        <a:solidFill>
          <a:srgbClr val="0000FF"/>
        </a:solidFill>
        <a:ln w="9525">
          <a:noFill/>
          <a:miter lim="800000"/>
          <a:headEnd/>
          <a:tailEnd/>
        </a:ln>
      </xdr:spPr>
    </xdr:sp>
    <xdr:clientData/>
  </xdr:twoCellAnchor>
  <xdr:twoCellAnchor>
    <xdr:from>
      <xdr:col>82</xdr:col>
      <xdr:colOff>19050</xdr:colOff>
      <xdr:row>8</xdr:row>
      <xdr:rowOff>0</xdr:rowOff>
    </xdr:from>
    <xdr:to>
      <xdr:col>82</xdr:col>
      <xdr:colOff>304800</xdr:colOff>
      <xdr:row>8</xdr:row>
      <xdr:rowOff>133350</xdr:rowOff>
    </xdr:to>
    <xdr:sp macro="" textlink="">
      <xdr:nvSpPr>
        <xdr:cNvPr id="177379" name="Rectangle 16106"/>
        <xdr:cNvSpPr>
          <a:spLocks noChangeArrowheads="1"/>
        </xdr:cNvSpPr>
      </xdr:nvSpPr>
      <xdr:spPr bwMode="auto">
        <a:xfrm>
          <a:off x="29556075" y="1162050"/>
          <a:ext cx="285750" cy="133350"/>
        </a:xfrm>
        <a:prstGeom prst="rect">
          <a:avLst/>
        </a:prstGeom>
        <a:solidFill>
          <a:srgbClr val="FF8080"/>
        </a:solidFill>
        <a:ln w="9525">
          <a:noFill/>
          <a:miter lim="800000"/>
          <a:headEnd/>
          <a:tailEnd/>
        </a:ln>
      </xdr:spPr>
    </xdr:sp>
    <xdr:clientData/>
  </xdr:twoCellAnchor>
  <xdr:twoCellAnchor>
    <xdr:from>
      <xdr:col>83</xdr:col>
      <xdr:colOff>19050</xdr:colOff>
      <xdr:row>8</xdr:row>
      <xdr:rowOff>0</xdr:rowOff>
    </xdr:from>
    <xdr:to>
      <xdr:col>83</xdr:col>
      <xdr:colOff>304800</xdr:colOff>
      <xdr:row>8</xdr:row>
      <xdr:rowOff>133350</xdr:rowOff>
    </xdr:to>
    <xdr:sp macro="" textlink="">
      <xdr:nvSpPr>
        <xdr:cNvPr id="177380" name="Rectangle 16107"/>
        <xdr:cNvSpPr>
          <a:spLocks noChangeArrowheads="1"/>
        </xdr:cNvSpPr>
      </xdr:nvSpPr>
      <xdr:spPr bwMode="auto">
        <a:xfrm>
          <a:off x="30032325" y="1162050"/>
          <a:ext cx="285750" cy="133350"/>
        </a:xfrm>
        <a:prstGeom prst="rect">
          <a:avLst/>
        </a:prstGeom>
        <a:solidFill>
          <a:srgbClr val="FFCC99"/>
        </a:solidFill>
        <a:ln w="9525">
          <a:noFill/>
          <a:miter lim="800000"/>
          <a:headEnd/>
          <a:tailEnd/>
        </a:ln>
      </xdr:spPr>
    </xdr:sp>
    <xdr:clientData/>
  </xdr:twoCellAnchor>
  <xdr:twoCellAnchor>
    <xdr:from>
      <xdr:col>84</xdr:col>
      <xdr:colOff>19050</xdr:colOff>
      <xdr:row>8</xdr:row>
      <xdr:rowOff>0</xdr:rowOff>
    </xdr:from>
    <xdr:to>
      <xdr:col>84</xdr:col>
      <xdr:colOff>304800</xdr:colOff>
      <xdr:row>8</xdr:row>
      <xdr:rowOff>133350</xdr:rowOff>
    </xdr:to>
    <xdr:sp macro="" textlink="">
      <xdr:nvSpPr>
        <xdr:cNvPr id="177381" name="Rectangle 16108"/>
        <xdr:cNvSpPr>
          <a:spLocks noChangeArrowheads="1"/>
        </xdr:cNvSpPr>
      </xdr:nvSpPr>
      <xdr:spPr bwMode="auto">
        <a:xfrm>
          <a:off x="30508575" y="1162050"/>
          <a:ext cx="285750" cy="133350"/>
        </a:xfrm>
        <a:prstGeom prst="rect">
          <a:avLst/>
        </a:prstGeom>
        <a:solidFill>
          <a:srgbClr val="CCFFFF"/>
        </a:solidFill>
        <a:ln w="9525">
          <a:noFill/>
          <a:miter lim="800000"/>
          <a:headEnd/>
          <a:tailEnd/>
        </a:ln>
      </xdr:spPr>
    </xdr:sp>
    <xdr:clientData/>
  </xdr:twoCellAnchor>
  <xdr:twoCellAnchor>
    <xdr:from>
      <xdr:col>85</xdr:col>
      <xdr:colOff>19050</xdr:colOff>
      <xdr:row>8</xdr:row>
      <xdr:rowOff>0</xdr:rowOff>
    </xdr:from>
    <xdr:to>
      <xdr:col>85</xdr:col>
      <xdr:colOff>304800</xdr:colOff>
      <xdr:row>8</xdr:row>
      <xdr:rowOff>133350</xdr:rowOff>
    </xdr:to>
    <xdr:sp macro="" textlink="">
      <xdr:nvSpPr>
        <xdr:cNvPr id="177382" name="Rectangle 16109"/>
        <xdr:cNvSpPr>
          <a:spLocks noChangeArrowheads="1"/>
        </xdr:cNvSpPr>
      </xdr:nvSpPr>
      <xdr:spPr bwMode="auto">
        <a:xfrm>
          <a:off x="30984825" y="1162050"/>
          <a:ext cx="285750" cy="133350"/>
        </a:xfrm>
        <a:prstGeom prst="rect">
          <a:avLst/>
        </a:prstGeom>
        <a:solidFill>
          <a:srgbClr val="0000FF"/>
        </a:solidFill>
        <a:ln w="9525">
          <a:noFill/>
          <a:miter lim="800000"/>
          <a:headEnd/>
          <a:tailEnd/>
        </a:ln>
      </xdr:spPr>
    </xdr:sp>
    <xdr:clientData/>
  </xdr:twoCellAnchor>
  <xdr:twoCellAnchor>
    <xdr:from>
      <xdr:col>81</xdr:col>
      <xdr:colOff>19050</xdr:colOff>
      <xdr:row>8</xdr:row>
      <xdr:rowOff>0</xdr:rowOff>
    </xdr:from>
    <xdr:to>
      <xdr:col>81</xdr:col>
      <xdr:colOff>304800</xdr:colOff>
      <xdr:row>8</xdr:row>
      <xdr:rowOff>133350</xdr:rowOff>
    </xdr:to>
    <xdr:sp macro="" textlink="">
      <xdr:nvSpPr>
        <xdr:cNvPr id="177383" name="Rectangle 16110"/>
        <xdr:cNvSpPr>
          <a:spLocks noChangeArrowheads="1"/>
        </xdr:cNvSpPr>
      </xdr:nvSpPr>
      <xdr:spPr bwMode="auto">
        <a:xfrm>
          <a:off x="29079825" y="1162050"/>
          <a:ext cx="285750" cy="133350"/>
        </a:xfrm>
        <a:prstGeom prst="rect">
          <a:avLst/>
        </a:prstGeom>
        <a:solidFill>
          <a:srgbClr val="FF0000"/>
        </a:solidFill>
        <a:ln w="9525">
          <a:noFill/>
          <a:miter lim="800000"/>
          <a:headEnd/>
          <a:tailEnd/>
        </a:ln>
      </xdr:spPr>
    </xdr:sp>
    <xdr:clientData/>
  </xdr:twoCellAnchor>
  <xdr:twoCellAnchor editAs="oneCell">
    <xdr:from>
      <xdr:col>48</xdr:col>
      <xdr:colOff>152400</xdr:colOff>
      <xdr:row>0</xdr:row>
      <xdr:rowOff>9525</xdr:rowOff>
    </xdr:from>
    <xdr:to>
      <xdr:col>51</xdr:col>
      <xdr:colOff>485775</xdr:colOff>
      <xdr:row>49</xdr:row>
      <xdr:rowOff>47625</xdr:rowOff>
    </xdr:to>
    <xdr:graphicFrame macro="">
      <xdr:nvGraphicFramePr>
        <xdr:cNvPr id="177384" name="Chart 37109"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38100</xdr:colOff>
      <xdr:row>41</xdr:row>
      <xdr:rowOff>9525</xdr:rowOff>
    </xdr:from>
    <xdr:to>
      <xdr:col>31</xdr:col>
      <xdr:colOff>133350</xdr:colOff>
      <xdr:row>44</xdr:row>
      <xdr:rowOff>76200</xdr:rowOff>
    </xdr:to>
    <xdr:graphicFrame macro="">
      <xdr:nvGraphicFramePr>
        <xdr:cNvPr id="177385" name="Chart 422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0</xdr:colOff>
      <xdr:row>82</xdr:row>
      <xdr:rowOff>0</xdr:rowOff>
    </xdr:from>
    <xdr:to>
      <xdr:col>20</xdr:col>
      <xdr:colOff>0</xdr:colOff>
      <xdr:row>85</xdr:row>
      <xdr:rowOff>0</xdr:rowOff>
    </xdr:to>
    <xdr:pic>
      <xdr:nvPicPr>
        <xdr:cNvPr id="177386" name="Picture 52522"/>
        <xdr:cNvPicPr>
          <a:picLocks noChangeAspect="1" noChangeArrowheads="1"/>
        </xdr:cNvPicPr>
      </xdr:nvPicPr>
      <xdr:blipFill>
        <a:blip xmlns:r="http://schemas.openxmlformats.org/officeDocument/2006/relationships" r:embed="rId7" cstate="print"/>
        <a:srcRect/>
        <a:stretch>
          <a:fillRect/>
        </a:stretch>
      </xdr:blipFill>
      <xdr:spPr bwMode="auto">
        <a:xfrm>
          <a:off x="1200150" y="11744325"/>
          <a:ext cx="381000" cy="428625"/>
        </a:xfrm>
        <a:prstGeom prst="rect">
          <a:avLst/>
        </a:prstGeom>
        <a:noFill/>
        <a:ln w="9525">
          <a:noFill/>
          <a:miter lim="800000"/>
          <a:headEnd/>
          <a:tailEnd/>
        </a:ln>
      </xdr:spPr>
    </xdr:pic>
    <xdr:clientData/>
  </xdr:twoCellAnchor>
  <xdr:twoCellAnchor editAs="oneCell">
    <xdr:from>
      <xdr:col>19</xdr:col>
      <xdr:colOff>19050</xdr:colOff>
      <xdr:row>85</xdr:row>
      <xdr:rowOff>28575</xdr:rowOff>
    </xdr:from>
    <xdr:to>
      <xdr:col>20</xdr:col>
      <xdr:colOff>0</xdr:colOff>
      <xdr:row>87</xdr:row>
      <xdr:rowOff>114300</xdr:rowOff>
    </xdr:to>
    <xdr:pic>
      <xdr:nvPicPr>
        <xdr:cNvPr id="177387" name="Picture 52523"/>
        <xdr:cNvPicPr>
          <a:picLocks noChangeAspect="1" noChangeArrowheads="1"/>
        </xdr:cNvPicPr>
      </xdr:nvPicPr>
      <xdr:blipFill>
        <a:blip xmlns:r="http://schemas.openxmlformats.org/officeDocument/2006/relationships" r:embed="rId8" cstate="print"/>
        <a:srcRect/>
        <a:stretch>
          <a:fillRect/>
        </a:stretch>
      </xdr:blipFill>
      <xdr:spPr bwMode="auto">
        <a:xfrm>
          <a:off x="1219200" y="12201525"/>
          <a:ext cx="361950" cy="371475"/>
        </a:xfrm>
        <a:prstGeom prst="rect">
          <a:avLst/>
        </a:prstGeom>
        <a:noFill/>
        <a:ln w="9525">
          <a:noFill/>
          <a:miter lim="800000"/>
          <a:headEnd/>
          <a:tailEnd/>
        </a:ln>
      </xdr:spPr>
    </xdr:pic>
    <xdr:clientData/>
  </xdr:twoCellAnchor>
  <xdr:twoCellAnchor editAs="oneCell">
    <xdr:from>
      <xdr:col>19</xdr:col>
      <xdr:colOff>57150</xdr:colOff>
      <xdr:row>88</xdr:row>
      <xdr:rowOff>28575</xdr:rowOff>
    </xdr:from>
    <xdr:to>
      <xdr:col>20</xdr:col>
      <xdr:colOff>0</xdr:colOff>
      <xdr:row>90</xdr:row>
      <xdr:rowOff>85725</xdr:rowOff>
    </xdr:to>
    <xdr:pic>
      <xdr:nvPicPr>
        <xdr:cNvPr id="177388" name="Picture 52524"/>
        <xdr:cNvPicPr>
          <a:picLocks noChangeAspect="1" noChangeArrowheads="1"/>
        </xdr:cNvPicPr>
      </xdr:nvPicPr>
      <xdr:blipFill>
        <a:blip xmlns:r="http://schemas.openxmlformats.org/officeDocument/2006/relationships" r:embed="rId9" cstate="print"/>
        <a:srcRect/>
        <a:stretch>
          <a:fillRect/>
        </a:stretch>
      </xdr:blipFill>
      <xdr:spPr bwMode="auto">
        <a:xfrm>
          <a:off x="1257300" y="12630150"/>
          <a:ext cx="323850" cy="342900"/>
        </a:xfrm>
        <a:prstGeom prst="rect">
          <a:avLst/>
        </a:prstGeom>
        <a:noFill/>
        <a:ln w="9525">
          <a:noFill/>
          <a:miter lim="800000"/>
          <a:headEnd/>
          <a:tailEnd/>
        </a:ln>
      </xdr:spPr>
    </xdr:pic>
    <xdr:clientData/>
  </xdr:twoCellAnchor>
  <xdr:twoCellAnchor editAs="oneCell">
    <xdr:from>
      <xdr:col>19</xdr:col>
      <xdr:colOff>57150</xdr:colOff>
      <xdr:row>91</xdr:row>
      <xdr:rowOff>38100</xdr:rowOff>
    </xdr:from>
    <xdr:to>
      <xdr:col>20</xdr:col>
      <xdr:colOff>0</xdr:colOff>
      <xdr:row>93</xdr:row>
      <xdr:rowOff>66675</xdr:rowOff>
    </xdr:to>
    <xdr:pic>
      <xdr:nvPicPr>
        <xdr:cNvPr id="177389" name="Picture 52525"/>
        <xdr:cNvPicPr>
          <a:picLocks noChangeAspect="1" noChangeArrowheads="1"/>
        </xdr:cNvPicPr>
      </xdr:nvPicPr>
      <xdr:blipFill>
        <a:blip xmlns:r="http://schemas.openxmlformats.org/officeDocument/2006/relationships" r:embed="rId10" cstate="print"/>
        <a:srcRect/>
        <a:stretch>
          <a:fillRect/>
        </a:stretch>
      </xdr:blipFill>
      <xdr:spPr bwMode="auto">
        <a:xfrm>
          <a:off x="1257300" y="13068300"/>
          <a:ext cx="323850" cy="314325"/>
        </a:xfrm>
        <a:prstGeom prst="rect">
          <a:avLst/>
        </a:prstGeom>
        <a:noFill/>
        <a:ln w="9525">
          <a:noFill/>
          <a:miter lim="800000"/>
          <a:headEnd/>
          <a:tailEnd/>
        </a:ln>
      </xdr:spPr>
    </xdr:pic>
    <xdr:clientData/>
  </xdr:twoCellAnchor>
  <xdr:twoCellAnchor editAs="oneCell">
    <xdr:from>
      <xdr:col>19</xdr:col>
      <xdr:colOff>28575</xdr:colOff>
      <xdr:row>94</xdr:row>
      <xdr:rowOff>0</xdr:rowOff>
    </xdr:from>
    <xdr:to>
      <xdr:col>20</xdr:col>
      <xdr:colOff>0</xdr:colOff>
      <xdr:row>96</xdr:row>
      <xdr:rowOff>9525</xdr:rowOff>
    </xdr:to>
    <xdr:pic>
      <xdr:nvPicPr>
        <xdr:cNvPr id="177390" name="Picture 52526"/>
        <xdr:cNvPicPr>
          <a:picLocks noChangeAspect="1" noChangeArrowheads="1"/>
        </xdr:cNvPicPr>
      </xdr:nvPicPr>
      <xdr:blipFill>
        <a:blip xmlns:r="http://schemas.openxmlformats.org/officeDocument/2006/relationships" r:embed="rId11" cstate="print"/>
        <a:srcRect/>
        <a:stretch>
          <a:fillRect/>
        </a:stretch>
      </xdr:blipFill>
      <xdr:spPr bwMode="auto">
        <a:xfrm>
          <a:off x="1228725" y="13458825"/>
          <a:ext cx="352425" cy="295275"/>
        </a:xfrm>
        <a:prstGeom prst="rect">
          <a:avLst/>
        </a:prstGeom>
        <a:noFill/>
        <a:ln w="9525">
          <a:noFill/>
          <a:miter lim="800000"/>
          <a:headEnd/>
          <a:tailEnd/>
        </a:ln>
      </xdr:spPr>
    </xdr:pic>
    <xdr:clientData/>
  </xdr:twoCellAnchor>
  <xdr:twoCellAnchor>
    <xdr:from>
      <xdr:col>30</xdr:col>
      <xdr:colOff>0</xdr:colOff>
      <xdr:row>9</xdr:row>
      <xdr:rowOff>0</xdr:rowOff>
    </xdr:from>
    <xdr:to>
      <xdr:col>31</xdr:col>
      <xdr:colOff>257175</xdr:colOff>
      <xdr:row>12</xdr:row>
      <xdr:rowOff>0</xdr:rowOff>
    </xdr:to>
    <xdr:graphicFrame macro="">
      <xdr:nvGraphicFramePr>
        <xdr:cNvPr id="177391" name="Chart 9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32</xdr:col>
      <xdr:colOff>114300</xdr:colOff>
      <xdr:row>12</xdr:row>
      <xdr:rowOff>19050</xdr:rowOff>
    </xdr:from>
    <xdr:to>
      <xdr:col>32</xdr:col>
      <xdr:colOff>266700</xdr:colOff>
      <xdr:row>13</xdr:row>
      <xdr:rowOff>66675</xdr:rowOff>
    </xdr:to>
    <xdr:sp macro="" textlink="">
      <xdr:nvSpPr>
        <xdr:cNvPr id="85359" name="Text Box 13679"/>
        <xdr:cNvSpPr txBox="1">
          <a:spLocks noChangeArrowheads="1"/>
        </xdr:cNvSpPr>
      </xdr:nvSpPr>
      <xdr:spPr bwMode="auto">
        <a:xfrm>
          <a:off x="4524375" y="1771650"/>
          <a:ext cx="152400" cy="19050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1" i="0" strike="noStrike">
              <a:solidFill>
                <a:srgbClr val="FF0000"/>
              </a:solidFill>
              <a:latin typeface="Arial"/>
              <a:cs typeface="Arial"/>
            </a:rPr>
            <a:t>E</a:t>
          </a:r>
        </a:p>
      </xdr:txBody>
    </xdr:sp>
    <xdr:clientData/>
  </xdr:twoCellAnchor>
  <xdr:twoCellAnchor>
    <xdr:from>
      <xdr:col>32</xdr:col>
      <xdr:colOff>104775</xdr:colOff>
      <xdr:row>10</xdr:row>
      <xdr:rowOff>57150</xdr:rowOff>
    </xdr:from>
    <xdr:to>
      <xdr:col>32</xdr:col>
      <xdr:colOff>257175</xdr:colOff>
      <xdr:row>11</xdr:row>
      <xdr:rowOff>104775</xdr:rowOff>
    </xdr:to>
    <xdr:sp macro="" textlink="">
      <xdr:nvSpPr>
        <xdr:cNvPr id="85360" name="Text Box 13680"/>
        <xdr:cNvSpPr txBox="1">
          <a:spLocks noChangeArrowheads="1"/>
        </xdr:cNvSpPr>
      </xdr:nvSpPr>
      <xdr:spPr bwMode="auto">
        <a:xfrm>
          <a:off x="4514850" y="1524000"/>
          <a:ext cx="152400" cy="19050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1" i="0" strike="noStrike">
              <a:solidFill>
                <a:srgbClr val="0000FF"/>
              </a:solidFill>
              <a:latin typeface="Arial"/>
              <a:cs typeface="Arial"/>
            </a:rPr>
            <a:t>C</a:t>
          </a:r>
        </a:p>
      </xdr:txBody>
    </xdr:sp>
    <xdr:clientData/>
  </xdr:twoCellAnchor>
  <mc:AlternateContent xmlns:mc="http://schemas.openxmlformats.org/markup-compatibility/2006">
    <mc:Choice xmlns:a14="http://schemas.microsoft.com/office/drawing/2010/main" Requires="a14">
      <xdr:twoCellAnchor>
        <xdr:from>
          <xdr:col>21</xdr:col>
          <xdr:colOff>9525</xdr:colOff>
          <xdr:row>8</xdr:row>
          <xdr:rowOff>66675</xdr:rowOff>
        </xdr:from>
        <xdr:to>
          <xdr:col>22</xdr:col>
          <xdr:colOff>66675</xdr:colOff>
          <xdr:row>10</xdr:row>
          <xdr:rowOff>28575</xdr:rowOff>
        </xdr:to>
        <xdr:sp macro="" textlink="">
          <xdr:nvSpPr>
            <xdr:cNvPr id="177186" name="Spinner 34" hidden="1">
              <a:extLst>
                <a:ext uri="{63B3BB69-23CF-44E3-9099-C40C66FF867C}">
                  <a14:compatExt spid="_x0000_s1771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95250</xdr:colOff>
          <xdr:row>2</xdr:row>
          <xdr:rowOff>9525</xdr:rowOff>
        </xdr:from>
        <xdr:to>
          <xdr:col>26</xdr:col>
          <xdr:colOff>219075</xdr:colOff>
          <xdr:row>3</xdr:row>
          <xdr:rowOff>47625</xdr:rowOff>
        </xdr:to>
        <xdr:sp macro="" textlink="">
          <xdr:nvSpPr>
            <xdr:cNvPr id="177187" name="Scroll Bar 35" hidden="1">
              <a:extLst>
                <a:ext uri="{63B3BB69-23CF-44E3-9099-C40C66FF867C}">
                  <a14:compatExt spid="_x0000_s1771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95250</xdr:colOff>
          <xdr:row>5</xdr:row>
          <xdr:rowOff>133350</xdr:rowOff>
        </xdr:from>
        <xdr:to>
          <xdr:col>26</xdr:col>
          <xdr:colOff>219075</xdr:colOff>
          <xdr:row>7</xdr:row>
          <xdr:rowOff>28575</xdr:rowOff>
        </xdr:to>
        <xdr:sp macro="" textlink="">
          <xdr:nvSpPr>
            <xdr:cNvPr id="177188" name="Scroll Bar 36" hidden="1">
              <a:extLst>
                <a:ext uri="{63B3BB69-23CF-44E3-9099-C40C66FF867C}">
                  <a14:compatExt spid="_x0000_s1771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xdr:row>
          <xdr:rowOff>19050</xdr:rowOff>
        </xdr:from>
        <xdr:to>
          <xdr:col>31</xdr:col>
          <xdr:colOff>171450</xdr:colOff>
          <xdr:row>2</xdr:row>
          <xdr:rowOff>95250</xdr:rowOff>
        </xdr:to>
        <xdr:sp macro="" textlink="">
          <xdr:nvSpPr>
            <xdr:cNvPr id="177189" name="Button 37" hidden="1">
              <a:extLst>
                <a:ext uri="{63B3BB69-23CF-44E3-9099-C40C66FF867C}">
                  <a14:compatExt spid="_x0000_s177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3</xdr:row>
          <xdr:rowOff>38100</xdr:rowOff>
        </xdr:from>
        <xdr:to>
          <xdr:col>31</xdr:col>
          <xdr:colOff>171450</xdr:colOff>
          <xdr:row>5</xdr:row>
          <xdr:rowOff>76200</xdr:rowOff>
        </xdr:to>
        <xdr:sp macro="" textlink="">
          <xdr:nvSpPr>
            <xdr:cNvPr id="177190" name="Button 38" hidden="1">
              <a:extLst>
                <a:ext uri="{63B3BB69-23CF-44E3-9099-C40C66FF867C}">
                  <a14:compatExt spid="_x0000_s177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Another experiment</a:t>
              </a:r>
              <a:r>
                <a:rPr lang="en-US" sz="1000" b="0" i="0" u="none" strike="noStrike" baseline="0">
                  <a:solidFill>
                    <a:srgbClr val="000000"/>
                  </a:solidFill>
                  <a:latin typeface="Arial"/>
                  <a:cs typeface="Arial"/>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6</xdr:row>
          <xdr:rowOff>19050</xdr:rowOff>
        </xdr:from>
        <xdr:to>
          <xdr:col>31</xdr:col>
          <xdr:colOff>171450</xdr:colOff>
          <xdr:row>7</xdr:row>
          <xdr:rowOff>95250</xdr:rowOff>
        </xdr:to>
        <xdr:sp macro="" textlink="">
          <xdr:nvSpPr>
            <xdr:cNvPr id="177191" name="Button 39" hidden="1">
              <a:extLst>
                <a:ext uri="{63B3BB69-23CF-44E3-9099-C40C66FF867C}">
                  <a14:compatExt spid="_x0000_s177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Run-Stop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87</xdr:row>
          <xdr:rowOff>28575</xdr:rowOff>
        </xdr:from>
        <xdr:to>
          <xdr:col>27</xdr:col>
          <xdr:colOff>152400</xdr:colOff>
          <xdr:row>88</xdr:row>
          <xdr:rowOff>114300</xdr:rowOff>
        </xdr:to>
        <xdr:sp macro="" textlink="">
          <xdr:nvSpPr>
            <xdr:cNvPr id="177196" name="Spinner 44" hidden="1">
              <a:extLst>
                <a:ext uri="{63B3BB69-23CF-44E3-9099-C40C66FF867C}">
                  <a14:compatExt spid="_x0000_s1771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84</xdr:row>
          <xdr:rowOff>19050</xdr:rowOff>
        </xdr:from>
        <xdr:to>
          <xdr:col>27</xdr:col>
          <xdr:colOff>152400</xdr:colOff>
          <xdr:row>85</xdr:row>
          <xdr:rowOff>123825</xdr:rowOff>
        </xdr:to>
        <xdr:sp macro="" textlink="">
          <xdr:nvSpPr>
            <xdr:cNvPr id="177197" name="Spinner 45" hidden="1">
              <a:extLst>
                <a:ext uri="{63B3BB69-23CF-44E3-9099-C40C66FF867C}">
                  <a14:compatExt spid="_x0000_s1771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9</xdr:row>
          <xdr:rowOff>47625</xdr:rowOff>
        </xdr:from>
        <xdr:to>
          <xdr:col>14</xdr:col>
          <xdr:colOff>28575</xdr:colOff>
          <xdr:row>10</xdr:row>
          <xdr:rowOff>95250</xdr:rowOff>
        </xdr:to>
        <xdr:sp macro="" textlink="">
          <xdr:nvSpPr>
            <xdr:cNvPr id="177203" name="Check Box 51" hidden="1">
              <a:extLst>
                <a:ext uri="{63B3BB69-23CF-44E3-9099-C40C66FF867C}">
                  <a14:compatExt spid="_x0000_s177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95250</xdr:colOff>
          <xdr:row>3</xdr:row>
          <xdr:rowOff>133350</xdr:rowOff>
        </xdr:from>
        <xdr:to>
          <xdr:col>26</xdr:col>
          <xdr:colOff>219075</xdr:colOff>
          <xdr:row>5</xdr:row>
          <xdr:rowOff>28575</xdr:rowOff>
        </xdr:to>
        <xdr:sp macro="" textlink="">
          <xdr:nvSpPr>
            <xdr:cNvPr id="177204" name="Scroll Bar 52" hidden="1">
              <a:extLst>
                <a:ext uri="{63B3BB69-23CF-44E3-9099-C40C66FF867C}">
                  <a14:compatExt spid="_x0000_s1772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419100</xdr:colOff>
          <xdr:row>4</xdr:row>
          <xdr:rowOff>114300</xdr:rowOff>
        </xdr:from>
        <xdr:to>
          <xdr:col>16</xdr:col>
          <xdr:colOff>76200</xdr:colOff>
          <xdr:row>6</xdr:row>
          <xdr:rowOff>38100</xdr:rowOff>
        </xdr:to>
        <xdr:sp macro="" textlink="">
          <xdr:nvSpPr>
            <xdr:cNvPr id="177205" name="Check Box 53" hidden="1">
              <a:extLst>
                <a:ext uri="{63B3BB69-23CF-44E3-9099-C40C66FF867C}">
                  <a14:compatExt spid="_x0000_s177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12</xdr:row>
          <xdr:rowOff>95250</xdr:rowOff>
        </xdr:from>
        <xdr:to>
          <xdr:col>15</xdr:col>
          <xdr:colOff>0</xdr:colOff>
          <xdr:row>14</xdr:row>
          <xdr:rowOff>9525</xdr:rowOff>
        </xdr:to>
        <xdr:sp macro="" textlink="">
          <xdr:nvSpPr>
            <xdr:cNvPr id="177206" name="Check Box 54" hidden="1">
              <a:extLst>
                <a:ext uri="{63B3BB69-23CF-44E3-9099-C40C66FF867C}">
                  <a14:compatExt spid="_x0000_s177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10</xdr:row>
          <xdr:rowOff>114300</xdr:rowOff>
        </xdr:from>
        <xdr:to>
          <xdr:col>20</xdr:col>
          <xdr:colOff>0</xdr:colOff>
          <xdr:row>12</xdr:row>
          <xdr:rowOff>28575</xdr:rowOff>
        </xdr:to>
        <xdr:sp macro="" textlink="">
          <xdr:nvSpPr>
            <xdr:cNvPr id="177207" name="Check Box 55" hidden="1">
              <a:extLst>
                <a:ext uri="{63B3BB69-23CF-44E3-9099-C40C66FF867C}">
                  <a14:compatExt spid="_x0000_s177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11</xdr:row>
          <xdr:rowOff>104775</xdr:rowOff>
        </xdr:from>
        <xdr:to>
          <xdr:col>14</xdr:col>
          <xdr:colOff>38100</xdr:colOff>
          <xdr:row>13</xdr:row>
          <xdr:rowOff>28575</xdr:rowOff>
        </xdr:to>
        <xdr:sp macro="" textlink="">
          <xdr:nvSpPr>
            <xdr:cNvPr id="177210" name="Check Box 58" hidden="1">
              <a:extLst>
                <a:ext uri="{63B3BB69-23CF-44E3-9099-C40C66FF867C}">
                  <a14:compatExt spid="_x0000_s177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200025</xdr:colOff>
          <xdr:row>11</xdr:row>
          <xdr:rowOff>95250</xdr:rowOff>
        </xdr:from>
        <xdr:to>
          <xdr:col>21</xdr:col>
          <xdr:colOff>47625</xdr:colOff>
          <xdr:row>13</xdr:row>
          <xdr:rowOff>9525</xdr:rowOff>
        </xdr:to>
        <xdr:sp macro="" textlink="">
          <xdr:nvSpPr>
            <xdr:cNvPr id="177214" name="Check Box 62" hidden="1">
              <a:extLst>
                <a:ext uri="{63B3BB69-23CF-44E3-9099-C40C66FF867C}">
                  <a14:compatExt spid="_x0000_s177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90</xdr:row>
          <xdr:rowOff>28575</xdr:rowOff>
        </xdr:from>
        <xdr:to>
          <xdr:col>27</xdr:col>
          <xdr:colOff>152400</xdr:colOff>
          <xdr:row>91</xdr:row>
          <xdr:rowOff>114300</xdr:rowOff>
        </xdr:to>
        <xdr:sp macro="" textlink="">
          <xdr:nvSpPr>
            <xdr:cNvPr id="177215" name="Spinner 63" hidden="1">
              <a:extLst>
                <a:ext uri="{63B3BB69-23CF-44E3-9099-C40C66FF867C}">
                  <a14:compatExt spid="_x0000_s1772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25</xdr:row>
          <xdr:rowOff>123825</xdr:rowOff>
        </xdr:from>
        <xdr:to>
          <xdr:col>14</xdr:col>
          <xdr:colOff>38100</xdr:colOff>
          <xdr:row>27</xdr:row>
          <xdr:rowOff>47625</xdr:rowOff>
        </xdr:to>
        <xdr:sp macro="" textlink="">
          <xdr:nvSpPr>
            <xdr:cNvPr id="177221" name="Check Box 69" hidden="1">
              <a:extLst>
                <a:ext uri="{63B3BB69-23CF-44E3-9099-C40C66FF867C}">
                  <a14:compatExt spid="_x0000_s177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247650</xdr:colOff>
          <xdr:row>29</xdr:row>
          <xdr:rowOff>133350</xdr:rowOff>
        </xdr:from>
        <xdr:to>
          <xdr:col>14</xdr:col>
          <xdr:colOff>428625</xdr:colOff>
          <xdr:row>38</xdr:row>
          <xdr:rowOff>85725</xdr:rowOff>
        </xdr:to>
        <xdr:sp macro="" textlink="">
          <xdr:nvSpPr>
            <xdr:cNvPr id="177222" name="Scroll Bar 70" hidden="1">
              <a:extLst>
                <a:ext uri="{63B3BB69-23CF-44E3-9099-C40C66FF867C}">
                  <a14:compatExt spid="_x0000_s1772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12</xdr:row>
          <xdr:rowOff>76200</xdr:rowOff>
        </xdr:from>
        <xdr:to>
          <xdr:col>31</xdr:col>
          <xdr:colOff>161925</xdr:colOff>
          <xdr:row>14</xdr:row>
          <xdr:rowOff>9525</xdr:rowOff>
        </xdr:to>
        <xdr:sp macro="" textlink="">
          <xdr:nvSpPr>
            <xdr:cNvPr id="177224" name="Check Box 72" hidden="1">
              <a:extLst>
                <a:ext uri="{63B3BB69-23CF-44E3-9099-C40C66FF867C}">
                  <a14:compatExt spid="_x0000_s177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casino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12</xdr:row>
          <xdr:rowOff>85725</xdr:rowOff>
        </xdr:from>
        <xdr:to>
          <xdr:col>25</xdr:col>
          <xdr:colOff>19050</xdr:colOff>
          <xdr:row>14</xdr:row>
          <xdr:rowOff>19050</xdr:rowOff>
        </xdr:to>
        <xdr:sp macro="" textlink="">
          <xdr:nvSpPr>
            <xdr:cNvPr id="177225" name="Check Box 73" hidden="1">
              <a:extLst>
                <a:ext uri="{63B3BB69-23CF-44E3-9099-C40C66FF867C}">
                  <a14:compatExt spid="_x0000_s177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28575</xdr:colOff>
          <xdr:row>6</xdr:row>
          <xdr:rowOff>19050</xdr:rowOff>
        </xdr:from>
        <xdr:to>
          <xdr:col>29</xdr:col>
          <xdr:colOff>171450</xdr:colOff>
          <xdr:row>7</xdr:row>
          <xdr:rowOff>123825</xdr:rowOff>
        </xdr:to>
        <xdr:sp macro="" textlink="">
          <xdr:nvSpPr>
            <xdr:cNvPr id="177228" name="Spinner 76" hidden="1">
              <a:extLst>
                <a:ext uri="{63B3BB69-23CF-44E3-9099-C40C66FF867C}">
                  <a14:compatExt spid="_x0000_s1772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21</xdr:row>
          <xdr:rowOff>114300</xdr:rowOff>
        </xdr:from>
        <xdr:to>
          <xdr:col>14</xdr:col>
          <xdr:colOff>38100</xdr:colOff>
          <xdr:row>23</xdr:row>
          <xdr:rowOff>38100</xdr:rowOff>
        </xdr:to>
        <xdr:sp macro="" textlink="">
          <xdr:nvSpPr>
            <xdr:cNvPr id="177230" name="Check Box 78" hidden="1">
              <a:extLst>
                <a:ext uri="{63B3BB69-23CF-44E3-9099-C40C66FF867C}">
                  <a14:compatExt spid="_x0000_s177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39</xdr:row>
          <xdr:rowOff>85725</xdr:rowOff>
        </xdr:from>
        <xdr:to>
          <xdr:col>19</xdr:col>
          <xdr:colOff>95250</xdr:colOff>
          <xdr:row>40</xdr:row>
          <xdr:rowOff>85725</xdr:rowOff>
        </xdr:to>
        <xdr:sp macro="" textlink="">
          <xdr:nvSpPr>
            <xdr:cNvPr id="177232" name="Button 80" hidden="1">
              <a:extLst>
                <a:ext uri="{63B3BB69-23CF-44E3-9099-C40C66FF867C}">
                  <a14:compatExt spid="_x0000_s1772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257175</xdr:colOff>
          <xdr:row>39</xdr:row>
          <xdr:rowOff>85725</xdr:rowOff>
        </xdr:from>
        <xdr:to>
          <xdr:col>21</xdr:col>
          <xdr:colOff>9525</xdr:colOff>
          <xdr:row>40</xdr:row>
          <xdr:rowOff>85725</xdr:rowOff>
        </xdr:to>
        <xdr:sp macro="" textlink="">
          <xdr:nvSpPr>
            <xdr:cNvPr id="177233" name="Button 81" hidden="1">
              <a:extLst>
                <a:ext uri="{63B3BB69-23CF-44E3-9099-C40C66FF867C}">
                  <a14:compatExt spid="_x0000_s17723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39</xdr:row>
          <xdr:rowOff>85725</xdr:rowOff>
        </xdr:from>
        <xdr:to>
          <xdr:col>26</xdr:col>
          <xdr:colOff>257175</xdr:colOff>
          <xdr:row>40</xdr:row>
          <xdr:rowOff>85725</xdr:rowOff>
        </xdr:to>
        <xdr:sp macro="" textlink="">
          <xdr:nvSpPr>
            <xdr:cNvPr id="177234" name="Button 82" hidden="1">
              <a:extLst>
                <a:ext uri="{63B3BB69-23CF-44E3-9099-C40C66FF867C}">
                  <a14:compatExt spid="_x0000_s17723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39</xdr:row>
          <xdr:rowOff>85725</xdr:rowOff>
        </xdr:from>
        <xdr:to>
          <xdr:col>29</xdr:col>
          <xdr:colOff>161925</xdr:colOff>
          <xdr:row>40</xdr:row>
          <xdr:rowOff>85725</xdr:rowOff>
        </xdr:to>
        <xdr:sp macro="" textlink="">
          <xdr:nvSpPr>
            <xdr:cNvPr id="177235" name="Button 83" hidden="1">
              <a:extLst>
                <a:ext uri="{63B3BB69-23CF-44E3-9099-C40C66FF867C}">
                  <a14:compatExt spid="_x0000_s17723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39</xdr:row>
          <xdr:rowOff>76200</xdr:rowOff>
        </xdr:from>
        <xdr:to>
          <xdr:col>31</xdr:col>
          <xdr:colOff>180975</xdr:colOff>
          <xdr:row>40</xdr:row>
          <xdr:rowOff>85725</xdr:rowOff>
        </xdr:to>
        <xdr:sp macro="" textlink="">
          <xdr:nvSpPr>
            <xdr:cNvPr id="177236" name="Button 84" hidden="1">
              <a:extLst>
                <a:ext uri="{63B3BB69-23CF-44E3-9099-C40C66FF867C}">
                  <a14:compatExt spid="_x0000_s17723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42</xdr:row>
          <xdr:rowOff>38100</xdr:rowOff>
        </xdr:from>
        <xdr:to>
          <xdr:col>14</xdr:col>
          <xdr:colOff>95250</xdr:colOff>
          <xdr:row>43</xdr:row>
          <xdr:rowOff>104775</xdr:rowOff>
        </xdr:to>
        <xdr:sp macro="" textlink="">
          <xdr:nvSpPr>
            <xdr:cNvPr id="177243" name="Check Box 91" hidden="1">
              <a:extLst>
                <a:ext uri="{63B3BB69-23CF-44E3-9099-C40C66FF867C}">
                  <a14:compatExt spid="_x0000_s177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13</xdr:col>
          <xdr:colOff>0</xdr:colOff>
          <xdr:row>55</xdr:row>
          <xdr:rowOff>28575</xdr:rowOff>
        </xdr:to>
        <xdr:sp macro="" textlink="">
          <xdr:nvSpPr>
            <xdr:cNvPr id="177246" name="Object 94" hidden="1">
              <a:extLst>
                <a:ext uri="{63B3BB69-23CF-44E3-9099-C40C66FF867C}">
                  <a14:compatExt spid="_x0000_s1772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38100</xdr:colOff>
          <xdr:row>9</xdr:row>
          <xdr:rowOff>114300</xdr:rowOff>
        </xdr:from>
        <xdr:to>
          <xdr:col>60</xdr:col>
          <xdr:colOff>342900</xdr:colOff>
          <xdr:row>11</xdr:row>
          <xdr:rowOff>28575</xdr:rowOff>
        </xdr:to>
        <xdr:sp macro="" textlink="">
          <xdr:nvSpPr>
            <xdr:cNvPr id="177394" name="Check Box 242" hidden="1">
              <a:extLst>
                <a:ext uri="{63B3BB69-23CF-44E3-9099-C40C66FF867C}">
                  <a14:compatExt spid="_x0000_s1773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0.04908</cdr:x>
      <cdr:y>0.23176</cdr:y>
    </cdr:from>
    <cdr:to>
      <cdr:x>0.1658</cdr:x>
      <cdr:y>0.35885</cdr:y>
    </cdr:to>
    <cdr:sp macro="" textlink="">
      <cdr:nvSpPr>
        <cdr:cNvPr id="159745" name="Text Box 1025"/>
        <cdr:cNvSpPr txBox="1">
          <a:spLocks xmlns:a="http://schemas.openxmlformats.org/drawingml/2006/main" noChangeArrowheads="1"/>
        </cdr:cNvSpPr>
      </cdr:nvSpPr>
      <cdr:spPr bwMode="auto">
        <a:xfrm xmlns:a="http://schemas.openxmlformats.org/drawingml/2006/main">
          <a:off x="277114" y="358591"/>
          <a:ext cx="651510" cy="1948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900" b="0" i="0" strike="noStrike">
              <a:solidFill>
                <a:srgbClr val="000000"/>
              </a:solidFill>
              <a:latin typeface="Arial"/>
              <a:cs typeface="Arial"/>
            </a:rPr>
            <a:t>Populations</a:t>
          </a:r>
        </a:p>
      </cdr:txBody>
    </cdr:sp>
  </cdr:relSizeAnchor>
</c:userShapes>
</file>

<file path=xl/drawings/drawing7.xml><?xml version="1.0" encoding="utf-8"?>
<c:userShapes xmlns:c="http://schemas.openxmlformats.org/drawingml/2006/chart">
  <cdr:relSizeAnchor xmlns:cdr="http://schemas.openxmlformats.org/drawingml/2006/chartDrawing">
    <cdr:from>
      <cdr:x>0.46783</cdr:x>
      <cdr:y>0.93548</cdr:y>
    </cdr:from>
    <cdr:to>
      <cdr:x>0.94747</cdr:x>
      <cdr:y>0.99253</cdr:y>
    </cdr:to>
    <cdr:sp macro="" textlink="">
      <cdr:nvSpPr>
        <cdr:cNvPr id="89090" name="Text Box 2"/>
        <cdr:cNvSpPr txBox="1">
          <a:spLocks xmlns:a="http://schemas.openxmlformats.org/drawingml/2006/main" noChangeArrowheads="1"/>
        </cdr:cNvSpPr>
      </cdr:nvSpPr>
      <cdr:spPr bwMode="auto">
        <a:xfrm xmlns:a="http://schemas.openxmlformats.org/drawingml/2006/main">
          <a:off x="1776692" y="3611888"/>
          <a:ext cx="1818284" cy="2200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32004" rIns="0" bIns="32004" anchor="ctr" upright="1"/>
        <a:lstStyle xmlns:a="http://schemas.openxmlformats.org/drawingml/2006/main"/>
        <a:p xmlns:a="http://schemas.openxmlformats.org/drawingml/2006/main">
          <a:pPr algn="l" rtl="0">
            <a:defRPr sz="1000"/>
          </a:pPr>
          <a:r>
            <a:rPr lang="en-AU" sz="1550" b="0" i="0" strike="noStrike">
              <a:solidFill>
                <a:srgbClr val="000000"/>
              </a:solidFill>
              <a:latin typeface="Arial"/>
              <a:cs typeface="Arial"/>
            </a:rPr>
            <a:t>*   </a:t>
          </a:r>
          <a:r>
            <a:rPr lang="en-AU" sz="1175" b="0" i="0" strike="noStrike">
              <a:solidFill>
                <a:srgbClr val="000000"/>
              </a:solidFill>
              <a:latin typeface="Arial"/>
              <a:cs typeface="Arial"/>
            </a:rPr>
            <a:t>   </a:t>
          </a:r>
          <a:r>
            <a:rPr lang="en-AU" sz="1550" b="0" i="0" strike="noStrike">
              <a:solidFill>
                <a:srgbClr val="000000"/>
              </a:solidFill>
              <a:latin typeface="Arial"/>
              <a:cs typeface="Arial"/>
            </a:rPr>
            <a:t>    </a:t>
          </a:r>
          <a:r>
            <a:rPr lang="en-AU" sz="1075" b="0" i="0" strike="noStrike">
              <a:solidFill>
                <a:srgbClr val="000000"/>
              </a:solidFill>
              <a:latin typeface="Arial"/>
              <a:cs typeface="Arial"/>
            </a:rPr>
            <a:t> </a:t>
          </a:r>
          <a:r>
            <a:rPr lang="en-AU" sz="1550" b="0" i="0" strike="noStrike">
              <a:solidFill>
                <a:srgbClr val="000000"/>
              </a:solidFill>
              <a:latin typeface="Arial"/>
              <a:cs typeface="Arial"/>
            </a:rPr>
            <a:t> **       </a:t>
          </a:r>
          <a:r>
            <a:rPr lang="en-AU" sz="1150" b="0" i="0" strike="noStrike">
              <a:solidFill>
                <a:srgbClr val="000000"/>
              </a:solidFill>
              <a:latin typeface="Arial"/>
              <a:cs typeface="Arial"/>
            </a:rPr>
            <a:t> </a:t>
          </a:r>
          <a:r>
            <a:rPr lang="en-AU" sz="1550" b="0" i="0" strike="noStrike">
              <a:solidFill>
                <a:srgbClr val="000000"/>
              </a:solidFill>
              <a:latin typeface="Arial"/>
              <a:cs typeface="Arial"/>
            </a:rPr>
            <a:t>  ***          </a:t>
          </a:r>
        </a:p>
      </cdr:txBody>
    </cdr:sp>
  </cdr:relSizeAnchor>
  <cdr:relSizeAnchor xmlns:cdr="http://schemas.openxmlformats.org/drawingml/2006/chartDrawing">
    <cdr:from>
      <cdr:x>0.02914</cdr:x>
      <cdr:y>0.92856</cdr:y>
    </cdr:from>
    <cdr:to>
      <cdr:x>0.33525</cdr:x>
      <cdr:y>1</cdr:y>
    </cdr:to>
    <cdr:sp macro="" textlink="">
      <cdr:nvSpPr>
        <cdr:cNvPr id="89091" name="Text Box 3"/>
        <cdr:cNvSpPr txBox="1">
          <a:spLocks xmlns:a="http://schemas.openxmlformats.org/drawingml/2006/main" noChangeArrowheads="1"/>
        </cdr:cNvSpPr>
      </cdr:nvSpPr>
      <cdr:spPr bwMode="auto">
        <a:xfrm xmlns:a="http://schemas.openxmlformats.org/drawingml/2006/main">
          <a:off x="113627" y="3593076"/>
          <a:ext cx="1160450" cy="27559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22860" anchor="ctr" upright="1"/>
        <a:lstStyle xmlns:a="http://schemas.openxmlformats.org/drawingml/2006/main"/>
        <a:p xmlns:a="http://schemas.openxmlformats.org/drawingml/2006/main">
          <a:pPr algn="l" rtl="0">
            <a:defRPr sz="1000"/>
          </a:pPr>
          <a:r>
            <a:rPr lang="en-AU" sz="875" b="1" i="1" strike="noStrike">
              <a:solidFill>
                <a:srgbClr val="000000"/>
              </a:solidFill>
              <a:latin typeface="Arial"/>
              <a:cs typeface="Arial"/>
            </a:rPr>
            <a:t>p</a:t>
          </a:r>
          <a:r>
            <a:rPr lang="en-AU" sz="875" b="1" i="0" strike="noStrike">
              <a:solidFill>
                <a:srgbClr val="000000"/>
              </a:solidFill>
              <a:latin typeface="Arial"/>
              <a:cs typeface="Arial"/>
            </a:rPr>
            <a:t>&gt;.10                     ?</a:t>
          </a:r>
        </a:p>
      </cdr:txBody>
    </cdr:sp>
  </cdr:relSizeAnchor>
  <cdr:relSizeAnchor xmlns:cdr="http://schemas.openxmlformats.org/drawingml/2006/chartDrawing">
    <cdr:from>
      <cdr:x>0.22606</cdr:x>
      <cdr:y>0.01235</cdr:y>
    </cdr:from>
    <cdr:to>
      <cdr:x>0.78759</cdr:x>
      <cdr:y>0.06404</cdr:y>
    </cdr:to>
    <cdr:sp macro="" textlink="">
      <cdr:nvSpPr>
        <cdr:cNvPr id="89089" name="Text Box 1"/>
        <cdr:cNvSpPr txBox="1">
          <a:spLocks xmlns:a="http://schemas.openxmlformats.org/drawingml/2006/main" noChangeArrowheads="1"/>
        </cdr:cNvSpPr>
      </cdr:nvSpPr>
      <cdr:spPr bwMode="auto">
        <a:xfrm xmlns:a="http://schemas.openxmlformats.org/drawingml/2006/main">
          <a:off x="860158" y="50800"/>
          <a:ext cx="2128724" cy="19940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100" b="0" i="0" strike="noStrike">
              <a:solidFill>
                <a:srgbClr val="000000"/>
              </a:solidFill>
              <a:latin typeface="Arial"/>
              <a:cs typeface="Arial"/>
            </a:rPr>
            <a:t>Frequency histogram of </a:t>
          </a:r>
          <a:r>
            <a:rPr lang="en-AU" sz="1100" b="0" i="1" strike="noStrike">
              <a:solidFill>
                <a:srgbClr val="000000"/>
              </a:solidFill>
              <a:latin typeface="Arial"/>
              <a:cs typeface="Arial"/>
            </a:rPr>
            <a:t>p</a:t>
          </a:r>
          <a:r>
            <a:rPr lang="en-AU" sz="1100" b="0" i="0" strike="noStrike">
              <a:solidFill>
                <a:srgbClr val="000000"/>
              </a:solidFill>
              <a:latin typeface="Arial"/>
              <a:cs typeface="Arial"/>
            </a:rPr>
            <a:t> values</a:t>
          </a:r>
        </a:p>
      </cdr:txBody>
    </cdr:sp>
  </cdr:relSizeAnchor>
</c:userShapes>
</file>

<file path=xl/drawings/drawing8.xml><?xml version="1.0" encoding="utf-8"?>
<c:userShapes xmlns:c="http://schemas.openxmlformats.org/drawingml/2006/chart">
  <cdr:relSizeAnchor xmlns:cdr="http://schemas.openxmlformats.org/drawingml/2006/chartDrawing">
    <cdr:from>
      <cdr:x>0.02824</cdr:x>
      <cdr:y>0.07159</cdr:y>
    </cdr:from>
    <cdr:to>
      <cdr:x>0.97176</cdr:x>
      <cdr:y>0.12536</cdr:y>
    </cdr:to>
    <cdr:sp macro="" textlink="">
      <cdr:nvSpPr>
        <cdr:cNvPr id="287745" name="Rectangle 1"/>
        <cdr:cNvSpPr>
          <a:spLocks xmlns:a="http://schemas.openxmlformats.org/drawingml/2006/main" noChangeArrowheads="1"/>
        </cdr:cNvSpPr>
      </cdr:nvSpPr>
      <cdr:spPr bwMode="auto">
        <a:xfrm xmlns:a="http://schemas.openxmlformats.org/drawingml/2006/main">
          <a:off x="60468" y="509855"/>
          <a:ext cx="1914239" cy="380509"/>
        </a:xfrm>
        <a:prstGeom xmlns:a="http://schemas.openxmlformats.org/drawingml/2006/main" prst="rect">
          <a:avLst/>
        </a:prstGeom>
        <a:noFill xmlns:a="http://schemas.openxmlformats.org/drawingml/2006/main"/>
        <a:ln xmlns:a="http://schemas.openxmlformats.org/drawingml/2006/main" w="31750">
          <a:solidFill>
            <a:srgbClr val="C0C0C0"/>
          </a:solidFill>
          <a:miter lim="800000"/>
          <a:headEnd/>
          <a:tailEnd/>
        </a:ln>
      </cdr:spPr>
      <cdr:txBody>
        <a:bodyPr xmlns:a="http://schemas.openxmlformats.org/drawingml/2006/main"/>
        <a:lstStyle xmlns:a="http://schemas.openxmlformats.org/drawingml/2006/main"/>
        <a:p xmlns:a="http://schemas.openxmlformats.org/drawingml/2006/main">
          <a:endParaRPr lang="en-AU"/>
        </a:p>
      </cdr:txBody>
    </cdr:sp>
  </cdr:relSizeAnchor>
  <cdr:relSizeAnchor xmlns:cdr="http://schemas.openxmlformats.org/drawingml/2006/chartDrawing">
    <cdr:from>
      <cdr:x>0.10925</cdr:x>
      <cdr:y>0.00673</cdr:y>
    </cdr:from>
    <cdr:to>
      <cdr:x>0.89552</cdr:x>
      <cdr:y>0.03879</cdr:y>
    </cdr:to>
    <cdr:sp macro="" textlink="">
      <cdr:nvSpPr>
        <cdr:cNvPr id="287746" name="Text Box 2"/>
        <cdr:cNvSpPr txBox="1">
          <a:spLocks xmlns:a="http://schemas.openxmlformats.org/drawingml/2006/main" noChangeArrowheads="1"/>
        </cdr:cNvSpPr>
      </cdr:nvSpPr>
      <cdr:spPr bwMode="auto">
        <a:xfrm xmlns:a="http://schemas.openxmlformats.org/drawingml/2006/main">
          <a:off x="224822" y="50800"/>
          <a:ext cx="1595199" cy="22690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r>
            <a:rPr lang="en-AU" sz="1200" b="0" i="0" strike="noStrike">
              <a:solidFill>
                <a:srgbClr val="000000"/>
              </a:solidFill>
              <a:latin typeface="Arial"/>
              <a:cs typeface="Arial"/>
            </a:rPr>
            <a:t>Dance of the </a:t>
          </a:r>
          <a:r>
            <a:rPr lang="en-AU" sz="1200" b="0" i="1" strike="noStrike">
              <a:solidFill>
                <a:srgbClr val="000000"/>
              </a:solidFill>
              <a:latin typeface="Arial"/>
              <a:cs typeface="Arial"/>
            </a:rPr>
            <a:t>p</a:t>
          </a:r>
          <a:r>
            <a:rPr lang="en-AU" sz="1200" b="0" i="0" strike="noStrike">
              <a:solidFill>
                <a:srgbClr val="000000"/>
              </a:solidFill>
              <a:latin typeface="Arial"/>
              <a:cs typeface="Arial"/>
            </a:rPr>
            <a:t> values</a:t>
          </a:r>
        </a:p>
      </cdr:txBody>
    </cdr:sp>
  </cdr:relSizeAnchor>
  <cdr:relSizeAnchor xmlns:cdr="http://schemas.openxmlformats.org/drawingml/2006/chartDrawing">
    <cdr:from>
      <cdr:x>0.02919</cdr:x>
      <cdr:y>0.03953</cdr:y>
    </cdr:from>
    <cdr:to>
      <cdr:x>0.37324</cdr:x>
      <cdr:y>0.06987</cdr:y>
    </cdr:to>
    <cdr:sp macro="" textlink="">
      <cdr:nvSpPr>
        <cdr:cNvPr id="287749" name="Text Box 5"/>
        <cdr:cNvSpPr txBox="1">
          <a:spLocks xmlns:a="http://schemas.openxmlformats.org/drawingml/2006/main" noChangeArrowheads="1"/>
        </cdr:cNvSpPr>
      </cdr:nvSpPr>
      <cdr:spPr bwMode="auto">
        <a:xfrm xmlns:a="http://schemas.openxmlformats.org/drawingml/2006/main">
          <a:off x="62401" y="282946"/>
          <a:ext cx="698021" cy="21469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75" b="1" i="1" strike="noStrike">
              <a:solidFill>
                <a:srgbClr val="000000"/>
              </a:solidFill>
              <a:latin typeface="Arial"/>
              <a:cs typeface="Arial"/>
            </a:rPr>
            <a:t>p</a:t>
          </a:r>
          <a:r>
            <a:rPr lang="en-AU" sz="875" b="1" i="0" strike="noStrike">
              <a:solidFill>
                <a:srgbClr val="000000"/>
              </a:solidFill>
              <a:latin typeface="Arial"/>
              <a:cs typeface="Arial"/>
            </a:rPr>
            <a:t>&gt;.10     ?</a:t>
          </a:r>
        </a:p>
      </cdr:txBody>
    </cdr:sp>
  </cdr:relSizeAnchor>
  <cdr:relSizeAnchor xmlns:cdr="http://schemas.openxmlformats.org/drawingml/2006/chartDrawing">
    <cdr:from>
      <cdr:x>0.45616</cdr:x>
      <cdr:y>0.03682</cdr:y>
    </cdr:from>
    <cdr:to>
      <cdr:x>0.96795</cdr:x>
      <cdr:y>0.07825</cdr:y>
    </cdr:to>
    <cdr:sp macro="" textlink="">
      <cdr:nvSpPr>
        <cdr:cNvPr id="287750" name="Text Box 6"/>
        <cdr:cNvSpPr txBox="1">
          <a:spLocks xmlns:a="http://schemas.openxmlformats.org/drawingml/2006/main" noChangeArrowheads="1"/>
        </cdr:cNvSpPr>
      </cdr:nvSpPr>
      <cdr:spPr bwMode="auto">
        <a:xfrm xmlns:a="http://schemas.openxmlformats.org/drawingml/2006/main">
          <a:off x="928643" y="263746"/>
          <a:ext cx="1038330" cy="29323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32004" rIns="0" bIns="32004" anchor="ctr" upright="1"/>
        <a:lstStyle xmlns:a="http://schemas.openxmlformats.org/drawingml/2006/main"/>
        <a:p xmlns:a="http://schemas.openxmlformats.org/drawingml/2006/main">
          <a:pPr algn="l" rtl="0">
            <a:defRPr sz="1000"/>
          </a:pPr>
          <a:r>
            <a:rPr lang="en-AU" sz="1550" b="0" i="0" strike="noStrike">
              <a:solidFill>
                <a:srgbClr val="000000"/>
              </a:solidFill>
              <a:latin typeface="Arial"/>
              <a:cs typeface="Arial"/>
            </a:rPr>
            <a:t>*  </a:t>
          </a:r>
          <a:r>
            <a:rPr lang="en-AU" sz="1175" b="0" i="0" strike="noStrike">
              <a:solidFill>
                <a:srgbClr val="000000"/>
              </a:solidFill>
              <a:latin typeface="Arial"/>
              <a:cs typeface="Arial"/>
            </a:rPr>
            <a:t>  </a:t>
          </a:r>
          <a:r>
            <a:rPr lang="en-AU" sz="1550" b="0" i="0" strike="noStrike">
              <a:solidFill>
                <a:srgbClr val="000000"/>
              </a:solidFill>
              <a:latin typeface="Arial"/>
              <a:cs typeface="Arial"/>
            </a:rPr>
            <a:t> **   ***          </a:t>
          </a:r>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57150</xdr:colOff>
      <xdr:row>0</xdr:row>
      <xdr:rowOff>38100</xdr:rowOff>
    </xdr:from>
    <xdr:to>
      <xdr:col>1</xdr:col>
      <xdr:colOff>285750</xdr:colOff>
      <xdr:row>3</xdr:row>
      <xdr:rowOff>28575</xdr:rowOff>
    </xdr:to>
    <xdr:pic>
      <xdr:nvPicPr>
        <xdr:cNvPr id="402433"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57150" y="38100"/>
          <a:ext cx="428625" cy="419100"/>
        </a:xfrm>
        <a:prstGeom prst="rect">
          <a:avLst/>
        </a:prstGeom>
        <a:noFill/>
        <a:ln w="9525">
          <a:noFill/>
          <a:miter lim="800000"/>
          <a:headEnd/>
          <a:tailEnd/>
        </a:ln>
      </xdr:spPr>
    </xdr:pic>
    <xdr:clientData/>
  </xdr:twoCellAnchor>
  <xdr:twoCellAnchor editAs="oneCell">
    <xdr:from>
      <xdr:col>0</xdr:col>
      <xdr:colOff>57150</xdr:colOff>
      <xdr:row>0</xdr:row>
      <xdr:rowOff>28575</xdr:rowOff>
    </xdr:from>
    <xdr:to>
      <xdr:col>1</xdr:col>
      <xdr:colOff>285750</xdr:colOff>
      <xdr:row>3</xdr:row>
      <xdr:rowOff>57150</xdr:rowOff>
    </xdr:to>
    <xdr:pic>
      <xdr:nvPicPr>
        <xdr:cNvPr id="402434" name="Picture 21"/>
        <xdr:cNvPicPr>
          <a:picLocks noChangeAspect="1" noChangeArrowheads="1"/>
        </xdr:cNvPicPr>
      </xdr:nvPicPr>
      <xdr:blipFill>
        <a:blip xmlns:r="http://schemas.openxmlformats.org/officeDocument/2006/relationships" r:embed="rId2" cstate="print"/>
        <a:srcRect/>
        <a:stretch>
          <a:fillRect/>
        </a:stretch>
      </xdr:blipFill>
      <xdr:spPr bwMode="auto">
        <a:xfrm>
          <a:off x="57150" y="28575"/>
          <a:ext cx="428625" cy="457200"/>
        </a:xfrm>
        <a:prstGeom prst="rect">
          <a:avLst/>
        </a:prstGeom>
        <a:noFill/>
        <a:ln w="9525">
          <a:noFill/>
          <a:miter lim="800000"/>
          <a:headEnd/>
          <a:tailEnd/>
        </a:ln>
      </xdr:spPr>
    </xdr:pic>
    <xdr:clientData/>
  </xdr:twoCellAnchor>
  <xdr:twoCellAnchor editAs="oneCell">
    <xdr:from>
      <xdr:col>15</xdr:col>
      <xdr:colOff>161925</xdr:colOff>
      <xdr:row>0</xdr:row>
      <xdr:rowOff>9525</xdr:rowOff>
    </xdr:from>
    <xdr:to>
      <xdr:col>22</xdr:col>
      <xdr:colOff>285750</xdr:colOff>
      <xdr:row>30</xdr:row>
      <xdr:rowOff>47625</xdr:rowOff>
    </xdr:to>
    <xdr:graphicFrame macro="">
      <xdr:nvGraphicFramePr>
        <xdr:cNvPr id="402435"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8</xdr:col>
      <xdr:colOff>19050</xdr:colOff>
      <xdr:row>0</xdr:row>
      <xdr:rowOff>9525</xdr:rowOff>
    </xdr:from>
    <xdr:to>
      <xdr:col>15</xdr:col>
      <xdr:colOff>142875</xdr:colOff>
      <xdr:row>30</xdr:row>
      <xdr:rowOff>47625</xdr:rowOff>
    </xdr:to>
    <xdr:graphicFrame macro="">
      <xdr:nvGraphicFramePr>
        <xdr:cNvPr id="402436"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38100</xdr:colOff>
          <xdr:row>13</xdr:row>
          <xdr:rowOff>95250</xdr:rowOff>
        </xdr:from>
        <xdr:to>
          <xdr:col>1</xdr:col>
          <xdr:colOff>314325</xdr:colOff>
          <xdr:row>15</xdr:row>
          <xdr:rowOff>19050</xdr:rowOff>
        </xdr:to>
        <xdr:sp macro="" textlink="">
          <xdr:nvSpPr>
            <xdr:cNvPr id="402439" name="Check Box 7" hidden="1">
              <a:extLst>
                <a:ext uri="{63B3BB69-23CF-44E3-9099-C40C66FF867C}">
                  <a14:compatExt spid="_x0000_s4024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17</xdr:row>
          <xdr:rowOff>19050</xdr:rowOff>
        </xdr:from>
        <xdr:to>
          <xdr:col>5</xdr:col>
          <xdr:colOff>238125</xdr:colOff>
          <xdr:row>18</xdr:row>
          <xdr:rowOff>114300</xdr:rowOff>
        </xdr:to>
        <xdr:sp macro="" textlink="">
          <xdr:nvSpPr>
            <xdr:cNvPr id="402442" name="Button 10" hidden="1">
              <a:extLst>
                <a:ext uri="{63B3BB69-23CF-44E3-9099-C40C66FF867C}">
                  <a14:compatExt spid="_x0000_s402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6</xdr:row>
          <xdr:rowOff>95250</xdr:rowOff>
        </xdr:from>
        <xdr:to>
          <xdr:col>6</xdr:col>
          <xdr:colOff>171450</xdr:colOff>
          <xdr:row>8</xdr:row>
          <xdr:rowOff>57150</xdr:rowOff>
        </xdr:to>
        <xdr:sp macro="" textlink="">
          <xdr:nvSpPr>
            <xdr:cNvPr id="402443" name="Spinner 11" hidden="1">
              <a:extLst>
                <a:ext uri="{63B3BB69-23CF-44E3-9099-C40C66FF867C}">
                  <a14:compatExt spid="_x0000_s4024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95250</xdr:rowOff>
        </xdr:from>
        <xdr:to>
          <xdr:col>7</xdr:col>
          <xdr:colOff>76200</xdr:colOff>
          <xdr:row>13</xdr:row>
          <xdr:rowOff>57150</xdr:rowOff>
        </xdr:to>
        <xdr:sp macro="" textlink="">
          <xdr:nvSpPr>
            <xdr:cNvPr id="402444" name="Spinner 12" hidden="1">
              <a:extLst>
                <a:ext uri="{63B3BB69-23CF-44E3-9099-C40C66FF867C}">
                  <a14:compatExt spid="_x0000_s4024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56</xdr:row>
          <xdr:rowOff>95250</xdr:rowOff>
        </xdr:from>
        <xdr:to>
          <xdr:col>6</xdr:col>
          <xdr:colOff>171450</xdr:colOff>
          <xdr:row>58</xdr:row>
          <xdr:rowOff>57150</xdr:rowOff>
        </xdr:to>
        <xdr:sp macro="" textlink="">
          <xdr:nvSpPr>
            <xdr:cNvPr id="402445" name="Spinner 13" hidden="1">
              <a:extLst>
                <a:ext uri="{63B3BB69-23CF-44E3-9099-C40C66FF867C}">
                  <a14:compatExt spid="_x0000_s40244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5</xdr:col>
      <xdr:colOff>0</xdr:colOff>
      <xdr:row>8</xdr:row>
      <xdr:rowOff>0</xdr:rowOff>
    </xdr:from>
    <xdr:to>
      <xdr:col>16</xdr:col>
      <xdr:colOff>0</xdr:colOff>
      <xdr:row>38</xdr:row>
      <xdr:rowOff>9525</xdr:rowOff>
    </xdr:to>
    <xdr:graphicFrame macro="">
      <xdr:nvGraphicFramePr>
        <xdr:cNvPr id="55367" name="Chart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0</xdr:col>
      <xdr:colOff>47625</xdr:colOff>
      <xdr:row>0</xdr:row>
      <xdr:rowOff>47625</xdr:rowOff>
    </xdr:from>
    <xdr:to>
      <xdr:col>1</xdr:col>
      <xdr:colOff>323850</xdr:colOff>
      <xdr:row>3</xdr:row>
      <xdr:rowOff>38100</xdr:rowOff>
    </xdr:to>
    <xdr:pic>
      <xdr:nvPicPr>
        <xdr:cNvPr id="55368" name="Picture 20"/>
        <xdr:cNvPicPr>
          <a:picLocks noChangeAspect="1" noChangeArrowheads="1"/>
        </xdr:cNvPicPr>
      </xdr:nvPicPr>
      <xdr:blipFill>
        <a:blip xmlns:r="http://schemas.openxmlformats.org/officeDocument/2006/relationships" r:embed="rId2" cstate="print"/>
        <a:srcRect/>
        <a:stretch>
          <a:fillRect/>
        </a:stretch>
      </xdr:blipFill>
      <xdr:spPr bwMode="auto">
        <a:xfrm>
          <a:off x="47625" y="47625"/>
          <a:ext cx="428625" cy="457200"/>
        </a:xfrm>
        <a:prstGeom prst="rect">
          <a:avLst/>
        </a:prstGeom>
        <a:noFill/>
        <a:ln w="9525">
          <a:noFill/>
          <a:miter lim="800000"/>
          <a:headEnd/>
          <a:tailEnd/>
        </a:ln>
      </xdr:spPr>
    </xdr:pic>
    <xdr:clientData/>
  </xdr:twoCellAnchor>
  <xdr:twoCellAnchor editAs="oneCell">
    <xdr:from>
      <xdr:col>16</xdr:col>
      <xdr:colOff>0</xdr:colOff>
      <xdr:row>8</xdr:row>
      <xdr:rowOff>0</xdr:rowOff>
    </xdr:from>
    <xdr:to>
      <xdr:col>27</xdr:col>
      <xdr:colOff>0</xdr:colOff>
      <xdr:row>38</xdr:row>
      <xdr:rowOff>9525</xdr:rowOff>
    </xdr:to>
    <xdr:graphicFrame macro="">
      <xdr:nvGraphicFramePr>
        <xdr:cNvPr id="5536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16</xdr:col>
      <xdr:colOff>9525</xdr:colOff>
      <xdr:row>1</xdr:row>
      <xdr:rowOff>95250</xdr:rowOff>
    </xdr:from>
    <xdr:to>
      <xdr:col>27</xdr:col>
      <xdr:colOff>95250</xdr:colOff>
      <xdr:row>38</xdr:row>
      <xdr:rowOff>104775</xdr:rowOff>
    </xdr:to>
    <xdr:sp macro="" textlink="">
      <xdr:nvSpPr>
        <xdr:cNvPr id="55370" name="Rectangle 45"/>
        <xdr:cNvSpPr>
          <a:spLocks noChangeArrowheads="1"/>
        </xdr:cNvSpPr>
      </xdr:nvSpPr>
      <xdr:spPr bwMode="auto">
        <a:xfrm>
          <a:off x="5505450" y="257175"/>
          <a:ext cx="3952875" cy="5381625"/>
        </a:xfrm>
        <a:prstGeom prst="rect">
          <a:avLst/>
        </a:prstGeom>
        <a:solidFill>
          <a:srgbClr val="FFFFFF"/>
        </a:soli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17</xdr:col>
          <xdr:colOff>47625</xdr:colOff>
          <xdr:row>4</xdr:row>
          <xdr:rowOff>9525</xdr:rowOff>
        </xdr:from>
        <xdr:to>
          <xdr:col>21</xdr:col>
          <xdr:colOff>95250</xdr:colOff>
          <xdr:row>4</xdr:row>
          <xdr:rowOff>161925</xdr:rowOff>
        </xdr:to>
        <xdr:sp macro="" textlink="">
          <xdr:nvSpPr>
            <xdr:cNvPr id="55314" name="Scroll Bar 18" hidden="1">
              <a:extLst>
                <a:ext uri="{63B3BB69-23CF-44E3-9099-C40C66FF867C}">
                  <a14:compatExt spid="_x0000_s5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9525</xdr:rowOff>
        </xdr:from>
        <xdr:to>
          <xdr:col>4</xdr:col>
          <xdr:colOff>19050</xdr:colOff>
          <xdr:row>11</xdr:row>
          <xdr:rowOff>19050</xdr:rowOff>
        </xdr:to>
        <xdr:sp macro="" textlink="">
          <xdr:nvSpPr>
            <xdr:cNvPr id="55301" name="Scroll Bar 5" hidden="1">
              <a:extLst>
                <a:ext uri="{63B3BB69-23CF-44E3-9099-C40C66FF867C}">
                  <a14:compatExt spid="_x0000_s5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19</xdr:row>
          <xdr:rowOff>9525</xdr:rowOff>
        </xdr:from>
        <xdr:to>
          <xdr:col>4</xdr:col>
          <xdr:colOff>9525</xdr:colOff>
          <xdr:row>20</xdr:row>
          <xdr:rowOff>19050</xdr:rowOff>
        </xdr:to>
        <xdr:sp macro="" textlink="">
          <xdr:nvSpPr>
            <xdr:cNvPr id="55302" name="Scroll Bar 6" hidden="1">
              <a:extLst>
                <a:ext uri="{63B3BB69-23CF-44E3-9099-C40C66FF867C}">
                  <a14:compatExt spid="_x0000_s553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13</xdr:row>
          <xdr:rowOff>9525</xdr:rowOff>
        </xdr:from>
        <xdr:to>
          <xdr:col>4</xdr:col>
          <xdr:colOff>19050</xdr:colOff>
          <xdr:row>14</xdr:row>
          <xdr:rowOff>19050</xdr:rowOff>
        </xdr:to>
        <xdr:sp macro="" textlink="">
          <xdr:nvSpPr>
            <xdr:cNvPr id="55306" name="Scroll Bar 10" hidden="1">
              <a:extLst>
                <a:ext uri="{63B3BB69-23CF-44E3-9099-C40C66FF867C}">
                  <a14:compatExt spid="_x0000_s553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9525</xdr:rowOff>
        </xdr:from>
        <xdr:to>
          <xdr:col>4</xdr:col>
          <xdr:colOff>9525</xdr:colOff>
          <xdr:row>23</xdr:row>
          <xdr:rowOff>19050</xdr:rowOff>
        </xdr:to>
        <xdr:sp macro="" textlink="">
          <xdr:nvSpPr>
            <xdr:cNvPr id="55307" name="Scroll Bar 11" hidden="1">
              <a:extLst>
                <a:ext uri="{63B3BB69-23CF-44E3-9099-C40C66FF867C}">
                  <a14:compatExt spid="_x0000_s5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23</xdr:row>
          <xdr:rowOff>66675</xdr:rowOff>
        </xdr:from>
        <xdr:to>
          <xdr:col>3</xdr:col>
          <xdr:colOff>171450</xdr:colOff>
          <xdr:row>25</xdr:row>
          <xdr:rowOff>66675</xdr:rowOff>
        </xdr:to>
        <xdr:sp macro="" textlink="">
          <xdr:nvSpPr>
            <xdr:cNvPr id="55310" name="Spinner 14" hidden="1">
              <a:extLst>
                <a:ext uri="{63B3BB69-23CF-44E3-9099-C40C66FF867C}">
                  <a14:compatExt spid="_x0000_s5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66675</xdr:rowOff>
        </xdr:from>
        <xdr:to>
          <xdr:col>3</xdr:col>
          <xdr:colOff>171450</xdr:colOff>
          <xdr:row>16</xdr:row>
          <xdr:rowOff>66675</xdr:rowOff>
        </xdr:to>
        <xdr:sp macro="" textlink="">
          <xdr:nvSpPr>
            <xdr:cNvPr id="55327" name="Spinner 31" hidden="1">
              <a:extLst>
                <a:ext uri="{63B3BB69-23CF-44E3-9099-C40C66FF867C}">
                  <a14:compatExt spid="_x0000_s553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26</xdr:row>
          <xdr:rowOff>104775</xdr:rowOff>
        </xdr:from>
        <xdr:to>
          <xdr:col>3</xdr:col>
          <xdr:colOff>523875</xdr:colOff>
          <xdr:row>28</xdr:row>
          <xdr:rowOff>38100</xdr:rowOff>
        </xdr:to>
        <xdr:sp macro="" textlink="">
          <xdr:nvSpPr>
            <xdr:cNvPr id="55330" name="Check Box 34" hidden="1">
              <a:extLst>
                <a:ext uri="{63B3BB69-23CF-44E3-9099-C40C66FF867C}">
                  <a14:compatExt spid="_x0000_s553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Difference axis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28</xdr:row>
          <xdr:rowOff>104775</xdr:rowOff>
        </xdr:from>
        <xdr:to>
          <xdr:col>3</xdr:col>
          <xdr:colOff>171450</xdr:colOff>
          <xdr:row>30</xdr:row>
          <xdr:rowOff>38100</xdr:rowOff>
        </xdr:to>
        <xdr:sp macro="" textlink="">
          <xdr:nvSpPr>
            <xdr:cNvPr id="55331" name="Check Box 35" hidden="1">
              <a:extLst>
                <a:ext uri="{63B3BB69-23CF-44E3-9099-C40C66FF867C}">
                  <a14:compatExt spid="_x0000_s55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overlap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30</xdr:row>
          <xdr:rowOff>104775</xdr:rowOff>
        </xdr:from>
        <xdr:to>
          <xdr:col>3</xdr:col>
          <xdr:colOff>285750</xdr:colOff>
          <xdr:row>32</xdr:row>
          <xdr:rowOff>38100</xdr:rowOff>
        </xdr:to>
        <xdr:sp macro="" textlink="">
          <xdr:nvSpPr>
            <xdr:cNvPr id="55332" name="Check Box 36" hidden="1">
              <a:extLst>
                <a:ext uri="{63B3BB69-23CF-44E3-9099-C40C66FF867C}">
                  <a14:compatExt spid="_x0000_s553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cat's eyes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0</xdr:row>
          <xdr:rowOff>0</xdr:rowOff>
        </xdr:from>
        <xdr:to>
          <xdr:col>18</xdr:col>
          <xdr:colOff>171450</xdr:colOff>
          <xdr:row>1</xdr:row>
          <xdr:rowOff>57150</xdr:rowOff>
        </xdr:to>
        <xdr:sp macro="" textlink="">
          <xdr:nvSpPr>
            <xdr:cNvPr id="55340" name="Check Box 44" hidden="1">
              <a:extLst>
                <a:ext uri="{63B3BB69-23CF-44E3-9099-C40C66FF867C}">
                  <a14:compatExt spid="_x0000_s55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26</xdr:col>
      <xdr:colOff>9525</xdr:colOff>
      <xdr:row>0</xdr:row>
      <xdr:rowOff>9525</xdr:rowOff>
    </xdr:from>
    <xdr:to>
      <xdr:col>34</xdr:col>
      <xdr:colOff>409575</xdr:colOff>
      <xdr:row>39</xdr:row>
      <xdr:rowOff>0</xdr:rowOff>
    </xdr:to>
    <xdr:graphicFrame macro="">
      <xdr:nvGraphicFramePr>
        <xdr:cNvPr id="62555"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19</xdr:col>
      <xdr:colOff>0</xdr:colOff>
      <xdr:row>0</xdr:row>
      <xdr:rowOff>9525</xdr:rowOff>
    </xdr:from>
    <xdr:to>
      <xdr:col>26</xdr:col>
      <xdr:colOff>9525</xdr:colOff>
      <xdr:row>39</xdr:row>
      <xdr:rowOff>0</xdr:rowOff>
    </xdr:to>
    <xdr:graphicFrame macro="">
      <xdr:nvGraphicFramePr>
        <xdr:cNvPr id="62556"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4</xdr:col>
      <xdr:colOff>47625</xdr:colOff>
      <xdr:row>0</xdr:row>
      <xdr:rowOff>47625</xdr:rowOff>
    </xdr:from>
    <xdr:to>
      <xdr:col>5</xdr:col>
      <xdr:colOff>257175</xdr:colOff>
      <xdr:row>3</xdr:row>
      <xdr:rowOff>76200</xdr:rowOff>
    </xdr:to>
    <xdr:pic>
      <xdr:nvPicPr>
        <xdr:cNvPr id="62557" name="Picture 14"/>
        <xdr:cNvPicPr>
          <a:picLocks noChangeAspect="1" noChangeArrowheads="1"/>
        </xdr:cNvPicPr>
      </xdr:nvPicPr>
      <xdr:blipFill>
        <a:blip xmlns:r="http://schemas.openxmlformats.org/officeDocument/2006/relationships" r:embed="rId3" cstate="print"/>
        <a:srcRect/>
        <a:stretch>
          <a:fillRect/>
        </a:stretch>
      </xdr:blipFill>
      <xdr:spPr bwMode="auto">
        <a:xfrm>
          <a:off x="85725" y="47625"/>
          <a:ext cx="428625" cy="457200"/>
        </a:xfrm>
        <a:prstGeom prst="rect">
          <a:avLst/>
        </a:prstGeom>
        <a:noFill/>
        <a:ln w="9525">
          <a:noFill/>
          <a:miter lim="800000"/>
          <a:headEnd/>
          <a:tailEnd/>
        </a:ln>
      </xdr:spPr>
    </xdr:pic>
    <xdr:clientData/>
  </xdr:twoCellAnchor>
  <xdr:twoCellAnchor>
    <xdr:from>
      <xdr:col>26</xdr:col>
      <xdr:colOff>19050</xdr:colOff>
      <xdr:row>0</xdr:row>
      <xdr:rowOff>0</xdr:rowOff>
    </xdr:from>
    <xdr:to>
      <xdr:col>35</xdr:col>
      <xdr:colOff>266700</xdr:colOff>
      <xdr:row>42</xdr:row>
      <xdr:rowOff>133350</xdr:rowOff>
    </xdr:to>
    <xdr:sp macro="" textlink="">
      <xdr:nvSpPr>
        <xdr:cNvPr id="62558" name="Rectangle 54"/>
        <xdr:cNvSpPr>
          <a:spLocks noChangeArrowheads="1"/>
        </xdr:cNvSpPr>
      </xdr:nvSpPr>
      <xdr:spPr bwMode="auto">
        <a:xfrm>
          <a:off x="8039100" y="0"/>
          <a:ext cx="4419600" cy="6134100"/>
        </a:xfrm>
        <a:prstGeom prst="rect">
          <a:avLst/>
        </a:prstGeom>
        <a:solidFill>
          <a:srgbClr val="FFFFFF"/>
        </a:solidFill>
        <a:ln w="9525">
          <a:noFill/>
          <a:miter lim="800000"/>
          <a:headEnd/>
          <a:tailEnd/>
        </a:ln>
      </xdr:spPr>
    </xdr:sp>
    <xdr:clientData/>
  </xdr:twoCellAnchor>
  <xdr:twoCellAnchor>
    <xdr:from>
      <xdr:col>10</xdr:col>
      <xdr:colOff>9525</xdr:colOff>
      <xdr:row>33</xdr:row>
      <xdr:rowOff>9525</xdr:rowOff>
    </xdr:from>
    <xdr:to>
      <xdr:col>19</xdr:col>
      <xdr:colOff>0</xdr:colOff>
      <xdr:row>41</xdr:row>
      <xdr:rowOff>38100</xdr:rowOff>
    </xdr:to>
    <xdr:sp macro="" textlink="">
      <xdr:nvSpPr>
        <xdr:cNvPr id="62559" name="Rectangle 77"/>
        <xdr:cNvSpPr>
          <a:spLocks noChangeArrowheads="1"/>
        </xdr:cNvSpPr>
      </xdr:nvSpPr>
      <xdr:spPr bwMode="auto">
        <a:xfrm>
          <a:off x="2047875" y="4724400"/>
          <a:ext cx="2781300" cy="1171575"/>
        </a:xfrm>
        <a:prstGeom prst="rect">
          <a:avLst/>
        </a:prstGeom>
        <a:solidFill>
          <a:srgbClr val="FFFFFF"/>
        </a:solid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11</xdr:col>
          <xdr:colOff>28575</xdr:colOff>
          <xdr:row>34</xdr:row>
          <xdr:rowOff>133350</xdr:rowOff>
        </xdr:from>
        <xdr:to>
          <xdr:col>13</xdr:col>
          <xdr:colOff>314325</xdr:colOff>
          <xdr:row>35</xdr:row>
          <xdr:rowOff>133350</xdr:rowOff>
        </xdr:to>
        <xdr:sp macro="" textlink="">
          <xdr:nvSpPr>
            <xdr:cNvPr id="62543" name="Button 79" hidden="1">
              <a:extLst>
                <a:ext uri="{63B3BB69-23CF-44E3-9099-C40C66FF867C}">
                  <a14:compatExt spid="_x0000_s62543"/>
                </a:ext>
              </a:extLst>
            </xdr:cNvPr>
            <xdr:cNvSpPr/>
          </xdr:nvSpPr>
          <xdr:spPr bwMode="auto">
            <a:xfrm>
              <a:off x="0" y="0"/>
              <a:ext cx="0" cy="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Arial"/>
                  <a:cs typeface="Arial"/>
                </a:rPr>
                <a:t>Calculate CI on </a:t>
              </a:r>
              <a:r>
                <a:rPr lang="en-US" sz="900" b="0" i="1" u="none" strike="noStrike" baseline="0">
                  <a:solidFill>
                    <a:srgbClr val="000000"/>
                  </a:solidFill>
                  <a:latin typeface="Arial"/>
                  <a:cs typeface="Arial"/>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xdr:row>
          <xdr:rowOff>47625</xdr:rowOff>
        </xdr:from>
        <xdr:to>
          <xdr:col>15</xdr:col>
          <xdr:colOff>257175</xdr:colOff>
          <xdr:row>2</xdr:row>
          <xdr:rowOff>123825</xdr:rowOff>
        </xdr:to>
        <xdr:sp macro="" textlink="">
          <xdr:nvSpPr>
            <xdr:cNvPr id="62476" name="Button 12" hidden="1">
              <a:extLst>
                <a:ext uri="{63B3BB69-23CF-44E3-9099-C40C66FF867C}">
                  <a14:compatExt spid="_x0000_s624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3</xdr:row>
          <xdr:rowOff>114300</xdr:rowOff>
        </xdr:from>
        <xdr:to>
          <xdr:col>15</xdr:col>
          <xdr:colOff>142875</xdr:colOff>
          <xdr:row>5</xdr:row>
          <xdr:rowOff>47625</xdr:rowOff>
        </xdr:to>
        <xdr:sp macro="" textlink="">
          <xdr:nvSpPr>
            <xdr:cNvPr id="62480" name="Check Box 16" hidden="1">
              <a:extLst>
                <a:ext uri="{63B3BB69-23CF-44E3-9099-C40C66FF867C}">
                  <a14:compatExt spid="_x0000_s624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Group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3</xdr:row>
          <xdr:rowOff>114300</xdr:rowOff>
        </xdr:from>
        <xdr:to>
          <xdr:col>17</xdr:col>
          <xdr:colOff>314325</xdr:colOff>
          <xdr:row>5</xdr:row>
          <xdr:rowOff>47625</xdr:rowOff>
        </xdr:to>
        <xdr:sp macro="" textlink="">
          <xdr:nvSpPr>
            <xdr:cNvPr id="62481" name="Check Box 17" hidden="1">
              <a:extLst>
                <a:ext uri="{63B3BB69-23CF-44E3-9099-C40C66FF867C}">
                  <a14:compatExt spid="_x0000_s624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Group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5</xdr:row>
          <xdr:rowOff>85725</xdr:rowOff>
        </xdr:from>
        <xdr:to>
          <xdr:col>13</xdr:col>
          <xdr:colOff>304800</xdr:colOff>
          <xdr:row>7</xdr:row>
          <xdr:rowOff>19050</xdr:rowOff>
        </xdr:to>
        <xdr:sp macro="" textlink="">
          <xdr:nvSpPr>
            <xdr:cNvPr id="62482" name="Check Box 18" hidden="1">
              <a:extLst>
                <a:ext uri="{63B3BB69-23CF-44E3-9099-C40C66FF867C}">
                  <a14:compatExt spid="_x0000_s624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Data Points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xdr:row>
          <xdr:rowOff>0</xdr:rowOff>
        </xdr:from>
        <xdr:to>
          <xdr:col>12</xdr:col>
          <xdr:colOff>266700</xdr:colOff>
          <xdr:row>10</xdr:row>
          <xdr:rowOff>76200</xdr:rowOff>
        </xdr:to>
        <xdr:sp macro="" textlink="">
          <xdr:nvSpPr>
            <xdr:cNvPr id="62485" name="Check Box 21" hidden="1">
              <a:extLst>
                <a:ext uri="{63B3BB69-23CF-44E3-9099-C40C66FF867C}">
                  <a14:compatExt spid="_x0000_s624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CIs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8</xdr:row>
          <xdr:rowOff>95250</xdr:rowOff>
        </xdr:from>
        <xdr:to>
          <xdr:col>17</xdr:col>
          <xdr:colOff>114300</xdr:colOff>
          <xdr:row>10</xdr:row>
          <xdr:rowOff>57150</xdr:rowOff>
        </xdr:to>
        <xdr:sp macro="" textlink="">
          <xdr:nvSpPr>
            <xdr:cNvPr id="62486" name="Spinner 22" hidden="1">
              <a:extLst>
                <a:ext uri="{63B3BB69-23CF-44E3-9099-C40C66FF867C}">
                  <a14:compatExt spid="_x0000_s624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66675</xdr:rowOff>
        </xdr:from>
        <xdr:to>
          <xdr:col>14</xdr:col>
          <xdr:colOff>342900</xdr:colOff>
          <xdr:row>12</xdr:row>
          <xdr:rowOff>0</xdr:rowOff>
        </xdr:to>
        <xdr:sp macro="" textlink="">
          <xdr:nvSpPr>
            <xdr:cNvPr id="62487" name="Check Box 23" hidden="1">
              <a:extLst>
                <a:ext uri="{63B3BB69-23CF-44E3-9099-C40C66FF867C}">
                  <a14:compatExt spid="_x0000_s62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CI Overlap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25</xdr:row>
          <xdr:rowOff>19050</xdr:rowOff>
        </xdr:from>
        <xdr:to>
          <xdr:col>15</xdr:col>
          <xdr:colOff>409575</xdr:colOff>
          <xdr:row>26</xdr:row>
          <xdr:rowOff>95250</xdr:rowOff>
        </xdr:to>
        <xdr:sp macro="" textlink="">
          <xdr:nvSpPr>
            <xdr:cNvPr id="62508" name="Option Button 44" hidden="1">
              <a:extLst>
                <a:ext uri="{63B3BB69-23CF-44E3-9099-C40C66FF867C}">
                  <a14:compatExt spid="_x0000_s62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26</xdr:row>
          <xdr:rowOff>57150</xdr:rowOff>
        </xdr:from>
        <xdr:to>
          <xdr:col>15</xdr:col>
          <xdr:colOff>381000</xdr:colOff>
          <xdr:row>28</xdr:row>
          <xdr:rowOff>0</xdr:rowOff>
        </xdr:to>
        <xdr:sp macro="" textlink="">
          <xdr:nvSpPr>
            <xdr:cNvPr id="62509" name="Option Button 45" hidden="1">
              <a:extLst>
                <a:ext uri="{63B3BB69-23CF-44E3-9099-C40C66FF867C}">
                  <a14:compatExt spid="_x0000_s625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31</xdr:row>
          <xdr:rowOff>104775</xdr:rowOff>
        </xdr:from>
        <xdr:to>
          <xdr:col>12</xdr:col>
          <xdr:colOff>0</xdr:colOff>
          <xdr:row>33</xdr:row>
          <xdr:rowOff>38100</xdr:rowOff>
        </xdr:to>
        <xdr:sp macro="" textlink="">
          <xdr:nvSpPr>
            <xdr:cNvPr id="62514" name="Check Box 50" hidden="1">
              <a:extLst>
                <a:ext uri="{63B3BB69-23CF-44E3-9099-C40C66FF867C}">
                  <a14:compatExt spid="_x0000_s62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8</xdr:row>
          <xdr:rowOff>47625</xdr:rowOff>
        </xdr:from>
        <xdr:to>
          <xdr:col>41</xdr:col>
          <xdr:colOff>409575</xdr:colOff>
          <xdr:row>9</xdr:row>
          <xdr:rowOff>123825</xdr:rowOff>
        </xdr:to>
        <xdr:sp macro="" textlink="">
          <xdr:nvSpPr>
            <xdr:cNvPr id="62538" name="Check Box 74" hidden="1">
              <a:extLst>
                <a:ext uri="{63B3BB69-23CF-44E3-9099-C40C66FF867C}">
                  <a14:compatExt spid="_x0000_s625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4</xdr:col>
          <xdr:colOff>0</xdr:colOff>
          <xdr:row>61</xdr:row>
          <xdr:rowOff>0</xdr:rowOff>
        </xdr:to>
        <xdr:sp macro="" textlink="">
          <xdr:nvSpPr>
            <xdr:cNvPr id="62542" name="Object 78" hidden="1">
              <a:extLst>
                <a:ext uri="{63B3BB69-23CF-44E3-9099-C40C66FF867C}">
                  <a14:compatExt spid="_x0000_s6254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21</xdr:col>
      <xdr:colOff>0</xdr:colOff>
      <xdr:row>0</xdr:row>
      <xdr:rowOff>9525</xdr:rowOff>
    </xdr:from>
    <xdr:to>
      <xdr:col>28</xdr:col>
      <xdr:colOff>76200</xdr:colOff>
      <xdr:row>36</xdr:row>
      <xdr:rowOff>123825</xdr:rowOff>
    </xdr:to>
    <xdr:graphicFrame macro="">
      <xdr:nvGraphicFramePr>
        <xdr:cNvPr id="63587"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5</xdr:col>
      <xdr:colOff>47625</xdr:colOff>
      <xdr:row>0</xdr:row>
      <xdr:rowOff>47625</xdr:rowOff>
    </xdr:from>
    <xdr:to>
      <xdr:col>6</xdr:col>
      <xdr:colOff>276225</xdr:colOff>
      <xdr:row>3</xdr:row>
      <xdr:rowOff>76200</xdr:rowOff>
    </xdr:to>
    <xdr:pic>
      <xdr:nvPicPr>
        <xdr:cNvPr id="63588" name="Picture 46"/>
        <xdr:cNvPicPr>
          <a:picLocks noChangeAspect="1" noChangeArrowheads="1"/>
        </xdr:cNvPicPr>
      </xdr:nvPicPr>
      <xdr:blipFill>
        <a:blip xmlns:r="http://schemas.openxmlformats.org/officeDocument/2006/relationships" r:embed="rId2" cstate="print"/>
        <a:srcRect/>
        <a:stretch>
          <a:fillRect/>
        </a:stretch>
      </xdr:blipFill>
      <xdr:spPr bwMode="auto">
        <a:xfrm>
          <a:off x="85725" y="47625"/>
          <a:ext cx="428625" cy="457200"/>
        </a:xfrm>
        <a:prstGeom prst="rect">
          <a:avLst/>
        </a:prstGeom>
        <a:noFill/>
        <a:ln w="9525">
          <a:noFill/>
          <a:miter lim="800000"/>
          <a:headEnd/>
          <a:tailEnd/>
        </a:ln>
      </xdr:spPr>
    </xdr:pic>
    <xdr:clientData/>
  </xdr:twoCellAnchor>
  <xdr:twoCellAnchor editAs="oneCell">
    <xdr:from>
      <xdr:col>28</xdr:col>
      <xdr:colOff>85725</xdr:colOff>
      <xdr:row>1</xdr:row>
      <xdr:rowOff>0</xdr:rowOff>
    </xdr:from>
    <xdr:to>
      <xdr:col>35</xdr:col>
      <xdr:colOff>476250</xdr:colOff>
      <xdr:row>20</xdr:row>
      <xdr:rowOff>19050</xdr:rowOff>
    </xdr:to>
    <xdr:sp macro="" textlink="">
      <xdr:nvSpPr>
        <xdr:cNvPr id="63589" name="Rectangle 54"/>
        <xdr:cNvSpPr>
          <a:spLocks noChangeArrowheads="1"/>
        </xdr:cNvSpPr>
      </xdr:nvSpPr>
      <xdr:spPr bwMode="auto">
        <a:xfrm>
          <a:off x="8829675" y="142875"/>
          <a:ext cx="2552700" cy="2752725"/>
        </a:xfrm>
        <a:prstGeom prst="rect">
          <a:avLst/>
        </a:prstGeom>
        <a:solidFill>
          <a:srgbClr val="FFFFFF"/>
        </a:solidFill>
        <a:ln w="9525">
          <a:noFill/>
          <a:miter lim="800000"/>
          <a:headEnd/>
          <a:tailEnd/>
        </a:ln>
      </xdr:spPr>
    </xdr:sp>
    <xdr:clientData/>
  </xdr:twoCellAnchor>
  <xdr:twoCellAnchor>
    <xdr:from>
      <xdr:col>5</xdr:col>
      <xdr:colOff>9525</xdr:colOff>
      <xdr:row>31</xdr:row>
      <xdr:rowOff>9525</xdr:rowOff>
    </xdr:from>
    <xdr:to>
      <xdr:col>14</xdr:col>
      <xdr:colOff>19050</xdr:colOff>
      <xdr:row>38</xdr:row>
      <xdr:rowOff>85725</xdr:rowOff>
    </xdr:to>
    <xdr:sp macro="" textlink="">
      <xdr:nvSpPr>
        <xdr:cNvPr id="63602" name="Rectangle 114"/>
        <xdr:cNvSpPr>
          <a:spLocks noChangeArrowheads="1"/>
        </xdr:cNvSpPr>
      </xdr:nvSpPr>
      <xdr:spPr bwMode="auto">
        <a:xfrm>
          <a:off x="47625" y="4457700"/>
          <a:ext cx="2695575" cy="1076325"/>
        </a:xfrm>
        <a:prstGeom prst="rect">
          <a:avLst/>
        </a:prstGeom>
        <a:solidFill>
          <a:srgbClr val="FFFFFF"/>
        </a:soli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6</xdr:col>
          <xdr:colOff>104775</xdr:colOff>
          <xdr:row>34</xdr:row>
          <xdr:rowOff>95250</xdr:rowOff>
        </xdr:from>
        <xdr:to>
          <xdr:col>6</xdr:col>
          <xdr:colOff>409575</xdr:colOff>
          <xdr:row>36</xdr:row>
          <xdr:rowOff>28575</xdr:rowOff>
        </xdr:to>
        <xdr:sp macro="" textlink="">
          <xdr:nvSpPr>
            <xdr:cNvPr id="63611" name="Check Box 123" hidden="1">
              <a:extLst>
                <a:ext uri="{63B3BB69-23CF-44E3-9099-C40C66FF867C}">
                  <a14:compatExt spid="_x0000_s636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29</xdr:row>
          <xdr:rowOff>95250</xdr:rowOff>
        </xdr:from>
        <xdr:to>
          <xdr:col>6</xdr:col>
          <xdr:colOff>409575</xdr:colOff>
          <xdr:row>31</xdr:row>
          <xdr:rowOff>28575</xdr:rowOff>
        </xdr:to>
        <xdr:sp macro="" textlink="">
          <xdr:nvSpPr>
            <xdr:cNvPr id="63489" name="Check Box 1" hidden="1">
              <a:extLst>
                <a:ext uri="{63B3BB69-23CF-44E3-9099-C40C66FF867C}">
                  <a14:compatExt spid="_x0000_s634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xdr:row>
          <xdr:rowOff>85725</xdr:rowOff>
        </xdr:from>
        <xdr:to>
          <xdr:col>6</xdr:col>
          <xdr:colOff>409575</xdr:colOff>
          <xdr:row>15</xdr:row>
          <xdr:rowOff>19050</xdr:rowOff>
        </xdr:to>
        <xdr:sp macro="" textlink="">
          <xdr:nvSpPr>
            <xdr:cNvPr id="63490" name="Check Box 2" hidden="1">
              <a:extLst>
                <a:ext uri="{63B3BB69-23CF-44E3-9099-C40C66FF867C}">
                  <a14:compatExt spid="_x0000_s634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5</xdr:row>
          <xdr:rowOff>47625</xdr:rowOff>
        </xdr:from>
        <xdr:to>
          <xdr:col>7</xdr:col>
          <xdr:colOff>38100</xdr:colOff>
          <xdr:row>7</xdr:row>
          <xdr:rowOff>104775</xdr:rowOff>
        </xdr:to>
        <xdr:sp macro="" textlink="">
          <xdr:nvSpPr>
            <xdr:cNvPr id="63491" name="Button 3" hidden="1">
              <a:extLst>
                <a:ext uri="{63B3BB69-23CF-44E3-9099-C40C66FF867C}">
                  <a14:compatExt spid="_x0000_s63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Another experiment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25</xdr:row>
          <xdr:rowOff>95250</xdr:rowOff>
        </xdr:from>
        <xdr:to>
          <xdr:col>12</xdr:col>
          <xdr:colOff>152400</xdr:colOff>
          <xdr:row>27</xdr:row>
          <xdr:rowOff>57150</xdr:rowOff>
        </xdr:to>
        <xdr:sp macro="" textlink="">
          <xdr:nvSpPr>
            <xdr:cNvPr id="63492" name="Spinner 4" hidden="1">
              <a:extLst>
                <a:ext uri="{63B3BB69-23CF-44E3-9099-C40C66FF867C}">
                  <a14:compatExt spid="_x0000_s634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27</xdr:row>
          <xdr:rowOff>85725</xdr:rowOff>
        </xdr:from>
        <xdr:to>
          <xdr:col>10</xdr:col>
          <xdr:colOff>152400</xdr:colOff>
          <xdr:row>29</xdr:row>
          <xdr:rowOff>47625</xdr:rowOff>
        </xdr:to>
        <xdr:sp macro="" textlink="">
          <xdr:nvSpPr>
            <xdr:cNvPr id="63493" name="Spinner 5" hidden="1">
              <a:extLst>
                <a:ext uri="{63B3BB69-23CF-44E3-9099-C40C66FF867C}">
                  <a14:compatExt spid="_x0000_s634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xdr:row>
          <xdr:rowOff>95250</xdr:rowOff>
        </xdr:from>
        <xdr:to>
          <xdr:col>12</xdr:col>
          <xdr:colOff>152400</xdr:colOff>
          <xdr:row>11</xdr:row>
          <xdr:rowOff>57150</xdr:rowOff>
        </xdr:to>
        <xdr:sp macro="" textlink="">
          <xdr:nvSpPr>
            <xdr:cNvPr id="63494" name="Spinner 6" hidden="1">
              <a:extLst>
                <a:ext uri="{63B3BB69-23CF-44E3-9099-C40C66FF867C}">
                  <a14:compatExt spid="_x0000_s634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15</xdr:row>
          <xdr:rowOff>0</xdr:rowOff>
        </xdr:from>
        <xdr:to>
          <xdr:col>11</xdr:col>
          <xdr:colOff>219075</xdr:colOff>
          <xdr:row>16</xdr:row>
          <xdr:rowOff>76200</xdr:rowOff>
        </xdr:to>
        <xdr:sp macro="" textlink="">
          <xdr:nvSpPr>
            <xdr:cNvPr id="63495" name="Option Button 7" hidden="1">
              <a:extLst>
                <a:ext uri="{63B3BB69-23CF-44E3-9099-C40C66FF867C}">
                  <a14:compatExt spid="_x0000_s634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16</xdr:row>
          <xdr:rowOff>76200</xdr:rowOff>
        </xdr:from>
        <xdr:to>
          <xdr:col>12</xdr:col>
          <xdr:colOff>38100</xdr:colOff>
          <xdr:row>18</xdr:row>
          <xdr:rowOff>9525</xdr:rowOff>
        </xdr:to>
        <xdr:sp macro="" textlink="">
          <xdr:nvSpPr>
            <xdr:cNvPr id="63496" name="Option Button 8" hidden="1">
              <a:extLst>
                <a:ext uri="{63B3BB69-23CF-44E3-9099-C40C66FF867C}">
                  <a14:compatExt spid="_x0000_s634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Columns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17</xdr:row>
          <xdr:rowOff>95250</xdr:rowOff>
        </xdr:from>
        <xdr:to>
          <xdr:col>6</xdr:col>
          <xdr:colOff>409575</xdr:colOff>
          <xdr:row>19</xdr:row>
          <xdr:rowOff>28575</xdr:rowOff>
        </xdr:to>
        <xdr:sp macro="" textlink="">
          <xdr:nvSpPr>
            <xdr:cNvPr id="63497" name="Check Box 9" hidden="1">
              <a:extLst>
                <a:ext uri="{63B3BB69-23CF-44E3-9099-C40C66FF867C}">
                  <a14:compatExt spid="_x0000_s63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20</xdr:row>
          <xdr:rowOff>0</xdr:rowOff>
        </xdr:from>
        <xdr:to>
          <xdr:col>8</xdr:col>
          <xdr:colOff>104775</xdr:colOff>
          <xdr:row>21</xdr:row>
          <xdr:rowOff>76200</xdr:rowOff>
        </xdr:to>
        <xdr:sp macro="" textlink="">
          <xdr:nvSpPr>
            <xdr:cNvPr id="63498" name="Check Box 10" hidden="1">
              <a:extLst>
                <a:ext uri="{63B3BB69-23CF-44E3-9099-C40C66FF867C}">
                  <a14:compatExt spid="_x0000_s634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CIs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19</xdr:row>
          <xdr:rowOff>95250</xdr:rowOff>
        </xdr:from>
        <xdr:to>
          <xdr:col>12</xdr:col>
          <xdr:colOff>152400</xdr:colOff>
          <xdr:row>21</xdr:row>
          <xdr:rowOff>57150</xdr:rowOff>
        </xdr:to>
        <xdr:sp macro="" textlink="">
          <xdr:nvSpPr>
            <xdr:cNvPr id="63499" name="Spinner 11" hidden="1">
              <a:extLst>
                <a:ext uri="{63B3BB69-23CF-44E3-9099-C40C66FF867C}">
                  <a14:compatExt spid="_x0000_s634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95250</xdr:rowOff>
        </xdr:from>
        <xdr:to>
          <xdr:col>9</xdr:col>
          <xdr:colOff>152400</xdr:colOff>
          <xdr:row>11</xdr:row>
          <xdr:rowOff>57150</xdr:rowOff>
        </xdr:to>
        <xdr:sp macro="" textlink="">
          <xdr:nvSpPr>
            <xdr:cNvPr id="63505" name="Spinner 17" hidden="1">
              <a:extLst>
                <a:ext uri="{63B3BB69-23CF-44E3-9099-C40C66FF867C}">
                  <a14:compatExt spid="_x0000_s63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95250</xdr:rowOff>
        </xdr:from>
        <xdr:to>
          <xdr:col>9</xdr:col>
          <xdr:colOff>152400</xdr:colOff>
          <xdr:row>27</xdr:row>
          <xdr:rowOff>57150</xdr:rowOff>
        </xdr:to>
        <xdr:sp macro="" textlink="">
          <xdr:nvSpPr>
            <xdr:cNvPr id="63506" name="Spinner 18" hidden="1">
              <a:extLst>
                <a:ext uri="{63B3BB69-23CF-44E3-9099-C40C66FF867C}">
                  <a14:compatExt spid="_x0000_s63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552450</xdr:colOff>
          <xdr:row>21</xdr:row>
          <xdr:rowOff>85725</xdr:rowOff>
        </xdr:from>
        <xdr:to>
          <xdr:col>8</xdr:col>
          <xdr:colOff>123825</xdr:colOff>
          <xdr:row>23</xdr:row>
          <xdr:rowOff>19050</xdr:rowOff>
        </xdr:to>
        <xdr:sp macro="" textlink="">
          <xdr:nvSpPr>
            <xdr:cNvPr id="63508" name="Check Box 20" hidden="1">
              <a:extLst>
                <a:ext uri="{63B3BB69-23CF-44E3-9099-C40C66FF867C}">
                  <a14:compatExt spid="_x0000_s63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xdr:row>
          <xdr:rowOff>114300</xdr:rowOff>
        </xdr:from>
        <xdr:to>
          <xdr:col>12</xdr:col>
          <xdr:colOff>133350</xdr:colOff>
          <xdr:row>25</xdr:row>
          <xdr:rowOff>57150</xdr:rowOff>
        </xdr:to>
        <xdr:sp macro="" textlink="">
          <xdr:nvSpPr>
            <xdr:cNvPr id="63520" name="Check Box 32" hidden="1">
              <a:extLst>
                <a:ext uri="{63B3BB69-23CF-44E3-9099-C40C66FF867C}">
                  <a14:compatExt spid="_x0000_s63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values of population parameters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47625</xdr:rowOff>
        </xdr:from>
        <xdr:to>
          <xdr:col>9</xdr:col>
          <xdr:colOff>323850</xdr:colOff>
          <xdr:row>7</xdr:row>
          <xdr:rowOff>104775</xdr:rowOff>
        </xdr:to>
        <xdr:sp macro="" textlink="">
          <xdr:nvSpPr>
            <xdr:cNvPr id="63526" name="Button 38" hidden="1">
              <a:extLst>
                <a:ext uri="{63B3BB69-23CF-44E3-9099-C40C66FF867C}">
                  <a14:compatExt spid="_x0000_s635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Run-Stop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9525</xdr:rowOff>
        </xdr:from>
        <xdr:to>
          <xdr:col>11</xdr:col>
          <xdr:colOff>190500</xdr:colOff>
          <xdr:row>7</xdr:row>
          <xdr:rowOff>114300</xdr:rowOff>
        </xdr:to>
        <xdr:sp macro="" textlink="">
          <xdr:nvSpPr>
            <xdr:cNvPr id="63532" name="Spinner 44" hidden="1">
              <a:extLst>
                <a:ext uri="{63B3BB69-23CF-44E3-9099-C40C66FF867C}">
                  <a14:compatExt spid="_x0000_s635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11</xdr:row>
          <xdr:rowOff>114300</xdr:rowOff>
        </xdr:from>
        <xdr:to>
          <xdr:col>11</xdr:col>
          <xdr:colOff>85725</xdr:colOff>
          <xdr:row>13</xdr:row>
          <xdr:rowOff>47625</xdr:rowOff>
        </xdr:to>
        <xdr:sp macro="" textlink="">
          <xdr:nvSpPr>
            <xdr:cNvPr id="63537" name="Check Box 49" hidden="1">
              <a:extLst>
                <a:ext uri="{63B3BB69-23CF-44E3-9099-C40C66FF867C}">
                  <a14:compatExt spid="_x0000_s63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Group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11</xdr:row>
          <xdr:rowOff>114300</xdr:rowOff>
        </xdr:from>
        <xdr:to>
          <xdr:col>13</xdr:col>
          <xdr:colOff>19050</xdr:colOff>
          <xdr:row>13</xdr:row>
          <xdr:rowOff>47625</xdr:rowOff>
        </xdr:to>
        <xdr:sp macro="" textlink="">
          <xdr:nvSpPr>
            <xdr:cNvPr id="63538" name="Check Box 50" hidden="1">
              <a:extLst>
                <a:ext uri="{63B3BB69-23CF-44E3-9099-C40C66FF867C}">
                  <a14:compatExt spid="_x0000_s635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Group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0</xdr:colOff>
          <xdr:row>60</xdr:row>
          <xdr:rowOff>123825</xdr:rowOff>
        </xdr:to>
        <xdr:sp macro="" textlink="">
          <xdr:nvSpPr>
            <xdr:cNvPr id="63553" name="Object 65" hidden="1">
              <a:extLst>
                <a:ext uri="{63B3BB69-23CF-44E3-9099-C40C66FF867C}">
                  <a14:compatExt spid="_x0000_s6355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8</xdr:row>
          <xdr:rowOff>47625</xdr:rowOff>
        </xdr:from>
        <xdr:to>
          <xdr:col>42</xdr:col>
          <xdr:colOff>104775</xdr:colOff>
          <xdr:row>9</xdr:row>
          <xdr:rowOff>123825</xdr:rowOff>
        </xdr:to>
        <xdr:sp macro="" textlink="">
          <xdr:nvSpPr>
            <xdr:cNvPr id="63574" name="Check Box 86" hidden="1">
              <a:extLst>
                <a:ext uri="{63B3BB69-23CF-44E3-9099-C40C66FF867C}">
                  <a14:compatExt spid="_x0000_s635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24</xdr:row>
          <xdr:rowOff>95250</xdr:rowOff>
        </xdr:from>
        <xdr:to>
          <xdr:col>42</xdr:col>
          <xdr:colOff>104775</xdr:colOff>
          <xdr:row>26</xdr:row>
          <xdr:rowOff>28575</xdr:rowOff>
        </xdr:to>
        <xdr:sp macro="" textlink="">
          <xdr:nvSpPr>
            <xdr:cNvPr id="63599" name="Check Box 111" hidden="1">
              <a:extLst>
                <a:ext uri="{63B3BB69-23CF-44E3-9099-C40C66FF867C}">
                  <a14:compatExt spid="_x0000_s63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0</xdr:row>
      <xdr:rowOff>9525</xdr:rowOff>
    </xdr:from>
    <xdr:to>
      <xdr:col>27</xdr:col>
      <xdr:colOff>428625</xdr:colOff>
      <xdr:row>39</xdr:row>
      <xdr:rowOff>0</xdr:rowOff>
    </xdr:to>
    <xdr:graphicFrame macro="">
      <xdr:nvGraphicFramePr>
        <xdr:cNvPr id="25711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4</xdr:col>
      <xdr:colOff>47625</xdr:colOff>
      <xdr:row>0</xdr:row>
      <xdr:rowOff>47625</xdr:rowOff>
    </xdr:from>
    <xdr:to>
      <xdr:col>5</xdr:col>
      <xdr:colOff>28575</xdr:colOff>
      <xdr:row>3</xdr:row>
      <xdr:rowOff>76200</xdr:rowOff>
    </xdr:to>
    <xdr:pic>
      <xdr:nvPicPr>
        <xdr:cNvPr id="257111" name="Picture 15"/>
        <xdr:cNvPicPr>
          <a:picLocks noChangeAspect="1" noChangeArrowheads="1"/>
        </xdr:cNvPicPr>
      </xdr:nvPicPr>
      <xdr:blipFill>
        <a:blip xmlns:r="http://schemas.openxmlformats.org/officeDocument/2006/relationships" r:embed="rId2" cstate="print"/>
        <a:srcRect/>
        <a:stretch>
          <a:fillRect/>
        </a:stretch>
      </xdr:blipFill>
      <xdr:spPr bwMode="auto">
        <a:xfrm>
          <a:off x="85725" y="47625"/>
          <a:ext cx="428625" cy="457200"/>
        </a:xfrm>
        <a:prstGeom prst="rect">
          <a:avLst/>
        </a:prstGeom>
        <a:noFill/>
        <a:ln w="9525">
          <a:noFill/>
          <a:miter lim="800000"/>
          <a:headEnd/>
          <a:tailEnd/>
        </a:ln>
      </xdr:spPr>
    </xdr:pic>
    <xdr:clientData/>
  </xdr:twoCellAnchor>
  <xdr:twoCellAnchor>
    <xdr:from>
      <xdr:col>9</xdr:col>
      <xdr:colOff>495300</xdr:colOff>
      <xdr:row>33</xdr:row>
      <xdr:rowOff>9525</xdr:rowOff>
    </xdr:from>
    <xdr:to>
      <xdr:col>20</xdr:col>
      <xdr:colOff>0</xdr:colOff>
      <xdr:row>40</xdr:row>
      <xdr:rowOff>104775</xdr:rowOff>
    </xdr:to>
    <xdr:sp macro="" textlink="">
      <xdr:nvSpPr>
        <xdr:cNvPr id="257112" name="Rectangle 78"/>
        <xdr:cNvSpPr>
          <a:spLocks noChangeArrowheads="1"/>
        </xdr:cNvSpPr>
      </xdr:nvSpPr>
      <xdr:spPr bwMode="auto">
        <a:xfrm>
          <a:off x="2667000" y="4724400"/>
          <a:ext cx="3438525" cy="1095375"/>
        </a:xfrm>
        <a:prstGeom prst="rect">
          <a:avLst/>
        </a:prstGeom>
        <a:solidFill>
          <a:srgbClr val="FFFFFF"/>
        </a:soli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13</xdr:col>
          <xdr:colOff>209550</xdr:colOff>
          <xdr:row>1</xdr:row>
          <xdr:rowOff>47625</xdr:rowOff>
        </xdr:from>
        <xdr:to>
          <xdr:col>15</xdr:col>
          <xdr:colOff>371475</xdr:colOff>
          <xdr:row>2</xdr:row>
          <xdr:rowOff>123825</xdr:rowOff>
        </xdr:to>
        <xdr:sp macro="" textlink="">
          <xdr:nvSpPr>
            <xdr:cNvPr id="257037" name="Button 13" hidden="1">
              <a:extLst>
                <a:ext uri="{63B3BB69-23CF-44E3-9099-C40C66FF867C}">
                  <a14:compatExt spid="_x0000_s257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3</xdr:row>
          <xdr:rowOff>123825</xdr:rowOff>
        </xdr:from>
        <xdr:to>
          <xdr:col>15</xdr:col>
          <xdr:colOff>333375</xdr:colOff>
          <xdr:row>5</xdr:row>
          <xdr:rowOff>57150</xdr:rowOff>
        </xdr:to>
        <xdr:sp macro="" textlink="">
          <xdr:nvSpPr>
            <xdr:cNvPr id="257041" name="Check Box 17" hidden="1">
              <a:extLst>
                <a:ext uri="{63B3BB69-23CF-44E3-9099-C40C66FF867C}">
                  <a14:compatExt spid="_x0000_s257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differences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95250</xdr:rowOff>
        </xdr:from>
        <xdr:to>
          <xdr:col>11</xdr:col>
          <xdr:colOff>304800</xdr:colOff>
          <xdr:row>7</xdr:row>
          <xdr:rowOff>28575</xdr:rowOff>
        </xdr:to>
        <xdr:sp macro="" textlink="">
          <xdr:nvSpPr>
            <xdr:cNvPr id="257042" name="Check Box 18" hidden="1">
              <a:extLst>
                <a:ext uri="{63B3BB69-23CF-44E3-9099-C40C66FF867C}">
                  <a14:compatExt spid="_x0000_s257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xdr:row>
          <xdr:rowOff>104775</xdr:rowOff>
        </xdr:from>
        <xdr:to>
          <xdr:col>11</xdr:col>
          <xdr:colOff>304800</xdr:colOff>
          <xdr:row>11</xdr:row>
          <xdr:rowOff>47625</xdr:rowOff>
        </xdr:to>
        <xdr:sp macro="" textlink="">
          <xdr:nvSpPr>
            <xdr:cNvPr id="257049" name="Check Box 25" hidden="1">
              <a:extLst>
                <a:ext uri="{63B3BB69-23CF-44E3-9099-C40C66FF867C}">
                  <a14:compatExt spid="_x0000_s257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9</xdr:row>
          <xdr:rowOff>104775</xdr:rowOff>
        </xdr:from>
        <xdr:to>
          <xdr:col>18</xdr:col>
          <xdr:colOff>95250</xdr:colOff>
          <xdr:row>11</xdr:row>
          <xdr:rowOff>66675</xdr:rowOff>
        </xdr:to>
        <xdr:sp macro="" textlink="">
          <xdr:nvSpPr>
            <xdr:cNvPr id="257050" name="Spinner 26" hidden="1">
              <a:extLst>
                <a:ext uri="{63B3BB69-23CF-44E3-9099-C40C66FF867C}">
                  <a14:compatExt spid="_x0000_s257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11</xdr:row>
          <xdr:rowOff>66675</xdr:rowOff>
        </xdr:from>
        <xdr:to>
          <xdr:col>16</xdr:col>
          <xdr:colOff>123825</xdr:colOff>
          <xdr:row>13</xdr:row>
          <xdr:rowOff>9525</xdr:rowOff>
        </xdr:to>
        <xdr:sp macro="" textlink="">
          <xdr:nvSpPr>
            <xdr:cNvPr id="257051" name="Check Box 27" hidden="1">
              <a:extLst>
                <a:ext uri="{63B3BB69-23CF-44E3-9099-C40C66FF867C}">
                  <a14:compatExt spid="_x0000_s257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Display CI on differences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6</xdr:row>
          <xdr:rowOff>104775</xdr:rowOff>
        </xdr:from>
        <xdr:to>
          <xdr:col>8</xdr:col>
          <xdr:colOff>295275</xdr:colOff>
          <xdr:row>8</xdr:row>
          <xdr:rowOff>38100</xdr:rowOff>
        </xdr:to>
        <xdr:sp macro="" textlink="">
          <xdr:nvSpPr>
            <xdr:cNvPr id="257060" name="Check Box 36" hidden="1">
              <a:extLst>
                <a:ext uri="{63B3BB69-23CF-44E3-9099-C40C66FF867C}">
                  <a14:compatExt spid="_x0000_s257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8</xdr:row>
          <xdr:rowOff>104775</xdr:rowOff>
        </xdr:from>
        <xdr:to>
          <xdr:col>8</xdr:col>
          <xdr:colOff>295275</xdr:colOff>
          <xdr:row>10</xdr:row>
          <xdr:rowOff>38100</xdr:rowOff>
        </xdr:to>
        <xdr:sp macro="" textlink="">
          <xdr:nvSpPr>
            <xdr:cNvPr id="257065" name="Check Box 41" hidden="1">
              <a:extLst>
                <a:ext uri="{63B3BB69-23CF-44E3-9099-C40C66FF867C}">
                  <a14:compatExt spid="_x0000_s257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10</xdr:row>
          <xdr:rowOff>104775</xdr:rowOff>
        </xdr:from>
        <xdr:to>
          <xdr:col>8</xdr:col>
          <xdr:colOff>295275</xdr:colOff>
          <xdr:row>12</xdr:row>
          <xdr:rowOff>38100</xdr:rowOff>
        </xdr:to>
        <xdr:sp macro="" textlink="">
          <xdr:nvSpPr>
            <xdr:cNvPr id="257066" name="Check Box 42" hidden="1">
              <a:extLst>
                <a:ext uri="{63B3BB69-23CF-44E3-9099-C40C66FF867C}">
                  <a14:compatExt spid="_x0000_s257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12</xdr:row>
          <xdr:rowOff>104775</xdr:rowOff>
        </xdr:from>
        <xdr:to>
          <xdr:col>8</xdr:col>
          <xdr:colOff>295275</xdr:colOff>
          <xdr:row>14</xdr:row>
          <xdr:rowOff>38100</xdr:rowOff>
        </xdr:to>
        <xdr:sp macro="" textlink="">
          <xdr:nvSpPr>
            <xdr:cNvPr id="257067" name="Check Box 43" hidden="1">
              <a:extLst>
                <a:ext uri="{63B3BB69-23CF-44E3-9099-C40C66FF867C}">
                  <a14:compatExt spid="_x0000_s257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8</xdr:row>
          <xdr:rowOff>47625</xdr:rowOff>
        </xdr:from>
        <xdr:to>
          <xdr:col>37</xdr:col>
          <xdr:colOff>409575</xdr:colOff>
          <xdr:row>9</xdr:row>
          <xdr:rowOff>123825</xdr:rowOff>
        </xdr:to>
        <xdr:sp macro="" textlink="">
          <xdr:nvSpPr>
            <xdr:cNvPr id="257077" name="Check Box 53" hidden="1">
              <a:extLst>
                <a:ext uri="{63B3BB69-23CF-44E3-9099-C40C66FF867C}">
                  <a14:compatExt spid="_x0000_s257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34</xdr:row>
          <xdr:rowOff>133350</xdr:rowOff>
        </xdr:from>
        <xdr:to>
          <xdr:col>12</xdr:col>
          <xdr:colOff>390525</xdr:colOff>
          <xdr:row>35</xdr:row>
          <xdr:rowOff>133350</xdr:rowOff>
        </xdr:to>
        <xdr:sp macro="" textlink="">
          <xdr:nvSpPr>
            <xdr:cNvPr id="257079" name="Button 55" hidden="1">
              <a:extLst>
                <a:ext uri="{63B3BB69-23CF-44E3-9099-C40C66FF867C}">
                  <a14:compatExt spid="_x0000_s257079"/>
                </a:ext>
              </a:extLst>
            </xdr:cNvPr>
            <xdr:cNvSpPr/>
          </xdr:nvSpPr>
          <xdr:spPr bwMode="auto">
            <a:xfrm>
              <a:off x="0" y="0"/>
              <a:ext cx="0" cy="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Arial"/>
                  <a:cs typeface="Arial"/>
                </a:rPr>
                <a:t>Calculate CI on </a:t>
              </a:r>
              <a:r>
                <a:rPr lang="en-US" sz="900" b="0" i="1" u="none" strike="noStrike" baseline="0">
                  <a:solidFill>
                    <a:srgbClr val="000000"/>
                  </a:solidFill>
                  <a:latin typeface="Arial"/>
                  <a:cs typeface="Arial"/>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4</xdr:col>
          <xdr:colOff>0</xdr:colOff>
          <xdr:row>61</xdr:row>
          <xdr:rowOff>0</xdr:rowOff>
        </xdr:to>
        <xdr:sp macro="" textlink="">
          <xdr:nvSpPr>
            <xdr:cNvPr id="257109" name="Object 85" hidden="1">
              <a:extLst>
                <a:ext uri="{63B3BB69-23CF-44E3-9099-C40C66FF867C}">
                  <a14:compatExt spid="_x0000_s2571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0.18572</cdr:x>
      <cdr:y>0.85606</cdr:y>
    </cdr:from>
    <cdr:to>
      <cdr:x>0.40916</cdr:x>
      <cdr:y>0.98113</cdr:y>
    </cdr:to>
    <cdr:sp macro="" textlink="'Data paired'!$F$7">
      <cdr:nvSpPr>
        <cdr:cNvPr id="400385" name="Text Box 4"/>
        <cdr:cNvSpPr txBox="1">
          <a:spLocks xmlns:a="http://schemas.openxmlformats.org/drawingml/2006/main" noChangeArrowheads="1"/>
        </cdr:cNvSpPr>
      </cdr:nvSpPr>
      <cdr:spPr bwMode="auto">
        <a:xfrm xmlns:a="http://schemas.openxmlformats.org/drawingml/2006/main">
          <a:off x="765587" y="4773235"/>
          <a:ext cx="917293" cy="6969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0" tIns="0" rIns="0" bIns="0" anchor="b" upright="1"/>
        <a:lstStyle xmlns:a="http://schemas.openxmlformats.org/drawingml/2006/main"/>
        <a:p xmlns:a="http://schemas.openxmlformats.org/drawingml/2006/main">
          <a:pPr algn="ctr" rtl="0">
            <a:defRPr sz="1000"/>
          </a:pPr>
          <a:fld id="{68070FEA-92CC-44C2-83FD-57467693D7CC}" type="TxLink">
            <a:rPr lang="en-AU" sz="1200" b="0" i="0" u="none" strike="noStrike" baseline="0">
              <a:solidFill>
                <a:srgbClr val="000000"/>
              </a:solidFill>
              <a:latin typeface="Arial"/>
              <a:cs typeface="Arial"/>
            </a:rPr>
            <a:pPr algn="ctr" rtl="0">
              <a:defRPr sz="1000"/>
            </a:pPr>
            <a:t>Pretest</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0.437</cdr:x>
      <cdr:y>0.85237</cdr:y>
    </cdr:from>
    <cdr:to>
      <cdr:x>0.65897</cdr:x>
      <cdr:y>0.98113</cdr:y>
    </cdr:to>
    <cdr:sp macro="" textlink="'Data paired'!$G$7">
      <cdr:nvSpPr>
        <cdr:cNvPr id="400386" name="Text Box 5"/>
        <cdr:cNvSpPr txBox="1">
          <a:spLocks xmlns:a="http://schemas.openxmlformats.org/drawingml/2006/main" noChangeArrowheads="1"/>
        </cdr:cNvSpPr>
      </cdr:nvSpPr>
      <cdr:spPr bwMode="auto">
        <a:xfrm xmlns:a="http://schemas.openxmlformats.org/drawingml/2006/main">
          <a:off x="1797166" y="4752697"/>
          <a:ext cx="911278" cy="7174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0" tIns="0" rIns="0" bIns="0" anchor="b" upright="1"/>
        <a:lstStyle xmlns:a="http://schemas.openxmlformats.org/drawingml/2006/main"/>
        <a:p xmlns:a="http://schemas.openxmlformats.org/drawingml/2006/main">
          <a:pPr algn="ctr" rtl="0">
            <a:defRPr sz="1000"/>
          </a:pPr>
          <a:fld id="{5AA5695B-F79C-4BAA-A6A0-65406987ECE0}" type="TxLink">
            <a:rPr lang="en-AU" sz="1200" b="0" i="0" u="none" strike="noStrike" baseline="0">
              <a:solidFill>
                <a:srgbClr val="000000"/>
              </a:solidFill>
              <a:latin typeface="Arial"/>
              <a:cs typeface="Arial"/>
            </a:rPr>
            <a:pPr algn="ctr" rtl="0">
              <a:defRPr sz="1000"/>
            </a:pPr>
            <a:t>Posttest</a:t>
          </a:fld>
          <a:endParaRPr lang="en-AU" sz="1200" b="0" i="0" u="none" strike="noStrike" baseline="0">
            <a:solidFill>
              <a:srgbClr val="000000"/>
            </a:solidFill>
            <a:latin typeface="Arial"/>
            <a:cs typeface="Arial"/>
          </a:endParaRPr>
        </a:p>
      </cdr:txBody>
    </cdr:sp>
  </cdr:relSizeAnchor>
</c:userShapes>
</file>

<file path=xl/drawings/drawing15.xml><?xml version="1.0" encoding="utf-8"?>
<xdr:wsDr xmlns:xdr="http://schemas.openxmlformats.org/drawingml/2006/spreadsheetDrawing" xmlns:a="http://schemas.openxmlformats.org/drawingml/2006/main">
  <xdr:twoCellAnchor editAs="oneCell">
    <xdr:from>
      <xdr:col>5</xdr:col>
      <xdr:colOff>47625</xdr:colOff>
      <xdr:row>0</xdr:row>
      <xdr:rowOff>47625</xdr:rowOff>
    </xdr:from>
    <xdr:to>
      <xdr:col>6</xdr:col>
      <xdr:colOff>276225</xdr:colOff>
      <xdr:row>3</xdr:row>
      <xdr:rowOff>76200</xdr:rowOff>
    </xdr:to>
    <xdr:pic>
      <xdr:nvPicPr>
        <xdr:cNvPr id="66680"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85725" y="47625"/>
          <a:ext cx="428625" cy="457200"/>
        </a:xfrm>
        <a:prstGeom prst="rect">
          <a:avLst/>
        </a:prstGeom>
        <a:noFill/>
        <a:ln w="9525">
          <a:noFill/>
          <a:miter lim="800000"/>
          <a:headEnd/>
          <a:tailEnd/>
        </a:ln>
      </xdr:spPr>
    </xdr:pic>
    <xdr:clientData/>
  </xdr:twoCellAnchor>
  <xdr:twoCellAnchor editAs="oneCell">
    <xdr:from>
      <xdr:col>31</xdr:col>
      <xdr:colOff>19050</xdr:colOff>
      <xdr:row>0</xdr:row>
      <xdr:rowOff>47625</xdr:rowOff>
    </xdr:from>
    <xdr:to>
      <xdr:col>38</xdr:col>
      <xdr:colOff>409575</xdr:colOff>
      <xdr:row>19</xdr:row>
      <xdr:rowOff>66675</xdr:rowOff>
    </xdr:to>
    <xdr:sp macro="" textlink="">
      <xdr:nvSpPr>
        <xdr:cNvPr id="66682" name="Rectangle 54"/>
        <xdr:cNvSpPr>
          <a:spLocks noChangeArrowheads="1"/>
        </xdr:cNvSpPr>
      </xdr:nvSpPr>
      <xdr:spPr bwMode="auto">
        <a:xfrm>
          <a:off x="9972675" y="47625"/>
          <a:ext cx="2552700" cy="2752725"/>
        </a:xfrm>
        <a:prstGeom prst="rect">
          <a:avLst/>
        </a:prstGeom>
        <a:solidFill>
          <a:srgbClr val="FFFFFF"/>
        </a:solidFill>
        <a:ln w="9525">
          <a:noFill/>
          <a:miter lim="800000"/>
          <a:headEnd/>
          <a:tailEnd/>
        </a:ln>
      </xdr:spPr>
    </xdr:sp>
    <xdr:clientData/>
  </xdr:twoCellAnchor>
  <xdr:twoCellAnchor>
    <xdr:from>
      <xdr:col>5</xdr:col>
      <xdr:colOff>9525</xdr:colOff>
      <xdr:row>33</xdr:row>
      <xdr:rowOff>9525</xdr:rowOff>
    </xdr:from>
    <xdr:to>
      <xdr:col>14</xdr:col>
      <xdr:colOff>0</xdr:colOff>
      <xdr:row>40</xdr:row>
      <xdr:rowOff>85725</xdr:rowOff>
    </xdr:to>
    <xdr:sp macro="" textlink="">
      <xdr:nvSpPr>
        <xdr:cNvPr id="66696" name="Rectangle 136"/>
        <xdr:cNvSpPr>
          <a:spLocks noChangeArrowheads="1"/>
        </xdr:cNvSpPr>
      </xdr:nvSpPr>
      <xdr:spPr bwMode="auto">
        <a:xfrm>
          <a:off x="47625" y="4743450"/>
          <a:ext cx="2743200" cy="1076325"/>
        </a:xfrm>
        <a:prstGeom prst="rect">
          <a:avLst/>
        </a:prstGeom>
        <a:solidFill>
          <a:srgbClr val="FFFFFF"/>
        </a:solidFill>
        <a:ln w="9525">
          <a:noFill/>
          <a:miter lim="800000"/>
          <a:headEnd/>
          <a:tailEnd/>
        </a:ln>
      </xdr:spPr>
    </xdr:sp>
    <xdr:clientData/>
  </xdr:twoCellAnchor>
  <xdr:twoCellAnchor editAs="oneCell">
    <xdr:from>
      <xdr:col>22</xdr:col>
      <xdr:colOff>0</xdr:colOff>
      <xdr:row>0</xdr:row>
      <xdr:rowOff>9525</xdr:rowOff>
    </xdr:from>
    <xdr:to>
      <xdr:col>31</xdr:col>
      <xdr:colOff>19050</xdr:colOff>
      <xdr:row>36</xdr:row>
      <xdr:rowOff>123825</xdr:rowOff>
    </xdr:to>
    <xdr:graphicFrame macro="">
      <xdr:nvGraphicFramePr>
        <xdr:cNvPr id="66681"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104775</xdr:colOff>
          <xdr:row>36</xdr:row>
          <xdr:rowOff>85725</xdr:rowOff>
        </xdr:from>
        <xdr:to>
          <xdr:col>6</xdr:col>
          <xdr:colOff>409575</xdr:colOff>
          <xdr:row>38</xdr:row>
          <xdr:rowOff>38100</xdr:rowOff>
        </xdr:to>
        <xdr:sp macro="" textlink="">
          <xdr:nvSpPr>
            <xdr:cNvPr id="66706" name="Check Box 146" hidden="1">
              <a:extLst>
                <a:ext uri="{63B3BB69-23CF-44E3-9099-C40C66FF867C}">
                  <a14:compatExt spid="_x0000_s667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23</xdr:row>
          <xdr:rowOff>133350</xdr:rowOff>
        </xdr:from>
        <xdr:to>
          <xdr:col>12</xdr:col>
          <xdr:colOff>152400</xdr:colOff>
          <xdr:row>25</xdr:row>
          <xdr:rowOff>76200</xdr:rowOff>
        </xdr:to>
        <xdr:sp macro="" textlink="">
          <xdr:nvSpPr>
            <xdr:cNvPr id="66561" name="Check Box 1" hidden="1">
              <a:extLst>
                <a:ext uri="{63B3BB69-23CF-44E3-9099-C40C66FF867C}">
                  <a14:compatExt spid="_x0000_s66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values of population parameters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5</xdr:row>
          <xdr:rowOff>47625</xdr:rowOff>
        </xdr:from>
        <xdr:to>
          <xdr:col>7</xdr:col>
          <xdr:colOff>123825</xdr:colOff>
          <xdr:row>7</xdr:row>
          <xdr:rowOff>104775</xdr:rowOff>
        </xdr:to>
        <xdr:sp macro="" textlink="">
          <xdr:nvSpPr>
            <xdr:cNvPr id="66562" name="Button 2" hidden="1">
              <a:extLst>
                <a:ext uri="{63B3BB69-23CF-44E3-9099-C40C66FF867C}">
                  <a14:compatExt spid="_x0000_s665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Another experiment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25</xdr:row>
          <xdr:rowOff>95250</xdr:rowOff>
        </xdr:from>
        <xdr:to>
          <xdr:col>12</xdr:col>
          <xdr:colOff>152400</xdr:colOff>
          <xdr:row>27</xdr:row>
          <xdr:rowOff>57150</xdr:rowOff>
        </xdr:to>
        <xdr:sp macro="" textlink="">
          <xdr:nvSpPr>
            <xdr:cNvPr id="66563" name="Spinner 3" hidden="1">
              <a:extLst>
                <a:ext uri="{63B3BB69-23CF-44E3-9099-C40C66FF867C}">
                  <a14:compatExt spid="_x0000_s66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27</xdr:row>
          <xdr:rowOff>104775</xdr:rowOff>
        </xdr:from>
        <xdr:to>
          <xdr:col>10</xdr:col>
          <xdr:colOff>152400</xdr:colOff>
          <xdr:row>29</xdr:row>
          <xdr:rowOff>66675</xdr:rowOff>
        </xdr:to>
        <xdr:sp macro="" textlink="">
          <xdr:nvSpPr>
            <xdr:cNvPr id="66564" name="Spinner 4" hidden="1">
              <a:extLst>
                <a:ext uri="{63B3BB69-23CF-44E3-9099-C40C66FF867C}">
                  <a14:compatExt spid="_x0000_s66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19</xdr:row>
          <xdr:rowOff>95250</xdr:rowOff>
        </xdr:from>
        <xdr:to>
          <xdr:col>6</xdr:col>
          <xdr:colOff>247650</xdr:colOff>
          <xdr:row>21</xdr:row>
          <xdr:rowOff>38100</xdr:rowOff>
        </xdr:to>
        <xdr:sp macro="" textlink="">
          <xdr:nvSpPr>
            <xdr:cNvPr id="66565" name="Check Box 5" hidden="1">
              <a:extLst>
                <a:ext uri="{63B3BB69-23CF-44E3-9099-C40C66FF867C}">
                  <a14:compatExt spid="_x0000_s66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19</xdr:row>
          <xdr:rowOff>104775</xdr:rowOff>
        </xdr:from>
        <xdr:to>
          <xdr:col>13</xdr:col>
          <xdr:colOff>152400</xdr:colOff>
          <xdr:row>21</xdr:row>
          <xdr:rowOff>66675</xdr:rowOff>
        </xdr:to>
        <xdr:sp macro="" textlink="">
          <xdr:nvSpPr>
            <xdr:cNvPr id="66566" name="Spinner 6" hidden="1">
              <a:extLst>
                <a:ext uri="{63B3BB69-23CF-44E3-9099-C40C66FF867C}">
                  <a14:compatExt spid="_x0000_s665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xdr:row>
          <xdr:rowOff>95250</xdr:rowOff>
        </xdr:from>
        <xdr:to>
          <xdr:col>12</xdr:col>
          <xdr:colOff>152400</xdr:colOff>
          <xdr:row>11</xdr:row>
          <xdr:rowOff>57150</xdr:rowOff>
        </xdr:to>
        <xdr:sp macro="" textlink="">
          <xdr:nvSpPr>
            <xdr:cNvPr id="66573" name="Spinner 13" hidden="1">
              <a:extLst>
                <a:ext uri="{63B3BB69-23CF-44E3-9099-C40C66FF867C}">
                  <a14:compatExt spid="_x0000_s665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104775</xdr:rowOff>
        </xdr:from>
        <xdr:to>
          <xdr:col>9</xdr:col>
          <xdr:colOff>152400</xdr:colOff>
          <xdr:row>27</xdr:row>
          <xdr:rowOff>66675</xdr:rowOff>
        </xdr:to>
        <xdr:sp macro="" textlink="">
          <xdr:nvSpPr>
            <xdr:cNvPr id="66574" name="Spinner 14" hidden="1">
              <a:extLst>
                <a:ext uri="{63B3BB69-23CF-44E3-9099-C40C66FF867C}">
                  <a14:compatExt spid="_x0000_s66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27</xdr:row>
          <xdr:rowOff>104775</xdr:rowOff>
        </xdr:from>
        <xdr:to>
          <xdr:col>13</xdr:col>
          <xdr:colOff>152400</xdr:colOff>
          <xdr:row>29</xdr:row>
          <xdr:rowOff>66675</xdr:rowOff>
        </xdr:to>
        <xdr:sp macro="" textlink="">
          <xdr:nvSpPr>
            <xdr:cNvPr id="66579" name="Spinner 19" hidden="1">
              <a:extLst>
                <a:ext uri="{63B3BB69-23CF-44E3-9099-C40C66FF867C}">
                  <a14:compatExt spid="_x0000_s665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466725</xdr:colOff>
          <xdr:row>20</xdr:row>
          <xdr:rowOff>95250</xdr:rowOff>
        </xdr:from>
        <xdr:to>
          <xdr:col>8</xdr:col>
          <xdr:colOff>38100</xdr:colOff>
          <xdr:row>22</xdr:row>
          <xdr:rowOff>28575</xdr:rowOff>
        </xdr:to>
        <xdr:sp macro="" textlink="">
          <xdr:nvSpPr>
            <xdr:cNvPr id="66581" name="Check Box 21" hidden="1">
              <a:extLst>
                <a:ext uri="{63B3BB69-23CF-44E3-9099-C40C66FF867C}">
                  <a14:compatExt spid="_x0000_s66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31</xdr:row>
          <xdr:rowOff>85725</xdr:rowOff>
        </xdr:from>
        <xdr:to>
          <xdr:col>6</xdr:col>
          <xdr:colOff>409575</xdr:colOff>
          <xdr:row>33</xdr:row>
          <xdr:rowOff>38100</xdr:rowOff>
        </xdr:to>
        <xdr:sp macro="" textlink="">
          <xdr:nvSpPr>
            <xdr:cNvPr id="66591" name="Check Box 31" hidden="1">
              <a:extLst>
                <a:ext uri="{63B3BB69-23CF-44E3-9099-C40C66FF867C}">
                  <a14:compatExt spid="_x0000_s66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47625</xdr:rowOff>
        </xdr:from>
        <xdr:to>
          <xdr:col>10</xdr:col>
          <xdr:colOff>19050</xdr:colOff>
          <xdr:row>7</xdr:row>
          <xdr:rowOff>104775</xdr:rowOff>
        </xdr:to>
        <xdr:sp macro="" textlink="">
          <xdr:nvSpPr>
            <xdr:cNvPr id="66596" name="Button 36" hidden="1">
              <a:extLst>
                <a:ext uri="{63B3BB69-23CF-44E3-9099-C40C66FF867C}">
                  <a14:compatExt spid="_x0000_s665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Run-Stop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xdr:row>
          <xdr:rowOff>104775</xdr:rowOff>
        </xdr:from>
        <xdr:to>
          <xdr:col>9</xdr:col>
          <xdr:colOff>0</xdr:colOff>
          <xdr:row>14</xdr:row>
          <xdr:rowOff>38100</xdr:rowOff>
        </xdr:to>
        <xdr:sp macro="" textlink="">
          <xdr:nvSpPr>
            <xdr:cNvPr id="66602" name="Check Box 42" hidden="1">
              <a:extLst>
                <a:ext uri="{63B3BB69-23CF-44E3-9099-C40C66FF867C}">
                  <a14:compatExt spid="_x0000_s66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9525</xdr:rowOff>
        </xdr:from>
        <xdr:to>
          <xdr:col>11</xdr:col>
          <xdr:colOff>190500</xdr:colOff>
          <xdr:row>7</xdr:row>
          <xdr:rowOff>114300</xdr:rowOff>
        </xdr:to>
        <xdr:sp macro="" textlink="">
          <xdr:nvSpPr>
            <xdr:cNvPr id="66603" name="Spinner 43" hidden="1">
              <a:extLst>
                <a:ext uri="{63B3BB69-23CF-44E3-9099-C40C66FF867C}">
                  <a14:compatExt spid="_x0000_s666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15</xdr:row>
          <xdr:rowOff>0</xdr:rowOff>
        </xdr:from>
        <xdr:to>
          <xdr:col>11</xdr:col>
          <xdr:colOff>276225</xdr:colOff>
          <xdr:row>16</xdr:row>
          <xdr:rowOff>76200</xdr:rowOff>
        </xdr:to>
        <xdr:sp macro="" textlink="">
          <xdr:nvSpPr>
            <xdr:cNvPr id="66607" name="Option Button 47" hidden="1">
              <a:extLst>
                <a:ext uri="{63B3BB69-23CF-44E3-9099-C40C66FF867C}">
                  <a14:compatExt spid="_x0000_s666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76200</xdr:rowOff>
        </xdr:from>
        <xdr:to>
          <xdr:col>12</xdr:col>
          <xdr:colOff>114300</xdr:colOff>
          <xdr:row>18</xdr:row>
          <xdr:rowOff>9525</xdr:rowOff>
        </xdr:to>
        <xdr:sp macro="" textlink="">
          <xdr:nvSpPr>
            <xdr:cNvPr id="66608" name="Option Button 48" hidden="1">
              <a:extLst>
                <a:ext uri="{63B3BB69-23CF-44E3-9099-C40C66FF867C}">
                  <a14:compatExt spid="_x0000_s66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Columns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17</xdr:row>
          <xdr:rowOff>95250</xdr:rowOff>
        </xdr:from>
        <xdr:to>
          <xdr:col>6</xdr:col>
          <xdr:colOff>247650</xdr:colOff>
          <xdr:row>19</xdr:row>
          <xdr:rowOff>28575</xdr:rowOff>
        </xdr:to>
        <xdr:sp macro="" textlink="">
          <xdr:nvSpPr>
            <xdr:cNvPr id="66609" name="Check Box 49" hidden="1">
              <a:extLst>
                <a:ext uri="{63B3BB69-23CF-44E3-9099-C40C66FF867C}">
                  <a14:compatExt spid="_x0000_s66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13</xdr:row>
          <xdr:rowOff>95250</xdr:rowOff>
        </xdr:from>
        <xdr:to>
          <xdr:col>6</xdr:col>
          <xdr:colOff>247650</xdr:colOff>
          <xdr:row>15</xdr:row>
          <xdr:rowOff>28575</xdr:rowOff>
        </xdr:to>
        <xdr:sp macro="" textlink="">
          <xdr:nvSpPr>
            <xdr:cNvPr id="66612" name="Check Box 52" hidden="1">
              <a:extLst>
                <a:ext uri="{63B3BB69-23CF-44E3-9099-C40C66FF867C}">
                  <a14:compatExt spid="_x0000_s66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0</xdr:colOff>
          <xdr:row>60</xdr:row>
          <xdr:rowOff>123825</xdr:rowOff>
        </xdr:to>
        <xdr:sp macro="" textlink="">
          <xdr:nvSpPr>
            <xdr:cNvPr id="66625" name="Object 65" hidden="1">
              <a:extLst>
                <a:ext uri="{63B3BB69-23CF-44E3-9099-C40C66FF867C}">
                  <a14:compatExt spid="_x0000_s666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209550</xdr:colOff>
          <xdr:row>11</xdr:row>
          <xdr:rowOff>104775</xdr:rowOff>
        </xdr:from>
        <xdr:to>
          <xdr:col>19</xdr:col>
          <xdr:colOff>66675</xdr:colOff>
          <xdr:row>13</xdr:row>
          <xdr:rowOff>38100</xdr:rowOff>
        </xdr:to>
        <xdr:sp macro="" textlink="">
          <xdr:nvSpPr>
            <xdr:cNvPr id="66628" name="Check Box 68" hidden="1">
              <a:extLst>
                <a:ext uri="{63B3BB69-23CF-44E3-9099-C40C66FF867C}">
                  <a14:compatExt spid="_x0000_s66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209550</xdr:colOff>
          <xdr:row>13</xdr:row>
          <xdr:rowOff>104775</xdr:rowOff>
        </xdr:from>
        <xdr:to>
          <xdr:col>19</xdr:col>
          <xdr:colOff>66675</xdr:colOff>
          <xdr:row>15</xdr:row>
          <xdr:rowOff>38100</xdr:rowOff>
        </xdr:to>
        <xdr:sp macro="" textlink="">
          <xdr:nvSpPr>
            <xdr:cNvPr id="66632" name="Check Box 72" hidden="1">
              <a:extLst>
                <a:ext uri="{63B3BB69-23CF-44E3-9099-C40C66FF867C}">
                  <a14:compatExt spid="_x0000_s66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209550</xdr:colOff>
          <xdr:row>15</xdr:row>
          <xdr:rowOff>104775</xdr:rowOff>
        </xdr:from>
        <xdr:to>
          <xdr:col>19</xdr:col>
          <xdr:colOff>66675</xdr:colOff>
          <xdr:row>17</xdr:row>
          <xdr:rowOff>38100</xdr:rowOff>
        </xdr:to>
        <xdr:sp macro="" textlink="">
          <xdr:nvSpPr>
            <xdr:cNvPr id="66633" name="Check Box 73" hidden="1">
              <a:extLst>
                <a:ext uri="{63B3BB69-23CF-44E3-9099-C40C66FF867C}">
                  <a14:compatExt spid="_x0000_s66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209550</xdr:colOff>
          <xdr:row>17</xdr:row>
          <xdr:rowOff>104775</xdr:rowOff>
        </xdr:from>
        <xdr:to>
          <xdr:col>19</xdr:col>
          <xdr:colOff>66675</xdr:colOff>
          <xdr:row>19</xdr:row>
          <xdr:rowOff>38100</xdr:rowOff>
        </xdr:to>
        <xdr:sp macro="" textlink="">
          <xdr:nvSpPr>
            <xdr:cNvPr id="66634" name="Check Box 74" hidden="1">
              <a:extLst>
                <a:ext uri="{63B3BB69-23CF-44E3-9099-C40C66FF867C}">
                  <a14:compatExt spid="_x0000_s66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104775</xdr:colOff>
          <xdr:row>8</xdr:row>
          <xdr:rowOff>47625</xdr:rowOff>
        </xdr:from>
        <xdr:to>
          <xdr:col>44</xdr:col>
          <xdr:colOff>123825</xdr:colOff>
          <xdr:row>9</xdr:row>
          <xdr:rowOff>123825</xdr:rowOff>
        </xdr:to>
        <xdr:sp macro="" textlink="">
          <xdr:nvSpPr>
            <xdr:cNvPr id="66656" name="Check Box 96" hidden="1">
              <a:extLst>
                <a:ext uri="{63B3BB69-23CF-44E3-9099-C40C66FF867C}">
                  <a14:compatExt spid="_x0000_s666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104775</xdr:colOff>
          <xdr:row>23</xdr:row>
          <xdr:rowOff>95250</xdr:rowOff>
        </xdr:from>
        <xdr:to>
          <xdr:col>44</xdr:col>
          <xdr:colOff>123825</xdr:colOff>
          <xdr:row>25</xdr:row>
          <xdr:rowOff>28575</xdr:rowOff>
        </xdr:to>
        <xdr:sp macro="" textlink="">
          <xdr:nvSpPr>
            <xdr:cNvPr id="66697" name="Check Box 137" hidden="1">
              <a:extLst>
                <a:ext uri="{63B3BB69-23CF-44E3-9099-C40C66FF867C}">
                  <a14:compatExt spid="_x0000_s66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c:userShapes xmlns:c="http://schemas.openxmlformats.org/drawingml/2006/chart">
  <cdr:relSizeAnchor xmlns:cdr="http://schemas.openxmlformats.org/drawingml/2006/chartDrawing">
    <cdr:from>
      <cdr:x>0.40134</cdr:x>
      <cdr:y>0.91489</cdr:y>
    </cdr:from>
    <cdr:to>
      <cdr:x>0.62454</cdr:x>
      <cdr:y>0.98755</cdr:y>
    </cdr:to>
    <cdr:sp macro="" textlink="'Simulate paired'!$AB$60">
      <cdr:nvSpPr>
        <cdr:cNvPr id="234500" name="Text Box 4"/>
        <cdr:cNvSpPr txBox="1">
          <a:spLocks xmlns:a="http://schemas.openxmlformats.org/drawingml/2006/main" noChangeArrowheads="1" noTextEdit="1"/>
        </cdr:cNvSpPr>
      </cdr:nvSpPr>
      <cdr:spPr bwMode="auto">
        <a:xfrm xmlns:a="http://schemas.openxmlformats.org/drawingml/2006/main">
          <a:off x="1650800" y="4839613"/>
          <a:ext cx="916291" cy="3841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8515459E-AF56-44A1-BE45-D88F603CE304}" type="TxLink">
            <a:rPr lang="en-AU" sz="1200" b="0" i="0" u="none" strike="noStrike" baseline="0">
              <a:solidFill>
                <a:srgbClr val="000000"/>
              </a:solidFill>
              <a:latin typeface="Arial"/>
              <a:cs typeface="Arial"/>
            </a:rPr>
            <a:pPr algn="ctr" rtl="0">
              <a:defRPr sz="1000"/>
            </a:pPr>
            <a:t>Posttest</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0.15299</cdr:x>
      <cdr:y>0.91489</cdr:y>
    </cdr:from>
    <cdr:to>
      <cdr:x>0.37619</cdr:x>
      <cdr:y>0.98755</cdr:y>
    </cdr:to>
    <cdr:sp macro="" textlink="'Simulate paired'!$AA$60">
      <cdr:nvSpPr>
        <cdr:cNvPr id="234499" name="Text Box 3"/>
        <cdr:cNvSpPr txBox="1">
          <a:spLocks xmlns:a="http://schemas.openxmlformats.org/drawingml/2006/main" noChangeArrowheads="1" noTextEdit="1"/>
        </cdr:cNvSpPr>
      </cdr:nvSpPr>
      <cdr:spPr bwMode="auto">
        <a:xfrm xmlns:a="http://schemas.openxmlformats.org/drawingml/2006/main">
          <a:off x="631251" y="4839613"/>
          <a:ext cx="916291" cy="3841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271B191B-7914-402E-B4EC-39B1A316DF49}" type="TxLink">
            <a:rPr lang="en-AU" sz="1200" b="0" i="0" u="none" strike="noStrike" baseline="0">
              <a:solidFill>
                <a:srgbClr val="000000"/>
              </a:solidFill>
              <a:latin typeface="Arial"/>
              <a:cs typeface="Arial"/>
            </a:rPr>
            <a:pPr algn="ctr" rtl="0">
              <a:defRPr sz="1000"/>
            </a:pPr>
            <a:t>Pretest</a:t>
          </a:fld>
          <a:endParaRPr lang="en-AU" sz="1200" b="0" i="0" u="none" strike="noStrike" baseline="0">
            <a:solidFill>
              <a:srgbClr val="000000"/>
            </a:solidFill>
            <a:latin typeface="Arial"/>
            <a:cs typeface="Aria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xcel%20Simulations/ITRIP/ESCI-ITRIP%20extra-11.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xcel%20Simulations/ITRIP/ESCI-ITRIP%20extra-11.5.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SCI%20development/Overlap/Overlap%205-8-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SCI%20development/Overlap/Overlap%205-8-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Geoff's%20documents/Unistuff/Papers/Old%20papers/Teaching%20Statistics/IBI%20levels%20of%20confidence%20Figs%2017%20Nov%2005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Geoff's%20documents/Unistuff/Papers/Old%20papers/Teaching%20Statistics/IBI%20levels%20of%20confidence%20Figs%2017%20Nov%2005a.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SCI%20development/CInext/CInext%2016-12-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ESCI%20development\CInext\CInext%2016-1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Geoff's%20Documents/Travel%2006/ESCI/Correlation%201024x768%2023%20Apr%2006c.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Geoff's%20Documents/Travel%2006/ESCI/Correlation%201024x768%2023%20Apr%2006c.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SCI%20development/IBI/ESCI%20Inference%20by%20eye.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Geoff's%20documents/TNS%20book/TNS%20figures%202%20Dec%2009h.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Geoff's%20documents/TNS%20book/TNS%20figures%202%20Dec%2009h.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SCI%20development/Describe/Describe%2013-4-4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SCI%20development/Describe/Describe%2014-4-4.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ESCI%20development\Describe\Describe%2013-4-4e.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SCI%20development/ESs/ESCI-ESs%2028-8-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ESCI%20development/ESs/ESCI-ESs%2028-8-2.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SCI%20development/Sampling/ESCI%20CIjumping%209%20Jul%2009.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ESCI%20development/IBI/ESCI%20Inference%20by%20eye.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Geoff's%20documents/Unistuff/Papers/Old%20papers/Killeen/APR%20Simulations%2015%20Apr%2006.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Geoff's%20documents/Unistuff/Papers/Old%20papers/Killeen/APR%20Simulations%2015%20Apr%2006.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xcel%20Simulations/ITRIP/ESCI-ITRIP.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Users/rcalinjageman/AppData/Local/Microsoft/Windows/Temporary%20Internet%20Files/Content.Outlook/CYV2F21B/Excel%20Simulations/IBITwo-18.4.1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cell r="X11"/>
          <cell r="Y11">
            <v>-7.468467044849298</v>
          </cell>
          <cell r="Z11">
            <v>-11.508140984818908</v>
          </cell>
          <cell r="AD11">
            <v>99</v>
          </cell>
          <cell r="AG11">
            <v>-1.9599610823206604</v>
          </cell>
          <cell r="AH11">
            <v>1.9599610823206604</v>
          </cell>
        </row>
        <row r="12">
          <cell r="J12"/>
          <cell r="X12"/>
          <cell r="Y12">
            <v>0.86023252670426276</v>
          </cell>
          <cell r="Z12">
            <v>-1.7249976466819334</v>
          </cell>
          <cell r="AD12">
            <v>99</v>
          </cell>
          <cell r="AG12">
            <v>-1.9599610823206604</v>
          </cell>
          <cell r="AH12">
            <v>1.9599610823206604</v>
          </cell>
        </row>
        <row r="13">
          <cell r="J13"/>
          <cell r="X13"/>
          <cell r="Y13">
            <v>-5.5</v>
          </cell>
          <cell r="Z13">
            <v>-8.7663529218515048</v>
          </cell>
          <cell r="AD13">
            <v>99</v>
          </cell>
          <cell r="AG13">
            <v>-1.9599610823206604</v>
          </cell>
          <cell r="AH13">
            <v>1.9599610823206604</v>
          </cell>
        </row>
        <row r="14">
          <cell r="J14"/>
          <cell r="X14"/>
          <cell r="Y14">
            <v>0.56124860801609122</v>
          </cell>
          <cell r="Z14">
            <v>-2.0400148510238649</v>
          </cell>
          <cell r="AD14">
            <v>99</v>
          </cell>
          <cell r="AG14">
            <v>-1.9599610823206604</v>
          </cell>
          <cell r="AH14">
            <v>1.9599610823206604</v>
          </cell>
        </row>
        <row r="15">
          <cell r="J15"/>
          <cell r="X15"/>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cell r="X11"/>
          <cell r="Y11">
            <v>-7.468467044849298</v>
          </cell>
          <cell r="Z11">
            <v>-11.508140984818908</v>
          </cell>
          <cell r="AD11">
            <v>99</v>
          </cell>
          <cell r="AG11">
            <v>-1.9599610823206604</v>
          </cell>
          <cell r="AH11">
            <v>1.9599610823206604</v>
          </cell>
        </row>
        <row r="12">
          <cell r="J12"/>
          <cell r="X12"/>
          <cell r="Y12">
            <v>0.86023252670426276</v>
          </cell>
          <cell r="Z12">
            <v>-1.7249976466819334</v>
          </cell>
          <cell r="AD12">
            <v>99</v>
          </cell>
          <cell r="AG12">
            <v>-1.9599610823206604</v>
          </cell>
          <cell r="AH12">
            <v>1.9599610823206604</v>
          </cell>
        </row>
        <row r="13">
          <cell r="J13"/>
          <cell r="X13"/>
          <cell r="Y13">
            <v>-5.5</v>
          </cell>
          <cell r="Z13">
            <v>-8.7663529218515048</v>
          </cell>
          <cell r="AD13">
            <v>99</v>
          </cell>
          <cell r="AG13">
            <v>-1.9599610823206604</v>
          </cell>
          <cell r="AH13">
            <v>1.9599610823206604</v>
          </cell>
        </row>
        <row r="14">
          <cell r="J14"/>
          <cell r="X14"/>
          <cell r="Y14">
            <v>0.56124860801609122</v>
          </cell>
          <cell r="Z14">
            <v>-2.0400148510238649</v>
          </cell>
          <cell r="AD14">
            <v>99</v>
          </cell>
          <cell r="AG14">
            <v>-1.9599610823206604</v>
          </cell>
          <cell r="AH14">
            <v>1.9599610823206604</v>
          </cell>
        </row>
        <row r="15">
          <cell r="J15"/>
          <cell r="X15"/>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sheetData>
      <sheetData sheetId="3">
        <row r="2">
          <cell r="O2" t="b">
            <v>0</v>
          </cell>
        </row>
      </sheetData>
      <sheetData sheetId="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cell r="C48"/>
          <cell r="AH48"/>
          <cell r="AI48"/>
        </row>
        <row r="49">
          <cell r="B49"/>
          <cell r="C49"/>
          <cell r="AH49"/>
          <cell r="AI49"/>
        </row>
        <row r="50">
          <cell r="B50"/>
          <cell r="C50"/>
          <cell r="AH50"/>
          <cell r="AI50"/>
        </row>
        <row r="51">
          <cell r="B51"/>
          <cell r="C51"/>
          <cell r="AH51"/>
          <cell r="AI51"/>
        </row>
        <row r="52">
          <cell r="B52"/>
          <cell r="C52"/>
          <cell r="AH52"/>
          <cell r="AI52"/>
        </row>
        <row r="53">
          <cell r="B53"/>
          <cell r="C53"/>
          <cell r="AH53"/>
          <cell r="AI53"/>
        </row>
        <row r="54">
          <cell r="B54"/>
          <cell r="C54"/>
          <cell r="AH54"/>
          <cell r="AI54"/>
        </row>
        <row r="55">
          <cell r="B55"/>
          <cell r="C55"/>
          <cell r="AH55"/>
          <cell r="AI55"/>
        </row>
        <row r="56">
          <cell r="B56"/>
          <cell r="C56"/>
          <cell r="AH56"/>
          <cell r="AI56"/>
        </row>
        <row r="57">
          <cell r="B57"/>
          <cell r="C57"/>
          <cell r="AH57"/>
          <cell r="AI57"/>
        </row>
        <row r="58">
          <cell r="B58"/>
          <cell r="C58"/>
          <cell r="AH58"/>
          <cell r="AI58"/>
        </row>
        <row r="59">
          <cell r="B59"/>
          <cell r="C59"/>
          <cell r="AH59"/>
          <cell r="AI59"/>
        </row>
        <row r="60">
          <cell r="B60"/>
          <cell r="C60"/>
          <cell r="AH60"/>
          <cell r="AI60"/>
        </row>
        <row r="61">
          <cell r="B61"/>
          <cell r="C61"/>
          <cell r="AH61"/>
          <cell r="AI61"/>
        </row>
        <row r="62">
          <cell r="B62"/>
          <cell r="C62"/>
          <cell r="AH62"/>
          <cell r="AI62"/>
        </row>
        <row r="63">
          <cell r="B63"/>
          <cell r="C63"/>
          <cell r="AH63"/>
          <cell r="AI63"/>
        </row>
        <row r="64">
          <cell r="B64"/>
          <cell r="C64"/>
          <cell r="AH64"/>
          <cell r="AI64"/>
        </row>
        <row r="65">
          <cell r="B65"/>
          <cell r="C65"/>
          <cell r="AH65"/>
          <cell r="AI65"/>
        </row>
        <row r="66">
          <cell r="B66"/>
          <cell r="C66"/>
          <cell r="AH66"/>
          <cell r="AI66"/>
        </row>
        <row r="67">
          <cell r="B67"/>
          <cell r="C67"/>
          <cell r="AH67"/>
          <cell r="AI67"/>
        </row>
        <row r="68">
          <cell r="B68"/>
          <cell r="C68"/>
          <cell r="AH68"/>
          <cell r="AI68"/>
        </row>
        <row r="69">
          <cell r="B69"/>
          <cell r="C69"/>
          <cell r="AH69"/>
          <cell r="AI69"/>
        </row>
        <row r="70">
          <cell r="B70"/>
          <cell r="C70"/>
          <cell r="AH70"/>
          <cell r="AI70"/>
        </row>
        <row r="71">
          <cell r="B71"/>
          <cell r="C71"/>
          <cell r="AH71"/>
          <cell r="AI71"/>
        </row>
        <row r="72">
          <cell r="B72"/>
          <cell r="C72"/>
          <cell r="AH72"/>
          <cell r="AI72"/>
        </row>
        <row r="73">
          <cell r="B73"/>
          <cell r="C73"/>
          <cell r="AH73"/>
          <cell r="AI73"/>
        </row>
        <row r="74">
          <cell r="B74"/>
          <cell r="C74"/>
          <cell r="AH74"/>
          <cell r="AI74"/>
        </row>
        <row r="75">
          <cell r="B75"/>
          <cell r="C75"/>
          <cell r="AH75"/>
          <cell r="AI75"/>
        </row>
        <row r="76">
          <cell r="B76"/>
          <cell r="C76"/>
          <cell r="AH76"/>
          <cell r="AI76"/>
        </row>
        <row r="77">
          <cell r="B77"/>
          <cell r="C77"/>
          <cell r="AH77"/>
          <cell r="AI77"/>
        </row>
        <row r="78">
          <cell r="B78"/>
          <cell r="C78"/>
          <cell r="AH78"/>
          <cell r="AI78"/>
        </row>
        <row r="79">
          <cell r="B79"/>
          <cell r="C79"/>
          <cell r="AH79"/>
          <cell r="AI79"/>
        </row>
        <row r="80">
          <cell r="B80"/>
          <cell r="C80"/>
          <cell r="AH80"/>
          <cell r="AI80"/>
        </row>
        <row r="81">
          <cell r="B81"/>
          <cell r="C81"/>
          <cell r="AH81"/>
          <cell r="AI81"/>
        </row>
        <row r="82">
          <cell r="B82"/>
          <cell r="C82"/>
          <cell r="AH82"/>
          <cell r="AI82"/>
        </row>
        <row r="83">
          <cell r="B83"/>
          <cell r="C83"/>
          <cell r="AH83"/>
          <cell r="AI83"/>
        </row>
        <row r="84">
          <cell r="B84"/>
          <cell r="C84"/>
          <cell r="AH84"/>
          <cell r="AI84"/>
        </row>
        <row r="85">
          <cell r="B85"/>
          <cell r="C85"/>
          <cell r="AH85"/>
          <cell r="AI85"/>
        </row>
        <row r="86">
          <cell r="B86"/>
          <cell r="C86"/>
          <cell r="AH86"/>
          <cell r="AI86"/>
        </row>
        <row r="87">
          <cell r="B87"/>
          <cell r="C87"/>
          <cell r="AH87"/>
          <cell r="AI87"/>
        </row>
        <row r="88">
          <cell r="B88"/>
          <cell r="C88"/>
          <cell r="AH88"/>
          <cell r="AI88"/>
        </row>
        <row r="89">
          <cell r="B89"/>
          <cell r="C89"/>
          <cell r="AH89"/>
          <cell r="AI89"/>
        </row>
        <row r="90">
          <cell r="B90"/>
          <cell r="C90"/>
          <cell r="AH90"/>
          <cell r="AI90"/>
        </row>
        <row r="91">
          <cell r="B91"/>
          <cell r="C91"/>
          <cell r="AH91"/>
          <cell r="AI91"/>
        </row>
        <row r="92">
          <cell r="B92"/>
          <cell r="C92"/>
          <cell r="AH92"/>
          <cell r="AI92"/>
        </row>
        <row r="93">
          <cell r="B93"/>
          <cell r="C93"/>
          <cell r="AH93"/>
          <cell r="AI93"/>
        </row>
        <row r="94">
          <cell r="B94"/>
          <cell r="C94"/>
          <cell r="AH94"/>
          <cell r="AI94"/>
        </row>
        <row r="95">
          <cell r="B95"/>
          <cell r="C95"/>
          <cell r="AH95"/>
          <cell r="AI95"/>
        </row>
        <row r="96">
          <cell r="B96"/>
          <cell r="C96"/>
          <cell r="AH96"/>
          <cell r="AI96"/>
        </row>
        <row r="97">
          <cell r="B97"/>
          <cell r="C97"/>
          <cell r="AH97"/>
          <cell r="AI97"/>
        </row>
        <row r="98">
          <cell r="B98"/>
          <cell r="C98"/>
          <cell r="AH98"/>
          <cell r="AI98"/>
        </row>
        <row r="99">
          <cell r="B99"/>
          <cell r="C99"/>
          <cell r="AH99"/>
          <cell r="AI99"/>
        </row>
        <row r="100">
          <cell r="B100"/>
          <cell r="C100"/>
          <cell r="AH100"/>
          <cell r="AI100"/>
        </row>
        <row r="101">
          <cell r="B101"/>
          <cell r="C101"/>
          <cell r="AH101"/>
          <cell r="AI101"/>
        </row>
        <row r="102">
          <cell r="B102"/>
          <cell r="C102"/>
          <cell r="AH102"/>
          <cell r="AI102"/>
        </row>
        <row r="103">
          <cell r="B103"/>
          <cell r="C103"/>
          <cell r="AH103"/>
          <cell r="AI103"/>
        </row>
        <row r="104">
          <cell r="B104"/>
          <cell r="C104"/>
          <cell r="AH104"/>
          <cell r="AI104"/>
        </row>
        <row r="105">
          <cell r="B105"/>
          <cell r="C105"/>
          <cell r="AH105"/>
          <cell r="AI105"/>
        </row>
        <row r="106">
          <cell r="B106"/>
          <cell r="C106"/>
          <cell r="AH106"/>
          <cell r="AI106"/>
        </row>
        <row r="107">
          <cell r="B107"/>
          <cell r="C107"/>
          <cell r="AH107"/>
          <cell r="AI107"/>
        </row>
        <row r="108">
          <cell r="B108"/>
          <cell r="C108"/>
          <cell r="AH108"/>
          <cell r="AI108"/>
        </row>
        <row r="109">
          <cell r="B109"/>
          <cell r="C109"/>
          <cell r="AH109"/>
          <cell r="AI109"/>
        </row>
        <row r="110">
          <cell r="B110"/>
          <cell r="C110"/>
          <cell r="AH110"/>
          <cell r="AI110"/>
        </row>
        <row r="111">
          <cell r="B111"/>
          <cell r="C111"/>
          <cell r="AH111"/>
          <cell r="AI111"/>
        </row>
        <row r="112">
          <cell r="B112"/>
          <cell r="C112"/>
          <cell r="AH112"/>
          <cell r="AI112"/>
        </row>
        <row r="113">
          <cell r="B113"/>
          <cell r="C113"/>
          <cell r="AH113"/>
          <cell r="AI113"/>
        </row>
        <row r="114">
          <cell r="B114"/>
          <cell r="C114"/>
          <cell r="AH114"/>
          <cell r="AI114"/>
        </row>
        <row r="115">
          <cell r="B115"/>
          <cell r="C115"/>
          <cell r="AH115"/>
          <cell r="AI115"/>
        </row>
        <row r="116">
          <cell r="B116"/>
          <cell r="C116"/>
          <cell r="AH116"/>
          <cell r="AI116"/>
        </row>
        <row r="117">
          <cell r="B117"/>
          <cell r="C117"/>
          <cell r="AH117"/>
          <cell r="AI117"/>
        </row>
        <row r="118">
          <cell r="B118"/>
          <cell r="C118"/>
          <cell r="AH118"/>
          <cell r="AI118"/>
        </row>
        <row r="119">
          <cell r="B119"/>
          <cell r="C119"/>
          <cell r="AH119"/>
          <cell r="AI119"/>
        </row>
        <row r="120">
          <cell r="B120"/>
          <cell r="C120"/>
          <cell r="AH120"/>
          <cell r="AI120"/>
        </row>
        <row r="121">
          <cell r="B121"/>
          <cell r="C121"/>
          <cell r="AH121"/>
          <cell r="AI121"/>
        </row>
        <row r="122">
          <cell r="B122"/>
          <cell r="C122"/>
          <cell r="AH122"/>
          <cell r="AI122"/>
        </row>
        <row r="123">
          <cell r="B123"/>
          <cell r="C123"/>
          <cell r="AH123"/>
          <cell r="AI123"/>
        </row>
        <row r="124">
          <cell r="B124"/>
          <cell r="C124"/>
          <cell r="AH124"/>
          <cell r="AI124"/>
        </row>
        <row r="125">
          <cell r="B125"/>
          <cell r="C125"/>
          <cell r="AH125"/>
          <cell r="AI125"/>
        </row>
        <row r="126">
          <cell r="B126"/>
          <cell r="C126"/>
          <cell r="AH126"/>
          <cell r="AI126"/>
        </row>
        <row r="127">
          <cell r="B127"/>
          <cell r="C127"/>
          <cell r="AH127"/>
          <cell r="AI127"/>
        </row>
        <row r="128">
          <cell r="B128"/>
          <cell r="C128"/>
          <cell r="AH128"/>
          <cell r="AI128"/>
        </row>
        <row r="129">
          <cell r="B129"/>
          <cell r="C129"/>
          <cell r="AH129"/>
          <cell r="AI129"/>
        </row>
        <row r="130">
          <cell r="B130"/>
          <cell r="C130"/>
          <cell r="AH130"/>
          <cell r="AI130"/>
        </row>
        <row r="131">
          <cell r="B131"/>
          <cell r="C131"/>
          <cell r="AH131"/>
          <cell r="AI131"/>
        </row>
        <row r="132">
          <cell r="B132"/>
          <cell r="C132"/>
          <cell r="AH132"/>
          <cell r="AI132"/>
        </row>
        <row r="133">
          <cell r="B133"/>
          <cell r="C133"/>
          <cell r="AH133"/>
          <cell r="AI133"/>
        </row>
        <row r="134">
          <cell r="B134"/>
          <cell r="C134"/>
          <cell r="AH134"/>
          <cell r="AI134"/>
        </row>
        <row r="135">
          <cell r="B135"/>
          <cell r="C135"/>
          <cell r="AH135"/>
          <cell r="AI135"/>
        </row>
        <row r="136">
          <cell r="B136"/>
          <cell r="C136"/>
          <cell r="AH136"/>
          <cell r="AI136"/>
        </row>
        <row r="137">
          <cell r="B137"/>
          <cell r="C137"/>
          <cell r="AH137"/>
          <cell r="AI137"/>
        </row>
        <row r="138">
          <cell r="B138"/>
          <cell r="C138"/>
          <cell r="AH138"/>
          <cell r="AI138"/>
        </row>
        <row r="139">
          <cell r="B139"/>
          <cell r="C139"/>
          <cell r="AH139"/>
          <cell r="AI139"/>
        </row>
        <row r="140">
          <cell r="B140"/>
          <cell r="C140"/>
          <cell r="AH140"/>
          <cell r="AI140"/>
        </row>
        <row r="141">
          <cell r="B141"/>
          <cell r="C141"/>
          <cell r="AH141"/>
          <cell r="AI141"/>
        </row>
        <row r="142">
          <cell r="B142"/>
          <cell r="C142"/>
          <cell r="AH142"/>
          <cell r="AI142"/>
        </row>
        <row r="143">
          <cell r="B143"/>
          <cell r="C143"/>
          <cell r="AH143"/>
          <cell r="AI143"/>
        </row>
        <row r="144">
          <cell r="B144"/>
          <cell r="C144"/>
          <cell r="AH144"/>
          <cell r="AI144"/>
        </row>
        <row r="145">
          <cell r="B145"/>
          <cell r="C145"/>
          <cell r="AH145"/>
          <cell r="AI145"/>
        </row>
        <row r="146">
          <cell r="B146"/>
          <cell r="C146"/>
          <cell r="AH146"/>
          <cell r="AI146"/>
        </row>
        <row r="147">
          <cell r="B147"/>
          <cell r="C147"/>
          <cell r="AH147"/>
          <cell r="AI147"/>
        </row>
        <row r="148">
          <cell r="B148"/>
          <cell r="C148"/>
          <cell r="AH148"/>
          <cell r="AI148"/>
        </row>
        <row r="149">
          <cell r="B149"/>
          <cell r="C149"/>
          <cell r="AH149"/>
          <cell r="AI149"/>
        </row>
        <row r="150">
          <cell r="B150"/>
          <cell r="C150"/>
          <cell r="AH150"/>
          <cell r="AI150"/>
        </row>
        <row r="151">
          <cell r="B151"/>
          <cell r="C151"/>
          <cell r="AH151"/>
          <cell r="AI151"/>
        </row>
        <row r="152">
          <cell r="B152"/>
          <cell r="C152"/>
          <cell r="AH152"/>
          <cell r="AI152"/>
        </row>
        <row r="153">
          <cell r="B153"/>
          <cell r="C153"/>
          <cell r="AH153"/>
          <cell r="AI153"/>
        </row>
        <row r="154">
          <cell r="B154"/>
          <cell r="C154"/>
          <cell r="AH154"/>
          <cell r="AI154"/>
        </row>
        <row r="155">
          <cell r="B155"/>
          <cell r="C155"/>
          <cell r="AH155"/>
          <cell r="AI155"/>
        </row>
        <row r="156">
          <cell r="B156"/>
          <cell r="C156"/>
          <cell r="AH156"/>
          <cell r="AI156"/>
        </row>
        <row r="157">
          <cell r="B157"/>
          <cell r="C157"/>
          <cell r="AH157"/>
          <cell r="AI157"/>
        </row>
        <row r="158">
          <cell r="B158"/>
          <cell r="C158"/>
          <cell r="AH158"/>
          <cell r="AI158"/>
        </row>
        <row r="159">
          <cell r="B159"/>
          <cell r="C159"/>
          <cell r="AH159"/>
          <cell r="AI159"/>
        </row>
        <row r="160">
          <cell r="B160"/>
          <cell r="C160"/>
          <cell r="AH160"/>
          <cell r="AI160"/>
        </row>
        <row r="161">
          <cell r="B161"/>
          <cell r="C161"/>
          <cell r="AH161"/>
          <cell r="AI161"/>
        </row>
        <row r="162">
          <cell r="B162"/>
          <cell r="C162"/>
          <cell r="AH162"/>
          <cell r="AI162"/>
        </row>
        <row r="163">
          <cell r="B163"/>
          <cell r="C163"/>
          <cell r="AH163"/>
          <cell r="AI163"/>
        </row>
        <row r="164">
          <cell r="B164"/>
          <cell r="C164"/>
          <cell r="AH164"/>
          <cell r="AI164"/>
        </row>
        <row r="165">
          <cell r="B165"/>
          <cell r="C165"/>
          <cell r="AH165"/>
          <cell r="AI165"/>
        </row>
        <row r="166">
          <cell r="B166"/>
          <cell r="C166"/>
          <cell r="AH166"/>
          <cell r="AI166"/>
        </row>
        <row r="167">
          <cell r="B167"/>
          <cell r="C167"/>
          <cell r="AH167"/>
          <cell r="AI167"/>
        </row>
        <row r="168">
          <cell r="B168"/>
          <cell r="C168"/>
          <cell r="AH168"/>
          <cell r="AI168"/>
        </row>
        <row r="169">
          <cell r="B169"/>
          <cell r="C169"/>
          <cell r="AH169"/>
          <cell r="AI169"/>
        </row>
        <row r="170">
          <cell r="B170"/>
          <cell r="C170"/>
          <cell r="AH170"/>
          <cell r="AI170"/>
        </row>
        <row r="171">
          <cell r="B171"/>
          <cell r="C171"/>
          <cell r="AH171"/>
          <cell r="AI171"/>
        </row>
        <row r="172">
          <cell r="B172"/>
          <cell r="C172"/>
          <cell r="AH172"/>
          <cell r="AI172"/>
        </row>
        <row r="173">
          <cell r="B173"/>
          <cell r="C173"/>
          <cell r="AH173"/>
          <cell r="AI173"/>
        </row>
        <row r="174">
          <cell r="B174"/>
          <cell r="C174"/>
          <cell r="AH174"/>
          <cell r="AI174"/>
        </row>
        <row r="175">
          <cell r="B175"/>
          <cell r="C175"/>
          <cell r="AH175"/>
          <cell r="AI175"/>
        </row>
        <row r="176">
          <cell r="B176"/>
          <cell r="C176"/>
          <cell r="AH176"/>
          <cell r="AI176"/>
        </row>
        <row r="177">
          <cell r="B177"/>
          <cell r="C177"/>
          <cell r="AH177"/>
          <cell r="AI177"/>
        </row>
        <row r="178">
          <cell r="B178"/>
          <cell r="C178"/>
          <cell r="AH178"/>
          <cell r="AI178"/>
        </row>
        <row r="179">
          <cell r="B179"/>
          <cell r="C179"/>
          <cell r="AH179"/>
          <cell r="AI179"/>
        </row>
        <row r="180">
          <cell r="B180"/>
          <cell r="C180"/>
          <cell r="AH180"/>
          <cell r="AI180"/>
        </row>
        <row r="181">
          <cell r="B181"/>
          <cell r="C181"/>
          <cell r="AH181"/>
          <cell r="AI181"/>
        </row>
        <row r="182">
          <cell r="B182"/>
          <cell r="C182"/>
          <cell r="AH182"/>
          <cell r="AI182"/>
        </row>
        <row r="183">
          <cell r="B183"/>
          <cell r="C183"/>
          <cell r="AH183"/>
          <cell r="AI183"/>
        </row>
        <row r="184">
          <cell r="B184"/>
          <cell r="C184"/>
          <cell r="AH184"/>
          <cell r="AI184"/>
        </row>
        <row r="185">
          <cell r="B185"/>
          <cell r="C185"/>
          <cell r="AH185"/>
          <cell r="AI185"/>
        </row>
        <row r="186">
          <cell r="B186"/>
          <cell r="C186"/>
          <cell r="AH186"/>
          <cell r="AI186"/>
        </row>
        <row r="187">
          <cell r="B187"/>
          <cell r="C187"/>
          <cell r="AH187"/>
          <cell r="AI187"/>
        </row>
        <row r="188">
          <cell r="B188"/>
          <cell r="C188"/>
          <cell r="AH188"/>
          <cell r="AI188"/>
        </row>
        <row r="189">
          <cell r="B189"/>
          <cell r="C189"/>
          <cell r="AH189"/>
          <cell r="AI189"/>
        </row>
        <row r="190">
          <cell r="B190"/>
          <cell r="C190"/>
          <cell r="AH190"/>
          <cell r="AI190"/>
        </row>
        <row r="191">
          <cell r="B191"/>
          <cell r="C191"/>
          <cell r="AH191"/>
          <cell r="AI191"/>
        </row>
        <row r="192">
          <cell r="B192"/>
          <cell r="C192"/>
          <cell r="AH192"/>
          <cell r="AI192"/>
        </row>
        <row r="193">
          <cell r="B193"/>
          <cell r="C193"/>
          <cell r="AH193"/>
          <cell r="AI193"/>
        </row>
        <row r="194">
          <cell r="B194"/>
          <cell r="C194"/>
          <cell r="AH194"/>
          <cell r="AI194"/>
        </row>
        <row r="195">
          <cell r="B195"/>
          <cell r="C195"/>
          <cell r="AH195"/>
          <cell r="AI195"/>
        </row>
        <row r="196">
          <cell r="B196"/>
          <cell r="C196"/>
          <cell r="AH196"/>
          <cell r="AI196"/>
        </row>
        <row r="197">
          <cell r="B197"/>
          <cell r="C197"/>
          <cell r="AH197"/>
          <cell r="AI197"/>
        </row>
        <row r="198">
          <cell r="B198"/>
          <cell r="C198"/>
          <cell r="AH198"/>
          <cell r="AI198"/>
        </row>
        <row r="199">
          <cell r="B199"/>
          <cell r="C199"/>
          <cell r="AH199"/>
          <cell r="AI199"/>
        </row>
        <row r="200">
          <cell r="B200"/>
          <cell r="C200"/>
          <cell r="AH200"/>
          <cell r="AI200"/>
        </row>
        <row r="201">
          <cell r="B201"/>
          <cell r="C201"/>
          <cell r="AH201"/>
          <cell r="AI201"/>
        </row>
        <row r="202">
          <cell r="B202"/>
          <cell r="C202"/>
          <cell r="AH202"/>
          <cell r="AI202"/>
        </row>
        <row r="203">
          <cell r="B203"/>
          <cell r="C203"/>
          <cell r="AH203"/>
          <cell r="AI203"/>
        </row>
        <row r="204">
          <cell r="B204"/>
          <cell r="C204"/>
          <cell r="AH204"/>
          <cell r="AI204"/>
        </row>
        <row r="205">
          <cell r="B205"/>
          <cell r="C205"/>
          <cell r="AH205"/>
          <cell r="AI205"/>
        </row>
        <row r="206">
          <cell r="B206"/>
          <cell r="C206"/>
          <cell r="AH206"/>
          <cell r="AI206"/>
        </row>
        <row r="207">
          <cell r="B207"/>
          <cell r="C207"/>
          <cell r="AH207"/>
          <cell r="AI207"/>
        </row>
        <row r="208">
          <cell r="B208"/>
          <cell r="C208"/>
          <cell r="AH208"/>
          <cell r="AI208"/>
        </row>
        <row r="209">
          <cell r="B209"/>
          <cell r="C209"/>
          <cell r="AH209"/>
          <cell r="AI209"/>
        </row>
        <row r="210">
          <cell r="B210"/>
          <cell r="C210"/>
          <cell r="AH210"/>
          <cell r="AI210"/>
        </row>
        <row r="211">
          <cell r="B211"/>
          <cell r="C211"/>
          <cell r="AH211"/>
          <cell r="AI211"/>
        </row>
        <row r="212">
          <cell r="B212"/>
          <cell r="C212"/>
          <cell r="AH212"/>
          <cell r="AI212"/>
        </row>
        <row r="213">
          <cell r="B213"/>
          <cell r="C213"/>
          <cell r="AH213"/>
          <cell r="AI213"/>
        </row>
        <row r="214">
          <cell r="B214"/>
          <cell r="C214"/>
          <cell r="AH214"/>
          <cell r="AI214"/>
        </row>
        <row r="215">
          <cell r="B215"/>
          <cell r="C215"/>
          <cell r="AH215"/>
          <cell r="AI215"/>
        </row>
        <row r="216">
          <cell r="B216"/>
          <cell r="C216"/>
          <cell r="AH216"/>
          <cell r="AI216"/>
        </row>
        <row r="217">
          <cell r="B217"/>
          <cell r="C217"/>
          <cell r="AH217"/>
          <cell r="AI217"/>
        </row>
        <row r="218">
          <cell r="B218"/>
          <cell r="C218"/>
          <cell r="AH218"/>
          <cell r="AI218"/>
        </row>
        <row r="219">
          <cell r="B219"/>
          <cell r="C219"/>
          <cell r="AH219"/>
          <cell r="AI219"/>
        </row>
        <row r="220">
          <cell r="B220"/>
          <cell r="C220"/>
          <cell r="AH220"/>
          <cell r="AI220"/>
        </row>
        <row r="221">
          <cell r="B221"/>
          <cell r="C221"/>
          <cell r="AH221"/>
          <cell r="AI221"/>
        </row>
        <row r="222">
          <cell r="B222"/>
          <cell r="C222"/>
          <cell r="AH222"/>
          <cell r="AI222"/>
        </row>
        <row r="223">
          <cell r="B223"/>
          <cell r="C223"/>
          <cell r="AH223"/>
          <cell r="AI223"/>
        </row>
        <row r="224">
          <cell r="B224"/>
          <cell r="C224"/>
          <cell r="AH224"/>
          <cell r="AI224"/>
        </row>
        <row r="225">
          <cell r="B225"/>
          <cell r="C225"/>
          <cell r="AH225"/>
          <cell r="AI225"/>
        </row>
        <row r="226">
          <cell r="B226"/>
          <cell r="C226"/>
          <cell r="AH226"/>
          <cell r="AI226"/>
        </row>
        <row r="227">
          <cell r="B227"/>
          <cell r="C227"/>
          <cell r="AH227"/>
          <cell r="AI227"/>
        </row>
        <row r="228">
          <cell r="B228"/>
          <cell r="C228"/>
          <cell r="AH228"/>
          <cell r="AI228"/>
        </row>
        <row r="229">
          <cell r="B229"/>
          <cell r="C229"/>
          <cell r="AH229"/>
          <cell r="AI229"/>
        </row>
        <row r="230">
          <cell r="B230"/>
          <cell r="C230"/>
          <cell r="AH230"/>
          <cell r="AI230"/>
        </row>
        <row r="231">
          <cell r="B231"/>
          <cell r="C231"/>
          <cell r="AH231"/>
          <cell r="AI231"/>
        </row>
        <row r="232">
          <cell r="B232"/>
          <cell r="C232"/>
          <cell r="AH232"/>
          <cell r="AI232"/>
        </row>
        <row r="233">
          <cell r="B233"/>
          <cell r="C233"/>
          <cell r="AH233"/>
          <cell r="AI233"/>
        </row>
        <row r="234">
          <cell r="B234"/>
          <cell r="C234"/>
          <cell r="AH234"/>
          <cell r="AI234"/>
        </row>
        <row r="235">
          <cell r="B235"/>
          <cell r="C235"/>
          <cell r="AH235"/>
          <cell r="AI235"/>
        </row>
        <row r="236">
          <cell r="B236"/>
          <cell r="C236"/>
          <cell r="AH236"/>
          <cell r="AI236"/>
        </row>
        <row r="237">
          <cell r="B237"/>
          <cell r="C237"/>
          <cell r="AH237"/>
          <cell r="AI237"/>
        </row>
        <row r="238">
          <cell r="B238"/>
          <cell r="C238"/>
          <cell r="AH238"/>
          <cell r="AI238"/>
        </row>
        <row r="239">
          <cell r="B239"/>
          <cell r="C239"/>
          <cell r="AH239"/>
          <cell r="AI239"/>
        </row>
        <row r="240">
          <cell r="B240"/>
          <cell r="C240"/>
          <cell r="AH240"/>
          <cell r="AI240"/>
        </row>
        <row r="241">
          <cell r="B241"/>
          <cell r="C241"/>
          <cell r="AH241"/>
          <cell r="AI241"/>
        </row>
        <row r="242">
          <cell r="B242"/>
          <cell r="C242"/>
          <cell r="AH242"/>
          <cell r="AI242"/>
        </row>
        <row r="243">
          <cell r="B243"/>
          <cell r="C243"/>
          <cell r="AH243"/>
          <cell r="AI243"/>
        </row>
        <row r="244">
          <cell r="B244"/>
          <cell r="C244"/>
          <cell r="AH244"/>
          <cell r="AI244"/>
        </row>
        <row r="245">
          <cell r="B245"/>
          <cell r="C245"/>
          <cell r="AH245"/>
          <cell r="AI245"/>
        </row>
        <row r="246">
          <cell r="B246"/>
          <cell r="C246"/>
          <cell r="AH246"/>
          <cell r="AI246"/>
        </row>
        <row r="247">
          <cell r="B247"/>
          <cell r="C247"/>
          <cell r="AH247"/>
          <cell r="AI247"/>
        </row>
        <row r="248">
          <cell r="B248"/>
          <cell r="C248"/>
          <cell r="AH248"/>
          <cell r="AI248"/>
        </row>
        <row r="249">
          <cell r="B249"/>
          <cell r="C249"/>
          <cell r="AH249"/>
          <cell r="AI249"/>
        </row>
        <row r="250">
          <cell r="B250"/>
          <cell r="C250"/>
          <cell r="AH250"/>
          <cell r="AI250"/>
        </row>
        <row r="251">
          <cell r="B251"/>
          <cell r="C251"/>
          <cell r="AH251"/>
          <cell r="AI251"/>
        </row>
        <row r="252">
          <cell r="B252"/>
          <cell r="C252"/>
          <cell r="AH252"/>
          <cell r="AI252"/>
        </row>
        <row r="253">
          <cell r="B253"/>
          <cell r="C253"/>
          <cell r="AH253"/>
          <cell r="AI253"/>
        </row>
        <row r="254">
          <cell r="B254"/>
          <cell r="C254"/>
          <cell r="AH254"/>
          <cell r="AI254"/>
        </row>
        <row r="255">
          <cell r="B255"/>
          <cell r="C255"/>
          <cell r="AH255"/>
          <cell r="AI255"/>
        </row>
        <row r="256">
          <cell r="B256"/>
          <cell r="C256"/>
          <cell r="AH256"/>
          <cell r="AI256"/>
        </row>
        <row r="257">
          <cell r="B257"/>
          <cell r="C257"/>
          <cell r="AH257"/>
          <cell r="AI257"/>
        </row>
        <row r="258">
          <cell r="B258"/>
          <cell r="C258"/>
          <cell r="AH258"/>
          <cell r="AI258"/>
        </row>
        <row r="259">
          <cell r="B259"/>
          <cell r="C259"/>
          <cell r="AH259"/>
          <cell r="AI259"/>
        </row>
        <row r="260">
          <cell r="B260"/>
          <cell r="C260"/>
          <cell r="AH260"/>
          <cell r="AI260"/>
        </row>
        <row r="261">
          <cell r="B261"/>
          <cell r="C261"/>
          <cell r="AH261"/>
          <cell r="AI261"/>
        </row>
        <row r="262">
          <cell r="B262"/>
          <cell r="C262"/>
          <cell r="AH262"/>
          <cell r="AI262"/>
        </row>
        <row r="263">
          <cell r="B263"/>
          <cell r="C263"/>
          <cell r="AH263"/>
          <cell r="AI263"/>
        </row>
        <row r="264">
          <cell r="B264"/>
          <cell r="C264"/>
          <cell r="AH264"/>
          <cell r="AI264"/>
        </row>
        <row r="265">
          <cell r="B265"/>
          <cell r="C265"/>
          <cell r="AH265"/>
          <cell r="AI265"/>
        </row>
        <row r="266">
          <cell r="B266"/>
          <cell r="C266"/>
          <cell r="AH266"/>
          <cell r="AI266"/>
        </row>
        <row r="267">
          <cell r="B267"/>
          <cell r="C267"/>
          <cell r="AH267"/>
          <cell r="AI267"/>
        </row>
        <row r="268">
          <cell r="B268"/>
          <cell r="C268"/>
          <cell r="AH268"/>
          <cell r="AI268"/>
        </row>
        <row r="269">
          <cell r="B269"/>
          <cell r="C269"/>
          <cell r="AH269"/>
          <cell r="AI269"/>
        </row>
        <row r="270">
          <cell r="B270"/>
          <cell r="C270"/>
          <cell r="AH270"/>
          <cell r="AI270"/>
        </row>
        <row r="271">
          <cell r="B271"/>
          <cell r="C271"/>
          <cell r="AH271"/>
          <cell r="AI271"/>
        </row>
        <row r="272">
          <cell r="B272"/>
          <cell r="C272"/>
          <cell r="AH272"/>
          <cell r="AI272"/>
        </row>
        <row r="273">
          <cell r="B273"/>
          <cell r="C273"/>
          <cell r="AH273"/>
          <cell r="AI273"/>
        </row>
        <row r="274">
          <cell r="B274"/>
          <cell r="C274"/>
          <cell r="AH274"/>
          <cell r="AI274"/>
        </row>
        <row r="275">
          <cell r="B275"/>
          <cell r="C275"/>
          <cell r="AH275"/>
          <cell r="AI275"/>
        </row>
        <row r="276">
          <cell r="B276"/>
          <cell r="C276"/>
          <cell r="AH276"/>
          <cell r="AI276"/>
        </row>
        <row r="277">
          <cell r="B277"/>
          <cell r="C277"/>
          <cell r="AH277"/>
          <cell r="AI277"/>
        </row>
        <row r="278">
          <cell r="B278"/>
          <cell r="C278"/>
          <cell r="AH278"/>
          <cell r="AI278"/>
        </row>
        <row r="279">
          <cell r="B279"/>
          <cell r="C279"/>
          <cell r="AH279"/>
          <cell r="AI279"/>
        </row>
        <row r="280">
          <cell r="B280"/>
          <cell r="C280"/>
          <cell r="AH280"/>
          <cell r="AI280"/>
        </row>
        <row r="281">
          <cell r="B281"/>
          <cell r="C281"/>
          <cell r="AH281"/>
          <cell r="AI281"/>
        </row>
        <row r="282">
          <cell r="B282"/>
          <cell r="C282"/>
          <cell r="AH282"/>
          <cell r="AI282"/>
        </row>
        <row r="283">
          <cell r="B283"/>
          <cell r="C283"/>
          <cell r="AH283"/>
          <cell r="AI283"/>
        </row>
        <row r="284">
          <cell r="B284"/>
          <cell r="C284"/>
          <cell r="AH284"/>
          <cell r="AI284"/>
        </row>
        <row r="285">
          <cell r="B285"/>
          <cell r="C285"/>
          <cell r="AH285"/>
          <cell r="AI285"/>
        </row>
        <row r="286">
          <cell r="B286"/>
          <cell r="C286"/>
          <cell r="AH286"/>
          <cell r="AI286"/>
        </row>
        <row r="287">
          <cell r="B287"/>
          <cell r="C287"/>
          <cell r="AH287"/>
          <cell r="AI287"/>
        </row>
        <row r="288">
          <cell r="B288"/>
          <cell r="C288"/>
          <cell r="AH288"/>
          <cell r="AI288"/>
        </row>
        <row r="289">
          <cell r="B289"/>
          <cell r="C289"/>
          <cell r="AH289"/>
          <cell r="AI289"/>
        </row>
        <row r="290">
          <cell r="B290"/>
          <cell r="C290"/>
          <cell r="AH290"/>
          <cell r="AI290"/>
        </row>
        <row r="291">
          <cell r="B291"/>
          <cell r="C291"/>
          <cell r="AH291"/>
          <cell r="AI291"/>
        </row>
        <row r="292">
          <cell r="B292"/>
          <cell r="C292"/>
          <cell r="AH292"/>
          <cell r="AI292"/>
        </row>
        <row r="293">
          <cell r="B293"/>
          <cell r="C293"/>
          <cell r="AH293"/>
          <cell r="AI293"/>
        </row>
        <row r="294">
          <cell r="B294"/>
          <cell r="C294"/>
          <cell r="AH294"/>
          <cell r="AI294"/>
        </row>
        <row r="295">
          <cell r="B295"/>
          <cell r="C295"/>
          <cell r="AH295"/>
          <cell r="AI295"/>
        </row>
        <row r="296">
          <cell r="B296"/>
          <cell r="C296"/>
          <cell r="AH296"/>
          <cell r="AI296"/>
        </row>
        <row r="297">
          <cell r="B297"/>
          <cell r="C297"/>
          <cell r="AH297"/>
          <cell r="AI297"/>
        </row>
        <row r="298">
          <cell r="B298"/>
          <cell r="C298"/>
          <cell r="AH298"/>
          <cell r="AI298"/>
        </row>
        <row r="299">
          <cell r="B299"/>
          <cell r="C299"/>
          <cell r="AH299"/>
          <cell r="AI299"/>
        </row>
        <row r="300">
          <cell r="B300"/>
          <cell r="C300"/>
          <cell r="AH300"/>
          <cell r="AI300"/>
        </row>
        <row r="301">
          <cell r="B301"/>
          <cell r="C301"/>
          <cell r="AH301"/>
          <cell r="AI301"/>
        </row>
        <row r="302">
          <cell r="B302"/>
          <cell r="C302"/>
          <cell r="AH302"/>
          <cell r="AI302"/>
        </row>
        <row r="303">
          <cell r="B303"/>
          <cell r="C303"/>
          <cell r="AH303"/>
          <cell r="AI303"/>
        </row>
        <row r="304">
          <cell r="B304"/>
          <cell r="C304"/>
          <cell r="AH304"/>
          <cell r="AI304"/>
        </row>
        <row r="305">
          <cell r="B305"/>
          <cell r="C305"/>
          <cell r="AH305"/>
          <cell r="AI305"/>
        </row>
        <row r="306">
          <cell r="B306"/>
          <cell r="C306"/>
          <cell r="AH306"/>
          <cell r="AI306"/>
        </row>
        <row r="307">
          <cell r="B307"/>
          <cell r="C307"/>
          <cell r="AH307"/>
          <cell r="AI307"/>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cell r="C48"/>
          <cell r="AH48"/>
          <cell r="AI48"/>
        </row>
        <row r="49">
          <cell r="B49"/>
          <cell r="C49"/>
          <cell r="AH49"/>
          <cell r="AI49"/>
        </row>
        <row r="50">
          <cell r="B50"/>
          <cell r="C50"/>
          <cell r="AH50"/>
          <cell r="AI50"/>
        </row>
        <row r="51">
          <cell r="B51"/>
          <cell r="C51"/>
          <cell r="AH51"/>
          <cell r="AI51"/>
        </row>
        <row r="52">
          <cell r="B52"/>
          <cell r="C52"/>
          <cell r="AH52"/>
          <cell r="AI52"/>
        </row>
        <row r="53">
          <cell r="B53"/>
          <cell r="C53"/>
          <cell r="AH53"/>
          <cell r="AI53"/>
        </row>
        <row r="54">
          <cell r="B54"/>
          <cell r="C54"/>
          <cell r="AH54"/>
          <cell r="AI54"/>
        </row>
        <row r="55">
          <cell r="B55"/>
          <cell r="C55"/>
          <cell r="AH55"/>
          <cell r="AI55"/>
        </row>
        <row r="56">
          <cell r="B56"/>
          <cell r="C56"/>
          <cell r="AH56"/>
          <cell r="AI56"/>
        </row>
        <row r="57">
          <cell r="B57"/>
          <cell r="C57"/>
          <cell r="AH57"/>
          <cell r="AI57"/>
        </row>
        <row r="58">
          <cell r="B58"/>
          <cell r="C58"/>
          <cell r="AH58"/>
          <cell r="AI58"/>
        </row>
        <row r="59">
          <cell r="B59"/>
          <cell r="C59"/>
          <cell r="AH59"/>
          <cell r="AI59"/>
        </row>
        <row r="60">
          <cell r="B60"/>
          <cell r="C60"/>
          <cell r="AH60"/>
          <cell r="AI60"/>
        </row>
        <row r="61">
          <cell r="B61"/>
          <cell r="C61"/>
          <cell r="AH61"/>
          <cell r="AI61"/>
        </row>
        <row r="62">
          <cell r="B62"/>
          <cell r="C62"/>
          <cell r="AH62"/>
          <cell r="AI62"/>
        </row>
        <row r="63">
          <cell r="B63"/>
          <cell r="C63"/>
          <cell r="AH63"/>
          <cell r="AI63"/>
        </row>
        <row r="64">
          <cell r="B64"/>
          <cell r="C64"/>
          <cell r="AH64"/>
          <cell r="AI64"/>
        </row>
        <row r="65">
          <cell r="B65"/>
          <cell r="C65"/>
          <cell r="AH65"/>
          <cell r="AI65"/>
        </row>
        <row r="66">
          <cell r="B66"/>
          <cell r="C66"/>
          <cell r="AH66"/>
          <cell r="AI66"/>
        </row>
        <row r="67">
          <cell r="B67"/>
          <cell r="C67"/>
          <cell r="AH67"/>
          <cell r="AI67"/>
        </row>
        <row r="68">
          <cell r="B68"/>
          <cell r="C68"/>
          <cell r="AH68"/>
          <cell r="AI68"/>
        </row>
        <row r="69">
          <cell r="B69"/>
          <cell r="C69"/>
          <cell r="AH69"/>
          <cell r="AI69"/>
        </row>
        <row r="70">
          <cell r="B70"/>
          <cell r="C70"/>
          <cell r="AH70"/>
          <cell r="AI70"/>
        </row>
        <row r="71">
          <cell r="B71"/>
          <cell r="C71"/>
          <cell r="AH71"/>
          <cell r="AI71"/>
        </row>
        <row r="72">
          <cell r="B72"/>
          <cell r="C72"/>
          <cell r="AH72"/>
          <cell r="AI72"/>
        </row>
        <row r="73">
          <cell r="B73"/>
          <cell r="C73"/>
          <cell r="AH73"/>
          <cell r="AI73"/>
        </row>
        <row r="74">
          <cell r="B74"/>
          <cell r="C74"/>
          <cell r="AH74"/>
          <cell r="AI74"/>
        </row>
        <row r="75">
          <cell r="B75"/>
          <cell r="C75"/>
          <cell r="AH75"/>
          <cell r="AI75"/>
        </row>
        <row r="76">
          <cell r="B76"/>
          <cell r="C76"/>
          <cell r="AH76"/>
          <cell r="AI76"/>
        </row>
        <row r="77">
          <cell r="B77"/>
          <cell r="C77"/>
          <cell r="AH77"/>
          <cell r="AI77"/>
        </row>
        <row r="78">
          <cell r="B78"/>
          <cell r="C78"/>
          <cell r="AH78"/>
          <cell r="AI78"/>
        </row>
        <row r="79">
          <cell r="B79"/>
          <cell r="C79"/>
          <cell r="AH79"/>
          <cell r="AI79"/>
        </row>
        <row r="80">
          <cell r="B80"/>
          <cell r="C80"/>
          <cell r="AH80"/>
          <cell r="AI80"/>
        </row>
        <row r="81">
          <cell r="B81"/>
          <cell r="C81"/>
          <cell r="AH81"/>
          <cell r="AI81"/>
        </row>
        <row r="82">
          <cell r="B82"/>
          <cell r="C82"/>
          <cell r="AH82"/>
          <cell r="AI82"/>
        </row>
        <row r="83">
          <cell r="B83"/>
          <cell r="C83"/>
          <cell r="AH83"/>
          <cell r="AI83"/>
        </row>
        <row r="84">
          <cell r="B84"/>
          <cell r="C84"/>
          <cell r="AH84"/>
          <cell r="AI84"/>
        </row>
        <row r="85">
          <cell r="B85"/>
          <cell r="C85"/>
          <cell r="AH85"/>
          <cell r="AI85"/>
        </row>
        <row r="86">
          <cell r="B86"/>
          <cell r="C86"/>
          <cell r="AH86"/>
          <cell r="AI86"/>
        </row>
        <row r="87">
          <cell r="B87"/>
          <cell r="C87"/>
          <cell r="AH87"/>
          <cell r="AI87"/>
        </row>
        <row r="88">
          <cell r="B88"/>
          <cell r="C88"/>
          <cell r="AH88"/>
          <cell r="AI88"/>
        </row>
        <row r="89">
          <cell r="B89"/>
          <cell r="C89"/>
          <cell r="AH89"/>
          <cell r="AI89"/>
        </row>
        <row r="90">
          <cell r="B90"/>
          <cell r="C90"/>
          <cell r="AH90"/>
          <cell r="AI90"/>
        </row>
        <row r="91">
          <cell r="B91"/>
          <cell r="C91"/>
          <cell r="AH91"/>
          <cell r="AI91"/>
        </row>
        <row r="92">
          <cell r="B92"/>
          <cell r="C92"/>
          <cell r="AH92"/>
          <cell r="AI92"/>
        </row>
        <row r="93">
          <cell r="B93"/>
          <cell r="C93"/>
          <cell r="AH93"/>
          <cell r="AI93"/>
        </row>
        <row r="94">
          <cell r="B94"/>
          <cell r="C94"/>
          <cell r="AH94"/>
          <cell r="AI94"/>
        </row>
        <row r="95">
          <cell r="B95"/>
          <cell r="C95"/>
          <cell r="AH95"/>
          <cell r="AI95"/>
        </row>
        <row r="96">
          <cell r="B96"/>
          <cell r="C96"/>
          <cell r="AH96"/>
          <cell r="AI96"/>
        </row>
        <row r="97">
          <cell r="B97"/>
          <cell r="C97"/>
          <cell r="AH97"/>
          <cell r="AI97"/>
        </row>
        <row r="98">
          <cell r="B98"/>
          <cell r="C98"/>
          <cell r="AH98"/>
          <cell r="AI98"/>
        </row>
        <row r="99">
          <cell r="B99"/>
          <cell r="C99"/>
          <cell r="AH99"/>
          <cell r="AI99"/>
        </row>
        <row r="100">
          <cell r="B100"/>
          <cell r="C100"/>
          <cell r="AH100"/>
          <cell r="AI100"/>
        </row>
        <row r="101">
          <cell r="B101"/>
          <cell r="C101"/>
          <cell r="AH101"/>
          <cell r="AI101"/>
        </row>
        <row r="102">
          <cell r="B102"/>
          <cell r="C102"/>
          <cell r="AH102"/>
          <cell r="AI102"/>
        </row>
        <row r="103">
          <cell r="B103"/>
          <cell r="C103"/>
          <cell r="AH103"/>
          <cell r="AI103"/>
        </row>
        <row r="104">
          <cell r="B104"/>
          <cell r="C104"/>
          <cell r="AH104"/>
          <cell r="AI104"/>
        </row>
        <row r="105">
          <cell r="B105"/>
          <cell r="C105"/>
          <cell r="AH105"/>
          <cell r="AI105"/>
        </row>
        <row r="106">
          <cell r="B106"/>
          <cell r="C106"/>
          <cell r="AH106"/>
          <cell r="AI106"/>
        </row>
        <row r="107">
          <cell r="B107"/>
          <cell r="C107"/>
          <cell r="AH107"/>
          <cell r="AI107"/>
        </row>
        <row r="108">
          <cell r="B108"/>
          <cell r="C108"/>
          <cell r="AH108"/>
          <cell r="AI108"/>
        </row>
        <row r="109">
          <cell r="B109"/>
          <cell r="C109"/>
          <cell r="AH109"/>
          <cell r="AI109"/>
        </row>
        <row r="110">
          <cell r="B110"/>
          <cell r="C110"/>
          <cell r="AH110"/>
          <cell r="AI110"/>
        </row>
        <row r="111">
          <cell r="B111"/>
          <cell r="C111"/>
          <cell r="AH111"/>
          <cell r="AI111"/>
        </row>
        <row r="112">
          <cell r="B112"/>
          <cell r="C112"/>
          <cell r="AH112"/>
          <cell r="AI112"/>
        </row>
        <row r="113">
          <cell r="B113"/>
          <cell r="C113"/>
          <cell r="AH113"/>
          <cell r="AI113"/>
        </row>
        <row r="114">
          <cell r="B114"/>
          <cell r="C114"/>
          <cell r="AH114"/>
          <cell r="AI114"/>
        </row>
        <row r="115">
          <cell r="B115"/>
          <cell r="C115"/>
          <cell r="AH115"/>
          <cell r="AI115"/>
        </row>
        <row r="116">
          <cell r="B116"/>
          <cell r="C116"/>
          <cell r="AH116"/>
          <cell r="AI116"/>
        </row>
        <row r="117">
          <cell r="B117"/>
          <cell r="C117"/>
          <cell r="AH117"/>
          <cell r="AI117"/>
        </row>
        <row r="118">
          <cell r="B118"/>
          <cell r="C118"/>
          <cell r="AH118"/>
          <cell r="AI118"/>
        </row>
        <row r="119">
          <cell r="B119"/>
          <cell r="C119"/>
          <cell r="AH119"/>
          <cell r="AI119"/>
        </row>
        <row r="120">
          <cell r="B120"/>
          <cell r="C120"/>
          <cell r="AH120"/>
          <cell r="AI120"/>
        </row>
        <row r="121">
          <cell r="B121"/>
          <cell r="C121"/>
          <cell r="AH121"/>
          <cell r="AI121"/>
        </row>
        <row r="122">
          <cell r="B122"/>
          <cell r="C122"/>
          <cell r="AH122"/>
          <cell r="AI122"/>
        </row>
        <row r="123">
          <cell r="B123"/>
          <cell r="C123"/>
          <cell r="AH123"/>
          <cell r="AI123"/>
        </row>
        <row r="124">
          <cell r="B124"/>
          <cell r="C124"/>
          <cell r="AH124"/>
          <cell r="AI124"/>
        </row>
        <row r="125">
          <cell r="B125"/>
          <cell r="C125"/>
          <cell r="AH125"/>
          <cell r="AI125"/>
        </row>
        <row r="126">
          <cell r="B126"/>
          <cell r="C126"/>
          <cell r="AH126"/>
          <cell r="AI126"/>
        </row>
        <row r="127">
          <cell r="B127"/>
          <cell r="C127"/>
          <cell r="AH127"/>
          <cell r="AI127"/>
        </row>
        <row r="128">
          <cell r="B128"/>
          <cell r="C128"/>
          <cell r="AH128"/>
          <cell r="AI128"/>
        </row>
        <row r="129">
          <cell r="B129"/>
          <cell r="C129"/>
          <cell r="AH129"/>
          <cell r="AI129"/>
        </row>
        <row r="130">
          <cell r="B130"/>
          <cell r="C130"/>
          <cell r="AH130"/>
          <cell r="AI130"/>
        </row>
        <row r="131">
          <cell r="B131"/>
          <cell r="C131"/>
          <cell r="AH131"/>
          <cell r="AI131"/>
        </row>
        <row r="132">
          <cell r="B132"/>
          <cell r="C132"/>
          <cell r="AH132"/>
          <cell r="AI132"/>
        </row>
        <row r="133">
          <cell r="B133"/>
          <cell r="C133"/>
          <cell r="AH133"/>
          <cell r="AI133"/>
        </row>
        <row r="134">
          <cell r="B134"/>
          <cell r="C134"/>
          <cell r="AH134"/>
          <cell r="AI134"/>
        </row>
        <row r="135">
          <cell r="B135"/>
          <cell r="C135"/>
          <cell r="AH135"/>
          <cell r="AI135"/>
        </row>
        <row r="136">
          <cell r="B136"/>
          <cell r="C136"/>
          <cell r="AH136"/>
          <cell r="AI136"/>
        </row>
        <row r="137">
          <cell r="B137"/>
          <cell r="C137"/>
          <cell r="AH137"/>
          <cell r="AI137"/>
        </row>
        <row r="138">
          <cell r="B138"/>
          <cell r="C138"/>
          <cell r="AH138"/>
          <cell r="AI138"/>
        </row>
        <row r="139">
          <cell r="B139"/>
          <cell r="C139"/>
          <cell r="AH139"/>
          <cell r="AI139"/>
        </row>
        <row r="140">
          <cell r="B140"/>
          <cell r="C140"/>
          <cell r="AH140"/>
          <cell r="AI140"/>
        </row>
        <row r="141">
          <cell r="B141"/>
          <cell r="C141"/>
          <cell r="AH141"/>
          <cell r="AI141"/>
        </row>
        <row r="142">
          <cell r="B142"/>
          <cell r="C142"/>
          <cell r="AH142"/>
          <cell r="AI142"/>
        </row>
        <row r="143">
          <cell r="B143"/>
          <cell r="C143"/>
          <cell r="AH143"/>
          <cell r="AI143"/>
        </row>
        <row r="144">
          <cell r="B144"/>
          <cell r="C144"/>
          <cell r="AH144"/>
          <cell r="AI144"/>
        </row>
        <row r="145">
          <cell r="B145"/>
          <cell r="C145"/>
          <cell r="AH145"/>
          <cell r="AI145"/>
        </row>
        <row r="146">
          <cell r="B146"/>
          <cell r="C146"/>
          <cell r="AH146"/>
          <cell r="AI146"/>
        </row>
        <row r="147">
          <cell r="B147"/>
          <cell r="C147"/>
          <cell r="AH147"/>
          <cell r="AI147"/>
        </row>
        <row r="148">
          <cell r="B148"/>
          <cell r="C148"/>
          <cell r="AH148"/>
          <cell r="AI148"/>
        </row>
        <row r="149">
          <cell r="B149"/>
          <cell r="C149"/>
          <cell r="AH149"/>
          <cell r="AI149"/>
        </row>
        <row r="150">
          <cell r="B150"/>
          <cell r="C150"/>
          <cell r="AH150"/>
          <cell r="AI150"/>
        </row>
        <row r="151">
          <cell r="B151"/>
          <cell r="C151"/>
          <cell r="AH151"/>
          <cell r="AI151"/>
        </row>
        <row r="152">
          <cell r="B152"/>
          <cell r="C152"/>
          <cell r="AH152"/>
          <cell r="AI152"/>
        </row>
        <row r="153">
          <cell r="B153"/>
          <cell r="C153"/>
          <cell r="AH153"/>
          <cell r="AI153"/>
        </row>
        <row r="154">
          <cell r="B154"/>
          <cell r="C154"/>
          <cell r="AH154"/>
          <cell r="AI154"/>
        </row>
        <row r="155">
          <cell r="B155"/>
          <cell r="C155"/>
          <cell r="AH155"/>
          <cell r="AI155"/>
        </row>
        <row r="156">
          <cell r="B156"/>
          <cell r="C156"/>
          <cell r="AH156"/>
          <cell r="AI156"/>
        </row>
        <row r="157">
          <cell r="B157"/>
          <cell r="C157"/>
          <cell r="AH157"/>
          <cell r="AI157"/>
        </row>
        <row r="158">
          <cell r="B158"/>
          <cell r="C158"/>
          <cell r="AH158"/>
          <cell r="AI158"/>
        </row>
        <row r="159">
          <cell r="B159"/>
          <cell r="C159"/>
          <cell r="AH159"/>
          <cell r="AI159"/>
        </row>
        <row r="160">
          <cell r="B160"/>
          <cell r="C160"/>
          <cell r="AH160"/>
          <cell r="AI160"/>
        </row>
        <row r="161">
          <cell r="B161"/>
          <cell r="C161"/>
          <cell r="AH161"/>
          <cell r="AI161"/>
        </row>
        <row r="162">
          <cell r="B162"/>
          <cell r="C162"/>
          <cell r="AH162"/>
          <cell r="AI162"/>
        </row>
        <row r="163">
          <cell r="B163"/>
          <cell r="C163"/>
          <cell r="AH163"/>
          <cell r="AI163"/>
        </row>
        <row r="164">
          <cell r="B164"/>
          <cell r="C164"/>
          <cell r="AH164"/>
          <cell r="AI164"/>
        </row>
        <row r="165">
          <cell r="B165"/>
          <cell r="C165"/>
          <cell r="AH165"/>
          <cell r="AI165"/>
        </row>
        <row r="166">
          <cell r="B166"/>
          <cell r="C166"/>
          <cell r="AH166"/>
          <cell r="AI166"/>
        </row>
        <row r="167">
          <cell r="B167"/>
          <cell r="C167"/>
          <cell r="AH167"/>
          <cell r="AI167"/>
        </row>
        <row r="168">
          <cell r="B168"/>
          <cell r="C168"/>
          <cell r="AH168"/>
          <cell r="AI168"/>
        </row>
        <row r="169">
          <cell r="B169"/>
          <cell r="C169"/>
          <cell r="AH169"/>
          <cell r="AI169"/>
        </row>
        <row r="170">
          <cell r="B170"/>
          <cell r="C170"/>
          <cell r="AH170"/>
          <cell r="AI170"/>
        </row>
        <row r="171">
          <cell r="B171"/>
          <cell r="C171"/>
          <cell r="AH171"/>
          <cell r="AI171"/>
        </row>
        <row r="172">
          <cell r="B172"/>
          <cell r="C172"/>
          <cell r="AH172"/>
          <cell r="AI172"/>
        </row>
        <row r="173">
          <cell r="B173"/>
          <cell r="C173"/>
          <cell r="AH173"/>
          <cell r="AI173"/>
        </row>
        <row r="174">
          <cell r="B174"/>
          <cell r="C174"/>
          <cell r="AH174"/>
          <cell r="AI174"/>
        </row>
        <row r="175">
          <cell r="B175"/>
          <cell r="C175"/>
          <cell r="AH175"/>
          <cell r="AI175"/>
        </row>
        <row r="176">
          <cell r="B176"/>
          <cell r="C176"/>
          <cell r="AH176"/>
          <cell r="AI176"/>
        </row>
        <row r="177">
          <cell r="B177"/>
          <cell r="C177"/>
          <cell r="AH177"/>
          <cell r="AI177"/>
        </row>
        <row r="178">
          <cell r="B178"/>
          <cell r="C178"/>
          <cell r="AH178"/>
          <cell r="AI178"/>
        </row>
        <row r="179">
          <cell r="B179"/>
          <cell r="C179"/>
          <cell r="AH179"/>
          <cell r="AI179"/>
        </row>
        <row r="180">
          <cell r="B180"/>
          <cell r="C180"/>
          <cell r="AH180"/>
          <cell r="AI180"/>
        </row>
        <row r="181">
          <cell r="B181"/>
          <cell r="C181"/>
          <cell r="AH181"/>
          <cell r="AI181"/>
        </row>
        <row r="182">
          <cell r="B182"/>
          <cell r="C182"/>
          <cell r="AH182"/>
          <cell r="AI182"/>
        </row>
        <row r="183">
          <cell r="B183"/>
          <cell r="C183"/>
          <cell r="AH183"/>
          <cell r="AI183"/>
        </row>
        <row r="184">
          <cell r="B184"/>
          <cell r="C184"/>
          <cell r="AH184"/>
          <cell r="AI184"/>
        </row>
        <row r="185">
          <cell r="B185"/>
          <cell r="C185"/>
          <cell r="AH185"/>
          <cell r="AI185"/>
        </row>
        <row r="186">
          <cell r="B186"/>
          <cell r="C186"/>
          <cell r="AH186"/>
          <cell r="AI186"/>
        </row>
        <row r="187">
          <cell r="B187"/>
          <cell r="C187"/>
          <cell r="AH187"/>
          <cell r="AI187"/>
        </row>
        <row r="188">
          <cell r="B188"/>
          <cell r="C188"/>
          <cell r="AH188"/>
          <cell r="AI188"/>
        </row>
        <row r="189">
          <cell r="B189"/>
          <cell r="C189"/>
          <cell r="AH189"/>
          <cell r="AI189"/>
        </row>
        <row r="190">
          <cell r="B190"/>
          <cell r="C190"/>
          <cell r="AH190"/>
          <cell r="AI190"/>
        </row>
        <row r="191">
          <cell r="B191"/>
          <cell r="C191"/>
          <cell r="AH191"/>
          <cell r="AI191"/>
        </row>
        <row r="192">
          <cell r="B192"/>
          <cell r="C192"/>
          <cell r="AH192"/>
          <cell r="AI192"/>
        </row>
        <row r="193">
          <cell r="B193"/>
          <cell r="C193"/>
          <cell r="AH193"/>
          <cell r="AI193"/>
        </row>
        <row r="194">
          <cell r="B194"/>
          <cell r="C194"/>
          <cell r="AH194"/>
          <cell r="AI194"/>
        </row>
        <row r="195">
          <cell r="B195"/>
          <cell r="C195"/>
          <cell r="AH195"/>
          <cell r="AI195"/>
        </row>
        <row r="196">
          <cell r="B196"/>
          <cell r="C196"/>
          <cell r="AH196"/>
          <cell r="AI196"/>
        </row>
        <row r="197">
          <cell r="B197"/>
          <cell r="C197"/>
          <cell r="AH197"/>
          <cell r="AI197"/>
        </row>
        <row r="198">
          <cell r="B198"/>
          <cell r="C198"/>
          <cell r="AH198"/>
          <cell r="AI198"/>
        </row>
        <row r="199">
          <cell r="B199"/>
          <cell r="C199"/>
          <cell r="AH199"/>
          <cell r="AI199"/>
        </row>
        <row r="200">
          <cell r="B200"/>
          <cell r="C200"/>
          <cell r="AH200"/>
          <cell r="AI200"/>
        </row>
        <row r="201">
          <cell r="B201"/>
          <cell r="C201"/>
          <cell r="AH201"/>
          <cell r="AI201"/>
        </row>
        <row r="202">
          <cell r="B202"/>
          <cell r="C202"/>
          <cell r="AH202"/>
          <cell r="AI202"/>
        </row>
        <row r="203">
          <cell r="B203"/>
          <cell r="C203"/>
          <cell r="AH203"/>
          <cell r="AI203"/>
        </row>
        <row r="204">
          <cell r="B204"/>
          <cell r="C204"/>
          <cell r="AH204"/>
          <cell r="AI204"/>
        </row>
        <row r="205">
          <cell r="B205"/>
          <cell r="C205"/>
          <cell r="AH205"/>
          <cell r="AI205"/>
        </row>
        <row r="206">
          <cell r="B206"/>
          <cell r="C206"/>
          <cell r="AH206"/>
          <cell r="AI206"/>
        </row>
        <row r="207">
          <cell r="B207"/>
          <cell r="C207"/>
          <cell r="AH207"/>
          <cell r="AI207"/>
        </row>
        <row r="208">
          <cell r="B208"/>
          <cell r="C208"/>
          <cell r="AH208"/>
          <cell r="AI208"/>
        </row>
        <row r="209">
          <cell r="B209"/>
          <cell r="C209"/>
          <cell r="AH209"/>
          <cell r="AI209"/>
        </row>
        <row r="210">
          <cell r="B210"/>
          <cell r="C210"/>
          <cell r="AH210"/>
          <cell r="AI210"/>
        </row>
        <row r="211">
          <cell r="B211"/>
          <cell r="C211"/>
          <cell r="AH211"/>
          <cell r="AI211"/>
        </row>
        <row r="212">
          <cell r="B212"/>
          <cell r="C212"/>
          <cell r="AH212"/>
          <cell r="AI212"/>
        </row>
        <row r="213">
          <cell r="B213"/>
          <cell r="C213"/>
          <cell r="AH213"/>
          <cell r="AI213"/>
        </row>
        <row r="214">
          <cell r="B214"/>
          <cell r="C214"/>
          <cell r="AH214"/>
          <cell r="AI214"/>
        </row>
        <row r="215">
          <cell r="B215"/>
          <cell r="C215"/>
          <cell r="AH215"/>
          <cell r="AI215"/>
        </row>
        <row r="216">
          <cell r="B216"/>
          <cell r="C216"/>
          <cell r="AH216"/>
          <cell r="AI216"/>
        </row>
        <row r="217">
          <cell r="B217"/>
          <cell r="C217"/>
          <cell r="AH217"/>
          <cell r="AI217"/>
        </row>
        <row r="218">
          <cell r="B218"/>
          <cell r="C218"/>
          <cell r="AH218"/>
          <cell r="AI218"/>
        </row>
        <row r="219">
          <cell r="B219"/>
          <cell r="C219"/>
          <cell r="AH219"/>
          <cell r="AI219"/>
        </row>
        <row r="220">
          <cell r="B220"/>
          <cell r="C220"/>
          <cell r="AH220"/>
          <cell r="AI220"/>
        </row>
        <row r="221">
          <cell r="B221"/>
          <cell r="C221"/>
          <cell r="AH221"/>
          <cell r="AI221"/>
        </row>
        <row r="222">
          <cell r="B222"/>
          <cell r="C222"/>
          <cell r="AH222"/>
          <cell r="AI222"/>
        </row>
        <row r="223">
          <cell r="B223"/>
          <cell r="C223"/>
          <cell r="AH223"/>
          <cell r="AI223"/>
        </row>
        <row r="224">
          <cell r="B224"/>
          <cell r="C224"/>
          <cell r="AH224"/>
          <cell r="AI224"/>
        </row>
        <row r="225">
          <cell r="B225"/>
          <cell r="C225"/>
          <cell r="AH225"/>
          <cell r="AI225"/>
        </row>
        <row r="226">
          <cell r="B226"/>
          <cell r="C226"/>
          <cell r="AH226"/>
          <cell r="AI226"/>
        </row>
        <row r="227">
          <cell r="B227"/>
          <cell r="C227"/>
          <cell r="AH227"/>
          <cell r="AI227"/>
        </row>
        <row r="228">
          <cell r="B228"/>
          <cell r="C228"/>
          <cell r="AH228"/>
          <cell r="AI228"/>
        </row>
        <row r="229">
          <cell r="B229"/>
          <cell r="C229"/>
          <cell r="AH229"/>
          <cell r="AI229"/>
        </row>
        <row r="230">
          <cell r="B230"/>
          <cell r="C230"/>
          <cell r="AH230"/>
          <cell r="AI230"/>
        </row>
        <row r="231">
          <cell r="B231"/>
          <cell r="C231"/>
          <cell r="AH231"/>
          <cell r="AI231"/>
        </row>
        <row r="232">
          <cell r="B232"/>
          <cell r="C232"/>
          <cell r="AH232"/>
          <cell r="AI232"/>
        </row>
        <row r="233">
          <cell r="B233"/>
          <cell r="C233"/>
          <cell r="AH233"/>
          <cell r="AI233"/>
        </row>
        <row r="234">
          <cell r="B234"/>
          <cell r="C234"/>
          <cell r="AH234"/>
          <cell r="AI234"/>
        </row>
        <row r="235">
          <cell r="B235"/>
          <cell r="C235"/>
          <cell r="AH235"/>
          <cell r="AI235"/>
        </row>
        <row r="236">
          <cell r="B236"/>
          <cell r="C236"/>
          <cell r="AH236"/>
          <cell r="AI236"/>
        </row>
        <row r="237">
          <cell r="B237"/>
          <cell r="C237"/>
          <cell r="AH237"/>
          <cell r="AI237"/>
        </row>
        <row r="238">
          <cell r="B238"/>
          <cell r="C238"/>
          <cell r="AH238"/>
          <cell r="AI238"/>
        </row>
        <row r="239">
          <cell r="B239"/>
          <cell r="C239"/>
          <cell r="AH239"/>
          <cell r="AI239"/>
        </row>
        <row r="240">
          <cell r="B240"/>
          <cell r="C240"/>
          <cell r="AH240"/>
          <cell r="AI240"/>
        </row>
        <row r="241">
          <cell r="B241"/>
          <cell r="C241"/>
          <cell r="AH241"/>
          <cell r="AI241"/>
        </row>
        <row r="242">
          <cell r="B242"/>
          <cell r="C242"/>
          <cell r="AH242"/>
          <cell r="AI242"/>
        </row>
        <row r="243">
          <cell r="B243"/>
          <cell r="C243"/>
          <cell r="AH243"/>
          <cell r="AI243"/>
        </row>
        <row r="244">
          <cell r="B244"/>
          <cell r="C244"/>
          <cell r="AH244"/>
          <cell r="AI244"/>
        </row>
        <row r="245">
          <cell r="B245"/>
          <cell r="C245"/>
          <cell r="AH245"/>
          <cell r="AI245"/>
        </row>
        <row r="246">
          <cell r="B246"/>
          <cell r="C246"/>
          <cell r="AH246"/>
          <cell r="AI246"/>
        </row>
        <row r="247">
          <cell r="B247"/>
          <cell r="C247"/>
          <cell r="AH247"/>
          <cell r="AI247"/>
        </row>
        <row r="248">
          <cell r="B248"/>
          <cell r="C248"/>
          <cell r="AH248"/>
          <cell r="AI248"/>
        </row>
        <row r="249">
          <cell r="B249"/>
          <cell r="C249"/>
          <cell r="AH249"/>
          <cell r="AI249"/>
        </row>
        <row r="250">
          <cell r="B250"/>
          <cell r="C250"/>
          <cell r="AH250"/>
          <cell r="AI250"/>
        </row>
        <row r="251">
          <cell r="B251"/>
          <cell r="C251"/>
          <cell r="AH251"/>
          <cell r="AI251"/>
        </row>
        <row r="252">
          <cell r="B252"/>
          <cell r="C252"/>
          <cell r="AH252"/>
          <cell r="AI252"/>
        </row>
        <row r="253">
          <cell r="B253"/>
          <cell r="C253"/>
          <cell r="AH253"/>
          <cell r="AI253"/>
        </row>
        <row r="254">
          <cell r="B254"/>
          <cell r="C254"/>
          <cell r="AH254"/>
          <cell r="AI254"/>
        </row>
        <row r="255">
          <cell r="B255"/>
          <cell r="C255"/>
          <cell r="AH255"/>
          <cell r="AI255"/>
        </row>
        <row r="256">
          <cell r="B256"/>
          <cell r="C256"/>
          <cell r="AH256"/>
          <cell r="AI256"/>
        </row>
        <row r="257">
          <cell r="B257"/>
          <cell r="C257"/>
          <cell r="AH257"/>
          <cell r="AI257"/>
        </row>
        <row r="258">
          <cell r="B258"/>
          <cell r="C258"/>
          <cell r="AH258"/>
          <cell r="AI258"/>
        </row>
        <row r="259">
          <cell r="B259"/>
          <cell r="C259"/>
          <cell r="AH259"/>
          <cell r="AI259"/>
        </row>
        <row r="260">
          <cell r="B260"/>
          <cell r="C260"/>
          <cell r="AH260"/>
          <cell r="AI260"/>
        </row>
        <row r="261">
          <cell r="B261"/>
          <cell r="C261"/>
          <cell r="AH261"/>
          <cell r="AI261"/>
        </row>
        <row r="262">
          <cell r="B262"/>
          <cell r="C262"/>
          <cell r="AH262"/>
          <cell r="AI262"/>
        </row>
        <row r="263">
          <cell r="B263"/>
          <cell r="C263"/>
          <cell r="AH263"/>
          <cell r="AI263"/>
        </row>
        <row r="264">
          <cell r="B264"/>
          <cell r="C264"/>
          <cell r="AH264"/>
          <cell r="AI264"/>
        </row>
        <row r="265">
          <cell r="B265"/>
          <cell r="C265"/>
          <cell r="AH265"/>
          <cell r="AI265"/>
        </row>
        <row r="266">
          <cell r="B266"/>
          <cell r="C266"/>
          <cell r="AH266"/>
          <cell r="AI266"/>
        </row>
        <row r="267">
          <cell r="B267"/>
          <cell r="C267"/>
          <cell r="AH267"/>
          <cell r="AI267"/>
        </row>
        <row r="268">
          <cell r="B268"/>
          <cell r="C268"/>
          <cell r="AH268"/>
          <cell r="AI268"/>
        </row>
        <row r="269">
          <cell r="B269"/>
          <cell r="C269"/>
          <cell r="AH269"/>
          <cell r="AI269"/>
        </row>
        <row r="270">
          <cell r="B270"/>
          <cell r="C270"/>
          <cell r="AH270"/>
          <cell r="AI270"/>
        </row>
        <row r="271">
          <cell r="B271"/>
          <cell r="C271"/>
          <cell r="AH271"/>
          <cell r="AI271"/>
        </row>
        <row r="272">
          <cell r="B272"/>
          <cell r="C272"/>
          <cell r="AH272"/>
          <cell r="AI272"/>
        </row>
        <row r="273">
          <cell r="B273"/>
          <cell r="C273"/>
          <cell r="AH273"/>
          <cell r="AI273"/>
        </row>
        <row r="274">
          <cell r="B274"/>
          <cell r="C274"/>
          <cell r="AH274"/>
          <cell r="AI274"/>
        </row>
        <row r="275">
          <cell r="B275"/>
          <cell r="C275"/>
          <cell r="AH275"/>
          <cell r="AI275"/>
        </row>
        <row r="276">
          <cell r="B276"/>
          <cell r="C276"/>
          <cell r="AH276"/>
          <cell r="AI276"/>
        </row>
        <row r="277">
          <cell r="B277"/>
          <cell r="C277"/>
          <cell r="AH277"/>
          <cell r="AI277"/>
        </row>
        <row r="278">
          <cell r="B278"/>
          <cell r="C278"/>
          <cell r="AH278"/>
          <cell r="AI278"/>
        </row>
        <row r="279">
          <cell r="B279"/>
          <cell r="C279"/>
          <cell r="AH279"/>
          <cell r="AI279"/>
        </row>
        <row r="280">
          <cell r="B280"/>
          <cell r="C280"/>
          <cell r="AH280"/>
          <cell r="AI280"/>
        </row>
        <row r="281">
          <cell r="B281"/>
          <cell r="C281"/>
          <cell r="AH281"/>
          <cell r="AI281"/>
        </row>
        <row r="282">
          <cell r="B282"/>
          <cell r="C282"/>
          <cell r="AH282"/>
          <cell r="AI282"/>
        </row>
        <row r="283">
          <cell r="B283"/>
          <cell r="C283"/>
          <cell r="AH283"/>
          <cell r="AI283"/>
        </row>
        <row r="284">
          <cell r="B284"/>
          <cell r="C284"/>
          <cell r="AH284"/>
          <cell r="AI284"/>
        </row>
        <row r="285">
          <cell r="B285"/>
          <cell r="C285"/>
          <cell r="AH285"/>
          <cell r="AI285"/>
        </row>
        <row r="286">
          <cell r="B286"/>
          <cell r="C286"/>
          <cell r="AH286"/>
          <cell r="AI286"/>
        </row>
        <row r="287">
          <cell r="B287"/>
          <cell r="C287"/>
          <cell r="AH287"/>
          <cell r="AI287"/>
        </row>
        <row r="288">
          <cell r="B288"/>
          <cell r="C288"/>
          <cell r="AH288"/>
          <cell r="AI288"/>
        </row>
        <row r="289">
          <cell r="B289"/>
          <cell r="C289"/>
          <cell r="AH289"/>
          <cell r="AI289"/>
        </row>
        <row r="290">
          <cell r="B290"/>
          <cell r="C290"/>
          <cell r="AH290"/>
          <cell r="AI290"/>
        </row>
        <row r="291">
          <cell r="B291"/>
          <cell r="C291"/>
          <cell r="AH291"/>
          <cell r="AI291"/>
        </row>
        <row r="292">
          <cell r="B292"/>
          <cell r="C292"/>
          <cell r="AH292"/>
          <cell r="AI292"/>
        </row>
        <row r="293">
          <cell r="B293"/>
          <cell r="C293"/>
          <cell r="AH293"/>
          <cell r="AI293"/>
        </row>
        <row r="294">
          <cell r="B294"/>
          <cell r="C294"/>
          <cell r="AH294"/>
          <cell r="AI294"/>
        </row>
        <row r="295">
          <cell r="B295"/>
          <cell r="C295"/>
          <cell r="AH295"/>
          <cell r="AI295"/>
        </row>
        <row r="296">
          <cell r="B296"/>
          <cell r="C296"/>
          <cell r="AH296"/>
          <cell r="AI296"/>
        </row>
        <row r="297">
          <cell r="B297"/>
          <cell r="C297"/>
          <cell r="AH297"/>
          <cell r="AI297"/>
        </row>
        <row r="298">
          <cell r="B298"/>
          <cell r="C298"/>
          <cell r="AH298"/>
          <cell r="AI298"/>
        </row>
        <row r="299">
          <cell r="B299"/>
          <cell r="C299"/>
          <cell r="AH299"/>
          <cell r="AI299"/>
        </row>
        <row r="300">
          <cell r="B300"/>
          <cell r="C300"/>
          <cell r="AH300"/>
          <cell r="AI300"/>
        </row>
        <row r="301">
          <cell r="B301"/>
          <cell r="C301"/>
          <cell r="AH301"/>
          <cell r="AI301"/>
        </row>
        <row r="302">
          <cell r="B302"/>
          <cell r="C302"/>
          <cell r="AH302"/>
          <cell r="AI302"/>
        </row>
        <row r="303">
          <cell r="B303"/>
          <cell r="C303"/>
          <cell r="AH303"/>
          <cell r="AI303"/>
        </row>
        <row r="304">
          <cell r="B304"/>
          <cell r="C304"/>
          <cell r="AH304"/>
          <cell r="AI304"/>
        </row>
        <row r="305">
          <cell r="B305"/>
          <cell r="C305"/>
          <cell r="AH305"/>
          <cell r="AI305"/>
        </row>
        <row r="306">
          <cell r="B306"/>
          <cell r="C306"/>
          <cell r="AH306"/>
          <cell r="AI306"/>
        </row>
        <row r="307">
          <cell r="B307"/>
          <cell r="C307"/>
          <cell r="AH307"/>
          <cell r="AI307"/>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sheetData sheetId="1">
        <row r="2">
          <cell r="F2">
            <v>42.1</v>
          </cell>
        </row>
        <row r="3">
          <cell r="F3">
            <v>45</v>
          </cell>
        </row>
        <row r="4">
          <cell r="F4">
            <v>54.6</v>
          </cell>
        </row>
        <row r="5">
          <cell r="F5">
            <v>59.3</v>
          </cell>
        </row>
        <row r="6">
          <cell r="F6">
            <v>40.299999999999997</v>
          </cell>
        </row>
        <row r="7">
          <cell r="F7">
            <v>40</v>
          </cell>
        </row>
        <row r="8">
          <cell r="F8">
            <v>53.1</v>
          </cell>
        </row>
        <row r="9">
          <cell r="F9">
            <v>61.7</v>
          </cell>
        </row>
        <row r="10">
          <cell r="F10">
            <v>48.7</v>
          </cell>
        </row>
        <row r="11">
          <cell r="F11">
            <v>59.5</v>
          </cell>
        </row>
        <row r="12">
          <cell r="F12">
            <v>48.6</v>
          </cell>
        </row>
        <row r="13">
          <cell r="F13">
            <v>46.4</v>
          </cell>
        </row>
        <row r="14">
          <cell r="F14">
            <v>40.200000000000003</v>
          </cell>
        </row>
        <row r="15">
          <cell r="F15">
            <v>49.1</v>
          </cell>
        </row>
        <row r="16">
          <cell r="F16">
            <v>46.2</v>
          </cell>
        </row>
        <row r="17">
          <cell r="F17">
            <v>81.599999999999994</v>
          </cell>
        </row>
        <row r="18">
          <cell r="F18">
            <v>41.7</v>
          </cell>
        </row>
        <row r="19">
          <cell r="F19">
            <v>59.7</v>
          </cell>
        </row>
        <row r="20">
          <cell r="F20">
            <v>49.4</v>
          </cell>
        </row>
        <row r="21">
          <cell r="F21">
            <v>43.5</v>
          </cell>
        </row>
        <row r="22">
          <cell r="F22">
            <v>53.7</v>
          </cell>
        </row>
        <row r="23">
          <cell r="F23">
            <v>59.6</v>
          </cell>
        </row>
        <row r="24">
          <cell r="F24">
            <v>43.7</v>
          </cell>
        </row>
        <row r="25">
          <cell r="F25">
            <v>55.9</v>
          </cell>
        </row>
        <row r="26">
          <cell r="F26">
            <v>41.3</v>
          </cell>
        </row>
        <row r="27">
          <cell r="F27">
            <v>51.5</v>
          </cell>
        </row>
        <row r="28">
          <cell r="F28">
            <v>39.299999999999997</v>
          </cell>
        </row>
        <row r="29">
          <cell r="F29">
            <v>46.3</v>
          </cell>
        </row>
        <row r="30">
          <cell r="F30">
            <v>47.3</v>
          </cell>
        </row>
        <row r="31">
          <cell r="F31">
            <v>41.4</v>
          </cell>
        </row>
        <row r="32">
          <cell r="F32"/>
        </row>
        <row r="33">
          <cell r="F33"/>
        </row>
        <row r="34">
          <cell r="F34"/>
        </row>
        <row r="35">
          <cell r="F35"/>
        </row>
        <row r="36">
          <cell r="F36"/>
        </row>
        <row r="37">
          <cell r="F37"/>
          <cell r="T37">
            <v>9</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cell r="G8">
            <v>10</v>
          </cell>
          <cell r="I8">
            <v>17</v>
          </cell>
        </row>
        <row r="9">
          <cell r="B9" t="str">
            <v>Accuracy</v>
          </cell>
        </row>
        <row r="11">
          <cell r="E11" t="str">
            <v>Correct</v>
          </cell>
          <cell r="G11">
            <v>28</v>
          </cell>
          <cell r="I11">
            <v>21</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cell r="G8">
            <v>10</v>
          </cell>
          <cell r="I8">
            <v>17</v>
          </cell>
        </row>
        <row r="9">
          <cell r="B9" t="str">
            <v>Accuracy</v>
          </cell>
        </row>
        <row r="11">
          <cell r="E11" t="str">
            <v>Correct</v>
          </cell>
          <cell r="G11">
            <v>28</v>
          </cell>
          <cell r="I11">
            <v>21</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refreshError="1"/>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cell r="AC87" t="e">
            <v>#N/A</v>
          </cell>
          <cell r="AD87">
            <v>0</v>
          </cell>
          <cell r="AE87" t="e">
            <v>#N/A</v>
          </cell>
          <cell r="AF87"/>
        </row>
        <row r="88">
          <cell r="Y88">
            <v>72</v>
          </cell>
          <cell r="Z88">
            <v>0.8441519346088171</v>
          </cell>
          <cell r="AA88">
            <v>0.17100334674149906</v>
          </cell>
          <cell r="AB88"/>
          <cell r="AC88" t="e">
            <v>#N/A</v>
          </cell>
          <cell r="AD88">
            <v>1</v>
          </cell>
          <cell r="AE88" t="e">
            <v>#N/A</v>
          </cell>
          <cell r="AF88"/>
        </row>
        <row r="89">
          <cell r="Y89">
            <v>73</v>
          </cell>
          <cell r="Z89">
            <v>0.32006332091987133</v>
          </cell>
          <cell r="AA89">
            <v>-7.9025597538194686E-2</v>
          </cell>
          <cell r="AB89"/>
          <cell r="AC89" t="e">
            <v>#N/A</v>
          </cell>
          <cell r="AD89">
            <v>2</v>
          </cell>
          <cell r="AE89" t="e">
            <v>#N/A</v>
          </cell>
          <cell r="AF89"/>
        </row>
        <row r="90">
          <cell r="Y90">
            <v>74</v>
          </cell>
          <cell r="Z90">
            <v>0.3700218852609396</v>
          </cell>
          <cell r="AA90">
            <v>-5.6083655994776591E-2</v>
          </cell>
          <cell r="AB90"/>
          <cell r="AC90" t="e">
            <v>#N/A</v>
          </cell>
          <cell r="AD90">
            <v>3</v>
          </cell>
          <cell r="AE90" t="e">
            <v>#N/A</v>
          </cell>
          <cell r="AF90"/>
        </row>
        <row r="91">
          <cell r="Y91">
            <v>75</v>
          </cell>
          <cell r="Z91">
            <v>0.66289390437304974</v>
          </cell>
          <cell r="AA91">
            <v>7.1056190539369041E-2</v>
          </cell>
          <cell r="AB91"/>
          <cell r="AC91" t="e">
            <v>#N/A</v>
          </cell>
          <cell r="AD91">
            <v>4</v>
          </cell>
          <cell r="AE91" t="e">
            <v>#N/A</v>
          </cell>
          <cell r="AF91"/>
        </row>
        <row r="92">
          <cell r="Y92">
            <v>76</v>
          </cell>
          <cell r="Z92">
            <v>0.66135125420987606</v>
          </cell>
          <cell r="AA92">
            <v>7.0342824567851389E-2</v>
          </cell>
          <cell r="AB92"/>
          <cell r="AC92" t="e">
            <v>#N/A</v>
          </cell>
          <cell r="AD92">
            <v>5</v>
          </cell>
          <cell r="AE92" t="e">
            <v>#N/A</v>
          </cell>
          <cell r="AF92"/>
        </row>
        <row r="93">
          <cell r="Y93">
            <v>77</v>
          </cell>
          <cell r="Z93">
            <v>0.13966506533324718</v>
          </cell>
          <cell r="AA93">
            <v>-0.18286186310444938</v>
          </cell>
          <cell r="AB93"/>
          <cell r="AC93" t="e">
            <v>#N/A</v>
          </cell>
          <cell r="AD93">
            <v>6</v>
          </cell>
          <cell r="AE93" t="e">
            <v>#N/A</v>
          </cell>
          <cell r="AF93"/>
        </row>
        <row r="94">
          <cell r="Y94">
            <v>78</v>
          </cell>
          <cell r="Z94">
            <v>0.46897832117974758</v>
          </cell>
          <cell r="AA94">
            <v>-1.3157082054092812E-2</v>
          </cell>
          <cell r="AB94"/>
          <cell r="AC94" t="e">
            <v>#N/A</v>
          </cell>
          <cell r="AD94">
            <v>7</v>
          </cell>
          <cell r="AE94" t="e">
            <v>#N/A</v>
          </cell>
          <cell r="AF94"/>
        </row>
        <row r="95">
          <cell r="Y95">
            <v>79</v>
          </cell>
          <cell r="Z95">
            <v>0.3085156511515379</v>
          </cell>
          <cell r="AA95">
            <v>-8.4525934127234609E-2</v>
          </cell>
          <cell r="AB95"/>
          <cell r="AC95" t="e">
            <v>#N/A</v>
          </cell>
          <cell r="AD95">
            <v>8</v>
          </cell>
          <cell r="AE95" t="e">
            <v>#N/A</v>
          </cell>
          <cell r="AF95"/>
        </row>
        <row r="96">
          <cell r="Y96">
            <v>80</v>
          </cell>
          <cell r="Z96">
            <v>0.522218843922019</v>
          </cell>
          <cell r="AA96">
            <v>9.4189410021186977E-3</v>
          </cell>
          <cell r="AB96"/>
          <cell r="AC96" t="e">
            <v>#N/A</v>
          </cell>
          <cell r="AD96">
            <v>9</v>
          </cell>
          <cell r="AE96" t="e">
            <v>#N/A</v>
          </cell>
          <cell r="AF96"/>
        </row>
        <row r="97">
          <cell r="Y97">
            <v>81</v>
          </cell>
          <cell r="Z97">
            <v>0.22806516103446484</v>
          </cell>
          <cell r="AA97">
            <v>-0.12596752322098367</v>
          </cell>
          <cell r="AB97"/>
          <cell r="AC97" t="e">
            <v>#N/A</v>
          </cell>
          <cell r="AD97">
            <v>10</v>
          </cell>
          <cell r="AE97" t="e">
            <v>#N/A</v>
          </cell>
          <cell r="AF97"/>
        </row>
        <row r="98">
          <cell r="Y98">
            <v>82</v>
          </cell>
          <cell r="Z98">
            <v>0.57519174180924892</v>
          </cell>
          <cell r="AA98">
            <v>3.2049558763186908E-2</v>
          </cell>
          <cell r="AB98"/>
          <cell r="AC98" t="e">
            <v>#N/A</v>
          </cell>
          <cell r="AD98">
            <v>11</v>
          </cell>
          <cell r="AE98" t="e">
            <v>#N/A</v>
          </cell>
          <cell r="AF98"/>
        </row>
        <row r="99">
          <cell r="Y99">
            <v>83</v>
          </cell>
          <cell r="Z99">
            <v>0.89558513276278973</v>
          </cell>
          <cell r="AA99">
            <v>0.21243626150191841</v>
          </cell>
          <cell r="AB99"/>
          <cell r="AC99" t="e">
            <v>#N/A</v>
          </cell>
          <cell r="AD99">
            <v>12</v>
          </cell>
          <cell r="AE99" t="e">
            <v>#N/A</v>
          </cell>
          <cell r="AF99"/>
        </row>
        <row r="100">
          <cell r="Y100">
            <v>84</v>
          </cell>
          <cell r="Z100">
            <v>0.97023462317883968</v>
          </cell>
          <cell r="AA100">
            <v>0.31849689790528485</v>
          </cell>
          <cell r="AB100"/>
          <cell r="AC100" t="e">
            <v>#N/A</v>
          </cell>
          <cell r="AD100">
            <v>13</v>
          </cell>
          <cell r="AE100" t="e">
            <v>#N/A</v>
          </cell>
          <cell r="AF100"/>
        </row>
        <row r="101">
          <cell r="Y101">
            <v>85</v>
          </cell>
          <cell r="Z101">
            <v>0.84483849816024303</v>
          </cell>
          <cell r="AA101">
            <v>0.1714893212438566</v>
          </cell>
          <cell r="AB101"/>
          <cell r="AC101" t="e">
            <v>#N/A</v>
          </cell>
          <cell r="AD101">
            <v>14</v>
          </cell>
          <cell r="AE101" t="e">
            <v>#N/A</v>
          </cell>
          <cell r="AF101"/>
        </row>
        <row r="102">
          <cell r="Y102">
            <v>86</v>
          </cell>
          <cell r="Z102">
            <v>0.96450290642678738</v>
          </cell>
          <cell r="AA102">
            <v>0.30518767550318576</v>
          </cell>
          <cell r="AB102"/>
          <cell r="AC102" t="e">
            <v>#N/A</v>
          </cell>
          <cell r="AD102">
            <v>15</v>
          </cell>
          <cell r="AE102" t="e">
            <v>#N/A</v>
          </cell>
          <cell r="AF102"/>
        </row>
        <row r="103">
          <cell r="Y103">
            <v>87</v>
          </cell>
          <cell r="Z103">
            <v>0.60280565731227398</v>
          </cell>
          <cell r="AA103">
            <v>4.4052136445353503E-2</v>
          </cell>
          <cell r="AB103"/>
          <cell r="AC103" t="e">
            <v>#N/A</v>
          </cell>
          <cell r="AD103">
            <v>16</v>
          </cell>
          <cell r="AE103" t="e">
            <v>#N/A</v>
          </cell>
          <cell r="AF103"/>
        </row>
        <row r="104">
          <cell r="Y104">
            <v>88</v>
          </cell>
          <cell r="Z104">
            <v>0.40959628485143185</v>
          </cell>
          <cell r="AA104">
            <v>-3.8637681011100454E-2</v>
          </cell>
          <cell r="AB104"/>
          <cell r="AC104" t="e">
            <v>#N/A</v>
          </cell>
          <cell r="AD104">
            <v>17</v>
          </cell>
          <cell r="AE104" t="e">
            <v>#N/A</v>
          </cell>
          <cell r="AF104"/>
        </row>
        <row r="105">
          <cell r="Y105">
            <v>89</v>
          </cell>
          <cell r="Z105">
            <v>0.17326602153480053</v>
          </cell>
          <cell r="AA105">
            <v>-0.15911504176198221</v>
          </cell>
          <cell r="AB105"/>
          <cell r="AC105" t="e">
            <v>#N/A</v>
          </cell>
          <cell r="AD105">
            <v>18</v>
          </cell>
          <cell r="AE105" t="e">
            <v>#N/A</v>
          </cell>
          <cell r="AF105"/>
        </row>
        <row r="106">
          <cell r="Y106">
            <v>90</v>
          </cell>
          <cell r="Z106">
            <v>0.46780628524720669</v>
          </cell>
          <cell r="AA106">
            <v>-1.3655235263929717E-2</v>
          </cell>
          <cell r="AB106"/>
          <cell r="AC106" t="e">
            <v>#N/A</v>
          </cell>
          <cell r="AD106">
            <v>19</v>
          </cell>
          <cell r="AE106" t="e">
            <v>#N/A</v>
          </cell>
          <cell r="AF106"/>
        </row>
        <row r="107">
          <cell r="Y107">
            <v>91</v>
          </cell>
          <cell r="Z107">
            <v>0.9339537750929594</v>
          </cell>
          <cell r="AA107">
            <v>0.25454381964592437</v>
          </cell>
          <cell r="AB107"/>
          <cell r="AC107" t="e">
            <v>#N/A</v>
          </cell>
          <cell r="AD107">
            <v>20</v>
          </cell>
          <cell r="AE107" t="e">
            <v>#N/A</v>
          </cell>
          <cell r="AF107"/>
        </row>
        <row r="108">
          <cell r="Y108">
            <v>92</v>
          </cell>
          <cell r="Z108">
            <v>0.89232867024838924</v>
          </cell>
          <cell r="AA108">
            <v>0.20943051993037803</v>
          </cell>
          <cell r="AB108"/>
          <cell r="AC108" t="e">
            <v>#N/A</v>
          </cell>
          <cell r="AD108">
            <v>21</v>
          </cell>
          <cell r="AE108" t="e">
            <v>#N/A</v>
          </cell>
          <cell r="AF108"/>
        </row>
        <row r="109">
          <cell r="Y109">
            <v>93</v>
          </cell>
          <cell r="Z109">
            <v>0.30275660566985607</v>
          </cell>
          <cell r="AA109">
            <v>-8.7302504579142973E-2</v>
          </cell>
          <cell r="AB109"/>
          <cell r="AC109" t="e">
            <v>#N/A</v>
          </cell>
          <cell r="AD109">
            <v>22</v>
          </cell>
          <cell r="AE109" t="e">
            <v>#N/A</v>
          </cell>
          <cell r="AF109"/>
        </row>
        <row r="110">
          <cell r="Y110">
            <v>94</v>
          </cell>
          <cell r="Z110">
            <v>0.99253443442285061</v>
          </cell>
          <cell r="AA110">
            <v>0.41142872846792794</v>
          </cell>
          <cell r="AB110"/>
          <cell r="AC110" t="e">
            <v>#N/A</v>
          </cell>
          <cell r="AD110">
            <v>23</v>
          </cell>
          <cell r="AE110" t="e">
            <v>#N/A</v>
          </cell>
          <cell r="AF110"/>
        </row>
        <row r="111">
          <cell r="Y111">
            <v>95</v>
          </cell>
          <cell r="Z111">
            <v>0.24717615358531475</v>
          </cell>
          <cell r="AA111">
            <v>-0.11551616860853341</v>
          </cell>
          <cell r="AB111"/>
          <cell r="AC111" t="e">
            <v>#N/A</v>
          </cell>
          <cell r="AD111">
            <v>24</v>
          </cell>
          <cell r="AE111" t="e">
            <v>#N/A</v>
          </cell>
          <cell r="AF111"/>
        </row>
        <row r="112">
          <cell r="Y112">
            <v>96</v>
          </cell>
          <cell r="Z112">
            <v>0.74914314411580563</v>
          </cell>
          <cell r="AA112">
            <v>0.11355421338461123</v>
          </cell>
          <cell r="AB112"/>
          <cell r="AC112" t="e">
            <v>#N/A</v>
          </cell>
          <cell r="AD112">
            <v>25</v>
          </cell>
          <cell r="AE112" t="e">
            <v>#N/A</v>
          </cell>
          <cell r="AF112"/>
        </row>
        <row r="113">
          <cell r="Y113">
            <v>97</v>
          </cell>
          <cell r="Z113">
            <v>0.18001892976462841</v>
          </cell>
          <cell r="AA113">
            <v>-0.1547127460945987</v>
          </cell>
          <cell r="AB113"/>
          <cell r="AC113" t="e">
            <v>#N/A</v>
          </cell>
          <cell r="AD113">
            <v>26</v>
          </cell>
          <cell r="AE113" t="e">
            <v>#N/A</v>
          </cell>
          <cell r="AF113"/>
        </row>
        <row r="114">
          <cell r="Y114">
            <v>98</v>
          </cell>
          <cell r="Z114">
            <v>0.63789237104356289</v>
          </cell>
          <cell r="AA114">
            <v>5.9639298009494711E-2</v>
          </cell>
          <cell r="AB114"/>
          <cell r="AC114" t="e">
            <v>#N/A</v>
          </cell>
          <cell r="AD114">
            <v>27</v>
          </cell>
          <cell r="AE114" t="e">
            <v>#N/A</v>
          </cell>
          <cell r="AF114"/>
        </row>
        <row r="115">
          <cell r="Y115">
            <v>99</v>
          </cell>
          <cell r="Z115">
            <v>3.0364524573087692E-3</v>
          </cell>
          <cell r="AA115">
            <v>-0.46379002645821155</v>
          </cell>
          <cell r="AB115"/>
          <cell r="AC115" t="e">
            <v>#N/A</v>
          </cell>
          <cell r="AD115">
            <v>28</v>
          </cell>
          <cell r="AE115" t="e">
            <v>#N/A</v>
          </cell>
          <cell r="AF115"/>
        </row>
        <row r="116">
          <cell r="Y116">
            <v>100</v>
          </cell>
          <cell r="Z116">
            <v>0.56404696963727474</v>
          </cell>
          <cell r="AA116">
            <v>2.7254173220867605E-2</v>
          </cell>
          <cell r="AB116"/>
          <cell r="AC116" t="e">
            <v>#N/A</v>
          </cell>
          <cell r="AD116">
            <v>29</v>
          </cell>
          <cell r="AE116" t="e">
            <v>#N/A</v>
          </cell>
          <cell r="AF116"/>
        </row>
        <row r="117">
          <cell r="Y117">
            <v>101</v>
          </cell>
          <cell r="Z117">
            <v>2.8983352705836296E-2</v>
          </cell>
          <cell r="AA117">
            <v>-0.32047397923850851</v>
          </cell>
          <cell r="AB117"/>
          <cell r="AC117" t="e">
            <v>#N/A</v>
          </cell>
          <cell r="AD117">
            <v>30</v>
          </cell>
          <cell r="AE117" t="e">
            <v>#N/A</v>
          </cell>
          <cell r="AF117"/>
        </row>
        <row r="118">
          <cell r="Y118">
            <v>102</v>
          </cell>
          <cell r="Z118">
            <v>0.90384194813668728</v>
          </cell>
          <cell r="AA118">
            <v>0.22037532576465949</v>
          </cell>
          <cell r="AB118"/>
          <cell r="AC118" t="e">
            <v>#N/A</v>
          </cell>
          <cell r="AD118">
            <v>31</v>
          </cell>
          <cell r="AE118" t="e">
            <v>#N/A</v>
          </cell>
          <cell r="AF118"/>
        </row>
        <row r="119">
          <cell r="Y119">
            <v>103</v>
          </cell>
          <cell r="Z119">
            <v>0.23131219856441021</v>
          </cell>
          <cell r="AA119">
            <v>-0.1241586154684671</v>
          </cell>
          <cell r="AB119"/>
          <cell r="AC119" t="e">
            <v>#N/A</v>
          </cell>
          <cell r="AD119">
            <v>32</v>
          </cell>
          <cell r="AE119" t="e">
            <v>#N/A</v>
          </cell>
          <cell r="AF119"/>
        </row>
        <row r="120">
          <cell r="Y120">
            <v>104</v>
          </cell>
          <cell r="Z120">
            <v>0.99270268343389034</v>
          </cell>
          <cell r="AA120">
            <v>0.41282145649700597</v>
          </cell>
          <cell r="AB120"/>
          <cell r="AC120" t="e">
            <v>#N/A</v>
          </cell>
          <cell r="AD120">
            <v>33</v>
          </cell>
          <cell r="AE120" t="e">
            <v>#N/A</v>
          </cell>
          <cell r="AF120"/>
        </row>
        <row r="121">
          <cell r="Y121">
            <v>105</v>
          </cell>
          <cell r="Z121">
            <v>0.73947378806769848</v>
          </cell>
          <cell r="AA121">
            <v>0.10847114845461558</v>
          </cell>
          <cell r="AB121"/>
          <cell r="AC121" t="e">
            <v>#N/A</v>
          </cell>
          <cell r="AD121">
            <v>34</v>
          </cell>
          <cell r="AE121" t="e">
            <v>#N/A</v>
          </cell>
          <cell r="AF121"/>
        </row>
        <row r="122">
          <cell r="Y122">
            <v>106</v>
          </cell>
          <cell r="Z122">
            <v>0.49383622966706753</v>
          </cell>
          <cell r="AA122">
            <v>-2.6116780545854296E-3</v>
          </cell>
          <cell r="AB122"/>
          <cell r="AC122" t="e">
            <v>#N/A</v>
          </cell>
          <cell r="AD122">
            <v>35</v>
          </cell>
          <cell r="AE122" t="e">
            <v>#N/A</v>
          </cell>
          <cell r="AF122"/>
        </row>
        <row r="123">
          <cell r="Y123">
            <v>107</v>
          </cell>
          <cell r="Z123">
            <v>0.71654166094958782</v>
          </cell>
          <cell r="AA123">
            <v>9.6786786117488241E-2</v>
          </cell>
          <cell r="AB123"/>
          <cell r="AC123" t="e">
            <v>#N/A</v>
          </cell>
          <cell r="AD123">
            <v>36</v>
          </cell>
          <cell r="AE123" t="e">
            <v>#N/A</v>
          </cell>
          <cell r="AF123"/>
        </row>
        <row r="124">
          <cell r="Y124">
            <v>108</v>
          </cell>
          <cell r="Z124">
            <v>0.92453747056424618</v>
          </cell>
          <cell r="AA124">
            <v>0.2427742185492939</v>
          </cell>
          <cell r="AB124"/>
          <cell r="AC124" t="e">
            <v>#N/A</v>
          </cell>
          <cell r="AD124">
            <v>37</v>
          </cell>
          <cell r="AE124" t="e">
            <v>#N/A</v>
          </cell>
          <cell r="AF124"/>
        </row>
        <row r="125">
          <cell r="Y125">
            <v>109</v>
          </cell>
          <cell r="Z125">
            <v>0.72462957911193371</v>
          </cell>
          <cell r="AA125">
            <v>0.10085231787803753</v>
          </cell>
          <cell r="AB125"/>
          <cell r="AC125" t="e">
            <v>#N/A</v>
          </cell>
          <cell r="AD125">
            <v>38</v>
          </cell>
          <cell r="AE125" t="e">
            <v>#N/A</v>
          </cell>
          <cell r="AF125"/>
        </row>
        <row r="126">
          <cell r="Y126">
            <v>110</v>
          </cell>
          <cell r="Z126">
            <v>0.21130386553704739</v>
          </cell>
          <cell r="AA126">
            <v>-0.13554673786797022</v>
          </cell>
          <cell r="AB126"/>
          <cell r="AC126" t="e">
            <v>#N/A</v>
          </cell>
          <cell r="AD126">
            <v>39</v>
          </cell>
          <cell r="AE126" t="e">
            <v>#N/A</v>
          </cell>
          <cell r="AF126"/>
        </row>
        <row r="127">
          <cell r="Y127">
            <v>111</v>
          </cell>
          <cell r="Z127">
            <v>0.40232072584331036</v>
          </cell>
          <cell r="AA127">
            <v>-4.1808888601324944E-2</v>
          </cell>
          <cell r="AB127"/>
          <cell r="AC127" t="e">
            <v>#N/A</v>
          </cell>
          <cell r="AD127">
            <v>40</v>
          </cell>
          <cell r="AE127" t="e">
            <v>#N/A</v>
          </cell>
          <cell r="AF127"/>
        </row>
        <row r="128">
          <cell r="Y128">
            <v>112</v>
          </cell>
          <cell r="Z128">
            <v>0.488602539524436</v>
          </cell>
          <cell r="AA128">
            <v>-4.8297327290210013E-3</v>
          </cell>
          <cell r="AB128"/>
          <cell r="AC128" t="e">
            <v>#N/A</v>
          </cell>
          <cell r="AD128">
            <v>41</v>
          </cell>
          <cell r="AE128" t="e">
            <v>#N/A</v>
          </cell>
          <cell r="AF128"/>
        </row>
        <row r="129">
          <cell r="Y129">
            <v>113</v>
          </cell>
          <cell r="Z129">
            <v>0.74707737378776073</v>
          </cell>
          <cell r="AA129">
            <v>0.1124597613625974</v>
          </cell>
          <cell r="AB129"/>
          <cell r="AC129" t="e">
            <v>#N/A</v>
          </cell>
          <cell r="AD129">
            <v>42</v>
          </cell>
          <cell r="AE129" t="e">
            <v>#N/A</v>
          </cell>
          <cell r="AF129"/>
        </row>
        <row r="130">
          <cell r="Y130">
            <v>114</v>
          </cell>
          <cell r="Z130">
            <v>0.4498834665864706</v>
          </cell>
          <cell r="AA130">
            <v>-2.1290411605509818E-2</v>
          </cell>
          <cell r="AB130"/>
          <cell r="AC130" t="e">
            <v>#N/A</v>
          </cell>
          <cell r="AD130">
            <v>43</v>
          </cell>
          <cell r="AE130" t="e">
            <v>#N/A</v>
          </cell>
          <cell r="AF130"/>
        </row>
        <row r="131">
          <cell r="Y131">
            <v>115</v>
          </cell>
          <cell r="Z131">
            <v>0.51434977166354656</v>
          </cell>
          <cell r="AA131">
            <v>6.0812741714859056E-3</v>
          </cell>
          <cell r="AB131"/>
          <cell r="AC131" t="e">
            <v>#N/A</v>
          </cell>
          <cell r="AD131">
            <v>44</v>
          </cell>
          <cell r="AE131" t="e">
            <v>#N/A</v>
          </cell>
          <cell r="AF131"/>
        </row>
        <row r="132">
          <cell r="Y132">
            <v>116</v>
          </cell>
          <cell r="Z132">
            <v>0.40318249724805355</v>
          </cell>
          <cell r="AA132">
            <v>-4.1432519733830692E-2</v>
          </cell>
          <cell r="AB132"/>
          <cell r="AC132" t="e">
            <v>#N/A</v>
          </cell>
          <cell r="AD132">
            <v>45</v>
          </cell>
          <cell r="AE132" t="e">
            <v>#N/A</v>
          </cell>
          <cell r="AF132"/>
        </row>
        <row r="133">
          <cell r="Y133">
            <v>117</v>
          </cell>
          <cell r="Z133">
            <v>0.21385299973189831</v>
          </cell>
          <cell r="AA133">
            <v>-0.13406230325087992</v>
          </cell>
          <cell r="AB133"/>
          <cell r="AC133" t="e">
            <v>#N/A</v>
          </cell>
          <cell r="AD133">
            <v>46</v>
          </cell>
          <cell r="AE133" t="e">
            <v>#N/A</v>
          </cell>
          <cell r="AF133"/>
        </row>
        <row r="134">
          <cell r="Y134">
            <v>118</v>
          </cell>
          <cell r="Z134">
            <v>0.77740797959268093</v>
          </cell>
          <cell r="AA134">
            <v>0.12904973038783099</v>
          </cell>
          <cell r="AB134"/>
          <cell r="AC134" t="e">
            <v>#N/A</v>
          </cell>
          <cell r="AD134">
            <v>47</v>
          </cell>
          <cell r="AE134" t="e">
            <v>#N/A</v>
          </cell>
          <cell r="AF134"/>
        </row>
        <row r="135">
          <cell r="Y135">
            <v>119</v>
          </cell>
          <cell r="Z135">
            <v>0.90223054401576519</v>
          </cell>
          <cell r="AA135">
            <v>0.21878784368166504</v>
          </cell>
          <cell r="AB135"/>
          <cell r="AC135" t="e">
            <v>#N/A</v>
          </cell>
          <cell r="AD135">
            <v>48</v>
          </cell>
          <cell r="AE135" t="e">
            <v>#N/A</v>
          </cell>
          <cell r="AF135"/>
        </row>
        <row r="136">
          <cell r="Y136">
            <v>120</v>
          </cell>
          <cell r="Z136">
            <v>0.16915472410619259</v>
          </cell>
          <cell r="AA136">
            <v>-0.16184888195070077</v>
          </cell>
          <cell r="AB136"/>
          <cell r="AC136" t="e">
            <v>#N/A</v>
          </cell>
          <cell r="AD136">
            <v>49</v>
          </cell>
          <cell r="AE136" t="e">
            <v>#N/A</v>
          </cell>
          <cell r="AF136"/>
        </row>
        <row r="137">
          <cell r="Y137">
            <v>121</v>
          </cell>
          <cell r="Z137">
            <v>0.44007333926856518</v>
          </cell>
          <cell r="AA137">
            <v>-2.5487025601202157E-2</v>
          </cell>
          <cell r="AB137"/>
          <cell r="AC137" t="e">
            <v>#N/A</v>
          </cell>
          <cell r="AD137">
            <v>50</v>
          </cell>
          <cell r="AE137" t="e">
            <v>#N/A</v>
          </cell>
          <cell r="AF137"/>
        </row>
        <row r="138">
          <cell r="Y138">
            <v>122</v>
          </cell>
          <cell r="Z138">
            <v>0.11363906227052212</v>
          </cell>
          <cell r="AA138">
            <v>-0.20408785426705081</v>
          </cell>
          <cell r="AB138"/>
          <cell r="AC138" t="e">
            <v>#N/A</v>
          </cell>
          <cell r="AD138">
            <v>51</v>
          </cell>
          <cell r="AE138" t="e">
            <v>#N/A</v>
          </cell>
          <cell r="AF138"/>
        </row>
        <row r="139">
          <cell r="Y139">
            <v>123</v>
          </cell>
          <cell r="Z139">
            <v>0.10001303069293499</v>
          </cell>
          <cell r="AA139">
            <v>-0.21660920176725504</v>
          </cell>
          <cell r="AB139"/>
          <cell r="AC139" t="e">
            <v>#N/A</v>
          </cell>
          <cell r="AD139">
            <v>52</v>
          </cell>
          <cell r="AE139" t="e">
            <v>#N/A</v>
          </cell>
          <cell r="AF139"/>
        </row>
        <row r="140">
          <cell r="Y140">
            <v>124</v>
          </cell>
          <cell r="Z140">
            <v>0.60709874890744686</v>
          </cell>
          <cell r="AA140">
            <v>4.5936716780681931E-2</v>
          </cell>
          <cell r="AB140"/>
          <cell r="AC140" t="e">
            <v>#N/A</v>
          </cell>
          <cell r="AD140">
            <v>53</v>
          </cell>
          <cell r="AE140" t="e">
            <v>#N/A</v>
          </cell>
          <cell r="AF140"/>
        </row>
        <row r="141">
          <cell r="Y141">
            <v>125</v>
          </cell>
          <cell r="Z141">
            <v>0.38135820440948009</v>
          </cell>
          <cell r="AA141">
            <v>-5.1033049555812546E-2</v>
          </cell>
          <cell r="AB141"/>
          <cell r="AC141" t="e">
            <v>#N/A</v>
          </cell>
          <cell r="AD141">
            <v>54</v>
          </cell>
          <cell r="AE141" t="e">
            <v>#N/A</v>
          </cell>
          <cell r="AF141"/>
        </row>
        <row r="142">
          <cell r="Y142">
            <v>126</v>
          </cell>
          <cell r="Z142">
            <v>1.7514582723379135E-3</v>
          </cell>
          <cell r="AA142">
            <v>-0.49353092993835729</v>
          </cell>
          <cell r="AB142"/>
          <cell r="AC142" t="e">
            <v>#N/A</v>
          </cell>
          <cell r="AD142">
            <v>55</v>
          </cell>
          <cell r="AE142" t="e">
            <v>#N/A</v>
          </cell>
          <cell r="AF142"/>
        </row>
        <row r="143">
          <cell r="Y143">
            <v>127</v>
          </cell>
          <cell r="Z143">
            <v>0.60549233667552471</v>
          </cell>
          <cell r="AA143">
            <v>4.5230878134087736E-2</v>
          </cell>
          <cell r="AB143"/>
          <cell r="AC143" t="e">
            <v>#N/A</v>
          </cell>
          <cell r="AD143">
            <v>56</v>
          </cell>
          <cell r="AE143" t="e">
            <v>#N/A</v>
          </cell>
          <cell r="AF143"/>
        </row>
        <row r="144">
          <cell r="Y144">
            <v>128</v>
          </cell>
          <cell r="Z144">
            <v>0.23815562389791012</v>
          </cell>
          <cell r="AA144">
            <v>-0.12039187744785904</v>
          </cell>
          <cell r="AB144"/>
          <cell r="AC144" t="e">
            <v>#N/A</v>
          </cell>
          <cell r="AD144">
            <v>57</v>
          </cell>
          <cell r="AE144" t="e">
            <v>#N/A</v>
          </cell>
          <cell r="AF144"/>
        </row>
        <row r="145">
          <cell r="Y145">
            <v>129</v>
          </cell>
          <cell r="Z145">
            <v>0.33500221185386181</v>
          </cell>
          <cell r="AA145">
            <v>-7.2031134160745164E-2</v>
          </cell>
          <cell r="AB145"/>
          <cell r="AC145" t="e">
            <v>#N/A</v>
          </cell>
          <cell r="AD145">
            <v>58</v>
          </cell>
          <cell r="AE145" t="e">
            <v>#N/A</v>
          </cell>
          <cell r="AF145"/>
        </row>
        <row r="146">
          <cell r="Y146">
            <v>130</v>
          </cell>
          <cell r="Z146">
            <v>0.47356737218797207</v>
          </cell>
          <cell r="AA146">
            <v>-1.1207645388894912E-2</v>
          </cell>
          <cell r="AB146"/>
          <cell r="AC146" t="e">
            <v>#N/A</v>
          </cell>
          <cell r="AD146">
            <v>59</v>
          </cell>
          <cell r="AE146" t="e">
            <v>#N/A</v>
          </cell>
          <cell r="AF146"/>
        </row>
        <row r="147">
          <cell r="Y147">
            <v>131</v>
          </cell>
          <cell r="Z147">
            <v>0.87825555913150311</v>
          </cell>
          <cell r="AA147">
            <v>0.19714247623324041</v>
          </cell>
          <cell r="AB147"/>
          <cell r="AC147" t="e">
            <v>#N/A</v>
          </cell>
          <cell r="AD147">
            <v>60</v>
          </cell>
          <cell r="AE147" t="e">
            <v>#N/A</v>
          </cell>
          <cell r="AF147"/>
        </row>
        <row r="148">
          <cell r="Y148">
            <v>132</v>
          </cell>
          <cell r="Z148">
            <v>8.6372997611761093E-3</v>
          </cell>
          <cell r="AA148">
            <v>-0.4024304115941349</v>
          </cell>
          <cell r="AB148"/>
          <cell r="AC148" t="e">
            <v>#N/A</v>
          </cell>
          <cell r="AD148">
            <v>61</v>
          </cell>
          <cell r="AE148" t="e">
            <v>#N/A</v>
          </cell>
          <cell r="AF148"/>
        </row>
        <row r="149">
          <cell r="Y149">
            <v>133</v>
          </cell>
          <cell r="Z149">
            <v>0.10989665798842907</v>
          </cell>
          <cell r="AA149">
            <v>-0.20741402042341434</v>
          </cell>
          <cell r="AB149"/>
          <cell r="AC149" t="e">
            <v>#N/A</v>
          </cell>
          <cell r="AD149">
            <v>62</v>
          </cell>
          <cell r="AE149" t="e">
            <v>#N/A</v>
          </cell>
          <cell r="AF149"/>
        </row>
        <row r="150">
          <cell r="Y150">
            <v>134</v>
          </cell>
          <cell r="Z150">
            <v>8.5408445447683334E-3</v>
          </cell>
          <cell r="AA150">
            <v>-0.40312923126153605</v>
          </cell>
          <cell r="AB150"/>
          <cell r="AC150" t="e">
            <v>#N/A</v>
          </cell>
          <cell r="AD150">
            <v>63</v>
          </cell>
          <cell r="AE150" t="e">
            <v>#N/A</v>
          </cell>
          <cell r="AF150"/>
        </row>
        <row r="151">
          <cell r="Y151">
            <v>135</v>
          </cell>
          <cell r="Z151">
            <v>0.55647866241633892</v>
          </cell>
          <cell r="AA151">
            <v>2.4010369421117124E-2</v>
          </cell>
          <cell r="AB151"/>
          <cell r="AC151" t="e">
            <v>#N/A</v>
          </cell>
          <cell r="AD151">
            <v>64</v>
          </cell>
          <cell r="AE151" t="e">
            <v>#N/A</v>
          </cell>
          <cell r="AF151"/>
        </row>
        <row r="152">
          <cell r="Y152">
            <v>136</v>
          </cell>
          <cell r="Z152">
            <v>0.85838600061833858</v>
          </cell>
          <cell r="AA152">
            <v>0.18138634764380679</v>
          </cell>
          <cell r="AB152"/>
          <cell r="AC152" t="e">
            <v>#N/A</v>
          </cell>
          <cell r="AD152">
            <v>65</v>
          </cell>
          <cell r="AE152" t="e">
            <v>#N/A</v>
          </cell>
          <cell r="AF152"/>
        </row>
        <row r="153">
          <cell r="Y153">
            <v>137</v>
          </cell>
          <cell r="Z153">
            <v>0.16520139388740063</v>
          </cell>
          <cell r="AA153">
            <v>-0.1645182153033255</v>
          </cell>
          <cell r="AB153"/>
          <cell r="AC153" t="e">
            <v>#N/A</v>
          </cell>
          <cell r="AD153">
            <v>66</v>
          </cell>
          <cell r="AE153" t="e">
            <v>#N/A</v>
          </cell>
          <cell r="AF153"/>
        </row>
        <row r="154">
          <cell r="Y154">
            <v>138</v>
          </cell>
          <cell r="Z154">
            <v>8.6492126807570457E-2</v>
          </cell>
          <cell r="AA154">
            <v>-0.2303344936081142</v>
          </cell>
          <cell r="AB154"/>
          <cell r="AC154" t="e">
            <v>#N/A</v>
          </cell>
          <cell r="AD154">
            <v>67</v>
          </cell>
          <cell r="AE154" t="e">
            <v>#N/A</v>
          </cell>
          <cell r="AF154"/>
        </row>
        <row r="155">
          <cell r="Y155">
            <v>139</v>
          </cell>
          <cell r="Z155">
            <v>0.39247335307300091</v>
          </cell>
          <cell r="AA155">
            <v>-4.6124864808523493E-2</v>
          </cell>
          <cell r="AB155"/>
          <cell r="AC155" t="e">
            <v>#N/A</v>
          </cell>
          <cell r="AD155">
            <v>68</v>
          </cell>
          <cell r="AE155" t="e">
            <v>#N/A</v>
          </cell>
          <cell r="AF155"/>
        </row>
        <row r="156">
          <cell r="Y156">
            <v>140</v>
          </cell>
          <cell r="Z156">
            <v>0.63288359902799129</v>
          </cell>
          <cell r="AA156">
            <v>5.7386040129740107E-2</v>
          </cell>
          <cell r="AB156"/>
          <cell r="AC156" t="e">
            <v>#N/A</v>
          </cell>
          <cell r="AD156">
            <v>69</v>
          </cell>
          <cell r="AE156" t="e">
            <v>#N/A</v>
          </cell>
          <cell r="AF156"/>
        </row>
        <row r="157">
          <cell r="Y157">
            <v>141</v>
          </cell>
          <cell r="Z157">
            <v>0.21776670031249523</v>
          </cell>
          <cell r="AA157">
            <v>-0.13180313863997639</v>
          </cell>
          <cell r="AB157"/>
          <cell r="AC157" t="e">
            <v>#N/A</v>
          </cell>
          <cell r="AD157">
            <v>70</v>
          </cell>
          <cell r="AE157" t="e">
            <v>#N/A</v>
          </cell>
          <cell r="AF157"/>
        </row>
        <row r="158">
          <cell r="Y158">
            <v>142</v>
          </cell>
          <cell r="Z158">
            <v>0.83409205637872219</v>
          </cell>
          <cell r="AA158">
            <v>0.16403814324280669</v>
          </cell>
          <cell r="AB158"/>
          <cell r="AC158" t="e">
            <v>#N/A</v>
          </cell>
          <cell r="AD158">
            <v>71</v>
          </cell>
          <cell r="AE158" t="e">
            <v>#N/A</v>
          </cell>
          <cell r="AF158"/>
        </row>
        <row r="159">
          <cell r="Y159">
            <v>143</v>
          </cell>
          <cell r="Z159">
            <v>0.40698395483195782</v>
          </cell>
          <cell r="AA159">
            <v>-3.9774698424874605E-2</v>
          </cell>
          <cell r="AB159"/>
          <cell r="AC159" t="e">
            <v>#N/A</v>
          </cell>
          <cell r="AD159">
            <v>72</v>
          </cell>
          <cell r="AE159" t="e">
            <v>#N/A</v>
          </cell>
          <cell r="AF159"/>
        </row>
        <row r="160">
          <cell r="Y160">
            <v>144</v>
          </cell>
          <cell r="Z160">
            <v>0.83911099098622799</v>
          </cell>
          <cell r="AA160">
            <v>0.16747757764911464</v>
          </cell>
          <cell r="AB160"/>
          <cell r="AC160" t="e">
            <v>#N/A</v>
          </cell>
          <cell r="AD160">
            <v>73</v>
          </cell>
          <cell r="AE160" t="e">
            <v>#N/A</v>
          </cell>
          <cell r="AF160"/>
        </row>
        <row r="161">
          <cell r="Y161">
            <v>145</v>
          </cell>
          <cell r="Z161">
            <v>0.81830516271293163</v>
          </cell>
          <cell r="AA161">
            <v>0.15363637957391657</v>
          </cell>
          <cell r="AB161"/>
          <cell r="AC161" t="e">
            <v>#N/A</v>
          </cell>
          <cell r="AD161">
            <v>74</v>
          </cell>
          <cell r="AE161" t="e">
            <v>#N/A</v>
          </cell>
          <cell r="AF161"/>
        </row>
        <row r="162">
          <cell r="Y162">
            <v>146</v>
          </cell>
          <cell r="Z162">
            <v>0.26509643159806728</v>
          </cell>
          <cell r="AA162">
            <v>-0.10610263150026972</v>
          </cell>
          <cell r="AB162"/>
          <cell r="AC162" t="e">
            <v>#N/A</v>
          </cell>
          <cell r="AD162">
            <v>75</v>
          </cell>
          <cell r="AE162" t="e">
            <v>#N/A</v>
          </cell>
          <cell r="AF162"/>
        </row>
        <row r="163">
          <cell r="Y163">
            <v>147</v>
          </cell>
          <cell r="Z163">
            <v>0.7622342836111784</v>
          </cell>
          <cell r="AA163">
            <v>0.12060487307007314</v>
          </cell>
          <cell r="AB163"/>
          <cell r="AC163" t="e">
            <v>#N/A</v>
          </cell>
          <cell r="AD163">
            <v>76</v>
          </cell>
          <cell r="AE163" t="e">
            <v>#N/A</v>
          </cell>
          <cell r="AF163"/>
        </row>
        <row r="164">
          <cell r="Y164">
            <v>148</v>
          </cell>
          <cell r="Z164">
            <v>0.74515747092664242</v>
          </cell>
          <cell r="AA164">
            <v>0.11144680126419877</v>
          </cell>
          <cell r="AB164"/>
          <cell r="AC164" t="e">
            <v>#N/A</v>
          </cell>
          <cell r="AD164">
            <v>77</v>
          </cell>
          <cell r="AE164" t="e">
            <v>#N/A</v>
          </cell>
          <cell r="AF164"/>
        </row>
        <row r="165">
          <cell r="Y165">
            <v>149</v>
          </cell>
          <cell r="Z165">
            <v>0.39631354622542858</v>
          </cell>
          <cell r="AA165">
            <v>-4.4438334367212728E-2</v>
          </cell>
          <cell r="AB165"/>
          <cell r="AC165" t="e">
            <v>#N/A</v>
          </cell>
          <cell r="AD165">
            <v>78</v>
          </cell>
          <cell r="AE165" t="e">
            <v>#N/A</v>
          </cell>
          <cell r="AF165"/>
        </row>
        <row r="166">
          <cell r="Y166">
            <v>150</v>
          </cell>
          <cell r="Z166">
            <v>0.61433038674294949</v>
          </cell>
          <cell r="AA166">
            <v>4.9124350453204187E-2</v>
          </cell>
          <cell r="AB166"/>
          <cell r="AC166" t="e">
            <v>#N/A</v>
          </cell>
          <cell r="AD166">
            <v>79</v>
          </cell>
          <cell r="AE166" t="e">
            <v>#N/A</v>
          </cell>
          <cell r="AF166"/>
        </row>
        <row r="167">
          <cell r="Y167">
            <v>151</v>
          </cell>
          <cell r="Z167">
            <v>0.8537245225161314</v>
          </cell>
          <cell r="AA167">
            <v>0.17791206865042078</v>
          </cell>
          <cell r="AB167"/>
          <cell r="AC167" t="e">
            <v>#N/A</v>
          </cell>
          <cell r="AD167">
            <v>80</v>
          </cell>
          <cell r="AE167" t="e">
            <v>#N/A</v>
          </cell>
          <cell r="AF167"/>
        </row>
        <row r="168">
          <cell r="Y168">
            <v>152</v>
          </cell>
          <cell r="Z168">
            <v>0.32358010672032833</v>
          </cell>
          <cell r="AA168">
            <v>-7.7367249393194087E-2</v>
          </cell>
          <cell r="AB168"/>
          <cell r="AC168" t="e">
            <v>#N/A</v>
          </cell>
          <cell r="AD168">
            <v>81</v>
          </cell>
          <cell r="AE168" t="e">
            <v>#N/A</v>
          </cell>
          <cell r="AF168"/>
        </row>
        <row r="169">
          <cell r="Y169">
            <v>153</v>
          </cell>
          <cell r="Z169">
            <v>0.27374467067420483</v>
          </cell>
          <cell r="AA169">
            <v>-0.10167654265521515</v>
          </cell>
          <cell r="AB169"/>
          <cell r="AC169" t="e">
            <v>#N/A</v>
          </cell>
          <cell r="AD169">
            <v>82</v>
          </cell>
          <cell r="AE169" t="e">
            <v>#N/A</v>
          </cell>
          <cell r="AF169"/>
        </row>
        <row r="170">
          <cell r="Y170">
            <v>154</v>
          </cell>
          <cell r="Z170">
            <v>0.26542276702821255</v>
          </cell>
          <cell r="AA170">
            <v>-0.10593430781308198</v>
          </cell>
          <cell r="AB170"/>
          <cell r="AC170" t="e">
            <v>#N/A</v>
          </cell>
          <cell r="AD170">
            <v>83</v>
          </cell>
          <cell r="AE170" t="e">
            <v>#N/A</v>
          </cell>
          <cell r="AF170"/>
        </row>
        <row r="171">
          <cell r="Y171">
            <v>155</v>
          </cell>
          <cell r="Z171">
            <v>0.12077809683978558</v>
          </cell>
          <cell r="AA171">
            <v>-0.19795303478895418</v>
          </cell>
          <cell r="AB171"/>
          <cell r="AC171" t="e">
            <v>#N/A</v>
          </cell>
          <cell r="AD171">
            <v>84</v>
          </cell>
          <cell r="AE171" t="e">
            <v>#N/A</v>
          </cell>
          <cell r="AF171"/>
        </row>
        <row r="172">
          <cell r="Y172">
            <v>156</v>
          </cell>
          <cell r="Z172">
            <v>0.53851311467587948</v>
          </cell>
          <cell r="AA172">
            <v>1.6343339870323787E-2</v>
          </cell>
          <cell r="AB172"/>
          <cell r="AC172" t="e">
            <v>#N/A</v>
          </cell>
          <cell r="AD172">
            <v>85</v>
          </cell>
          <cell r="AE172" t="e">
            <v>#N/A</v>
          </cell>
          <cell r="AF172"/>
        </row>
        <row r="173">
          <cell r="Y173">
            <v>157</v>
          </cell>
          <cell r="Z173">
            <v>0.14742928557097912</v>
          </cell>
          <cell r="AA173">
            <v>-0.17706365230684498</v>
          </cell>
          <cell r="AB173"/>
          <cell r="AC173" t="e">
            <v>#N/A</v>
          </cell>
          <cell r="AD173">
            <v>86</v>
          </cell>
          <cell r="AE173" t="e">
            <v>#N/A</v>
          </cell>
          <cell r="AF173"/>
        </row>
        <row r="174">
          <cell r="Y174">
            <v>158</v>
          </cell>
          <cell r="Z174">
            <v>0.77229050360620022</v>
          </cell>
          <cell r="AA174">
            <v>0.12616653787846793</v>
          </cell>
          <cell r="AB174"/>
          <cell r="AC174" t="e">
            <v>#N/A</v>
          </cell>
          <cell r="AD174">
            <v>87</v>
          </cell>
          <cell r="AE174" t="e">
            <v>#N/A</v>
          </cell>
          <cell r="AF174"/>
        </row>
        <row r="175">
          <cell r="Y175">
            <v>159</v>
          </cell>
          <cell r="Z175">
            <v>7.5838549062609673E-2</v>
          </cell>
          <cell r="AA175">
            <v>-0.24232816035339338</v>
          </cell>
          <cell r="AB175"/>
          <cell r="AC175" t="e">
            <v>#N/A</v>
          </cell>
          <cell r="AD175">
            <v>88</v>
          </cell>
          <cell r="AE175" t="e">
            <v>#N/A</v>
          </cell>
          <cell r="AF175"/>
        </row>
        <row r="176">
          <cell r="Y176">
            <v>160</v>
          </cell>
          <cell r="Z176">
            <v>0.47652723453938961</v>
          </cell>
          <cell r="AA176">
            <v>-9.9510974693184893E-3</v>
          </cell>
          <cell r="AB176"/>
          <cell r="AC176" t="e">
            <v>#N/A</v>
          </cell>
          <cell r="AD176">
            <v>89</v>
          </cell>
          <cell r="AE176" t="e">
            <v>#N/A</v>
          </cell>
          <cell r="AF176"/>
        </row>
        <row r="177">
          <cell r="Y177">
            <v>161</v>
          </cell>
          <cell r="Z177">
            <v>0.54024794511497021</v>
          </cell>
          <cell r="AA177">
            <v>1.7081985461841226E-2</v>
          </cell>
          <cell r="AB177"/>
          <cell r="AC177" t="e">
            <v>#N/A</v>
          </cell>
          <cell r="AD177">
            <v>90</v>
          </cell>
          <cell r="AE177" t="e">
            <v>#N/A</v>
          </cell>
          <cell r="AF177"/>
        </row>
        <row r="178">
          <cell r="Y178">
            <v>162</v>
          </cell>
          <cell r="Z178">
            <v>0.47437298856675625</v>
          </cell>
          <cell r="AA178">
            <v>-1.0865579298917462E-2</v>
          </cell>
          <cell r="AB178"/>
          <cell r="AC178" t="e">
            <v>#N/A</v>
          </cell>
          <cell r="AD178">
            <v>91</v>
          </cell>
          <cell r="AE178" t="e">
            <v>#N/A</v>
          </cell>
          <cell r="AF178"/>
        </row>
        <row r="179">
          <cell r="Y179">
            <v>163</v>
          </cell>
          <cell r="Z179">
            <v>5.2516413852572441E-2</v>
          </cell>
          <cell r="AA179">
            <v>-0.27398703879813124</v>
          </cell>
          <cell r="AB179"/>
          <cell r="AC179" t="e">
            <v>#N/A</v>
          </cell>
          <cell r="AD179">
            <v>92</v>
          </cell>
          <cell r="AE179" t="e">
            <v>#N/A</v>
          </cell>
          <cell r="AF179"/>
        </row>
        <row r="180">
          <cell r="Y180">
            <v>164</v>
          </cell>
          <cell r="Z180">
            <v>0.82123910449445248</v>
          </cell>
          <cell r="AA180">
            <v>0.15552486974233903</v>
          </cell>
          <cell r="AB180"/>
          <cell r="AC180" t="e">
            <v>#N/A</v>
          </cell>
          <cell r="AD180">
            <v>93</v>
          </cell>
          <cell r="AE180" t="e">
            <v>#N/A</v>
          </cell>
          <cell r="AF180"/>
        </row>
        <row r="181">
          <cell r="Y181">
            <v>165</v>
          </cell>
          <cell r="Z181">
            <v>0.72105288319289684</v>
          </cell>
          <cell r="AA181">
            <v>9.9047370320688444E-2</v>
          </cell>
          <cell r="AB181"/>
          <cell r="AC181" t="e">
            <v>#N/A</v>
          </cell>
          <cell r="AD181">
            <v>94</v>
          </cell>
          <cell r="AE181" t="e">
            <v>#N/A</v>
          </cell>
          <cell r="AF181"/>
        </row>
        <row r="182">
          <cell r="Y182">
            <v>166</v>
          </cell>
          <cell r="Z182">
            <v>0.20561644993722439</v>
          </cell>
          <cell r="AA182">
            <v>-0.1388970326263394</v>
          </cell>
          <cell r="AB182"/>
          <cell r="AC182" t="e">
            <v>#N/A</v>
          </cell>
          <cell r="AD182">
            <v>95</v>
          </cell>
          <cell r="AE182" t="e">
            <v>#N/A</v>
          </cell>
          <cell r="AF182"/>
        </row>
        <row r="183">
          <cell r="Y183">
            <v>167</v>
          </cell>
          <cell r="Z183">
            <v>0.17238609306514263</v>
          </cell>
          <cell r="AA183">
            <v>-0.1596966424274216</v>
          </cell>
          <cell r="AB183"/>
          <cell r="AC183" t="e">
            <v>#N/A</v>
          </cell>
          <cell r="AD183">
            <v>96</v>
          </cell>
          <cell r="AE183" t="e">
            <v>#N/A</v>
          </cell>
          <cell r="AF183"/>
        </row>
        <row r="184">
          <cell r="Y184">
            <v>168</v>
          </cell>
          <cell r="Z184">
            <v>0.17167063616216183</v>
          </cell>
          <cell r="AA184">
            <v>-0.16017093064074078</v>
          </cell>
          <cell r="AB184"/>
          <cell r="AC184" t="e">
            <v>#N/A</v>
          </cell>
          <cell r="AD184">
            <v>97</v>
          </cell>
          <cell r="AE184" t="e">
            <v>#N/A</v>
          </cell>
          <cell r="AF184"/>
        </row>
        <row r="185">
          <cell r="Y185">
            <v>169</v>
          </cell>
          <cell r="Z185">
            <v>0.59333988837897778</v>
          </cell>
          <cell r="AA185">
            <v>3.9915775696038824E-2</v>
          </cell>
          <cell r="AB185"/>
          <cell r="AC185" t="e">
            <v>#N/A</v>
          </cell>
          <cell r="AD185">
            <v>98</v>
          </cell>
          <cell r="AE185" t="e">
            <v>#N/A</v>
          </cell>
          <cell r="AF185"/>
        </row>
        <row r="186">
          <cell r="Y186">
            <v>170</v>
          </cell>
          <cell r="Z186">
            <v>0.59720832668244839</v>
          </cell>
          <cell r="AA186">
            <v>4.1603182077217811E-2</v>
          </cell>
          <cell r="AB186"/>
          <cell r="AC186" t="e">
            <v>#N/A</v>
          </cell>
          <cell r="AD186">
            <v>99</v>
          </cell>
          <cell r="AE186" t="e">
            <v>#N/A</v>
          </cell>
          <cell r="AF186"/>
        </row>
        <row r="187">
          <cell r="Y187">
            <v>171</v>
          </cell>
          <cell r="Z187">
            <v>3.0532730743288994E-2</v>
          </cell>
          <cell r="AA187">
            <v>-0.31659836246967205</v>
          </cell>
          <cell r="AB187"/>
          <cell r="AC187" t="e">
            <v>#N/A</v>
          </cell>
          <cell r="AD187">
            <v>100</v>
          </cell>
          <cell r="AE187" t="e">
            <v>#N/A</v>
          </cell>
          <cell r="AF187"/>
        </row>
        <row r="188">
          <cell r="Y188">
            <v>172</v>
          </cell>
          <cell r="Z188">
            <v>0.70435838960111141</v>
          </cell>
          <cell r="AA188">
            <v>9.0765747918578929E-2</v>
          </cell>
          <cell r="AB188"/>
          <cell r="AC188" t="e">
            <v>#N/A</v>
          </cell>
          <cell r="AD188">
            <v>101</v>
          </cell>
          <cell r="AE188" t="e">
            <v>#N/A</v>
          </cell>
          <cell r="AF188"/>
        </row>
        <row r="189">
          <cell r="Y189">
            <v>173</v>
          </cell>
          <cell r="Z189">
            <v>5.2670178934931755E-2</v>
          </cell>
          <cell r="AA189">
            <v>-0.27374496669160053</v>
          </cell>
          <cell r="AB189"/>
          <cell r="AC189" t="e">
            <v>#N/A</v>
          </cell>
          <cell r="AD189">
            <v>102</v>
          </cell>
          <cell r="AE189" t="e">
            <v>#N/A</v>
          </cell>
          <cell r="AF189"/>
        </row>
        <row r="190">
          <cell r="Y190">
            <v>174</v>
          </cell>
          <cell r="Z190">
            <v>0.474061643704772</v>
          </cell>
          <cell r="AA190">
            <v>-1.0997771506743371E-2</v>
          </cell>
          <cell r="AB190"/>
          <cell r="AC190" t="e">
            <v>#N/A</v>
          </cell>
          <cell r="AD190">
            <v>103</v>
          </cell>
          <cell r="AE190" t="e">
            <v>#N/A</v>
          </cell>
          <cell r="AF190"/>
        </row>
        <row r="191">
          <cell r="Y191">
            <v>175</v>
          </cell>
          <cell r="Z191">
            <v>0.59984908811748028</v>
          </cell>
          <cell r="AA191">
            <v>4.2757453403424031E-2</v>
          </cell>
          <cell r="AB191"/>
          <cell r="AC191" t="e">
            <v>#N/A</v>
          </cell>
          <cell r="AD191">
            <v>104</v>
          </cell>
          <cell r="AE191" t="e">
            <v>#N/A</v>
          </cell>
          <cell r="AF191"/>
        </row>
        <row r="192">
          <cell r="Y192">
            <v>176</v>
          </cell>
          <cell r="Z192">
            <v>0.67921294830739498</v>
          </cell>
          <cell r="AA192">
            <v>7.868370376744882E-2</v>
          </cell>
          <cell r="AB192"/>
          <cell r="AC192" t="e">
            <v>#N/A</v>
          </cell>
          <cell r="AD192">
            <v>105</v>
          </cell>
          <cell r="AE192" t="e">
            <v>#N/A</v>
          </cell>
          <cell r="AF192"/>
        </row>
        <row r="193">
          <cell r="Y193">
            <v>177</v>
          </cell>
          <cell r="Z193">
            <v>0.31284227780997753</v>
          </cell>
          <cell r="AA193">
            <v>-8.2454908844185187E-2</v>
          </cell>
          <cell r="AB193"/>
          <cell r="AC193" t="e">
            <v>#N/A</v>
          </cell>
          <cell r="AD193">
            <v>106</v>
          </cell>
          <cell r="AE193" t="e">
            <v>#N/A</v>
          </cell>
          <cell r="AF193"/>
        </row>
        <row r="194">
          <cell r="Y194">
            <v>178</v>
          </cell>
          <cell r="Z194">
            <v>0.84504938684403896</v>
          </cell>
          <cell r="AA194">
            <v>0.17163888071945985</v>
          </cell>
          <cell r="AB194"/>
          <cell r="AC194" t="e">
            <v>#N/A</v>
          </cell>
          <cell r="AD194">
            <v>107</v>
          </cell>
          <cell r="AE194" t="e">
            <v>#N/A</v>
          </cell>
          <cell r="AF194"/>
        </row>
        <row r="195">
          <cell r="Y195">
            <v>179</v>
          </cell>
          <cell r="Z195">
            <v>0.85408241860568523</v>
          </cell>
          <cell r="AA195">
            <v>0.17817614863095418</v>
          </cell>
          <cell r="AB195"/>
          <cell r="AC195" t="e">
            <v>#N/A</v>
          </cell>
          <cell r="AD195">
            <v>108</v>
          </cell>
          <cell r="AE195" t="e">
            <v>#N/A</v>
          </cell>
          <cell r="AF195"/>
        </row>
        <row r="196">
          <cell r="Y196">
            <v>180</v>
          </cell>
          <cell r="Z196">
            <v>0.28912829421460629</v>
          </cell>
          <cell r="AA196">
            <v>-9.3969845230022234E-2</v>
          </cell>
          <cell r="AB196"/>
          <cell r="AC196" t="e">
            <v>#N/A</v>
          </cell>
          <cell r="AD196">
            <v>109</v>
          </cell>
          <cell r="AE196" t="e">
            <v>#N/A</v>
          </cell>
          <cell r="AF196"/>
        </row>
        <row r="197">
          <cell r="Y197">
            <v>181</v>
          </cell>
          <cell r="Z197">
            <v>0.70081388764083385</v>
          </cell>
          <cell r="AA197">
            <v>8.9035779989058747E-2</v>
          </cell>
          <cell r="AB197"/>
          <cell r="AC197" t="e">
            <v>#N/A</v>
          </cell>
          <cell r="AD197">
            <v>110</v>
          </cell>
          <cell r="AE197" t="e">
            <v>#N/A</v>
          </cell>
          <cell r="AF197"/>
        </row>
        <row r="198">
          <cell r="Y198">
            <v>182</v>
          </cell>
          <cell r="Z198">
            <v>0.98698887787759304</v>
          </cell>
          <cell r="AA198">
            <v>0.37624233021386155</v>
          </cell>
          <cell r="AB198"/>
          <cell r="AC198" t="e">
            <v>#N/A</v>
          </cell>
          <cell r="AD198">
            <v>111</v>
          </cell>
          <cell r="AE198" t="e">
            <v>#N/A</v>
          </cell>
          <cell r="AF198"/>
        </row>
        <row r="199">
          <cell r="Y199">
            <v>183</v>
          </cell>
          <cell r="Z199">
            <v>0.60963134281337261</v>
          </cell>
          <cell r="AA199">
            <v>4.7051143043466803E-2</v>
          </cell>
          <cell r="AB199"/>
          <cell r="AC199" t="e">
            <v>#N/A</v>
          </cell>
          <cell r="AD199">
            <v>112</v>
          </cell>
          <cell r="AE199" t="e">
            <v>#N/A</v>
          </cell>
          <cell r="AF199"/>
        </row>
        <row r="200">
          <cell r="Y200">
            <v>184</v>
          </cell>
          <cell r="Z200">
            <v>0.35334118269383907</v>
          </cell>
          <cell r="AA200">
            <v>-6.3608927386657452E-2</v>
          </cell>
          <cell r="AB200"/>
          <cell r="AC200" t="e">
            <v>#N/A</v>
          </cell>
          <cell r="AD200">
            <v>113</v>
          </cell>
          <cell r="AE200" t="e">
            <v>#N/A</v>
          </cell>
          <cell r="AF200"/>
        </row>
        <row r="201">
          <cell r="Y201">
            <v>185</v>
          </cell>
          <cell r="Z201">
            <v>0.42037376575171947</v>
          </cell>
          <cell r="AA201">
            <v>-3.3964617893442683E-2</v>
          </cell>
          <cell r="AB201"/>
          <cell r="AC201" t="e">
            <v>#N/A</v>
          </cell>
          <cell r="AD201">
            <v>114</v>
          </cell>
          <cell r="AE201" t="e">
            <v>#N/A</v>
          </cell>
          <cell r="AF201"/>
        </row>
        <row r="202">
          <cell r="Y202">
            <v>186</v>
          </cell>
          <cell r="Z202">
            <v>0.12237614952027798</v>
          </cell>
          <cell r="AA202">
            <v>-0.19661504712170264</v>
          </cell>
          <cell r="AB202"/>
          <cell r="AC202" t="e">
            <v>#N/A</v>
          </cell>
          <cell r="AD202">
            <v>115</v>
          </cell>
          <cell r="AE202" t="e">
            <v>#N/A</v>
          </cell>
          <cell r="AF202"/>
        </row>
        <row r="203">
          <cell r="Y203">
            <v>187</v>
          </cell>
          <cell r="Z203">
            <v>8.6092723533511162E-2</v>
          </cell>
          <cell r="AA203">
            <v>-0.2307634736873618</v>
          </cell>
          <cell r="AB203"/>
          <cell r="AC203" t="e">
            <v>#N/A</v>
          </cell>
          <cell r="AD203">
            <v>116</v>
          </cell>
          <cell r="AE203" t="e">
            <v>#N/A</v>
          </cell>
          <cell r="AF203"/>
        </row>
        <row r="204">
          <cell r="Y204">
            <v>188</v>
          </cell>
          <cell r="Z204">
            <v>0.3545405175536871</v>
          </cell>
          <cell r="AA204">
            <v>-6.3063816925982827E-2</v>
          </cell>
          <cell r="AB204"/>
          <cell r="AC204" t="e">
            <v>#N/A</v>
          </cell>
          <cell r="AD204">
            <v>117</v>
          </cell>
          <cell r="AE204" t="e">
            <v>#N/A</v>
          </cell>
          <cell r="AF204"/>
        </row>
        <row r="205">
          <cell r="Y205">
            <v>189</v>
          </cell>
          <cell r="Z205">
            <v>0.78456359915435314</v>
          </cell>
          <cell r="AA205">
            <v>0.13314542906858823</v>
          </cell>
          <cell r="AB205"/>
          <cell r="AC205" t="e">
            <v>#N/A</v>
          </cell>
          <cell r="AD205">
            <v>118</v>
          </cell>
          <cell r="AE205" t="e">
            <v>#N/A</v>
          </cell>
          <cell r="AF205"/>
        </row>
        <row r="206">
          <cell r="Y206">
            <v>190</v>
          </cell>
          <cell r="Z206">
            <v>0.19087032042443752</v>
          </cell>
          <cell r="AA206">
            <v>-0.14785020430328097</v>
          </cell>
          <cell r="AB206"/>
          <cell r="AC206" t="e">
            <v>#N/A</v>
          </cell>
          <cell r="AD206">
            <v>119</v>
          </cell>
          <cell r="AE206" t="e">
            <v>#N/A</v>
          </cell>
          <cell r="AF206"/>
        </row>
        <row r="207">
          <cell r="Y207">
            <v>191</v>
          </cell>
          <cell r="Z207">
            <v>0.68555854074656963</v>
          </cell>
          <cell r="AA207">
            <v>8.1692567774352617E-2</v>
          </cell>
          <cell r="AB207"/>
          <cell r="AC207" t="e">
            <v>#N/A</v>
          </cell>
          <cell r="AD207">
            <v>120</v>
          </cell>
          <cell r="AE207" t="e">
            <v>#N/A</v>
          </cell>
          <cell r="AF207"/>
        </row>
        <row r="208">
          <cell r="Y208">
            <v>192</v>
          </cell>
          <cell r="Z208">
            <v>0.3197267260402441</v>
          </cell>
          <cell r="AA208">
            <v>-7.9184716650185422E-2</v>
          </cell>
          <cell r="AB208"/>
          <cell r="AC208" t="e">
            <v>#N/A</v>
          </cell>
          <cell r="AD208">
            <v>121</v>
          </cell>
          <cell r="AE208" t="e">
            <v>#N/A</v>
          </cell>
          <cell r="AF208"/>
        </row>
        <row r="209">
          <cell r="Y209">
            <v>193</v>
          </cell>
          <cell r="Z209">
            <v>0.41684987954795361</v>
          </cell>
          <cell r="AA209">
            <v>-3.5489529789393841E-2</v>
          </cell>
          <cell r="AB209"/>
          <cell r="AC209" t="e">
            <v>#N/A</v>
          </cell>
          <cell r="AD209">
            <v>122</v>
          </cell>
          <cell r="AE209" t="e">
            <v>#N/A</v>
          </cell>
          <cell r="AF209"/>
        </row>
        <row r="210">
          <cell r="Y210">
            <v>194</v>
          </cell>
          <cell r="Z210">
            <v>0.21452797017991543</v>
          </cell>
          <cell r="AA210">
            <v>-0.13367097827649205</v>
          </cell>
          <cell r="AB210"/>
          <cell r="AC210" t="e">
            <v>#N/A</v>
          </cell>
          <cell r="AD210">
            <v>123</v>
          </cell>
          <cell r="AE210" t="e">
            <v>#N/A</v>
          </cell>
          <cell r="AF210"/>
        </row>
        <row r="211">
          <cell r="Y211">
            <v>195</v>
          </cell>
          <cell r="Z211">
            <v>0.49066276662051678</v>
          </cell>
          <cell r="AA211">
            <v>-3.9565237977939212E-3</v>
          </cell>
          <cell r="AB211"/>
          <cell r="AC211" t="e">
            <v>#N/A</v>
          </cell>
          <cell r="AD211">
            <v>124</v>
          </cell>
          <cell r="AE211" t="e">
            <v>#N/A</v>
          </cell>
          <cell r="AF211"/>
        </row>
        <row r="212">
          <cell r="Y212">
            <v>196</v>
          </cell>
          <cell r="Z212">
            <v>4.4821133837103844E-2</v>
          </cell>
          <cell r="AA212">
            <v>-0.28689399661418136</v>
          </cell>
          <cell r="AB212"/>
          <cell r="AC212" t="e">
            <v>#N/A</v>
          </cell>
          <cell r="AD212">
            <v>125</v>
          </cell>
          <cell r="AE212" t="e">
            <v>#N/A</v>
          </cell>
          <cell r="AF212"/>
        </row>
        <row r="213">
          <cell r="Y213">
            <v>197</v>
          </cell>
          <cell r="Z213">
            <v>0.92104577831923962</v>
          </cell>
          <cell r="AA213">
            <v>0.23869539788317534</v>
          </cell>
          <cell r="AB213"/>
          <cell r="AC213" t="e">
            <v>#N/A</v>
          </cell>
          <cell r="AD213">
            <v>126</v>
          </cell>
          <cell r="AE213" t="e">
            <v>#N/A</v>
          </cell>
          <cell r="AF213"/>
        </row>
        <row r="214">
          <cell r="Y214">
            <v>198</v>
          </cell>
          <cell r="Z214">
            <v>0.75678751431405544</v>
          </cell>
          <cell r="AA214">
            <v>0.11764651366646847</v>
          </cell>
          <cell r="AB214"/>
          <cell r="AC214" t="e">
            <v>#N/A</v>
          </cell>
          <cell r="AD214">
            <v>127</v>
          </cell>
          <cell r="AE214" t="e">
            <v>#N/A</v>
          </cell>
          <cell r="AF214"/>
        </row>
        <row r="215">
          <cell r="Y215">
            <v>199</v>
          </cell>
          <cell r="Z215">
            <v>0.98137824051082134</v>
          </cell>
          <cell r="AA215">
            <v>0.35210555116204029</v>
          </cell>
          <cell r="AB215"/>
          <cell r="AC215" t="e">
            <v>#N/A</v>
          </cell>
          <cell r="AD215">
            <v>128</v>
          </cell>
          <cell r="AE215" t="e">
            <v>#N/A</v>
          </cell>
          <cell r="AF215"/>
        </row>
        <row r="216">
          <cell r="Y216">
            <v>200</v>
          </cell>
          <cell r="Z216">
            <v>0.16302534006536007</v>
          </cell>
          <cell r="AA216">
            <v>-0.16600516623744849</v>
          </cell>
          <cell r="AB216"/>
          <cell r="AC216" t="e">
            <v>#N/A</v>
          </cell>
          <cell r="AD216">
            <v>129</v>
          </cell>
          <cell r="AE216" t="e">
            <v>#N/A</v>
          </cell>
          <cell r="AF216"/>
        </row>
        <row r="217">
          <cell r="Y217">
            <v>201</v>
          </cell>
          <cell r="Z217">
            <v>0.51998302154242992</v>
          </cell>
          <cell r="AA217">
            <v>8.4703001153328614E-3</v>
          </cell>
          <cell r="AB217"/>
          <cell r="AC217" t="e">
            <v>#N/A</v>
          </cell>
          <cell r="AD217">
            <v>130</v>
          </cell>
          <cell r="AE217" t="e">
            <v>#N/A</v>
          </cell>
          <cell r="AF217"/>
        </row>
        <row r="218">
          <cell r="Y218">
            <v>202</v>
          </cell>
          <cell r="Z218">
            <v>0.97520357929170132</v>
          </cell>
          <cell r="AA218">
            <v>0.33188517850583454</v>
          </cell>
          <cell r="AB218"/>
          <cell r="AC218" t="e">
            <v>#N/A</v>
          </cell>
          <cell r="AD218">
            <v>131</v>
          </cell>
          <cell r="AE218" t="e">
            <v>#N/A</v>
          </cell>
          <cell r="AF218"/>
        </row>
        <row r="219">
          <cell r="Y219">
            <v>203</v>
          </cell>
          <cell r="Z219">
            <v>0.47056354396045208</v>
          </cell>
          <cell r="AA219">
            <v>-1.2483492006269841E-2</v>
          </cell>
          <cell r="AB219"/>
          <cell r="AC219" t="e">
            <v>#N/A</v>
          </cell>
          <cell r="AD219">
            <v>132</v>
          </cell>
          <cell r="AE219" t="e">
            <v>#N/A</v>
          </cell>
          <cell r="AF219"/>
        </row>
        <row r="220">
          <cell r="Y220">
            <v>204</v>
          </cell>
          <cell r="Z220">
            <v>0.55693059228360653</v>
          </cell>
          <cell r="AA220">
            <v>2.4203808324562478E-2</v>
          </cell>
          <cell r="AB220"/>
          <cell r="AC220" t="e">
            <v>#N/A</v>
          </cell>
          <cell r="AD220">
            <v>133</v>
          </cell>
          <cell r="AE220" t="e">
            <v>#N/A</v>
          </cell>
          <cell r="AF220"/>
        </row>
        <row r="221">
          <cell r="Y221">
            <v>205</v>
          </cell>
          <cell r="Z221">
            <v>0.16293376497924328</v>
          </cell>
          <cell r="AA221">
            <v>-0.16606802349429536</v>
          </cell>
          <cell r="AB221"/>
          <cell r="AC221" t="e">
            <v>#N/A</v>
          </cell>
          <cell r="AD221">
            <v>134</v>
          </cell>
          <cell r="AE221" t="e">
            <v>#N/A</v>
          </cell>
          <cell r="AF221"/>
        </row>
        <row r="222">
          <cell r="Y222">
            <v>206</v>
          </cell>
          <cell r="Z222">
            <v>0.7679313775151968</v>
          </cell>
          <cell r="AA222">
            <v>0.12373925745136645</v>
          </cell>
          <cell r="AB222"/>
          <cell r="AC222" t="e">
            <v>#N/A</v>
          </cell>
          <cell r="AD222">
            <v>135</v>
          </cell>
          <cell r="AE222" t="e">
            <v>#N/A</v>
          </cell>
          <cell r="AF222"/>
        </row>
        <row r="223">
          <cell r="Y223">
            <v>207</v>
          </cell>
          <cell r="Z223">
            <v>0.75825987569987774</v>
          </cell>
          <cell r="AA223">
            <v>0.11844262724522145</v>
          </cell>
          <cell r="AB223"/>
          <cell r="AC223" t="e">
            <v>#N/A</v>
          </cell>
          <cell r="AD223">
            <v>136</v>
          </cell>
          <cell r="AE223" t="e">
            <v>#N/A</v>
          </cell>
          <cell r="AF223"/>
        </row>
        <row r="224">
          <cell r="Y224">
            <v>208</v>
          </cell>
          <cell r="Z224">
            <v>0.61437716148793697</v>
          </cell>
          <cell r="AA224">
            <v>4.9145024036776515E-2</v>
          </cell>
          <cell r="AB224"/>
          <cell r="AC224" t="e">
            <v>#N/A</v>
          </cell>
          <cell r="AD224">
            <v>137</v>
          </cell>
          <cell r="AE224" t="e">
            <v>#N/A</v>
          </cell>
          <cell r="AF224"/>
        </row>
        <row r="225">
          <cell r="Y225">
            <v>209</v>
          </cell>
          <cell r="Z225">
            <v>0.60178246907889843</v>
          </cell>
          <cell r="AA225">
            <v>4.3603793200760195E-2</v>
          </cell>
          <cell r="AB225"/>
          <cell r="AC225" t="e">
            <v>#N/A</v>
          </cell>
          <cell r="AD225">
            <v>138</v>
          </cell>
          <cell r="AE225" t="e">
            <v>#N/A</v>
          </cell>
          <cell r="AF225"/>
        </row>
        <row r="226">
          <cell r="Y226">
            <v>210</v>
          </cell>
          <cell r="Z226">
            <v>0.51396108232438564</v>
          </cell>
          <cell r="AA226">
            <v>5.9164837131772743E-3</v>
          </cell>
          <cell r="AB226"/>
          <cell r="AC226" t="e">
            <v>#N/A</v>
          </cell>
          <cell r="AD226">
            <v>139</v>
          </cell>
          <cell r="AE226" t="e">
            <v>#N/A</v>
          </cell>
          <cell r="AF226"/>
        </row>
        <row r="227">
          <cell r="Y227">
            <v>211</v>
          </cell>
          <cell r="Z227">
            <v>0.50473792664706707</v>
          </cell>
          <cell r="AA227">
            <v>2.0074949164634423E-3</v>
          </cell>
          <cell r="AB227"/>
          <cell r="AC227" t="e">
            <v>#N/A</v>
          </cell>
          <cell r="AD227">
            <v>140</v>
          </cell>
          <cell r="AE227" t="e">
            <v>#N/A</v>
          </cell>
          <cell r="AF227"/>
        </row>
        <row r="228">
          <cell r="Y228">
            <v>212</v>
          </cell>
          <cell r="Z228">
            <v>0.82806371711194515</v>
          </cell>
          <cell r="AA228">
            <v>0.15999468201041162</v>
          </cell>
          <cell r="AB228"/>
          <cell r="AC228" t="e">
            <v>#N/A</v>
          </cell>
          <cell r="AD228">
            <v>141</v>
          </cell>
          <cell r="AE228" t="e">
            <v>#N/A</v>
          </cell>
          <cell r="AF228"/>
        </row>
        <row r="229">
          <cell r="Y229">
            <v>213</v>
          </cell>
          <cell r="Z229">
            <v>0.93594777397811413</v>
          </cell>
          <cell r="AA229">
            <v>0.25720063659493886</v>
          </cell>
          <cell r="AB229"/>
          <cell r="AC229" t="e">
            <v>#N/A</v>
          </cell>
          <cell r="AD229">
            <v>142</v>
          </cell>
          <cell r="AE229" t="e">
            <v>#N/A</v>
          </cell>
          <cell r="AF229"/>
        </row>
        <row r="230">
          <cell r="Y230">
            <v>214</v>
          </cell>
          <cell r="Z230">
            <v>0.9071022029966116</v>
          </cell>
          <cell r="AA230">
            <v>0.22364803881744991</v>
          </cell>
          <cell r="AB230"/>
          <cell r="AC230" t="e">
            <v>#N/A</v>
          </cell>
          <cell r="AD230">
            <v>143</v>
          </cell>
          <cell r="AE230" t="e">
            <v>#N/A</v>
          </cell>
          <cell r="AF230"/>
        </row>
        <row r="231">
          <cell r="Y231">
            <v>215</v>
          </cell>
          <cell r="Z231">
            <v>0.82229475490748882</v>
          </cell>
          <cell r="AA231">
            <v>0.15620912503383866</v>
          </cell>
          <cell r="AB231"/>
          <cell r="AC231" t="e">
            <v>#N/A</v>
          </cell>
          <cell r="AD231">
            <v>144</v>
          </cell>
          <cell r="AE231" t="e">
            <v>#N/A</v>
          </cell>
          <cell r="AF231"/>
        </row>
        <row r="232">
          <cell r="Y232">
            <v>216</v>
          </cell>
          <cell r="Z232">
            <v>0.23890670202672482</v>
          </cell>
          <cell r="AA232">
            <v>-0.11998212208163064</v>
          </cell>
          <cell r="AB232"/>
          <cell r="AC232" t="e">
            <v>#N/A</v>
          </cell>
          <cell r="AD232">
            <v>145</v>
          </cell>
          <cell r="AE232" t="e">
            <v>#N/A</v>
          </cell>
          <cell r="AF232"/>
        </row>
        <row r="233">
          <cell r="Y233">
            <v>217</v>
          </cell>
          <cell r="Z233">
            <v>0.12605437450110912</v>
          </cell>
          <cell r="AA233">
            <v>-0.19358130146757169</v>
          </cell>
          <cell r="AB233"/>
          <cell r="AC233" t="e">
            <v>#N/A</v>
          </cell>
          <cell r="AD233">
            <v>146</v>
          </cell>
          <cell r="AE233" t="e">
            <v>#N/A</v>
          </cell>
          <cell r="AF233"/>
        </row>
        <row r="234">
          <cell r="Y234">
            <v>218</v>
          </cell>
          <cell r="Z234">
            <v>0.38371795974671841</v>
          </cell>
          <cell r="AA234">
            <v>-4.9987574375181962E-2</v>
          </cell>
          <cell r="AB234"/>
          <cell r="AC234" t="e">
            <v>#N/A</v>
          </cell>
          <cell r="AD234">
            <v>147</v>
          </cell>
          <cell r="AE234" t="e">
            <v>#N/A</v>
          </cell>
          <cell r="AF234"/>
        </row>
        <row r="235">
          <cell r="Y235">
            <v>219</v>
          </cell>
          <cell r="Z235">
            <v>0.58580066077411175</v>
          </cell>
          <cell r="AA235">
            <v>3.6638413207321613E-2</v>
          </cell>
          <cell r="AB235"/>
          <cell r="AC235" t="e">
            <v>#N/A</v>
          </cell>
          <cell r="AD235">
            <v>148</v>
          </cell>
          <cell r="AE235" t="e">
            <v>#N/A</v>
          </cell>
          <cell r="AF235"/>
        </row>
        <row r="236">
          <cell r="Y236">
            <v>220</v>
          </cell>
          <cell r="Z236">
            <v>0.22314970754086971</v>
          </cell>
          <cell r="AA236">
            <v>-0.12873371481019355</v>
          </cell>
          <cell r="AB236"/>
          <cell r="AC236" t="e">
            <v>#N/A</v>
          </cell>
          <cell r="AD236">
            <v>149</v>
          </cell>
          <cell r="AE236" t="e">
            <v>#N/A</v>
          </cell>
          <cell r="AF236"/>
        </row>
        <row r="237">
          <cell r="Y237">
            <v>221</v>
          </cell>
          <cell r="Z237">
            <v>0.97635489515960217</v>
          </cell>
          <cell r="AA237">
            <v>0.33530511080722808</v>
          </cell>
          <cell r="AB237"/>
          <cell r="AC237" t="e">
            <v>#N/A</v>
          </cell>
          <cell r="AD237">
            <v>150</v>
          </cell>
          <cell r="AE237" t="e">
            <v>#N/A</v>
          </cell>
          <cell r="AF237"/>
        </row>
        <row r="238">
          <cell r="Y238">
            <v>222</v>
          </cell>
          <cell r="Z238">
            <v>0.64420965872704983</v>
          </cell>
          <cell r="AA238">
            <v>6.2496455662757529E-2</v>
          </cell>
          <cell r="AB238"/>
          <cell r="AC238" t="e">
            <v>#N/A</v>
          </cell>
          <cell r="AD238">
            <v>151</v>
          </cell>
          <cell r="AE238" t="e">
            <v>#N/A</v>
          </cell>
          <cell r="AF238"/>
        </row>
        <row r="239">
          <cell r="Y239">
            <v>223</v>
          </cell>
          <cell r="Z239">
            <v>0.96199606172740459</v>
          </cell>
          <cell r="AA239">
            <v>0.29991723011848281</v>
          </cell>
          <cell r="AB239"/>
          <cell r="AC239" t="e">
            <v>#N/A</v>
          </cell>
          <cell r="AD239">
            <v>152</v>
          </cell>
          <cell r="AE239" t="e">
            <v>#N/A</v>
          </cell>
          <cell r="AF239"/>
        </row>
        <row r="240">
          <cell r="Y240">
            <v>224</v>
          </cell>
          <cell r="Z240">
            <v>0.12322284840047359</v>
          </cell>
          <cell r="AA240">
            <v>-0.19591110560210656</v>
          </cell>
          <cell r="AB240"/>
          <cell r="AC240" t="e">
            <v>#N/A</v>
          </cell>
          <cell r="AD240">
            <v>153</v>
          </cell>
          <cell r="AE240" t="e">
            <v>#N/A</v>
          </cell>
          <cell r="AF240"/>
        </row>
        <row r="241">
          <cell r="Y241">
            <v>225</v>
          </cell>
          <cell r="Z241">
            <v>8.5901765152812004E-2</v>
          </cell>
          <cell r="AA241">
            <v>-0.23096909921553629</v>
          </cell>
          <cell r="AB241"/>
          <cell r="AC241" t="e">
            <v>#N/A</v>
          </cell>
          <cell r="AD241">
            <v>154</v>
          </cell>
          <cell r="AE241" t="e">
            <v>#N/A</v>
          </cell>
          <cell r="AF241"/>
        </row>
        <row r="242">
          <cell r="Y242">
            <v>226</v>
          </cell>
          <cell r="Z242">
            <v>0.76825106702744961</v>
          </cell>
          <cell r="AA242">
            <v>0.12391639881299249</v>
          </cell>
          <cell r="AB242"/>
          <cell r="AC242" t="e">
            <v>#N/A</v>
          </cell>
          <cell r="AD242">
            <v>155</v>
          </cell>
          <cell r="AE242" t="e">
            <v>#N/A</v>
          </cell>
          <cell r="AF242"/>
        </row>
        <row r="243">
          <cell r="Y243">
            <v>227</v>
          </cell>
          <cell r="Z243">
            <v>0.65753836743533611</v>
          </cell>
          <cell r="AA243">
            <v>6.8584965892536112E-2</v>
          </cell>
          <cell r="AB243"/>
          <cell r="AC243" t="e">
            <v>#N/A</v>
          </cell>
          <cell r="AD243">
            <v>156</v>
          </cell>
          <cell r="AE243" t="e">
            <v>#N/A</v>
          </cell>
          <cell r="AF243"/>
        </row>
        <row r="244">
          <cell r="Y244">
            <v>228</v>
          </cell>
          <cell r="Z244">
            <v>0.22235213778913021</v>
          </cell>
          <cell r="AA244">
            <v>-0.12918579960120885</v>
          </cell>
          <cell r="AB244"/>
          <cell r="AC244" t="e">
            <v>#N/A</v>
          </cell>
          <cell r="AD244">
            <v>157</v>
          </cell>
          <cell r="AE244" t="e">
            <v>#N/A</v>
          </cell>
          <cell r="AF244"/>
        </row>
        <row r="245">
          <cell r="Y245">
            <v>229</v>
          </cell>
          <cell r="Z245">
            <v>0.26846909336745739</v>
          </cell>
          <cell r="AA245">
            <v>-0.10436803852400081</v>
          </cell>
          <cell r="AB245"/>
          <cell r="AC245" t="e">
            <v>#N/A</v>
          </cell>
          <cell r="AD245">
            <v>158</v>
          </cell>
          <cell r="AE245" t="e">
            <v>#N/A</v>
          </cell>
          <cell r="AF245"/>
        </row>
        <row r="246">
          <cell r="Y246">
            <v>230</v>
          </cell>
          <cell r="Z246">
            <v>0.4237727876752615</v>
          </cell>
          <cell r="AA246">
            <v>-3.2496355161169103E-2</v>
          </cell>
          <cell r="AB246"/>
          <cell r="AC246" t="e">
            <v>#N/A</v>
          </cell>
          <cell r="AD246">
            <v>159</v>
          </cell>
          <cell r="AE246" t="e">
            <v>#N/A</v>
          </cell>
          <cell r="AF246"/>
        </row>
        <row r="247">
          <cell r="Y247">
            <v>231</v>
          </cell>
          <cell r="Z247">
            <v>0.38579885475337505</v>
          </cell>
          <cell r="AA247">
            <v>-4.9067231889754891E-2</v>
          </cell>
          <cell r="AB247"/>
          <cell r="AC247" t="e">
            <v>#N/A</v>
          </cell>
          <cell r="AD247">
            <v>160</v>
          </cell>
          <cell r="AE247" t="e">
            <v>#N/A</v>
          </cell>
          <cell r="AF247"/>
        </row>
        <row r="248">
          <cell r="Y248">
            <v>232</v>
          </cell>
          <cell r="Z248">
            <v>0.56291886232793331</v>
          </cell>
          <cell r="AA248">
            <v>2.67700544138804E-2</v>
          </cell>
          <cell r="AB248"/>
          <cell r="AC248" t="e">
            <v>#N/A</v>
          </cell>
          <cell r="AD248">
            <v>161</v>
          </cell>
          <cell r="AE248" t="e">
            <v>#N/A</v>
          </cell>
          <cell r="AF248"/>
        </row>
        <row r="249">
          <cell r="Y249">
            <v>233</v>
          </cell>
          <cell r="Z249">
            <v>0.94122454337775707</v>
          </cell>
          <cell r="AA249">
            <v>0.26455634980349424</v>
          </cell>
          <cell r="AB249"/>
          <cell r="AC249" t="e">
            <v>#N/A</v>
          </cell>
          <cell r="AD249">
            <v>162</v>
          </cell>
          <cell r="AE249" t="e">
            <v>#N/A</v>
          </cell>
          <cell r="AF249"/>
        </row>
        <row r="250">
          <cell r="Y250">
            <v>234</v>
          </cell>
          <cell r="Z250">
            <v>0.66969663463532925</v>
          </cell>
          <cell r="AA250">
            <v>7.421732874633305E-2</v>
          </cell>
          <cell r="AB250"/>
          <cell r="AC250" t="e">
            <v>#N/A</v>
          </cell>
          <cell r="AD250">
            <v>163</v>
          </cell>
          <cell r="AE250" t="e">
            <v>#N/A</v>
          </cell>
          <cell r="AF250"/>
        </row>
        <row r="251">
          <cell r="Y251">
            <v>235</v>
          </cell>
          <cell r="Z251">
            <v>5.2409542724490166E-2</v>
          </cell>
          <cell r="AA251">
            <v>-0.27415561742321953</v>
          </cell>
          <cell r="AB251"/>
          <cell r="AC251" t="e">
            <v>#N/A</v>
          </cell>
          <cell r="AD251">
            <v>164</v>
          </cell>
          <cell r="AE251" t="e">
            <v>#N/A</v>
          </cell>
          <cell r="AF251"/>
        </row>
        <row r="252">
          <cell r="Y252">
            <v>236</v>
          </cell>
          <cell r="Z252">
            <v>0.10856895707547665</v>
          </cell>
          <cell r="AA252">
            <v>-0.20861355377312454</v>
          </cell>
          <cell r="AB252"/>
          <cell r="AC252" t="e">
            <v>#N/A</v>
          </cell>
          <cell r="AD252">
            <v>165</v>
          </cell>
          <cell r="AE252" t="e">
            <v>#N/A</v>
          </cell>
          <cell r="AF252"/>
        </row>
        <row r="253">
          <cell r="Y253">
            <v>237</v>
          </cell>
          <cell r="Z253">
            <v>0.9821512084454298</v>
          </cell>
          <cell r="AA253">
            <v>0.3550248723589719</v>
          </cell>
          <cell r="AB253"/>
          <cell r="AC253" t="e">
            <v>#N/A</v>
          </cell>
          <cell r="AD253">
            <v>166</v>
          </cell>
          <cell r="AE253" t="e">
            <v>#N/A</v>
          </cell>
          <cell r="AF253"/>
        </row>
        <row r="254">
          <cell r="Y254">
            <v>238</v>
          </cell>
          <cell r="Z254">
            <v>0.8524200078099966</v>
          </cell>
          <cell r="AA254">
            <v>0.17695316406383327</v>
          </cell>
          <cell r="AB254"/>
          <cell r="AC254" t="e">
            <v>#N/A</v>
          </cell>
          <cell r="AD254">
            <v>167</v>
          </cell>
          <cell r="AE254" t="e">
            <v>#N/A</v>
          </cell>
          <cell r="AF254"/>
        </row>
        <row r="255">
          <cell r="Y255">
            <v>239</v>
          </cell>
          <cell r="Z255">
            <v>0.1595600675791502</v>
          </cell>
          <cell r="AA255">
            <v>-0.16839996249754377</v>
          </cell>
          <cell r="AB255"/>
          <cell r="AC255" t="e">
            <v>#N/A</v>
          </cell>
          <cell r="AD255">
            <v>168</v>
          </cell>
          <cell r="AE255" t="e">
            <v>#N/A</v>
          </cell>
          <cell r="AF255"/>
        </row>
        <row r="256">
          <cell r="Y256">
            <v>240</v>
          </cell>
          <cell r="Z256">
            <v>0.75007238052785397</v>
          </cell>
          <cell r="AA256">
            <v>0.11404807984151451</v>
          </cell>
          <cell r="AB256"/>
          <cell r="AC256" t="e">
            <v>#N/A</v>
          </cell>
          <cell r="AD256">
            <v>169</v>
          </cell>
          <cell r="AE256" t="e">
            <v>#N/A</v>
          </cell>
          <cell r="AF256"/>
        </row>
        <row r="257">
          <cell r="Y257">
            <v>241</v>
          </cell>
          <cell r="Z257">
            <v>0.55621948651969433</v>
          </cell>
          <cell r="AA257">
            <v>2.3899448930029217E-2</v>
          </cell>
          <cell r="AB257"/>
          <cell r="AC257" t="e">
            <v>#N/A</v>
          </cell>
          <cell r="AD257">
            <v>170</v>
          </cell>
          <cell r="AE257" t="e">
            <v>#N/A</v>
          </cell>
          <cell r="AF257"/>
        </row>
        <row r="258">
          <cell r="Y258">
            <v>242</v>
          </cell>
          <cell r="Z258">
            <v>9.6050268039107323E-2</v>
          </cell>
          <cell r="AA258">
            <v>-0.22048220470483898</v>
          </cell>
          <cell r="AB258"/>
          <cell r="AC258" t="e">
            <v>#N/A</v>
          </cell>
          <cell r="AD258">
            <v>171</v>
          </cell>
          <cell r="AE258" t="e">
            <v>#N/A</v>
          </cell>
          <cell r="AF258"/>
        </row>
        <row r="259">
          <cell r="Y259">
            <v>243</v>
          </cell>
          <cell r="Z259">
            <v>0.92904455773532391</v>
          </cell>
          <cell r="AA259">
            <v>0.24825766203398572</v>
          </cell>
          <cell r="AB259"/>
          <cell r="AC259" t="e">
            <v>#N/A</v>
          </cell>
          <cell r="AD259">
            <v>172</v>
          </cell>
          <cell r="AE259" t="e">
            <v>#N/A</v>
          </cell>
          <cell r="AF259"/>
        </row>
        <row r="260">
          <cell r="Y260">
            <v>244</v>
          </cell>
          <cell r="Z260">
            <v>0.65493248961865902</v>
          </cell>
          <cell r="AA260">
            <v>6.7387840126302376E-2</v>
          </cell>
          <cell r="AB260"/>
          <cell r="AC260" t="e">
            <v>#N/A</v>
          </cell>
          <cell r="AD260">
            <v>173</v>
          </cell>
          <cell r="AE260" t="e">
            <v>#N/A</v>
          </cell>
          <cell r="AF260"/>
        </row>
        <row r="261">
          <cell r="Y261">
            <v>245</v>
          </cell>
          <cell r="Z261">
            <v>0.4103089552372694</v>
          </cell>
          <cell r="AA261">
            <v>-3.8327796470792791E-2</v>
          </cell>
          <cell r="AB261"/>
          <cell r="AC261" t="e">
            <v>#N/A</v>
          </cell>
          <cell r="AD261">
            <v>174</v>
          </cell>
          <cell r="AE261" t="e">
            <v>#N/A</v>
          </cell>
          <cell r="AF261"/>
        </row>
        <row r="262">
          <cell r="Y262">
            <v>246</v>
          </cell>
          <cell r="Z262">
            <v>0.88638911210000515</v>
          </cell>
          <cell r="AA262">
            <v>0.20411260049371757</v>
          </cell>
          <cell r="AB262"/>
          <cell r="AC262" t="e">
            <v>#N/A</v>
          </cell>
          <cell r="AD262">
            <v>175</v>
          </cell>
          <cell r="AE262" t="e">
            <v>#N/A</v>
          </cell>
          <cell r="AF262"/>
        </row>
        <row r="263">
          <cell r="Y263">
            <v>247</v>
          </cell>
          <cell r="Z263">
            <v>0.64405850879848003</v>
          </cell>
          <cell r="AA263">
            <v>6.2427888522942801E-2</v>
          </cell>
          <cell r="AB263"/>
          <cell r="AC263" t="e">
            <v>#N/A</v>
          </cell>
          <cell r="AD263">
            <v>176</v>
          </cell>
          <cell r="AE263" t="e">
            <v>#N/A</v>
          </cell>
          <cell r="AF263"/>
        </row>
        <row r="264">
          <cell r="Y264">
            <v>248</v>
          </cell>
          <cell r="Z264">
            <v>0.46074541471898556</v>
          </cell>
          <cell r="AA264">
            <v>-1.6658999722075261E-2</v>
          </cell>
          <cell r="AB264"/>
          <cell r="AC264" t="e">
            <v>#N/A</v>
          </cell>
          <cell r="AD264">
            <v>177</v>
          </cell>
          <cell r="AE264" t="e">
            <v>#N/A</v>
          </cell>
          <cell r="AF264"/>
        </row>
        <row r="265">
          <cell r="Y265">
            <v>249</v>
          </cell>
          <cell r="Z265">
            <v>0.13688024692237377</v>
          </cell>
          <cell r="AA265">
            <v>-0.1849947240617868</v>
          </cell>
          <cell r="AB265"/>
          <cell r="AC265" t="e">
            <v>#N/A</v>
          </cell>
          <cell r="AD265">
            <v>178</v>
          </cell>
          <cell r="AE265" t="e">
            <v>#N/A</v>
          </cell>
          <cell r="AF265"/>
        </row>
        <row r="266">
          <cell r="Y266">
            <v>250</v>
          </cell>
          <cell r="Z266">
            <v>0.24866694770753384</v>
          </cell>
          <cell r="AA266">
            <v>-0.11471965710966009</v>
          </cell>
          <cell r="AB266"/>
          <cell r="AC266" t="e">
            <v>#N/A</v>
          </cell>
          <cell r="AD266">
            <v>179</v>
          </cell>
          <cell r="AE266" t="e">
            <v>#N/A</v>
          </cell>
          <cell r="AF266"/>
        </row>
        <row r="267">
          <cell r="Y267">
            <v>251</v>
          </cell>
          <cell r="Z267">
            <v>0.70974565856158733</v>
          </cell>
          <cell r="AA267">
            <v>9.341352122700991E-2</v>
          </cell>
          <cell r="AB267"/>
          <cell r="AC267" t="e">
            <v>#N/A</v>
          </cell>
          <cell r="AD267">
            <v>180</v>
          </cell>
          <cell r="AE267" t="e">
            <v>#N/A</v>
          </cell>
          <cell r="AF267"/>
        </row>
        <row r="268">
          <cell r="Y268">
            <v>252</v>
          </cell>
          <cell r="Z268">
            <v>0.81230943463742733</v>
          </cell>
          <cell r="AA268">
            <v>0.14983550099823223</v>
          </cell>
          <cell r="AB268"/>
          <cell r="AC268" t="e">
            <v>#N/A</v>
          </cell>
          <cell r="AD268">
            <v>181</v>
          </cell>
          <cell r="AE268" t="e">
            <v>#N/A</v>
          </cell>
          <cell r="AF268"/>
        </row>
        <row r="269">
          <cell r="Y269">
            <v>253</v>
          </cell>
          <cell r="Z269">
            <v>0.90639692358672619</v>
          </cell>
          <cell r="AA269">
            <v>0.22293296602473231</v>
          </cell>
          <cell r="AB269"/>
          <cell r="AC269" t="e">
            <v>#N/A</v>
          </cell>
          <cell r="AD269">
            <v>182</v>
          </cell>
          <cell r="AE269" t="e">
            <v>#N/A</v>
          </cell>
          <cell r="AF269"/>
        </row>
        <row r="270">
          <cell r="Y270">
            <v>254</v>
          </cell>
          <cell r="Z270">
            <v>1.9027268514037132E-2</v>
          </cell>
          <cell r="AA270">
            <v>-0.35061508656173618</v>
          </cell>
          <cell r="AB270"/>
          <cell r="AC270" t="e">
            <v>#N/A</v>
          </cell>
          <cell r="AD270">
            <v>183</v>
          </cell>
          <cell r="AE270" t="e">
            <v>#N/A</v>
          </cell>
          <cell r="AF270"/>
        </row>
        <row r="271">
          <cell r="Y271">
            <v>255</v>
          </cell>
          <cell r="Z271">
            <v>0.93249486200511456</v>
          </cell>
          <cell r="AA271">
            <v>0.25263907024977833</v>
          </cell>
          <cell r="AB271"/>
          <cell r="AC271" t="e">
            <v>#N/A</v>
          </cell>
          <cell r="AD271">
            <v>184</v>
          </cell>
          <cell r="AE271" t="e">
            <v>#N/A</v>
          </cell>
          <cell r="AF271"/>
        </row>
        <row r="272">
          <cell r="Y272">
            <v>256</v>
          </cell>
          <cell r="Z272">
            <v>0.74248435162007809</v>
          </cell>
          <cell r="AA272">
            <v>0.11004306153589045</v>
          </cell>
          <cell r="AB272"/>
          <cell r="AC272" t="e">
            <v>#N/A</v>
          </cell>
          <cell r="AD272">
            <v>185</v>
          </cell>
          <cell r="AE272" t="e">
            <v>#N/A</v>
          </cell>
          <cell r="AF272"/>
        </row>
        <row r="273">
          <cell r="Y273">
            <v>257</v>
          </cell>
          <cell r="Z273">
            <v>0.1684973519295454</v>
          </cell>
          <cell r="AA273">
            <v>-0.16228994088721946</v>
          </cell>
          <cell r="AB273"/>
          <cell r="AC273" t="e">
            <v>#N/A</v>
          </cell>
          <cell r="AD273">
            <v>186</v>
          </cell>
          <cell r="AE273" t="e">
            <v>#N/A</v>
          </cell>
          <cell r="AF273"/>
        </row>
        <row r="274">
          <cell r="Y274">
            <v>258</v>
          </cell>
          <cell r="Z274">
            <v>0.70976102910935879</v>
          </cell>
          <cell r="AA274">
            <v>9.3421108229659128E-2</v>
          </cell>
          <cell r="AB274"/>
          <cell r="AC274" t="e">
            <v>#N/A</v>
          </cell>
          <cell r="AD274">
            <v>187</v>
          </cell>
          <cell r="AE274" t="e">
            <v>#N/A</v>
          </cell>
          <cell r="AF274"/>
        </row>
        <row r="275">
          <cell r="Y275">
            <v>259</v>
          </cell>
          <cell r="Z275">
            <v>0.51798696629703045</v>
          </cell>
          <cell r="AA275">
            <v>7.6236166881654714E-3</v>
          </cell>
          <cell r="AB275"/>
          <cell r="AC275" t="e">
            <v>#N/A</v>
          </cell>
          <cell r="AD275">
            <v>188</v>
          </cell>
          <cell r="AE275" t="e">
            <v>#N/A</v>
          </cell>
          <cell r="AF275"/>
        </row>
        <row r="276">
          <cell r="Y276">
            <v>260</v>
          </cell>
          <cell r="Z276">
            <v>0.39680086635053158</v>
          </cell>
          <cell r="AA276">
            <v>-4.4224633286235111E-2</v>
          </cell>
          <cell r="AB276"/>
          <cell r="AC276" t="e">
            <v>#N/A</v>
          </cell>
          <cell r="AD276">
            <v>189</v>
          </cell>
          <cell r="AE276" t="e">
            <v>#N/A</v>
          </cell>
          <cell r="AF276"/>
        </row>
        <row r="277">
          <cell r="Y277">
            <v>261</v>
          </cell>
          <cell r="Z277">
            <v>0.82191657833755016</v>
          </cell>
          <cell r="AA277">
            <v>0.1559637034037637</v>
          </cell>
          <cell r="AB277"/>
          <cell r="AC277" t="e">
            <v>#N/A</v>
          </cell>
          <cell r="AD277">
            <v>190</v>
          </cell>
          <cell r="AE277" t="e">
            <v>#N/A</v>
          </cell>
          <cell r="AF277"/>
        </row>
        <row r="278">
          <cell r="Y278">
            <v>262</v>
          </cell>
          <cell r="Z278">
            <v>0.46829102002084255</v>
          </cell>
          <cell r="AA278">
            <v>-1.3449193158999E-2</v>
          </cell>
          <cell r="AB278"/>
          <cell r="AC278" t="e">
            <v>#N/A</v>
          </cell>
          <cell r="AD278">
            <v>191</v>
          </cell>
          <cell r="AE278" t="e">
            <v>#N/A</v>
          </cell>
          <cell r="AF278"/>
        </row>
        <row r="279">
          <cell r="Y279">
            <v>263</v>
          </cell>
          <cell r="Z279">
            <v>0.28799168579280376</v>
          </cell>
          <cell r="AA279">
            <v>-9.4532421204649109E-2</v>
          </cell>
          <cell r="AB279"/>
          <cell r="AC279" t="e">
            <v>#N/A</v>
          </cell>
          <cell r="AD279">
            <v>192</v>
          </cell>
          <cell r="AE279" t="e">
            <v>#N/A</v>
          </cell>
          <cell r="AF279"/>
        </row>
        <row r="280">
          <cell r="Y280">
            <v>264</v>
          </cell>
          <cell r="Z280">
            <v>0.60181995294988155</v>
          </cell>
          <cell r="AA280">
            <v>4.362021254809538E-2</v>
          </cell>
          <cell r="AB280"/>
          <cell r="AC280" t="e">
            <v>#N/A</v>
          </cell>
          <cell r="AD280">
            <v>193</v>
          </cell>
          <cell r="AE280" t="e">
            <v>#N/A</v>
          </cell>
          <cell r="AF280"/>
        </row>
        <row r="281">
          <cell r="Y281">
            <v>265</v>
          </cell>
          <cell r="Z281">
            <v>0.35315820388495922</v>
          </cell>
          <cell r="AA281">
            <v>-6.3692151256516366E-2</v>
          </cell>
          <cell r="AB281"/>
          <cell r="AC281" t="e">
            <v>#N/A</v>
          </cell>
          <cell r="AD281">
            <v>194</v>
          </cell>
          <cell r="AE281" t="e">
            <v>#N/A</v>
          </cell>
          <cell r="AF281"/>
        </row>
        <row r="282">
          <cell r="Y282">
            <v>266</v>
          </cell>
          <cell r="Z282">
            <v>0.62990624271333218</v>
          </cell>
          <cell r="AA282">
            <v>5.6051481819013378E-2</v>
          </cell>
          <cell r="AB282"/>
          <cell r="AC282" t="e">
            <v>#N/A</v>
          </cell>
          <cell r="AD282">
            <v>195</v>
          </cell>
          <cell r="AE282" t="e">
            <v>#N/A</v>
          </cell>
          <cell r="AF282"/>
        </row>
        <row r="283">
          <cell r="Y283">
            <v>267</v>
          </cell>
          <cell r="Z283">
            <v>0.61591447703540325</v>
          </cell>
          <cell r="AA283">
            <v>4.9824900743731415E-2</v>
          </cell>
          <cell r="AB283"/>
          <cell r="AC283" t="e">
            <v>#N/A</v>
          </cell>
          <cell r="AD283">
            <v>196</v>
          </cell>
          <cell r="AE283" t="e">
            <v>#N/A</v>
          </cell>
          <cell r="AF283"/>
        </row>
        <row r="284">
          <cell r="Y284">
            <v>268</v>
          </cell>
          <cell r="Z284">
            <v>0.77724223397672176</v>
          </cell>
          <cell r="AA284">
            <v>0.12895576292444885</v>
          </cell>
          <cell r="AB284"/>
          <cell r="AC284" t="e">
            <v>#N/A</v>
          </cell>
          <cell r="AD284">
            <v>197</v>
          </cell>
          <cell r="AE284" t="e">
            <v>#N/A</v>
          </cell>
          <cell r="AF284"/>
        </row>
        <row r="285">
          <cell r="Y285">
            <v>269</v>
          </cell>
          <cell r="Z285">
            <v>0.44391625933349133</v>
          </cell>
          <cell r="AA285">
            <v>-2.3841357372106825E-2</v>
          </cell>
          <cell r="AB285"/>
          <cell r="AC285" t="e">
            <v>#N/A</v>
          </cell>
          <cell r="AD285">
            <v>198</v>
          </cell>
          <cell r="AE285" t="e">
            <v>#N/A</v>
          </cell>
          <cell r="AF285"/>
        </row>
        <row r="286">
          <cell r="Y286">
            <v>270</v>
          </cell>
          <cell r="Z286">
            <v>0.36424628458917141</v>
          </cell>
          <cell r="AA286">
            <v>-5.8675923925644274E-2</v>
          </cell>
          <cell r="AB286"/>
          <cell r="AC286" t="e">
            <v>#N/A</v>
          </cell>
          <cell r="AD286">
            <v>199</v>
          </cell>
          <cell r="AE286" t="e">
            <v>#N/A</v>
          </cell>
          <cell r="AF286"/>
        </row>
        <row r="287">
          <cell r="Y287">
            <v>271</v>
          </cell>
          <cell r="Z287">
            <v>0.58109341375529766</v>
          </cell>
          <cell r="AA287">
            <v>3.4599176118122896E-2</v>
          </cell>
          <cell r="AB287"/>
          <cell r="AC287" t="e">
            <v>#N/A</v>
          </cell>
          <cell r="AD287">
            <v>200</v>
          </cell>
          <cell r="AE287" t="e">
            <v>#N/A</v>
          </cell>
          <cell r="AF287"/>
        </row>
        <row r="288">
          <cell r="Y288">
            <v>272</v>
          </cell>
          <cell r="Z288">
            <v>0.69176735542714596</v>
          </cell>
          <cell r="AA288">
            <v>8.4661840588919374E-2</v>
          </cell>
          <cell r="AB288"/>
          <cell r="AC288" t="e">
            <v>#N/A</v>
          </cell>
          <cell r="AD288">
            <v>201</v>
          </cell>
          <cell r="AE288" t="e">
            <v>#N/A</v>
          </cell>
          <cell r="AF288"/>
        </row>
        <row r="289">
          <cell r="Y289">
            <v>273</v>
          </cell>
          <cell r="Z289">
            <v>0.54724708013236523</v>
          </cell>
          <cell r="AA289">
            <v>2.0065497422783581E-2</v>
          </cell>
          <cell r="AB289"/>
          <cell r="AC289" t="e">
            <v>#N/A</v>
          </cell>
          <cell r="AD289">
            <v>202</v>
          </cell>
          <cell r="AE289" t="e">
            <v>#N/A</v>
          </cell>
          <cell r="AF289"/>
        </row>
        <row r="290">
          <cell r="Y290">
            <v>274</v>
          </cell>
          <cell r="Z290">
            <v>0.915535693988204</v>
          </cell>
          <cell r="AA290">
            <v>0.23252805778974373</v>
          </cell>
          <cell r="AB290"/>
          <cell r="AC290" t="e">
            <v>#N/A</v>
          </cell>
          <cell r="AD290">
            <v>203</v>
          </cell>
          <cell r="AE290" t="e">
            <v>#N/A</v>
          </cell>
          <cell r="AF290"/>
        </row>
        <row r="291">
          <cell r="Y291">
            <v>275</v>
          </cell>
          <cell r="Z291">
            <v>0.84184606187045574</v>
          </cell>
          <cell r="AA291">
            <v>0.16938141318460759</v>
          </cell>
          <cell r="AB291"/>
          <cell r="AC291" t="e">
            <v>#N/A</v>
          </cell>
          <cell r="AD291">
            <v>204</v>
          </cell>
          <cell r="AE291" t="e">
            <v>#N/A</v>
          </cell>
          <cell r="AF291"/>
        </row>
        <row r="292">
          <cell r="Y292">
            <v>276</v>
          </cell>
          <cell r="Z292">
            <v>0.56270336173474789</v>
          </cell>
          <cell r="AA292">
            <v>2.6677599045158984E-2</v>
          </cell>
          <cell r="AB292"/>
          <cell r="AC292" t="e">
            <v>#N/A</v>
          </cell>
          <cell r="AD292">
            <v>205</v>
          </cell>
          <cell r="AE292" t="e">
            <v>#N/A</v>
          </cell>
          <cell r="AF292"/>
        </row>
        <row r="293">
          <cell r="Y293">
            <v>277</v>
          </cell>
          <cell r="Z293">
            <v>0.93249118141829967</v>
          </cell>
          <cell r="AA293">
            <v>0.25263430533628317</v>
          </cell>
          <cell r="AB293"/>
          <cell r="AC293" t="e">
            <v>#N/A</v>
          </cell>
          <cell r="AD293">
            <v>206</v>
          </cell>
          <cell r="AE293" t="e">
            <v>#N/A</v>
          </cell>
          <cell r="AF293"/>
        </row>
        <row r="294">
          <cell r="Y294">
            <v>278</v>
          </cell>
          <cell r="Z294">
            <v>0.9365683551877737</v>
          </cell>
          <cell r="AA294">
            <v>0.25804060673826501</v>
          </cell>
          <cell r="AB294"/>
          <cell r="AC294" t="e">
            <v>#N/A</v>
          </cell>
          <cell r="AD294">
            <v>207</v>
          </cell>
          <cell r="AE294" t="e">
            <v>#N/A</v>
          </cell>
          <cell r="AF294"/>
        </row>
        <row r="295">
          <cell r="Y295">
            <v>279</v>
          </cell>
          <cell r="Z295">
            <v>0.72726635448634624</v>
          </cell>
          <cell r="AA295">
            <v>0.10219033403407612</v>
          </cell>
          <cell r="AB295"/>
          <cell r="AC295" t="e">
            <v>#N/A</v>
          </cell>
          <cell r="AD295">
            <v>208</v>
          </cell>
          <cell r="AE295" t="e">
            <v>#N/A</v>
          </cell>
          <cell r="AF295"/>
        </row>
        <row r="296">
          <cell r="Y296">
            <v>280</v>
          </cell>
          <cell r="Z296">
            <v>0.9993260707706213</v>
          </cell>
          <cell r="AA296">
            <v>0.54184362089858418</v>
          </cell>
          <cell r="AB296"/>
          <cell r="AC296" t="e">
            <v>#N/A</v>
          </cell>
          <cell r="AD296">
            <v>209</v>
          </cell>
          <cell r="AE296" t="e">
            <v>#N/A</v>
          </cell>
          <cell r="AF296"/>
        </row>
        <row r="297">
          <cell r="Y297">
            <v>281</v>
          </cell>
          <cell r="Z297">
            <v>0.69894513301551342</v>
          </cell>
          <cell r="AA297">
            <v>8.8127447782415561E-2</v>
          </cell>
          <cell r="AB297"/>
          <cell r="AC297" t="e">
            <v>#N/A</v>
          </cell>
          <cell r="AD297">
            <v>210</v>
          </cell>
          <cell r="AE297" t="e">
            <v>#N/A</v>
          </cell>
          <cell r="AF297"/>
        </row>
        <row r="298">
          <cell r="Y298">
            <v>282</v>
          </cell>
          <cell r="Z298">
            <v>0.41644186340272427</v>
          </cell>
          <cell r="AA298">
            <v>-3.5666277361375252E-2</v>
          </cell>
          <cell r="AB298"/>
          <cell r="AC298" t="e">
            <v>#N/A</v>
          </cell>
          <cell r="AD298">
            <v>211</v>
          </cell>
          <cell r="AE298" t="e">
            <v>#N/A</v>
          </cell>
          <cell r="AF298"/>
        </row>
        <row r="299">
          <cell r="Y299">
            <v>283</v>
          </cell>
          <cell r="Z299">
            <v>4.777146689593792E-2</v>
          </cell>
          <cell r="AA299">
            <v>-0.28175017988643469</v>
          </cell>
          <cell r="AB299"/>
          <cell r="AC299" t="e">
            <v>#N/A</v>
          </cell>
          <cell r="AD299">
            <v>212</v>
          </cell>
          <cell r="AE299" t="e">
            <v>#N/A</v>
          </cell>
          <cell r="AF299"/>
        </row>
        <row r="300">
          <cell r="Y300">
            <v>284</v>
          </cell>
          <cell r="Z300">
            <v>0.28998844884335995</v>
          </cell>
          <cell r="AA300">
            <v>-9.3544794098492159E-2</v>
          </cell>
          <cell r="AB300"/>
          <cell r="AC300" t="e">
            <v>#N/A</v>
          </cell>
          <cell r="AD300">
            <v>213</v>
          </cell>
          <cell r="AE300" t="e">
            <v>#N/A</v>
          </cell>
          <cell r="AF300"/>
        </row>
        <row r="301">
          <cell r="Y301">
            <v>285</v>
          </cell>
          <cell r="Z301">
            <v>0.25828343443572521</v>
          </cell>
          <cell r="AA301">
            <v>-0.10964127596311456</v>
          </cell>
          <cell r="AB301"/>
          <cell r="AC301" t="e">
            <v>#N/A</v>
          </cell>
          <cell r="AD301">
            <v>214</v>
          </cell>
          <cell r="AE301" t="e">
            <v>#N/A</v>
          </cell>
          <cell r="AF301"/>
        </row>
        <row r="302">
          <cell r="Y302">
            <v>286</v>
          </cell>
          <cell r="Z302">
            <v>0.70204189978539944</v>
          </cell>
          <cell r="AA302">
            <v>8.963407241153154E-2</v>
          </cell>
          <cell r="AB302"/>
          <cell r="AC302" t="e">
            <v>#N/A</v>
          </cell>
          <cell r="AD302">
            <v>215</v>
          </cell>
          <cell r="AE302" t="e">
            <v>#N/A</v>
          </cell>
          <cell r="AF302"/>
        </row>
        <row r="303">
          <cell r="Y303">
            <v>287</v>
          </cell>
          <cell r="Z303">
            <v>0.12439869157969952</v>
          </cell>
          <cell r="AA303">
            <v>-0.19493911431049118</v>
          </cell>
          <cell r="AB303"/>
          <cell r="AC303" t="e">
            <v>#N/A</v>
          </cell>
          <cell r="AD303">
            <v>216</v>
          </cell>
          <cell r="AE303" t="e">
            <v>#N/A</v>
          </cell>
          <cell r="AF303"/>
        </row>
        <row r="304">
          <cell r="Y304">
            <v>288</v>
          </cell>
          <cell r="Z304">
            <v>0.53297998569905758</v>
          </cell>
          <cell r="AA304">
            <v>1.3989492085075474E-2</v>
          </cell>
          <cell r="AB304"/>
          <cell r="AC304" t="e">
            <v>#N/A</v>
          </cell>
          <cell r="AD304">
            <v>217</v>
          </cell>
          <cell r="AE304" t="e">
            <v>#N/A</v>
          </cell>
          <cell r="AF304"/>
        </row>
        <row r="305">
          <cell r="Y305">
            <v>289</v>
          </cell>
          <cell r="Z305">
            <v>0.7857303898781538</v>
          </cell>
          <cell r="AA305">
            <v>0.1338206819416318</v>
          </cell>
          <cell r="AB305"/>
          <cell r="AC305" t="e">
            <v>#N/A</v>
          </cell>
          <cell r="AD305">
            <v>218</v>
          </cell>
          <cell r="AE305" t="e">
            <v>#N/A</v>
          </cell>
          <cell r="AF305"/>
        </row>
        <row r="306">
          <cell r="Y306">
            <v>290</v>
          </cell>
          <cell r="Z306">
            <v>0.11327660642564297</v>
          </cell>
          <cell r="AA306">
            <v>-0.20440654245567738</v>
          </cell>
          <cell r="AB306"/>
          <cell r="AC306" t="e">
            <v>#N/A</v>
          </cell>
          <cell r="AD306">
            <v>219</v>
          </cell>
          <cell r="AE306" t="e">
            <v>#N/A</v>
          </cell>
          <cell r="AF306"/>
        </row>
        <row r="307">
          <cell r="Y307">
            <v>291</v>
          </cell>
          <cell r="Z307">
            <v>0.53685231320559978</v>
          </cell>
          <cell r="AA307">
            <v>1.5636506352315446E-2</v>
          </cell>
          <cell r="AB307"/>
          <cell r="AC307" t="e">
            <v>#N/A</v>
          </cell>
          <cell r="AD307">
            <v>220</v>
          </cell>
          <cell r="AE307" t="e">
            <v>#N/A</v>
          </cell>
          <cell r="AF307"/>
        </row>
        <row r="308">
          <cell r="Y308">
            <v>292</v>
          </cell>
          <cell r="Z308">
            <v>0.11113606952130795</v>
          </cell>
          <cell r="AA308">
            <v>-0.2063036038380795</v>
          </cell>
          <cell r="AB308"/>
          <cell r="AC308" t="e">
            <v>#N/A</v>
          </cell>
          <cell r="AD308">
            <v>221</v>
          </cell>
          <cell r="AE308" t="e">
            <v>#N/A</v>
          </cell>
          <cell r="AF308"/>
        </row>
        <row r="309">
          <cell r="Y309">
            <v>293</v>
          </cell>
          <cell r="Z309">
            <v>0.13998198322951794</v>
          </cell>
          <cell r="AA309">
            <v>-0.18262098049841044</v>
          </cell>
          <cell r="AB309"/>
          <cell r="AC309" t="e">
            <v>#N/A</v>
          </cell>
          <cell r="AD309">
            <v>222</v>
          </cell>
          <cell r="AE309" t="e">
            <v>#N/A</v>
          </cell>
          <cell r="AF309"/>
        </row>
        <row r="310">
          <cell r="Y310">
            <v>294</v>
          </cell>
          <cell r="Z310">
            <v>0.65206096135079861</v>
          </cell>
          <cell r="AA310">
            <v>6.6072576489371079E-2</v>
          </cell>
          <cell r="AB310"/>
          <cell r="AC310" t="e">
            <v>#N/A</v>
          </cell>
          <cell r="AD310">
            <v>223</v>
          </cell>
          <cell r="AE310" t="e">
            <v>#N/A</v>
          </cell>
          <cell r="AF310"/>
        </row>
        <row r="311">
          <cell r="Y311">
            <v>295</v>
          </cell>
          <cell r="Z311">
            <v>9.0300483629107475E-2</v>
          </cell>
          <cell r="AA311">
            <v>-0.22631658087754286</v>
          </cell>
          <cell r="AB311"/>
          <cell r="AC311" t="e">
            <v>#N/A</v>
          </cell>
          <cell r="AD311">
            <v>224</v>
          </cell>
          <cell r="AE311" t="e">
            <v>#N/A</v>
          </cell>
          <cell r="AF311"/>
        </row>
        <row r="312">
          <cell r="Y312">
            <v>296</v>
          </cell>
          <cell r="Z312">
            <v>1.0197361931204796E-2</v>
          </cell>
          <cell r="AA312">
            <v>-0.39198351742727067</v>
          </cell>
          <cell r="AB312"/>
          <cell r="AC312" t="e">
            <v>#N/A</v>
          </cell>
          <cell r="AD312">
            <v>225</v>
          </cell>
          <cell r="AE312" t="e">
            <v>#N/A</v>
          </cell>
          <cell r="AF312"/>
        </row>
        <row r="313">
          <cell r="Y313">
            <v>297</v>
          </cell>
          <cell r="Z313">
            <v>0.75187775306403637</v>
          </cell>
          <cell r="AA313">
            <v>0.11501038731361166</v>
          </cell>
          <cell r="AB313"/>
          <cell r="AC313" t="e">
            <v>#N/A</v>
          </cell>
          <cell r="AD313">
            <v>226</v>
          </cell>
          <cell r="AE313" t="e">
            <v>#N/A</v>
          </cell>
          <cell r="AF313"/>
        </row>
        <row r="314">
          <cell r="Y314">
            <v>298</v>
          </cell>
          <cell r="Z314">
            <v>0.30505115352571011</v>
          </cell>
          <cell r="AA314">
            <v>-8.6193466701171784E-2</v>
          </cell>
          <cell r="AB314"/>
          <cell r="AC314" t="e">
            <v>#N/A</v>
          </cell>
          <cell r="AD314">
            <v>227</v>
          </cell>
          <cell r="AE314" t="e">
            <v>#N/A</v>
          </cell>
          <cell r="AF314"/>
        </row>
        <row r="315">
          <cell r="Y315">
            <v>299</v>
          </cell>
          <cell r="Z315">
            <v>0.50092209689319134</v>
          </cell>
          <cell r="AA315">
            <v>3.9069050573707279E-4</v>
          </cell>
          <cell r="AB315"/>
          <cell r="AC315" t="e">
            <v>#N/A</v>
          </cell>
          <cell r="AD315">
            <v>228</v>
          </cell>
          <cell r="AE315" t="e">
            <v>#N/A</v>
          </cell>
          <cell r="AF315"/>
        </row>
        <row r="316">
          <cell r="Y316">
            <v>300</v>
          </cell>
          <cell r="Z316">
            <v>0.48091917298734188</v>
          </cell>
          <cell r="AA316">
            <v>-8.0875836779201286E-3</v>
          </cell>
          <cell r="AB316"/>
          <cell r="AC316" t="e">
            <v>#N/A</v>
          </cell>
          <cell r="AD316">
            <v>229</v>
          </cell>
          <cell r="AE316" t="e">
            <v>#N/A</v>
          </cell>
          <cell r="AF316"/>
        </row>
        <row r="317">
          <cell r="Y317">
            <v>301</v>
          </cell>
          <cell r="Z317">
            <v>0.98182266764342785</v>
          </cell>
          <cell r="AA317">
            <v>0.35377113806492971</v>
          </cell>
          <cell r="AB317"/>
          <cell r="AC317" t="e">
            <v>#N/A</v>
          </cell>
          <cell r="AD317">
            <v>230</v>
          </cell>
          <cell r="AE317" t="e">
            <v>#N/A</v>
          </cell>
          <cell r="AF317"/>
        </row>
        <row r="318">
          <cell r="Y318">
            <v>302</v>
          </cell>
          <cell r="Z318">
            <v>0.44012895785272121</v>
          </cell>
          <cell r="AA318">
            <v>-2.5463190983097159E-2</v>
          </cell>
          <cell r="AB318"/>
          <cell r="AC318" t="e">
            <v>#N/A</v>
          </cell>
          <cell r="AD318">
            <v>231</v>
          </cell>
          <cell r="AE318" t="e">
            <v>#N/A</v>
          </cell>
          <cell r="AF318"/>
        </row>
        <row r="319">
          <cell r="Y319">
            <v>303</v>
          </cell>
          <cell r="Z319">
            <v>0.30020366422832012</v>
          </cell>
          <cell r="AA319">
            <v>-8.8540868682128543E-2</v>
          </cell>
          <cell r="AB319"/>
          <cell r="AC319" t="e">
            <v>#N/A</v>
          </cell>
          <cell r="AD319">
            <v>232</v>
          </cell>
          <cell r="AE319" t="e">
            <v>#N/A</v>
          </cell>
          <cell r="AF319"/>
        </row>
        <row r="320">
          <cell r="Y320">
            <v>304</v>
          </cell>
          <cell r="Z320">
            <v>0.54493083618581295</v>
          </cell>
          <cell r="AA320">
            <v>1.9077508647823913E-2</v>
          </cell>
          <cell r="AB320"/>
          <cell r="AC320" t="e">
            <v>#N/A</v>
          </cell>
          <cell r="AD320">
            <v>233</v>
          </cell>
          <cell r="AE320" t="e">
            <v>#N/A</v>
          </cell>
          <cell r="AF320"/>
        </row>
        <row r="321">
          <cell r="Y321">
            <v>305</v>
          </cell>
          <cell r="Z321">
            <v>0.44595899991691113</v>
          </cell>
          <cell r="AA321">
            <v>-2.2967515760266687E-2</v>
          </cell>
          <cell r="AB321"/>
          <cell r="AC321" t="e">
            <v>#N/A</v>
          </cell>
          <cell r="AD321">
            <v>234</v>
          </cell>
          <cell r="AE321" t="e">
            <v>#N/A</v>
          </cell>
          <cell r="AF321"/>
        </row>
        <row r="322">
          <cell r="Y322">
            <v>306</v>
          </cell>
          <cell r="Z322">
            <v>0.79663611017167568</v>
          </cell>
          <cell r="AA322">
            <v>0.14023911115234855</v>
          </cell>
          <cell r="AB322"/>
          <cell r="AC322" t="e">
            <v>#N/A</v>
          </cell>
          <cell r="AD322">
            <v>235</v>
          </cell>
          <cell r="AE322" t="e">
            <v>#N/A</v>
          </cell>
          <cell r="AF322"/>
        </row>
        <row r="323">
          <cell r="Y323">
            <v>307</v>
          </cell>
          <cell r="Z323">
            <v>0.45798618905246258</v>
          </cell>
          <cell r="AA323">
            <v>-1.783418035445895E-2</v>
          </cell>
          <cell r="AB323"/>
          <cell r="AC323" t="e">
            <v>#N/A</v>
          </cell>
          <cell r="AD323">
            <v>236</v>
          </cell>
          <cell r="AE323" t="e">
            <v>#N/A</v>
          </cell>
          <cell r="AF323"/>
        </row>
        <row r="324">
          <cell r="Y324">
            <v>308</v>
          </cell>
          <cell r="Z324">
            <v>0.84434508346021175</v>
          </cell>
          <cell r="AA324">
            <v>0.17113992147515752</v>
          </cell>
          <cell r="AB324"/>
          <cell r="AC324" t="e">
            <v>#N/A</v>
          </cell>
          <cell r="AD324">
            <v>237</v>
          </cell>
          <cell r="AE324" t="e">
            <v>#N/A</v>
          </cell>
          <cell r="AF324"/>
        </row>
        <row r="325">
          <cell r="Y325">
            <v>309</v>
          </cell>
          <cell r="Z325">
            <v>0.81108820252120495</v>
          </cell>
          <cell r="AA325">
            <v>0.14907058657440828</v>
          </cell>
          <cell r="AB325"/>
          <cell r="AC325" t="e">
            <v>#N/A</v>
          </cell>
          <cell r="AD325">
            <v>238</v>
          </cell>
          <cell r="AE325" t="e">
            <v>#N/A</v>
          </cell>
          <cell r="AF325"/>
        </row>
        <row r="326">
          <cell r="Y326">
            <v>310</v>
          </cell>
          <cell r="Z326">
            <v>0.56935868225991726</v>
          </cell>
          <cell r="AA326">
            <v>2.9536730610876971E-2</v>
          </cell>
          <cell r="AB326"/>
          <cell r="AC326" t="e">
            <v>#N/A</v>
          </cell>
          <cell r="AD326">
            <v>239</v>
          </cell>
          <cell r="AE326" t="e">
            <v>#N/A</v>
          </cell>
          <cell r="AF326"/>
        </row>
        <row r="327">
          <cell r="Y327">
            <v>311</v>
          </cell>
          <cell r="Z327">
            <v>0.22426204197108746</v>
          </cell>
          <cell r="AA327">
            <v>-0.12810474569767119</v>
          </cell>
          <cell r="AB327"/>
          <cell r="AC327" t="e">
            <v>#N/A</v>
          </cell>
          <cell r="AD327">
            <v>240</v>
          </cell>
          <cell r="AE327" t="e">
            <v>#N/A</v>
          </cell>
          <cell r="AF327"/>
        </row>
        <row r="328">
          <cell r="Y328">
            <v>312</v>
          </cell>
          <cell r="Z328">
            <v>0.33511742018163204</v>
          </cell>
          <cell r="AA328">
            <v>-7.1977684640951139E-2</v>
          </cell>
          <cell r="AB328"/>
          <cell r="AC328" t="e">
            <v>#N/A</v>
          </cell>
          <cell r="AD328">
            <v>241</v>
          </cell>
          <cell r="AE328" t="e">
            <v>#N/A</v>
          </cell>
          <cell r="AF328"/>
        </row>
        <row r="329">
          <cell r="Y329">
            <v>313</v>
          </cell>
          <cell r="Z329">
            <v>0.55834278278052807</v>
          </cell>
          <cell r="AA329">
            <v>2.4808471753228836E-2</v>
          </cell>
          <cell r="AB329"/>
          <cell r="AC329" t="e">
            <v>#N/A</v>
          </cell>
          <cell r="AD329">
            <v>242</v>
          </cell>
          <cell r="AE329" t="e">
            <v>#N/A</v>
          </cell>
          <cell r="AF329"/>
        </row>
        <row r="330">
          <cell r="Y330">
            <v>314</v>
          </cell>
          <cell r="Z330">
            <v>8.6261456832289696E-2</v>
          </cell>
          <cell r="AA330">
            <v>-0.23058206407501994</v>
          </cell>
          <cell r="AB330"/>
          <cell r="AC330" t="e">
            <v>#N/A</v>
          </cell>
          <cell r="AD330">
            <v>243</v>
          </cell>
          <cell r="AE330" t="e">
            <v>#N/A</v>
          </cell>
          <cell r="AF330"/>
        </row>
        <row r="331">
          <cell r="Y331">
            <v>315</v>
          </cell>
          <cell r="Z331">
            <v>0.68972183577716351</v>
          </cell>
          <cell r="AA331">
            <v>8.3680757813125714E-2</v>
          </cell>
          <cell r="AB331"/>
          <cell r="AC331" t="e">
            <v>#N/A</v>
          </cell>
          <cell r="AD331">
            <v>244</v>
          </cell>
          <cell r="AE331" t="e">
            <v>#N/A</v>
          </cell>
          <cell r="AF331"/>
        </row>
        <row r="332">
          <cell r="Y332">
            <v>316</v>
          </cell>
          <cell r="Z332">
            <v>0.32415550015866756</v>
          </cell>
          <cell r="AA332">
            <v>-7.7096633037190679E-2</v>
          </cell>
          <cell r="AB332"/>
          <cell r="AC332" t="e">
            <v>#N/A</v>
          </cell>
          <cell r="AD332">
            <v>245</v>
          </cell>
          <cell r="AE332" t="e">
            <v>#N/A</v>
          </cell>
          <cell r="AF332"/>
        </row>
        <row r="333">
          <cell r="Y333">
            <v>317</v>
          </cell>
          <cell r="Z333">
            <v>0.21560817770659924</v>
          </cell>
          <cell r="AA333">
            <v>-0.13304619667671103</v>
          </cell>
          <cell r="AB333"/>
          <cell r="AC333" t="e">
            <v>#N/A</v>
          </cell>
          <cell r="AD333">
            <v>246</v>
          </cell>
          <cell r="AE333" t="e">
            <v>#N/A</v>
          </cell>
          <cell r="AF333"/>
        </row>
        <row r="334">
          <cell r="Y334">
            <v>318</v>
          </cell>
          <cell r="Z334">
            <v>0.57997230254113674</v>
          </cell>
          <cell r="AA334">
            <v>3.4114249695118164E-2</v>
          </cell>
          <cell r="AB334"/>
          <cell r="AC334" t="e">
            <v>#N/A</v>
          </cell>
          <cell r="AD334">
            <v>247</v>
          </cell>
          <cell r="AE334" t="e">
            <v>#N/A</v>
          </cell>
          <cell r="AF334"/>
        </row>
        <row r="335">
          <cell r="Y335">
            <v>319</v>
          </cell>
          <cell r="Z335">
            <v>0.56505130045115948</v>
          </cell>
          <cell r="AA335">
            <v>2.7685362346662943E-2</v>
          </cell>
          <cell r="AB335"/>
          <cell r="AC335" t="e">
            <v>#N/A</v>
          </cell>
          <cell r="AD335">
            <v>248</v>
          </cell>
          <cell r="AE335" t="e">
            <v>#N/A</v>
          </cell>
          <cell r="AF335"/>
        </row>
        <row r="336">
          <cell r="Y336">
            <v>320</v>
          </cell>
          <cell r="Z336">
            <v>0.35017850063741207</v>
          </cell>
          <cell r="AA336">
            <v>-6.5049595470831223E-2</v>
          </cell>
          <cell r="AB336"/>
          <cell r="AC336" t="e">
            <v>#N/A</v>
          </cell>
          <cell r="AD336">
            <v>249</v>
          </cell>
          <cell r="AE336" t="e">
            <v>#N/A</v>
          </cell>
          <cell r="AF336"/>
        </row>
        <row r="337">
          <cell r="Y337">
            <v>321</v>
          </cell>
          <cell r="Z337">
            <v>0.5586946289986372</v>
          </cell>
          <cell r="AA337">
            <v>2.4959172312248121E-2</v>
          </cell>
          <cell r="AB337"/>
          <cell r="AC337" t="e">
            <v>#N/A</v>
          </cell>
          <cell r="AD337">
            <v>250</v>
          </cell>
          <cell r="AE337" t="e">
            <v>#N/A</v>
          </cell>
          <cell r="AF337"/>
        </row>
        <row r="338">
          <cell r="Y338">
            <v>322</v>
          </cell>
          <cell r="Z338">
            <v>0.55301654897630215</v>
          </cell>
          <cell r="AA338">
            <v>2.2529509510472147E-2</v>
          </cell>
          <cell r="AB338"/>
          <cell r="AC338" t="e">
            <v>#N/A</v>
          </cell>
          <cell r="AD338">
            <v>251</v>
          </cell>
          <cell r="AE338" t="e">
            <v>#N/A</v>
          </cell>
          <cell r="AF338"/>
        </row>
        <row r="339">
          <cell r="Y339">
            <v>323</v>
          </cell>
          <cell r="Z339">
            <v>0.67897815816104412</v>
          </cell>
          <cell r="AA339">
            <v>7.8572857002591034E-2</v>
          </cell>
          <cell r="AB339"/>
          <cell r="AC339" t="e">
            <v>#N/A</v>
          </cell>
          <cell r="AD339">
            <v>252</v>
          </cell>
          <cell r="AE339" t="e">
            <v>#N/A</v>
          </cell>
          <cell r="AF339"/>
        </row>
        <row r="340">
          <cell r="Y340">
            <v>324</v>
          </cell>
          <cell r="Z340">
            <v>0.40832649730145931</v>
          </cell>
          <cell r="AA340">
            <v>-3.9190134871867774E-2</v>
          </cell>
          <cell r="AB340"/>
          <cell r="AC340" t="e">
            <v>#N/A</v>
          </cell>
          <cell r="AD340">
            <v>253</v>
          </cell>
          <cell r="AE340" t="e">
            <v>#N/A</v>
          </cell>
          <cell r="AF340"/>
        </row>
        <row r="341">
          <cell r="Y341">
            <v>325</v>
          </cell>
          <cell r="Z341">
            <v>0.28125905804336071</v>
          </cell>
          <cell r="AA341">
            <v>-9.7886663649201455E-2</v>
          </cell>
          <cell r="AB341"/>
          <cell r="AC341" t="e">
            <v>#N/A</v>
          </cell>
          <cell r="AD341">
            <v>254</v>
          </cell>
          <cell r="AE341" t="e">
            <v>#N/A</v>
          </cell>
          <cell r="AF341"/>
        </row>
        <row r="342">
          <cell r="Y342">
            <v>326</v>
          </cell>
          <cell r="Z342">
            <v>0.23680136166512966</v>
          </cell>
          <cell r="AA342">
            <v>-0.12113249795358201</v>
          </cell>
          <cell r="AB342"/>
          <cell r="AC342" t="e">
            <v>#N/A</v>
          </cell>
          <cell r="AD342">
            <v>255</v>
          </cell>
          <cell r="AE342" t="e">
            <v>#N/A</v>
          </cell>
          <cell r="AF342"/>
        </row>
        <row r="343">
          <cell r="Y343">
            <v>327</v>
          </cell>
          <cell r="Z343">
            <v>0.69506899826228619</v>
          </cell>
          <cell r="AA343">
            <v>8.6251448016678056E-2</v>
          </cell>
          <cell r="AB343"/>
          <cell r="AC343" t="e">
            <v>#N/A</v>
          </cell>
          <cell r="AD343">
            <v>256</v>
          </cell>
          <cell r="AE343" t="e">
            <v>#N/A</v>
          </cell>
          <cell r="AF343"/>
        </row>
        <row r="344">
          <cell r="Y344">
            <v>328</v>
          </cell>
          <cell r="Z344">
            <v>1.8519839271903038E-2</v>
          </cell>
          <cell r="AA344">
            <v>-0.35248450347946569</v>
          </cell>
          <cell r="AB344"/>
          <cell r="AC344" t="e">
            <v>#N/A</v>
          </cell>
          <cell r="AD344">
            <v>257</v>
          </cell>
          <cell r="AE344" t="e">
            <v>#N/A</v>
          </cell>
          <cell r="AF344"/>
        </row>
        <row r="345">
          <cell r="Y345">
            <v>329</v>
          </cell>
          <cell r="Z345">
            <v>0.63347694091498852</v>
          </cell>
          <cell r="AA345">
            <v>5.7652422683981526E-2</v>
          </cell>
          <cell r="AB345"/>
          <cell r="AC345" t="e">
            <v>#N/A</v>
          </cell>
          <cell r="AD345">
            <v>258</v>
          </cell>
          <cell r="AE345" t="e">
            <v>#N/A</v>
          </cell>
          <cell r="AF345"/>
        </row>
        <row r="346">
          <cell r="Y346">
            <v>330</v>
          </cell>
          <cell r="Z346">
            <v>0.64435011707246304</v>
          </cell>
          <cell r="AA346">
            <v>6.2560181928641628E-2</v>
          </cell>
          <cell r="AB346"/>
          <cell r="AC346" t="e">
            <v>#N/A</v>
          </cell>
          <cell r="AD346">
            <v>259</v>
          </cell>
          <cell r="AE346" t="e">
            <v>#N/A</v>
          </cell>
          <cell r="AF346"/>
        </row>
        <row r="347">
          <cell r="Y347">
            <v>331</v>
          </cell>
          <cell r="Z347">
            <v>0.54727615229785442</v>
          </cell>
          <cell r="AA347">
            <v>2.0077902377746832E-2</v>
          </cell>
          <cell r="AB347"/>
          <cell r="AC347" t="e">
            <v>#N/A</v>
          </cell>
          <cell r="AD347">
            <v>260</v>
          </cell>
          <cell r="AE347" t="e">
            <v>#N/A</v>
          </cell>
          <cell r="AF347"/>
        </row>
        <row r="348">
          <cell r="Y348">
            <v>332</v>
          </cell>
          <cell r="Z348">
            <v>0.637568524107337</v>
          </cell>
          <cell r="AA348">
            <v>5.9493294883987219E-2</v>
          </cell>
          <cell r="AB348"/>
          <cell r="AC348" t="e">
            <v>#N/A</v>
          </cell>
          <cell r="AD348">
            <v>261</v>
          </cell>
          <cell r="AE348" t="e">
            <v>#N/A</v>
          </cell>
          <cell r="AF348"/>
        </row>
        <row r="349">
          <cell r="Y349">
            <v>333</v>
          </cell>
          <cell r="Z349">
            <v>0.52946418337523937</v>
          </cell>
          <cell r="AA349">
            <v>1.249527212207612E-2</v>
          </cell>
          <cell r="AB349"/>
          <cell r="AC349" t="e">
            <v>#N/A</v>
          </cell>
          <cell r="AD349">
            <v>262</v>
          </cell>
          <cell r="AE349" t="e">
            <v>#N/A</v>
          </cell>
          <cell r="AF349"/>
        </row>
        <row r="350">
          <cell r="Y350">
            <v>334</v>
          </cell>
          <cell r="Z350">
            <v>0.71678677760064602</v>
          </cell>
          <cell r="AA350">
            <v>9.6909167288480549E-2</v>
          </cell>
          <cell r="AB350"/>
          <cell r="AC350" t="e">
            <v>#N/A</v>
          </cell>
          <cell r="AD350">
            <v>263</v>
          </cell>
          <cell r="AE350" t="e">
            <v>#N/A</v>
          </cell>
          <cell r="AF350"/>
        </row>
        <row r="351">
          <cell r="Y351">
            <v>335</v>
          </cell>
          <cell r="Z351">
            <v>9.4234568998217583E-2</v>
          </cell>
          <cell r="AA351">
            <v>-0.22229607300793386</v>
          </cell>
          <cell r="AB351"/>
          <cell r="AC351" t="e">
            <v>#N/A</v>
          </cell>
          <cell r="AD351">
            <v>264</v>
          </cell>
          <cell r="AE351" t="e">
            <v>#N/A</v>
          </cell>
          <cell r="AF351"/>
        </row>
        <row r="352">
          <cell r="Y352">
            <v>336</v>
          </cell>
          <cell r="Z352">
            <v>0.91503157280385494</v>
          </cell>
          <cell r="AA352">
            <v>0.23197907840259196</v>
          </cell>
          <cell r="AB352"/>
          <cell r="AC352" t="e">
            <v>#N/A</v>
          </cell>
          <cell r="AD352">
            <v>265</v>
          </cell>
          <cell r="AE352" t="e">
            <v>#N/A</v>
          </cell>
          <cell r="AF352"/>
        </row>
        <row r="353">
          <cell r="Y353">
            <v>337</v>
          </cell>
          <cell r="Z353">
            <v>0.62344899587333202</v>
          </cell>
          <cell r="AA353">
            <v>5.3168952274645263E-2</v>
          </cell>
          <cell r="AB353"/>
          <cell r="AC353" t="e">
            <v>#N/A</v>
          </cell>
          <cell r="AD353">
            <v>266</v>
          </cell>
          <cell r="AE353" t="e">
            <v>#N/A</v>
          </cell>
          <cell r="AF353"/>
        </row>
        <row r="354">
          <cell r="Y354">
            <v>338</v>
          </cell>
          <cell r="Z354">
            <v>6.3570266589522362E-2</v>
          </cell>
          <cell r="AA354">
            <v>-0.2578524264042984</v>
          </cell>
          <cell r="AB354"/>
          <cell r="AC354" t="e">
            <v>#N/A</v>
          </cell>
          <cell r="AD354">
            <v>267</v>
          </cell>
          <cell r="AE354" t="e">
            <v>#N/A</v>
          </cell>
          <cell r="AF354"/>
        </row>
        <row r="355">
          <cell r="Y355">
            <v>339</v>
          </cell>
          <cell r="Z355">
            <v>0.49230868928134441</v>
          </cell>
          <cell r="AA355">
            <v>-3.2589911048613602E-3</v>
          </cell>
          <cell r="AB355"/>
          <cell r="AC355" t="e">
            <v>#N/A</v>
          </cell>
          <cell r="AD355">
            <v>268</v>
          </cell>
          <cell r="AE355" t="e">
            <v>#N/A</v>
          </cell>
          <cell r="AF355"/>
        </row>
        <row r="356">
          <cell r="Y356">
            <v>340</v>
          </cell>
          <cell r="Z356">
            <v>0.29282640479505062</v>
          </cell>
          <cell r="AA356">
            <v>-9.2146565490377016E-2</v>
          </cell>
          <cell r="AB356"/>
          <cell r="AC356" t="e">
            <v>#N/A</v>
          </cell>
          <cell r="AD356">
            <v>269</v>
          </cell>
          <cell r="AE356" t="e">
            <v>#N/A</v>
          </cell>
          <cell r="AF356"/>
        </row>
        <row r="357">
          <cell r="Y357">
            <v>341</v>
          </cell>
          <cell r="Z357">
            <v>0.85469376854598522</v>
          </cell>
          <cell r="AA357">
            <v>0.17862825276514357</v>
          </cell>
          <cell r="AB357"/>
          <cell r="AC357" t="e">
            <v>#N/A</v>
          </cell>
          <cell r="AD357">
            <v>270</v>
          </cell>
          <cell r="AE357" t="e">
            <v>#N/A</v>
          </cell>
          <cell r="AF357"/>
        </row>
        <row r="358">
          <cell r="Y358">
            <v>342</v>
          </cell>
          <cell r="Z358">
            <v>0.79647884331643581</v>
          </cell>
          <cell r="AA358">
            <v>0.14014512470378954</v>
          </cell>
          <cell r="AB358"/>
          <cell r="AC358" t="e">
            <v>#N/A</v>
          </cell>
          <cell r="AD358">
            <v>271</v>
          </cell>
          <cell r="AE358" t="e">
            <v>#N/A</v>
          </cell>
          <cell r="AF358"/>
        </row>
        <row r="359">
          <cell r="Y359">
            <v>343</v>
          </cell>
          <cell r="Z359">
            <v>0.78738932125270367</v>
          </cell>
          <cell r="AA359">
            <v>0.13478444410751089</v>
          </cell>
          <cell r="AB359"/>
          <cell r="AC359" t="e">
            <v>#N/A</v>
          </cell>
          <cell r="AD359">
            <v>272</v>
          </cell>
          <cell r="AE359" t="e">
            <v>#N/A</v>
          </cell>
          <cell r="AF359"/>
        </row>
        <row r="360">
          <cell r="Y360">
            <v>344</v>
          </cell>
          <cell r="Z360">
            <v>0.44858821295201778</v>
          </cell>
          <cell r="AA360">
            <v>-2.18436929673133E-2</v>
          </cell>
          <cell r="AB360"/>
          <cell r="AC360" t="e">
            <v>#N/A</v>
          </cell>
          <cell r="AD360">
            <v>273</v>
          </cell>
          <cell r="AE360" t="e">
            <v>#N/A</v>
          </cell>
          <cell r="AF360"/>
        </row>
        <row r="361">
          <cell r="Y361">
            <v>345</v>
          </cell>
          <cell r="Z361">
            <v>0.96116694621741772</v>
          </cell>
          <cell r="AA361">
            <v>0.29823657725100799</v>
          </cell>
          <cell r="AB361"/>
          <cell r="AC361" t="e">
            <v>#N/A</v>
          </cell>
          <cell r="AD361">
            <v>274</v>
          </cell>
          <cell r="AE361" t="e">
            <v>#N/A</v>
          </cell>
          <cell r="AF361"/>
        </row>
        <row r="362">
          <cell r="Y362">
            <v>346</v>
          </cell>
          <cell r="Z362">
            <v>0.95734447799623013</v>
          </cell>
          <cell r="AA362">
            <v>0.290846015623906</v>
          </cell>
          <cell r="AB362"/>
          <cell r="AC362" t="e">
            <v>#N/A</v>
          </cell>
          <cell r="AD362">
            <v>275</v>
          </cell>
          <cell r="AE362" t="e">
            <v>#N/A</v>
          </cell>
          <cell r="AF362"/>
        </row>
        <row r="363">
          <cell r="Y363">
            <v>347</v>
          </cell>
          <cell r="Z363">
            <v>0.22544051520526409</v>
          </cell>
          <cell r="AA363">
            <v>-0.12744030766893799</v>
          </cell>
          <cell r="AB363"/>
          <cell r="AC363" t="e">
            <v>#N/A</v>
          </cell>
          <cell r="AD363">
            <v>276</v>
          </cell>
          <cell r="AE363" t="e">
            <v>#N/A</v>
          </cell>
          <cell r="AF363"/>
        </row>
        <row r="364">
          <cell r="Y364">
            <v>348</v>
          </cell>
          <cell r="Z364">
            <v>8.2779338583350182E-2</v>
          </cell>
          <cell r="AA364">
            <v>-0.23438099856357617</v>
          </cell>
          <cell r="AB364"/>
          <cell r="AC364" t="e">
            <v>#N/A</v>
          </cell>
          <cell r="AD364">
            <v>277</v>
          </cell>
          <cell r="AE364" t="e">
            <v>#N/A</v>
          </cell>
          <cell r="AF364"/>
        </row>
        <row r="365">
          <cell r="Y365">
            <v>349</v>
          </cell>
          <cell r="Z365">
            <v>0.46196490339934826</v>
          </cell>
          <cell r="AA365">
            <v>-1.6139867661828688E-2</v>
          </cell>
          <cell r="AB365"/>
          <cell r="AC365" t="e">
            <v>#N/A</v>
          </cell>
          <cell r="AD365">
            <v>278</v>
          </cell>
          <cell r="AE365" t="e">
            <v>#N/A</v>
          </cell>
          <cell r="AF365"/>
        </row>
        <row r="366">
          <cell r="Y366">
            <v>350</v>
          </cell>
          <cell r="Z366">
            <v>3.9537226781249046E-2</v>
          </cell>
          <cell r="AA366">
            <v>-0.29683198981238795</v>
          </cell>
          <cell r="AB366"/>
          <cell r="AC366" t="e">
            <v>#N/A</v>
          </cell>
          <cell r="AD366">
            <v>279</v>
          </cell>
          <cell r="AE366" t="e">
            <v>#N/A</v>
          </cell>
          <cell r="AF366"/>
        </row>
        <row r="367">
          <cell r="Y367">
            <v>351</v>
          </cell>
          <cell r="Z367">
            <v>0.78179643861949444</v>
          </cell>
          <cell r="AA367">
            <v>0.13155242461949546</v>
          </cell>
          <cell r="AB367"/>
          <cell r="AC367" t="e">
            <v>#N/A</v>
          </cell>
          <cell r="AD367">
            <v>280</v>
          </cell>
          <cell r="AE367" t="e">
            <v>#N/A</v>
          </cell>
          <cell r="AF367"/>
        </row>
        <row r="368">
          <cell r="Y368">
            <v>352</v>
          </cell>
          <cell r="Z368">
            <v>0.54954864643514156</v>
          </cell>
          <cell r="AA368">
            <v>2.1047904906164785E-2</v>
          </cell>
          <cell r="AB368"/>
          <cell r="AC368" t="e">
            <v>#N/A</v>
          </cell>
          <cell r="AD368">
            <v>281</v>
          </cell>
          <cell r="AE368" t="e">
            <v>#N/A</v>
          </cell>
          <cell r="AF368"/>
        </row>
        <row r="369">
          <cell r="Y369">
            <v>353</v>
          </cell>
          <cell r="Z369">
            <v>0.6084838192909956</v>
          </cell>
          <cell r="AA369">
            <v>4.6545943695042072E-2</v>
          </cell>
          <cell r="AB369"/>
          <cell r="AC369" t="e">
            <v>#N/A</v>
          </cell>
          <cell r="AD369">
            <v>282</v>
          </cell>
          <cell r="AE369" t="e">
            <v>#N/A</v>
          </cell>
          <cell r="AF369"/>
        </row>
        <row r="370">
          <cell r="Y370">
            <v>354</v>
          </cell>
          <cell r="Z370">
            <v>0.10319960676133633</v>
          </cell>
          <cell r="AA370">
            <v>-0.21357534339952616</v>
          </cell>
          <cell r="AB370"/>
          <cell r="AC370" t="e">
            <v>#N/A</v>
          </cell>
          <cell r="AD370">
            <v>283</v>
          </cell>
          <cell r="AE370" t="e">
            <v>#N/A</v>
          </cell>
          <cell r="AF370"/>
        </row>
        <row r="371">
          <cell r="Y371">
            <v>355</v>
          </cell>
          <cell r="Z371">
            <v>0.40920825116336346</v>
          </cell>
          <cell r="AA371">
            <v>-3.8806461026220686E-2</v>
          </cell>
          <cell r="AB371"/>
          <cell r="AC371" t="e">
            <v>#N/A</v>
          </cell>
          <cell r="AD371">
            <v>284</v>
          </cell>
          <cell r="AE371" t="e">
            <v>#N/A</v>
          </cell>
          <cell r="AF371"/>
        </row>
        <row r="372">
          <cell r="Y372">
            <v>356</v>
          </cell>
          <cell r="Z372">
            <v>0.83134089969098568</v>
          </cell>
          <cell r="AA372">
            <v>0.16218131460372634</v>
          </cell>
          <cell r="AB372"/>
          <cell r="AC372" t="e">
            <v>#N/A</v>
          </cell>
          <cell r="AD372">
            <v>285</v>
          </cell>
          <cell r="AE372" t="e">
            <v>#N/A</v>
          </cell>
          <cell r="AF372"/>
        </row>
        <row r="373">
          <cell r="Y373">
            <v>357</v>
          </cell>
          <cell r="Z373">
            <v>0.80434155277907848</v>
          </cell>
          <cell r="AA373">
            <v>0.14489858903332528</v>
          </cell>
          <cell r="AB373"/>
          <cell r="AC373" t="e">
            <v>#N/A</v>
          </cell>
          <cell r="AD373">
            <v>286</v>
          </cell>
          <cell r="AE373" t="e">
            <v>#N/A</v>
          </cell>
          <cell r="AF373"/>
        </row>
        <row r="374">
          <cell r="Y374">
            <v>358</v>
          </cell>
          <cell r="Z374">
            <v>0.98423097096383572</v>
          </cell>
          <cell r="AA374">
            <v>0.36345300066642933</v>
          </cell>
          <cell r="AB374"/>
          <cell r="AC374" t="e">
            <v>#N/A</v>
          </cell>
          <cell r="AD374">
            <v>287</v>
          </cell>
          <cell r="AE374" t="e">
            <v>#N/A</v>
          </cell>
          <cell r="AF374"/>
        </row>
        <row r="375">
          <cell r="Y375">
            <v>359</v>
          </cell>
          <cell r="Z375">
            <v>0.5046409796923399</v>
          </cell>
          <cell r="AA375">
            <v>1.9664158949710044E-3</v>
          </cell>
          <cell r="AB375"/>
          <cell r="AC375" t="e">
            <v>#N/A</v>
          </cell>
          <cell r="AD375">
            <v>288</v>
          </cell>
          <cell r="AE375" t="e">
            <v>#N/A</v>
          </cell>
          <cell r="AF375"/>
        </row>
        <row r="376">
          <cell r="Y376">
            <v>360</v>
          </cell>
          <cell r="Z376">
            <v>0.35725613497197628</v>
          </cell>
          <cell r="AA376">
            <v>-6.1831949601464861E-2</v>
          </cell>
          <cell r="AB376"/>
          <cell r="AC376" t="e">
            <v>#N/A</v>
          </cell>
          <cell r="AD376">
            <v>289</v>
          </cell>
          <cell r="AE376" t="e">
            <v>#N/A</v>
          </cell>
          <cell r="AF376"/>
        </row>
        <row r="377">
          <cell r="Y377">
            <v>361</v>
          </cell>
          <cell r="Z377">
            <v>0.99404951743781567</v>
          </cell>
          <cell r="AA377">
            <v>0.42512397205924968</v>
          </cell>
          <cell r="AB377"/>
          <cell r="AC377" t="e">
            <v>#N/A</v>
          </cell>
          <cell r="AD377">
            <v>290</v>
          </cell>
          <cell r="AE377" t="e">
            <v>#N/A</v>
          </cell>
          <cell r="AF377"/>
        </row>
        <row r="378">
          <cell r="Y378">
            <v>362</v>
          </cell>
          <cell r="Z378">
            <v>9.7021883353590965E-2</v>
          </cell>
          <cell r="AA378">
            <v>-0.21952191081479974</v>
          </cell>
          <cell r="AB378"/>
          <cell r="AC378" t="e">
            <v>#N/A</v>
          </cell>
          <cell r="AD378">
            <v>291</v>
          </cell>
          <cell r="AE378" t="e">
            <v>#N/A</v>
          </cell>
          <cell r="AF378"/>
        </row>
        <row r="379">
          <cell r="Y379">
            <v>363</v>
          </cell>
          <cell r="Z379">
            <v>9.4820393249392509E-2</v>
          </cell>
          <cell r="AA379">
            <v>-0.22170804770577135</v>
          </cell>
          <cell r="AB379"/>
          <cell r="AC379" t="e">
            <v>#N/A</v>
          </cell>
          <cell r="AD379">
            <v>292</v>
          </cell>
          <cell r="AE379" t="e">
            <v>#N/A</v>
          </cell>
          <cell r="AF379"/>
        </row>
        <row r="380">
          <cell r="Y380">
            <v>364</v>
          </cell>
          <cell r="Z380">
            <v>0.16515903733670712</v>
          </cell>
          <cell r="AA380">
            <v>-0.16454703703948859</v>
          </cell>
          <cell r="AB380"/>
          <cell r="AC380" t="e">
            <v>#N/A</v>
          </cell>
          <cell r="AD380">
            <v>293</v>
          </cell>
          <cell r="AE380" t="e">
            <v>#N/A</v>
          </cell>
          <cell r="AF380"/>
        </row>
        <row r="381">
          <cell r="Y381">
            <v>365</v>
          </cell>
          <cell r="Z381">
            <v>0.5204345565289259</v>
          </cell>
          <cell r="AA381">
            <v>8.6618602015252916E-3</v>
          </cell>
          <cell r="AB381"/>
          <cell r="AC381" t="e">
            <v>#N/A</v>
          </cell>
          <cell r="AD381">
            <v>294</v>
          </cell>
          <cell r="AE381" t="e">
            <v>#N/A</v>
          </cell>
          <cell r="AF381"/>
        </row>
        <row r="382">
          <cell r="Y382">
            <v>366</v>
          </cell>
          <cell r="Z382">
            <v>0.33093849383294582</v>
          </cell>
          <cell r="AA382">
            <v>-7.3921109091170306E-2</v>
          </cell>
          <cell r="AB382"/>
          <cell r="AC382" t="e">
            <v>#N/A</v>
          </cell>
          <cell r="AD382">
            <v>295</v>
          </cell>
          <cell r="AE382" t="e">
            <v>#N/A</v>
          </cell>
          <cell r="AF382"/>
        </row>
        <row r="383">
          <cell r="Y383">
            <v>367</v>
          </cell>
          <cell r="Z383">
            <v>0.24052987806499004</v>
          </cell>
          <cell r="AA383">
            <v>-0.11909898616144568</v>
          </cell>
          <cell r="AB383"/>
          <cell r="AC383" t="e">
            <v>#N/A</v>
          </cell>
          <cell r="AD383">
            <v>296</v>
          </cell>
          <cell r="AE383" t="e">
            <v>#N/A</v>
          </cell>
          <cell r="AF383"/>
        </row>
        <row r="384">
          <cell r="Y384">
            <v>368</v>
          </cell>
          <cell r="Z384">
            <v>0.90753831528127193</v>
          </cell>
          <cell r="AA384">
            <v>0.22409221714830055</v>
          </cell>
          <cell r="AB384"/>
          <cell r="AC384" t="e">
            <v>#N/A</v>
          </cell>
          <cell r="AD384">
            <v>297</v>
          </cell>
          <cell r="AE384" t="e">
            <v>#N/A</v>
          </cell>
          <cell r="AF384"/>
        </row>
        <row r="385">
          <cell r="Y385">
            <v>369</v>
          </cell>
          <cell r="Z385">
            <v>0.95081081800162792</v>
          </cell>
          <cell r="AA385">
            <v>0.27936855317549497</v>
          </cell>
          <cell r="AB385"/>
          <cell r="AC385" t="e">
            <v>#N/A</v>
          </cell>
          <cell r="AD385">
            <v>298</v>
          </cell>
          <cell r="AE385" t="e">
            <v>#N/A</v>
          </cell>
          <cell r="AF385"/>
        </row>
        <row r="386">
          <cell r="Y386">
            <v>370</v>
          </cell>
          <cell r="Z386">
            <v>0.54055691324174404</v>
          </cell>
          <cell r="AA386">
            <v>1.7213569860324688E-2</v>
          </cell>
          <cell r="AB386"/>
          <cell r="AC386" t="e">
            <v>#N/A</v>
          </cell>
          <cell r="AD386">
            <v>299</v>
          </cell>
          <cell r="AE386" t="e">
            <v>#N/A</v>
          </cell>
          <cell r="AF386"/>
        </row>
        <row r="387">
          <cell r="Y387">
            <v>371</v>
          </cell>
          <cell r="Z387">
            <v>0.15965731255710125</v>
          </cell>
          <cell r="AA387">
            <v>-0.16833229722870807</v>
          </cell>
          <cell r="AB387"/>
          <cell r="AC387" t="e">
            <v>#N/A</v>
          </cell>
          <cell r="AD387">
            <v>300</v>
          </cell>
          <cell r="AE387" t="e">
            <v>#N/A</v>
          </cell>
          <cell r="AF387"/>
        </row>
        <row r="388">
          <cell r="Y388">
            <v>372</v>
          </cell>
          <cell r="Z388">
            <v>0.20111607573926449</v>
          </cell>
          <cell r="AA388">
            <v>-0.14158723337224907</v>
          </cell>
          <cell r="AB388"/>
          <cell r="AC388" t="e">
            <v>#N/A</v>
          </cell>
          <cell r="AD388">
            <v>301</v>
          </cell>
          <cell r="AE388" t="e">
            <v>#N/A</v>
          </cell>
          <cell r="AF388"/>
        </row>
        <row r="389">
          <cell r="Y389">
            <v>373</v>
          </cell>
          <cell r="Z389">
            <v>0.3719016294926405</v>
          </cell>
          <cell r="AA389">
            <v>-5.5242835354744772E-2</v>
          </cell>
          <cell r="AB389"/>
          <cell r="AC389" t="e">
            <v>#N/A</v>
          </cell>
          <cell r="AD389">
            <v>302</v>
          </cell>
          <cell r="AE389" t="e">
            <v>#N/A</v>
          </cell>
          <cell r="AF389"/>
        </row>
        <row r="390">
          <cell r="Y390">
            <v>374</v>
          </cell>
          <cell r="Z390">
            <v>0.12964758835732937</v>
          </cell>
          <cell r="AA390">
            <v>-0.19067670310490439</v>
          </cell>
          <cell r="AB390"/>
          <cell r="AC390" t="e">
            <v>#N/A</v>
          </cell>
          <cell r="AD390">
            <v>303</v>
          </cell>
          <cell r="AE390" t="e">
            <v>#N/A</v>
          </cell>
          <cell r="AF390"/>
        </row>
        <row r="391">
          <cell r="Y391">
            <v>375</v>
          </cell>
          <cell r="Z391">
            <v>0.56899194233119488</v>
          </cell>
          <cell r="AA391">
            <v>2.9378966116688717E-2</v>
          </cell>
          <cell r="AB391"/>
          <cell r="AC391" t="e">
            <v>#N/A</v>
          </cell>
          <cell r="AD391">
            <v>304</v>
          </cell>
          <cell r="AE391" t="e">
            <v>#N/A</v>
          </cell>
          <cell r="AF391"/>
        </row>
        <row r="392">
          <cell r="Y392">
            <v>376</v>
          </cell>
          <cell r="Z392">
            <v>0.82020719908177853</v>
          </cell>
          <cell r="AA392">
            <v>0.15485845992927608</v>
          </cell>
          <cell r="AB392"/>
          <cell r="AC392" t="e">
            <v>#N/A</v>
          </cell>
          <cell r="AD392">
            <v>305</v>
          </cell>
          <cell r="AE392" t="e">
            <v>#N/A</v>
          </cell>
          <cell r="AF392"/>
        </row>
        <row r="393">
          <cell r="Y393">
            <v>377</v>
          </cell>
          <cell r="Z393">
            <v>0.65351137332618237</v>
          </cell>
          <cell r="AA393">
            <v>6.6736412540176926E-2</v>
          </cell>
          <cell r="AB393"/>
          <cell r="AC393" t="e">
            <v>#N/A</v>
          </cell>
          <cell r="AD393">
            <v>306</v>
          </cell>
          <cell r="AE393" t="e">
            <v>#N/A</v>
          </cell>
          <cell r="AF393"/>
        </row>
        <row r="394">
          <cell r="Y394">
            <v>378</v>
          </cell>
          <cell r="Z394">
            <v>0.22890967689454556</v>
          </cell>
          <cell r="AA394">
            <v>-0.1254956663228568</v>
          </cell>
          <cell r="AB394"/>
          <cell r="AC394" t="e">
            <v>#N/A</v>
          </cell>
          <cell r="AD394">
            <v>307</v>
          </cell>
          <cell r="AE394" t="e">
            <v>#N/A</v>
          </cell>
          <cell r="AF394"/>
        </row>
        <row r="395">
          <cell r="Y395">
            <v>379</v>
          </cell>
          <cell r="Z395">
            <v>0.74477125518023968</v>
          </cell>
          <cell r="AA395">
            <v>0.11124351377091866</v>
          </cell>
          <cell r="AB395"/>
          <cell r="AC395" t="e">
            <v>#N/A</v>
          </cell>
          <cell r="AD395">
            <v>308</v>
          </cell>
          <cell r="AE395" t="e">
            <v>#N/A</v>
          </cell>
          <cell r="AF395"/>
        </row>
        <row r="396">
          <cell r="Y396">
            <v>380</v>
          </cell>
          <cell r="Z396">
            <v>0.2338287141174078</v>
          </cell>
          <cell r="AA396">
            <v>-0.12276640409822454</v>
          </cell>
          <cell r="AB396"/>
          <cell r="AC396" t="e">
            <v>#N/A</v>
          </cell>
          <cell r="AD396">
            <v>309</v>
          </cell>
          <cell r="AE396" t="e">
            <v>#N/A</v>
          </cell>
          <cell r="AF396"/>
        </row>
        <row r="397">
          <cell r="Y397">
            <v>381</v>
          </cell>
          <cell r="Z397">
            <v>0.18094736151397228</v>
          </cell>
          <cell r="AA397">
            <v>-0.15411568044554544</v>
          </cell>
          <cell r="AB397"/>
          <cell r="AC397" t="e">
            <v>#N/A</v>
          </cell>
          <cell r="AD397">
            <v>310</v>
          </cell>
          <cell r="AE397" t="e">
            <v>#N/A</v>
          </cell>
          <cell r="AF397"/>
        </row>
        <row r="398">
          <cell r="Y398">
            <v>382</v>
          </cell>
          <cell r="Z398">
            <v>0.96745542250573635</v>
          </cell>
          <cell r="AA398">
            <v>0.31180196215791128</v>
          </cell>
          <cell r="AB398"/>
          <cell r="AC398" t="e">
            <v>#N/A</v>
          </cell>
          <cell r="AD398">
            <v>311</v>
          </cell>
          <cell r="AE398" t="e">
            <v>#N/A</v>
          </cell>
          <cell r="AF398"/>
        </row>
        <row r="399">
          <cell r="Y399">
            <v>383</v>
          </cell>
          <cell r="Z399">
            <v>0.8019778560847044</v>
          </cell>
          <cell r="AA399">
            <v>0.14345768533714193</v>
          </cell>
          <cell r="AB399"/>
          <cell r="AC399" t="e">
            <v>#N/A</v>
          </cell>
          <cell r="AD399">
            <v>312</v>
          </cell>
          <cell r="AE399" t="e">
            <v>#N/A</v>
          </cell>
          <cell r="AF399"/>
        </row>
        <row r="400">
          <cell r="Y400">
            <v>384</v>
          </cell>
          <cell r="Z400">
            <v>0.98655917309224606</v>
          </cell>
          <cell r="AA400">
            <v>0.3741044911777453</v>
          </cell>
          <cell r="AB400"/>
          <cell r="AC400" t="e">
            <v>#N/A</v>
          </cell>
          <cell r="AD400">
            <v>313</v>
          </cell>
          <cell r="AE400" t="e">
            <v>#N/A</v>
          </cell>
          <cell r="AF400"/>
        </row>
        <row r="401">
          <cell r="Y401">
            <v>385</v>
          </cell>
          <cell r="Z401">
            <v>0.556191710755229</v>
          </cell>
          <cell r="AA401">
            <v>2.3887562242195865E-2</v>
          </cell>
          <cell r="AB401"/>
          <cell r="AC401" t="e">
            <v>#N/A</v>
          </cell>
          <cell r="AD401">
            <v>314</v>
          </cell>
          <cell r="AE401" t="e">
            <v>#N/A</v>
          </cell>
          <cell r="AF401"/>
        </row>
        <row r="402">
          <cell r="Y402">
            <v>386</v>
          </cell>
          <cell r="Z402">
            <v>0.33804452978074551</v>
          </cell>
          <cell r="AA402">
            <v>-7.0622081551198729E-2</v>
          </cell>
          <cell r="AB402"/>
          <cell r="AC402" t="e">
            <v>#N/A</v>
          </cell>
          <cell r="AD402">
            <v>315</v>
          </cell>
          <cell r="AE402" t="e">
            <v>#N/A</v>
          </cell>
          <cell r="AF402"/>
        </row>
        <row r="403">
          <cell r="Y403">
            <v>387</v>
          </cell>
          <cell r="Z403">
            <v>0.69238634221255779</v>
          </cell>
          <cell r="AA403">
            <v>8.4959283726819906E-2</v>
          </cell>
          <cell r="AB403"/>
          <cell r="AC403" t="e">
            <v>#N/A</v>
          </cell>
          <cell r="AD403">
            <v>316</v>
          </cell>
          <cell r="AE403" t="e">
            <v>#N/A</v>
          </cell>
          <cell r="AF403"/>
        </row>
        <row r="404">
          <cell r="Y404">
            <v>388</v>
          </cell>
          <cell r="Z404">
            <v>0.42314802668988705</v>
          </cell>
          <cell r="AA404">
            <v>-3.2766043683843678E-2</v>
          </cell>
          <cell r="AB404"/>
          <cell r="AC404" t="e">
            <v>#N/A</v>
          </cell>
          <cell r="AD404">
            <v>317</v>
          </cell>
          <cell r="AE404" t="e">
            <v>#N/A</v>
          </cell>
          <cell r="AF404"/>
        </row>
        <row r="405">
          <cell r="Y405">
            <v>389</v>
          </cell>
          <cell r="Z405">
            <v>0.76782321743667126</v>
          </cell>
          <cell r="AA405">
            <v>0.12367935624086018</v>
          </cell>
          <cell r="AB405"/>
          <cell r="AC405" t="e">
            <v>#N/A</v>
          </cell>
          <cell r="AD405">
            <v>318</v>
          </cell>
          <cell r="AE405" t="e">
            <v>#N/A</v>
          </cell>
          <cell r="AF405"/>
        </row>
        <row r="406">
          <cell r="Y406">
            <v>390</v>
          </cell>
          <cell r="Z406">
            <v>0.15606853924691677</v>
          </cell>
          <cell r="AA406">
            <v>-0.17084758693205768</v>
          </cell>
          <cell r="AB406"/>
          <cell r="AC406" t="e">
            <v>#N/A</v>
          </cell>
          <cell r="AD406">
            <v>319</v>
          </cell>
          <cell r="AE406" t="e">
            <v>#N/A</v>
          </cell>
          <cell r="AF406"/>
        </row>
        <row r="407">
          <cell r="Y407">
            <v>391</v>
          </cell>
          <cell r="Z407">
            <v>0.42136017791926861</v>
          </cell>
          <cell r="AA407">
            <v>-3.3538262038070837E-2</v>
          </cell>
          <cell r="AB407"/>
          <cell r="AC407" t="e">
            <v>#N/A</v>
          </cell>
          <cell r="AD407">
            <v>320</v>
          </cell>
          <cell r="AE407" t="e">
            <v>#N/A</v>
          </cell>
          <cell r="AF407"/>
        </row>
        <row r="408">
          <cell r="Y408">
            <v>392</v>
          </cell>
          <cell r="Z408">
            <v>0.25687499903142452</v>
          </cell>
          <cell r="AA408">
            <v>-0.11037879235769008</v>
          </cell>
          <cell r="AB408"/>
          <cell r="AC408" t="e">
            <v>#N/A</v>
          </cell>
          <cell r="AD408">
            <v>321</v>
          </cell>
          <cell r="AE408" t="e">
            <v>#N/A</v>
          </cell>
          <cell r="AF408"/>
        </row>
        <row r="409">
          <cell r="Y409">
            <v>393</v>
          </cell>
          <cell r="Z409">
            <v>0.32968923263251781</v>
          </cell>
          <cell r="AA409">
            <v>-7.4503973037092247E-2</v>
          </cell>
          <cell r="AB409"/>
          <cell r="AC409" t="e">
            <v>#N/A</v>
          </cell>
          <cell r="AD409">
            <v>322</v>
          </cell>
          <cell r="AE409" t="e">
            <v>#N/A</v>
          </cell>
          <cell r="AF409"/>
        </row>
        <row r="410">
          <cell r="Y410">
            <v>394</v>
          </cell>
          <cell r="Z410">
            <v>0.61228520236909389</v>
          </cell>
          <cell r="AA410">
            <v>4.8221129745320793E-2</v>
          </cell>
          <cell r="AB410"/>
          <cell r="AC410" t="e">
            <v>#N/A</v>
          </cell>
          <cell r="AD410">
            <v>323</v>
          </cell>
          <cell r="AE410" t="e">
            <v>#N/A</v>
          </cell>
          <cell r="AF410"/>
        </row>
        <row r="411">
          <cell r="Y411">
            <v>395</v>
          </cell>
          <cell r="Z411">
            <v>0.9833985697478056</v>
          </cell>
          <cell r="AA411">
            <v>0.35997176311348095</v>
          </cell>
          <cell r="AB411"/>
          <cell r="AC411" t="e">
            <v>#N/A</v>
          </cell>
          <cell r="AD411">
            <v>324</v>
          </cell>
          <cell r="AE411" t="e">
            <v>#N/A</v>
          </cell>
          <cell r="AF411"/>
        </row>
        <row r="412">
          <cell r="Y412">
            <v>396</v>
          </cell>
          <cell r="Z412">
            <v>0.48165946267545223</v>
          </cell>
          <cell r="AA412">
            <v>-7.7735793173126146E-3</v>
          </cell>
          <cell r="AB412"/>
          <cell r="AC412" t="e">
            <v>#N/A</v>
          </cell>
          <cell r="AD412">
            <v>325</v>
          </cell>
          <cell r="AE412" t="e">
            <v>#N/A</v>
          </cell>
          <cell r="AF412"/>
        </row>
        <row r="413">
          <cell r="Y413">
            <v>397</v>
          </cell>
          <cell r="Z413">
            <v>0.88832753710448742</v>
          </cell>
          <cell r="AA413">
            <v>0.20582578643158073</v>
          </cell>
          <cell r="AB413"/>
          <cell r="AC413" t="e">
            <v>#N/A</v>
          </cell>
          <cell r="AD413">
            <v>326</v>
          </cell>
          <cell r="AE413" t="e">
            <v>#N/A</v>
          </cell>
          <cell r="AF413"/>
        </row>
        <row r="414">
          <cell r="Y414">
            <v>398</v>
          </cell>
          <cell r="Z414">
            <v>0.91930285654962063</v>
          </cell>
          <cell r="AA414">
            <v>0.23671039879274888</v>
          </cell>
          <cell r="AB414"/>
          <cell r="AC414" t="e">
            <v>#N/A</v>
          </cell>
          <cell r="AD414">
            <v>327</v>
          </cell>
          <cell r="AE414" t="e">
            <v>#N/A</v>
          </cell>
          <cell r="AF414"/>
        </row>
        <row r="415">
          <cell r="Y415">
            <v>399</v>
          </cell>
          <cell r="Z415">
            <v>0.5164333414286375</v>
          </cell>
          <cell r="AA415">
            <v>6.9647360934892502E-3</v>
          </cell>
          <cell r="AB415"/>
          <cell r="AC415" t="e">
            <v>#N/A</v>
          </cell>
          <cell r="AD415">
            <v>328</v>
          </cell>
          <cell r="AE415" t="e">
            <v>#N/A</v>
          </cell>
          <cell r="AF415"/>
        </row>
        <row r="416">
          <cell r="Y416">
            <v>400</v>
          </cell>
          <cell r="Z416">
            <v>0.12791981361806393</v>
          </cell>
          <cell r="AA416">
            <v>-0.19206628284649047</v>
          </cell>
          <cell r="AB416"/>
          <cell r="AC416" t="e">
            <v>#N/A</v>
          </cell>
          <cell r="AD416">
            <v>329</v>
          </cell>
          <cell r="AE416" t="e">
            <v>#N/A</v>
          </cell>
          <cell r="AF416"/>
        </row>
        <row r="417">
          <cell r="Y417">
            <v>401</v>
          </cell>
          <cell r="Z417">
            <v>0.79913821630179882</v>
          </cell>
          <cell r="AA417">
            <v>0.14174031155888778</v>
          </cell>
          <cell r="AB417"/>
          <cell r="AC417" t="e">
            <v>#N/A</v>
          </cell>
          <cell r="AD417">
            <v>330</v>
          </cell>
          <cell r="AE417" t="e">
            <v>#N/A</v>
          </cell>
          <cell r="AF417"/>
        </row>
        <row r="418">
          <cell r="Y418">
            <v>402</v>
          </cell>
          <cell r="Z418">
            <v>0.55181480012834072</v>
          </cell>
          <cell r="AA418">
            <v>2.2015891761615586E-2</v>
          </cell>
          <cell r="AB418"/>
          <cell r="AC418" t="e">
            <v>#N/A</v>
          </cell>
          <cell r="AD418">
            <v>331</v>
          </cell>
          <cell r="AE418" t="e">
            <v>#N/A</v>
          </cell>
          <cell r="AF418"/>
        </row>
        <row r="419">
          <cell r="Y419">
            <v>403</v>
          </cell>
          <cell r="Z419">
            <v>0.17487580887973309</v>
          </cell>
          <cell r="AA419">
            <v>-0.15805587727839082</v>
          </cell>
          <cell r="AB419"/>
          <cell r="AC419" t="e">
            <v>#N/A</v>
          </cell>
          <cell r="AD419">
            <v>332</v>
          </cell>
          <cell r="AE419" t="e">
            <v>#N/A</v>
          </cell>
          <cell r="AF419"/>
        </row>
        <row r="420">
          <cell r="Y420">
            <v>404</v>
          </cell>
          <cell r="Z420">
            <v>0.36218284629285336</v>
          </cell>
          <cell r="AA420">
            <v>-5.9605383068423223E-2</v>
          </cell>
          <cell r="AB420"/>
          <cell r="AC420" t="e">
            <v>#N/A</v>
          </cell>
          <cell r="AD420">
            <v>333</v>
          </cell>
          <cell r="AE420" t="e">
            <v>#N/A</v>
          </cell>
          <cell r="AF420"/>
        </row>
        <row r="421">
          <cell r="Y421">
            <v>405</v>
          </cell>
          <cell r="Z421">
            <v>0.17130553536117077</v>
          </cell>
          <cell r="AA421">
            <v>-0.1604134485959107</v>
          </cell>
          <cell r="AB421"/>
          <cell r="AC421" t="e">
            <v>#N/A</v>
          </cell>
          <cell r="AD421">
            <v>334</v>
          </cell>
          <cell r="AE421" t="e">
            <v>#N/A</v>
          </cell>
          <cell r="AF421"/>
        </row>
        <row r="422">
          <cell r="Y422">
            <v>406</v>
          </cell>
          <cell r="Z422">
            <v>0.58058366738259792</v>
          </cell>
          <cell r="AA422">
            <v>3.4378654913434878E-2</v>
          </cell>
          <cell r="AB422"/>
          <cell r="AC422" t="e">
            <v>#N/A</v>
          </cell>
          <cell r="AD422">
            <v>335</v>
          </cell>
          <cell r="AE422" t="e">
            <v>#N/A</v>
          </cell>
          <cell r="AF422"/>
        </row>
        <row r="423">
          <cell r="Y423">
            <v>407</v>
          </cell>
          <cell r="Z423">
            <v>0.22141365520656109</v>
          </cell>
          <cell r="AA423">
            <v>-0.12971894411010126</v>
          </cell>
          <cell r="AB423"/>
          <cell r="AC423" t="e">
            <v>#N/A</v>
          </cell>
          <cell r="AD423">
            <v>336</v>
          </cell>
          <cell r="AE423" t="e">
            <v>#N/A</v>
          </cell>
          <cell r="AF423"/>
        </row>
        <row r="424">
          <cell r="Y424">
            <v>408</v>
          </cell>
          <cell r="Z424">
            <v>0.43044312857091427</v>
          </cell>
          <cell r="AA424">
            <v>-2.9621998498214976E-2</v>
          </cell>
          <cell r="AB424"/>
          <cell r="AC424" t="e">
            <v>#N/A</v>
          </cell>
          <cell r="AD424">
            <v>337</v>
          </cell>
          <cell r="AE424" t="e">
            <v>#N/A</v>
          </cell>
          <cell r="AF424"/>
        </row>
        <row r="425">
          <cell r="Y425">
            <v>409</v>
          </cell>
          <cell r="Z425">
            <v>0.88146981410682201</v>
          </cell>
          <cell r="AA425">
            <v>0.19985638911502157</v>
          </cell>
          <cell r="AB425"/>
          <cell r="AC425" t="e">
            <v>#N/A</v>
          </cell>
          <cell r="AD425">
            <v>338</v>
          </cell>
          <cell r="AE425" t="e">
            <v>#N/A</v>
          </cell>
          <cell r="AF425"/>
        </row>
        <row r="426">
          <cell r="Y426">
            <v>410</v>
          </cell>
          <cell r="Z426">
            <v>0.60017580352723598</v>
          </cell>
          <cell r="AA426">
            <v>4.2900397634371382E-2</v>
          </cell>
          <cell r="AB426"/>
          <cell r="AC426" t="e">
            <v>#N/A</v>
          </cell>
          <cell r="AD426">
            <v>339</v>
          </cell>
          <cell r="AE426" t="e">
            <v>#N/A</v>
          </cell>
          <cell r="AF426"/>
        </row>
        <row r="427">
          <cell r="Y427">
            <v>411</v>
          </cell>
          <cell r="Z427">
            <v>0.83755780570209026</v>
          </cell>
          <cell r="AA427">
            <v>0.166405831524359</v>
          </cell>
          <cell r="AB427"/>
          <cell r="AC427" t="e">
            <v>#N/A</v>
          </cell>
          <cell r="AD427">
            <v>340</v>
          </cell>
          <cell r="AE427" t="e">
            <v>#N/A</v>
          </cell>
          <cell r="AF427"/>
        </row>
        <row r="428">
          <cell r="Y428">
            <v>412</v>
          </cell>
          <cell r="Z428">
            <v>0.94527237676084042</v>
          </cell>
          <cell r="AA428">
            <v>0.27055863266892338</v>
          </cell>
          <cell r="AB428"/>
          <cell r="AC428" t="e">
            <v>#N/A</v>
          </cell>
          <cell r="AD428">
            <v>341</v>
          </cell>
          <cell r="AE428" t="e">
            <v>#N/A</v>
          </cell>
          <cell r="AF428"/>
        </row>
        <row r="429">
          <cell r="Y429">
            <v>413</v>
          </cell>
          <cell r="Z429">
            <v>5.6149302050471306E-2</v>
          </cell>
          <cell r="AA429">
            <v>-0.268411823531293</v>
          </cell>
          <cell r="AB429"/>
          <cell r="AC429" t="e">
            <v>#N/A</v>
          </cell>
          <cell r="AD429">
            <v>342</v>
          </cell>
          <cell r="AE429" t="e">
            <v>#N/A</v>
          </cell>
          <cell r="AF429"/>
        </row>
        <row r="430">
          <cell r="Y430">
            <v>414</v>
          </cell>
          <cell r="Z430">
            <v>0.75044563971459866</v>
          </cell>
          <cell r="AA430">
            <v>0.11424673215195508</v>
          </cell>
          <cell r="AB430"/>
          <cell r="AC430" t="e">
            <v>#N/A</v>
          </cell>
          <cell r="AD430">
            <v>343</v>
          </cell>
          <cell r="AE430" t="e">
            <v>#N/A</v>
          </cell>
          <cell r="AF430"/>
        </row>
        <row r="431">
          <cell r="Y431">
            <v>415</v>
          </cell>
          <cell r="Z431">
            <v>0.15293930284678936</v>
          </cell>
          <cell r="AA431">
            <v>-0.1730720854510753</v>
          </cell>
          <cell r="AB431"/>
          <cell r="AC431" t="e">
            <v>#N/A</v>
          </cell>
          <cell r="AD431">
            <v>344</v>
          </cell>
          <cell r="AE431" t="e">
            <v>#N/A</v>
          </cell>
          <cell r="AF431"/>
        </row>
        <row r="432">
          <cell r="Y432">
            <v>416</v>
          </cell>
          <cell r="Z432">
            <v>1.6678830608725548E-2</v>
          </cell>
          <cell r="AA432">
            <v>-0.35965571038398531</v>
          </cell>
          <cell r="AB432"/>
          <cell r="AC432" t="e">
            <v>#N/A</v>
          </cell>
          <cell r="AD432">
            <v>345</v>
          </cell>
          <cell r="AE432" t="e">
            <v>#N/A</v>
          </cell>
          <cell r="AF432"/>
        </row>
        <row r="433">
          <cell r="Y433">
            <v>417</v>
          </cell>
          <cell r="Z433">
            <v>0.52291205339133739</v>
          </cell>
          <cell r="AA433">
            <v>9.7131228932154159E-3</v>
          </cell>
          <cell r="AB433"/>
          <cell r="AC433" t="e">
            <v>#N/A</v>
          </cell>
          <cell r="AD433">
            <v>346</v>
          </cell>
          <cell r="AE433" t="e">
            <v>#N/A</v>
          </cell>
          <cell r="AF433"/>
        </row>
        <row r="434">
          <cell r="Y434">
            <v>418</v>
          </cell>
          <cell r="Z434">
            <v>0.33177006803452969</v>
          </cell>
          <cell r="AA434">
            <v>-7.3533611211770322E-2</v>
          </cell>
          <cell r="AB434"/>
          <cell r="AC434" t="e">
            <v>#N/A</v>
          </cell>
          <cell r="AD434">
            <v>347</v>
          </cell>
          <cell r="AE434" t="e">
            <v>#N/A</v>
          </cell>
          <cell r="AF434"/>
        </row>
        <row r="435">
          <cell r="Y435">
            <v>419</v>
          </cell>
          <cell r="Z435">
            <v>0.99335618130862713</v>
          </cell>
          <cell r="AA435">
            <v>0.41851457519741075</v>
          </cell>
          <cell r="AB435"/>
          <cell r="AC435" t="e">
            <v>#N/A</v>
          </cell>
          <cell r="AD435">
            <v>348</v>
          </cell>
          <cell r="AE435" t="e">
            <v>#N/A</v>
          </cell>
          <cell r="AF435"/>
        </row>
        <row r="436">
          <cell r="Y436">
            <v>420</v>
          </cell>
          <cell r="Z436">
            <v>0.72671662829816341</v>
          </cell>
          <cell r="AA436">
            <v>0.1019108526872998</v>
          </cell>
          <cell r="AB436"/>
          <cell r="AC436" t="e">
            <v>#N/A</v>
          </cell>
          <cell r="AD436">
            <v>349</v>
          </cell>
          <cell r="AE436" t="e">
            <v>#N/A</v>
          </cell>
          <cell r="AF436"/>
        </row>
        <row r="437">
          <cell r="Y437">
            <v>421</v>
          </cell>
          <cell r="Z437">
            <v>0.73029780201613903</v>
          </cell>
          <cell r="AA437">
            <v>0.10373658416111502</v>
          </cell>
          <cell r="AB437"/>
          <cell r="AC437" t="e">
            <v>#N/A</v>
          </cell>
          <cell r="AD437">
            <v>350</v>
          </cell>
          <cell r="AE437" t="e">
            <v>#N/A</v>
          </cell>
          <cell r="AF437"/>
        </row>
        <row r="438">
          <cell r="Y438">
            <v>422</v>
          </cell>
          <cell r="Z438">
            <v>0.51403281651437283</v>
          </cell>
          <cell r="AA438">
            <v>5.9468960311279588E-3</v>
          </cell>
          <cell r="AB438"/>
          <cell r="AC438" t="e">
            <v>#N/A</v>
          </cell>
          <cell r="AD438">
            <v>351</v>
          </cell>
          <cell r="AE438" t="e">
            <v>#N/A</v>
          </cell>
          <cell r="AF438"/>
        </row>
        <row r="439">
          <cell r="Y439">
            <v>423</v>
          </cell>
          <cell r="Z439">
            <v>0.84757034294307232</v>
          </cell>
          <cell r="AA439">
            <v>0.17343722551661547</v>
          </cell>
          <cell r="AB439"/>
          <cell r="AC439" t="e">
            <v>#N/A</v>
          </cell>
          <cell r="AD439">
            <v>352</v>
          </cell>
          <cell r="AE439" t="e">
            <v>#N/A</v>
          </cell>
          <cell r="AF439"/>
        </row>
        <row r="440">
          <cell r="Y440">
            <v>424</v>
          </cell>
          <cell r="Z440">
            <v>0.44784518145024776</v>
          </cell>
          <cell r="AA440">
            <v>-2.2161192062877748E-2</v>
          </cell>
          <cell r="AB440"/>
          <cell r="AC440" t="e">
            <v>#N/A</v>
          </cell>
          <cell r="AD440">
            <v>353</v>
          </cell>
          <cell r="AE440" t="e">
            <v>#N/A</v>
          </cell>
          <cell r="AF440"/>
        </row>
        <row r="441">
          <cell r="Y441">
            <v>425</v>
          </cell>
          <cell r="Z441">
            <v>0.63648983649909496</v>
          </cell>
          <cell r="AA441">
            <v>5.9007298750783144E-2</v>
          </cell>
          <cell r="AB441"/>
          <cell r="AC441" t="e">
            <v>#N/A</v>
          </cell>
          <cell r="AD441">
            <v>354</v>
          </cell>
          <cell r="AE441" t="e">
            <v>#N/A</v>
          </cell>
          <cell r="AF441"/>
        </row>
        <row r="442">
          <cell r="Y442">
            <v>426</v>
          </cell>
          <cell r="Z442">
            <v>0.63935882411897182</v>
          </cell>
          <cell r="AA442">
            <v>6.0300992709741166E-2</v>
          </cell>
          <cell r="AB442"/>
          <cell r="AC442" t="e">
            <v>#N/A</v>
          </cell>
          <cell r="AD442">
            <v>355</v>
          </cell>
          <cell r="AE442" t="e">
            <v>#N/A</v>
          </cell>
          <cell r="AF442"/>
        </row>
        <row r="443">
          <cell r="Y443">
            <v>427</v>
          </cell>
          <cell r="Z443">
            <v>0.55285443179309368</v>
          </cell>
          <cell r="AA443">
            <v>2.2460209901496171E-2</v>
          </cell>
          <cell r="AB443"/>
          <cell r="AC443" t="e">
            <v>#N/A</v>
          </cell>
          <cell r="AD443">
            <v>356</v>
          </cell>
          <cell r="AE443" t="e">
            <v>#N/A</v>
          </cell>
          <cell r="AF443"/>
        </row>
        <row r="444">
          <cell r="Y444">
            <v>428</v>
          </cell>
          <cell r="Z444">
            <v>0.50503855012357235</v>
          </cell>
          <cell r="AA444">
            <v>2.1348779005017568E-3</v>
          </cell>
          <cell r="AB444"/>
          <cell r="AC444" t="e">
            <v>#N/A</v>
          </cell>
          <cell r="AD444">
            <v>357</v>
          </cell>
          <cell r="AE444" t="e">
            <v>#N/A</v>
          </cell>
          <cell r="AF444"/>
        </row>
        <row r="445">
          <cell r="Y445">
            <v>429</v>
          </cell>
          <cell r="Z445">
            <v>6.6736875101923943E-2</v>
          </cell>
          <cell r="AA445">
            <v>-0.25363809510901414</v>
          </cell>
          <cell r="AB445"/>
          <cell r="AC445" t="e">
            <v>#N/A</v>
          </cell>
          <cell r="AD445">
            <v>358</v>
          </cell>
          <cell r="AE445" t="e">
            <v>#N/A</v>
          </cell>
          <cell r="AF445"/>
        </row>
        <row r="446">
          <cell r="Y446">
            <v>430</v>
          </cell>
          <cell r="Z446">
            <v>0.61859861575067043</v>
          </cell>
          <cell r="AA446">
            <v>5.1013901568045916E-2</v>
          </cell>
          <cell r="AB446"/>
          <cell r="AC446" t="e">
            <v>#N/A</v>
          </cell>
          <cell r="AD446">
            <v>359</v>
          </cell>
          <cell r="AE446" t="e">
            <v>#N/A</v>
          </cell>
          <cell r="AF446"/>
        </row>
        <row r="447">
          <cell r="Y447">
            <v>431</v>
          </cell>
          <cell r="Z447">
            <v>0.19928870908915997</v>
          </cell>
          <cell r="AA447">
            <v>-0.14268986519589308</v>
          </cell>
          <cell r="AB447"/>
          <cell r="AC447" t="e">
            <v>#N/A</v>
          </cell>
          <cell r="AD447">
            <v>360</v>
          </cell>
          <cell r="AE447" t="e">
            <v>#N/A</v>
          </cell>
          <cell r="AF447"/>
        </row>
        <row r="448">
          <cell r="Y448">
            <v>432</v>
          </cell>
          <cell r="Z448">
            <v>0.68164481781423092</v>
          </cell>
          <cell r="AA448">
            <v>7.9833817065523616E-2</v>
          </cell>
          <cell r="AB448"/>
          <cell r="AC448" t="e">
            <v>#N/A</v>
          </cell>
          <cell r="AD448">
            <v>361</v>
          </cell>
          <cell r="AE448" t="e">
            <v>#N/A</v>
          </cell>
          <cell r="AF448"/>
        </row>
        <row r="449">
          <cell r="Y449">
            <v>433</v>
          </cell>
          <cell r="Z449">
            <v>3.9524940773844719E-2</v>
          </cell>
          <cell r="AA449">
            <v>-0.29685632110848881</v>
          </cell>
          <cell r="AB449"/>
          <cell r="AC449" t="e">
            <v>#N/A</v>
          </cell>
          <cell r="AD449">
            <v>362</v>
          </cell>
          <cell r="AE449" t="e">
            <v>#N/A</v>
          </cell>
          <cell r="AF449"/>
        </row>
        <row r="450">
          <cell r="Y450">
            <v>434</v>
          </cell>
          <cell r="Z450">
            <v>0.9215626772493124</v>
          </cell>
          <cell r="AA450">
            <v>0.23929046232783518</v>
          </cell>
          <cell r="AB450"/>
          <cell r="AC450" t="e">
            <v>#N/A</v>
          </cell>
          <cell r="AD450">
            <v>363</v>
          </cell>
          <cell r="AE450" t="e">
            <v>#N/A</v>
          </cell>
          <cell r="AF450"/>
        </row>
        <row r="451">
          <cell r="Y451">
            <v>435</v>
          </cell>
          <cell r="Z451">
            <v>0.75280792824923992</v>
          </cell>
          <cell r="AA451">
            <v>0.11550765021337224</v>
          </cell>
          <cell r="AB451"/>
          <cell r="AC451" t="e">
            <v>#N/A</v>
          </cell>
          <cell r="AD451">
            <v>364</v>
          </cell>
          <cell r="AE451" t="e">
            <v>#N/A</v>
          </cell>
          <cell r="AF451"/>
        </row>
        <row r="452">
          <cell r="Y452">
            <v>436</v>
          </cell>
          <cell r="Z452">
            <v>6.8995466455817223E-2</v>
          </cell>
          <cell r="AA452">
            <v>-0.25072587316304012</v>
          </cell>
          <cell r="AB452"/>
          <cell r="AC452" t="e">
            <v>#N/A</v>
          </cell>
          <cell r="AD452">
            <v>365</v>
          </cell>
          <cell r="AE452" t="e">
            <v>#N/A</v>
          </cell>
          <cell r="AF452"/>
        </row>
        <row r="453">
          <cell r="Y453">
            <v>437</v>
          </cell>
          <cell r="Z453">
            <v>0.56149923615157604</v>
          </cell>
          <cell r="AA453">
            <v>2.6161143862732862E-2</v>
          </cell>
          <cell r="AB453"/>
          <cell r="AC453" t="e">
            <v>#N/A</v>
          </cell>
          <cell r="AD453">
            <v>366</v>
          </cell>
          <cell r="AE453" t="e">
            <v>#N/A</v>
          </cell>
          <cell r="AF453"/>
        </row>
        <row r="454">
          <cell r="Y454">
            <v>438</v>
          </cell>
          <cell r="Z454">
            <v>0.66100583039224148</v>
          </cell>
          <cell r="AA454">
            <v>7.0183262606242108E-2</v>
          </cell>
          <cell r="AB454"/>
          <cell r="AC454" t="e">
            <v>#N/A</v>
          </cell>
          <cell r="AD454">
            <v>367</v>
          </cell>
          <cell r="AE454" t="e">
            <v>#N/A</v>
          </cell>
          <cell r="AF454"/>
        </row>
        <row r="455">
          <cell r="Y455">
            <v>439</v>
          </cell>
          <cell r="Z455">
            <v>0.8969982098788023</v>
          </cell>
          <cell r="AA455">
            <v>0.21376167988277645</v>
          </cell>
          <cell r="AB455"/>
          <cell r="AC455" t="e">
            <v>#N/A</v>
          </cell>
          <cell r="AD455">
            <v>368</v>
          </cell>
          <cell r="AE455" t="e">
            <v>#N/A</v>
          </cell>
          <cell r="AF455"/>
        </row>
        <row r="456">
          <cell r="Y456">
            <v>440</v>
          </cell>
          <cell r="Z456">
            <v>0.75976475141942501</v>
          </cell>
          <cell r="AA456">
            <v>0.11925904584463516</v>
          </cell>
          <cell r="AB456"/>
          <cell r="AC456" t="e">
            <v>#N/A</v>
          </cell>
          <cell r="AD456">
            <v>369</v>
          </cell>
          <cell r="AE456" t="e">
            <v>#N/A</v>
          </cell>
          <cell r="AF456"/>
        </row>
        <row r="457">
          <cell r="Y457">
            <v>441</v>
          </cell>
          <cell r="Z457">
            <v>0.39113601855933666</v>
          </cell>
          <cell r="AA457">
            <v>-4.6713264508987606E-2</v>
          </cell>
          <cell r="AB457"/>
          <cell r="AC457" t="e">
            <v>#N/A</v>
          </cell>
          <cell r="AD457">
            <v>370</v>
          </cell>
          <cell r="AE457" t="e">
            <v>#N/A</v>
          </cell>
          <cell r="AF457"/>
        </row>
        <row r="458">
          <cell r="Y458">
            <v>442</v>
          </cell>
          <cell r="Z458">
            <v>0.27036160789430141</v>
          </cell>
          <cell r="AA458">
            <v>-0.10339950395189798</v>
          </cell>
          <cell r="AB458"/>
          <cell r="AC458" t="e">
            <v>#N/A</v>
          </cell>
          <cell r="AD458">
            <v>371</v>
          </cell>
          <cell r="AE458" t="e">
            <v>#N/A</v>
          </cell>
          <cell r="AF458"/>
        </row>
        <row r="459">
          <cell r="Y459">
            <v>443</v>
          </cell>
          <cell r="Z459">
            <v>0.59364391677081585</v>
          </cell>
          <cell r="AA459">
            <v>4.0048246256944905E-2</v>
          </cell>
          <cell r="AB459"/>
          <cell r="AC459" t="e">
            <v>#N/A</v>
          </cell>
          <cell r="AD459">
            <v>372</v>
          </cell>
          <cell r="AE459" t="e">
            <v>#N/A</v>
          </cell>
          <cell r="AF459"/>
        </row>
        <row r="460">
          <cell r="Y460">
            <v>444</v>
          </cell>
          <cell r="Z460">
            <v>0.88507907651364803</v>
          </cell>
          <cell r="AA460">
            <v>0.20296655851303352</v>
          </cell>
          <cell r="AB460"/>
          <cell r="AC460" t="e">
            <v>#N/A</v>
          </cell>
          <cell r="AD460">
            <v>373</v>
          </cell>
          <cell r="AE460" t="e">
            <v>#N/A</v>
          </cell>
          <cell r="AF460"/>
        </row>
        <row r="461">
          <cell r="Y461">
            <v>445</v>
          </cell>
          <cell r="Z461">
            <v>0.27116447500884533</v>
          </cell>
          <cell r="AA461">
            <v>-0.10298964483908195</v>
          </cell>
          <cell r="AB461"/>
          <cell r="AC461" t="e">
            <v>#N/A</v>
          </cell>
          <cell r="AD461">
            <v>374</v>
          </cell>
          <cell r="AE461" t="e">
            <v>#N/A</v>
          </cell>
          <cell r="AF461"/>
        </row>
        <row r="462">
          <cell r="Y462">
            <v>446</v>
          </cell>
          <cell r="Z462">
            <v>0.27522662840783596</v>
          </cell>
          <cell r="AA462">
            <v>-0.10092512108443684</v>
          </cell>
          <cell r="AB462"/>
          <cell r="AC462" t="e">
            <v>#N/A</v>
          </cell>
          <cell r="AD462">
            <v>375</v>
          </cell>
          <cell r="AE462" t="e">
            <v>#N/A</v>
          </cell>
          <cell r="AF462"/>
        </row>
        <row r="463">
          <cell r="Y463">
            <v>447</v>
          </cell>
          <cell r="Z463">
            <v>0.86202452890574932</v>
          </cell>
          <cell r="AA463">
            <v>0.18415240560073945</v>
          </cell>
          <cell r="AB463"/>
          <cell r="AC463" t="e">
            <v>#N/A</v>
          </cell>
          <cell r="AD463">
            <v>376</v>
          </cell>
          <cell r="AE463" t="e">
            <v>#N/A</v>
          </cell>
          <cell r="AF463"/>
        </row>
        <row r="464">
          <cell r="Y464">
            <v>448</v>
          </cell>
          <cell r="Z464">
            <v>0.49537636898458004</v>
          </cell>
          <cell r="AA464">
            <v>-1.9590648081880546E-3</v>
          </cell>
          <cell r="AB464"/>
          <cell r="AC464" t="e">
            <v>#N/A</v>
          </cell>
          <cell r="AD464">
            <v>377</v>
          </cell>
          <cell r="AE464" t="e">
            <v>#N/A</v>
          </cell>
          <cell r="AF464"/>
        </row>
        <row r="465">
          <cell r="Y465">
            <v>449</v>
          </cell>
          <cell r="Z465">
            <v>0.12973859719932079</v>
          </cell>
          <cell r="AA465">
            <v>-0.19060386521897635</v>
          </cell>
          <cell r="AB465"/>
          <cell r="AC465" t="e">
            <v>#N/A</v>
          </cell>
          <cell r="AD465">
            <v>378</v>
          </cell>
          <cell r="AE465" t="e">
            <v>#N/A</v>
          </cell>
          <cell r="AF465"/>
        </row>
        <row r="466">
          <cell r="Y466">
            <v>450</v>
          </cell>
          <cell r="Z466">
            <v>0.65859497152268887</v>
          </cell>
          <cell r="AA466">
            <v>6.907134245924583E-2</v>
          </cell>
          <cell r="AB466"/>
          <cell r="AC466" t="e">
            <v>#N/A</v>
          </cell>
          <cell r="AD466">
            <v>379</v>
          </cell>
          <cell r="AE466" t="e">
            <v>#N/A</v>
          </cell>
          <cell r="AF466"/>
        </row>
        <row r="467">
          <cell r="Y467">
            <v>451</v>
          </cell>
          <cell r="Z467">
            <v>0.27696151845157146</v>
          </cell>
          <cell r="AA467">
            <v>-0.10004797670565832</v>
          </cell>
          <cell r="AB467"/>
          <cell r="AC467" t="e">
            <v>#N/A</v>
          </cell>
          <cell r="AD467">
            <v>380</v>
          </cell>
          <cell r="AE467" t="e">
            <v>#N/A</v>
          </cell>
          <cell r="AF467"/>
        </row>
        <row r="468">
          <cell r="Y468">
            <v>452</v>
          </cell>
          <cell r="Z468">
            <v>0.78501545451581478</v>
          </cell>
          <cell r="AA468">
            <v>0.13340667716919083</v>
          </cell>
          <cell r="AB468"/>
          <cell r="AC468" t="e">
            <v>#N/A</v>
          </cell>
          <cell r="AD468">
            <v>381</v>
          </cell>
          <cell r="AE468" t="e">
            <v>#N/A</v>
          </cell>
          <cell r="AF468"/>
        </row>
        <row r="469">
          <cell r="Y469">
            <v>453</v>
          </cell>
          <cell r="Z469">
            <v>0.7503590565174818</v>
          </cell>
          <cell r="AA469">
            <v>0.11420063765133036</v>
          </cell>
          <cell r="AB469"/>
          <cell r="AC469" t="e">
            <v>#N/A</v>
          </cell>
          <cell r="AD469">
            <v>382</v>
          </cell>
          <cell r="AE469" t="e">
            <v>#N/A</v>
          </cell>
          <cell r="AF469"/>
        </row>
        <row r="470">
          <cell r="Y470">
            <v>454</v>
          </cell>
          <cell r="Z470">
            <v>0.31984255276620388</v>
          </cell>
          <cell r="AA470">
            <v>-7.9129953758609595E-2</v>
          </cell>
          <cell r="AB470"/>
          <cell r="AC470" t="e">
            <v>#N/A</v>
          </cell>
          <cell r="AD470">
            <v>383</v>
          </cell>
          <cell r="AE470" t="e">
            <v>#N/A</v>
          </cell>
          <cell r="AF470"/>
        </row>
        <row r="471">
          <cell r="Y471">
            <v>455</v>
          </cell>
          <cell r="Z471">
            <v>0.68561522476375103</v>
          </cell>
          <cell r="AA471">
            <v>8.1719560966919333E-2</v>
          </cell>
          <cell r="AB471"/>
          <cell r="AC471" t="e">
            <v>#N/A</v>
          </cell>
          <cell r="AD471">
            <v>384</v>
          </cell>
          <cell r="AE471" t="e">
            <v>#N/A</v>
          </cell>
          <cell r="AF471"/>
        </row>
        <row r="472">
          <cell r="Y472">
            <v>456</v>
          </cell>
          <cell r="Z472">
            <v>0.16063543222844601</v>
          </cell>
          <cell r="AA472">
            <v>-0.16765319350170746</v>
          </cell>
          <cell r="AB472"/>
          <cell r="AC472" t="e">
            <v>#N/A</v>
          </cell>
          <cell r="AD472">
            <v>385</v>
          </cell>
          <cell r="AE472" t="e">
            <v>#N/A</v>
          </cell>
          <cell r="AF472"/>
        </row>
        <row r="473">
          <cell r="Y473">
            <v>457</v>
          </cell>
          <cell r="Z473">
            <v>0.41054507903754711</v>
          </cell>
          <cell r="AA473">
            <v>-3.8225153176935443E-2</v>
          </cell>
          <cell r="AB473"/>
          <cell r="AC473" t="e">
            <v>#N/A</v>
          </cell>
          <cell r="AD473">
            <v>386</v>
          </cell>
          <cell r="AE473" t="e">
            <v>#N/A</v>
          </cell>
          <cell r="AF473"/>
        </row>
        <row r="474">
          <cell r="Y474">
            <v>458</v>
          </cell>
          <cell r="Z474">
            <v>0.12746149860322475</v>
          </cell>
          <cell r="AA474">
            <v>-0.19243707199839935</v>
          </cell>
          <cell r="AB474"/>
          <cell r="AC474" t="e">
            <v>#N/A</v>
          </cell>
          <cell r="AD474">
            <v>387</v>
          </cell>
          <cell r="AE474" t="e">
            <v>#N/A</v>
          </cell>
          <cell r="AF474"/>
        </row>
        <row r="475">
          <cell r="Y475">
            <v>459</v>
          </cell>
          <cell r="Z475">
            <v>0.64303172938525677</v>
          </cell>
          <cell r="AA475">
            <v>6.1962374939212715E-2</v>
          </cell>
          <cell r="AB475"/>
          <cell r="AC475" t="e">
            <v>#N/A</v>
          </cell>
          <cell r="AD475">
            <v>388</v>
          </cell>
          <cell r="AE475" t="e">
            <v>#N/A</v>
          </cell>
          <cell r="AF475"/>
        </row>
        <row r="476">
          <cell r="Y476">
            <v>460</v>
          </cell>
          <cell r="Z476">
            <v>0.65326504968106747</v>
          </cell>
          <cell r="AA476">
            <v>6.6623600877348865E-2</v>
          </cell>
          <cell r="AB476"/>
          <cell r="AC476" t="e">
            <v>#N/A</v>
          </cell>
          <cell r="AD476">
            <v>389</v>
          </cell>
          <cell r="AE476" t="e">
            <v>#N/A</v>
          </cell>
          <cell r="AF476"/>
        </row>
        <row r="477">
          <cell r="Y477">
            <v>461</v>
          </cell>
          <cell r="Z477">
            <v>0.98925632052123547</v>
          </cell>
          <cell r="AA477">
            <v>0.38865427652928353</v>
          </cell>
          <cell r="AB477"/>
          <cell r="AC477" t="e">
            <v>#N/A</v>
          </cell>
          <cell r="AD477">
            <v>390</v>
          </cell>
          <cell r="AE477" t="e">
            <v>#N/A</v>
          </cell>
          <cell r="AF477"/>
        </row>
        <row r="478">
          <cell r="Y478">
            <v>462</v>
          </cell>
          <cell r="Z478">
            <v>6.5544521436095238E-2</v>
          </cell>
          <cell r="AA478">
            <v>-0.25520636958145076</v>
          </cell>
          <cell r="AB478"/>
          <cell r="AC478" t="e">
            <v>#N/A</v>
          </cell>
          <cell r="AD478">
            <v>391</v>
          </cell>
          <cell r="AE478" t="e">
            <v>#N/A</v>
          </cell>
          <cell r="AF478"/>
        </row>
        <row r="479">
          <cell r="Y479">
            <v>463</v>
          </cell>
          <cell r="Z479">
            <v>6.6439731046557426E-2</v>
          </cell>
          <cell r="AA479">
            <v>-0.25402687858866141</v>
          </cell>
          <cell r="AB479"/>
          <cell r="AC479" t="e">
            <v>#N/A</v>
          </cell>
          <cell r="AD479">
            <v>392</v>
          </cell>
          <cell r="AE479" t="e">
            <v>#N/A</v>
          </cell>
          <cell r="AF479"/>
        </row>
        <row r="480">
          <cell r="Y480">
            <v>464</v>
          </cell>
          <cell r="Z480">
            <v>0.17418207786977291</v>
          </cell>
          <cell r="AA480">
            <v>-0.15851155654283161</v>
          </cell>
          <cell r="AB480"/>
          <cell r="AC480" t="e">
            <v>#N/A</v>
          </cell>
          <cell r="AD480">
            <v>393</v>
          </cell>
          <cell r="AE480" t="e">
            <v>#N/A</v>
          </cell>
          <cell r="AF480"/>
        </row>
        <row r="481">
          <cell r="Y481">
            <v>465</v>
          </cell>
          <cell r="Z481">
            <v>4.3064741417765617E-2</v>
          </cell>
          <cell r="AA481">
            <v>-0.29008701448729274</v>
          </cell>
          <cell r="AB481"/>
          <cell r="AC481" t="e">
            <v>#N/A</v>
          </cell>
          <cell r="AD481">
            <v>394</v>
          </cell>
          <cell r="AE481" t="e">
            <v>#N/A</v>
          </cell>
          <cell r="AF481"/>
        </row>
        <row r="482">
          <cell r="Y482">
            <v>466</v>
          </cell>
          <cell r="Z482">
            <v>0.97401929460465908</v>
          </cell>
          <cell r="AA482">
            <v>0.32850356769775518</v>
          </cell>
          <cell r="AB482"/>
          <cell r="AC482" t="e">
            <v>#N/A</v>
          </cell>
          <cell r="AD482">
            <v>395</v>
          </cell>
          <cell r="AE482" t="e">
            <v>#N/A</v>
          </cell>
          <cell r="AF482"/>
        </row>
        <row r="483">
          <cell r="Y483">
            <v>467</v>
          </cell>
          <cell r="Z483">
            <v>0.60829742066562176</v>
          </cell>
          <cell r="AA483">
            <v>4.6463920715875941E-2</v>
          </cell>
          <cell r="AB483"/>
          <cell r="AC483" t="e">
            <v>#N/A</v>
          </cell>
          <cell r="AD483">
            <v>396</v>
          </cell>
          <cell r="AE483" t="e">
            <v>#N/A</v>
          </cell>
          <cell r="AF483"/>
        </row>
        <row r="484">
          <cell r="Y484">
            <v>468</v>
          </cell>
          <cell r="Z484">
            <v>0.11452268622815609</v>
          </cell>
          <cell r="AA484">
            <v>-0.20331395500179916</v>
          </cell>
          <cell r="AB484"/>
          <cell r="AC484" t="e">
            <v>#N/A</v>
          </cell>
          <cell r="AD484">
            <v>397</v>
          </cell>
          <cell r="AE484" t="e">
            <v>#N/A</v>
          </cell>
          <cell r="AF484"/>
        </row>
        <row r="485">
          <cell r="Y485">
            <v>469</v>
          </cell>
          <cell r="Z485">
            <v>0.35107648186385632</v>
          </cell>
          <cell r="AA485">
            <v>-6.4640070127798058E-2</v>
          </cell>
          <cell r="AB485"/>
          <cell r="AC485" t="e">
            <v>#N/A</v>
          </cell>
          <cell r="AD485">
            <v>398</v>
          </cell>
          <cell r="AE485" t="e">
            <v>#N/A</v>
          </cell>
          <cell r="AF485"/>
        </row>
        <row r="486">
          <cell r="Y486">
            <v>470</v>
          </cell>
          <cell r="Z486">
            <v>0.38263282738626003</v>
          </cell>
          <cell r="AA486">
            <v>-5.0468095734139615E-2</v>
          </cell>
          <cell r="AB486"/>
          <cell r="AC486" t="e">
            <v>#N/A</v>
          </cell>
          <cell r="AD486">
            <v>399</v>
          </cell>
          <cell r="AE486" t="e">
            <v>#N/A</v>
          </cell>
          <cell r="AF486"/>
        </row>
        <row r="487">
          <cell r="Y487">
            <v>471</v>
          </cell>
          <cell r="Z487">
            <v>0.24808935634791851</v>
          </cell>
          <cell r="AA487">
            <v>-0.11502795332227796</v>
          </cell>
          <cell r="AB487"/>
          <cell r="AC487" t="e">
            <v>#N/A</v>
          </cell>
          <cell r="AD487">
            <v>400</v>
          </cell>
          <cell r="AE487" t="e">
            <v>#N/A</v>
          </cell>
          <cell r="AF487"/>
        </row>
        <row r="488">
          <cell r="Y488">
            <v>472</v>
          </cell>
          <cell r="Z488">
            <v>0.78864081762731075</v>
          </cell>
          <cell r="AA488">
            <v>0.13551441447508442</v>
          </cell>
          <cell r="AB488"/>
          <cell r="AC488" t="e">
            <v>#N/A</v>
          </cell>
          <cell r="AD488">
            <v>401</v>
          </cell>
          <cell r="AE488" t="e">
            <v>#N/A</v>
          </cell>
          <cell r="AF488"/>
        </row>
        <row r="489">
          <cell r="Y489">
            <v>473</v>
          </cell>
          <cell r="Z489">
            <v>0.42860373668372631</v>
          </cell>
          <cell r="AA489">
            <v>-3.0413731686509196E-2</v>
          </cell>
          <cell r="AB489"/>
          <cell r="AC489" t="e">
            <v>#N/A</v>
          </cell>
          <cell r="AD489">
            <v>402</v>
          </cell>
          <cell r="AE489" t="e">
            <v>#N/A</v>
          </cell>
          <cell r="AF489"/>
        </row>
        <row r="490">
          <cell r="Y490">
            <v>474</v>
          </cell>
          <cell r="Z490">
            <v>0.93868583999574184</v>
          </cell>
          <cell r="AA490">
            <v>0.26095573678081296</v>
          </cell>
          <cell r="AB490"/>
          <cell r="AC490" t="e">
            <v>#N/A</v>
          </cell>
          <cell r="AD490">
            <v>403</v>
          </cell>
          <cell r="AE490" t="e">
            <v>#N/A</v>
          </cell>
          <cell r="AF490"/>
        </row>
        <row r="491">
          <cell r="Y491">
            <v>475</v>
          </cell>
          <cell r="Z491">
            <v>0.60287333838641644</v>
          </cell>
          <cell r="AA491">
            <v>4.4081804008598957E-2</v>
          </cell>
          <cell r="AB491"/>
          <cell r="AC491" t="e">
            <v>#N/A</v>
          </cell>
          <cell r="AD491">
            <v>404</v>
          </cell>
          <cell r="AE491" t="e">
            <v>#N/A</v>
          </cell>
          <cell r="AF491"/>
        </row>
        <row r="492">
          <cell r="Y492">
            <v>476</v>
          </cell>
          <cell r="Z492">
            <v>0.22121756337583065</v>
          </cell>
          <cell r="AA492">
            <v>-0.12983050532682266</v>
          </cell>
          <cell r="AB492"/>
          <cell r="AC492" t="e">
            <v>#N/A</v>
          </cell>
          <cell r="AD492">
            <v>405</v>
          </cell>
          <cell r="AE492" t="e">
            <v>#N/A</v>
          </cell>
          <cell r="AF492"/>
        </row>
        <row r="493">
          <cell r="Y493">
            <v>477</v>
          </cell>
          <cell r="Z493">
            <v>0.50958663038909435</v>
          </cell>
          <cell r="AA493">
            <v>4.0622224218511771E-3</v>
          </cell>
          <cell r="AB493"/>
          <cell r="AC493" t="e">
            <v>#N/A</v>
          </cell>
          <cell r="AD493">
            <v>406</v>
          </cell>
          <cell r="AE493" t="e">
            <v>#N/A</v>
          </cell>
          <cell r="AF493"/>
        </row>
        <row r="494">
          <cell r="Y494">
            <v>478</v>
          </cell>
          <cell r="Z494">
            <v>0.92851713858544827</v>
          </cell>
          <cell r="AA494">
            <v>0.2476024412205674</v>
          </cell>
          <cell r="AB494"/>
          <cell r="AC494" t="e">
            <v>#N/A</v>
          </cell>
          <cell r="AD494">
            <v>407</v>
          </cell>
          <cell r="AE494" t="e">
            <v>#N/A</v>
          </cell>
          <cell r="AF494"/>
        </row>
        <row r="495">
          <cell r="Y495">
            <v>479</v>
          </cell>
          <cell r="Z495">
            <v>0.45657728426158428</v>
          </cell>
          <cell r="AA495">
            <v>-1.8434575451563073E-2</v>
          </cell>
          <cell r="AB495"/>
          <cell r="AC495" t="e">
            <v>#N/A</v>
          </cell>
          <cell r="AD495">
            <v>408</v>
          </cell>
          <cell r="AE495" t="e">
            <v>#N/A</v>
          </cell>
          <cell r="AF495"/>
        </row>
        <row r="496">
          <cell r="Y496">
            <v>480</v>
          </cell>
          <cell r="Z496">
            <v>0.77812053821980953</v>
          </cell>
          <cell r="AA496">
            <v>0.12945416211627517</v>
          </cell>
          <cell r="AB496"/>
          <cell r="AC496" t="e">
            <v>#N/A</v>
          </cell>
          <cell r="AD496">
            <v>409</v>
          </cell>
          <cell r="AE496" t="e">
            <v>#N/A</v>
          </cell>
          <cell r="AF496"/>
        </row>
        <row r="497">
          <cell r="Y497">
            <v>481</v>
          </cell>
          <cell r="Z497">
            <v>0.49776509217917919</v>
          </cell>
          <cell r="AA497">
            <v>-9.4692983235248316E-4</v>
          </cell>
          <cell r="AB497"/>
          <cell r="AC497" t="e">
            <v>#N/A</v>
          </cell>
          <cell r="AD497">
            <v>410</v>
          </cell>
          <cell r="AE497" t="e">
            <v>#N/A</v>
          </cell>
          <cell r="AF497"/>
        </row>
        <row r="498">
          <cell r="Y498">
            <v>482</v>
          </cell>
          <cell r="Z498">
            <v>0.39273799024522305</v>
          </cell>
          <cell r="AA498">
            <v>-4.6008496331732589E-2</v>
          </cell>
          <cell r="AB498"/>
          <cell r="AC498" t="e">
            <v>#N/A</v>
          </cell>
          <cell r="AD498">
            <v>411</v>
          </cell>
          <cell r="AE498" t="e">
            <v>#N/A</v>
          </cell>
          <cell r="AF498"/>
        </row>
        <row r="499">
          <cell r="Y499">
            <v>483</v>
          </cell>
          <cell r="Z499">
            <v>8.0461036413908005E-3</v>
          </cell>
          <cell r="AA499">
            <v>-0.40682641768056399</v>
          </cell>
          <cell r="AB499"/>
          <cell r="AC499" t="e">
            <v>#N/A</v>
          </cell>
          <cell r="AD499">
            <v>412</v>
          </cell>
          <cell r="AE499" t="e">
            <v>#N/A</v>
          </cell>
          <cell r="AF499"/>
        </row>
        <row r="500">
          <cell r="Y500">
            <v>484</v>
          </cell>
          <cell r="Z500">
            <v>0.14101325534284115</v>
          </cell>
          <cell r="AA500">
            <v>-0.18183968698784256</v>
          </cell>
          <cell r="AB500"/>
          <cell r="AC500" t="e">
            <v>#N/A</v>
          </cell>
          <cell r="AD500">
            <v>413</v>
          </cell>
          <cell r="AE500" t="e">
            <v>#N/A</v>
          </cell>
          <cell r="AF500"/>
        </row>
        <row r="501">
          <cell r="Y501">
            <v>485</v>
          </cell>
          <cell r="Z501">
            <v>0.38660073094069958</v>
          </cell>
          <cell r="AA501">
            <v>-4.8712965863617716E-2</v>
          </cell>
          <cell r="AB501"/>
          <cell r="AC501" t="e">
            <v>#N/A</v>
          </cell>
          <cell r="AD501">
            <v>414</v>
          </cell>
          <cell r="AE501" t="e">
            <v>#N/A</v>
          </cell>
          <cell r="AF501"/>
        </row>
        <row r="502">
          <cell r="Y502">
            <v>486</v>
          </cell>
          <cell r="Z502">
            <v>0.33521649800240993</v>
          </cell>
          <cell r="AA502">
            <v>-7.193172443168809E-2</v>
          </cell>
          <cell r="AB502"/>
          <cell r="AC502" t="e">
            <v>#N/A</v>
          </cell>
          <cell r="AD502">
            <v>415</v>
          </cell>
          <cell r="AE502" t="e">
            <v>#N/A</v>
          </cell>
          <cell r="AF502"/>
        </row>
        <row r="503">
          <cell r="Y503">
            <v>487</v>
          </cell>
          <cell r="Z503">
            <v>0.33783857338130474</v>
          </cell>
          <cell r="AA503">
            <v>-7.0717314655497979E-2</v>
          </cell>
          <cell r="AB503"/>
          <cell r="AC503" t="e">
            <v>#N/A</v>
          </cell>
          <cell r="AD503">
            <v>416</v>
          </cell>
          <cell r="AE503" t="e">
            <v>#N/A</v>
          </cell>
          <cell r="AF503"/>
        </row>
        <row r="504">
          <cell r="Y504">
            <v>488</v>
          </cell>
          <cell r="Z504">
            <v>0.12571450136601925</v>
          </cell>
          <cell r="AA504">
            <v>-0.19385900888584653</v>
          </cell>
          <cell r="AB504"/>
          <cell r="AC504" t="e">
            <v>#N/A</v>
          </cell>
          <cell r="AD504">
            <v>417</v>
          </cell>
          <cell r="AE504" t="e">
            <v>#N/A</v>
          </cell>
          <cell r="AF504"/>
        </row>
        <row r="505">
          <cell r="Y505">
            <v>489</v>
          </cell>
          <cell r="Z505">
            <v>0.64794871024787426</v>
          </cell>
          <cell r="AA505">
            <v>6.4195936914286975E-2</v>
          </cell>
          <cell r="AB505"/>
          <cell r="AC505" t="e">
            <v>#N/A</v>
          </cell>
          <cell r="AD505">
            <v>418</v>
          </cell>
          <cell r="AE505" t="e">
            <v>#N/A</v>
          </cell>
          <cell r="AF505"/>
        </row>
        <row r="506">
          <cell r="Y506">
            <v>490</v>
          </cell>
          <cell r="Z506">
            <v>0.52581197582185268</v>
          </cell>
          <cell r="AA506">
            <v>1.094411150803706E-2</v>
          </cell>
          <cell r="AB506"/>
          <cell r="AC506" t="e">
            <v>#N/A</v>
          </cell>
          <cell r="AD506">
            <v>419</v>
          </cell>
          <cell r="AE506" t="e">
            <v>#N/A</v>
          </cell>
          <cell r="AF506"/>
        </row>
        <row r="507">
          <cell r="Y507">
            <v>491</v>
          </cell>
          <cell r="Z507">
            <v>0.59377421252429485</v>
          </cell>
          <cell r="AA507">
            <v>4.0105025952743491E-2</v>
          </cell>
          <cell r="AB507"/>
          <cell r="AC507" t="e">
            <v>#N/A</v>
          </cell>
          <cell r="AD507">
            <v>420</v>
          </cell>
          <cell r="AE507" t="e">
            <v>#N/A</v>
          </cell>
          <cell r="AF507"/>
        </row>
        <row r="508">
          <cell r="Y508">
            <v>492</v>
          </cell>
          <cell r="Z508">
            <v>0.84430771134793758</v>
          </cell>
          <cell r="AA508">
            <v>0.17111348709679569</v>
          </cell>
          <cell r="AB508"/>
          <cell r="AC508" t="e">
            <v>#N/A</v>
          </cell>
          <cell r="AD508">
            <v>421</v>
          </cell>
          <cell r="AE508" t="e">
            <v>#N/A</v>
          </cell>
          <cell r="AF508"/>
        </row>
        <row r="509">
          <cell r="Y509">
            <v>493</v>
          </cell>
          <cell r="Z509">
            <v>8.9479623362421989E-2</v>
          </cell>
          <cell r="AA509">
            <v>-0.22717178718334913</v>
          </cell>
          <cell r="AB509"/>
          <cell r="AC509" t="e">
            <v>#N/A</v>
          </cell>
          <cell r="AD509">
            <v>422</v>
          </cell>
          <cell r="AE509" t="e">
            <v>#N/A</v>
          </cell>
          <cell r="AF509"/>
        </row>
        <row r="510">
          <cell r="Y510">
            <v>494</v>
          </cell>
          <cell r="Z510">
            <v>0.39685932360589504</v>
          </cell>
          <cell r="AA510">
            <v>-4.4199003189921253E-2</v>
          </cell>
          <cell r="AB510"/>
          <cell r="AC510" t="e">
            <v>#N/A</v>
          </cell>
          <cell r="AD510">
            <v>423</v>
          </cell>
          <cell r="AE510" t="e">
            <v>#N/A</v>
          </cell>
          <cell r="AF510"/>
        </row>
        <row r="511">
          <cell r="Y511">
            <v>495</v>
          </cell>
          <cell r="Z511">
            <v>0.39523015730082989</v>
          </cell>
          <cell r="AA511">
            <v>-4.4913680461362605E-2</v>
          </cell>
          <cell r="AB511"/>
          <cell r="AC511" t="e">
            <v>#N/A</v>
          </cell>
          <cell r="AD511">
            <v>424</v>
          </cell>
          <cell r="AE511" t="e">
            <v>#N/A</v>
          </cell>
          <cell r="AF511"/>
        </row>
        <row r="512">
          <cell r="Y512">
            <v>496</v>
          </cell>
          <cell r="Z512">
            <v>0.7110003437846899</v>
          </cell>
          <cell r="AA512">
            <v>9.4033463596018024E-2</v>
          </cell>
          <cell r="AB512"/>
          <cell r="AC512" t="e">
            <v>#N/A</v>
          </cell>
          <cell r="AD512">
            <v>425</v>
          </cell>
          <cell r="AE512" t="e">
            <v>#N/A</v>
          </cell>
          <cell r="AF512"/>
        </row>
        <row r="513">
          <cell r="Y513">
            <v>497</v>
          </cell>
          <cell r="Z513">
            <v>0.68085136823356152</v>
          </cell>
          <cell r="AA513">
            <v>7.9458164147421725E-2</v>
          </cell>
          <cell r="AB513"/>
          <cell r="AC513" t="e">
            <v>#N/A</v>
          </cell>
          <cell r="AD513">
            <v>426</v>
          </cell>
          <cell r="AE513" t="e">
            <v>#N/A</v>
          </cell>
          <cell r="AF513"/>
        </row>
        <row r="514">
          <cell r="Y514">
            <v>498</v>
          </cell>
          <cell r="Z514">
            <v>0.53340340219438076</v>
          </cell>
          <cell r="AA514">
            <v>1.4169516041654196E-2</v>
          </cell>
          <cell r="AB514"/>
          <cell r="AC514" t="e">
            <v>#N/A</v>
          </cell>
          <cell r="AD514">
            <v>427</v>
          </cell>
          <cell r="AE514" t="e">
            <v>#N/A</v>
          </cell>
          <cell r="AF514"/>
        </row>
        <row r="515">
          <cell r="Y515">
            <v>499</v>
          </cell>
          <cell r="Z515">
            <v>0.95618803612887859</v>
          </cell>
          <cell r="AA515">
            <v>0.28871600345132237</v>
          </cell>
          <cell r="AB515"/>
          <cell r="AC515" t="e">
            <v>#N/A</v>
          </cell>
          <cell r="AD515">
            <v>428</v>
          </cell>
          <cell r="AE515" t="e">
            <v>#N/A</v>
          </cell>
          <cell r="AF515"/>
        </row>
        <row r="516">
          <cell r="Y516">
            <v>500</v>
          </cell>
          <cell r="Z516">
            <v>0.79173325560986996</v>
          </cell>
          <cell r="AA516">
            <v>0.13732910808639387</v>
          </cell>
          <cell r="AB516"/>
          <cell r="AC516" t="e">
            <v>#N/A</v>
          </cell>
          <cell r="AD516">
            <v>429</v>
          </cell>
          <cell r="AE516" t="e">
            <v>#N/A</v>
          </cell>
          <cell r="AF516"/>
        </row>
        <row r="517">
          <cell r="Y517">
            <v>501</v>
          </cell>
          <cell r="Z517">
            <v>0.84863102249801159</v>
          </cell>
          <cell r="AA517">
            <v>0.17419976534319093</v>
          </cell>
          <cell r="AB517"/>
          <cell r="AC517" t="e">
            <v>#N/A</v>
          </cell>
          <cell r="AD517">
            <v>430</v>
          </cell>
          <cell r="AE517" t="e">
            <v>#N/A</v>
          </cell>
          <cell r="AF517"/>
        </row>
        <row r="518">
          <cell r="Y518">
            <v>502</v>
          </cell>
          <cell r="Z518">
            <v>0.25718340836465359</v>
          </cell>
          <cell r="AA518">
            <v>-0.11021711687904844</v>
          </cell>
          <cell r="AB518"/>
          <cell r="AC518" t="e">
            <v>#N/A</v>
          </cell>
          <cell r="AD518">
            <v>431</v>
          </cell>
          <cell r="AE518" t="e">
            <v>#N/A</v>
          </cell>
          <cell r="AF518"/>
        </row>
        <row r="519">
          <cell r="Y519">
            <v>503</v>
          </cell>
          <cell r="Z519">
            <v>0.42703084461390972</v>
          </cell>
          <cell r="AA519">
            <v>-3.1091283806102064E-2</v>
          </cell>
          <cell r="AB519"/>
          <cell r="AC519" t="e">
            <v>#N/A</v>
          </cell>
          <cell r="AD519">
            <v>432</v>
          </cell>
          <cell r="AE519" t="e">
            <v>#N/A</v>
          </cell>
          <cell r="AF519"/>
        </row>
        <row r="520">
          <cell r="Y520">
            <v>504</v>
          </cell>
          <cell r="Z520">
            <v>0.9975400771945715</v>
          </cell>
          <cell r="AA520">
            <v>0.4753545726874589</v>
          </cell>
          <cell r="AB520"/>
          <cell r="AC520" t="e">
            <v>#N/A</v>
          </cell>
          <cell r="AD520">
            <v>433</v>
          </cell>
          <cell r="AE520" t="e">
            <v>#N/A</v>
          </cell>
          <cell r="AF520"/>
        </row>
        <row r="521">
          <cell r="Y521">
            <v>505</v>
          </cell>
          <cell r="Z521">
            <v>0.73996671847999096</v>
          </cell>
          <cell r="AA521">
            <v>0.10872787847339255</v>
          </cell>
          <cell r="AB521"/>
          <cell r="AC521" t="e">
            <v>#N/A</v>
          </cell>
          <cell r="AD521">
            <v>434</v>
          </cell>
          <cell r="AE521" t="e">
            <v>#N/A</v>
          </cell>
          <cell r="AF521"/>
        </row>
        <row r="522">
          <cell r="Y522">
            <v>506</v>
          </cell>
          <cell r="Z522">
            <v>0.80436724983155727</v>
          </cell>
          <cell r="AA522">
            <v>0.14491431170438193</v>
          </cell>
          <cell r="AB522"/>
          <cell r="AC522" t="e">
            <v>#N/A</v>
          </cell>
          <cell r="AD522">
            <v>435</v>
          </cell>
          <cell r="AE522" t="e">
            <v>#N/A</v>
          </cell>
          <cell r="AF522"/>
        </row>
        <row r="523">
          <cell r="Y523">
            <v>507</v>
          </cell>
          <cell r="Z523">
            <v>0.95508982054889202</v>
          </cell>
          <cell r="AA523">
            <v>0.2867348211680853</v>
          </cell>
          <cell r="AB523"/>
          <cell r="AC523" t="e">
            <v>#N/A</v>
          </cell>
          <cell r="AD523">
            <v>436</v>
          </cell>
          <cell r="AE523" t="e">
            <v>#N/A</v>
          </cell>
          <cell r="AF523"/>
        </row>
        <row r="524">
          <cell r="Y524">
            <v>508</v>
          </cell>
          <cell r="Z524">
            <v>0.62165658734738827</v>
          </cell>
          <cell r="AA524">
            <v>5.2371586787346693E-2</v>
          </cell>
          <cell r="AB524"/>
          <cell r="AC524" t="e">
            <v>#N/A</v>
          </cell>
          <cell r="AD524">
            <v>437</v>
          </cell>
          <cell r="AE524" t="e">
            <v>#N/A</v>
          </cell>
          <cell r="AF524"/>
        </row>
        <row r="525">
          <cell r="Y525">
            <v>509</v>
          </cell>
          <cell r="Z525">
            <v>0.95500951819121838</v>
          </cell>
          <cell r="AA525">
            <v>0.28659149265005041</v>
          </cell>
          <cell r="AB525"/>
          <cell r="AC525" t="e">
            <v>#N/A</v>
          </cell>
          <cell r="AD525">
            <v>438</v>
          </cell>
          <cell r="AE525" t="e">
            <v>#N/A</v>
          </cell>
          <cell r="AF525"/>
        </row>
        <row r="526">
          <cell r="Y526">
            <v>510</v>
          </cell>
          <cell r="Z526">
            <v>0.59703592024743557</v>
          </cell>
          <cell r="AA526">
            <v>4.1527891586899818E-2</v>
          </cell>
          <cell r="AB526"/>
          <cell r="AC526" t="e">
            <v>#N/A</v>
          </cell>
          <cell r="AD526">
            <v>439</v>
          </cell>
          <cell r="AE526" t="e">
            <v>#N/A</v>
          </cell>
          <cell r="AF526"/>
        </row>
        <row r="527">
          <cell r="Y527">
            <v>511</v>
          </cell>
          <cell r="Z527">
            <v>0.96394131891429424</v>
          </cell>
          <cell r="AA527">
            <v>0.30398111229128644</v>
          </cell>
          <cell r="AB527"/>
          <cell r="AC527" t="e">
            <v>#N/A</v>
          </cell>
          <cell r="AD527">
            <v>440</v>
          </cell>
          <cell r="AE527" t="e">
            <v>#N/A</v>
          </cell>
          <cell r="AF527"/>
        </row>
        <row r="528">
          <cell r="Y528">
            <v>512</v>
          </cell>
          <cell r="Z528">
            <v>0.72038008831441402</v>
          </cell>
          <cell r="AA528">
            <v>9.8709115006123754E-2</v>
          </cell>
          <cell r="AB528"/>
          <cell r="AC528" t="e">
            <v>#N/A</v>
          </cell>
          <cell r="AD528">
            <v>441</v>
          </cell>
          <cell r="AE528" t="e">
            <v>#N/A</v>
          </cell>
          <cell r="AF528"/>
        </row>
        <row r="529">
          <cell r="Y529">
            <v>513</v>
          </cell>
          <cell r="Z529">
            <v>0.24808528833091259</v>
          </cell>
          <cell r="AA529">
            <v>-0.1150301260308097</v>
          </cell>
          <cell r="AB529"/>
          <cell r="AC529" t="e">
            <v>#N/A</v>
          </cell>
          <cell r="AD529">
            <v>442</v>
          </cell>
          <cell r="AE529" t="e">
            <v>#N/A</v>
          </cell>
          <cell r="AF529"/>
        </row>
        <row r="530">
          <cell r="Y530">
            <v>514</v>
          </cell>
          <cell r="Z530">
            <v>0.10841787420213223</v>
          </cell>
          <cell r="AA530">
            <v>-0.20875071911877852</v>
          </cell>
          <cell r="AB530"/>
          <cell r="AC530" t="e">
            <v>#N/A</v>
          </cell>
          <cell r="AD530">
            <v>443</v>
          </cell>
          <cell r="AE530" t="e">
            <v>#N/A</v>
          </cell>
          <cell r="AF530"/>
        </row>
        <row r="531">
          <cell r="Y531">
            <v>515</v>
          </cell>
          <cell r="Z531">
            <v>0.15145368687808514</v>
          </cell>
          <cell r="AA531">
            <v>-0.17413873616787043</v>
          </cell>
          <cell r="AB531"/>
          <cell r="AC531" t="e">
            <v>#N/A</v>
          </cell>
          <cell r="AD531">
            <v>444</v>
          </cell>
          <cell r="AE531" t="e">
            <v>#N/A</v>
          </cell>
          <cell r="AF531"/>
        </row>
        <row r="532">
          <cell r="Y532">
            <v>516</v>
          </cell>
          <cell r="Z532">
            <v>0.83767878077924252</v>
          </cell>
          <cell r="AA532">
            <v>0.16648906771518895</v>
          </cell>
          <cell r="AB532"/>
          <cell r="AC532" t="e">
            <v>#N/A</v>
          </cell>
          <cell r="AD532">
            <v>445</v>
          </cell>
          <cell r="AE532" t="e">
            <v>#N/A</v>
          </cell>
          <cell r="AF532"/>
        </row>
        <row r="533">
          <cell r="Y533">
            <v>517</v>
          </cell>
          <cell r="Z533">
            <v>0.69761657528579235</v>
          </cell>
          <cell r="AA533">
            <v>8.7483231010443183E-2</v>
          </cell>
          <cell r="AB533"/>
          <cell r="AC533" t="e">
            <v>#N/A</v>
          </cell>
          <cell r="AD533">
            <v>446</v>
          </cell>
          <cell r="AE533" t="e">
            <v>#N/A</v>
          </cell>
          <cell r="AF533"/>
        </row>
        <row r="534">
          <cell r="Y534">
            <v>518</v>
          </cell>
          <cell r="Z534">
            <v>0.82187340222299099</v>
          </cell>
          <cell r="AA534">
            <v>0.15593570472366558</v>
          </cell>
          <cell r="AB534"/>
          <cell r="AC534" t="e">
            <v>#N/A</v>
          </cell>
          <cell r="AD534">
            <v>447</v>
          </cell>
          <cell r="AE534" t="e">
            <v>#N/A</v>
          </cell>
          <cell r="AF534"/>
        </row>
        <row r="535">
          <cell r="Y535">
            <v>519</v>
          </cell>
          <cell r="Z535">
            <v>0.70658413879573345</v>
          </cell>
          <cell r="AA535">
            <v>9.1856939325937914E-2</v>
          </cell>
          <cell r="AB535"/>
          <cell r="AC535" t="e">
            <v>#N/A</v>
          </cell>
          <cell r="AD535">
            <v>448</v>
          </cell>
          <cell r="AE535" t="e">
            <v>#N/A</v>
          </cell>
          <cell r="AF535"/>
        </row>
        <row r="536">
          <cell r="Y536">
            <v>520</v>
          </cell>
          <cell r="Z536">
            <v>0.57355113886296749</v>
          </cell>
          <cell r="AA536">
            <v>3.1342109960207282E-2</v>
          </cell>
          <cell r="AB536"/>
          <cell r="AC536" t="e">
            <v>#N/A</v>
          </cell>
          <cell r="AD536">
            <v>449</v>
          </cell>
          <cell r="AE536" t="e">
            <v>#N/A</v>
          </cell>
          <cell r="AF536"/>
        </row>
        <row r="537">
          <cell r="Y537">
            <v>521</v>
          </cell>
          <cell r="Z537">
            <v>0.84479448013007641</v>
          </cell>
          <cell r="AA537">
            <v>0.17145812116951537</v>
          </cell>
          <cell r="AB537"/>
          <cell r="AC537" t="e">
            <v>#N/A</v>
          </cell>
          <cell r="AD537">
            <v>450</v>
          </cell>
          <cell r="AE537" t="e">
            <v>#N/A</v>
          </cell>
          <cell r="AF537"/>
        </row>
        <row r="538">
          <cell r="Y538">
            <v>522</v>
          </cell>
          <cell r="Z538">
            <v>0.78362900577485561</v>
          </cell>
          <cell r="AA538">
            <v>0.13260608396753779</v>
          </cell>
          <cell r="AB538"/>
          <cell r="AC538" t="e">
            <v>#N/A</v>
          </cell>
          <cell r="AD538">
            <v>451</v>
          </cell>
          <cell r="AE538" t="e">
            <v>#N/A</v>
          </cell>
          <cell r="AF538"/>
        </row>
        <row r="539">
          <cell r="Y539">
            <v>523</v>
          </cell>
          <cell r="Z539">
            <v>0.24492563121020794</v>
          </cell>
          <cell r="AA539">
            <v>-0.11672347857437737</v>
          </cell>
          <cell r="AB539"/>
          <cell r="AC539" t="e">
            <v>#N/A</v>
          </cell>
          <cell r="AD539">
            <v>452</v>
          </cell>
          <cell r="AE539" t="e">
            <v>#N/A</v>
          </cell>
          <cell r="AF539"/>
        </row>
        <row r="540">
          <cell r="Y540">
            <v>524</v>
          </cell>
          <cell r="Z540">
            <v>0.4961352851241827</v>
          </cell>
          <cell r="AA540">
            <v>-1.6374956832224477E-3</v>
          </cell>
          <cell r="AB540"/>
          <cell r="AC540" t="e">
            <v>#N/A</v>
          </cell>
          <cell r="AD540">
            <v>453</v>
          </cell>
          <cell r="AE540" t="e">
            <v>#N/A</v>
          </cell>
          <cell r="AF540"/>
        </row>
        <row r="541">
          <cell r="Y541">
            <v>525</v>
          </cell>
          <cell r="Z541">
            <v>0.30100053362548351</v>
          </cell>
          <cell r="AA541">
            <v>-8.8153821194591683E-2</v>
          </cell>
          <cell r="AB541"/>
          <cell r="AC541" t="e">
            <v>#N/A</v>
          </cell>
          <cell r="AD541">
            <v>454</v>
          </cell>
          <cell r="AE541" t="e">
            <v>#N/A</v>
          </cell>
          <cell r="AF541"/>
        </row>
        <row r="542">
          <cell r="Y542">
            <v>526</v>
          </cell>
          <cell r="Z542">
            <v>0.24926177226006985</v>
          </cell>
          <cell r="AA542">
            <v>-0.11440256084281117</v>
          </cell>
          <cell r="AB542"/>
          <cell r="AC542" t="e">
            <v>#N/A</v>
          </cell>
          <cell r="AD542">
            <v>455</v>
          </cell>
          <cell r="AE542" t="e">
            <v>#N/A</v>
          </cell>
          <cell r="AF542"/>
        </row>
        <row r="543">
          <cell r="Y543">
            <v>527</v>
          </cell>
          <cell r="Z543">
            <v>0.96300373785197735</v>
          </cell>
          <cell r="AA543">
            <v>0.30200059064869084</v>
          </cell>
          <cell r="AB543"/>
          <cell r="AC543" t="e">
            <v>#N/A</v>
          </cell>
          <cell r="AD543">
            <v>456</v>
          </cell>
          <cell r="AE543" t="e">
            <v>#N/A</v>
          </cell>
          <cell r="AF543"/>
        </row>
        <row r="544">
          <cell r="Y544">
            <v>528</v>
          </cell>
          <cell r="Z544">
            <v>0.8975683655589819</v>
          </cell>
          <cell r="AA544">
            <v>0.21430020571830527</v>
          </cell>
          <cell r="AB544"/>
          <cell r="AC544" t="e">
            <v>#N/A</v>
          </cell>
          <cell r="AD544">
            <v>457</v>
          </cell>
          <cell r="AE544" t="e">
            <v>#N/A</v>
          </cell>
          <cell r="AF544"/>
        </row>
        <row r="545">
          <cell r="Y545">
            <v>529</v>
          </cell>
          <cell r="Z545">
            <v>0.32397857122123241</v>
          </cell>
          <cell r="AA545">
            <v>-7.7179824359207852E-2</v>
          </cell>
          <cell r="AB545"/>
          <cell r="AC545" t="e">
            <v>#N/A</v>
          </cell>
          <cell r="AD545">
            <v>458</v>
          </cell>
          <cell r="AE545" t="e">
            <v>#N/A</v>
          </cell>
          <cell r="AF545"/>
        </row>
        <row r="546">
          <cell r="Y546">
            <v>530</v>
          </cell>
          <cell r="Z546">
            <v>0.92393375001847744</v>
          </cell>
          <cell r="AA546">
            <v>0.24205886544054803</v>
          </cell>
          <cell r="AB546"/>
          <cell r="AC546" t="e">
            <v>#N/A</v>
          </cell>
          <cell r="AD546">
            <v>459</v>
          </cell>
          <cell r="AE546" t="e">
            <v>#N/A</v>
          </cell>
          <cell r="AF546"/>
        </row>
        <row r="547">
          <cell r="Y547">
            <v>531</v>
          </cell>
          <cell r="Z547">
            <v>0.51132352463901043</v>
          </cell>
          <cell r="AA547">
            <v>4.7983935915951598E-3</v>
          </cell>
          <cell r="AB547"/>
          <cell r="AC547" t="e">
            <v>#N/A</v>
          </cell>
          <cell r="AD547">
            <v>460</v>
          </cell>
          <cell r="AE547" t="e">
            <v>#N/A</v>
          </cell>
          <cell r="AF547"/>
        </row>
        <row r="548">
          <cell r="Y548">
            <v>532</v>
          </cell>
          <cell r="Z548">
            <v>0.89359592460095882</v>
          </cell>
          <cell r="AA548">
            <v>0.2105922959854063</v>
          </cell>
          <cell r="AB548"/>
          <cell r="AC548" t="e">
            <v>#N/A</v>
          </cell>
          <cell r="AD548">
            <v>461</v>
          </cell>
          <cell r="AE548" t="e">
            <v>#N/A</v>
          </cell>
          <cell r="AF548"/>
        </row>
        <row r="549">
          <cell r="Y549">
            <v>533</v>
          </cell>
          <cell r="Z549">
            <v>0.86275660805404186</v>
          </cell>
          <cell r="AA549">
            <v>0.18471492698556152</v>
          </cell>
          <cell r="AB549"/>
          <cell r="AC549" t="e">
            <v>#N/A</v>
          </cell>
          <cell r="AD549">
            <v>462</v>
          </cell>
          <cell r="AE549" t="e">
            <v>#N/A</v>
          </cell>
          <cell r="AF549"/>
        </row>
        <row r="550">
          <cell r="Y550">
            <v>534</v>
          </cell>
          <cell r="Z550">
            <v>0.29637632332742214</v>
          </cell>
          <cell r="AA550">
            <v>-9.0406380038832418E-2</v>
          </cell>
          <cell r="AB550"/>
          <cell r="AC550" t="e">
            <v>#N/A</v>
          </cell>
          <cell r="AD550">
            <v>463</v>
          </cell>
          <cell r="AE550" t="e">
            <v>#N/A</v>
          </cell>
          <cell r="AF550"/>
        </row>
        <row r="551">
          <cell r="Y551">
            <v>535</v>
          </cell>
          <cell r="Z551">
            <v>8.6166424676775932E-2</v>
          </cell>
          <cell r="AA551">
            <v>-0.23068420296388559</v>
          </cell>
          <cell r="AB551"/>
          <cell r="AC551" t="e">
            <v>#N/A</v>
          </cell>
          <cell r="AD551">
            <v>464</v>
          </cell>
          <cell r="AE551" t="e">
            <v>#N/A</v>
          </cell>
          <cell r="AF551"/>
        </row>
        <row r="552">
          <cell r="Y552">
            <v>536</v>
          </cell>
          <cell r="Z552">
            <v>0.36693128012120724</v>
          </cell>
          <cell r="AA552">
            <v>-5.7469135343813982E-2</v>
          </cell>
          <cell r="AB552"/>
          <cell r="AC552" t="e">
            <v>#N/A</v>
          </cell>
          <cell r="AD552">
            <v>465</v>
          </cell>
          <cell r="AE552" t="e">
            <v>#N/A</v>
          </cell>
          <cell r="AF552"/>
        </row>
        <row r="553">
          <cell r="Y553">
            <v>537</v>
          </cell>
          <cell r="Z553">
            <v>0.57131871394813061</v>
          </cell>
          <cell r="AA553">
            <v>3.0380338599879108E-2</v>
          </cell>
          <cell r="AB553"/>
          <cell r="AC553" t="e">
            <v>#N/A</v>
          </cell>
          <cell r="AD553">
            <v>466</v>
          </cell>
          <cell r="AE553" t="e">
            <v>#N/A</v>
          </cell>
          <cell r="AF553"/>
        </row>
        <row r="554">
          <cell r="Y554">
            <v>538</v>
          </cell>
          <cell r="Z554">
            <v>0.5666245874017477</v>
          </cell>
          <cell r="AA554">
            <v>2.836118471763811E-2</v>
          </cell>
          <cell r="AB554"/>
          <cell r="AC554" t="e">
            <v>#N/A</v>
          </cell>
          <cell r="AD554">
            <v>467</v>
          </cell>
          <cell r="AE554" t="e">
            <v>#N/A</v>
          </cell>
          <cell r="AF554"/>
        </row>
        <row r="555">
          <cell r="Y555">
            <v>539</v>
          </cell>
          <cell r="Z555">
            <v>0.24013711325824261</v>
          </cell>
          <cell r="AA555">
            <v>-0.11931238233923849</v>
          </cell>
          <cell r="AB555"/>
          <cell r="AC555" t="e">
            <v>#N/A</v>
          </cell>
          <cell r="AD555">
            <v>468</v>
          </cell>
          <cell r="AE555" t="e">
            <v>#N/A</v>
          </cell>
          <cell r="AF555"/>
        </row>
        <row r="556">
          <cell r="Y556">
            <v>540</v>
          </cell>
          <cell r="Z556">
            <v>0.25436489842832088</v>
          </cell>
          <cell r="AA556">
            <v>-0.11169842884155556</v>
          </cell>
          <cell r="AB556"/>
          <cell r="AC556" t="e">
            <v>#N/A</v>
          </cell>
          <cell r="AD556">
            <v>469</v>
          </cell>
          <cell r="AE556" t="e">
            <v>#N/A</v>
          </cell>
          <cell r="AF556"/>
        </row>
        <row r="557">
          <cell r="Y557">
            <v>541</v>
          </cell>
          <cell r="Z557">
            <v>0.2910268884152174</v>
          </cell>
          <cell r="AA557">
            <v>-9.3032428919740062E-2</v>
          </cell>
          <cell r="AB557"/>
          <cell r="AC557" t="e">
            <v>#N/A</v>
          </cell>
          <cell r="AD557">
            <v>470</v>
          </cell>
          <cell r="AE557" t="e">
            <v>#N/A</v>
          </cell>
          <cell r="AF557"/>
        </row>
        <row r="558">
          <cell r="Y558">
            <v>542</v>
          </cell>
          <cell r="Z558">
            <v>0.66750172339379787</v>
          </cell>
          <cell r="AA558">
            <v>7.3194596924745794E-2</v>
          </cell>
          <cell r="AB558"/>
          <cell r="AC558" t="e">
            <v>#N/A</v>
          </cell>
          <cell r="AD558">
            <v>471</v>
          </cell>
          <cell r="AE558" t="e">
            <v>#N/A</v>
          </cell>
          <cell r="AF558"/>
        </row>
        <row r="559">
          <cell r="Y559">
            <v>543</v>
          </cell>
          <cell r="Z559">
            <v>0.9114603828638792</v>
          </cell>
          <cell r="AA559">
            <v>0.22815832232382183</v>
          </cell>
          <cell r="AB559"/>
          <cell r="AC559" t="e">
            <v>#N/A</v>
          </cell>
          <cell r="AD559">
            <v>472</v>
          </cell>
          <cell r="AE559" t="e">
            <v>#N/A</v>
          </cell>
          <cell r="AF559"/>
        </row>
        <row r="560">
          <cell r="Y560">
            <v>544</v>
          </cell>
          <cell r="Z560">
            <v>0.67762376926839352</v>
          </cell>
          <cell r="AA560">
            <v>7.7934093862991632E-2</v>
          </cell>
          <cell r="AB560"/>
          <cell r="AC560" t="e">
            <v>#N/A</v>
          </cell>
          <cell r="AD560">
            <v>473</v>
          </cell>
          <cell r="AE560" t="e">
            <v>#N/A</v>
          </cell>
          <cell r="AF560"/>
        </row>
        <row r="561">
          <cell r="Y561">
            <v>545</v>
          </cell>
          <cell r="Z561">
            <v>0.50179293565452099</v>
          </cell>
          <cell r="AA561">
            <v>7.596649301868458E-4</v>
          </cell>
          <cell r="AB561"/>
          <cell r="AC561" t="e">
            <v>#N/A</v>
          </cell>
          <cell r="AD561">
            <v>474</v>
          </cell>
          <cell r="AE561" t="e">
            <v>#N/A</v>
          </cell>
          <cell r="AF561"/>
        </row>
        <row r="562">
          <cell r="Y562">
            <v>546</v>
          </cell>
          <cell r="Z562">
            <v>0.8798533733934164</v>
          </cell>
          <cell r="AA562">
            <v>0.19848517360288376</v>
          </cell>
          <cell r="AB562"/>
          <cell r="AC562" t="e">
            <v>#N/A</v>
          </cell>
          <cell r="AD562">
            <v>475</v>
          </cell>
          <cell r="AE562" t="e">
            <v>#N/A</v>
          </cell>
          <cell r="AF562"/>
        </row>
        <row r="563">
          <cell r="Y563">
            <v>547</v>
          </cell>
          <cell r="Z563">
            <v>0.17202801816165447</v>
          </cell>
          <cell r="AA563">
            <v>-0.15993385880354899</v>
          </cell>
          <cell r="AB563"/>
          <cell r="AC563" t="e">
            <v>#N/A</v>
          </cell>
          <cell r="AD563">
            <v>476</v>
          </cell>
          <cell r="AE563" t="e">
            <v>#N/A</v>
          </cell>
          <cell r="AF563"/>
        </row>
        <row r="564">
          <cell r="Y564">
            <v>548</v>
          </cell>
          <cell r="Z564">
            <v>0.41798078082501888</v>
          </cell>
          <cell r="AA564">
            <v>-3.4999839412518566E-2</v>
          </cell>
          <cell r="AB564"/>
          <cell r="AC564" t="e">
            <v>#N/A</v>
          </cell>
          <cell r="AD564">
            <v>477</v>
          </cell>
          <cell r="AE564" t="e">
            <v>#N/A</v>
          </cell>
          <cell r="AF564"/>
        </row>
        <row r="565">
          <cell r="Y565">
            <v>549</v>
          </cell>
          <cell r="Z565">
            <v>0.24200033955276012</v>
          </cell>
          <cell r="AA565">
            <v>-0.11830173671095633</v>
          </cell>
          <cell r="AB565"/>
          <cell r="AC565" t="e">
            <v>#N/A</v>
          </cell>
          <cell r="AD565">
            <v>478</v>
          </cell>
          <cell r="AE565" t="e">
            <v>#N/A</v>
          </cell>
          <cell r="AF565"/>
        </row>
        <row r="566">
          <cell r="Y566">
            <v>550</v>
          </cell>
          <cell r="Z566">
            <v>0.54153201542794704</v>
          </cell>
          <cell r="AA566">
            <v>1.7628918502364428E-2</v>
          </cell>
          <cell r="AB566"/>
          <cell r="AC566" t="e">
            <v>#N/A</v>
          </cell>
          <cell r="AD566">
            <v>479</v>
          </cell>
          <cell r="AE566" t="e">
            <v>#N/A</v>
          </cell>
          <cell r="AF566"/>
        </row>
        <row r="567">
          <cell r="Y567">
            <v>551</v>
          </cell>
          <cell r="Z567">
            <v>0.19419567100703716</v>
          </cell>
          <cell r="AA567">
            <v>-0.14579559034300649</v>
          </cell>
          <cell r="AB567"/>
          <cell r="AC567" t="e">
            <v>#N/A</v>
          </cell>
          <cell r="AD567">
            <v>480</v>
          </cell>
          <cell r="AE567" t="e">
            <v>#N/A</v>
          </cell>
          <cell r="AF567"/>
        </row>
        <row r="568">
          <cell r="Y568">
            <v>552</v>
          </cell>
          <cell r="Z568">
            <v>0.23461409471929073</v>
          </cell>
          <cell r="AA568">
            <v>-0.12233361224485137</v>
          </cell>
          <cell r="AB568"/>
          <cell r="AC568" t="e">
            <v>#N/A</v>
          </cell>
          <cell r="AD568">
            <v>481</v>
          </cell>
          <cell r="AE568" t="e">
            <v>#N/A</v>
          </cell>
          <cell r="AF568"/>
        </row>
        <row r="569">
          <cell r="Y569">
            <v>553</v>
          </cell>
          <cell r="Z569">
            <v>0.99717613868415356</v>
          </cell>
          <cell r="AA569">
            <v>0.46780343355526988</v>
          </cell>
          <cell r="AB569"/>
          <cell r="AC569" t="e">
            <v>#N/A</v>
          </cell>
          <cell r="AD569">
            <v>482</v>
          </cell>
          <cell r="AE569" t="e">
            <v>#N/A</v>
          </cell>
          <cell r="AF569"/>
        </row>
        <row r="570">
          <cell r="Y570">
            <v>554</v>
          </cell>
          <cell r="Z570">
            <v>0.35013133846223354</v>
          </cell>
          <cell r="AA570">
            <v>-6.5071114369829833E-2</v>
          </cell>
          <cell r="AB570"/>
          <cell r="AC570" t="e">
            <v>#N/A</v>
          </cell>
          <cell r="AD570">
            <v>483</v>
          </cell>
          <cell r="AE570" t="e">
            <v>#N/A</v>
          </cell>
          <cell r="AF570"/>
        </row>
        <row r="571">
          <cell r="Y571">
            <v>555</v>
          </cell>
          <cell r="Z571">
            <v>0.93632973544299603</v>
          </cell>
          <cell r="AA571">
            <v>0.25771687640899454</v>
          </cell>
          <cell r="AB571"/>
          <cell r="AC571" t="e">
            <v>#N/A</v>
          </cell>
          <cell r="AD571">
            <v>484</v>
          </cell>
          <cell r="AE571" t="e">
            <v>#N/A</v>
          </cell>
          <cell r="AF571"/>
        </row>
        <row r="572">
          <cell r="Y572">
            <v>556</v>
          </cell>
          <cell r="Z572">
            <v>0.52671652100980282</v>
          </cell>
          <cell r="AA572">
            <v>1.1328197791261818E-2</v>
          </cell>
          <cell r="AB572"/>
          <cell r="AC572" t="e">
            <v>#N/A</v>
          </cell>
          <cell r="AD572">
            <v>485</v>
          </cell>
          <cell r="AE572" t="e">
            <v>#N/A</v>
          </cell>
          <cell r="AF572"/>
        </row>
        <row r="573">
          <cell r="Y573">
            <v>557</v>
          </cell>
          <cell r="Z573">
            <v>5.7412801310420036E-2</v>
          </cell>
          <cell r="AA573">
            <v>-0.26653955901218768</v>
          </cell>
          <cell r="AB573"/>
          <cell r="AC573" t="e">
            <v>#N/A</v>
          </cell>
          <cell r="AD573">
            <v>486</v>
          </cell>
          <cell r="AE573" t="e">
            <v>#N/A</v>
          </cell>
          <cell r="AF573"/>
        </row>
        <row r="574">
          <cell r="Y574">
            <v>558</v>
          </cell>
          <cell r="Z574">
            <v>0.75947061739861965</v>
          </cell>
          <cell r="AA574">
            <v>0.11909925523611468</v>
          </cell>
          <cell r="AB574"/>
          <cell r="AC574" t="e">
            <v>#N/A</v>
          </cell>
          <cell r="AD574">
            <v>487</v>
          </cell>
          <cell r="AE574" t="e">
            <v>#N/A</v>
          </cell>
          <cell r="AF574"/>
        </row>
        <row r="575">
          <cell r="Y575">
            <v>559</v>
          </cell>
          <cell r="Z575">
            <v>4.7104222699999809E-2</v>
          </cell>
          <cell r="AA575">
            <v>-0.2828907138316083</v>
          </cell>
          <cell r="AB575"/>
          <cell r="AC575" t="e">
            <v>#N/A</v>
          </cell>
          <cell r="AD575">
            <v>488</v>
          </cell>
          <cell r="AE575" t="e">
            <v>#N/A</v>
          </cell>
          <cell r="AF575"/>
        </row>
        <row r="576">
          <cell r="Y576">
            <v>560</v>
          </cell>
          <cell r="Z576">
            <v>0.83935489319264889</v>
          </cell>
          <cell r="AA576">
            <v>0.16764649000402981</v>
          </cell>
          <cell r="AB576"/>
          <cell r="AC576" t="e">
            <v>#N/A</v>
          </cell>
          <cell r="AD576">
            <v>489</v>
          </cell>
          <cell r="AE576" t="e">
            <v>#N/A</v>
          </cell>
          <cell r="AF576"/>
        </row>
        <row r="577">
          <cell r="Y577">
            <v>561</v>
          </cell>
          <cell r="Z577">
            <v>0.84354010038077831</v>
          </cell>
          <cell r="AA577">
            <v>0.17057145638022408</v>
          </cell>
          <cell r="AB577"/>
          <cell r="AC577" t="e">
            <v>#N/A</v>
          </cell>
          <cell r="AD577">
            <v>490</v>
          </cell>
          <cell r="AE577" t="e">
            <v>#N/A</v>
          </cell>
          <cell r="AF577"/>
        </row>
        <row r="578">
          <cell r="Y578">
            <v>562</v>
          </cell>
          <cell r="Z578">
            <v>0.96982908807694912</v>
          </cell>
          <cell r="AA578">
            <v>0.31748856137371939</v>
          </cell>
          <cell r="AB578"/>
          <cell r="AC578" t="e">
            <v>#N/A</v>
          </cell>
          <cell r="AD578">
            <v>491</v>
          </cell>
          <cell r="AE578" t="e">
            <v>#N/A</v>
          </cell>
          <cell r="AF578"/>
        </row>
        <row r="579">
          <cell r="Y579">
            <v>563</v>
          </cell>
          <cell r="Z579">
            <v>0.48854763619601727</v>
          </cell>
          <cell r="AA579">
            <v>-4.8530046763230151E-3</v>
          </cell>
          <cell r="AB579"/>
          <cell r="AC579" t="e">
            <v>#N/A</v>
          </cell>
          <cell r="AD579">
            <v>492</v>
          </cell>
          <cell r="AE579" t="e">
            <v>#N/A</v>
          </cell>
          <cell r="AF579"/>
        </row>
        <row r="580">
          <cell r="Y580">
            <v>564</v>
          </cell>
          <cell r="Z580">
            <v>0.71307944320142269</v>
          </cell>
          <cell r="AA580">
            <v>9.5063547481540653E-2</v>
          </cell>
          <cell r="AB580"/>
          <cell r="AC580" t="e">
            <v>#N/A</v>
          </cell>
          <cell r="AD580">
            <v>493</v>
          </cell>
          <cell r="AE580" t="e">
            <v>#N/A</v>
          </cell>
          <cell r="AF580"/>
        </row>
        <row r="581">
          <cell r="Y581">
            <v>565</v>
          </cell>
          <cell r="Z581">
            <v>0.70204698853194714</v>
          </cell>
          <cell r="AA581">
            <v>8.9636554001842131E-2</v>
          </cell>
          <cell r="AB581"/>
          <cell r="AC581" t="e">
            <v>#N/A</v>
          </cell>
          <cell r="AD581">
            <v>494</v>
          </cell>
          <cell r="AE581" t="e">
            <v>#N/A</v>
          </cell>
          <cell r="AF581"/>
        </row>
        <row r="582">
          <cell r="Y582">
            <v>566</v>
          </cell>
          <cell r="Z582">
            <v>1.1930322274565697E-2</v>
          </cell>
          <cell r="AA582">
            <v>-0.38190251128719072</v>
          </cell>
          <cell r="AB582"/>
          <cell r="AC582" t="e">
            <v>#N/A</v>
          </cell>
          <cell r="AD582">
            <v>495</v>
          </cell>
          <cell r="AE582" t="e">
            <v>#N/A</v>
          </cell>
          <cell r="AF582"/>
        </row>
        <row r="583">
          <cell r="Y583">
            <v>567</v>
          </cell>
          <cell r="Z583">
            <v>0.37783984653651714</v>
          </cell>
          <cell r="AA583">
            <v>-5.259548324679636E-2</v>
          </cell>
          <cell r="AB583"/>
          <cell r="AC583" t="e">
            <v>#N/A</v>
          </cell>
          <cell r="AD583">
            <v>496</v>
          </cell>
          <cell r="AE583" t="e">
            <v>#N/A</v>
          </cell>
          <cell r="AF583"/>
        </row>
        <row r="584">
          <cell r="Y584">
            <v>568</v>
          </cell>
          <cell r="Z584">
            <v>0.37728317640721798</v>
          </cell>
          <cell r="AA584">
            <v>-5.2843098361452123E-2</v>
          </cell>
          <cell r="AB584"/>
          <cell r="AC584" t="e">
            <v>#N/A</v>
          </cell>
          <cell r="AD584">
            <v>497</v>
          </cell>
          <cell r="AE584" t="e">
            <v>#N/A</v>
          </cell>
          <cell r="AF584"/>
        </row>
        <row r="585">
          <cell r="Y585">
            <v>569</v>
          </cell>
          <cell r="Z585">
            <v>0.66875347308814526</v>
          </cell>
          <cell r="AA585">
            <v>7.3777526296779458E-2</v>
          </cell>
          <cell r="AB585"/>
          <cell r="AC585" t="e">
            <v>#N/A</v>
          </cell>
          <cell r="AD585">
            <v>498</v>
          </cell>
          <cell r="AE585" t="e">
            <v>#N/A</v>
          </cell>
          <cell r="AF585"/>
        </row>
        <row r="586">
          <cell r="Y586">
            <v>570</v>
          </cell>
          <cell r="Z586">
            <v>0.42467660270631313</v>
          </cell>
          <cell r="AA586">
            <v>-3.210635445469142E-2</v>
          </cell>
          <cell r="AB586"/>
          <cell r="AC586" t="e">
            <v>#N/A</v>
          </cell>
          <cell r="AD586">
            <v>499</v>
          </cell>
          <cell r="AE586" t="e">
            <v>#N/A</v>
          </cell>
          <cell r="AF586"/>
        </row>
        <row r="587">
          <cell r="Y587">
            <v>571</v>
          </cell>
          <cell r="Z587">
            <v>0.54785896651446819</v>
          </cell>
          <cell r="AA587">
            <v>2.0326609342243604E-2</v>
          </cell>
          <cell r="AB587"/>
          <cell r="AC587" t="e">
            <v>#N/A</v>
          </cell>
          <cell r="AD587">
            <v>500</v>
          </cell>
          <cell r="AE587" t="e">
            <v>#N/A</v>
          </cell>
          <cell r="AF587"/>
        </row>
        <row r="588">
          <cell r="Y588">
            <v>572</v>
          </cell>
          <cell r="Z588">
            <v>0.7873112466186285</v>
          </cell>
          <cell r="AA588">
            <v>0.13473898822127442</v>
          </cell>
          <cell r="AB588"/>
          <cell r="AC588" t="e">
            <v>#N/A</v>
          </cell>
          <cell r="AD588">
            <v>501</v>
          </cell>
          <cell r="AE588" t="e">
            <v>#N/A</v>
          </cell>
          <cell r="AF588"/>
        </row>
        <row r="589">
          <cell r="Y589">
            <v>573</v>
          </cell>
          <cell r="Z589">
            <v>0.70123249106109142</v>
          </cell>
          <cell r="AA589">
            <v>8.9239599583648313E-2</v>
          </cell>
          <cell r="AB589"/>
          <cell r="AC589" t="e">
            <v>#N/A</v>
          </cell>
          <cell r="AD589">
            <v>502</v>
          </cell>
          <cell r="AE589" t="e">
            <v>#N/A</v>
          </cell>
          <cell r="AF589"/>
        </row>
        <row r="590">
          <cell r="Y590">
            <v>574</v>
          </cell>
          <cell r="Z590">
            <v>2.6633298024535179E-2</v>
          </cell>
          <cell r="AA590">
            <v>-0.32669493457670434</v>
          </cell>
          <cell r="AB590"/>
          <cell r="AC590" t="e">
            <v>#N/A</v>
          </cell>
          <cell r="AD590">
            <v>503</v>
          </cell>
          <cell r="AE590" t="e">
            <v>#N/A</v>
          </cell>
          <cell r="AF590"/>
        </row>
        <row r="591">
          <cell r="Y591">
            <v>575</v>
          </cell>
          <cell r="Z591">
            <v>0.32647822611033916</v>
          </cell>
          <cell r="AA591">
            <v>-7.6006216827163908E-2</v>
          </cell>
          <cell r="AB591"/>
          <cell r="AC591" t="e">
            <v>#N/A</v>
          </cell>
          <cell r="AD591">
            <v>504</v>
          </cell>
          <cell r="AE591" t="e">
            <v>#N/A</v>
          </cell>
          <cell r="AF591"/>
        </row>
        <row r="592">
          <cell r="Y592">
            <v>576</v>
          </cell>
          <cell r="Z592">
            <v>0.50532033108174801</v>
          </cell>
          <cell r="AA592">
            <v>2.2542778563664858E-3</v>
          </cell>
          <cell r="AB592"/>
          <cell r="AC592" t="e">
            <v>#N/A</v>
          </cell>
          <cell r="AD592">
            <v>505</v>
          </cell>
          <cell r="AE592" t="e">
            <v>#N/A</v>
          </cell>
          <cell r="AF592"/>
        </row>
        <row r="593">
          <cell r="Y593">
            <v>577</v>
          </cell>
          <cell r="Z593">
            <v>0.87998178415000439</v>
          </cell>
          <cell r="AA593">
            <v>0.19859362604877623</v>
          </cell>
          <cell r="AB593"/>
          <cell r="AC593" t="e">
            <v>#N/A</v>
          </cell>
          <cell r="AD593">
            <v>506</v>
          </cell>
          <cell r="AE593" t="e">
            <v>#N/A</v>
          </cell>
          <cell r="AF593"/>
        </row>
        <row r="594">
          <cell r="Y594">
            <v>578</v>
          </cell>
          <cell r="Z594">
            <v>0.28126323781907558</v>
          </cell>
          <cell r="AA594">
            <v>-9.7884569389797393E-2</v>
          </cell>
          <cell r="AB594"/>
          <cell r="AC594" t="e">
            <v>#N/A</v>
          </cell>
          <cell r="AD594">
            <v>507</v>
          </cell>
          <cell r="AE594" t="e">
            <v>#N/A</v>
          </cell>
          <cell r="AF594"/>
        </row>
        <row r="595">
          <cell r="Y595">
            <v>579</v>
          </cell>
          <cell r="Z595">
            <v>3.4612847492098808E-2</v>
          </cell>
          <cell r="AA595">
            <v>-0.30711958326194633</v>
          </cell>
          <cell r="AB595"/>
          <cell r="AC595" t="e">
            <v>#N/A</v>
          </cell>
          <cell r="AD595">
            <v>508</v>
          </cell>
          <cell r="AE595" t="e">
            <v>#N/A</v>
          </cell>
          <cell r="AF595"/>
        </row>
        <row r="596">
          <cell r="Y596">
            <v>580</v>
          </cell>
          <cell r="Z596">
            <v>0.92488800548017025</v>
          </cell>
          <cell r="AA596">
            <v>0.24319157330177829</v>
          </cell>
          <cell r="AB596"/>
          <cell r="AC596" t="e">
            <v>#N/A</v>
          </cell>
          <cell r="AD596">
            <v>509</v>
          </cell>
          <cell r="AE596" t="e">
            <v>#N/A</v>
          </cell>
          <cell r="AF596"/>
        </row>
        <row r="597">
          <cell r="Y597">
            <v>581</v>
          </cell>
          <cell r="Z597">
            <v>7.8345773741602898E-2</v>
          </cell>
          <cell r="AA597">
            <v>-0.23939616501497457</v>
          </cell>
          <cell r="AB597"/>
          <cell r="AC597" t="e">
            <v>#N/A</v>
          </cell>
          <cell r="AD597">
            <v>510</v>
          </cell>
          <cell r="AE597" t="e">
            <v>#N/A</v>
          </cell>
          <cell r="AF597"/>
        </row>
        <row r="598">
          <cell r="Y598">
            <v>582</v>
          </cell>
          <cell r="Z598">
            <v>0.7559110876172781</v>
          </cell>
          <cell r="AA598">
            <v>0.11717386236777032</v>
          </cell>
          <cell r="AB598"/>
          <cell r="AC598" t="e">
            <v>#N/A</v>
          </cell>
          <cell r="AD598">
            <v>511</v>
          </cell>
          <cell r="AE598" t="e">
            <v>#N/A</v>
          </cell>
          <cell r="AF598"/>
        </row>
        <row r="599">
          <cell r="Y599">
            <v>583</v>
          </cell>
          <cell r="Z599">
            <v>0.70301692001521587</v>
          </cell>
          <cell r="AA599">
            <v>9.0109906867781114E-2</v>
          </cell>
          <cell r="AB599"/>
          <cell r="AC599" t="e">
            <v>#N/A</v>
          </cell>
          <cell r="AD599">
            <v>512</v>
          </cell>
          <cell r="AE599" t="e">
            <v>#N/A</v>
          </cell>
          <cell r="AF599"/>
        </row>
        <row r="600">
          <cell r="Y600">
            <v>584</v>
          </cell>
          <cell r="Z600">
            <v>0.33937211893498898</v>
          </cell>
          <cell r="AA600">
            <v>-7.0008747720193887E-2</v>
          </cell>
          <cell r="AB600"/>
          <cell r="AC600" t="e">
            <v>#N/A</v>
          </cell>
          <cell r="AD600">
            <v>513</v>
          </cell>
          <cell r="AE600" t="e">
            <v>#N/A</v>
          </cell>
          <cell r="AF600"/>
        </row>
        <row r="601">
          <cell r="Y601">
            <v>585</v>
          </cell>
          <cell r="Z601">
            <v>0.60118743591010571</v>
          </cell>
          <cell r="AA601">
            <v>4.3343201248764035E-2</v>
          </cell>
          <cell r="AB601"/>
          <cell r="AC601" t="e">
            <v>#N/A</v>
          </cell>
          <cell r="AD601">
            <v>514</v>
          </cell>
          <cell r="AE601" t="e">
            <v>#N/A</v>
          </cell>
          <cell r="AF601"/>
        </row>
        <row r="602">
          <cell r="Y602">
            <v>586</v>
          </cell>
          <cell r="Z602">
            <v>0.17453772388398647</v>
          </cell>
          <cell r="AA602">
            <v>-0.15827780571284447</v>
          </cell>
          <cell r="AB602"/>
          <cell r="AC602" t="e">
            <v>#N/A</v>
          </cell>
          <cell r="AD602">
            <v>515</v>
          </cell>
          <cell r="AE602" t="e">
            <v>#N/A</v>
          </cell>
          <cell r="AF602"/>
        </row>
        <row r="603">
          <cell r="Y603">
            <v>587</v>
          </cell>
          <cell r="Z603">
            <v>0.50783027522265911</v>
          </cell>
          <cell r="AA603">
            <v>3.3178811629216189E-3</v>
          </cell>
          <cell r="AB603"/>
          <cell r="AC603" t="e">
            <v>#N/A</v>
          </cell>
          <cell r="AD603">
            <v>516</v>
          </cell>
          <cell r="AE603" t="e">
            <v>#N/A</v>
          </cell>
          <cell r="AF603"/>
        </row>
        <row r="604">
          <cell r="Y604">
            <v>588</v>
          </cell>
          <cell r="Z604">
            <v>0.35402016900479794</v>
          </cell>
          <cell r="AA604">
            <v>-6.3300240002828981E-2</v>
          </cell>
          <cell r="AB604"/>
          <cell r="AC604" t="e">
            <v>#N/A</v>
          </cell>
          <cell r="AD604">
            <v>517</v>
          </cell>
          <cell r="AE604" t="e">
            <v>#N/A</v>
          </cell>
          <cell r="AF604"/>
        </row>
        <row r="605">
          <cell r="Y605">
            <v>589</v>
          </cell>
          <cell r="Z605">
            <v>0.29231017641723156</v>
          </cell>
          <cell r="AA605">
            <v>-9.2400433835569951E-2</v>
          </cell>
          <cell r="AB605"/>
          <cell r="AC605" t="e">
            <v>#N/A</v>
          </cell>
          <cell r="AD605">
            <v>518</v>
          </cell>
          <cell r="AE605" t="e">
            <v>#N/A</v>
          </cell>
          <cell r="AF605"/>
        </row>
        <row r="606">
          <cell r="Y606">
            <v>590</v>
          </cell>
          <cell r="Z606">
            <v>0.56420460902154446</v>
          </cell>
          <cell r="AA606">
            <v>2.7321840698398905E-2</v>
          </cell>
          <cell r="AB606"/>
          <cell r="AC606" t="e">
            <v>#N/A</v>
          </cell>
          <cell r="AD606">
            <v>519</v>
          </cell>
          <cell r="AE606" t="e">
            <v>#N/A</v>
          </cell>
          <cell r="AF606"/>
        </row>
        <row r="607">
          <cell r="Y607">
            <v>591</v>
          </cell>
          <cell r="Z607">
            <v>0.42487536184489727</v>
          </cell>
          <cell r="AA607">
            <v>-3.2020611886218769E-2</v>
          </cell>
          <cell r="AB607"/>
          <cell r="AC607" t="e">
            <v>#N/A</v>
          </cell>
          <cell r="AD607">
            <v>520</v>
          </cell>
          <cell r="AE607" t="e">
            <v>#N/A</v>
          </cell>
          <cell r="AF607"/>
        </row>
        <row r="608">
          <cell r="Y608">
            <v>592</v>
          </cell>
          <cell r="Z608">
            <v>0.14182867668569088</v>
          </cell>
          <cell r="AA608">
            <v>-0.1812246618363792</v>
          </cell>
          <cell r="AB608"/>
          <cell r="AC608" t="e">
            <v>#N/A</v>
          </cell>
          <cell r="AD608">
            <v>521</v>
          </cell>
          <cell r="AE608" t="e">
            <v>#N/A</v>
          </cell>
          <cell r="AF608"/>
        </row>
        <row r="609">
          <cell r="Y609">
            <v>593</v>
          </cell>
          <cell r="Z609">
            <v>0.61062970571219921</v>
          </cell>
          <cell r="AA609">
            <v>4.7491016158664086E-2</v>
          </cell>
          <cell r="AB609"/>
          <cell r="AC609" t="e">
            <v>#N/A</v>
          </cell>
          <cell r="AD609">
            <v>522</v>
          </cell>
          <cell r="AE609" t="e">
            <v>#N/A</v>
          </cell>
          <cell r="AF609"/>
        </row>
        <row r="610">
          <cell r="Y610">
            <v>594</v>
          </cell>
          <cell r="Z610">
            <v>0.9953081663697958</v>
          </cell>
          <cell r="AA610">
            <v>0.43909996252257416</v>
          </cell>
          <cell r="AB610"/>
          <cell r="AC610" t="e">
            <v>#N/A</v>
          </cell>
          <cell r="AD610">
            <v>523</v>
          </cell>
          <cell r="AE610" t="e">
            <v>#N/A</v>
          </cell>
          <cell r="AF610"/>
        </row>
        <row r="611">
          <cell r="Y611">
            <v>595</v>
          </cell>
          <cell r="Z611">
            <v>0.6027041207998991</v>
          </cell>
          <cell r="AA611">
            <v>4.4007631113299729E-2</v>
          </cell>
          <cell r="AB611"/>
          <cell r="AC611" t="e">
            <v>#N/A</v>
          </cell>
          <cell r="AD611">
            <v>524</v>
          </cell>
          <cell r="AE611" t="e">
            <v>#N/A</v>
          </cell>
          <cell r="AF611"/>
        </row>
        <row r="612">
          <cell r="Y612">
            <v>596</v>
          </cell>
          <cell r="Z612">
            <v>4.3152561411261559E-2</v>
          </cell>
          <cell r="AA612">
            <v>-0.28992489007213273</v>
          </cell>
          <cell r="AB612"/>
          <cell r="AC612" t="e">
            <v>#N/A</v>
          </cell>
          <cell r="AD612">
            <v>525</v>
          </cell>
          <cell r="AE612" t="e">
            <v>#N/A</v>
          </cell>
          <cell r="AF612"/>
        </row>
        <row r="613">
          <cell r="Y613">
            <v>597</v>
          </cell>
          <cell r="Z613">
            <v>0.17509591393172741</v>
          </cell>
          <cell r="AA613">
            <v>-0.15791154049210193</v>
          </cell>
          <cell r="AB613"/>
          <cell r="AC613" t="e">
            <v>#N/A</v>
          </cell>
          <cell r="AD613">
            <v>526</v>
          </cell>
          <cell r="AE613" t="e">
            <v>#N/A</v>
          </cell>
          <cell r="AF613"/>
        </row>
        <row r="614">
          <cell r="Y614">
            <v>598</v>
          </cell>
          <cell r="Z614">
            <v>0.41556415520608425</v>
          </cell>
          <cell r="AA614">
            <v>-3.6046622225989658E-2</v>
          </cell>
          <cell r="AB614"/>
          <cell r="AC614" t="e">
            <v>#N/A</v>
          </cell>
          <cell r="AD614">
            <v>527</v>
          </cell>
          <cell r="AE614" t="e">
            <v>#N/A</v>
          </cell>
          <cell r="AF614"/>
        </row>
        <row r="615">
          <cell r="Y615">
            <v>599</v>
          </cell>
          <cell r="Z615">
            <v>0.95439486019313335</v>
          </cell>
          <cell r="AA615">
            <v>0.28550117850466283</v>
          </cell>
          <cell r="AB615"/>
          <cell r="AC615" t="e">
            <v>#N/A</v>
          </cell>
          <cell r="AD615">
            <v>528</v>
          </cell>
          <cell r="AE615" t="e">
            <v>#N/A</v>
          </cell>
          <cell r="AF615"/>
        </row>
        <row r="616">
          <cell r="Y616">
            <v>600</v>
          </cell>
          <cell r="Z616">
            <v>9.0645160526037216E-3</v>
          </cell>
          <cell r="AA616">
            <v>-0.39941519264483777</v>
          </cell>
          <cell r="AB616"/>
          <cell r="AC616" t="e">
            <v>#N/A</v>
          </cell>
          <cell r="AD616">
            <v>529</v>
          </cell>
          <cell r="AE616" t="e">
            <v>#N/A</v>
          </cell>
          <cell r="AF616"/>
        </row>
        <row r="617">
          <cell r="Y617">
            <v>601</v>
          </cell>
          <cell r="Z617">
            <v>0.2783647459000349</v>
          </cell>
          <cell r="AA617">
            <v>-9.9340484505789237E-2</v>
          </cell>
          <cell r="AB617"/>
          <cell r="AC617" t="e">
            <v>#N/A</v>
          </cell>
          <cell r="AD617">
            <v>530</v>
          </cell>
          <cell r="AE617" t="e">
            <v>#N/A</v>
          </cell>
          <cell r="AF617"/>
        </row>
        <row r="618">
          <cell r="Y618">
            <v>602</v>
          </cell>
          <cell r="Z618">
            <v>7.7742045745253563E-2</v>
          </cell>
          <cell r="AA618">
            <v>-0.24009558683891041</v>
          </cell>
          <cell r="AB618"/>
          <cell r="AC618" t="e">
            <v>#N/A</v>
          </cell>
          <cell r="AD618">
            <v>531</v>
          </cell>
          <cell r="AE618" t="e">
            <v>#N/A</v>
          </cell>
          <cell r="AF618"/>
        </row>
        <row r="619">
          <cell r="Y619">
            <v>603</v>
          </cell>
          <cell r="Z619">
            <v>0.46809913031756878</v>
          </cell>
          <cell r="AA619">
            <v>-1.353075568339443E-2</v>
          </cell>
          <cell r="AB619"/>
          <cell r="AC619" t="e">
            <v>#N/A</v>
          </cell>
          <cell r="AD619">
            <v>532</v>
          </cell>
          <cell r="AE619" t="e">
            <v>#N/A</v>
          </cell>
          <cell r="AF619"/>
        </row>
        <row r="620">
          <cell r="Y620">
            <v>604</v>
          </cell>
          <cell r="Z620">
            <v>0.38846438191831112</v>
          </cell>
          <cell r="AA620">
            <v>-4.7890434518313311E-2</v>
          </cell>
          <cell r="AB620"/>
          <cell r="AC620" t="e">
            <v>#N/A</v>
          </cell>
          <cell r="AD620">
            <v>533</v>
          </cell>
          <cell r="AE620" t="e">
            <v>#N/A</v>
          </cell>
          <cell r="AF620"/>
        </row>
        <row r="621">
          <cell r="Y621">
            <v>605</v>
          </cell>
          <cell r="Z621">
            <v>0.86922007612884045</v>
          </cell>
          <cell r="AA621">
            <v>0.18977295760269303</v>
          </cell>
          <cell r="AB621"/>
          <cell r="AC621" t="e">
            <v>#N/A</v>
          </cell>
          <cell r="AD621">
            <v>534</v>
          </cell>
          <cell r="AE621" t="e">
            <v>#N/A</v>
          </cell>
          <cell r="AF621"/>
        </row>
        <row r="622">
          <cell r="Y622">
            <v>606</v>
          </cell>
          <cell r="Z622">
            <v>6.1149394139647484E-2</v>
          </cell>
          <cell r="AA622">
            <v>-0.26118584601476236</v>
          </cell>
          <cell r="AB622"/>
          <cell r="AC622" t="e">
            <v>#N/A</v>
          </cell>
          <cell r="AD622">
            <v>535</v>
          </cell>
          <cell r="AE622" t="e">
            <v>#N/A</v>
          </cell>
          <cell r="AF622"/>
        </row>
        <row r="623">
          <cell r="Y623">
            <v>607</v>
          </cell>
          <cell r="Z623">
            <v>0.73633859865367413</v>
          </cell>
          <cell r="AA623">
            <v>0.10684407299209643</v>
          </cell>
          <cell r="AB623"/>
          <cell r="AC623" t="e">
            <v>#N/A</v>
          </cell>
          <cell r="AD623">
            <v>536</v>
          </cell>
          <cell r="AE623" t="e">
            <v>#N/A</v>
          </cell>
          <cell r="AF623"/>
        </row>
        <row r="624">
          <cell r="Y624">
            <v>608</v>
          </cell>
          <cell r="Z624">
            <v>0.5589385237544775</v>
          </cell>
          <cell r="AA624">
            <v>2.5063647416652738E-2</v>
          </cell>
          <cell r="AB624"/>
          <cell r="AC624" t="e">
            <v>#N/A</v>
          </cell>
          <cell r="AD624">
            <v>537</v>
          </cell>
          <cell r="AE624" t="e">
            <v>#N/A</v>
          </cell>
          <cell r="AF624"/>
        </row>
        <row r="625">
          <cell r="Y625">
            <v>609</v>
          </cell>
          <cell r="Z625">
            <v>0.50374558381736279</v>
          </cell>
          <cell r="AA625">
            <v>1.587017854038241E-3</v>
          </cell>
          <cell r="AB625"/>
          <cell r="AC625" t="e">
            <v>#N/A</v>
          </cell>
          <cell r="AD625">
            <v>538</v>
          </cell>
          <cell r="AE625" t="e">
            <v>#N/A</v>
          </cell>
          <cell r="AF625"/>
        </row>
        <row r="626">
          <cell r="Y626">
            <v>610</v>
          </cell>
          <cell r="Z626">
            <v>0.38686621747910976</v>
          </cell>
          <cell r="AA626">
            <v>-4.8595722072907618E-2</v>
          </cell>
          <cell r="AB626"/>
          <cell r="AC626" t="e">
            <v>#N/A</v>
          </cell>
          <cell r="AD626">
            <v>539</v>
          </cell>
          <cell r="AE626" t="e">
            <v>#N/A</v>
          </cell>
          <cell r="AF626"/>
        </row>
        <row r="627">
          <cell r="Y627">
            <v>611</v>
          </cell>
          <cell r="Z627">
            <v>0.20405192486941814</v>
          </cell>
          <cell r="AA627">
            <v>-0.13982824422322129</v>
          </cell>
          <cell r="AB627"/>
          <cell r="AC627" t="e">
            <v>#N/A</v>
          </cell>
          <cell r="AD627">
            <v>540</v>
          </cell>
          <cell r="AE627" t="e">
            <v>#N/A</v>
          </cell>
          <cell r="AF627"/>
        </row>
        <row r="628">
          <cell r="Y628">
            <v>612</v>
          </cell>
          <cell r="Z628">
            <v>0.90136920474469662</v>
          </cell>
          <cell r="AA628">
            <v>0.21794714892348024</v>
          </cell>
          <cell r="AB628"/>
          <cell r="AC628" t="e">
            <v>#N/A</v>
          </cell>
          <cell r="AD628">
            <v>541</v>
          </cell>
          <cell r="AE628" t="e">
            <v>#N/A</v>
          </cell>
          <cell r="AF628"/>
        </row>
        <row r="629">
          <cell r="Y629">
            <v>613</v>
          </cell>
          <cell r="Z629">
            <v>0.76524662785232067</v>
          </cell>
          <cell r="AA629">
            <v>0.12225694575565849</v>
          </cell>
          <cell r="AB629"/>
          <cell r="AC629" t="e">
            <v>#N/A</v>
          </cell>
          <cell r="AD629">
            <v>542</v>
          </cell>
          <cell r="AE629" t="e">
            <v>#N/A</v>
          </cell>
          <cell r="AF629"/>
        </row>
        <row r="630">
          <cell r="Y630">
            <v>614</v>
          </cell>
          <cell r="Z630">
            <v>0.22672936879098415</v>
          </cell>
          <cell r="AA630">
            <v>-0.12671588285175622</v>
          </cell>
          <cell r="AB630"/>
          <cell r="AC630" t="e">
            <v>#N/A</v>
          </cell>
          <cell r="AD630">
            <v>543</v>
          </cell>
          <cell r="AE630" t="e">
            <v>#N/A</v>
          </cell>
          <cell r="AF630"/>
        </row>
        <row r="631">
          <cell r="Y631">
            <v>615</v>
          </cell>
          <cell r="Z631">
            <v>0.63539163582026958</v>
          </cell>
          <cell r="AA631">
            <v>5.8513011703448539E-2</v>
          </cell>
          <cell r="AB631"/>
          <cell r="AC631" t="e">
            <v>#N/A</v>
          </cell>
          <cell r="AD631">
            <v>544</v>
          </cell>
          <cell r="AE631" t="e">
            <v>#N/A</v>
          </cell>
          <cell r="AF631"/>
        </row>
        <row r="632">
          <cell r="Y632">
            <v>616</v>
          </cell>
          <cell r="Z632">
            <v>0.61829396151006222</v>
          </cell>
          <cell r="AA632">
            <v>5.0878822022792987E-2</v>
          </cell>
          <cell r="AB632"/>
          <cell r="AC632" t="e">
            <v>#N/A</v>
          </cell>
          <cell r="AD632">
            <v>545</v>
          </cell>
          <cell r="AE632" t="e">
            <v>#N/A</v>
          </cell>
          <cell r="AF632"/>
        </row>
        <row r="633">
          <cell r="Y633">
            <v>617</v>
          </cell>
          <cell r="Z633">
            <v>0.65292212180793285</v>
          </cell>
          <cell r="AA633">
            <v>6.6466595657491551E-2</v>
          </cell>
          <cell r="AB633"/>
          <cell r="AC633" t="e">
            <v>#N/A</v>
          </cell>
          <cell r="AD633">
            <v>546</v>
          </cell>
          <cell r="AE633" t="e">
            <v>#N/A</v>
          </cell>
          <cell r="AF633"/>
        </row>
        <row r="634">
          <cell r="Y634">
            <v>618</v>
          </cell>
          <cell r="Z634">
            <v>0.7060669120401144</v>
          </cell>
          <cell r="AA634">
            <v>9.1603024783285802E-2</v>
          </cell>
          <cell r="AB634"/>
          <cell r="AC634" t="e">
            <v>#N/A</v>
          </cell>
          <cell r="AD634">
            <v>547</v>
          </cell>
          <cell r="AE634" t="e">
            <v>#N/A</v>
          </cell>
          <cell r="AF634"/>
        </row>
        <row r="635">
          <cell r="Y635">
            <v>619</v>
          </cell>
          <cell r="Z635">
            <v>0.2992710005491972</v>
          </cell>
          <cell r="AA635">
            <v>-8.8994463399997045E-2</v>
          </cell>
          <cell r="AB635"/>
          <cell r="AC635" t="e">
            <v>#N/A</v>
          </cell>
          <cell r="AD635">
            <v>548</v>
          </cell>
          <cell r="AE635" t="e">
            <v>#N/A</v>
          </cell>
          <cell r="AF635"/>
        </row>
        <row r="636">
          <cell r="Y636">
            <v>620</v>
          </cell>
          <cell r="Z636">
            <v>0.89601497910916805</v>
          </cell>
          <cell r="AA636">
            <v>0.21283805851074294</v>
          </cell>
          <cell r="AB636"/>
          <cell r="AC636" t="e">
            <v>#N/A</v>
          </cell>
          <cell r="AD636">
            <v>549</v>
          </cell>
          <cell r="AE636" t="e">
            <v>#N/A</v>
          </cell>
          <cell r="AF636"/>
        </row>
        <row r="637">
          <cell r="Y637">
            <v>621</v>
          </cell>
          <cell r="Z637">
            <v>0.43928640894591808</v>
          </cell>
          <cell r="AA637">
            <v>-2.5824308859275166E-2</v>
          </cell>
          <cell r="AB637"/>
          <cell r="AC637" t="e">
            <v>#N/A</v>
          </cell>
          <cell r="AD637">
            <v>550</v>
          </cell>
          <cell r="AE637" t="e">
            <v>#N/A</v>
          </cell>
          <cell r="AF637"/>
        </row>
        <row r="638">
          <cell r="Y638">
            <v>622</v>
          </cell>
          <cell r="Z638">
            <v>0.80018249712884426</v>
          </cell>
          <cell r="AA638">
            <v>0.14237016867438268</v>
          </cell>
          <cell r="AB638"/>
          <cell r="AC638" t="e">
            <v>#N/A</v>
          </cell>
          <cell r="AD638">
            <v>551</v>
          </cell>
          <cell r="AE638" t="e">
            <v>#N/A</v>
          </cell>
          <cell r="AF638"/>
        </row>
        <row r="639">
          <cell r="Y639">
            <v>623</v>
          </cell>
          <cell r="Z639">
            <v>0.37366090528666973</v>
          </cell>
          <cell r="AA639">
            <v>-5.4457137783816223E-2</v>
          </cell>
          <cell r="AB639"/>
          <cell r="AC639" t="e">
            <v>#N/A</v>
          </cell>
          <cell r="AD639">
            <v>552</v>
          </cell>
          <cell r="AE639" t="e">
            <v>#N/A</v>
          </cell>
          <cell r="AF639"/>
        </row>
        <row r="640">
          <cell r="Y640">
            <v>624</v>
          </cell>
          <cell r="Z640">
            <v>0.91045846603810787</v>
          </cell>
          <cell r="AA640">
            <v>0.22710708327861234</v>
          </cell>
          <cell r="AB640"/>
          <cell r="AC640" t="e">
            <v>#N/A</v>
          </cell>
          <cell r="AD640">
            <v>553</v>
          </cell>
          <cell r="AE640" t="e">
            <v>#N/A</v>
          </cell>
          <cell r="AF640"/>
        </row>
        <row r="641">
          <cell r="Y641">
            <v>625</v>
          </cell>
          <cell r="Z641">
            <v>0.49634113721549511</v>
          </cell>
          <cell r="AA641">
            <v>-1.5502727859985172E-3</v>
          </cell>
          <cell r="AB641"/>
          <cell r="AC641" t="e">
            <v>#N/A</v>
          </cell>
          <cell r="AD641">
            <v>554</v>
          </cell>
          <cell r="AE641" t="e">
            <v>#N/A</v>
          </cell>
          <cell r="AF641"/>
        </row>
        <row r="642">
          <cell r="Y642">
            <v>626</v>
          </cell>
          <cell r="Z642">
            <v>0.82458973489701748</v>
          </cell>
          <cell r="AA642">
            <v>0.1577055999933788</v>
          </cell>
          <cell r="AB642"/>
          <cell r="AC642" t="e">
            <v>#N/A</v>
          </cell>
          <cell r="AD642">
            <v>555</v>
          </cell>
          <cell r="AE642" t="e">
            <v>#N/A</v>
          </cell>
          <cell r="AF642"/>
        </row>
        <row r="643">
          <cell r="Y643">
            <v>627</v>
          </cell>
          <cell r="Z643">
            <v>6.8636728450655937E-2</v>
          </cell>
          <cell r="AA643">
            <v>-0.25118346416041964</v>
          </cell>
          <cell r="AB643"/>
          <cell r="AC643" t="e">
            <v>#N/A</v>
          </cell>
          <cell r="AD643">
            <v>556</v>
          </cell>
          <cell r="AE643" t="e">
            <v>#N/A</v>
          </cell>
          <cell r="AF643"/>
        </row>
        <row r="644">
          <cell r="Y644">
            <v>628</v>
          </cell>
          <cell r="Z644">
            <v>0.17678402923047543</v>
          </cell>
          <cell r="AA644">
            <v>-0.15680834045840372</v>
          </cell>
          <cell r="AB644"/>
          <cell r="AC644" t="e">
            <v>#N/A</v>
          </cell>
          <cell r="AD644">
            <v>557</v>
          </cell>
          <cell r="AE644" t="e">
            <v>#N/A</v>
          </cell>
          <cell r="AF644"/>
        </row>
        <row r="645">
          <cell r="Y645">
            <v>629</v>
          </cell>
          <cell r="Z645">
            <v>0.59049713425338268</v>
          </cell>
          <cell r="AA645">
            <v>3.8678311270281755E-2</v>
          </cell>
          <cell r="AB645"/>
          <cell r="AC645" t="e">
            <v>#N/A</v>
          </cell>
          <cell r="AD645">
            <v>558</v>
          </cell>
          <cell r="AE645" t="e">
            <v>#N/A</v>
          </cell>
          <cell r="AF645"/>
        </row>
        <row r="646">
          <cell r="Y646">
            <v>630</v>
          </cell>
          <cell r="Z646">
            <v>1.8996572121977806E-2</v>
          </cell>
          <cell r="AA646">
            <v>-0.35072696215679439</v>
          </cell>
          <cell r="AB646"/>
          <cell r="AC646" t="e">
            <v>#N/A</v>
          </cell>
          <cell r="AD646">
            <v>559</v>
          </cell>
          <cell r="AE646" t="e">
            <v>#N/A</v>
          </cell>
          <cell r="AF646"/>
        </row>
        <row r="647">
          <cell r="Y647">
            <v>631</v>
          </cell>
          <cell r="Z647">
            <v>0.96817521564662457</v>
          </cell>
          <cell r="AA647">
            <v>0.31348911025581738</v>
          </cell>
          <cell r="AB647"/>
          <cell r="AC647" t="e">
            <v>#N/A</v>
          </cell>
          <cell r="AD647">
            <v>560</v>
          </cell>
          <cell r="AE647" t="e">
            <v>#N/A</v>
          </cell>
          <cell r="AF647"/>
        </row>
        <row r="648">
          <cell r="Y648">
            <v>632</v>
          </cell>
          <cell r="Z648">
            <v>0.74274404905736446</v>
          </cell>
          <cell r="AA648">
            <v>0.11017910299032237</v>
          </cell>
          <cell r="AB648"/>
          <cell r="AC648" t="e">
            <v>#N/A</v>
          </cell>
          <cell r="AD648">
            <v>561</v>
          </cell>
          <cell r="AE648" t="e">
            <v>#N/A</v>
          </cell>
          <cell r="AF648"/>
        </row>
        <row r="649">
          <cell r="Y649">
            <v>633</v>
          </cell>
          <cell r="Z649">
            <v>0.14624628238379955</v>
          </cell>
          <cell r="AA649">
            <v>-0.1779335945046866</v>
          </cell>
          <cell r="AB649"/>
          <cell r="AC649" t="e">
            <v>#N/A</v>
          </cell>
          <cell r="AD649">
            <v>562</v>
          </cell>
          <cell r="AE649" t="e">
            <v>#N/A</v>
          </cell>
          <cell r="AF649"/>
        </row>
        <row r="650">
          <cell r="Y650">
            <v>634</v>
          </cell>
          <cell r="Z650">
            <v>0.72503966651856899</v>
          </cell>
          <cell r="AA650">
            <v>0.10105999766717222</v>
          </cell>
          <cell r="AB650"/>
          <cell r="AC650" t="e">
            <v>#N/A</v>
          </cell>
          <cell r="AD650">
            <v>563</v>
          </cell>
          <cell r="AE650" t="e">
            <v>#N/A</v>
          </cell>
          <cell r="AF650"/>
        </row>
        <row r="651">
          <cell r="Y651">
            <v>635</v>
          </cell>
          <cell r="Z651">
            <v>9.0701354667544365E-2</v>
          </cell>
          <cell r="AA651">
            <v>-0.22590103419770891</v>
          </cell>
          <cell r="AB651"/>
          <cell r="AC651" t="e">
            <v>#N/A</v>
          </cell>
          <cell r="AD651">
            <v>564</v>
          </cell>
          <cell r="AE651" t="e">
            <v>#N/A</v>
          </cell>
          <cell r="AF651"/>
        </row>
        <row r="652">
          <cell r="Y652">
            <v>636</v>
          </cell>
          <cell r="Z652">
            <v>0.72579305432736874</v>
          </cell>
          <cell r="AA652">
            <v>0.10144193269752959</v>
          </cell>
          <cell r="AB652"/>
          <cell r="AC652" t="e">
            <v>#N/A</v>
          </cell>
          <cell r="AD652">
            <v>565</v>
          </cell>
          <cell r="AE652" t="e">
            <v>#N/A</v>
          </cell>
          <cell r="AF652"/>
        </row>
        <row r="653">
          <cell r="Y653">
            <v>637</v>
          </cell>
          <cell r="Z653">
            <v>0.97858339361846447</v>
          </cell>
          <cell r="AA653">
            <v>0.34234371001149783</v>
          </cell>
          <cell r="AB653"/>
          <cell r="AC653" t="e">
            <v>#N/A</v>
          </cell>
          <cell r="AD653">
            <v>566</v>
          </cell>
          <cell r="AE653" t="e">
            <v>#N/A</v>
          </cell>
          <cell r="AF653"/>
        </row>
        <row r="654">
          <cell r="Y654">
            <v>638</v>
          </cell>
          <cell r="Z654">
            <v>0.65776876173913479</v>
          </cell>
          <cell r="AA654">
            <v>6.8690972583130477E-2</v>
          </cell>
          <cell r="AB654"/>
          <cell r="AC654" t="e">
            <v>#N/A</v>
          </cell>
          <cell r="AD654">
            <v>567</v>
          </cell>
          <cell r="AE654" t="e">
            <v>#N/A</v>
          </cell>
          <cell r="AF654"/>
        </row>
        <row r="655">
          <cell r="Y655">
            <v>639</v>
          </cell>
          <cell r="Z655">
            <v>0.16838525049388409</v>
          </cell>
          <cell r="AA655">
            <v>-0.16236526482826424</v>
          </cell>
          <cell r="AB655"/>
          <cell r="AC655" t="e">
            <v>#N/A</v>
          </cell>
          <cell r="AD655">
            <v>568</v>
          </cell>
          <cell r="AE655" t="e">
            <v>#N/A</v>
          </cell>
          <cell r="AF655"/>
        </row>
        <row r="656">
          <cell r="Y656">
            <v>640</v>
          </cell>
          <cell r="Z656">
            <v>0.69394709728658199</v>
          </cell>
          <cell r="AA656">
            <v>8.5710449084217405E-2</v>
          </cell>
          <cell r="AB656"/>
          <cell r="AC656" t="e">
            <v>#N/A</v>
          </cell>
          <cell r="AD656">
            <v>569</v>
          </cell>
          <cell r="AE656" t="e">
            <v>#N/A</v>
          </cell>
          <cell r="AF656"/>
        </row>
        <row r="657">
          <cell r="Y657">
            <v>641</v>
          </cell>
          <cell r="Z657">
            <v>0.99417808465659618</v>
          </cell>
          <cell r="AA657">
            <v>0.42642403044131721</v>
          </cell>
          <cell r="AB657"/>
          <cell r="AC657" t="e">
            <v>#N/A</v>
          </cell>
          <cell r="AD657">
            <v>570</v>
          </cell>
          <cell r="AE657" t="e">
            <v>#N/A</v>
          </cell>
          <cell r="AF657"/>
        </row>
        <row r="658">
          <cell r="Y658">
            <v>642</v>
          </cell>
          <cell r="Z658">
            <v>0.77088106237351894</v>
          </cell>
          <cell r="AA658">
            <v>0.12537889710839403</v>
          </cell>
          <cell r="AB658"/>
          <cell r="AC658" t="e">
            <v>#N/A</v>
          </cell>
          <cell r="AD658">
            <v>571</v>
          </cell>
          <cell r="AE658" t="e">
            <v>#N/A</v>
          </cell>
          <cell r="AF658"/>
        </row>
        <row r="659">
          <cell r="Y659">
            <v>643</v>
          </cell>
          <cell r="Z659">
            <v>0.64518900029361248</v>
          </cell>
          <cell r="AA659">
            <v>6.2940970695198883E-2</v>
          </cell>
          <cell r="AB659"/>
          <cell r="AC659" t="e">
            <v>#N/A</v>
          </cell>
          <cell r="AD659">
            <v>572</v>
          </cell>
          <cell r="AE659" t="e">
            <v>#N/A</v>
          </cell>
          <cell r="AF659"/>
        </row>
        <row r="660">
          <cell r="Y660">
            <v>644</v>
          </cell>
          <cell r="Z660">
            <v>0.39039312861859798</v>
          </cell>
          <cell r="AA660">
            <v>-4.7040365079245992E-2</v>
          </cell>
          <cell r="AB660"/>
          <cell r="AC660" t="e">
            <v>#N/A</v>
          </cell>
          <cell r="AD660">
            <v>573</v>
          </cell>
          <cell r="AE660" t="e">
            <v>#N/A</v>
          </cell>
          <cell r="AF660"/>
        </row>
        <row r="661">
          <cell r="Y661">
            <v>645</v>
          </cell>
          <cell r="Z661">
            <v>0.36129665188491344</v>
          </cell>
          <cell r="AA661">
            <v>-6.0005114436232541E-2</v>
          </cell>
          <cell r="AB661"/>
          <cell r="AC661" t="e">
            <v>#N/A</v>
          </cell>
          <cell r="AD661">
            <v>574</v>
          </cell>
          <cell r="AE661" t="e">
            <v>#N/A</v>
          </cell>
          <cell r="AF661"/>
        </row>
        <row r="662">
          <cell r="Y662">
            <v>646</v>
          </cell>
          <cell r="Z662">
            <v>0.21570560894906521</v>
          </cell>
          <cell r="AA662">
            <v>-0.1329899327821501</v>
          </cell>
          <cell r="AB662"/>
          <cell r="AC662" t="e">
            <v>#N/A</v>
          </cell>
          <cell r="AD662">
            <v>575</v>
          </cell>
          <cell r="AE662" t="e">
            <v>#N/A</v>
          </cell>
          <cell r="AF662"/>
        </row>
        <row r="663">
          <cell r="Y663">
            <v>647</v>
          </cell>
          <cell r="Z663">
            <v>0.8936635684221983</v>
          </cell>
          <cell r="AA663">
            <v>0.2106545896433622</v>
          </cell>
          <cell r="AB663"/>
          <cell r="AC663" t="e">
            <v>#N/A</v>
          </cell>
          <cell r="AD663">
            <v>576</v>
          </cell>
          <cell r="AE663" t="e">
            <v>#N/A</v>
          </cell>
          <cell r="AF663"/>
        </row>
        <row r="664">
          <cell r="Y664">
            <v>648</v>
          </cell>
          <cell r="Z664">
            <v>0.30184837244451046</v>
          </cell>
          <cell r="AA664">
            <v>-8.7742524167529728E-2</v>
          </cell>
          <cell r="AB664"/>
          <cell r="AC664" t="e">
            <v>#N/A</v>
          </cell>
          <cell r="AD664">
            <v>577</v>
          </cell>
          <cell r="AE664" t="e">
            <v>#N/A</v>
          </cell>
          <cell r="AF664"/>
        </row>
        <row r="665">
          <cell r="Y665">
            <v>649</v>
          </cell>
          <cell r="Z665">
            <v>0.648473946377635</v>
          </cell>
          <cell r="AA665">
            <v>6.4435185018275581E-2</v>
          </cell>
          <cell r="AB665"/>
          <cell r="AC665" t="e">
            <v>#N/A</v>
          </cell>
          <cell r="AD665">
            <v>578</v>
          </cell>
          <cell r="AE665" t="e">
            <v>#N/A</v>
          </cell>
          <cell r="AF665"/>
        </row>
        <row r="666">
          <cell r="Y666">
            <v>650</v>
          </cell>
          <cell r="Z666">
            <v>0.89393765293061733</v>
          </cell>
          <cell r="AA666">
            <v>0.21090728926374372</v>
          </cell>
          <cell r="AB666"/>
          <cell r="AC666" t="e">
            <v>#N/A</v>
          </cell>
          <cell r="AD666">
            <v>579</v>
          </cell>
          <cell r="AE666" t="e">
            <v>#N/A</v>
          </cell>
          <cell r="AF666"/>
        </row>
        <row r="667">
          <cell r="Y667">
            <v>651</v>
          </cell>
          <cell r="Z667">
            <v>0.15049566142261028</v>
          </cell>
          <cell r="AA667">
            <v>-0.17483027794317474</v>
          </cell>
          <cell r="AB667"/>
          <cell r="AC667" t="e">
            <v>#N/A</v>
          </cell>
          <cell r="AD667">
            <v>580</v>
          </cell>
          <cell r="AE667" t="e">
            <v>#N/A</v>
          </cell>
          <cell r="AF667"/>
        </row>
        <row r="668">
          <cell r="Y668">
            <v>652</v>
          </cell>
          <cell r="Z668">
            <v>0.57066970132291317</v>
          </cell>
          <cell r="AA668">
            <v>3.0100917362333272E-2</v>
          </cell>
          <cell r="AB668"/>
          <cell r="AC668" t="e">
            <v>#N/A</v>
          </cell>
          <cell r="AD668">
            <v>581</v>
          </cell>
          <cell r="AE668" t="e">
            <v>#N/A</v>
          </cell>
          <cell r="AF668"/>
        </row>
        <row r="669">
          <cell r="Y669">
            <v>653</v>
          </cell>
          <cell r="Z669">
            <v>0.43193524889647961</v>
          </cell>
          <cell r="AA669">
            <v>-2.8980220002246985E-2</v>
          </cell>
          <cell r="AB669"/>
          <cell r="AC669" t="e">
            <v>#N/A</v>
          </cell>
          <cell r="AD669">
            <v>582</v>
          </cell>
          <cell r="AE669" t="e">
            <v>#N/A</v>
          </cell>
          <cell r="AF669"/>
        </row>
        <row r="670">
          <cell r="Y670">
            <v>654</v>
          </cell>
          <cell r="Z670">
            <v>0.10412303172051907</v>
          </cell>
          <cell r="AA670">
            <v>-0.21270892247158762</v>
          </cell>
          <cell r="AB670"/>
          <cell r="AC670" t="e">
            <v>#N/A</v>
          </cell>
          <cell r="AD670">
            <v>583</v>
          </cell>
          <cell r="AE670" t="e">
            <v>#N/A</v>
          </cell>
          <cell r="AF670"/>
        </row>
        <row r="671">
          <cell r="Y671">
            <v>655</v>
          </cell>
          <cell r="Z671">
            <v>0.67080460302531719</v>
          </cell>
          <cell r="AA671">
            <v>7.4734624567691171E-2</v>
          </cell>
          <cell r="AB671"/>
          <cell r="AC671" t="e">
            <v>#N/A</v>
          </cell>
          <cell r="AD671">
            <v>584</v>
          </cell>
          <cell r="AE671" t="e">
            <v>#N/A</v>
          </cell>
          <cell r="AF671"/>
        </row>
        <row r="672">
          <cell r="Y672">
            <v>656</v>
          </cell>
          <cell r="Z672">
            <v>0.75071301124989986</v>
          </cell>
          <cell r="AA672">
            <v>0.11438912703085914</v>
          </cell>
          <cell r="AB672"/>
          <cell r="AC672" t="e">
            <v>#N/A</v>
          </cell>
          <cell r="AD672">
            <v>585</v>
          </cell>
          <cell r="AE672" t="e">
            <v>#N/A</v>
          </cell>
          <cell r="AF672"/>
        </row>
        <row r="673">
          <cell r="Y673">
            <v>657</v>
          </cell>
          <cell r="Z673">
            <v>0.87176814489066601</v>
          </cell>
          <cell r="AA673">
            <v>0.19181436080902992</v>
          </cell>
          <cell r="AB673"/>
          <cell r="AC673" t="e">
            <v>#N/A</v>
          </cell>
          <cell r="AD673">
            <v>586</v>
          </cell>
          <cell r="AE673" t="e">
            <v>#N/A</v>
          </cell>
          <cell r="AF673"/>
        </row>
        <row r="674">
          <cell r="Y674">
            <v>658</v>
          </cell>
          <cell r="Z674">
            <v>0.78189254365861416</v>
          </cell>
          <cell r="AA674">
            <v>0.13160755433618077</v>
          </cell>
          <cell r="AB674"/>
          <cell r="AC674" t="e">
            <v>#N/A</v>
          </cell>
          <cell r="AD674">
            <v>587</v>
          </cell>
          <cell r="AE674" t="e">
            <v>#N/A</v>
          </cell>
          <cell r="AF674"/>
        </row>
        <row r="675">
          <cell r="Y675">
            <v>659</v>
          </cell>
          <cell r="Z675">
            <v>0.60118920914828777</v>
          </cell>
          <cell r="AA675">
            <v>4.3343977676679794E-2</v>
          </cell>
          <cell r="AB675"/>
          <cell r="AC675" t="e">
            <v>#N/A</v>
          </cell>
          <cell r="AD675">
            <v>588</v>
          </cell>
          <cell r="AE675" t="e">
            <v>#N/A</v>
          </cell>
          <cell r="AF675"/>
        </row>
        <row r="676">
          <cell r="Y676">
            <v>660</v>
          </cell>
          <cell r="Z676">
            <v>0.90694259665906429</v>
          </cell>
          <cell r="AA676">
            <v>0.22348586591660896</v>
          </cell>
          <cell r="AB676"/>
          <cell r="AC676" t="e">
            <v>#N/A</v>
          </cell>
          <cell r="AD676">
            <v>589</v>
          </cell>
          <cell r="AE676" t="e">
            <v>#N/A</v>
          </cell>
          <cell r="AF676"/>
        </row>
        <row r="677">
          <cell r="Y677">
            <v>661</v>
          </cell>
          <cell r="Z677">
            <v>0.75684439949691296</v>
          </cell>
          <cell r="AA677">
            <v>0.11767722325455135</v>
          </cell>
          <cell r="AB677"/>
          <cell r="AC677" t="e">
            <v>#N/A</v>
          </cell>
          <cell r="AD677">
            <v>590</v>
          </cell>
          <cell r="AE677" t="e">
            <v>#N/A</v>
          </cell>
          <cell r="AF677"/>
        </row>
        <row r="678">
          <cell r="Y678">
            <v>662</v>
          </cell>
          <cell r="Z678">
            <v>0.83394632302224636</v>
          </cell>
          <cell r="AA678">
            <v>0.16393928782473843</v>
          </cell>
          <cell r="AB678"/>
          <cell r="AC678" t="e">
            <v>#N/A</v>
          </cell>
          <cell r="AD678">
            <v>591</v>
          </cell>
          <cell r="AE678" t="e">
            <v>#N/A</v>
          </cell>
          <cell r="AF678"/>
        </row>
        <row r="679">
          <cell r="Y679">
            <v>663</v>
          </cell>
          <cell r="Z679">
            <v>7.1524662896990776E-2</v>
          </cell>
          <cell r="AA679">
            <v>-0.24755066950646462</v>
          </cell>
          <cell r="AB679"/>
          <cell r="AC679" t="e">
            <v>#N/A</v>
          </cell>
          <cell r="AD679">
            <v>592</v>
          </cell>
          <cell r="AE679" t="e">
            <v>#N/A</v>
          </cell>
          <cell r="AF679"/>
        </row>
        <row r="680">
          <cell r="Y680">
            <v>664</v>
          </cell>
          <cell r="Z680">
            <v>0.55879052542150021</v>
          </cell>
          <cell r="AA680">
            <v>2.5000249500605202E-2</v>
          </cell>
          <cell r="AB680"/>
          <cell r="AC680" t="e">
            <v>#N/A</v>
          </cell>
          <cell r="AD680">
            <v>593</v>
          </cell>
          <cell r="AE680" t="e">
            <v>#N/A</v>
          </cell>
          <cell r="AF680"/>
        </row>
        <row r="681">
          <cell r="Y681">
            <v>665</v>
          </cell>
          <cell r="Z681">
            <v>0.5184918325394392</v>
          </cell>
          <cell r="AA681">
            <v>7.8377511100884596E-3</v>
          </cell>
          <cell r="AB681"/>
          <cell r="AC681" t="e">
            <v>#N/A</v>
          </cell>
          <cell r="AD681">
            <v>594</v>
          </cell>
          <cell r="AE681" t="e">
            <v>#N/A</v>
          </cell>
          <cell r="AF681"/>
        </row>
        <row r="682">
          <cell r="Y682">
            <v>666</v>
          </cell>
          <cell r="Z682">
            <v>6.5788215026259422E-2</v>
          </cell>
          <cell r="AA682">
            <v>-0.25488405854260593</v>
          </cell>
          <cell r="AB682"/>
          <cell r="AC682" t="e">
            <v>#N/A</v>
          </cell>
          <cell r="AD682">
            <v>595</v>
          </cell>
          <cell r="AE682" t="e">
            <v>#N/A</v>
          </cell>
          <cell r="AF682"/>
        </row>
        <row r="683">
          <cell r="Y683">
            <v>667</v>
          </cell>
          <cell r="Z683">
            <v>5.5093895643949509E-3</v>
          </cell>
          <cell r="AA683">
            <v>-0.42969378285583931</v>
          </cell>
          <cell r="AB683"/>
          <cell r="AC683" t="e">
            <v>#N/A</v>
          </cell>
          <cell r="AD683">
            <v>596</v>
          </cell>
          <cell r="AE683" t="e">
            <v>#N/A</v>
          </cell>
          <cell r="AF683"/>
        </row>
        <row r="684">
          <cell r="Y684">
            <v>668</v>
          </cell>
          <cell r="Z684">
            <v>0.96726601384580135</v>
          </cell>
          <cell r="AA684">
            <v>0.31136312204414274</v>
          </cell>
          <cell r="AB684"/>
          <cell r="AC684" t="e">
            <v>#N/A</v>
          </cell>
          <cell r="AD684">
            <v>597</v>
          </cell>
          <cell r="AE684" t="e">
            <v>#N/A</v>
          </cell>
          <cell r="AF684"/>
        </row>
        <row r="685">
          <cell r="Y685">
            <v>669</v>
          </cell>
          <cell r="Z685">
            <v>0.71291619352996349</v>
          </cell>
          <cell r="AA685">
            <v>9.4982538551826395E-2</v>
          </cell>
          <cell r="AB685"/>
          <cell r="AC685" t="e">
            <v>#N/A</v>
          </cell>
          <cell r="AD685">
            <v>598</v>
          </cell>
          <cell r="AE685" t="e">
            <v>#N/A</v>
          </cell>
          <cell r="AF685"/>
        </row>
        <row r="686">
          <cell r="Y686">
            <v>670</v>
          </cell>
          <cell r="Z686">
            <v>0.20321015082299709</v>
          </cell>
          <cell r="AA686">
            <v>-0.14033103120177709</v>
          </cell>
          <cell r="AB686"/>
          <cell r="AC686" t="e">
            <v>#N/A</v>
          </cell>
          <cell r="AD686">
            <v>599</v>
          </cell>
          <cell r="AE686" t="e">
            <v>#N/A</v>
          </cell>
          <cell r="AF686"/>
        </row>
        <row r="687">
          <cell r="Y687">
            <v>671</v>
          </cell>
          <cell r="Z687">
            <v>0.14996193163096905</v>
          </cell>
          <cell r="AA687">
            <v>-0.17521681816560852</v>
          </cell>
          <cell r="AB687"/>
          <cell r="AC687" t="e">
            <v>#N/A</v>
          </cell>
          <cell r="AD687">
            <v>600</v>
          </cell>
          <cell r="AE687" t="e">
            <v>#N/A</v>
          </cell>
          <cell r="AF687"/>
        </row>
        <row r="688">
          <cell r="Y688">
            <v>672</v>
          </cell>
          <cell r="Z688">
            <v>0.26581480167806149</v>
          </cell>
          <cell r="AA688">
            <v>-0.10573223528336995</v>
          </cell>
          <cell r="AB688"/>
          <cell r="AC688" t="e">
            <v>#N/A</v>
          </cell>
          <cell r="AD688">
            <v>601</v>
          </cell>
          <cell r="AE688" t="e">
            <v>#N/A</v>
          </cell>
          <cell r="AF688"/>
        </row>
        <row r="689">
          <cell r="Y689">
            <v>673</v>
          </cell>
          <cell r="Z689">
            <v>0.47237303666770458</v>
          </cell>
          <cell r="AA689">
            <v>-1.1714847182059576E-2</v>
          </cell>
          <cell r="AB689"/>
          <cell r="AC689" t="e">
            <v>#N/A</v>
          </cell>
          <cell r="AD689">
            <v>602</v>
          </cell>
          <cell r="AE689" t="e">
            <v>#N/A</v>
          </cell>
          <cell r="AF689"/>
        </row>
        <row r="690">
          <cell r="Y690">
            <v>674</v>
          </cell>
          <cell r="Z690">
            <v>0.50752652250230312</v>
          </cell>
          <cell r="AA690">
            <v>3.1891580454435574E-3</v>
          </cell>
          <cell r="AB690"/>
          <cell r="AC690" t="e">
            <v>#N/A</v>
          </cell>
          <cell r="AD690">
            <v>603</v>
          </cell>
          <cell r="AE690" t="e">
            <v>#N/A</v>
          </cell>
          <cell r="AF690"/>
        </row>
        <row r="691">
          <cell r="Y691">
            <v>675</v>
          </cell>
          <cell r="Z691">
            <v>0.82286782376468182</v>
          </cell>
          <cell r="AA691">
            <v>0.15658165294727394</v>
          </cell>
          <cell r="AB691"/>
          <cell r="AC691" t="e">
            <v>#N/A</v>
          </cell>
          <cell r="AD691">
            <v>604</v>
          </cell>
          <cell r="AE691" t="e">
            <v>#N/A</v>
          </cell>
          <cell r="AF691"/>
        </row>
        <row r="692">
          <cell r="Y692">
            <v>676</v>
          </cell>
          <cell r="Z692">
            <v>0.93492852710187435</v>
          </cell>
          <cell r="AA692">
            <v>0.25583468966989859</v>
          </cell>
          <cell r="AB692"/>
          <cell r="AC692" t="e">
            <v>#N/A</v>
          </cell>
          <cell r="AD692">
            <v>605</v>
          </cell>
          <cell r="AE692" t="e">
            <v>#N/A</v>
          </cell>
          <cell r="AF692"/>
        </row>
        <row r="693">
          <cell r="Y693">
            <v>677</v>
          </cell>
          <cell r="Z693">
            <v>0.42508959583938122</v>
          </cell>
          <cell r="AA693">
            <v>-3.1928202855214471E-2</v>
          </cell>
          <cell r="AB693"/>
          <cell r="AC693" t="e">
            <v>#N/A</v>
          </cell>
          <cell r="AD693">
            <v>606</v>
          </cell>
          <cell r="AE693" t="e">
            <v>#N/A</v>
          </cell>
          <cell r="AF693"/>
        </row>
        <row r="694">
          <cell r="Y694">
            <v>678</v>
          </cell>
          <cell r="Z694">
            <v>0.48455855809152126</v>
          </cell>
          <cell r="AA694">
            <v>-6.5441349575541454E-3</v>
          </cell>
          <cell r="AB694"/>
          <cell r="AC694" t="e">
            <v>#N/A</v>
          </cell>
          <cell r="AD694">
            <v>607</v>
          </cell>
          <cell r="AE694" t="e">
            <v>#N/A</v>
          </cell>
          <cell r="AF694"/>
        </row>
        <row r="695">
          <cell r="Y695">
            <v>679</v>
          </cell>
          <cell r="Z695">
            <v>0.88017646782100201</v>
          </cell>
          <cell r="AA695">
            <v>0.19875820701177496</v>
          </cell>
          <cell r="AB695"/>
          <cell r="AC695" t="e">
            <v>#N/A</v>
          </cell>
          <cell r="AD695">
            <v>608</v>
          </cell>
          <cell r="AE695" t="e">
            <v>#N/A</v>
          </cell>
          <cell r="AF695"/>
        </row>
        <row r="696">
          <cell r="Y696">
            <v>680</v>
          </cell>
          <cell r="Z696">
            <v>0.1205041017383337</v>
          </cell>
          <cell r="AA696">
            <v>-0.19818368873786119</v>
          </cell>
          <cell r="AB696"/>
          <cell r="AC696" t="e">
            <v>#N/A</v>
          </cell>
          <cell r="AD696">
            <v>609</v>
          </cell>
          <cell r="AE696" t="e">
            <v>#N/A</v>
          </cell>
          <cell r="AF696"/>
        </row>
        <row r="697">
          <cell r="Y697">
            <v>681</v>
          </cell>
          <cell r="Z697">
            <v>0.58393665961921215</v>
          </cell>
          <cell r="AA697">
            <v>3.5830283749237364E-2</v>
          </cell>
          <cell r="AB697"/>
          <cell r="AC697" t="e">
            <v>#N/A</v>
          </cell>
          <cell r="AD697">
            <v>610</v>
          </cell>
          <cell r="AE697" t="e">
            <v>#N/A</v>
          </cell>
          <cell r="AF697"/>
        </row>
        <row r="698">
          <cell r="Y698">
            <v>682</v>
          </cell>
          <cell r="Z698">
            <v>0.18736869655549526</v>
          </cell>
          <cell r="AA698">
            <v>-0.15003761371443936</v>
          </cell>
          <cell r="AB698"/>
          <cell r="AC698" t="e">
            <v>#N/A</v>
          </cell>
          <cell r="AD698">
            <v>611</v>
          </cell>
          <cell r="AE698" t="e">
            <v>#N/A</v>
          </cell>
          <cell r="AF698"/>
        </row>
        <row r="699">
          <cell r="Y699">
            <v>683</v>
          </cell>
          <cell r="Z699">
            <v>0.40134800784289837</v>
          </cell>
          <cell r="AA699">
            <v>-4.2233961409577338E-2</v>
          </cell>
          <cell r="AB699"/>
          <cell r="AC699" t="e">
            <v>#N/A</v>
          </cell>
          <cell r="AD699">
            <v>612</v>
          </cell>
          <cell r="AE699" t="e">
            <v>#N/A</v>
          </cell>
          <cell r="AF699"/>
        </row>
        <row r="700">
          <cell r="Y700">
            <v>684</v>
          </cell>
          <cell r="Z700">
            <v>0.29595308564603329</v>
          </cell>
          <cell r="AA700">
            <v>-9.0613346981274906E-2</v>
          </cell>
          <cell r="AB700"/>
          <cell r="AC700" t="e">
            <v>#N/A</v>
          </cell>
          <cell r="AD700">
            <v>613</v>
          </cell>
          <cell r="AE700" t="e">
            <v>#N/A</v>
          </cell>
          <cell r="AF700"/>
        </row>
        <row r="701">
          <cell r="Y701">
            <v>685</v>
          </cell>
          <cell r="Z701">
            <v>0.70385044626891613</v>
          </cell>
          <cell r="AA701">
            <v>9.0517255486859322E-2</v>
          </cell>
          <cell r="AB701"/>
          <cell r="AC701" t="e">
            <v>#N/A</v>
          </cell>
          <cell r="AD701">
            <v>614</v>
          </cell>
          <cell r="AE701" t="e">
            <v>#N/A</v>
          </cell>
          <cell r="AF701"/>
        </row>
        <row r="702">
          <cell r="Y702">
            <v>686</v>
          </cell>
          <cell r="Z702">
            <v>0.61274496279656887</v>
          </cell>
          <cell r="AA702">
            <v>4.842405422271151E-2</v>
          </cell>
          <cell r="AB702"/>
          <cell r="AC702" t="e">
            <v>#N/A</v>
          </cell>
          <cell r="AD702">
            <v>615</v>
          </cell>
          <cell r="AE702" t="e">
            <v>#N/A</v>
          </cell>
          <cell r="AF702"/>
        </row>
        <row r="703">
          <cell r="Y703">
            <v>687</v>
          </cell>
          <cell r="Z703">
            <v>0.59365020506083965</v>
          </cell>
          <cell r="AA703">
            <v>4.0050986435778139E-2</v>
          </cell>
          <cell r="AB703"/>
          <cell r="AC703" t="e">
            <v>#N/A</v>
          </cell>
          <cell r="AD703">
            <v>616</v>
          </cell>
          <cell r="AE703" t="e">
            <v>#N/A</v>
          </cell>
          <cell r="AF703"/>
        </row>
        <row r="704">
          <cell r="Y704">
            <v>688</v>
          </cell>
          <cell r="Z704">
            <v>0.76806106232106686</v>
          </cell>
          <cell r="AA704">
            <v>0.12381109997862043</v>
          </cell>
          <cell r="AB704"/>
          <cell r="AC704" t="e">
            <v>#N/A</v>
          </cell>
          <cell r="AD704">
            <v>617</v>
          </cell>
          <cell r="AE704" t="e">
            <v>#N/A</v>
          </cell>
          <cell r="AF704"/>
        </row>
        <row r="705">
          <cell r="Y705">
            <v>689</v>
          </cell>
          <cell r="Z705">
            <v>0.60800447873771191</v>
          </cell>
          <cell r="AA705">
            <v>4.6335036445969063E-2</v>
          </cell>
          <cell r="AB705"/>
          <cell r="AC705" t="e">
            <v>#N/A</v>
          </cell>
          <cell r="AD705">
            <v>618</v>
          </cell>
          <cell r="AE705" t="e">
            <v>#N/A</v>
          </cell>
          <cell r="AF705"/>
        </row>
        <row r="706">
          <cell r="Y706">
            <v>690</v>
          </cell>
          <cell r="Z706">
            <v>0.69143534265458584</v>
          </cell>
          <cell r="AA706">
            <v>8.450240574410918E-2</v>
          </cell>
          <cell r="AB706"/>
          <cell r="AC706" t="e">
            <v>#N/A</v>
          </cell>
          <cell r="AD706">
            <v>619</v>
          </cell>
          <cell r="AE706" t="e">
            <v>#N/A</v>
          </cell>
          <cell r="AF706"/>
        </row>
        <row r="707">
          <cell r="Y707">
            <v>691</v>
          </cell>
          <cell r="Z707">
            <v>0.41520531289279461</v>
          </cell>
          <cell r="AA707">
            <v>-3.6202174929325773E-2</v>
          </cell>
          <cell r="AB707"/>
          <cell r="AC707" t="e">
            <v>#N/A</v>
          </cell>
          <cell r="AD707">
            <v>620</v>
          </cell>
          <cell r="AE707" t="e">
            <v>#N/A</v>
          </cell>
          <cell r="AF707"/>
        </row>
        <row r="708">
          <cell r="Y708">
            <v>692</v>
          </cell>
          <cell r="Z708">
            <v>0.52659701369702816</v>
          </cell>
          <cell r="AA708">
            <v>1.1277449509402579E-2</v>
          </cell>
          <cell r="AB708"/>
          <cell r="AC708" t="e">
            <v>#N/A</v>
          </cell>
          <cell r="AD708">
            <v>621</v>
          </cell>
          <cell r="AE708" t="e">
            <v>#N/A</v>
          </cell>
          <cell r="AF708"/>
        </row>
        <row r="709">
          <cell r="Y709">
            <v>693</v>
          </cell>
          <cell r="Z709">
            <v>0.98273145966231823</v>
          </cell>
          <cell r="AA709">
            <v>0.357288060895596</v>
          </cell>
          <cell r="AB709"/>
          <cell r="AC709" t="e">
            <v>#N/A</v>
          </cell>
          <cell r="AD709">
            <v>622</v>
          </cell>
          <cell r="AE709" t="e">
            <v>#N/A</v>
          </cell>
          <cell r="AF709"/>
        </row>
        <row r="710">
          <cell r="Y710">
            <v>694</v>
          </cell>
          <cell r="Z710">
            <v>0.37213215790688992</v>
          </cell>
          <cell r="AA710">
            <v>-5.5139813094570278E-2</v>
          </cell>
          <cell r="AB710"/>
          <cell r="AC710" t="e">
            <v>#N/A</v>
          </cell>
          <cell r="AD710">
            <v>623</v>
          </cell>
          <cell r="AE710" t="e">
            <v>#N/A</v>
          </cell>
          <cell r="AF710"/>
        </row>
        <row r="711">
          <cell r="Y711">
            <v>695</v>
          </cell>
          <cell r="Z711">
            <v>0.41678695194423199</v>
          </cell>
          <cell r="AA711">
            <v>-3.5516786717225149E-2</v>
          </cell>
          <cell r="AB711"/>
          <cell r="AC711" t="e">
            <v>#N/A</v>
          </cell>
          <cell r="AD711">
            <v>624</v>
          </cell>
          <cell r="AE711" t="e">
            <v>#N/A</v>
          </cell>
          <cell r="AF711"/>
        </row>
        <row r="712">
          <cell r="Y712">
            <v>696</v>
          </cell>
          <cell r="Z712">
            <v>0.93767269514501095</v>
          </cell>
          <cell r="AA712">
            <v>0.25955131178598995</v>
          </cell>
          <cell r="AB712"/>
          <cell r="AC712" t="e">
            <v>#N/A</v>
          </cell>
          <cell r="AD712">
            <v>625</v>
          </cell>
          <cell r="AE712" t="e">
            <v>#N/A</v>
          </cell>
          <cell r="AF712"/>
        </row>
        <row r="713">
          <cell r="Y713">
            <v>697</v>
          </cell>
          <cell r="Z713">
            <v>0.14119514636695385</v>
          </cell>
          <cell r="AA713">
            <v>-0.18170228864107196</v>
          </cell>
          <cell r="AB713"/>
          <cell r="AC713" t="e">
            <v>#N/A</v>
          </cell>
          <cell r="AD713">
            <v>626</v>
          </cell>
          <cell r="AE713" t="e">
            <v>#N/A</v>
          </cell>
          <cell r="AF713"/>
        </row>
        <row r="714">
          <cell r="Y714">
            <v>698</v>
          </cell>
          <cell r="Z714">
            <v>0.29920644126832485</v>
          </cell>
          <cell r="AA714">
            <v>-8.9025885063736737E-2</v>
          </cell>
          <cell r="AB714"/>
          <cell r="AC714" t="e">
            <v>#N/A</v>
          </cell>
          <cell r="AD714">
            <v>627</v>
          </cell>
          <cell r="AE714" t="e">
            <v>#N/A</v>
          </cell>
          <cell r="AF714"/>
        </row>
        <row r="715">
          <cell r="Y715">
            <v>699</v>
          </cell>
          <cell r="Z715">
            <v>0.30236698500812054</v>
          </cell>
          <cell r="AA715">
            <v>-8.7491194834005276E-2</v>
          </cell>
          <cell r="AB715"/>
          <cell r="AC715" t="e">
            <v>#N/A</v>
          </cell>
          <cell r="AD715">
            <v>628</v>
          </cell>
          <cell r="AE715" t="e">
            <v>#N/A</v>
          </cell>
          <cell r="AF715"/>
        </row>
        <row r="716">
          <cell r="Y716">
            <v>700</v>
          </cell>
          <cell r="Z716">
            <v>0.78085201047360897</v>
          </cell>
          <cell r="AA716">
            <v>0.13101140488851279</v>
          </cell>
          <cell r="AB716"/>
          <cell r="AC716" t="e">
            <v>#N/A</v>
          </cell>
          <cell r="AD716">
            <v>629</v>
          </cell>
          <cell r="AE716" t="e">
            <v>#N/A</v>
          </cell>
          <cell r="AF716"/>
        </row>
        <row r="717">
          <cell r="Y717">
            <v>701</v>
          </cell>
          <cell r="Z717">
            <v>0.25581222586333752</v>
          </cell>
          <cell r="AA717">
            <v>-0.11093669898891453</v>
          </cell>
          <cell r="AB717"/>
          <cell r="AC717" t="e">
            <v>#N/A</v>
          </cell>
          <cell r="AD717">
            <v>630</v>
          </cell>
          <cell r="AE717" t="e">
            <v>#N/A</v>
          </cell>
          <cell r="AF717"/>
        </row>
        <row r="718">
          <cell r="Y718">
            <v>702</v>
          </cell>
          <cell r="Z718">
            <v>0.5841923113912344</v>
          </cell>
          <cell r="AA718">
            <v>3.5941071581933305E-2</v>
          </cell>
          <cell r="AB718"/>
          <cell r="AC718" t="e">
            <v>#N/A</v>
          </cell>
          <cell r="AD718">
            <v>631</v>
          </cell>
          <cell r="AE718" t="e">
            <v>#N/A</v>
          </cell>
          <cell r="AF718"/>
        </row>
        <row r="719">
          <cell r="Y719">
            <v>703</v>
          </cell>
          <cell r="Z719">
            <v>0.70841239206492901</v>
          </cell>
          <cell r="AA719">
            <v>9.2756125678076021E-2</v>
          </cell>
          <cell r="AB719"/>
          <cell r="AC719" t="e">
            <v>#N/A</v>
          </cell>
          <cell r="AD719">
            <v>632</v>
          </cell>
          <cell r="AE719" t="e">
            <v>#N/A</v>
          </cell>
          <cell r="AF719"/>
        </row>
        <row r="720">
          <cell r="Y720">
            <v>704</v>
          </cell>
          <cell r="Z720">
            <v>0.13001038692891598</v>
          </cell>
          <cell r="AA720">
            <v>-0.19038655180265113</v>
          </cell>
          <cell r="AB720"/>
          <cell r="AC720" t="e">
            <v>#N/A</v>
          </cell>
          <cell r="AD720">
            <v>633</v>
          </cell>
          <cell r="AE720" t="e">
            <v>#N/A</v>
          </cell>
          <cell r="AF720"/>
        </row>
        <row r="721">
          <cell r="Y721">
            <v>705</v>
          </cell>
          <cell r="Z721">
            <v>0.55942418985068798</v>
          </cell>
          <cell r="AA721">
            <v>2.527171659673362E-2</v>
          </cell>
          <cell r="AB721"/>
          <cell r="AC721" t="e">
            <v>#N/A</v>
          </cell>
          <cell r="AD721">
            <v>634</v>
          </cell>
          <cell r="AE721" t="e">
            <v>#N/A</v>
          </cell>
          <cell r="AF721"/>
        </row>
        <row r="722">
          <cell r="Y722">
            <v>706</v>
          </cell>
          <cell r="Z722">
            <v>0.1710213478654623</v>
          </cell>
          <cell r="AA722">
            <v>-0.16060244873515456</v>
          </cell>
          <cell r="AB722"/>
          <cell r="AC722" t="e">
            <v>#N/A</v>
          </cell>
          <cell r="AD722">
            <v>635</v>
          </cell>
          <cell r="AE722" t="e">
            <v>#N/A</v>
          </cell>
          <cell r="AF722"/>
        </row>
        <row r="723">
          <cell r="Y723">
            <v>707</v>
          </cell>
          <cell r="Z723">
            <v>0.70193214528262615</v>
          </cell>
          <cell r="AA723">
            <v>8.9580553968758692E-2</v>
          </cell>
          <cell r="AB723"/>
          <cell r="AC723" t="e">
            <v>#N/A</v>
          </cell>
          <cell r="AD723">
            <v>636</v>
          </cell>
          <cell r="AE723" t="e">
            <v>#N/A</v>
          </cell>
          <cell r="AF723"/>
        </row>
        <row r="724">
          <cell r="Y724">
            <v>708</v>
          </cell>
          <cell r="Z724">
            <v>0.57794415019452572</v>
          </cell>
          <cell r="AA724">
            <v>3.3237700955450214E-2</v>
          </cell>
          <cell r="AB724"/>
          <cell r="AC724" t="e">
            <v>#N/A</v>
          </cell>
          <cell r="AD724">
            <v>637</v>
          </cell>
          <cell r="AE724" t="e">
            <v>#N/A</v>
          </cell>
          <cell r="AF724"/>
        </row>
        <row r="725">
          <cell r="Y725">
            <v>709</v>
          </cell>
          <cell r="Z725">
            <v>1.5219209715723991E-2</v>
          </cell>
          <cell r="AA725">
            <v>-0.36583989151378249</v>
          </cell>
          <cell r="AB725"/>
          <cell r="AC725" t="e">
            <v>#N/A</v>
          </cell>
          <cell r="AD725">
            <v>638</v>
          </cell>
          <cell r="AE725" t="e">
            <v>#N/A</v>
          </cell>
          <cell r="AF725"/>
        </row>
        <row r="726">
          <cell r="Y726">
            <v>710</v>
          </cell>
          <cell r="Z726">
            <v>0.29500696621835232</v>
          </cell>
          <cell r="AA726">
            <v>-9.1076500018352685E-2</v>
          </cell>
          <cell r="AB726"/>
          <cell r="AC726" t="e">
            <v>#N/A</v>
          </cell>
          <cell r="AD726">
            <v>639</v>
          </cell>
          <cell r="AE726" t="e">
            <v>#N/A</v>
          </cell>
          <cell r="AF726"/>
        </row>
        <row r="727">
          <cell r="Y727">
            <v>711</v>
          </cell>
          <cell r="Z727">
            <v>0.49727408401668072</v>
          </cell>
          <cell r="AA727">
            <v>-1.1549728026207442E-3</v>
          </cell>
          <cell r="AB727"/>
          <cell r="AC727" t="e">
            <v>#N/A</v>
          </cell>
          <cell r="AD727">
            <v>640</v>
          </cell>
          <cell r="AE727" t="e">
            <v>#N/A</v>
          </cell>
          <cell r="AF727"/>
        </row>
        <row r="728">
          <cell r="Y728">
            <v>712</v>
          </cell>
          <cell r="Z728">
            <v>0.30472989939153194</v>
          </cell>
          <cell r="AA728">
            <v>-8.634851613637376E-2</v>
          </cell>
          <cell r="AB728"/>
          <cell r="AC728" t="e">
            <v>#N/A</v>
          </cell>
          <cell r="AD728">
            <v>641</v>
          </cell>
          <cell r="AE728" t="e">
            <v>#N/A</v>
          </cell>
          <cell r="AF728"/>
        </row>
        <row r="729">
          <cell r="Y729">
            <v>713</v>
          </cell>
          <cell r="Z729">
            <v>0.9554040115326643</v>
          </cell>
          <cell r="AA729">
            <v>0.28729759903474406</v>
          </cell>
          <cell r="AB729"/>
          <cell r="AC729" t="e">
            <v>#N/A</v>
          </cell>
          <cell r="AD729">
            <v>642</v>
          </cell>
          <cell r="AE729" t="e">
            <v>#N/A</v>
          </cell>
          <cell r="AF729"/>
        </row>
        <row r="730">
          <cell r="Y730">
            <v>714</v>
          </cell>
          <cell r="Z730">
            <v>0.53557879291474819</v>
          </cell>
          <cell r="AA730">
            <v>1.509468467905677E-2</v>
          </cell>
          <cell r="AB730"/>
          <cell r="AC730" t="e">
            <v>#N/A</v>
          </cell>
          <cell r="AD730">
            <v>643</v>
          </cell>
          <cell r="AE730" t="e">
            <v>#N/A</v>
          </cell>
          <cell r="AF730"/>
        </row>
        <row r="731">
          <cell r="Y731">
            <v>715</v>
          </cell>
          <cell r="Z731">
            <v>0.89167178981006145</v>
          </cell>
          <cell r="AA731">
            <v>0.20883218845686302</v>
          </cell>
          <cell r="AB731"/>
          <cell r="AC731" t="e">
            <v>#N/A</v>
          </cell>
          <cell r="AD731">
            <v>644</v>
          </cell>
          <cell r="AE731" t="e">
            <v>#N/A</v>
          </cell>
          <cell r="AF731"/>
        </row>
        <row r="732">
          <cell r="Y732">
            <v>716</v>
          </cell>
          <cell r="Z732">
            <v>0.4898338820785284</v>
          </cell>
          <cell r="AA732">
            <v>-4.3078251344251884E-3</v>
          </cell>
          <cell r="AB732"/>
          <cell r="AC732" t="e">
            <v>#N/A</v>
          </cell>
          <cell r="AD732">
            <v>645</v>
          </cell>
          <cell r="AE732" t="e">
            <v>#N/A</v>
          </cell>
          <cell r="AF732"/>
        </row>
        <row r="733">
          <cell r="Y733">
            <v>717</v>
          </cell>
          <cell r="Z733">
            <v>0.18862575106322765</v>
          </cell>
          <cell r="AA733">
            <v>-0.14924947657864426</v>
          </cell>
          <cell r="AB733"/>
          <cell r="AC733" t="e">
            <v>#N/A</v>
          </cell>
          <cell r="AD733">
            <v>646</v>
          </cell>
          <cell r="AE733" t="e">
            <v>#N/A</v>
          </cell>
          <cell r="AF733"/>
        </row>
        <row r="734">
          <cell r="Y734">
            <v>718</v>
          </cell>
          <cell r="Z734">
            <v>0.96276704035699368</v>
          </cell>
          <cell r="AA734">
            <v>0.30150709411570431</v>
          </cell>
          <cell r="AB734"/>
          <cell r="AC734" t="e">
            <v>#N/A</v>
          </cell>
          <cell r="AD734">
            <v>647</v>
          </cell>
          <cell r="AE734" t="e">
            <v>#N/A</v>
          </cell>
          <cell r="AF734"/>
        </row>
        <row r="735">
          <cell r="Y735">
            <v>719</v>
          </cell>
          <cell r="Z735">
            <v>0.91954146139323711</v>
          </cell>
          <cell r="AA735">
            <v>0.23698021687353321</v>
          </cell>
          <cell r="AB735"/>
          <cell r="AC735" t="e">
            <v>#N/A</v>
          </cell>
          <cell r="AD735">
            <v>648</v>
          </cell>
          <cell r="AE735" t="e">
            <v>#N/A</v>
          </cell>
          <cell r="AF735"/>
        </row>
        <row r="736">
          <cell r="Y736">
            <v>720</v>
          </cell>
          <cell r="Z736">
            <v>0.56797136925160885</v>
          </cell>
          <cell r="AA736">
            <v>2.894006935340426E-2</v>
          </cell>
          <cell r="AB736"/>
          <cell r="AC736" t="e">
            <v>#N/A</v>
          </cell>
          <cell r="AD736">
            <v>649</v>
          </cell>
          <cell r="AE736" t="e">
            <v>#N/A</v>
          </cell>
          <cell r="AF736"/>
        </row>
        <row r="737">
          <cell r="Y737">
            <v>721</v>
          </cell>
          <cell r="Z737">
            <v>7.6143888756632805E-2</v>
          </cell>
          <cell r="AA737">
            <v>-0.2419671847489307</v>
          </cell>
          <cell r="AB737"/>
          <cell r="AC737" t="e">
            <v>#N/A</v>
          </cell>
          <cell r="AD737">
            <v>650</v>
          </cell>
          <cell r="AE737" t="e">
            <v>#N/A</v>
          </cell>
          <cell r="AF737"/>
        </row>
        <row r="738">
          <cell r="Y738">
            <v>722</v>
          </cell>
          <cell r="Z738">
            <v>0.87743688188493252</v>
          </cell>
          <cell r="AA738">
            <v>0.19645930910083995</v>
          </cell>
          <cell r="AB738"/>
          <cell r="AC738" t="e">
            <v>#N/A</v>
          </cell>
          <cell r="AD738">
            <v>651</v>
          </cell>
          <cell r="AE738" t="e">
            <v>#N/A</v>
          </cell>
          <cell r="AF738"/>
        </row>
        <row r="739">
          <cell r="Y739">
            <v>723</v>
          </cell>
          <cell r="Z739">
            <v>0.22552878968417645</v>
          </cell>
          <cell r="AA739">
            <v>-0.12739061672048077</v>
          </cell>
          <cell r="AB739"/>
          <cell r="AC739" t="e">
            <v>#N/A</v>
          </cell>
          <cell r="AD739">
            <v>652</v>
          </cell>
          <cell r="AE739" t="e">
            <v>#N/A</v>
          </cell>
          <cell r="AF739"/>
        </row>
        <row r="740">
          <cell r="Y740">
            <v>724</v>
          </cell>
          <cell r="Z740">
            <v>0.82871603034436703</v>
          </cell>
          <cell r="AA740">
            <v>0.16042778392987214</v>
          </cell>
          <cell r="AB740"/>
          <cell r="AC740" t="e">
            <v>#N/A</v>
          </cell>
          <cell r="AD740">
            <v>653</v>
          </cell>
          <cell r="AE740" t="e">
            <v>#N/A</v>
          </cell>
          <cell r="AF740"/>
        </row>
        <row r="741">
          <cell r="Y741">
            <v>725</v>
          </cell>
          <cell r="Z741">
            <v>7.6752064749598503E-2</v>
          </cell>
          <cell r="AA741">
            <v>-0.24125146285944105</v>
          </cell>
          <cell r="AB741"/>
          <cell r="AC741" t="e">
            <v>#N/A</v>
          </cell>
          <cell r="AD741">
            <v>654</v>
          </cell>
          <cell r="AE741" t="e">
            <v>#N/A</v>
          </cell>
          <cell r="AF741"/>
        </row>
        <row r="742">
          <cell r="Y742">
            <v>726</v>
          </cell>
          <cell r="Z742">
            <v>0.64527282677590847</v>
          </cell>
          <cell r="AA742">
            <v>6.2979039029597353E-2</v>
          </cell>
          <cell r="AB742"/>
          <cell r="AC742" t="e">
            <v>#N/A</v>
          </cell>
          <cell r="AD742">
            <v>655</v>
          </cell>
          <cell r="AE742" t="e">
            <v>#N/A</v>
          </cell>
          <cell r="AF742"/>
        </row>
        <row r="743">
          <cell r="Y743">
            <v>727</v>
          </cell>
          <cell r="Z743">
            <v>0.6563058327883482</v>
          </cell>
          <cell r="AA743">
            <v>6.801832122711203E-2</v>
          </cell>
          <cell r="AB743"/>
          <cell r="AC743" t="e">
            <v>#N/A</v>
          </cell>
          <cell r="AD743">
            <v>656</v>
          </cell>
          <cell r="AE743" t="e">
            <v>#N/A</v>
          </cell>
          <cell r="AF743"/>
        </row>
        <row r="744">
          <cell r="Y744">
            <v>728</v>
          </cell>
          <cell r="Z744">
            <v>0.85985930822789669</v>
          </cell>
          <cell r="AA744">
            <v>0.18250048874243197</v>
          </cell>
          <cell r="AB744"/>
          <cell r="AC744" t="e">
            <v>#N/A</v>
          </cell>
          <cell r="AD744">
            <v>657</v>
          </cell>
          <cell r="AE744" t="e">
            <v>#N/A</v>
          </cell>
          <cell r="AF744"/>
        </row>
        <row r="745">
          <cell r="Y745">
            <v>729</v>
          </cell>
          <cell r="Z745">
            <v>0.2604499738663435</v>
          </cell>
          <cell r="AA745">
            <v>-0.10851083870477321</v>
          </cell>
          <cell r="AB745"/>
          <cell r="AC745" t="e">
            <v>#N/A</v>
          </cell>
          <cell r="AD745">
            <v>658</v>
          </cell>
          <cell r="AE745" t="e">
            <v>#N/A</v>
          </cell>
          <cell r="AF745"/>
        </row>
        <row r="746">
          <cell r="Y746">
            <v>730</v>
          </cell>
          <cell r="Z746">
            <v>0.12451309524476528</v>
          </cell>
          <cell r="AA746">
            <v>-0.19484488811503656</v>
          </cell>
          <cell r="AB746"/>
          <cell r="AC746" t="e">
            <v>#N/A</v>
          </cell>
          <cell r="AD746">
            <v>659</v>
          </cell>
          <cell r="AE746" t="e">
            <v>#N/A</v>
          </cell>
          <cell r="AF746"/>
        </row>
        <row r="747">
          <cell r="Y747">
            <v>731</v>
          </cell>
          <cell r="Z747">
            <v>0.57111789099872112</v>
          </cell>
          <cell r="AA747">
            <v>3.0293868893977706E-2</v>
          </cell>
          <cell r="AB747"/>
          <cell r="AC747" t="e">
            <v>#N/A</v>
          </cell>
          <cell r="AD747">
            <v>660</v>
          </cell>
          <cell r="AE747" t="e">
            <v>#N/A</v>
          </cell>
          <cell r="AF747"/>
        </row>
        <row r="748">
          <cell r="Y748">
            <v>732</v>
          </cell>
          <cell r="Z748">
            <v>0.33451979421079159</v>
          </cell>
          <cell r="AA748">
            <v>-7.2255024348517882E-2</v>
          </cell>
          <cell r="AB748"/>
          <cell r="AC748" t="e">
            <v>#N/A</v>
          </cell>
          <cell r="AD748">
            <v>661</v>
          </cell>
          <cell r="AE748" t="e">
            <v>#N/A</v>
          </cell>
          <cell r="AF748"/>
        </row>
        <row r="749">
          <cell r="Y749">
            <v>733</v>
          </cell>
          <cell r="Z749">
            <v>0.29086524061858654</v>
          </cell>
          <cell r="AA749">
            <v>-9.3112129530005819E-2</v>
          </cell>
          <cell r="AB749"/>
          <cell r="AC749" t="e">
            <v>#N/A</v>
          </cell>
          <cell r="AD749">
            <v>662</v>
          </cell>
          <cell r="AE749" t="e">
            <v>#N/A</v>
          </cell>
          <cell r="AF749"/>
        </row>
        <row r="750">
          <cell r="Y750">
            <v>734</v>
          </cell>
          <cell r="Z750">
            <v>0.1874339934438467</v>
          </cell>
          <cell r="AA750">
            <v>-0.14999659416833505</v>
          </cell>
          <cell r="AB750"/>
          <cell r="AC750" t="e">
            <v>#N/A</v>
          </cell>
          <cell r="AD750">
            <v>663</v>
          </cell>
          <cell r="AE750" t="e">
            <v>#N/A</v>
          </cell>
          <cell r="AF750"/>
        </row>
        <row r="751">
          <cell r="Y751">
            <v>735</v>
          </cell>
          <cell r="Z751">
            <v>0.37108038179576397</v>
          </cell>
          <cell r="AA751">
            <v>-5.5610014915172007E-2</v>
          </cell>
          <cell r="AB751"/>
          <cell r="AC751" t="e">
            <v>#N/A</v>
          </cell>
          <cell r="AD751">
            <v>664</v>
          </cell>
          <cell r="AE751" t="e">
            <v>#N/A</v>
          </cell>
          <cell r="AF751"/>
        </row>
        <row r="752">
          <cell r="Y752">
            <v>736</v>
          </cell>
          <cell r="Z752">
            <v>0.64200260303914547</v>
          </cell>
          <cell r="AA752">
            <v>6.1496268414933504E-2</v>
          </cell>
          <cell r="AB752"/>
          <cell r="AC752" t="e">
            <v>#N/A</v>
          </cell>
          <cell r="AD752">
            <v>665</v>
          </cell>
          <cell r="AE752" t="e">
            <v>#N/A</v>
          </cell>
          <cell r="AF752"/>
        </row>
        <row r="753">
          <cell r="Y753">
            <v>737</v>
          </cell>
          <cell r="Z753">
            <v>0.37642529420554638</v>
          </cell>
          <cell r="AA753">
            <v>-5.3224919431881339E-2</v>
          </cell>
          <cell r="AB753"/>
          <cell r="AC753" t="e">
            <v>#N/A</v>
          </cell>
          <cell r="AD753">
            <v>666</v>
          </cell>
          <cell r="AE753" t="e">
            <v>#N/A</v>
          </cell>
          <cell r="AF753"/>
        </row>
        <row r="754">
          <cell r="Y754">
            <v>738</v>
          </cell>
          <cell r="Z754">
            <v>0.83558428846299648</v>
          </cell>
          <cell r="AA754">
            <v>0.16505361794770684</v>
          </cell>
          <cell r="AB754"/>
          <cell r="AC754" t="e">
            <v>#N/A</v>
          </cell>
          <cell r="AD754">
            <v>667</v>
          </cell>
          <cell r="AE754" t="e">
            <v>#N/A</v>
          </cell>
          <cell r="AF754"/>
        </row>
        <row r="755">
          <cell r="Y755">
            <v>739</v>
          </cell>
          <cell r="Z755">
            <v>0.74722571484744549</v>
          </cell>
          <cell r="AA755">
            <v>0.11253819547500021</v>
          </cell>
          <cell r="AB755"/>
          <cell r="AC755" t="e">
            <v>#N/A</v>
          </cell>
          <cell r="AD755">
            <v>668</v>
          </cell>
          <cell r="AE755" t="e">
            <v>#N/A</v>
          </cell>
          <cell r="AF755"/>
        </row>
        <row r="756">
          <cell r="Y756">
            <v>740</v>
          </cell>
          <cell r="Z756">
            <v>0.86240874789655209</v>
          </cell>
          <cell r="AA756">
            <v>0.18444738043408052</v>
          </cell>
          <cell r="AB756"/>
          <cell r="AC756" t="e">
            <v>#N/A</v>
          </cell>
          <cell r="AD756">
            <v>669</v>
          </cell>
          <cell r="AE756" t="e">
            <v>#N/A</v>
          </cell>
          <cell r="AF756"/>
        </row>
        <row r="757">
          <cell r="Y757">
            <v>741</v>
          </cell>
          <cell r="Z757">
            <v>0.69027924351394176</v>
          </cell>
          <cell r="AA757">
            <v>8.3947823913484404E-2</v>
          </cell>
          <cell r="AB757"/>
          <cell r="AC757" t="e">
            <v>#N/A</v>
          </cell>
          <cell r="AD757">
            <v>670</v>
          </cell>
          <cell r="AE757" t="e">
            <v>#N/A</v>
          </cell>
          <cell r="AF757"/>
        </row>
        <row r="758">
          <cell r="Y758">
            <v>742</v>
          </cell>
          <cell r="Z758">
            <v>0.40876958332955837</v>
          </cell>
          <cell r="AA758">
            <v>-3.899731159890775E-2</v>
          </cell>
          <cell r="AB758"/>
          <cell r="AC758" t="e">
            <v>#N/A</v>
          </cell>
          <cell r="AD758">
            <v>671</v>
          </cell>
          <cell r="AE758" t="e">
            <v>#N/A</v>
          </cell>
          <cell r="AF758"/>
        </row>
        <row r="759">
          <cell r="Y759">
            <v>743</v>
          </cell>
          <cell r="Z759">
            <v>0.14730016700923443</v>
          </cell>
          <cell r="AA759">
            <v>-0.17715837380695215</v>
          </cell>
          <cell r="AB759"/>
          <cell r="AC759" t="e">
            <v>#N/A</v>
          </cell>
          <cell r="AD759">
            <v>672</v>
          </cell>
          <cell r="AE759" t="e">
            <v>#N/A</v>
          </cell>
          <cell r="AF759"/>
        </row>
        <row r="760">
          <cell r="Y760">
            <v>744</v>
          </cell>
          <cell r="Z760">
            <v>0.58499451540410519</v>
          </cell>
          <cell r="AA760">
            <v>3.6288810750620543E-2</v>
          </cell>
          <cell r="AB760"/>
          <cell r="AC760" t="e">
            <v>#N/A</v>
          </cell>
          <cell r="AD760">
            <v>673</v>
          </cell>
          <cell r="AE760" t="e">
            <v>#N/A</v>
          </cell>
          <cell r="AF760"/>
        </row>
        <row r="761">
          <cell r="Y761">
            <v>745</v>
          </cell>
          <cell r="Z761">
            <v>0.75896975211799145</v>
          </cell>
          <cell r="AA761">
            <v>0.11882740086959295</v>
          </cell>
          <cell r="AB761"/>
          <cell r="AC761" t="e">
            <v>#N/A</v>
          </cell>
          <cell r="AD761">
            <v>674</v>
          </cell>
          <cell r="AE761" t="e">
            <v>#N/A</v>
          </cell>
          <cell r="AF761"/>
        </row>
        <row r="762">
          <cell r="Y762">
            <v>746</v>
          </cell>
          <cell r="Z762">
            <v>0.38778669200837612</v>
          </cell>
          <cell r="AA762">
            <v>-4.8189404011250381E-2</v>
          </cell>
          <cell r="AB762"/>
          <cell r="AC762" t="e">
            <v>#N/A</v>
          </cell>
          <cell r="AD762">
            <v>675</v>
          </cell>
          <cell r="AE762" t="e">
            <v>#N/A</v>
          </cell>
          <cell r="AF762"/>
        </row>
        <row r="763">
          <cell r="Y763">
            <v>747</v>
          </cell>
          <cell r="Z763">
            <v>0.96131075732409954</v>
          </cell>
          <cell r="AA763">
            <v>0.2985259785190113</v>
          </cell>
          <cell r="AB763"/>
          <cell r="AC763" t="e">
            <v>#N/A</v>
          </cell>
          <cell r="AD763">
            <v>676</v>
          </cell>
          <cell r="AE763" t="e">
            <v>#N/A</v>
          </cell>
          <cell r="AF763"/>
        </row>
        <row r="764">
          <cell r="Y764">
            <v>748</v>
          </cell>
          <cell r="Z764">
            <v>7.0280840620398521E-2</v>
          </cell>
          <cell r="AA764">
            <v>-0.24910120531930119</v>
          </cell>
          <cell r="AB764"/>
          <cell r="AC764" t="e">
            <v>#N/A</v>
          </cell>
          <cell r="AD764">
            <v>677</v>
          </cell>
          <cell r="AE764" t="e">
            <v>#N/A</v>
          </cell>
          <cell r="AF764"/>
        </row>
        <row r="765">
          <cell r="Y765">
            <v>749</v>
          </cell>
          <cell r="Z765">
            <v>0.31985491327941418</v>
          </cell>
          <cell r="AA765">
            <v>-7.912411019684952E-2</v>
          </cell>
          <cell r="AB765"/>
          <cell r="AC765" t="e">
            <v>#N/A</v>
          </cell>
          <cell r="AD765">
            <v>678</v>
          </cell>
          <cell r="AE765" t="e">
            <v>#N/A</v>
          </cell>
          <cell r="AF765"/>
        </row>
        <row r="766">
          <cell r="Y766">
            <v>750</v>
          </cell>
          <cell r="Z766">
            <v>0.29090801440179348</v>
          </cell>
          <cell r="AA766">
            <v>-9.3091037859254225E-2</v>
          </cell>
          <cell r="AB766"/>
          <cell r="AC766" t="e">
            <v>#N/A</v>
          </cell>
          <cell r="AD766">
            <v>679</v>
          </cell>
          <cell r="AE766" t="e">
            <v>#N/A</v>
          </cell>
          <cell r="AF766"/>
        </row>
        <row r="767">
          <cell r="Y767">
            <v>751</v>
          </cell>
          <cell r="Z767">
            <v>0.92582212202250957</v>
          </cell>
          <cell r="AA767">
            <v>0.24431105494939198</v>
          </cell>
          <cell r="AB767"/>
          <cell r="AC767" t="e">
            <v>#N/A</v>
          </cell>
          <cell r="AD767">
            <v>680</v>
          </cell>
          <cell r="AE767" t="e">
            <v>#N/A</v>
          </cell>
          <cell r="AF767"/>
        </row>
        <row r="768">
          <cell r="Y768">
            <v>752</v>
          </cell>
          <cell r="Z768">
            <v>0.25591268204152584</v>
          </cell>
          <cell r="AA768">
            <v>-0.11088391249938438</v>
          </cell>
          <cell r="AB768"/>
          <cell r="AC768" t="e">
            <v>#N/A</v>
          </cell>
          <cell r="AD768">
            <v>681</v>
          </cell>
          <cell r="AE768" t="e">
            <v>#N/A</v>
          </cell>
          <cell r="AF768"/>
        </row>
        <row r="769">
          <cell r="Y769">
            <v>753</v>
          </cell>
          <cell r="Z769">
            <v>0.1472801249474287</v>
          </cell>
          <cell r="AA769">
            <v>-0.17717308167102772</v>
          </cell>
          <cell r="AB769"/>
          <cell r="AC769" t="e">
            <v>#N/A</v>
          </cell>
          <cell r="AD769">
            <v>682</v>
          </cell>
          <cell r="AE769" t="e">
            <v>#N/A</v>
          </cell>
          <cell r="AF769"/>
        </row>
        <row r="770">
          <cell r="Y770">
            <v>754</v>
          </cell>
          <cell r="Z770">
            <v>0.1641159113496542</v>
          </cell>
          <cell r="AA770">
            <v>-0.16525835356178434</v>
          </cell>
          <cell r="AB770"/>
          <cell r="AC770" t="e">
            <v>#N/A</v>
          </cell>
          <cell r="AD770">
            <v>683</v>
          </cell>
          <cell r="AE770" t="e">
            <v>#N/A</v>
          </cell>
          <cell r="AF770"/>
        </row>
        <row r="771">
          <cell r="Y771">
            <v>755</v>
          </cell>
          <cell r="Z771">
            <v>0.24700338952243328</v>
          </cell>
          <cell r="AA771">
            <v>-0.11560863988639788</v>
          </cell>
          <cell r="AB771"/>
          <cell r="AC771" t="e">
            <v>#N/A</v>
          </cell>
          <cell r="AD771">
            <v>684</v>
          </cell>
          <cell r="AE771" t="e">
            <v>#N/A</v>
          </cell>
          <cell r="AF771"/>
        </row>
        <row r="772">
          <cell r="Y772">
            <v>756</v>
          </cell>
          <cell r="Z772">
            <v>0.10626839660108089</v>
          </cell>
          <cell r="AA772">
            <v>-0.2107172723916291</v>
          </cell>
          <cell r="AB772"/>
          <cell r="AC772" t="e">
            <v>#N/A</v>
          </cell>
          <cell r="AD772">
            <v>685</v>
          </cell>
          <cell r="AE772" t="e">
            <v>#N/A</v>
          </cell>
          <cell r="AF772"/>
        </row>
        <row r="773">
          <cell r="Y773">
            <v>757</v>
          </cell>
          <cell r="Z773">
            <v>0.34749996475875378</v>
          </cell>
          <cell r="AA773">
            <v>-6.6273427305607785E-2</v>
          </cell>
          <cell r="AB773"/>
          <cell r="AC773" t="e">
            <v>#N/A</v>
          </cell>
          <cell r="AD773">
            <v>686</v>
          </cell>
          <cell r="AE773" t="e">
            <v>#N/A</v>
          </cell>
          <cell r="AF773"/>
        </row>
        <row r="774">
          <cell r="Y774">
            <v>758</v>
          </cell>
          <cell r="Z774">
            <v>0.16508707962930202</v>
          </cell>
          <cell r="AA774">
            <v>-0.16459601200790278</v>
          </cell>
          <cell r="AB774"/>
          <cell r="AC774" t="e">
            <v>#N/A</v>
          </cell>
          <cell r="AD774">
            <v>687</v>
          </cell>
          <cell r="AE774" t="e">
            <v>#N/A</v>
          </cell>
          <cell r="AF774"/>
        </row>
        <row r="775">
          <cell r="Y775">
            <v>759</v>
          </cell>
          <cell r="Z775">
            <v>0.94242505542933941</v>
          </cell>
          <cell r="AA775">
            <v>0.26630164874716233</v>
          </cell>
          <cell r="AB775"/>
          <cell r="AC775" t="e">
            <v>#N/A</v>
          </cell>
          <cell r="AD775">
            <v>688</v>
          </cell>
          <cell r="AE775" t="e">
            <v>#N/A</v>
          </cell>
          <cell r="AF775"/>
        </row>
        <row r="776">
          <cell r="Y776">
            <v>760</v>
          </cell>
          <cell r="Z776">
            <v>0.80581911467015743</v>
          </cell>
          <cell r="AA776">
            <v>0.14580467814289655</v>
          </cell>
          <cell r="AB776"/>
          <cell r="AC776" t="e">
            <v>#N/A</v>
          </cell>
          <cell r="AD776">
            <v>689</v>
          </cell>
          <cell r="AE776" t="e">
            <v>#N/A</v>
          </cell>
          <cell r="AF776"/>
        </row>
        <row r="777">
          <cell r="Y777">
            <v>761</v>
          </cell>
          <cell r="Z777">
            <v>0.62235006503760815</v>
          </cell>
          <cell r="AA777">
            <v>5.2679946015809179E-2</v>
          </cell>
          <cell r="AB777"/>
          <cell r="AC777" t="e">
            <v>#N/A</v>
          </cell>
          <cell r="AD777">
            <v>690</v>
          </cell>
          <cell r="AE777" t="e">
            <v>#N/A</v>
          </cell>
          <cell r="AF777"/>
        </row>
        <row r="778">
          <cell r="Y778">
            <v>762</v>
          </cell>
          <cell r="Z778">
            <v>0.74092692695558071</v>
          </cell>
          <cell r="AA778">
            <v>0.10922870000879327</v>
          </cell>
          <cell r="AB778"/>
          <cell r="AC778" t="e">
            <v>#N/A</v>
          </cell>
          <cell r="AD778">
            <v>691</v>
          </cell>
          <cell r="AE778" t="e">
            <v>#N/A</v>
          </cell>
          <cell r="AF778"/>
        </row>
        <row r="779">
          <cell r="Y779">
            <v>763</v>
          </cell>
          <cell r="Z779">
            <v>0.90160585753619671</v>
          </cell>
          <cell r="AA779">
            <v>0.21817759213434926</v>
          </cell>
          <cell r="AB779"/>
          <cell r="AC779" t="e">
            <v>#N/A</v>
          </cell>
          <cell r="AD779">
            <v>692</v>
          </cell>
          <cell r="AE779" t="e">
            <v>#N/A</v>
          </cell>
          <cell r="AF779"/>
        </row>
        <row r="780">
          <cell r="Y780">
            <v>764</v>
          </cell>
          <cell r="Z780">
            <v>0.29623811505734921</v>
          </cell>
          <cell r="AA780">
            <v>-9.0473950178781168E-2</v>
          </cell>
          <cell r="AB780"/>
          <cell r="AC780" t="e">
            <v>#N/A</v>
          </cell>
          <cell r="AD780">
            <v>693</v>
          </cell>
          <cell r="AE780" t="e">
            <v>#N/A</v>
          </cell>
          <cell r="AF780"/>
        </row>
        <row r="781">
          <cell r="Y781">
            <v>765</v>
          </cell>
          <cell r="Z781">
            <v>1.6689877957105637E-3</v>
          </cell>
          <cell r="AA781">
            <v>-0.49606626954296934</v>
          </cell>
          <cell r="AB781"/>
          <cell r="AC781" t="e">
            <v>#N/A</v>
          </cell>
          <cell r="AD781">
            <v>694</v>
          </cell>
          <cell r="AE781" t="e">
            <v>#N/A</v>
          </cell>
          <cell r="AF781"/>
        </row>
        <row r="782">
          <cell r="Y782">
            <v>766</v>
          </cell>
          <cell r="Z782">
            <v>0.89965394698083401</v>
          </cell>
          <cell r="AA782">
            <v>0.21628887161613602</v>
          </cell>
          <cell r="AB782"/>
          <cell r="AC782" t="e">
            <v>#N/A</v>
          </cell>
          <cell r="AD782">
            <v>695</v>
          </cell>
          <cell r="AE782" t="e">
            <v>#N/A</v>
          </cell>
          <cell r="AF782"/>
        </row>
        <row r="783">
          <cell r="Y783">
            <v>767</v>
          </cell>
          <cell r="Z783">
            <v>0.16530965082347393</v>
          </cell>
          <cell r="AA783">
            <v>-0.16444457303194532</v>
          </cell>
          <cell r="AB783"/>
          <cell r="AC783" t="e">
            <v>#N/A</v>
          </cell>
          <cell r="AD783">
            <v>696</v>
          </cell>
          <cell r="AE783" t="e">
            <v>#N/A</v>
          </cell>
          <cell r="AF783"/>
        </row>
        <row r="784">
          <cell r="Y784">
            <v>768</v>
          </cell>
          <cell r="Z784">
            <v>0.65726020000874996</v>
          </cell>
          <cell r="AA784">
            <v>6.8457014248044901E-2</v>
          </cell>
          <cell r="AB784"/>
          <cell r="AC784" t="e">
            <v>#N/A</v>
          </cell>
          <cell r="AD784">
            <v>697</v>
          </cell>
          <cell r="AE784" t="e">
            <v>#N/A</v>
          </cell>
          <cell r="AF784"/>
        </row>
        <row r="785">
          <cell r="Y785">
            <v>769</v>
          </cell>
          <cell r="Z785">
            <v>0.54447009973227978</v>
          </cell>
          <cell r="AA785">
            <v>1.888106129216988E-2</v>
          </cell>
          <cell r="AB785"/>
          <cell r="AC785" t="e">
            <v>#N/A</v>
          </cell>
          <cell r="AD785">
            <v>698</v>
          </cell>
          <cell r="AE785" t="e">
            <v>#N/A</v>
          </cell>
          <cell r="AF785"/>
        </row>
        <row r="786">
          <cell r="Y786">
            <v>770</v>
          </cell>
          <cell r="Z786">
            <v>7.5434094294905663E-2</v>
          </cell>
          <cell r="AA786">
            <v>-0.24280801892652784</v>
          </cell>
          <cell r="AB786"/>
          <cell r="AC786" t="e">
            <v>#N/A</v>
          </cell>
          <cell r="AD786">
            <v>699</v>
          </cell>
          <cell r="AE786" t="e">
            <v>#N/A</v>
          </cell>
          <cell r="AF786"/>
        </row>
        <row r="787">
          <cell r="Y787">
            <v>771</v>
          </cell>
          <cell r="Z787">
            <v>0.92359228245913982</v>
          </cell>
          <cell r="AA787">
            <v>0.24165617003238898</v>
          </cell>
          <cell r="AB787"/>
          <cell r="AC787" t="e">
            <v>#N/A</v>
          </cell>
          <cell r="AD787">
            <v>700</v>
          </cell>
          <cell r="AE787" t="e">
            <v>#N/A</v>
          </cell>
          <cell r="AF787"/>
        </row>
        <row r="788">
          <cell r="Y788">
            <v>772</v>
          </cell>
          <cell r="Z788">
            <v>0.83129107020795345</v>
          </cell>
          <cell r="AA788">
            <v>0.16214786382605348</v>
          </cell>
          <cell r="AB788"/>
          <cell r="AC788" t="e">
            <v>#N/A</v>
          </cell>
          <cell r="AD788">
            <v>701</v>
          </cell>
          <cell r="AE788" t="e">
            <v>#N/A</v>
          </cell>
          <cell r="AF788"/>
        </row>
        <row r="789">
          <cell r="Y789">
            <v>773</v>
          </cell>
          <cell r="Z789">
            <v>0.50886344723403454</v>
          </cell>
          <cell r="AA789">
            <v>3.7557295318909043E-3</v>
          </cell>
          <cell r="AB789"/>
          <cell r="AC789" t="e">
            <v>#N/A</v>
          </cell>
          <cell r="AD789">
            <v>702</v>
          </cell>
          <cell r="AE789" t="e">
            <v>#N/A</v>
          </cell>
          <cell r="AF789"/>
        </row>
        <row r="790">
          <cell r="Y790">
            <v>774</v>
          </cell>
          <cell r="Z790">
            <v>8.7565159425139427E-2</v>
          </cell>
          <cell r="AA790">
            <v>-0.22918928598827165</v>
          </cell>
          <cell r="AB790"/>
          <cell r="AC790" t="e">
            <v>#N/A</v>
          </cell>
          <cell r="AD790">
            <v>703</v>
          </cell>
          <cell r="AE790" t="e">
            <v>#N/A</v>
          </cell>
          <cell r="AF790"/>
        </row>
        <row r="791">
          <cell r="Y791">
            <v>775</v>
          </cell>
          <cell r="Z791">
            <v>0.73259846679866314</v>
          </cell>
          <cell r="AA791">
            <v>0.10491589856533885</v>
          </cell>
          <cell r="AB791"/>
          <cell r="AC791" t="e">
            <v>#N/A</v>
          </cell>
          <cell r="AD791">
            <v>704</v>
          </cell>
          <cell r="AE791" t="e">
            <v>#N/A</v>
          </cell>
          <cell r="AF791"/>
        </row>
        <row r="792">
          <cell r="Y792">
            <v>776</v>
          </cell>
          <cell r="Z792">
            <v>0.19176669977605343</v>
          </cell>
          <cell r="AA792">
            <v>-0.14729422248963633</v>
          </cell>
          <cell r="AB792"/>
          <cell r="AC792" t="e">
            <v>#N/A</v>
          </cell>
          <cell r="AD792">
            <v>705</v>
          </cell>
          <cell r="AE792" t="e">
            <v>#N/A</v>
          </cell>
          <cell r="AF792"/>
        </row>
        <row r="793">
          <cell r="Y793">
            <v>777</v>
          </cell>
          <cell r="Z793">
            <v>0.4907276313751936</v>
          </cell>
          <cell r="AA793">
            <v>-3.9290332850281124E-3</v>
          </cell>
          <cell r="AB793"/>
          <cell r="AC793" t="e">
            <v>#N/A</v>
          </cell>
          <cell r="AD793">
            <v>706</v>
          </cell>
          <cell r="AE793" t="e">
            <v>#N/A</v>
          </cell>
          <cell r="AF793"/>
        </row>
        <row r="794">
          <cell r="Y794">
            <v>778</v>
          </cell>
          <cell r="Z794">
            <v>0.69321114383637905</v>
          </cell>
          <cell r="AA794">
            <v>8.5356036976348443E-2</v>
          </cell>
          <cell r="AB794"/>
          <cell r="AC794" t="e">
            <v>#N/A</v>
          </cell>
          <cell r="AD794">
            <v>707</v>
          </cell>
          <cell r="AE794" t="e">
            <v>#N/A</v>
          </cell>
          <cell r="AF794"/>
        </row>
        <row r="795">
          <cell r="Y795">
            <v>779</v>
          </cell>
          <cell r="Z795">
            <v>0.45010866038501263</v>
          </cell>
          <cell r="AA795">
            <v>-2.1194241119575831E-2</v>
          </cell>
          <cell r="AB795"/>
          <cell r="AC795" t="e">
            <v>#N/A</v>
          </cell>
          <cell r="AD795">
            <v>708</v>
          </cell>
          <cell r="AE795" t="e">
            <v>#N/A</v>
          </cell>
          <cell r="AF795"/>
        </row>
        <row r="796">
          <cell r="Y796">
            <v>780</v>
          </cell>
          <cell r="Z796">
            <v>0.45526271127164364</v>
          </cell>
          <cell r="AA796">
            <v>-1.8994981370018316E-2</v>
          </cell>
          <cell r="AB796"/>
          <cell r="AC796" t="e">
            <v>#N/A</v>
          </cell>
          <cell r="AD796">
            <v>709</v>
          </cell>
          <cell r="AE796" t="e">
            <v>#N/A</v>
          </cell>
          <cell r="AF796"/>
        </row>
        <row r="797">
          <cell r="Y797">
            <v>781</v>
          </cell>
          <cell r="Z797">
            <v>3.11316829174757E-2</v>
          </cell>
          <cell r="AA797">
            <v>-0.31514375297619596</v>
          </cell>
          <cell r="AB797"/>
          <cell r="AC797" t="e">
            <v>#N/A</v>
          </cell>
          <cell r="AD797">
            <v>710</v>
          </cell>
          <cell r="AE797" t="e">
            <v>#N/A</v>
          </cell>
          <cell r="AF797"/>
        </row>
        <row r="798">
          <cell r="Y798">
            <v>782</v>
          </cell>
          <cell r="Z798">
            <v>0.23388663493096828</v>
          </cell>
          <cell r="AA798">
            <v>-0.12273445878450073</v>
          </cell>
          <cell r="AB798"/>
          <cell r="AC798" t="e">
            <v>#N/A</v>
          </cell>
          <cell r="AD798">
            <v>711</v>
          </cell>
          <cell r="AE798" t="e">
            <v>#N/A</v>
          </cell>
          <cell r="AF798"/>
        </row>
        <row r="799">
          <cell r="Y799">
            <v>783</v>
          </cell>
          <cell r="Z799">
            <v>0.38983593694865704</v>
          </cell>
          <cell r="AA799">
            <v>-4.7285816764255501E-2</v>
          </cell>
          <cell r="AB799"/>
          <cell r="AC799" t="e">
            <v>#N/A</v>
          </cell>
          <cell r="AD799">
            <v>712</v>
          </cell>
          <cell r="AE799" t="e">
            <v>#N/A</v>
          </cell>
          <cell r="AF799"/>
        </row>
        <row r="800">
          <cell r="Y800">
            <v>784</v>
          </cell>
          <cell r="Z800">
            <v>0.43735375069081783</v>
          </cell>
          <cell r="AA800">
            <v>-2.6653097665686659E-2</v>
          </cell>
          <cell r="AB800"/>
          <cell r="AC800" t="e">
            <v>#N/A</v>
          </cell>
          <cell r="AD800">
            <v>713</v>
          </cell>
          <cell r="AE800" t="e">
            <v>#N/A</v>
          </cell>
          <cell r="AF800"/>
        </row>
        <row r="801">
          <cell r="Y801">
            <v>785</v>
          </cell>
          <cell r="Z801">
            <v>0.1925069373100996</v>
          </cell>
          <cell r="AA801">
            <v>-0.14683628668360366</v>
          </cell>
          <cell r="AB801"/>
          <cell r="AC801" t="e">
            <v>#N/A</v>
          </cell>
          <cell r="AD801">
            <v>714</v>
          </cell>
          <cell r="AE801" t="e">
            <v>#N/A</v>
          </cell>
          <cell r="AF801"/>
        </row>
        <row r="802">
          <cell r="Y802">
            <v>786</v>
          </cell>
          <cell r="Z802">
            <v>0.87569118104875088</v>
          </cell>
          <cell r="AA802">
            <v>0.19501317853663239</v>
          </cell>
          <cell r="AB802"/>
          <cell r="AC802" t="e">
            <v>#N/A</v>
          </cell>
          <cell r="AD802">
            <v>715</v>
          </cell>
          <cell r="AE802" t="e">
            <v>#N/A</v>
          </cell>
          <cell r="AF802"/>
        </row>
        <row r="803">
          <cell r="Y803">
            <v>787</v>
          </cell>
          <cell r="Z803">
            <v>0.19447286240756512</v>
          </cell>
          <cell r="AA803">
            <v>-0.14562529664341667</v>
          </cell>
          <cell r="AB803"/>
          <cell r="AC803" t="e">
            <v>#N/A</v>
          </cell>
          <cell r="AD803">
            <v>716</v>
          </cell>
          <cell r="AE803" t="e">
            <v>#N/A</v>
          </cell>
          <cell r="AF803"/>
        </row>
        <row r="804">
          <cell r="Y804">
            <v>788</v>
          </cell>
          <cell r="Z804">
            <v>0.15222286246716976</v>
          </cell>
          <cell r="AA804">
            <v>-0.17358561629849059</v>
          </cell>
          <cell r="AB804"/>
          <cell r="AC804" t="e">
            <v>#N/A</v>
          </cell>
          <cell r="AD804">
            <v>717</v>
          </cell>
          <cell r="AE804" t="e">
            <v>#N/A</v>
          </cell>
          <cell r="AF804"/>
        </row>
        <row r="805">
          <cell r="Y805">
            <v>789</v>
          </cell>
          <cell r="Z805">
            <v>0.60356890968978405</v>
          </cell>
          <cell r="AA805">
            <v>4.4386782095521431E-2</v>
          </cell>
          <cell r="AB805"/>
          <cell r="AC805" t="e">
            <v>#N/A</v>
          </cell>
          <cell r="AD805">
            <v>718</v>
          </cell>
          <cell r="AE805" t="e">
            <v>#N/A</v>
          </cell>
          <cell r="AF805"/>
        </row>
        <row r="806">
          <cell r="Y806">
            <v>790</v>
          </cell>
          <cell r="Z806">
            <v>0.94329366646707058</v>
          </cell>
          <cell r="AA806">
            <v>0.26758236138781188</v>
          </cell>
          <cell r="AB806"/>
          <cell r="AC806" t="e">
            <v>#N/A</v>
          </cell>
          <cell r="AD806">
            <v>719</v>
          </cell>
          <cell r="AE806" t="e">
            <v>#N/A</v>
          </cell>
          <cell r="AF806"/>
        </row>
        <row r="807">
          <cell r="Y807">
            <v>791</v>
          </cell>
          <cell r="Z807">
            <v>0.92748836986720562</v>
          </cell>
          <cell r="AA807">
            <v>0.2463349854562612</v>
          </cell>
          <cell r="AB807"/>
          <cell r="AC807" t="e">
            <v>#N/A</v>
          </cell>
          <cell r="AD807">
            <v>720</v>
          </cell>
          <cell r="AE807" t="e">
            <v>#N/A</v>
          </cell>
          <cell r="AF807"/>
        </row>
        <row r="808">
          <cell r="Y808">
            <v>792</v>
          </cell>
          <cell r="Z808">
            <v>0.75602086447179317</v>
          </cell>
          <cell r="AA808">
            <v>0.11723301407892017</v>
          </cell>
          <cell r="AB808"/>
          <cell r="AC808" t="e">
            <v>#N/A</v>
          </cell>
          <cell r="AD808">
            <v>721</v>
          </cell>
          <cell r="AE808" t="e">
            <v>#N/A</v>
          </cell>
          <cell r="AF808"/>
        </row>
        <row r="809">
          <cell r="Y809">
            <v>793</v>
          </cell>
          <cell r="Z809">
            <v>0.4729891698807478</v>
          </cell>
          <cell r="AA809">
            <v>-1.1453179290353201E-2</v>
          </cell>
          <cell r="AB809"/>
          <cell r="AC809" t="e">
            <v>#N/A</v>
          </cell>
          <cell r="AD809">
            <v>722</v>
          </cell>
          <cell r="AE809" t="e">
            <v>#N/A</v>
          </cell>
          <cell r="AF809"/>
        </row>
        <row r="810">
          <cell r="Y810">
            <v>794</v>
          </cell>
          <cell r="Z810">
            <v>0.84766668640077114</v>
          </cell>
          <cell r="AA810">
            <v>0.17350634260785722</v>
          </cell>
          <cell r="AB810"/>
          <cell r="AC810" t="e">
            <v>#N/A</v>
          </cell>
          <cell r="AD810">
            <v>723</v>
          </cell>
          <cell r="AE810" t="e">
            <v>#N/A</v>
          </cell>
          <cell r="AF810"/>
        </row>
        <row r="811">
          <cell r="Y811">
            <v>795</v>
          </cell>
          <cell r="Z811">
            <v>0.88367463462054729</v>
          </cell>
          <cell r="AA811">
            <v>0.20174820243321584</v>
          </cell>
          <cell r="AB811"/>
          <cell r="AC811" t="e">
            <v>#N/A</v>
          </cell>
          <cell r="AD811">
            <v>724</v>
          </cell>
          <cell r="AE811" t="e">
            <v>#N/A</v>
          </cell>
          <cell r="AF811"/>
        </row>
        <row r="812">
          <cell r="Y812">
            <v>796</v>
          </cell>
          <cell r="Z812">
            <v>0.83397572301328182</v>
          </cell>
          <cell r="AA812">
            <v>0.16395922622736472</v>
          </cell>
          <cell r="AB812"/>
          <cell r="AC812" t="e">
            <v>#N/A</v>
          </cell>
          <cell r="AD812">
            <v>725</v>
          </cell>
          <cell r="AE812" t="e">
            <v>#N/A</v>
          </cell>
          <cell r="AF812"/>
        </row>
        <row r="813">
          <cell r="Y813">
            <v>797</v>
          </cell>
          <cell r="Z813">
            <v>7.1817217394709587E-2</v>
          </cell>
          <cell r="AA813">
            <v>-0.24718898500059455</v>
          </cell>
          <cell r="AB813"/>
          <cell r="AC813" t="e">
            <v>#N/A</v>
          </cell>
          <cell r="AD813">
            <v>726</v>
          </cell>
          <cell r="AE813" t="e">
            <v>#N/A</v>
          </cell>
          <cell r="AF813"/>
        </row>
        <row r="814">
          <cell r="Y814">
            <v>798</v>
          </cell>
          <cell r="Z814">
            <v>0.10757092200219631</v>
          </cell>
          <cell r="AA814">
            <v>-0.20952220962257637</v>
          </cell>
          <cell r="AB814"/>
          <cell r="AC814" t="e">
            <v>#N/A</v>
          </cell>
          <cell r="AD814">
            <v>727</v>
          </cell>
          <cell r="AE814" t="e">
            <v>#N/A</v>
          </cell>
          <cell r="AF814"/>
        </row>
        <row r="815">
          <cell r="Y815">
            <v>799</v>
          </cell>
          <cell r="Z815">
            <v>0.61844394914805889</v>
          </cell>
          <cell r="AA815">
            <v>5.0945320434821889E-2</v>
          </cell>
          <cell r="AB815"/>
          <cell r="AC815" t="e">
            <v>#N/A</v>
          </cell>
          <cell r="AD815">
            <v>728</v>
          </cell>
          <cell r="AE815" t="e">
            <v>#N/A</v>
          </cell>
          <cell r="AF815"/>
        </row>
        <row r="816">
          <cell r="Y816">
            <v>800</v>
          </cell>
          <cell r="Z816">
            <v>0.53125192783772945</v>
          </cell>
          <cell r="AA816">
            <v>1.3254936184161036E-2</v>
          </cell>
          <cell r="AB816"/>
          <cell r="AC816" t="e">
            <v>#N/A</v>
          </cell>
          <cell r="AD816">
            <v>729</v>
          </cell>
          <cell r="AE816" t="e">
            <v>#N/A</v>
          </cell>
          <cell r="AF816"/>
        </row>
        <row r="817">
          <cell r="Y817">
            <v>801</v>
          </cell>
          <cell r="Z817">
            <v>0.18465235643088818</v>
          </cell>
          <cell r="AA817">
            <v>-0.15175192661412015</v>
          </cell>
          <cell r="AB817"/>
          <cell r="AC817" t="e">
            <v>#N/A</v>
          </cell>
          <cell r="AD817">
            <v>730</v>
          </cell>
          <cell r="AE817" t="e">
            <v>#N/A</v>
          </cell>
          <cell r="AF817"/>
        </row>
        <row r="818">
          <cell r="Y818">
            <v>802</v>
          </cell>
          <cell r="Z818">
            <v>0.96478951536118984</v>
          </cell>
          <cell r="AA818">
            <v>0.30580949269681656</v>
          </cell>
          <cell r="AB818"/>
          <cell r="AC818" t="e">
            <v>#N/A</v>
          </cell>
          <cell r="AD818">
            <v>731</v>
          </cell>
          <cell r="AE818" t="e">
            <v>#N/A</v>
          </cell>
          <cell r="AF818"/>
        </row>
        <row r="819">
          <cell r="Y819">
            <v>803</v>
          </cell>
          <cell r="Z819">
            <v>0.69587559811770916</v>
          </cell>
          <cell r="AA819">
            <v>8.6640949982431215E-2</v>
          </cell>
          <cell r="AB819"/>
          <cell r="AC819" t="e">
            <v>#N/A</v>
          </cell>
          <cell r="AD819">
            <v>732</v>
          </cell>
          <cell r="AE819" t="e">
            <v>#N/A</v>
          </cell>
          <cell r="AF819"/>
        </row>
        <row r="820">
          <cell r="Y820">
            <v>804</v>
          </cell>
          <cell r="Z820">
            <v>2.755986712872982E-2</v>
          </cell>
          <cell r="AA820">
            <v>-0.32418954442673487</v>
          </cell>
          <cell r="AB820"/>
          <cell r="AC820" t="e">
            <v>#N/A</v>
          </cell>
          <cell r="AD820">
            <v>733</v>
          </cell>
          <cell r="AE820" t="e">
            <v>#N/A</v>
          </cell>
          <cell r="AF820"/>
        </row>
        <row r="821">
          <cell r="Y821">
            <v>805</v>
          </cell>
          <cell r="Z821">
            <v>2.9565570876002312E-2</v>
          </cell>
          <cell r="AA821">
            <v>-0.31899789911172594</v>
          </cell>
          <cell r="AB821"/>
          <cell r="AC821" t="e">
            <v>#N/A</v>
          </cell>
          <cell r="AD821">
            <v>734</v>
          </cell>
          <cell r="AE821" t="e">
            <v>#N/A</v>
          </cell>
          <cell r="AF821"/>
        </row>
        <row r="822">
          <cell r="Y822">
            <v>806</v>
          </cell>
          <cell r="Z822">
            <v>9.3112444505095482E-2</v>
          </cell>
          <cell r="AA822">
            <v>-0.22342998733615332</v>
          </cell>
          <cell r="AB822"/>
          <cell r="AC822" t="e">
            <v>#N/A</v>
          </cell>
          <cell r="AD822">
            <v>735</v>
          </cell>
          <cell r="AE822" t="e">
            <v>#N/A</v>
          </cell>
          <cell r="AF822"/>
        </row>
        <row r="823">
          <cell r="Y823">
            <v>807</v>
          </cell>
          <cell r="Z823">
            <v>0.65551273338496685</v>
          </cell>
          <cell r="AA823">
            <v>6.765410639636274E-2</v>
          </cell>
          <cell r="AB823"/>
          <cell r="AC823" t="e">
            <v>#N/A</v>
          </cell>
          <cell r="AD823">
            <v>736</v>
          </cell>
          <cell r="AE823" t="e">
            <v>#N/A</v>
          </cell>
          <cell r="AF823"/>
        </row>
        <row r="824">
          <cell r="Y824">
            <v>808</v>
          </cell>
          <cell r="Z824">
            <v>0.85551520250737667</v>
          </cell>
          <cell r="AA824">
            <v>0.17923773742266716</v>
          </cell>
          <cell r="AB824"/>
          <cell r="AC824" t="e">
            <v>#N/A</v>
          </cell>
          <cell r="AD824">
            <v>737</v>
          </cell>
          <cell r="AE824" t="e">
            <v>#N/A</v>
          </cell>
          <cell r="AF824"/>
        </row>
        <row r="825">
          <cell r="Y825">
            <v>809</v>
          </cell>
          <cell r="Z825">
            <v>0.14677139930427074</v>
          </cell>
          <cell r="AA825">
            <v>-0.17754686007865383</v>
          </cell>
          <cell r="AB825"/>
          <cell r="AC825" t="e">
            <v>#N/A</v>
          </cell>
          <cell r="AD825">
            <v>738</v>
          </cell>
          <cell r="AE825" t="e">
            <v>#N/A</v>
          </cell>
          <cell r="AF825"/>
        </row>
        <row r="826">
          <cell r="Y826">
            <v>810</v>
          </cell>
          <cell r="Z826">
            <v>0.90107089839875698</v>
          </cell>
          <cell r="AA826">
            <v>0.21765724579221821</v>
          </cell>
          <cell r="AB826"/>
          <cell r="AC826" t="e">
            <v>#N/A</v>
          </cell>
          <cell r="AD826">
            <v>739</v>
          </cell>
          <cell r="AE826" t="e">
            <v>#N/A</v>
          </cell>
          <cell r="AF826"/>
        </row>
        <row r="827">
          <cell r="Y827">
            <v>811</v>
          </cell>
          <cell r="Z827">
            <v>0.69790924899280071</v>
          </cell>
          <cell r="AA827">
            <v>8.7625038878418493E-2</v>
          </cell>
          <cell r="AB827"/>
          <cell r="AC827" t="e">
            <v>#N/A</v>
          </cell>
          <cell r="AD827">
            <v>740</v>
          </cell>
          <cell r="AE827" t="e">
            <v>#N/A</v>
          </cell>
          <cell r="AF827"/>
        </row>
        <row r="828">
          <cell r="Y828">
            <v>812</v>
          </cell>
          <cell r="Z828">
            <v>0.56274824403226376</v>
          </cell>
          <cell r="AA828">
            <v>2.6696854061123598E-2</v>
          </cell>
          <cell r="AB828"/>
          <cell r="AC828" t="e">
            <v>#N/A</v>
          </cell>
          <cell r="AD828">
            <v>741</v>
          </cell>
          <cell r="AE828" t="e">
            <v>#N/A</v>
          </cell>
          <cell r="AF828"/>
        </row>
        <row r="829">
          <cell r="Y829">
            <v>813</v>
          </cell>
          <cell r="Z829">
            <v>0.75604980997741222</v>
          </cell>
          <cell r="AA829">
            <v>0.11724861334856147</v>
          </cell>
          <cell r="AB829"/>
          <cell r="AC829" t="e">
            <v>#N/A</v>
          </cell>
          <cell r="AD829">
            <v>742</v>
          </cell>
          <cell r="AE829" t="e">
            <v>#N/A</v>
          </cell>
          <cell r="AF829"/>
        </row>
        <row r="830">
          <cell r="Y830">
            <v>814</v>
          </cell>
          <cell r="Z830">
            <v>0.92842165194451809</v>
          </cell>
          <cell r="AA830">
            <v>0.24748421374078361</v>
          </cell>
          <cell r="AB830"/>
          <cell r="AC830" t="e">
            <v>#N/A</v>
          </cell>
          <cell r="AD830">
            <v>743</v>
          </cell>
          <cell r="AE830" t="e">
            <v>#N/A</v>
          </cell>
          <cell r="AF830"/>
        </row>
        <row r="831">
          <cell r="Y831">
            <v>815</v>
          </cell>
          <cell r="Z831">
            <v>0.5889266561716795</v>
          </cell>
          <cell r="AA831">
            <v>3.799556682427753E-2</v>
          </cell>
          <cell r="AB831"/>
          <cell r="AC831" t="e">
            <v>#N/A</v>
          </cell>
          <cell r="AD831">
            <v>744</v>
          </cell>
          <cell r="AE831" t="e">
            <v>#N/A</v>
          </cell>
          <cell r="AF831"/>
        </row>
        <row r="832">
          <cell r="Y832">
            <v>816</v>
          </cell>
          <cell r="Z832">
            <v>0.21776332519948483</v>
          </cell>
          <cell r="AA832">
            <v>-0.13180507674162023</v>
          </cell>
          <cell r="AB832"/>
          <cell r="AC832" t="e">
            <v>#N/A</v>
          </cell>
          <cell r="AD832">
            <v>745</v>
          </cell>
          <cell r="AE832" t="e">
            <v>#N/A</v>
          </cell>
          <cell r="AF832"/>
        </row>
        <row r="833">
          <cell r="Y833">
            <v>817</v>
          </cell>
          <cell r="Z833">
            <v>8.29180758446455E-2</v>
          </cell>
          <cell r="AA833">
            <v>-0.23422736515860826</v>
          </cell>
          <cell r="AB833"/>
          <cell r="AC833" t="e">
            <v>#N/A</v>
          </cell>
          <cell r="AD833">
            <v>746</v>
          </cell>
          <cell r="AE833" t="e">
            <v>#N/A</v>
          </cell>
          <cell r="AF833"/>
        </row>
        <row r="834">
          <cell r="Y834">
            <v>818</v>
          </cell>
          <cell r="Z834">
            <v>0.83638144098222256</v>
          </cell>
          <cell r="AA834">
            <v>0.16559853468086211</v>
          </cell>
          <cell r="AB834"/>
          <cell r="AC834" t="e">
            <v>#N/A</v>
          </cell>
          <cell r="AD834">
            <v>747</v>
          </cell>
          <cell r="AE834" t="e">
            <v>#N/A</v>
          </cell>
          <cell r="AF834"/>
        </row>
        <row r="835">
          <cell r="Y835">
            <v>819</v>
          </cell>
          <cell r="Z835">
            <v>0.28278095833957195</v>
          </cell>
          <cell r="AA835">
            <v>-9.7125110808321591E-2</v>
          </cell>
          <cell r="AB835"/>
          <cell r="AC835" t="e">
            <v>#N/A</v>
          </cell>
          <cell r="AD835">
            <v>748</v>
          </cell>
          <cell r="AE835" t="e">
            <v>#N/A</v>
          </cell>
          <cell r="AF835"/>
        </row>
        <row r="836">
          <cell r="Y836">
            <v>820</v>
          </cell>
          <cell r="Z836">
            <v>0.25954817794263363</v>
          </cell>
          <cell r="AA836">
            <v>-0.10898077720008548</v>
          </cell>
          <cell r="AB836"/>
          <cell r="AC836" t="e">
            <v>#N/A</v>
          </cell>
          <cell r="AD836">
            <v>749</v>
          </cell>
          <cell r="AE836" t="e">
            <v>#N/A</v>
          </cell>
          <cell r="AF836"/>
        </row>
        <row r="837">
          <cell r="Y837">
            <v>821</v>
          </cell>
          <cell r="Z837">
            <v>0.15355264954268932</v>
          </cell>
          <cell r="AA837">
            <v>-0.17263371600864369</v>
          </cell>
          <cell r="AB837"/>
          <cell r="AC837" t="e">
            <v>#N/A</v>
          </cell>
          <cell r="AD837">
            <v>750</v>
          </cell>
          <cell r="AE837" t="e">
            <v>#N/A</v>
          </cell>
          <cell r="AF837"/>
        </row>
        <row r="838">
          <cell r="Y838">
            <v>822</v>
          </cell>
          <cell r="Z838">
            <v>0.49161133728921413</v>
          </cell>
          <cell r="AA838">
            <v>-3.5545174619774386E-3</v>
          </cell>
          <cell r="AB838"/>
          <cell r="AC838" t="e">
            <v>#N/A</v>
          </cell>
          <cell r="AD838">
            <v>751</v>
          </cell>
          <cell r="AE838" t="e">
            <v>#N/A</v>
          </cell>
          <cell r="AF838"/>
        </row>
        <row r="839">
          <cell r="Y839">
            <v>823</v>
          </cell>
          <cell r="Z839">
            <v>0.76383952610194683</v>
          </cell>
          <cell r="AA839">
            <v>0.1214837988500642</v>
          </cell>
          <cell r="AB839"/>
          <cell r="AC839" t="e">
            <v>#N/A</v>
          </cell>
          <cell r="AD839">
            <v>752</v>
          </cell>
          <cell r="AE839" t="e">
            <v>#N/A</v>
          </cell>
          <cell r="AF839"/>
        </row>
        <row r="840">
          <cell r="Y840">
            <v>824</v>
          </cell>
          <cell r="Z840">
            <v>0.19093330763280392</v>
          </cell>
          <cell r="AA840">
            <v>-0.147811084085748</v>
          </cell>
          <cell r="AB840"/>
          <cell r="AC840" t="e">
            <v>#N/A</v>
          </cell>
          <cell r="AD840">
            <v>753</v>
          </cell>
          <cell r="AE840" t="e">
            <v>#N/A</v>
          </cell>
          <cell r="AF840"/>
        </row>
        <row r="841">
          <cell r="Y841">
            <v>825</v>
          </cell>
          <cell r="Z841">
            <v>0.55846103839576244</v>
          </cell>
          <cell r="AA841">
            <v>2.4859120048511516E-2</v>
          </cell>
          <cell r="AB841"/>
          <cell r="AC841" t="e">
            <v>#N/A</v>
          </cell>
          <cell r="AD841">
            <v>754</v>
          </cell>
          <cell r="AE841" t="e">
            <v>#N/A</v>
          </cell>
          <cell r="AF841"/>
        </row>
        <row r="842">
          <cell r="Y842">
            <v>826</v>
          </cell>
          <cell r="Z842">
            <v>0.64395112358033657</v>
          </cell>
          <cell r="AA842">
            <v>6.2379180899124927E-2</v>
          </cell>
          <cell r="AB842"/>
          <cell r="AC842" t="e">
            <v>#N/A</v>
          </cell>
          <cell r="AD842">
            <v>755</v>
          </cell>
          <cell r="AE842" t="e">
            <v>#N/A</v>
          </cell>
          <cell r="AF842"/>
        </row>
        <row r="843">
          <cell r="Y843">
            <v>827</v>
          </cell>
          <cell r="Z843">
            <v>0.60716797225177288</v>
          </cell>
          <cell r="AA843">
            <v>4.5967150625602637E-2</v>
          </cell>
          <cell r="AB843"/>
          <cell r="AC843" t="e">
            <v>#N/A</v>
          </cell>
          <cell r="AD843">
            <v>756</v>
          </cell>
          <cell r="AE843" t="e">
            <v>#N/A</v>
          </cell>
          <cell r="AF843"/>
        </row>
        <row r="844">
          <cell r="Y844">
            <v>828</v>
          </cell>
          <cell r="Z844">
            <v>0.61570136807858944</v>
          </cell>
          <cell r="AA844">
            <v>4.9730605569284728E-2</v>
          </cell>
          <cell r="AB844"/>
          <cell r="AC844" t="e">
            <v>#N/A</v>
          </cell>
          <cell r="AD844">
            <v>757</v>
          </cell>
          <cell r="AE844" t="e">
            <v>#N/A</v>
          </cell>
          <cell r="AF844"/>
        </row>
        <row r="845">
          <cell r="Y845">
            <v>829</v>
          </cell>
          <cell r="Z845">
            <v>0.68490367941558361</v>
          </cell>
          <cell r="AA845">
            <v>8.1380870558063256E-2</v>
          </cell>
          <cell r="AB845"/>
          <cell r="AC845" t="e">
            <v>#N/A</v>
          </cell>
          <cell r="AD845">
            <v>758</v>
          </cell>
          <cell r="AE845" t="e">
            <v>#N/A</v>
          </cell>
          <cell r="AF845"/>
        </row>
        <row r="846">
          <cell r="Y846">
            <v>830</v>
          </cell>
          <cell r="Z846">
            <v>0.69790366850793362</v>
          </cell>
          <cell r="AA846">
            <v>8.7622334414794931E-2</v>
          </cell>
          <cell r="AB846"/>
          <cell r="AC846" t="e">
            <v>#N/A</v>
          </cell>
          <cell r="AD846">
            <v>759</v>
          </cell>
          <cell r="AE846" t="e">
            <v>#N/A</v>
          </cell>
          <cell r="AF846"/>
        </row>
        <row r="847">
          <cell r="Y847">
            <v>831</v>
          </cell>
          <cell r="Z847">
            <v>0.75782702676951885</v>
          </cell>
          <cell r="AA847">
            <v>0.11820831154269285</v>
          </cell>
          <cell r="AB847"/>
          <cell r="AC847" t="e">
            <v>#N/A</v>
          </cell>
          <cell r="AD847">
            <v>760</v>
          </cell>
          <cell r="AE847" t="e">
            <v>#N/A</v>
          </cell>
          <cell r="AF847"/>
        </row>
        <row r="848">
          <cell r="Y848">
            <v>832</v>
          </cell>
          <cell r="Z848">
            <v>0.11944653652608395</v>
          </cell>
          <cell r="AA848">
            <v>-0.19907744708023281</v>
          </cell>
          <cell r="AB848"/>
          <cell r="AC848" t="e">
            <v>#N/A</v>
          </cell>
          <cell r="AD848">
            <v>761</v>
          </cell>
          <cell r="AE848" t="e">
            <v>#N/A</v>
          </cell>
          <cell r="AF848"/>
        </row>
        <row r="849">
          <cell r="Y849">
            <v>833</v>
          </cell>
          <cell r="Z849">
            <v>0.91806581430137157</v>
          </cell>
          <cell r="AA849">
            <v>0.23532110550299778</v>
          </cell>
          <cell r="AB849"/>
          <cell r="AC849" t="e">
            <v>#N/A</v>
          </cell>
          <cell r="AD849">
            <v>762</v>
          </cell>
          <cell r="AE849" t="e">
            <v>#N/A</v>
          </cell>
          <cell r="AF849"/>
        </row>
        <row r="850">
          <cell r="Y850">
            <v>834</v>
          </cell>
          <cell r="Z850">
            <v>7.7869301661849022E-2</v>
          </cell>
          <cell r="AA850">
            <v>-0.23994781832852563</v>
          </cell>
          <cell r="AB850"/>
          <cell r="AC850" t="e">
            <v>#N/A</v>
          </cell>
          <cell r="AD850">
            <v>763</v>
          </cell>
          <cell r="AE850" t="e">
            <v>#N/A</v>
          </cell>
          <cell r="AF850"/>
        </row>
        <row r="851">
          <cell r="Y851">
            <v>835</v>
          </cell>
          <cell r="Z851">
            <v>2.8919411823153496E-2</v>
          </cell>
          <cell r="AA851">
            <v>-0.32063758399689768</v>
          </cell>
          <cell r="AB851"/>
          <cell r="AC851" t="e">
            <v>#N/A</v>
          </cell>
          <cell r="AD851">
            <v>764</v>
          </cell>
          <cell r="AE851" t="e">
            <v>#N/A</v>
          </cell>
          <cell r="AF851"/>
        </row>
        <row r="852">
          <cell r="Y852">
            <v>836</v>
          </cell>
          <cell r="Z852">
            <v>0.49418388865888119</v>
          </cell>
          <cell r="AA852">
            <v>-2.4643591948055334E-3</v>
          </cell>
          <cell r="AB852"/>
          <cell r="AC852" t="e">
            <v>#N/A</v>
          </cell>
          <cell r="AD852">
            <v>765</v>
          </cell>
          <cell r="AE852" t="e">
            <v>#N/A</v>
          </cell>
          <cell r="AF852"/>
        </row>
        <row r="853">
          <cell r="Y853">
            <v>837</v>
          </cell>
          <cell r="Z853">
            <v>0.31097936443984509</v>
          </cell>
          <cell r="AA853">
            <v>-8.3345093952970781E-2</v>
          </cell>
          <cell r="AB853"/>
          <cell r="AC853" t="e">
            <v>#N/A</v>
          </cell>
          <cell r="AD853">
            <v>766</v>
          </cell>
          <cell r="AE853" t="e">
            <v>#N/A</v>
          </cell>
          <cell r="AF853"/>
        </row>
        <row r="854">
          <cell r="Y854">
            <v>838</v>
          </cell>
          <cell r="Z854">
            <v>0.68713018856942654</v>
          </cell>
          <cell r="AA854">
            <v>8.2441769217811448E-2</v>
          </cell>
          <cell r="AB854"/>
          <cell r="AC854" t="e">
            <v>#N/A</v>
          </cell>
          <cell r="AD854">
            <v>767</v>
          </cell>
          <cell r="AE854" t="e">
            <v>#N/A</v>
          </cell>
          <cell r="AF854"/>
        </row>
        <row r="855">
          <cell r="Y855">
            <v>839</v>
          </cell>
          <cell r="Z855">
            <v>0.81838671676814556</v>
          </cell>
          <cell r="AA855">
            <v>0.15368861408503676</v>
          </cell>
          <cell r="AB855"/>
          <cell r="AC855" t="e">
            <v>#N/A</v>
          </cell>
          <cell r="AD855">
            <v>768</v>
          </cell>
          <cell r="AE855" t="e">
            <v>#N/A</v>
          </cell>
          <cell r="AF855"/>
        </row>
        <row r="856">
          <cell r="Y856">
            <v>840</v>
          </cell>
          <cell r="Z856">
            <v>0.80670877359807491</v>
          </cell>
          <cell r="AA856">
            <v>0.14635227200836837</v>
          </cell>
          <cell r="AB856"/>
          <cell r="AC856" t="e">
            <v>#N/A</v>
          </cell>
          <cell r="AD856">
            <v>769</v>
          </cell>
          <cell r="AE856" t="e">
            <v>#N/A</v>
          </cell>
          <cell r="AF856"/>
        </row>
        <row r="857">
          <cell r="Y857">
            <v>841</v>
          </cell>
          <cell r="Z857">
            <v>0.22319480590522289</v>
          </cell>
          <cell r="AA857">
            <v>-0.12870817931582554</v>
          </cell>
          <cell r="AB857"/>
          <cell r="AC857" t="e">
            <v>#N/A</v>
          </cell>
          <cell r="AD857">
            <v>770</v>
          </cell>
          <cell r="AE857" t="e">
            <v>#N/A</v>
          </cell>
          <cell r="AF857"/>
        </row>
        <row r="858">
          <cell r="Y858">
            <v>842</v>
          </cell>
          <cell r="Z858">
            <v>0.96058470569550991</v>
          </cell>
          <cell r="AA858">
            <v>0.29707373864598935</v>
          </cell>
          <cell r="AB858"/>
          <cell r="AC858" t="e">
            <v>#N/A</v>
          </cell>
          <cell r="AD858">
            <v>771</v>
          </cell>
          <cell r="AE858" t="e">
            <v>#N/A</v>
          </cell>
          <cell r="AF858"/>
        </row>
        <row r="859">
          <cell r="Y859">
            <v>843</v>
          </cell>
          <cell r="Z859">
            <v>0.5445562731474638</v>
          </cell>
          <cell r="AA859">
            <v>1.8917801694295761E-2</v>
          </cell>
          <cell r="AB859"/>
          <cell r="AC859" t="e">
            <v>#N/A</v>
          </cell>
          <cell r="AD859">
            <v>772</v>
          </cell>
          <cell r="AE859" t="e">
            <v>#N/A</v>
          </cell>
          <cell r="AF859"/>
        </row>
        <row r="860">
          <cell r="Y860">
            <v>844</v>
          </cell>
          <cell r="Z860">
            <v>0.81070618890225887</v>
          </cell>
          <cell r="AA860">
            <v>0.14883193988767107</v>
          </cell>
          <cell r="AB860"/>
          <cell r="AC860" t="e">
            <v>#N/A</v>
          </cell>
          <cell r="AD860">
            <v>773</v>
          </cell>
          <cell r="AE860" t="e">
            <v>#N/A</v>
          </cell>
          <cell r="AF860"/>
        </row>
        <row r="861">
          <cell r="Y861">
            <v>845</v>
          </cell>
          <cell r="Z861">
            <v>0.42820304445922375</v>
          </cell>
          <cell r="AA861">
            <v>-3.0586290399535004E-2</v>
          </cell>
          <cell r="AB861"/>
          <cell r="AC861" t="e">
            <v>#N/A</v>
          </cell>
          <cell r="AD861">
            <v>774</v>
          </cell>
          <cell r="AE861" t="e">
            <v>#N/A</v>
          </cell>
          <cell r="AF861"/>
        </row>
        <row r="862">
          <cell r="Y862">
            <v>846</v>
          </cell>
          <cell r="Z862">
            <v>1.1231815442442894E-2</v>
          </cell>
          <cell r="AA862">
            <v>-0.38580204506999732</v>
          </cell>
          <cell r="AB862"/>
          <cell r="AC862" t="e">
            <v>#N/A</v>
          </cell>
          <cell r="AD862">
            <v>775</v>
          </cell>
          <cell r="AE862" t="e">
            <v>#N/A</v>
          </cell>
          <cell r="AF862"/>
        </row>
        <row r="863">
          <cell r="Y863">
            <v>847</v>
          </cell>
          <cell r="Z863">
            <v>0.30043802969157696</v>
          </cell>
          <cell r="AA863">
            <v>-8.8426986910660893E-2</v>
          </cell>
          <cell r="AB863"/>
          <cell r="AC863" t="e">
            <v>#N/A</v>
          </cell>
          <cell r="AD863">
            <v>776</v>
          </cell>
          <cell r="AE863" t="e">
            <v>#N/A</v>
          </cell>
          <cell r="AF863"/>
        </row>
        <row r="864">
          <cell r="Y864">
            <v>848</v>
          </cell>
          <cell r="Z864">
            <v>0.20261015556752682</v>
          </cell>
          <cell r="AA864">
            <v>-0.14069016420391911</v>
          </cell>
          <cell r="AB864"/>
          <cell r="AC864" t="e">
            <v>#N/A</v>
          </cell>
          <cell r="AD864">
            <v>777</v>
          </cell>
          <cell r="AE864" t="e">
            <v>#N/A</v>
          </cell>
          <cell r="AF864"/>
        </row>
        <row r="865">
          <cell r="Y865">
            <v>849</v>
          </cell>
          <cell r="Z865">
            <v>0.1896072905510664</v>
          </cell>
          <cell r="AA865">
            <v>-0.14863632838170213</v>
          </cell>
          <cell r="AB865"/>
          <cell r="AC865" t="e">
            <v>#N/A</v>
          </cell>
          <cell r="AD865">
            <v>778</v>
          </cell>
          <cell r="AE865" t="e">
            <v>#N/A</v>
          </cell>
          <cell r="AF865"/>
        </row>
        <row r="866">
          <cell r="Y866">
            <v>850</v>
          </cell>
          <cell r="Z866">
            <v>0.37040544115006924</v>
          </cell>
          <cell r="AA866">
            <v>-5.5911977140401262E-2</v>
          </cell>
          <cell r="AB866"/>
          <cell r="AC866" t="e">
            <v>#N/A</v>
          </cell>
          <cell r="AD866">
            <v>779</v>
          </cell>
          <cell r="AE866" t="e">
            <v>#N/A</v>
          </cell>
          <cell r="AF866"/>
        </row>
        <row r="867">
          <cell r="Y867">
            <v>851</v>
          </cell>
          <cell r="Z867">
            <v>0.22677142731845379</v>
          </cell>
          <cell r="AA867">
            <v>-0.1266922822940893</v>
          </cell>
          <cell r="AB867"/>
          <cell r="AC867" t="e">
            <v>#N/A</v>
          </cell>
          <cell r="AD867">
            <v>780</v>
          </cell>
          <cell r="AE867" t="e">
            <v>#N/A</v>
          </cell>
          <cell r="AF867"/>
        </row>
        <row r="868">
          <cell r="Y868">
            <v>852</v>
          </cell>
          <cell r="Z868">
            <v>0.2212130930274725</v>
          </cell>
          <cell r="AA868">
            <v>-0.12983304927155992</v>
          </cell>
          <cell r="AB868"/>
          <cell r="AC868" t="e">
            <v>#N/A</v>
          </cell>
          <cell r="AD868">
            <v>781</v>
          </cell>
          <cell r="AE868" t="e">
            <v>#N/A</v>
          </cell>
          <cell r="AF868"/>
        </row>
        <row r="869">
          <cell r="Y869">
            <v>853</v>
          </cell>
          <cell r="Z869">
            <v>0.8060449343174696</v>
          </cell>
          <cell r="AA869">
            <v>0.14594352729564991</v>
          </cell>
          <cell r="AB869"/>
          <cell r="AC869" t="e">
            <v>#N/A</v>
          </cell>
          <cell r="AD869">
            <v>782</v>
          </cell>
          <cell r="AE869" t="e">
            <v>#N/A</v>
          </cell>
          <cell r="AF869"/>
        </row>
        <row r="870">
          <cell r="Y870">
            <v>854</v>
          </cell>
          <cell r="Z870">
            <v>0.82175884209573269</v>
          </cell>
          <cell r="AA870">
            <v>0.15586143594241941</v>
          </cell>
          <cell r="AB870"/>
          <cell r="AC870" t="e">
            <v>#N/A</v>
          </cell>
          <cell r="AD870">
            <v>783</v>
          </cell>
          <cell r="AE870" t="e">
            <v>#N/A</v>
          </cell>
          <cell r="AF870"/>
        </row>
        <row r="871">
          <cell r="Y871">
            <v>855</v>
          </cell>
          <cell r="Z871">
            <v>0.10382227413356304</v>
          </cell>
          <cell r="AA871">
            <v>-0.21299049962994782</v>
          </cell>
          <cell r="AB871"/>
          <cell r="AC871" t="e">
            <v>#N/A</v>
          </cell>
          <cell r="AD871">
            <v>784</v>
          </cell>
          <cell r="AE871" t="e">
            <v>#N/A</v>
          </cell>
          <cell r="AF871"/>
        </row>
        <row r="872">
          <cell r="Y872">
            <v>856</v>
          </cell>
          <cell r="Z872">
            <v>9.1025194153189659E-2</v>
          </cell>
          <cell r="AA872">
            <v>-0.22556633338620105</v>
          </cell>
          <cell r="AB872"/>
          <cell r="AC872" t="e">
            <v>#N/A</v>
          </cell>
          <cell r="AD872">
            <v>785</v>
          </cell>
          <cell r="AE872" t="e">
            <v>#N/A</v>
          </cell>
          <cell r="AF872"/>
        </row>
        <row r="873">
          <cell r="Y873">
            <v>857</v>
          </cell>
          <cell r="Z873">
            <v>0.12485942058265209</v>
          </cell>
          <cell r="AA873">
            <v>-0.19456001286822799</v>
          </cell>
          <cell r="AB873"/>
          <cell r="AC873" t="e">
            <v>#N/A</v>
          </cell>
          <cell r="AD873">
            <v>786</v>
          </cell>
          <cell r="AE873" t="e">
            <v>#N/A</v>
          </cell>
          <cell r="AF873"/>
        </row>
        <row r="874">
          <cell r="Y874">
            <v>858</v>
          </cell>
          <cell r="Z874">
            <v>0.828998988494277</v>
          </cell>
          <cell r="AA874">
            <v>0.16061598121899312</v>
          </cell>
          <cell r="AB874"/>
          <cell r="AC874" t="e">
            <v>#N/A</v>
          </cell>
          <cell r="AD874">
            <v>787</v>
          </cell>
          <cell r="AE874" t="e">
            <v>#N/A</v>
          </cell>
          <cell r="AF874"/>
        </row>
        <row r="875">
          <cell r="Y875">
            <v>859</v>
          </cell>
          <cell r="Z875">
            <v>0.66192962042987347</v>
          </cell>
          <cell r="AA875">
            <v>7.0610130334868612E-2</v>
          </cell>
          <cell r="AB875"/>
          <cell r="AC875" t="e">
            <v>#N/A</v>
          </cell>
          <cell r="AD875">
            <v>788</v>
          </cell>
          <cell r="AE875" t="e">
            <v>#N/A</v>
          </cell>
          <cell r="AF875"/>
        </row>
        <row r="876">
          <cell r="Y876">
            <v>860</v>
          </cell>
          <cell r="Z876">
            <v>0.80938380025327206</v>
          </cell>
          <cell r="AA876">
            <v>0.14800811456501178</v>
          </cell>
          <cell r="AB876"/>
          <cell r="AC876" t="e">
            <v>#N/A</v>
          </cell>
          <cell r="AD876">
            <v>789</v>
          </cell>
          <cell r="AE876" t="e">
            <v>#N/A</v>
          </cell>
          <cell r="AF876"/>
        </row>
        <row r="877">
          <cell r="Y877">
            <v>861</v>
          </cell>
          <cell r="Z877">
            <v>0.52452212385833263</v>
          </cell>
          <cell r="AA877">
            <v>1.0396514218101253E-2</v>
          </cell>
          <cell r="AB877"/>
          <cell r="AC877" t="e">
            <v>#N/A</v>
          </cell>
          <cell r="AD877">
            <v>790</v>
          </cell>
          <cell r="AE877" t="e">
            <v>#N/A</v>
          </cell>
          <cell r="AF877"/>
        </row>
        <row r="878">
          <cell r="Y878">
            <v>862</v>
          </cell>
          <cell r="Z878">
            <v>5.7370936498045921E-2</v>
          </cell>
          <cell r="AA878">
            <v>-0.26660107244063264</v>
          </cell>
          <cell r="AB878"/>
          <cell r="AC878" t="e">
            <v>#N/A</v>
          </cell>
          <cell r="AD878">
            <v>791</v>
          </cell>
          <cell r="AE878" t="e">
            <v>#N/A</v>
          </cell>
          <cell r="AF878"/>
        </row>
        <row r="879">
          <cell r="Y879">
            <v>863</v>
          </cell>
          <cell r="Z879">
            <v>0.11080263368785381</v>
          </cell>
          <cell r="AA879">
            <v>-0.20660146015781186</v>
          </cell>
          <cell r="AB879"/>
          <cell r="AC879" t="e">
            <v>#N/A</v>
          </cell>
          <cell r="AD879">
            <v>792</v>
          </cell>
          <cell r="AE879" t="e">
            <v>#N/A</v>
          </cell>
          <cell r="AF879"/>
        </row>
        <row r="880">
          <cell r="Y880">
            <v>864</v>
          </cell>
          <cell r="Z880">
            <v>0.77731277607381344</v>
          </cell>
          <cell r="AA880">
            <v>0.12899575103644978</v>
          </cell>
          <cell r="AB880"/>
          <cell r="AC880" t="e">
            <v>#N/A</v>
          </cell>
          <cell r="AD880">
            <v>793</v>
          </cell>
          <cell r="AE880" t="e">
            <v>#N/A</v>
          </cell>
          <cell r="AF880"/>
        </row>
        <row r="881">
          <cell r="Y881">
            <v>865</v>
          </cell>
          <cell r="Z881">
            <v>0.86580422334372997</v>
          </cell>
          <cell r="AA881">
            <v>0.18707898961402711</v>
          </cell>
          <cell r="AB881"/>
          <cell r="AC881" t="e">
            <v>#N/A</v>
          </cell>
          <cell r="AD881">
            <v>794</v>
          </cell>
          <cell r="AE881" t="e">
            <v>#N/A</v>
          </cell>
          <cell r="AF881"/>
        </row>
        <row r="882">
          <cell r="Y882">
            <v>866</v>
          </cell>
          <cell r="Z882">
            <v>0.4888922031968832</v>
          </cell>
          <cell r="AA882">
            <v>-4.7069541056930881E-3</v>
          </cell>
          <cell r="AB882"/>
          <cell r="AC882" t="e">
            <v>#N/A</v>
          </cell>
          <cell r="AD882">
            <v>795</v>
          </cell>
          <cell r="AE882" t="e">
            <v>#N/A</v>
          </cell>
          <cell r="AF882"/>
        </row>
        <row r="883">
          <cell r="Y883">
            <v>867</v>
          </cell>
          <cell r="Z883">
            <v>0.38756747357547283</v>
          </cell>
          <cell r="AA883">
            <v>-4.8286146588704913E-2</v>
          </cell>
          <cell r="AB883"/>
          <cell r="AC883" t="e">
            <v>#N/A</v>
          </cell>
          <cell r="AD883">
            <v>796</v>
          </cell>
          <cell r="AE883" t="e">
            <v>#N/A</v>
          </cell>
          <cell r="AF883"/>
        </row>
        <row r="884">
          <cell r="Y884">
            <v>868</v>
          </cell>
          <cell r="Z884">
            <v>0.77413188479840755</v>
          </cell>
          <cell r="AA884">
            <v>0.12719970799785851</v>
          </cell>
          <cell r="AB884"/>
          <cell r="AC884" t="e">
            <v>#N/A</v>
          </cell>
          <cell r="AD884">
            <v>797</v>
          </cell>
          <cell r="AE884" t="e">
            <v>#N/A</v>
          </cell>
          <cell r="AF884"/>
        </row>
        <row r="885">
          <cell r="Y885">
            <v>869</v>
          </cell>
          <cell r="Z885">
            <v>0.91169857792556286</v>
          </cell>
          <cell r="AA885">
            <v>0.22840954546548919</v>
          </cell>
          <cell r="AB885"/>
          <cell r="AC885" t="e">
            <v>#N/A</v>
          </cell>
          <cell r="AD885">
            <v>798</v>
          </cell>
          <cell r="AE885" t="e">
            <v>#N/A</v>
          </cell>
          <cell r="AF885"/>
        </row>
        <row r="886">
          <cell r="Y886">
            <v>870</v>
          </cell>
          <cell r="Z886">
            <v>0.63133714161813259</v>
          </cell>
          <cell r="AA886">
            <v>5.6692421025860751E-2</v>
          </cell>
          <cell r="AB886"/>
          <cell r="AC886" t="e">
            <v>#N/A</v>
          </cell>
          <cell r="AD886">
            <v>799</v>
          </cell>
          <cell r="AE886" t="e">
            <v>#N/A</v>
          </cell>
          <cell r="AF886"/>
        </row>
        <row r="887">
          <cell r="Y887">
            <v>871</v>
          </cell>
          <cell r="Z887">
            <v>0.62356416694819927</v>
          </cell>
          <cell r="AA887">
            <v>5.3220227221272683E-2</v>
          </cell>
          <cell r="AB887"/>
          <cell r="AC887" t="e">
            <v>#N/A</v>
          </cell>
          <cell r="AD887">
            <v>800</v>
          </cell>
          <cell r="AE887" t="e">
            <v>#N/A</v>
          </cell>
          <cell r="AF887"/>
        </row>
        <row r="888">
          <cell r="Y888">
            <v>872</v>
          </cell>
          <cell r="Z888">
            <v>0.77581616304814816</v>
          </cell>
          <cell r="AA888">
            <v>0.12814890867411449</v>
          </cell>
          <cell r="AB888"/>
          <cell r="AC888" t="e">
            <v>#N/A</v>
          </cell>
          <cell r="AD888">
            <v>801</v>
          </cell>
          <cell r="AE888" t="e">
            <v>#N/A</v>
          </cell>
          <cell r="AF888"/>
        </row>
        <row r="889">
          <cell r="Y889">
            <v>873</v>
          </cell>
          <cell r="Z889">
            <v>0.71609160117805004</v>
          </cell>
          <cell r="AA889">
            <v>9.6562213474310418E-2</v>
          </cell>
          <cell r="AB889"/>
          <cell r="AC889" t="e">
            <v>#N/A</v>
          </cell>
          <cell r="AD889">
            <v>802</v>
          </cell>
          <cell r="AE889" t="e">
            <v>#N/A</v>
          </cell>
          <cell r="AF889"/>
        </row>
        <row r="890">
          <cell r="Y890">
            <v>874</v>
          </cell>
          <cell r="Z890">
            <v>0.32097131572663784</v>
          </cell>
          <cell r="AA890">
            <v>-7.8596708028277104E-2</v>
          </cell>
          <cell r="AB890"/>
          <cell r="AC890" t="e">
            <v>#N/A</v>
          </cell>
          <cell r="AD890">
            <v>803</v>
          </cell>
          <cell r="AE890" t="e">
            <v>#N/A</v>
          </cell>
          <cell r="AF890"/>
        </row>
        <row r="891">
          <cell r="Y891">
            <v>875</v>
          </cell>
          <cell r="Z891">
            <v>0.32989348284900188</v>
          </cell>
          <cell r="AA891">
            <v>-7.4408616226816743E-2</v>
          </cell>
          <cell r="AB891"/>
          <cell r="AC891" t="e">
            <v>#N/A</v>
          </cell>
          <cell r="AD891">
            <v>804</v>
          </cell>
          <cell r="AE891" t="e">
            <v>#N/A</v>
          </cell>
          <cell r="AF891"/>
        </row>
        <row r="892">
          <cell r="Y892">
            <v>876</v>
          </cell>
          <cell r="Z892">
            <v>0.11710529588162899</v>
          </cell>
          <cell r="AA892">
            <v>-0.20107611459085686</v>
          </cell>
          <cell r="AB892"/>
          <cell r="AC892" t="e">
            <v>#N/A</v>
          </cell>
          <cell r="AD892">
            <v>805</v>
          </cell>
          <cell r="AE892" t="e">
            <v>#N/A</v>
          </cell>
          <cell r="AF892"/>
        </row>
        <row r="893">
          <cell r="Y893">
            <v>877</v>
          </cell>
          <cell r="Z893">
            <v>0.48118513636291027</v>
          </cell>
          <cell r="AA893">
            <v>-7.9747683877821971E-3</v>
          </cell>
          <cell r="AB893"/>
          <cell r="AC893" t="e">
            <v>#N/A</v>
          </cell>
          <cell r="AD893">
            <v>806</v>
          </cell>
          <cell r="AE893" t="e">
            <v>#N/A</v>
          </cell>
          <cell r="AF893"/>
        </row>
        <row r="894">
          <cell r="Y894">
            <v>878</v>
          </cell>
          <cell r="Z894">
            <v>0.6190358754247427</v>
          </cell>
          <cell r="AA894">
            <v>5.120783353358057E-2</v>
          </cell>
          <cell r="AB894"/>
          <cell r="AC894" t="e">
            <v>#N/A</v>
          </cell>
          <cell r="AD894">
            <v>807</v>
          </cell>
          <cell r="AE894" t="e">
            <v>#N/A</v>
          </cell>
          <cell r="AF894"/>
        </row>
        <row r="895">
          <cell r="Y895">
            <v>879</v>
          </cell>
          <cell r="Z895">
            <v>0.80171380750834942</v>
          </cell>
          <cell r="AA895">
            <v>0.14329736929682324</v>
          </cell>
          <cell r="AB895"/>
          <cell r="AC895" t="e">
            <v>#N/A</v>
          </cell>
          <cell r="AD895">
            <v>808</v>
          </cell>
          <cell r="AE895" t="e">
            <v>#N/A</v>
          </cell>
          <cell r="AF895"/>
        </row>
        <row r="896">
          <cell r="Y896">
            <v>880</v>
          </cell>
          <cell r="Z896">
            <v>0.49736299179494381</v>
          </cell>
          <cell r="AA896">
            <v>-1.1173019473067829E-3</v>
          </cell>
          <cell r="AB896"/>
          <cell r="AC896" t="e">
            <v>#N/A</v>
          </cell>
          <cell r="AD896">
            <v>809</v>
          </cell>
          <cell r="AE896" t="e">
            <v>#N/A</v>
          </cell>
          <cell r="AF896"/>
        </row>
        <row r="897">
          <cell r="Y897">
            <v>881</v>
          </cell>
          <cell r="Z897">
            <v>0.3836683314293623</v>
          </cell>
          <cell r="AA897">
            <v>-5.0009542083366984E-2</v>
          </cell>
          <cell r="AB897"/>
          <cell r="AC897" t="e">
            <v>#N/A</v>
          </cell>
          <cell r="AD897">
            <v>810</v>
          </cell>
          <cell r="AE897" t="e">
            <v>#N/A</v>
          </cell>
          <cell r="AF897"/>
        </row>
        <row r="898">
          <cell r="Y898">
            <v>882</v>
          </cell>
          <cell r="Z898">
            <v>0.30198193155229092</v>
          </cell>
          <cell r="AA898">
            <v>-8.7677780403926431E-2</v>
          </cell>
          <cell r="AB898"/>
          <cell r="AC898" t="e">
            <v>#N/A</v>
          </cell>
          <cell r="AD898">
            <v>811</v>
          </cell>
          <cell r="AE898" t="e">
            <v>#N/A</v>
          </cell>
          <cell r="AF898"/>
        </row>
        <row r="899">
          <cell r="Y899">
            <v>883</v>
          </cell>
          <cell r="Z899">
            <v>0.24128801934421062</v>
          </cell>
          <cell r="AA899">
            <v>-0.11868761015011088</v>
          </cell>
          <cell r="AB899"/>
          <cell r="AC899" t="e">
            <v>#N/A</v>
          </cell>
          <cell r="AD899">
            <v>812</v>
          </cell>
          <cell r="AE899" t="e">
            <v>#N/A</v>
          </cell>
          <cell r="AF899"/>
        </row>
        <row r="900">
          <cell r="Y900">
            <v>884</v>
          </cell>
          <cell r="Z900">
            <v>0.33018635772168636</v>
          </cell>
          <cell r="AA900">
            <v>-7.4271925170783473E-2</v>
          </cell>
          <cell r="AB900"/>
          <cell r="AC900" t="e">
            <v>#N/A</v>
          </cell>
          <cell r="AD900">
            <v>813</v>
          </cell>
          <cell r="AE900" t="e">
            <v>#N/A</v>
          </cell>
          <cell r="AF900"/>
        </row>
        <row r="901">
          <cell r="Y901">
            <v>885</v>
          </cell>
          <cell r="Z901">
            <v>0.86963951401412487</v>
          </cell>
          <cell r="AA901">
            <v>0.1901070879307169</v>
          </cell>
          <cell r="AB901"/>
          <cell r="AC901" t="e">
            <v>#N/A</v>
          </cell>
          <cell r="AD901">
            <v>814</v>
          </cell>
          <cell r="AE901" t="e">
            <v>#N/A</v>
          </cell>
          <cell r="AF901"/>
        </row>
        <row r="902">
          <cell r="Y902">
            <v>886</v>
          </cell>
          <cell r="Z902">
            <v>0.44545493088662624</v>
          </cell>
          <cell r="AA902">
            <v>-2.3183087986462129E-2</v>
          </cell>
          <cell r="AB902"/>
          <cell r="AC902" t="e">
            <v>#N/A</v>
          </cell>
          <cell r="AD902">
            <v>815</v>
          </cell>
          <cell r="AE902" t="e">
            <v>#N/A</v>
          </cell>
          <cell r="AF902"/>
        </row>
        <row r="903">
          <cell r="Y903">
            <v>887</v>
          </cell>
          <cell r="Z903">
            <v>9.9780363962054253E-2</v>
          </cell>
          <cell r="AA903">
            <v>-0.21683346352382368</v>
          </cell>
          <cell r="AB903"/>
          <cell r="AC903" t="e">
            <v>#N/A</v>
          </cell>
          <cell r="AD903">
            <v>816</v>
          </cell>
          <cell r="AE903" t="e">
            <v>#N/A</v>
          </cell>
          <cell r="AF903"/>
        </row>
        <row r="904">
          <cell r="Y904">
            <v>888</v>
          </cell>
          <cell r="Z904">
            <v>0.9367652740329504</v>
          </cell>
          <cell r="AA904">
            <v>0.25830847698239212</v>
          </cell>
          <cell r="AB904"/>
          <cell r="AC904" t="e">
            <v>#N/A</v>
          </cell>
          <cell r="AD904">
            <v>817</v>
          </cell>
          <cell r="AE904" t="e">
            <v>#N/A</v>
          </cell>
          <cell r="AF904"/>
        </row>
        <row r="905">
          <cell r="Y905">
            <v>889</v>
          </cell>
          <cell r="Z905">
            <v>0.91827806644141674</v>
          </cell>
          <cell r="AA905">
            <v>0.23555835136202077</v>
          </cell>
          <cell r="AB905"/>
          <cell r="AC905" t="e">
            <v>#N/A</v>
          </cell>
          <cell r="AD905">
            <v>818</v>
          </cell>
          <cell r="AE905" t="e">
            <v>#N/A</v>
          </cell>
          <cell r="AF905"/>
        </row>
        <row r="906">
          <cell r="Y906">
            <v>890</v>
          </cell>
          <cell r="Z906">
            <v>0.60202903114259243</v>
          </cell>
          <cell r="AA906">
            <v>4.3711804227258746E-2</v>
          </cell>
          <cell r="AB906"/>
          <cell r="AC906" t="e">
            <v>#N/A</v>
          </cell>
          <cell r="AD906">
            <v>819</v>
          </cell>
          <cell r="AE906" t="e">
            <v>#N/A</v>
          </cell>
          <cell r="AF906"/>
        </row>
        <row r="907">
          <cell r="Y907">
            <v>891</v>
          </cell>
          <cell r="Z907">
            <v>0.13780332915484905</v>
          </cell>
          <cell r="AA907">
            <v>-0.18428449401655383</v>
          </cell>
          <cell r="AB907"/>
          <cell r="AC907" t="e">
            <v>#N/A</v>
          </cell>
          <cell r="AD907">
            <v>820</v>
          </cell>
          <cell r="AE907" t="e">
            <v>#N/A</v>
          </cell>
          <cell r="AF907"/>
        </row>
        <row r="908">
          <cell r="Y908">
            <v>892</v>
          </cell>
          <cell r="Z908">
            <v>8.2991769537329674E-2</v>
          </cell>
          <cell r="AA908">
            <v>-0.23414583764260358</v>
          </cell>
          <cell r="AB908"/>
          <cell r="AC908" t="e">
            <v>#N/A</v>
          </cell>
          <cell r="AD908">
            <v>821</v>
          </cell>
          <cell r="AE908" t="e">
            <v>#N/A</v>
          </cell>
          <cell r="AF908"/>
        </row>
        <row r="909">
          <cell r="Y909">
            <v>893</v>
          </cell>
          <cell r="Z909">
            <v>0.77426630072295666</v>
          </cell>
          <cell r="AA909">
            <v>0.12727531263611674</v>
          </cell>
          <cell r="AB909"/>
          <cell r="AC909" t="e">
            <v>#N/A</v>
          </cell>
          <cell r="AD909">
            <v>822</v>
          </cell>
          <cell r="AE909" t="e">
            <v>#N/A</v>
          </cell>
          <cell r="AF909"/>
        </row>
        <row r="910">
          <cell r="Y910">
            <v>894</v>
          </cell>
          <cell r="Z910">
            <v>7.2691475972533226E-2</v>
          </cell>
          <cell r="AA910">
            <v>-0.24611483046502008</v>
          </cell>
          <cell r="AB910"/>
          <cell r="AC910" t="e">
            <v>#N/A</v>
          </cell>
          <cell r="AD910">
            <v>823</v>
          </cell>
          <cell r="AE910" t="e">
            <v>#N/A</v>
          </cell>
          <cell r="AF910"/>
        </row>
        <row r="911">
          <cell r="Y911">
            <v>895</v>
          </cell>
          <cell r="Z911">
            <v>0.70471451990306377</v>
          </cell>
          <cell r="AA911">
            <v>9.0940088480311085E-2</v>
          </cell>
          <cell r="AB911"/>
          <cell r="AC911" t="e">
            <v>#N/A</v>
          </cell>
          <cell r="AD911">
            <v>824</v>
          </cell>
          <cell r="AE911" t="e">
            <v>#N/A</v>
          </cell>
          <cell r="AF911"/>
        </row>
        <row r="912">
          <cell r="Y912">
            <v>896</v>
          </cell>
          <cell r="Z912">
            <v>0.36031939648091793</v>
          </cell>
          <cell r="AA912">
            <v>-6.0446309752620025E-2</v>
          </cell>
          <cell r="AB912"/>
          <cell r="AC912" t="e">
            <v>#N/A</v>
          </cell>
          <cell r="AD912">
            <v>825</v>
          </cell>
          <cell r="AE912" t="e">
            <v>#N/A</v>
          </cell>
          <cell r="AF912"/>
        </row>
        <row r="913">
          <cell r="Y913">
            <v>897</v>
          </cell>
          <cell r="Z913">
            <v>0.64896133355796337</v>
          </cell>
          <cell r="AA913">
            <v>6.4657308225803026E-2</v>
          </cell>
          <cell r="AB913"/>
          <cell r="AC913" t="e">
            <v>#N/A</v>
          </cell>
          <cell r="AD913">
            <v>826</v>
          </cell>
          <cell r="AE913" t="e">
            <v>#N/A</v>
          </cell>
          <cell r="AF913"/>
        </row>
        <row r="914">
          <cell r="Y914">
            <v>898</v>
          </cell>
          <cell r="Z914">
            <v>0.77207696996629238</v>
          </cell>
          <cell r="AA914">
            <v>0.12604703266251993</v>
          </cell>
          <cell r="AB914"/>
          <cell r="AC914" t="e">
            <v>#N/A</v>
          </cell>
          <cell r="AD914">
            <v>827</v>
          </cell>
          <cell r="AE914" t="e">
            <v>#N/A</v>
          </cell>
          <cell r="AF914"/>
        </row>
        <row r="915">
          <cell r="Y915">
            <v>899</v>
          </cell>
          <cell r="Z915">
            <v>0.73666353337466717</v>
          </cell>
          <cell r="AA915">
            <v>0.10701224332859961</v>
          </cell>
          <cell r="AB915"/>
          <cell r="AC915" t="e">
            <v>#N/A</v>
          </cell>
          <cell r="AD915">
            <v>828</v>
          </cell>
          <cell r="AE915" t="e">
            <v>#N/A</v>
          </cell>
          <cell r="AF915"/>
        </row>
        <row r="916">
          <cell r="Y916">
            <v>900</v>
          </cell>
          <cell r="Z916">
            <v>0.91037260554730892</v>
          </cell>
          <cell r="AA916">
            <v>0.22701740394344355</v>
          </cell>
          <cell r="AB916"/>
          <cell r="AC916" t="e">
            <v>#N/A</v>
          </cell>
          <cell r="AD916">
            <v>829</v>
          </cell>
          <cell r="AE916" t="e">
            <v>#N/A</v>
          </cell>
          <cell r="AF916"/>
        </row>
        <row r="917">
          <cell r="Y917">
            <v>901</v>
          </cell>
          <cell r="Z917">
            <v>0.89031696133315563</v>
          </cell>
          <cell r="AA917">
            <v>0.20760631303828661</v>
          </cell>
          <cell r="AB917"/>
          <cell r="AC917" t="e">
            <v>#N/A</v>
          </cell>
          <cell r="AD917">
            <v>830</v>
          </cell>
          <cell r="AE917" t="e">
            <v>#N/A</v>
          </cell>
          <cell r="AF917"/>
        </row>
        <row r="918">
          <cell r="Y918">
            <v>902</v>
          </cell>
          <cell r="Z918">
            <v>0.18745205365121365</v>
          </cell>
          <cell r="AA918">
            <v>-0.14998525029418591</v>
          </cell>
          <cell r="AB918"/>
          <cell r="AC918" t="e">
            <v>#N/A</v>
          </cell>
          <cell r="AD918">
            <v>831</v>
          </cell>
          <cell r="AE918" t="e">
            <v>#N/A</v>
          </cell>
          <cell r="AF918"/>
        </row>
        <row r="919">
          <cell r="Y919">
            <v>903</v>
          </cell>
          <cell r="Z919">
            <v>0.97338883392512798</v>
          </cell>
          <cell r="AA919">
            <v>0.32675566237771719</v>
          </cell>
          <cell r="AB919"/>
          <cell r="AC919" t="e">
            <v>#N/A</v>
          </cell>
          <cell r="AD919">
            <v>832</v>
          </cell>
          <cell r="AE919" t="e">
            <v>#N/A</v>
          </cell>
          <cell r="AF919"/>
        </row>
        <row r="920">
          <cell r="Y920">
            <v>904</v>
          </cell>
          <cell r="Z920">
            <v>0.9933061208575964</v>
          </cell>
          <cell r="AA920">
            <v>0.41806135475175155</v>
          </cell>
          <cell r="AB920"/>
          <cell r="AC920" t="e">
            <v>#N/A</v>
          </cell>
          <cell r="AD920">
            <v>833</v>
          </cell>
          <cell r="AE920" t="e">
            <v>#N/A</v>
          </cell>
          <cell r="AF920"/>
        </row>
        <row r="921">
          <cell r="Y921">
            <v>905</v>
          </cell>
          <cell r="Z921">
            <v>0.12155553512275219</v>
          </cell>
          <cell r="AA921">
            <v>-0.19730057160132003</v>
          </cell>
          <cell r="AB921"/>
          <cell r="AC921" t="e">
            <v>#N/A</v>
          </cell>
          <cell r="AD921">
            <v>834</v>
          </cell>
          <cell r="AE921" t="e">
            <v>#N/A</v>
          </cell>
          <cell r="AF921"/>
        </row>
        <row r="922">
          <cell r="Y922">
            <v>906</v>
          </cell>
          <cell r="Z922">
            <v>0.93144947849214077</v>
          </cell>
          <cell r="AA922">
            <v>0.25129370083501895</v>
          </cell>
          <cell r="AB922"/>
          <cell r="AC922" t="e">
            <v>#N/A</v>
          </cell>
          <cell r="AD922">
            <v>835</v>
          </cell>
          <cell r="AE922" t="e">
            <v>#N/A</v>
          </cell>
          <cell r="AF922"/>
        </row>
        <row r="923">
          <cell r="Y923">
            <v>907</v>
          </cell>
          <cell r="Z923">
            <v>0.89376462809741497</v>
          </cell>
          <cell r="AA923">
            <v>0.21074770952698121</v>
          </cell>
          <cell r="AB923"/>
          <cell r="AC923" t="e">
            <v>#N/A</v>
          </cell>
          <cell r="AD923">
            <v>836</v>
          </cell>
          <cell r="AE923" t="e">
            <v>#N/A</v>
          </cell>
          <cell r="AF923"/>
        </row>
        <row r="924">
          <cell r="Y924">
            <v>908</v>
          </cell>
          <cell r="Z924">
            <v>0.89991431497037411</v>
          </cell>
          <cell r="AA924">
            <v>0.21653925010267938</v>
          </cell>
          <cell r="AB924"/>
          <cell r="AC924" t="e">
            <v>#N/A</v>
          </cell>
          <cell r="AD924">
            <v>837</v>
          </cell>
          <cell r="AE924" t="e">
            <v>#N/A</v>
          </cell>
          <cell r="AF924"/>
        </row>
        <row r="925">
          <cell r="Y925">
            <v>909</v>
          </cell>
          <cell r="Z925">
            <v>0.84858983568847179</v>
          </cell>
          <cell r="AA925">
            <v>0.17417008932187558</v>
          </cell>
          <cell r="AB925"/>
          <cell r="AC925" t="e">
            <v>#N/A</v>
          </cell>
          <cell r="AD925">
            <v>838</v>
          </cell>
          <cell r="AE925" t="e">
            <v>#N/A</v>
          </cell>
          <cell r="AF925"/>
        </row>
        <row r="926">
          <cell r="Y926">
            <v>910</v>
          </cell>
          <cell r="Z926">
            <v>0.3885525818914175</v>
          </cell>
          <cell r="AA926">
            <v>-4.7851535278494499E-2</v>
          </cell>
          <cell r="AB926"/>
          <cell r="AC926" t="e">
            <v>#N/A</v>
          </cell>
          <cell r="AD926">
            <v>839</v>
          </cell>
          <cell r="AE926" t="e">
            <v>#N/A</v>
          </cell>
          <cell r="AF926"/>
        </row>
        <row r="927">
          <cell r="Y927">
            <v>911</v>
          </cell>
          <cell r="Z927">
            <v>0.87009773962199688</v>
          </cell>
          <cell r="AA927">
            <v>0.19047296824344467</v>
          </cell>
          <cell r="AB927"/>
          <cell r="AC927" t="e">
            <v>#N/A</v>
          </cell>
          <cell r="AD927">
            <v>840</v>
          </cell>
          <cell r="AE927" t="e">
            <v>#N/A</v>
          </cell>
          <cell r="AF927"/>
        </row>
        <row r="928">
          <cell r="Y928">
            <v>912</v>
          </cell>
          <cell r="Z928">
            <v>0.7074905838817358</v>
          </cell>
          <cell r="AA928">
            <v>9.2302428011240292E-2</v>
          </cell>
          <cell r="AB928"/>
          <cell r="AC928" t="e">
            <v>#N/A</v>
          </cell>
          <cell r="AD928">
            <v>841</v>
          </cell>
          <cell r="AE928" t="e">
            <v>#N/A</v>
          </cell>
          <cell r="AF928"/>
        </row>
        <row r="929">
          <cell r="Y929">
            <v>913</v>
          </cell>
          <cell r="Z929">
            <v>3.6194948479533195E-2</v>
          </cell>
          <cell r="AA929">
            <v>-0.30369066629845975</v>
          </cell>
          <cell r="AB929"/>
          <cell r="AC929" t="e">
            <v>#N/A</v>
          </cell>
          <cell r="AD929">
            <v>842</v>
          </cell>
          <cell r="AE929" t="e">
            <v>#N/A</v>
          </cell>
          <cell r="AF929"/>
        </row>
        <row r="930">
          <cell r="Y930">
            <v>914</v>
          </cell>
          <cell r="Z930">
            <v>0.9553296621888876</v>
          </cell>
          <cell r="AA930">
            <v>0.28716413703351806</v>
          </cell>
          <cell r="AB930"/>
          <cell r="AC930" t="e">
            <v>#N/A</v>
          </cell>
          <cell r="AD930">
            <v>843</v>
          </cell>
          <cell r="AE930" t="e">
            <v>#N/A</v>
          </cell>
          <cell r="AF930"/>
        </row>
        <row r="931">
          <cell r="Y931">
            <v>915</v>
          </cell>
          <cell r="Z931">
            <v>4.1174484416842461E-2</v>
          </cell>
          <cell r="AA931">
            <v>-0.29364317822688585</v>
          </cell>
          <cell r="AB931"/>
          <cell r="AC931" t="e">
            <v>#N/A</v>
          </cell>
          <cell r="AD931">
            <v>844</v>
          </cell>
          <cell r="AE931" t="e">
            <v>#N/A</v>
          </cell>
          <cell r="AF931"/>
        </row>
        <row r="932">
          <cell r="Y932">
            <v>916</v>
          </cell>
          <cell r="Z932">
            <v>0.37943672202527523</v>
          </cell>
          <cell r="AA932">
            <v>-5.1885793199791537E-2</v>
          </cell>
          <cell r="AB932"/>
          <cell r="AC932" t="e">
            <v>#N/A</v>
          </cell>
          <cell r="AD932">
            <v>845</v>
          </cell>
          <cell r="AE932" t="e">
            <v>#N/A</v>
          </cell>
          <cell r="AF932"/>
        </row>
        <row r="933">
          <cell r="Y933">
            <v>917</v>
          </cell>
          <cell r="Z933">
            <v>0.15293013863265514</v>
          </cell>
          <cell r="AA933">
            <v>-0.17307864409961726</v>
          </cell>
          <cell r="AB933"/>
          <cell r="AC933" t="e">
            <v>#N/A</v>
          </cell>
          <cell r="AD933">
            <v>846</v>
          </cell>
          <cell r="AE933" t="e">
            <v>#N/A</v>
          </cell>
          <cell r="AF933"/>
        </row>
        <row r="934">
          <cell r="Y934">
            <v>918</v>
          </cell>
          <cell r="Z934">
            <v>0.3744183536618948</v>
          </cell>
          <cell r="AA934">
            <v>-5.4119222187635832E-2</v>
          </cell>
          <cell r="AB934"/>
          <cell r="AC934" t="e">
            <v>#N/A</v>
          </cell>
          <cell r="AD934">
            <v>847</v>
          </cell>
          <cell r="AE934" t="e">
            <v>#N/A</v>
          </cell>
          <cell r="AF934"/>
        </row>
        <row r="935">
          <cell r="Y935">
            <v>919</v>
          </cell>
          <cell r="Z935">
            <v>0.40405754558742046</v>
          </cell>
          <cell r="AA935">
            <v>-4.1050562379392662E-2</v>
          </cell>
          <cell r="AB935"/>
          <cell r="AC935" t="e">
            <v>#N/A</v>
          </cell>
          <cell r="AD935">
            <v>848</v>
          </cell>
          <cell r="AE935" t="e">
            <v>#N/A</v>
          </cell>
          <cell r="AF935"/>
        </row>
        <row r="936">
          <cell r="Y936">
            <v>920</v>
          </cell>
          <cell r="Z936">
            <v>0.70862229727208614</v>
          </cell>
          <cell r="AA936">
            <v>9.2859530663375697E-2</v>
          </cell>
          <cell r="AB936"/>
          <cell r="AC936" t="e">
            <v>#N/A</v>
          </cell>
          <cell r="AD936">
            <v>849</v>
          </cell>
          <cell r="AE936" t="e">
            <v>#N/A</v>
          </cell>
          <cell r="AF936"/>
        </row>
        <row r="937">
          <cell r="Y937">
            <v>921</v>
          </cell>
          <cell r="Z937">
            <v>0.18481072597205639</v>
          </cell>
          <cell r="AA937">
            <v>-0.15165154987685434</v>
          </cell>
          <cell r="AB937"/>
          <cell r="AC937" t="e">
            <v>#N/A</v>
          </cell>
          <cell r="AD937">
            <v>850</v>
          </cell>
          <cell r="AE937" t="e">
            <v>#N/A</v>
          </cell>
          <cell r="AF937"/>
        </row>
        <row r="938">
          <cell r="Y938">
            <v>922</v>
          </cell>
          <cell r="Z938">
            <v>0.66226000152528286</v>
          </cell>
          <cell r="AA938">
            <v>7.0762903091579399E-2</v>
          </cell>
          <cell r="AB938"/>
          <cell r="AC938" t="e">
            <v>#N/A</v>
          </cell>
          <cell r="AD938">
            <v>851</v>
          </cell>
          <cell r="AE938" t="e">
            <v>#N/A</v>
          </cell>
          <cell r="AF938"/>
        </row>
        <row r="939">
          <cell r="Y939">
            <v>923</v>
          </cell>
          <cell r="Z939">
            <v>0.62463284842669964</v>
          </cell>
          <cell r="AA939">
            <v>5.3696245811119273E-2</v>
          </cell>
          <cell r="AB939"/>
          <cell r="AC939" t="e">
            <v>#N/A</v>
          </cell>
          <cell r="AD939">
            <v>852</v>
          </cell>
          <cell r="AE939" t="e">
            <v>#N/A</v>
          </cell>
          <cell r="AF939"/>
        </row>
        <row r="940">
          <cell r="Y940">
            <v>924</v>
          </cell>
          <cell r="Z940">
            <v>0.60449402593076229</v>
          </cell>
          <cell r="AA940">
            <v>4.4792629953142683E-2</v>
          </cell>
          <cell r="AB940"/>
          <cell r="AC940" t="e">
            <v>#N/A</v>
          </cell>
          <cell r="AD940">
            <v>853</v>
          </cell>
          <cell r="AE940" t="e">
            <v>#N/A</v>
          </cell>
          <cell r="AF940"/>
        </row>
        <row r="941">
          <cell r="Y941">
            <v>925</v>
          </cell>
          <cell r="Z941">
            <v>0.11772996000945568</v>
          </cell>
          <cell r="AA941">
            <v>-0.20054010789840745</v>
          </cell>
          <cell r="AB941"/>
          <cell r="AC941" t="e">
            <v>#N/A</v>
          </cell>
          <cell r="AD941">
            <v>854</v>
          </cell>
          <cell r="AE941" t="e">
            <v>#N/A</v>
          </cell>
          <cell r="AF941"/>
        </row>
        <row r="942">
          <cell r="Y942">
            <v>926</v>
          </cell>
          <cell r="Z942">
            <v>0.13058403693139553</v>
          </cell>
          <cell r="AA942">
            <v>-0.18992891162766426</v>
          </cell>
          <cell r="AB942"/>
          <cell r="AC942" t="e">
            <v>#N/A</v>
          </cell>
          <cell r="AD942">
            <v>855</v>
          </cell>
          <cell r="AE942" t="e">
            <v>#N/A</v>
          </cell>
          <cell r="AF942"/>
        </row>
        <row r="943">
          <cell r="Y943">
            <v>927</v>
          </cell>
          <cell r="Z943">
            <v>6.6906435415148735E-2</v>
          </cell>
          <cell r="AA943">
            <v>-0.2534168422488573</v>
          </cell>
          <cell r="AB943"/>
          <cell r="AC943" t="e">
            <v>#N/A</v>
          </cell>
          <cell r="AD943">
            <v>856</v>
          </cell>
          <cell r="AE943" t="e">
            <v>#N/A</v>
          </cell>
          <cell r="AF943"/>
        </row>
        <row r="944">
          <cell r="Y944">
            <v>928</v>
          </cell>
          <cell r="Z944">
            <v>0.22393514774739742</v>
          </cell>
          <cell r="AA944">
            <v>-0.12828940356391344</v>
          </cell>
          <cell r="AB944"/>
          <cell r="AC944" t="e">
            <v>#N/A</v>
          </cell>
          <cell r="AD944">
            <v>857</v>
          </cell>
          <cell r="AE944" t="e">
            <v>#N/A</v>
          </cell>
          <cell r="AF944"/>
        </row>
        <row r="945">
          <cell r="Y945">
            <v>929</v>
          </cell>
          <cell r="Z945">
            <v>0.38863089494407177</v>
          </cell>
          <cell r="AA945">
            <v>-4.7816998636649226E-2</v>
          </cell>
          <cell r="AB945"/>
          <cell r="AC945" t="e">
            <v>#N/A</v>
          </cell>
          <cell r="AD945">
            <v>858</v>
          </cell>
          <cell r="AE945" t="e">
            <v>#N/A</v>
          </cell>
          <cell r="AF945"/>
        </row>
        <row r="946">
          <cell r="Y946">
            <v>930</v>
          </cell>
          <cell r="Z946">
            <v>1.642351970076561E-3</v>
          </cell>
          <cell r="AA946">
            <v>-0.49690952317182047</v>
          </cell>
          <cell r="AB946"/>
          <cell r="AC946" t="e">
            <v>#N/A</v>
          </cell>
          <cell r="AD946">
            <v>859</v>
          </cell>
          <cell r="AE946" t="e">
            <v>#N/A</v>
          </cell>
          <cell r="AF946"/>
        </row>
        <row r="947">
          <cell r="Y947">
            <v>931</v>
          </cell>
          <cell r="Z947">
            <v>0.5410513412207365</v>
          </cell>
          <cell r="AA947">
            <v>1.7424160271321983E-2</v>
          </cell>
          <cell r="AB947"/>
          <cell r="AC947" t="e">
            <v>#N/A</v>
          </cell>
          <cell r="AD947">
            <v>860</v>
          </cell>
          <cell r="AE947" t="e">
            <v>#N/A</v>
          </cell>
          <cell r="AF947"/>
        </row>
        <row r="948">
          <cell r="Y948">
            <v>932</v>
          </cell>
          <cell r="Z948">
            <v>0.44587480090558529</v>
          </cell>
          <cell r="AA948">
            <v>-2.3003522046107679E-2</v>
          </cell>
          <cell r="AB948"/>
          <cell r="AC948" t="e">
            <v>#N/A</v>
          </cell>
          <cell r="AD948">
            <v>861</v>
          </cell>
          <cell r="AE948" t="e">
            <v>#N/A</v>
          </cell>
          <cell r="AF948"/>
        </row>
        <row r="949">
          <cell r="Y949">
            <v>933</v>
          </cell>
          <cell r="Z949">
            <v>0.80542826466262341</v>
          </cell>
          <cell r="AA949">
            <v>0.14556458939999917</v>
          </cell>
          <cell r="AB949"/>
          <cell r="AC949" t="e">
            <v>#N/A</v>
          </cell>
          <cell r="AD949">
            <v>862</v>
          </cell>
          <cell r="AE949" t="e">
            <v>#N/A</v>
          </cell>
          <cell r="AF949"/>
        </row>
        <row r="950">
          <cell r="Y950">
            <v>934</v>
          </cell>
          <cell r="Z950">
            <v>0.1171936746686697</v>
          </cell>
          <cell r="AA950">
            <v>-0.20100015645966698</v>
          </cell>
          <cell r="AB950"/>
          <cell r="AC950" t="e">
            <v>#N/A</v>
          </cell>
          <cell r="AD950">
            <v>863</v>
          </cell>
          <cell r="AE950" t="e">
            <v>#N/A</v>
          </cell>
          <cell r="AF950"/>
        </row>
        <row r="951">
          <cell r="Y951">
            <v>935</v>
          </cell>
          <cell r="Z951">
            <v>0.27020446769893169</v>
          </cell>
          <cell r="AA951">
            <v>-0.10347979424228886</v>
          </cell>
          <cell r="AB951"/>
          <cell r="AC951" t="e">
            <v>#N/A</v>
          </cell>
          <cell r="AD951">
            <v>864</v>
          </cell>
          <cell r="AE951" t="e">
            <v>#N/A</v>
          </cell>
          <cell r="AF951"/>
        </row>
        <row r="952">
          <cell r="Y952">
            <v>936</v>
          </cell>
          <cell r="Z952">
            <v>0.18964739702641964</v>
          </cell>
          <cell r="AA952">
            <v>-0.14861131626153931</v>
          </cell>
          <cell r="AB952"/>
          <cell r="AC952" t="e">
            <v>#N/A</v>
          </cell>
          <cell r="AD952">
            <v>865</v>
          </cell>
          <cell r="AE952" t="e">
            <v>#N/A</v>
          </cell>
          <cell r="AF952"/>
        </row>
        <row r="953">
          <cell r="Y953">
            <v>937</v>
          </cell>
          <cell r="Z953">
            <v>0.43568035773932934</v>
          </cell>
          <cell r="AA953">
            <v>-2.7371222042447081E-2</v>
          </cell>
          <cell r="AB953"/>
          <cell r="AC953" t="e">
            <v>#N/A</v>
          </cell>
          <cell r="AD953">
            <v>866</v>
          </cell>
          <cell r="AE953" t="e">
            <v>#N/A</v>
          </cell>
          <cell r="AF953"/>
        </row>
        <row r="954">
          <cell r="Y954">
            <v>938</v>
          </cell>
          <cell r="Z954">
            <v>0.2412379439920187</v>
          </cell>
          <cell r="AA954">
            <v>-0.11871475990222329</v>
          </cell>
          <cell r="AB954"/>
          <cell r="AC954" t="e">
            <v>#N/A</v>
          </cell>
          <cell r="AD954">
            <v>867</v>
          </cell>
          <cell r="AE954" t="e">
            <v>#N/A</v>
          </cell>
          <cell r="AF954"/>
        </row>
        <row r="955">
          <cell r="Y955">
            <v>939</v>
          </cell>
          <cell r="Z955">
            <v>0.57601345889270306</v>
          </cell>
          <cell r="AA955">
            <v>3.2404103943465469E-2</v>
          </cell>
          <cell r="AB955"/>
          <cell r="AC955" t="e">
            <v>#N/A</v>
          </cell>
          <cell r="AD955">
            <v>868</v>
          </cell>
          <cell r="AE955" t="e">
            <v>#N/A</v>
          </cell>
          <cell r="AF955"/>
        </row>
        <row r="956">
          <cell r="Y956">
            <v>940</v>
          </cell>
          <cell r="Z956">
            <v>7.7101996168494225E-2</v>
          </cell>
          <cell r="AA956">
            <v>-0.24084160456024006</v>
          </cell>
          <cell r="AB956"/>
          <cell r="AC956" t="e">
            <v>#N/A</v>
          </cell>
          <cell r="AD956">
            <v>869</v>
          </cell>
          <cell r="AE956" t="e">
            <v>#N/A</v>
          </cell>
          <cell r="AF956"/>
        </row>
        <row r="957">
          <cell r="Y957">
            <v>941</v>
          </cell>
          <cell r="Z957">
            <v>0.96401089243590832</v>
          </cell>
          <cell r="AA957">
            <v>0.30412975096245359</v>
          </cell>
          <cell r="AB957"/>
          <cell r="AC957" t="e">
            <v>#N/A</v>
          </cell>
          <cell r="AD957">
            <v>870</v>
          </cell>
          <cell r="AE957" t="e">
            <v>#N/A</v>
          </cell>
          <cell r="AF957"/>
        </row>
        <row r="958">
          <cell r="Y958">
            <v>942</v>
          </cell>
          <cell r="Z958">
            <v>0.45650068484246731</v>
          </cell>
          <cell r="AA958">
            <v>-1.8467224366508717E-2</v>
          </cell>
          <cell r="AB958"/>
          <cell r="AC958" t="e">
            <v>#N/A</v>
          </cell>
          <cell r="AD958">
            <v>871</v>
          </cell>
          <cell r="AE958" t="e">
            <v>#N/A</v>
          </cell>
          <cell r="AF958"/>
        </row>
        <row r="959">
          <cell r="Y959">
            <v>943</v>
          </cell>
          <cell r="Z959">
            <v>0.78293357603251934</v>
          </cell>
          <cell r="AA959">
            <v>0.13220563252009701</v>
          </cell>
          <cell r="AB959"/>
          <cell r="AC959" t="e">
            <v>#N/A</v>
          </cell>
          <cell r="AD959">
            <v>872</v>
          </cell>
          <cell r="AE959" t="e">
            <v>#N/A</v>
          </cell>
          <cell r="AF959"/>
        </row>
        <row r="960">
          <cell r="Y960">
            <v>944</v>
          </cell>
          <cell r="Z960">
            <v>0.93846168182790279</v>
          </cell>
          <cell r="AA960">
            <v>0.26064345568521102</v>
          </cell>
          <cell r="AB960"/>
          <cell r="AC960" t="e">
            <v>#N/A</v>
          </cell>
          <cell r="AD960">
            <v>873</v>
          </cell>
          <cell r="AE960" t="e">
            <v>#N/A</v>
          </cell>
          <cell r="AF960"/>
        </row>
        <row r="961">
          <cell r="Y961">
            <v>945</v>
          </cell>
          <cell r="Z961">
            <v>1.8280891701579094E-2</v>
          </cell>
          <cell r="AA961">
            <v>-0.35337995222678364</v>
          </cell>
          <cell r="AB961"/>
          <cell r="AC961" t="e">
            <v>#N/A</v>
          </cell>
          <cell r="AD961">
            <v>874</v>
          </cell>
          <cell r="AE961" t="e">
            <v>#N/A</v>
          </cell>
          <cell r="AF961"/>
        </row>
        <row r="962">
          <cell r="Y962">
            <v>946</v>
          </cell>
          <cell r="Z962">
            <v>0.15466738305985928</v>
          </cell>
          <cell r="AA962">
            <v>-0.17183995544612768</v>
          </cell>
          <cell r="AB962"/>
          <cell r="AC962" t="e">
            <v>#N/A</v>
          </cell>
          <cell r="AD962">
            <v>875</v>
          </cell>
          <cell r="AE962" t="e">
            <v>#N/A</v>
          </cell>
          <cell r="AF962"/>
        </row>
        <row r="963">
          <cell r="Y963">
            <v>947</v>
          </cell>
          <cell r="Z963">
            <v>0.8412745725363493</v>
          </cell>
          <cell r="AA963">
            <v>0.1689818376924806</v>
          </cell>
          <cell r="AB963"/>
          <cell r="AC963" t="e">
            <v>#N/A</v>
          </cell>
          <cell r="AD963">
            <v>876</v>
          </cell>
          <cell r="AE963" t="e">
            <v>#N/A</v>
          </cell>
          <cell r="AF963"/>
        </row>
        <row r="964">
          <cell r="Y964">
            <v>948</v>
          </cell>
          <cell r="Z964">
            <v>0.6619329359382391</v>
          </cell>
          <cell r="AA964">
            <v>7.061166318478844E-2</v>
          </cell>
          <cell r="AB964"/>
          <cell r="AC964" t="e">
            <v>#N/A</v>
          </cell>
          <cell r="AD964">
            <v>877</v>
          </cell>
          <cell r="AE964" t="e">
            <v>#N/A</v>
          </cell>
          <cell r="AF964"/>
        </row>
        <row r="965">
          <cell r="Y965">
            <v>949</v>
          </cell>
          <cell r="Z965">
            <v>0.96451055817306042</v>
          </cell>
          <cell r="AA965">
            <v>0.30520422289216775</v>
          </cell>
          <cell r="AB965"/>
          <cell r="AC965" t="e">
            <v>#N/A</v>
          </cell>
          <cell r="AD965">
            <v>878</v>
          </cell>
          <cell r="AE965" t="e">
            <v>#N/A</v>
          </cell>
          <cell r="AF965"/>
        </row>
        <row r="966">
          <cell r="Y966">
            <v>950</v>
          </cell>
          <cell r="Z966">
            <v>0.12036786042153835</v>
          </cell>
          <cell r="AA966">
            <v>-0.1982985165884659</v>
          </cell>
          <cell r="AB966"/>
          <cell r="AC966" t="e">
            <v>#N/A</v>
          </cell>
          <cell r="AD966">
            <v>879</v>
          </cell>
          <cell r="AE966" t="e">
            <v>#N/A</v>
          </cell>
          <cell r="AF966"/>
        </row>
        <row r="967">
          <cell r="Y967">
            <v>951</v>
          </cell>
          <cell r="Z967">
            <v>0.16899756900966167</v>
          </cell>
          <cell r="AA967">
            <v>-0.161954223684352</v>
          </cell>
          <cell r="AB967"/>
          <cell r="AC967" t="e">
            <v>#N/A</v>
          </cell>
          <cell r="AD967">
            <v>880</v>
          </cell>
          <cell r="AE967" t="e">
            <v>#N/A</v>
          </cell>
          <cell r="AF967"/>
        </row>
        <row r="968">
          <cell r="Y968">
            <v>952</v>
          </cell>
          <cell r="Z968">
            <v>0.88706501387059689</v>
          </cell>
          <cell r="AA968">
            <v>0.20470757764191527</v>
          </cell>
          <cell r="AB968"/>
          <cell r="AC968" t="e">
            <v>#N/A</v>
          </cell>
          <cell r="AD968">
            <v>881</v>
          </cell>
          <cell r="AE968" t="e">
            <v>#N/A</v>
          </cell>
          <cell r="AF968"/>
        </row>
        <row r="969">
          <cell r="Y969">
            <v>953</v>
          </cell>
          <cell r="Z969">
            <v>0.67055114917457104</v>
          </cell>
          <cell r="AA969">
            <v>7.4616228724273356E-2</v>
          </cell>
          <cell r="AB969"/>
          <cell r="AC969" t="e">
            <v>#N/A</v>
          </cell>
          <cell r="AD969">
            <v>882</v>
          </cell>
          <cell r="AE969" t="e">
            <v>#N/A</v>
          </cell>
          <cell r="AF969"/>
        </row>
        <row r="970">
          <cell r="Y970">
            <v>954</v>
          </cell>
          <cell r="Z970">
            <v>0.20891064964234829</v>
          </cell>
          <cell r="AA970">
            <v>-0.13694995385806219</v>
          </cell>
          <cell r="AB970"/>
          <cell r="AC970" t="e">
            <v>#N/A</v>
          </cell>
          <cell r="AD970">
            <v>883</v>
          </cell>
          <cell r="AE970" t="e">
            <v>#N/A</v>
          </cell>
          <cell r="AF970"/>
        </row>
        <row r="971">
          <cell r="Y971">
            <v>955</v>
          </cell>
          <cell r="Z971">
            <v>0.21226192824542522</v>
          </cell>
          <cell r="AA971">
            <v>-0.13498760952273278</v>
          </cell>
          <cell r="AB971"/>
          <cell r="AC971" t="e">
            <v>#N/A</v>
          </cell>
          <cell r="AD971">
            <v>884</v>
          </cell>
          <cell r="AE971" t="e">
            <v>#N/A</v>
          </cell>
          <cell r="AF971"/>
        </row>
        <row r="972">
          <cell r="Y972">
            <v>956</v>
          </cell>
          <cell r="Z972">
            <v>4.1859319433569908E-2</v>
          </cell>
          <cell r="AA972">
            <v>-0.29233980918284463</v>
          </cell>
          <cell r="AB972"/>
          <cell r="AC972" t="e">
            <v>#N/A</v>
          </cell>
          <cell r="AD972">
            <v>885</v>
          </cell>
          <cell r="AE972" t="e">
            <v>#N/A</v>
          </cell>
          <cell r="AF972"/>
        </row>
        <row r="973">
          <cell r="Y973">
            <v>957</v>
          </cell>
          <cell r="Z973">
            <v>0.7385068517178297</v>
          </cell>
          <cell r="AA973">
            <v>0.10796826988104673</v>
          </cell>
          <cell r="AB973"/>
          <cell r="AC973" t="e">
            <v>#N/A</v>
          </cell>
          <cell r="AD973">
            <v>886</v>
          </cell>
          <cell r="AE973" t="e">
            <v>#N/A</v>
          </cell>
          <cell r="AF973"/>
        </row>
        <row r="974">
          <cell r="Y974">
            <v>958</v>
          </cell>
          <cell r="Z974">
            <v>0.11776736937463284</v>
          </cell>
          <cell r="AA974">
            <v>-0.2005080719385669</v>
          </cell>
          <cell r="AB974"/>
          <cell r="AC974" t="e">
            <v>#N/A</v>
          </cell>
          <cell r="AD974">
            <v>887</v>
          </cell>
          <cell r="AE974" t="e">
            <v>#N/A</v>
          </cell>
          <cell r="AF974"/>
        </row>
        <row r="975">
          <cell r="Y975">
            <v>959</v>
          </cell>
          <cell r="Z975">
            <v>0.2247221302241087</v>
          </cell>
          <cell r="AA975">
            <v>-0.12784510712697081</v>
          </cell>
          <cell r="AB975"/>
          <cell r="AC975" t="e">
            <v>#N/A</v>
          </cell>
          <cell r="AD975">
            <v>888</v>
          </cell>
          <cell r="AE975" t="e">
            <v>#N/A</v>
          </cell>
          <cell r="AF975"/>
        </row>
        <row r="976">
          <cell r="Y976">
            <v>960</v>
          </cell>
          <cell r="Z976">
            <v>0.22362877987325191</v>
          </cell>
          <cell r="AA976">
            <v>-0.12846260548336549</v>
          </cell>
          <cell r="AB976"/>
          <cell r="AC976" t="e">
            <v>#N/A</v>
          </cell>
          <cell r="AD976">
            <v>889</v>
          </cell>
          <cell r="AE976" t="e">
            <v>#N/A</v>
          </cell>
          <cell r="AF976"/>
        </row>
        <row r="977">
          <cell r="Y977">
            <v>961</v>
          </cell>
          <cell r="Z977">
            <v>0.70590665750205517</v>
          </cell>
          <cell r="AA977">
            <v>9.1524395326276611E-2</v>
          </cell>
          <cell r="AB977"/>
          <cell r="AC977" t="e">
            <v>#N/A</v>
          </cell>
          <cell r="AD977">
            <v>890</v>
          </cell>
          <cell r="AE977" t="e">
            <v>#N/A</v>
          </cell>
          <cell r="AF977"/>
        </row>
        <row r="978">
          <cell r="Y978">
            <v>962</v>
          </cell>
          <cell r="Z978">
            <v>0.75180709920823574</v>
          </cell>
          <cell r="AA978">
            <v>0.11497265712377207</v>
          </cell>
          <cell r="AB978"/>
          <cell r="AC978" t="e">
            <v>#N/A</v>
          </cell>
          <cell r="AD978">
            <v>891</v>
          </cell>
          <cell r="AE978" t="e">
            <v>#N/A</v>
          </cell>
          <cell r="AF978"/>
        </row>
        <row r="979">
          <cell r="Y979">
            <v>963</v>
          </cell>
          <cell r="Z979">
            <v>0.76557464711368084</v>
          </cell>
          <cell r="AA979">
            <v>0.12243754703190798</v>
          </cell>
          <cell r="AB979"/>
          <cell r="AC979" t="e">
            <v>#N/A</v>
          </cell>
          <cell r="AD979">
            <v>892</v>
          </cell>
          <cell r="AE979" t="e">
            <v>#N/A</v>
          </cell>
          <cell r="AF979"/>
        </row>
        <row r="980">
          <cell r="Y980">
            <v>964</v>
          </cell>
          <cell r="Z980">
            <v>0.42360722087323666</v>
          </cell>
          <cell r="AA980">
            <v>-3.2567816754660507E-2</v>
          </cell>
          <cell r="AB980"/>
          <cell r="AC980" t="e">
            <v>#N/A</v>
          </cell>
          <cell r="AD980">
            <v>893</v>
          </cell>
          <cell r="AE980" t="e">
            <v>#N/A</v>
          </cell>
          <cell r="AF980"/>
        </row>
        <row r="981">
          <cell r="Y981">
            <v>965</v>
          </cell>
          <cell r="Z981">
            <v>0.71562623791396618</v>
          </cell>
          <cell r="AA981">
            <v>9.6330183727948257E-2</v>
          </cell>
          <cell r="AB981"/>
          <cell r="AC981" t="e">
            <v>#N/A</v>
          </cell>
          <cell r="AD981">
            <v>894</v>
          </cell>
          <cell r="AE981" t="e">
            <v>#N/A</v>
          </cell>
          <cell r="AF981"/>
        </row>
        <row r="982">
          <cell r="Y982">
            <v>966</v>
          </cell>
          <cell r="Z982">
            <v>0.68228075467050076</v>
          </cell>
          <cell r="AA982">
            <v>8.0135181561838117E-2</v>
          </cell>
          <cell r="AB982"/>
          <cell r="AC982" t="e">
            <v>#N/A</v>
          </cell>
          <cell r="AD982">
            <v>895</v>
          </cell>
          <cell r="AE982" t="e">
            <v>#N/A</v>
          </cell>
          <cell r="AF982"/>
        </row>
        <row r="983">
          <cell r="Y983">
            <v>967</v>
          </cell>
          <cell r="Z983">
            <v>0.4163548182696104</v>
          </cell>
          <cell r="AA983">
            <v>-3.5703989282812355E-2</v>
          </cell>
          <cell r="AB983"/>
          <cell r="AC983" t="e">
            <v>#N/A</v>
          </cell>
          <cell r="AD983">
            <v>896</v>
          </cell>
          <cell r="AE983" t="e">
            <v>#N/A</v>
          </cell>
          <cell r="AF983"/>
        </row>
        <row r="984">
          <cell r="Y984">
            <v>968</v>
          </cell>
          <cell r="Z984">
            <v>0.59530874155461788</v>
          </cell>
          <cell r="AA984">
            <v>4.0774078541102036E-2</v>
          </cell>
          <cell r="AB984"/>
          <cell r="AC984" t="e">
            <v>#N/A</v>
          </cell>
          <cell r="AD984">
            <v>897</v>
          </cell>
          <cell r="AE984" t="e">
            <v>#N/A</v>
          </cell>
          <cell r="AF984"/>
        </row>
        <row r="985">
          <cell r="Y985">
            <v>969</v>
          </cell>
          <cell r="Z985">
            <v>0.15455981902778149</v>
          </cell>
          <cell r="AA985">
            <v>-0.17191638256993508</v>
          </cell>
          <cell r="AB985"/>
          <cell r="AC985" t="e">
            <v>#N/A</v>
          </cell>
          <cell r="AD985">
            <v>898</v>
          </cell>
          <cell r="AE985" t="e">
            <v>#N/A</v>
          </cell>
          <cell r="AF985"/>
        </row>
        <row r="986">
          <cell r="Y986">
            <v>970</v>
          </cell>
          <cell r="Z986">
            <v>0.19955546222627163</v>
          </cell>
          <cell r="AA986">
            <v>-0.14252852867630059</v>
          </cell>
          <cell r="AB986"/>
          <cell r="AC986" t="e">
            <v>#N/A</v>
          </cell>
          <cell r="AD986">
            <v>899</v>
          </cell>
          <cell r="AE986" t="e">
            <v>#N/A</v>
          </cell>
          <cell r="AF986"/>
        </row>
        <row r="987">
          <cell r="Y987">
            <v>971</v>
          </cell>
          <cell r="Z987">
            <v>0.21648372523486614</v>
          </cell>
          <cell r="AA987">
            <v>-0.13254111921604891</v>
          </cell>
          <cell r="AB987"/>
          <cell r="AC987" t="e">
            <v>#N/A</v>
          </cell>
          <cell r="AD987">
            <v>900</v>
          </cell>
          <cell r="AE987" t="e">
            <v>#N/A</v>
          </cell>
          <cell r="AF987"/>
        </row>
        <row r="988">
          <cell r="Y988">
            <v>972</v>
          </cell>
          <cell r="Z988">
            <v>6.6637089475989342E-2</v>
          </cell>
          <cell r="AA988">
            <v>-0.25376850499946657</v>
          </cell>
          <cell r="AB988"/>
          <cell r="AC988" t="e">
            <v>#N/A</v>
          </cell>
          <cell r="AD988">
            <v>901</v>
          </cell>
          <cell r="AE988" t="e">
            <v>#N/A</v>
          </cell>
          <cell r="AF988"/>
        </row>
        <row r="989">
          <cell r="Y989">
            <v>973</v>
          </cell>
          <cell r="Z989">
            <v>0.76104205660521984</v>
          </cell>
          <cell r="AA989">
            <v>0.11995419273581129</v>
          </cell>
          <cell r="AB989"/>
          <cell r="AC989" t="e">
            <v>#N/A</v>
          </cell>
          <cell r="AD989">
            <v>902</v>
          </cell>
          <cell r="AE989" t="e">
            <v>#N/A</v>
          </cell>
          <cell r="AF989"/>
        </row>
        <row r="990">
          <cell r="Y990">
            <v>974</v>
          </cell>
          <cell r="Z990">
            <v>0.45959893427789211</v>
          </cell>
          <cell r="AA990">
            <v>-1.714719568884971E-2</v>
          </cell>
          <cell r="AB990"/>
          <cell r="AC990" t="e">
            <v>#N/A</v>
          </cell>
          <cell r="AD990">
            <v>903</v>
          </cell>
          <cell r="AE990" t="e">
            <v>#N/A</v>
          </cell>
          <cell r="AF990"/>
        </row>
        <row r="991">
          <cell r="Y991">
            <v>975</v>
          </cell>
          <cell r="Z991">
            <v>0.3175650667399168</v>
          </cell>
          <cell r="AA991">
            <v>-8.02082836899808E-2</v>
          </cell>
          <cell r="AB991"/>
          <cell r="AC991" t="e">
            <v>#N/A</v>
          </cell>
          <cell r="AD991">
            <v>904</v>
          </cell>
          <cell r="AE991" t="e">
            <v>#N/A</v>
          </cell>
          <cell r="AF991"/>
        </row>
        <row r="992">
          <cell r="Y992">
            <v>976</v>
          </cell>
          <cell r="Z992">
            <v>0.79574503563344479</v>
          </cell>
          <cell r="AA992">
            <v>0.13970715499357012</v>
          </cell>
          <cell r="AB992"/>
          <cell r="AC992" t="e">
            <v>#N/A</v>
          </cell>
          <cell r="AD992">
            <v>905</v>
          </cell>
          <cell r="AE992" t="e">
            <v>#N/A</v>
          </cell>
          <cell r="AF992"/>
        </row>
        <row r="993">
          <cell r="Y993">
            <v>977</v>
          </cell>
          <cell r="Z993">
            <v>0.70101991109549999</v>
          </cell>
          <cell r="AA993">
            <v>8.9136077394841737E-2</v>
          </cell>
          <cell r="AB993"/>
          <cell r="AC993" t="e">
            <v>#N/A</v>
          </cell>
          <cell r="AD993">
            <v>906</v>
          </cell>
          <cell r="AE993" t="e">
            <v>#N/A</v>
          </cell>
          <cell r="AF993"/>
        </row>
        <row r="994">
          <cell r="Y994">
            <v>978</v>
          </cell>
          <cell r="Z994">
            <v>0.22421384416520596</v>
          </cell>
          <cell r="AA994">
            <v>-0.12813196233554777</v>
          </cell>
          <cell r="AB994"/>
          <cell r="AC994" t="e">
            <v>#N/A</v>
          </cell>
          <cell r="AD994">
            <v>907</v>
          </cell>
          <cell r="AE994" t="e">
            <v>#N/A</v>
          </cell>
          <cell r="AF994"/>
        </row>
        <row r="995">
          <cell r="Y995">
            <v>979</v>
          </cell>
          <cell r="Z995">
            <v>0.35643203370273113</v>
          </cell>
          <cell r="AA995">
            <v>-6.2205431173468495E-2</v>
          </cell>
          <cell r="AB995"/>
          <cell r="AC995" t="e">
            <v>#N/A</v>
          </cell>
          <cell r="AD995">
            <v>908</v>
          </cell>
          <cell r="AE995" t="e">
            <v>#N/A</v>
          </cell>
          <cell r="AF995"/>
        </row>
        <row r="996">
          <cell r="Y996">
            <v>980</v>
          </cell>
          <cell r="Z996">
            <v>0.97064374946057796</v>
          </cell>
          <cell r="AA996">
            <v>0.31952578038074309</v>
          </cell>
          <cell r="AB996"/>
          <cell r="AC996" t="e">
            <v>#N/A</v>
          </cell>
          <cell r="AD996">
            <v>909</v>
          </cell>
          <cell r="AE996" t="e">
            <v>#N/A</v>
          </cell>
          <cell r="AF996"/>
        </row>
        <row r="997">
          <cell r="Y997">
            <v>981</v>
          </cell>
          <cell r="Z997">
            <v>0.11297452263534069</v>
          </cell>
          <cell r="AA997">
            <v>-0.20467270492087164</v>
          </cell>
          <cell r="AB997"/>
          <cell r="AC997" t="e">
            <v>#N/A</v>
          </cell>
          <cell r="AD997">
            <v>910</v>
          </cell>
          <cell r="AE997" t="e">
            <v>#N/A</v>
          </cell>
          <cell r="AF997"/>
        </row>
        <row r="998">
          <cell r="Y998">
            <v>982</v>
          </cell>
          <cell r="Z998">
            <v>0.69502220116555691</v>
          </cell>
          <cell r="AA998">
            <v>8.6228864065090116E-2</v>
          </cell>
          <cell r="AB998"/>
          <cell r="AC998" t="e">
            <v>#N/A</v>
          </cell>
          <cell r="AD998">
            <v>911</v>
          </cell>
          <cell r="AE998" t="e">
            <v>#N/A</v>
          </cell>
          <cell r="AF998"/>
        </row>
        <row r="999">
          <cell r="Y999">
            <v>983</v>
          </cell>
          <cell r="Z999">
            <v>4.6944184228777885E-2</v>
          </cell>
          <cell r="AA999">
            <v>-0.28316619461862941</v>
          </cell>
          <cell r="AB999"/>
          <cell r="AC999" t="e">
            <v>#N/A</v>
          </cell>
          <cell r="AD999">
            <v>912</v>
          </cell>
          <cell r="AE999" t="e">
            <v>#N/A</v>
          </cell>
          <cell r="AF999"/>
        </row>
        <row r="1000">
          <cell r="Y1000">
            <v>984</v>
          </cell>
          <cell r="Z1000">
            <v>0.45256217382848263</v>
          </cell>
          <cell r="AA1000">
            <v>-2.0146889826662892E-2</v>
          </cell>
          <cell r="AB1000"/>
          <cell r="AC1000" t="e">
            <v>#N/A</v>
          </cell>
          <cell r="AD1000">
            <v>913</v>
          </cell>
          <cell r="AE1000" t="e">
            <v>#N/A</v>
          </cell>
          <cell r="AF1000"/>
        </row>
        <row r="1001">
          <cell r="Y1001">
            <v>985</v>
          </cell>
          <cell r="Z1001">
            <v>0.62159308604896069</v>
          </cell>
          <cell r="AA1001">
            <v>5.2343359258724582E-2</v>
          </cell>
          <cell r="AB1001"/>
          <cell r="AC1001" t="e">
            <v>#N/A</v>
          </cell>
          <cell r="AD1001">
            <v>914</v>
          </cell>
          <cell r="AE1001" t="e">
            <v>#N/A</v>
          </cell>
          <cell r="AF1001"/>
        </row>
        <row r="1002">
          <cell r="Y1002">
            <v>986</v>
          </cell>
          <cell r="Z1002">
            <v>0.94119972549378872</v>
          </cell>
          <cell r="AA1002">
            <v>0.2645205662121255</v>
          </cell>
          <cell r="AB1002"/>
          <cell r="AC1002" t="e">
            <v>#N/A</v>
          </cell>
          <cell r="AD1002">
            <v>915</v>
          </cell>
          <cell r="AE1002" t="e">
            <v>#N/A</v>
          </cell>
          <cell r="AF1002"/>
        </row>
        <row r="1003">
          <cell r="Y1003">
            <v>987</v>
          </cell>
          <cell r="Z1003">
            <v>0.49053431861102581</v>
          </cell>
          <cell r="AA1003">
            <v>-4.0109620168016693E-3</v>
          </cell>
          <cell r="AB1003"/>
          <cell r="AC1003" t="e">
            <v>#N/A</v>
          </cell>
          <cell r="AD1003">
            <v>916</v>
          </cell>
          <cell r="AE1003" t="e">
            <v>#N/A</v>
          </cell>
          <cell r="AF1003"/>
        </row>
        <row r="1004">
          <cell r="Y1004">
            <v>988</v>
          </cell>
          <cell r="Z1004">
            <v>0.56305640004575253</v>
          </cell>
          <cell r="AA1004">
            <v>2.6829065863458651E-2</v>
          </cell>
          <cell r="AB1004"/>
          <cell r="AC1004" t="e">
            <v>#N/A</v>
          </cell>
          <cell r="AD1004">
            <v>917</v>
          </cell>
          <cell r="AE1004" t="e">
            <v>#N/A</v>
          </cell>
          <cell r="AF1004"/>
        </row>
        <row r="1005">
          <cell r="Y1005">
            <v>989</v>
          </cell>
          <cell r="Z1005">
            <v>0.32019072584807873</v>
          </cell>
          <cell r="AA1005">
            <v>-7.8965387446822993E-2</v>
          </cell>
          <cell r="AB1005"/>
          <cell r="AC1005" t="e">
            <v>#N/A</v>
          </cell>
          <cell r="AD1005">
            <v>918</v>
          </cell>
          <cell r="AE1005" t="e">
            <v>#N/A</v>
          </cell>
          <cell r="AF1005"/>
        </row>
        <row r="1006">
          <cell r="Y1006">
            <v>990</v>
          </cell>
          <cell r="Z1006">
            <v>0.42096022330224514</v>
          </cell>
          <cell r="AA1006">
            <v>-3.3711108114676258E-2</v>
          </cell>
          <cell r="AB1006"/>
          <cell r="AC1006" t="e">
            <v>#N/A</v>
          </cell>
          <cell r="AD1006">
            <v>919</v>
          </cell>
          <cell r="AE1006" t="e">
            <v>#N/A</v>
          </cell>
          <cell r="AF1006"/>
        </row>
        <row r="1007">
          <cell r="Y1007">
            <v>991</v>
          </cell>
          <cell r="Z1007">
            <v>0.70550535432994366</v>
          </cell>
          <cell r="AA1007">
            <v>9.1327581315960984E-2</v>
          </cell>
          <cell r="AB1007"/>
          <cell r="AC1007" t="e">
            <v>#N/A</v>
          </cell>
          <cell r="AD1007">
            <v>920</v>
          </cell>
          <cell r="AE1007" t="e">
            <v>#N/A</v>
          </cell>
          <cell r="AF1007"/>
        </row>
        <row r="1008">
          <cell r="Y1008">
            <v>992</v>
          </cell>
          <cell r="Z1008">
            <v>0.71486904285848141</v>
          </cell>
          <cell r="AA1008">
            <v>9.5953034217156716E-2</v>
          </cell>
          <cell r="AB1008"/>
          <cell r="AC1008" t="e">
            <v>#N/A</v>
          </cell>
          <cell r="AD1008">
            <v>921</v>
          </cell>
          <cell r="AE1008" t="e">
            <v>#N/A</v>
          </cell>
          <cell r="AF1008"/>
        </row>
        <row r="1009">
          <cell r="Y1009">
            <v>993</v>
          </cell>
          <cell r="Z1009">
            <v>0.72188237123191357</v>
          </cell>
          <cell r="AA1009">
            <v>9.9464951766656373E-2</v>
          </cell>
          <cell r="AB1009"/>
          <cell r="AC1009" t="e">
            <v>#N/A</v>
          </cell>
          <cell r="AD1009">
            <v>922</v>
          </cell>
          <cell r="AE1009" t="e">
            <v>#N/A</v>
          </cell>
          <cell r="AF1009"/>
        </row>
        <row r="1010">
          <cell r="Y1010">
            <v>994</v>
          </cell>
          <cell r="Z1010">
            <v>9.678996168076992E-2</v>
          </cell>
          <cell r="AA1010">
            <v>-0.21975048599934105</v>
          </cell>
          <cell r="AB1010"/>
          <cell r="AC1010" t="e">
            <v>#N/A</v>
          </cell>
          <cell r="AD1010">
            <v>923</v>
          </cell>
          <cell r="AE1010" t="e">
            <v>#N/A</v>
          </cell>
          <cell r="AF1010"/>
        </row>
        <row r="1011">
          <cell r="Y1011">
            <v>995</v>
          </cell>
          <cell r="Z1011">
            <v>0.87507720105350018</v>
          </cell>
          <cell r="AA1011">
            <v>0.19450793980839567</v>
          </cell>
          <cell r="AB1011"/>
          <cell r="AC1011" t="e">
            <v>#N/A</v>
          </cell>
          <cell r="AD1011">
            <v>924</v>
          </cell>
          <cell r="AE1011" t="e">
            <v>#N/A</v>
          </cell>
          <cell r="AF1011"/>
        </row>
        <row r="1012">
          <cell r="Y1012">
            <v>996</v>
          </cell>
          <cell r="Z1012">
            <v>0.38653861545026302</v>
          </cell>
          <cell r="AA1012">
            <v>-4.8740400600331885E-2</v>
          </cell>
          <cell r="AB1012"/>
          <cell r="AC1012" t="e">
            <v>#N/A</v>
          </cell>
          <cell r="AD1012">
            <v>925</v>
          </cell>
          <cell r="AE1012" t="e">
            <v>#N/A</v>
          </cell>
          <cell r="AF1012"/>
        </row>
        <row r="1013">
          <cell r="Y1013">
            <v>997</v>
          </cell>
          <cell r="Z1013">
            <v>0.17950463108718395</v>
          </cell>
          <cell r="AA1013">
            <v>-0.15504431893210771</v>
          </cell>
          <cell r="AB1013"/>
          <cell r="AC1013" t="e">
            <v>#N/A</v>
          </cell>
          <cell r="AD1013">
            <v>926</v>
          </cell>
          <cell r="AE1013" t="e">
            <v>#N/A</v>
          </cell>
          <cell r="AF1013"/>
        </row>
        <row r="1014">
          <cell r="Y1014">
            <v>998</v>
          </cell>
          <cell r="Z1014">
            <v>0.64443204365670681</v>
          </cell>
          <cell r="AA1014">
            <v>6.2597356309125871E-2</v>
          </cell>
          <cell r="AB1014"/>
          <cell r="AC1014" t="e">
            <v>#N/A</v>
          </cell>
          <cell r="AD1014">
            <v>927</v>
          </cell>
          <cell r="AE1014" t="e">
            <v>#N/A</v>
          </cell>
          <cell r="AF1014"/>
        </row>
        <row r="1015">
          <cell r="Y1015">
            <v>999</v>
          </cell>
          <cell r="Z1015">
            <v>0.81418363563716412</v>
          </cell>
          <cell r="AA1015">
            <v>0.15101540627250015</v>
          </cell>
          <cell r="AB1015"/>
          <cell r="AC1015" t="e">
            <v>#N/A</v>
          </cell>
          <cell r="AD1015">
            <v>928</v>
          </cell>
          <cell r="AE1015" t="e">
            <v>#N/A</v>
          </cell>
          <cell r="AF1015"/>
        </row>
        <row r="1016">
          <cell r="Y1016">
            <v>1000</v>
          </cell>
          <cell r="Z1016">
            <v>0.94075890444219112</v>
          </cell>
          <cell r="AA1016">
            <v>0.26388693566137</v>
          </cell>
          <cell r="AB1016"/>
          <cell r="AC1016" t="e">
            <v>#N/A</v>
          </cell>
          <cell r="AD1016">
            <v>929</v>
          </cell>
          <cell r="AE1016" t="e">
            <v>#N/A</v>
          </cell>
          <cell r="AF1016"/>
        </row>
      </sheetData>
      <sheetData sheetId="2"/>
      <sheetData sheetId="3"/>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cell r="AC87" t="e">
            <v>#N/A</v>
          </cell>
          <cell r="AD87">
            <v>0</v>
          </cell>
          <cell r="AE87" t="e">
            <v>#N/A</v>
          </cell>
          <cell r="AF87"/>
        </row>
        <row r="88">
          <cell r="Y88">
            <v>72</v>
          </cell>
          <cell r="Z88">
            <v>0.8441519346088171</v>
          </cell>
          <cell r="AA88">
            <v>0.17100334674149906</v>
          </cell>
          <cell r="AB88"/>
          <cell r="AC88" t="e">
            <v>#N/A</v>
          </cell>
          <cell r="AD88">
            <v>1</v>
          </cell>
          <cell r="AE88" t="e">
            <v>#N/A</v>
          </cell>
          <cell r="AF88"/>
        </row>
        <row r="89">
          <cell r="Y89">
            <v>73</v>
          </cell>
          <cell r="Z89">
            <v>0.32006332091987133</v>
          </cell>
          <cell r="AA89">
            <v>-7.9025597538194686E-2</v>
          </cell>
          <cell r="AB89"/>
          <cell r="AC89" t="e">
            <v>#N/A</v>
          </cell>
          <cell r="AD89">
            <v>2</v>
          </cell>
          <cell r="AE89" t="e">
            <v>#N/A</v>
          </cell>
          <cell r="AF89"/>
        </row>
        <row r="90">
          <cell r="Y90">
            <v>74</v>
          </cell>
          <cell r="Z90">
            <v>0.3700218852609396</v>
          </cell>
          <cell r="AA90">
            <v>-5.6083655994776591E-2</v>
          </cell>
          <cell r="AB90"/>
          <cell r="AC90" t="e">
            <v>#N/A</v>
          </cell>
          <cell r="AD90">
            <v>3</v>
          </cell>
          <cell r="AE90" t="e">
            <v>#N/A</v>
          </cell>
          <cell r="AF90"/>
        </row>
        <row r="91">
          <cell r="Y91">
            <v>75</v>
          </cell>
          <cell r="Z91">
            <v>0.66289390437304974</v>
          </cell>
          <cell r="AA91">
            <v>7.1056190539369041E-2</v>
          </cell>
          <cell r="AB91"/>
          <cell r="AC91" t="e">
            <v>#N/A</v>
          </cell>
          <cell r="AD91">
            <v>4</v>
          </cell>
          <cell r="AE91" t="e">
            <v>#N/A</v>
          </cell>
          <cell r="AF91"/>
        </row>
        <row r="92">
          <cell r="Y92">
            <v>76</v>
          </cell>
          <cell r="Z92">
            <v>0.66135125420987606</v>
          </cell>
          <cell r="AA92">
            <v>7.0342824567851389E-2</v>
          </cell>
          <cell r="AB92"/>
          <cell r="AC92" t="e">
            <v>#N/A</v>
          </cell>
          <cell r="AD92">
            <v>5</v>
          </cell>
          <cell r="AE92" t="e">
            <v>#N/A</v>
          </cell>
          <cell r="AF92"/>
        </row>
        <row r="93">
          <cell r="Y93">
            <v>77</v>
          </cell>
          <cell r="Z93">
            <v>0.13966506533324718</v>
          </cell>
          <cell r="AA93">
            <v>-0.18286186310444938</v>
          </cell>
          <cell r="AB93"/>
          <cell r="AC93" t="e">
            <v>#N/A</v>
          </cell>
          <cell r="AD93">
            <v>6</v>
          </cell>
          <cell r="AE93" t="e">
            <v>#N/A</v>
          </cell>
          <cell r="AF93"/>
        </row>
        <row r="94">
          <cell r="Y94">
            <v>78</v>
          </cell>
          <cell r="Z94">
            <v>0.46897832117974758</v>
          </cell>
          <cell r="AA94">
            <v>-1.3157082054092812E-2</v>
          </cell>
          <cell r="AB94"/>
          <cell r="AC94" t="e">
            <v>#N/A</v>
          </cell>
          <cell r="AD94">
            <v>7</v>
          </cell>
          <cell r="AE94" t="e">
            <v>#N/A</v>
          </cell>
          <cell r="AF94"/>
        </row>
        <row r="95">
          <cell r="Y95">
            <v>79</v>
          </cell>
          <cell r="Z95">
            <v>0.3085156511515379</v>
          </cell>
          <cell r="AA95">
            <v>-8.4525934127234609E-2</v>
          </cell>
          <cell r="AB95"/>
          <cell r="AC95" t="e">
            <v>#N/A</v>
          </cell>
          <cell r="AD95">
            <v>8</v>
          </cell>
          <cell r="AE95" t="e">
            <v>#N/A</v>
          </cell>
          <cell r="AF95"/>
        </row>
        <row r="96">
          <cell r="Y96">
            <v>80</v>
          </cell>
          <cell r="Z96">
            <v>0.522218843922019</v>
          </cell>
          <cell r="AA96">
            <v>9.4189410021186977E-3</v>
          </cell>
          <cell r="AB96"/>
          <cell r="AC96" t="e">
            <v>#N/A</v>
          </cell>
          <cell r="AD96">
            <v>9</v>
          </cell>
          <cell r="AE96" t="e">
            <v>#N/A</v>
          </cell>
          <cell r="AF96"/>
        </row>
        <row r="97">
          <cell r="Y97">
            <v>81</v>
          </cell>
          <cell r="Z97">
            <v>0.22806516103446484</v>
          </cell>
          <cell r="AA97">
            <v>-0.12596752322098367</v>
          </cell>
          <cell r="AB97"/>
          <cell r="AC97" t="e">
            <v>#N/A</v>
          </cell>
          <cell r="AD97">
            <v>10</v>
          </cell>
          <cell r="AE97" t="e">
            <v>#N/A</v>
          </cell>
          <cell r="AF97"/>
        </row>
        <row r="98">
          <cell r="Y98">
            <v>82</v>
          </cell>
          <cell r="Z98">
            <v>0.57519174180924892</v>
          </cell>
          <cell r="AA98">
            <v>3.2049558763186908E-2</v>
          </cell>
          <cell r="AB98"/>
          <cell r="AC98" t="e">
            <v>#N/A</v>
          </cell>
          <cell r="AD98">
            <v>11</v>
          </cell>
          <cell r="AE98" t="e">
            <v>#N/A</v>
          </cell>
          <cell r="AF98"/>
        </row>
        <row r="99">
          <cell r="Y99">
            <v>83</v>
          </cell>
          <cell r="Z99">
            <v>0.89558513276278973</v>
          </cell>
          <cell r="AA99">
            <v>0.21243626150191841</v>
          </cell>
          <cell r="AB99"/>
          <cell r="AC99" t="e">
            <v>#N/A</v>
          </cell>
          <cell r="AD99">
            <v>12</v>
          </cell>
          <cell r="AE99" t="e">
            <v>#N/A</v>
          </cell>
          <cell r="AF99"/>
        </row>
        <row r="100">
          <cell r="Y100">
            <v>84</v>
          </cell>
          <cell r="Z100">
            <v>0.97023462317883968</v>
          </cell>
          <cell r="AA100">
            <v>0.31849689790528485</v>
          </cell>
          <cell r="AB100"/>
          <cell r="AC100" t="e">
            <v>#N/A</v>
          </cell>
          <cell r="AD100">
            <v>13</v>
          </cell>
          <cell r="AE100" t="e">
            <v>#N/A</v>
          </cell>
          <cell r="AF100"/>
        </row>
        <row r="101">
          <cell r="Y101">
            <v>85</v>
          </cell>
          <cell r="Z101">
            <v>0.84483849816024303</v>
          </cell>
          <cell r="AA101">
            <v>0.1714893212438566</v>
          </cell>
          <cell r="AB101"/>
          <cell r="AC101" t="e">
            <v>#N/A</v>
          </cell>
          <cell r="AD101">
            <v>14</v>
          </cell>
          <cell r="AE101" t="e">
            <v>#N/A</v>
          </cell>
          <cell r="AF101"/>
        </row>
        <row r="102">
          <cell r="Y102">
            <v>86</v>
          </cell>
          <cell r="Z102">
            <v>0.96450290642678738</v>
          </cell>
          <cell r="AA102">
            <v>0.30518767550318576</v>
          </cell>
          <cell r="AB102"/>
          <cell r="AC102" t="e">
            <v>#N/A</v>
          </cell>
          <cell r="AD102">
            <v>15</v>
          </cell>
          <cell r="AE102" t="e">
            <v>#N/A</v>
          </cell>
          <cell r="AF102"/>
        </row>
        <row r="103">
          <cell r="Y103">
            <v>87</v>
          </cell>
          <cell r="Z103">
            <v>0.60280565731227398</v>
          </cell>
          <cell r="AA103">
            <v>4.4052136445353503E-2</v>
          </cell>
          <cell r="AB103"/>
          <cell r="AC103" t="e">
            <v>#N/A</v>
          </cell>
          <cell r="AD103">
            <v>16</v>
          </cell>
          <cell r="AE103" t="e">
            <v>#N/A</v>
          </cell>
          <cell r="AF103"/>
        </row>
        <row r="104">
          <cell r="Y104">
            <v>88</v>
          </cell>
          <cell r="Z104">
            <v>0.40959628485143185</v>
          </cell>
          <cell r="AA104">
            <v>-3.8637681011100454E-2</v>
          </cell>
          <cell r="AB104"/>
          <cell r="AC104" t="e">
            <v>#N/A</v>
          </cell>
          <cell r="AD104">
            <v>17</v>
          </cell>
          <cell r="AE104" t="e">
            <v>#N/A</v>
          </cell>
          <cell r="AF104"/>
        </row>
        <row r="105">
          <cell r="Y105">
            <v>89</v>
          </cell>
          <cell r="Z105">
            <v>0.17326602153480053</v>
          </cell>
          <cell r="AA105">
            <v>-0.15911504176198221</v>
          </cell>
          <cell r="AB105"/>
          <cell r="AC105" t="e">
            <v>#N/A</v>
          </cell>
          <cell r="AD105">
            <v>18</v>
          </cell>
          <cell r="AE105" t="e">
            <v>#N/A</v>
          </cell>
          <cell r="AF105"/>
        </row>
        <row r="106">
          <cell r="Y106">
            <v>90</v>
          </cell>
          <cell r="Z106">
            <v>0.46780628524720669</v>
          </cell>
          <cell r="AA106">
            <v>-1.3655235263929717E-2</v>
          </cell>
          <cell r="AB106"/>
          <cell r="AC106" t="e">
            <v>#N/A</v>
          </cell>
          <cell r="AD106">
            <v>19</v>
          </cell>
          <cell r="AE106" t="e">
            <v>#N/A</v>
          </cell>
          <cell r="AF106"/>
        </row>
        <row r="107">
          <cell r="Y107">
            <v>91</v>
          </cell>
          <cell r="Z107">
            <v>0.9339537750929594</v>
          </cell>
          <cell r="AA107">
            <v>0.25454381964592437</v>
          </cell>
          <cell r="AB107"/>
          <cell r="AC107" t="e">
            <v>#N/A</v>
          </cell>
          <cell r="AD107">
            <v>20</v>
          </cell>
          <cell r="AE107" t="e">
            <v>#N/A</v>
          </cell>
          <cell r="AF107"/>
        </row>
        <row r="108">
          <cell r="Y108">
            <v>92</v>
          </cell>
          <cell r="Z108">
            <v>0.89232867024838924</v>
          </cell>
          <cell r="AA108">
            <v>0.20943051993037803</v>
          </cell>
          <cell r="AB108"/>
          <cell r="AC108" t="e">
            <v>#N/A</v>
          </cell>
          <cell r="AD108">
            <v>21</v>
          </cell>
          <cell r="AE108" t="e">
            <v>#N/A</v>
          </cell>
          <cell r="AF108"/>
        </row>
        <row r="109">
          <cell r="Y109">
            <v>93</v>
          </cell>
          <cell r="Z109">
            <v>0.30275660566985607</v>
          </cell>
          <cell r="AA109">
            <v>-8.7302504579142973E-2</v>
          </cell>
          <cell r="AB109"/>
          <cell r="AC109" t="e">
            <v>#N/A</v>
          </cell>
          <cell r="AD109">
            <v>22</v>
          </cell>
          <cell r="AE109" t="e">
            <v>#N/A</v>
          </cell>
          <cell r="AF109"/>
        </row>
        <row r="110">
          <cell r="Y110">
            <v>94</v>
          </cell>
          <cell r="Z110">
            <v>0.99253443442285061</v>
          </cell>
          <cell r="AA110">
            <v>0.41142872846792794</v>
          </cell>
          <cell r="AB110"/>
          <cell r="AC110" t="e">
            <v>#N/A</v>
          </cell>
          <cell r="AD110">
            <v>23</v>
          </cell>
          <cell r="AE110" t="e">
            <v>#N/A</v>
          </cell>
          <cell r="AF110"/>
        </row>
        <row r="111">
          <cell r="Y111">
            <v>95</v>
          </cell>
          <cell r="Z111">
            <v>0.24717615358531475</v>
          </cell>
          <cell r="AA111">
            <v>-0.11551616860853341</v>
          </cell>
          <cell r="AB111"/>
          <cell r="AC111" t="e">
            <v>#N/A</v>
          </cell>
          <cell r="AD111">
            <v>24</v>
          </cell>
          <cell r="AE111" t="e">
            <v>#N/A</v>
          </cell>
          <cell r="AF111"/>
        </row>
        <row r="112">
          <cell r="Y112">
            <v>96</v>
          </cell>
          <cell r="Z112">
            <v>0.74914314411580563</v>
          </cell>
          <cell r="AA112">
            <v>0.11355421338461123</v>
          </cell>
          <cell r="AB112"/>
          <cell r="AC112" t="e">
            <v>#N/A</v>
          </cell>
          <cell r="AD112">
            <v>25</v>
          </cell>
          <cell r="AE112" t="e">
            <v>#N/A</v>
          </cell>
          <cell r="AF112"/>
        </row>
        <row r="113">
          <cell r="Y113">
            <v>97</v>
          </cell>
          <cell r="Z113">
            <v>0.18001892976462841</v>
          </cell>
          <cell r="AA113">
            <v>-0.1547127460945987</v>
          </cell>
          <cell r="AB113"/>
          <cell r="AC113" t="e">
            <v>#N/A</v>
          </cell>
          <cell r="AD113">
            <v>26</v>
          </cell>
          <cell r="AE113" t="e">
            <v>#N/A</v>
          </cell>
          <cell r="AF113"/>
        </row>
        <row r="114">
          <cell r="Y114">
            <v>98</v>
          </cell>
          <cell r="Z114">
            <v>0.63789237104356289</v>
          </cell>
          <cell r="AA114">
            <v>5.9639298009494711E-2</v>
          </cell>
          <cell r="AB114"/>
          <cell r="AC114" t="e">
            <v>#N/A</v>
          </cell>
          <cell r="AD114">
            <v>27</v>
          </cell>
          <cell r="AE114" t="e">
            <v>#N/A</v>
          </cell>
          <cell r="AF114"/>
        </row>
        <row r="115">
          <cell r="Y115">
            <v>99</v>
          </cell>
          <cell r="Z115">
            <v>3.0364524573087692E-3</v>
          </cell>
          <cell r="AA115">
            <v>-0.46379002645821155</v>
          </cell>
          <cell r="AB115"/>
          <cell r="AC115" t="e">
            <v>#N/A</v>
          </cell>
          <cell r="AD115">
            <v>28</v>
          </cell>
          <cell r="AE115" t="e">
            <v>#N/A</v>
          </cell>
          <cell r="AF115"/>
        </row>
        <row r="116">
          <cell r="Y116">
            <v>100</v>
          </cell>
          <cell r="Z116">
            <v>0.56404696963727474</v>
          </cell>
          <cell r="AA116">
            <v>2.7254173220867605E-2</v>
          </cell>
          <cell r="AB116"/>
          <cell r="AC116" t="e">
            <v>#N/A</v>
          </cell>
          <cell r="AD116">
            <v>29</v>
          </cell>
          <cell r="AE116" t="e">
            <v>#N/A</v>
          </cell>
          <cell r="AF116"/>
        </row>
        <row r="117">
          <cell r="Y117">
            <v>101</v>
          </cell>
          <cell r="Z117">
            <v>2.8983352705836296E-2</v>
          </cell>
          <cell r="AA117">
            <v>-0.32047397923850851</v>
          </cell>
          <cell r="AB117"/>
          <cell r="AC117" t="e">
            <v>#N/A</v>
          </cell>
          <cell r="AD117">
            <v>30</v>
          </cell>
          <cell r="AE117" t="e">
            <v>#N/A</v>
          </cell>
          <cell r="AF117"/>
        </row>
        <row r="118">
          <cell r="Y118">
            <v>102</v>
          </cell>
          <cell r="Z118">
            <v>0.90384194813668728</v>
          </cell>
          <cell r="AA118">
            <v>0.22037532576465949</v>
          </cell>
          <cell r="AB118"/>
          <cell r="AC118" t="e">
            <v>#N/A</v>
          </cell>
          <cell r="AD118">
            <v>31</v>
          </cell>
          <cell r="AE118" t="e">
            <v>#N/A</v>
          </cell>
          <cell r="AF118"/>
        </row>
        <row r="119">
          <cell r="Y119">
            <v>103</v>
          </cell>
          <cell r="Z119">
            <v>0.23131219856441021</v>
          </cell>
          <cell r="AA119">
            <v>-0.1241586154684671</v>
          </cell>
          <cell r="AB119"/>
          <cell r="AC119" t="e">
            <v>#N/A</v>
          </cell>
          <cell r="AD119">
            <v>32</v>
          </cell>
          <cell r="AE119" t="e">
            <v>#N/A</v>
          </cell>
          <cell r="AF119"/>
        </row>
        <row r="120">
          <cell r="Y120">
            <v>104</v>
          </cell>
          <cell r="Z120">
            <v>0.99270268343389034</v>
          </cell>
          <cell r="AA120">
            <v>0.41282145649700597</v>
          </cell>
          <cell r="AB120"/>
          <cell r="AC120" t="e">
            <v>#N/A</v>
          </cell>
          <cell r="AD120">
            <v>33</v>
          </cell>
          <cell r="AE120" t="e">
            <v>#N/A</v>
          </cell>
          <cell r="AF120"/>
        </row>
        <row r="121">
          <cell r="Y121">
            <v>105</v>
          </cell>
          <cell r="Z121">
            <v>0.73947378806769848</v>
          </cell>
          <cell r="AA121">
            <v>0.10847114845461558</v>
          </cell>
          <cell r="AB121"/>
          <cell r="AC121" t="e">
            <v>#N/A</v>
          </cell>
          <cell r="AD121">
            <v>34</v>
          </cell>
          <cell r="AE121" t="e">
            <v>#N/A</v>
          </cell>
          <cell r="AF121"/>
        </row>
        <row r="122">
          <cell r="Y122">
            <v>106</v>
          </cell>
          <cell r="Z122">
            <v>0.49383622966706753</v>
          </cell>
          <cell r="AA122">
            <v>-2.6116780545854296E-3</v>
          </cell>
          <cell r="AB122"/>
          <cell r="AC122" t="e">
            <v>#N/A</v>
          </cell>
          <cell r="AD122">
            <v>35</v>
          </cell>
          <cell r="AE122" t="e">
            <v>#N/A</v>
          </cell>
          <cell r="AF122"/>
        </row>
        <row r="123">
          <cell r="Y123">
            <v>107</v>
          </cell>
          <cell r="Z123">
            <v>0.71654166094958782</v>
          </cell>
          <cell r="AA123">
            <v>9.6786786117488241E-2</v>
          </cell>
          <cell r="AB123"/>
          <cell r="AC123" t="e">
            <v>#N/A</v>
          </cell>
          <cell r="AD123">
            <v>36</v>
          </cell>
          <cell r="AE123" t="e">
            <v>#N/A</v>
          </cell>
          <cell r="AF123"/>
        </row>
        <row r="124">
          <cell r="Y124">
            <v>108</v>
          </cell>
          <cell r="Z124">
            <v>0.92453747056424618</v>
          </cell>
          <cell r="AA124">
            <v>0.2427742185492939</v>
          </cell>
          <cell r="AB124"/>
          <cell r="AC124" t="e">
            <v>#N/A</v>
          </cell>
          <cell r="AD124">
            <v>37</v>
          </cell>
          <cell r="AE124" t="e">
            <v>#N/A</v>
          </cell>
          <cell r="AF124"/>
        </row>
        <row r="125">
          <cell r="Y125">
            <v>109</v>
          </cell>
          <cell r="Z125">
            <v>0.72462957911193371</v>
          </cell>
          <cell r="AA125">
            <v>0.10085231787803753</v>
          </cell>
          <cell r="AB125"/>
          <cell r="AC125" t="e">
            <v>#N/A</v>
          </cell>
          <cell r="AD125">
            <v>38</v>
          </cell>
          <cell r="AE125" t="e">
            <v>#N/A</v>
          </cell>
          <cell r="AF125"/>
        </row>
        <row r="126">
          <cell r="Y126">
            <v>110</v>
          </cell>
          <cell r="Z126">
            <v>0.21130386553704739</v>
          </cell>
          <cell r="AA126">
            <v>-0.13554673786797022</v>
          </cell>
          <cell r="AB126"/>
          <cell r="AC126" t="e">
            <v>#N/A</v>
          </cell>
          <cell r="AD126">
            <v>39</v>
          </cell>
          <cell r="AE126" t="e">
            <v>#N/A</v>
          </cell>
          <cell r="AF126"/>
        </row>
        <row r="127">
          <cell r="Y127">
            <v>111</v>
          </cell>
          <cell r="Z127">
            <v>0.40232072584331036</v>
          </cell>
          <cell r="AA127">
            <v>-4.1808888601324944E-2</v>
          </cell>
          <cell r="AB127"/>
          <cell r="AC127" t="e">
            <v>#N/A</v>
          </cell>
          <cell r="AD127">
            <v>40</v>
          </cell>
          <cell r="AE127" t="e">
            <v>#N/A</v>
          </cell>
          <cell r="AF127"/>
        </row>
        <row r="128">
          <cell r="Y128">
            <v>112</v>
          </cell>
          <cell r="Z128">
            <v>0.488602539524436</v>
          </cell>
          <cell r="AA128">
            <v>-4.8297327290210013E-3</v>
          </cell>
          <cell r="AB128"/>
          <cell r="AC128" t="e">
            <v>#N/A</v>
          </cell>
          <cell r="AD128">
            <v>41</v>
          </cell>
          <cell r="AE128" t="e">
            <v>#N/A</v>
          </cell>
          <cell r="AF128"/>
        </row>
        <row r="129">
          <cell r="Y129">
            <v>113</v>
          </cell>
          <cell r="Z129">
            <v>0.74707737378776073</v>
          </cell>
          <cell r="AA129">
            <v>0.1124597613625974</v>
          </cell>
          <cell r="AB129"/>
          <cell r="AC129" t="e">
            <v>#N/A</v>
          </cell>
          <cell r="AD129">
            <v>42</v>
          </cell>
          <cell r="AE129" t="e">
            <v>#N/A</v>
          </cell>
          <cell r="AF129"/>
        </row>
        <row r="130">
          <cell r="Y130">
            <v>114</v>
          </cell>
          <cell r="Z130">
            <v>0.4498834665864706</v>
          </cell>
          <cell r="AA130">
            <v>-2.1290411605509818E-2</v>
          </cell>
          <cell r="AB130"/>
          <cell r="AC130" t="e">
            <v>#N/A</v>
          </cell>
          <cell r="AD130">
            <v>43</v>
          </cell>
          <cell r="AE130" t="e">
            <v>#N/A</v>
          </cell>
          <cell r="AF130"/>
        </row>
        <row r="131">
          <cell r="Y131">
            <v>115</v>
          </cell>
          <cell r="Z131">
            <v>0.51434977166354656</v>
          </cell>
          <cell r="AA131">
            <v>6.0812741714859056E-3</v>
          </cell>
          <cell r="AB131"/>
          <cell r="AC131" t="e">
            <v>#N/A</v>
          </cell>
          <cell r="AD131">
            <v>44</v>
          </cell>
          <cell r="AE131" t="e">
            <v>#N/A</v>
          </cell>
          <cell r="AF131"/>
        </row>
        <row r="132">
          <cell r="Y132">
            <v>116</v>
          </cell>
          <cell r="Z132">
            <v>0.40318249724805355</v>
          </cell>
          <cell r="AA132">
            <v>-4.1432519733830692E-2</v>
          </cell>
          <cell r="AB132"/>
          <cell r="AC132" t="e">
            <v>#N/A</v>
          </cell>
          <cell r="AD132">
            <v>45</v>
          </cell>
          <cell r="AE132" t="e">
            <v>#N/A</v>
          </cell>
          <cell r="AF132"/>
        </row>
        <row r="133">
          <cell r="Y133">
            <v>117</v>
          </cell>
          <cell r="Z133">
            <v>0.21385299973189831</v>
          </cell>
          <cell r="AA133">
            <v>-0.13406230325087992</v>
          </cell>
          <cell r="AB133"/>
          <cell r="AC133" t="e">
            <v>#N/A</v>
          </cell>
          <cell r="AD133">
            <v>46</v>
          </cell>
          <cell r="AE133" t="e">
            <v>#N/A</v>
          </cell>
          <cell r="AF133"/>
        </row>
        <row r="134">
          <cell r="Y134">
            <v>118</v>
          </cell>
          <cell r="Z134">
            <v>0.77740797959268093</v>
          </cell>
          <cell r="AA134">
            <v>0.12904973038783099</v>
          </cell>
          <cell r="AB134"/>
          <cell r="AC134" t="e">
            <v>#N/A</v>
          </cell>
          <cell r="AD134">
            <v>47</v>
          </cell>
          <cell r="AE134" t="e">
            <v>#N/A</v>
          </cell>
          <cell r="AF134"/>
        </row>
        <row r="135">
          <cell r="Y135">
            <v>119</v>
          </cell>
          <cell r="Z135">
            <v>0.90223054401576519</v>
          </cell>
          <cell r="AA135">
            <v>0.21878784368166504</v>
          </cell>
          <cell r="AB135"/>
          <cell r="AC135" t="e">
            <v>#N/A</v>
          </cell>
          <cell r="AD135">
            <v>48</v>
          </cell>
          <cell r="AE135" t="e">
            <v>#N/A</v>
          </cell>
          <cell r="AF135"/>
        </row>
        <row r="136">
          <cell r="Y136">
            <v>120</v>
          </cell>
          <cell r="Z136">
            <v>0.16915472410619259</v>
          </cell>
          <cell r="AA136">
            <v>-0.16184888195070077</v>
          </cell>
          <cell r="AB136"/>
          <cell r="AC136" t="e">
            <v>#N/A</v>
          </cell>
          <cell r="AD136">
            <v>49</v>
          </cell>
          <cell r="AE136" t="e">
            <v>#N/A</v>
          </cell>
          <cell r="AF136"/>
        </row>
        <row r="137">
          <cell r="Y137">
            <v>121</v>
          </cell>
          <cell r="Z137">
            <v>0.44007333926856518</v>
          </cell>
          <cell r="AA137">
            <v>-2.5487025601202157E-2</v>
          </cell>
          <cell r="AB137"/>
          <cell r="AC137" t="e">
            <v>#N/A</v>
          </cell>
          <cell r="AD137">
            <v>50</v>
          </cell>
          <cell r="AE137" t="e">
            <v>#N/A</v>
          </cell>
          <cell r="AF137"/>
        </row>
        <row r="138">
          <cell r="Y138">
            <v>122</v>
          </cell>
          <cell r="Z138">
            <v>0.11363906227052212</v>
          </cell>
          <cell r="AA138">
            <v>-0.20408785426705081</v>
          </cell>
          <cell r="AB138"/>
          <cell r="AC138" t="e">
            <v>#N/A</v>
          </cell>
          <cell r="AD138">
            <v>51</v>
          </cell>
          <cell r="AE138" t="e">
            <v>#N/A</v>
          </cell>
          <cell r="AF138"/>
        </row>
        <row r="139">
          <cell r="Y139">
            <v>123</v>
          </cell>
          <cell r="Z139">
            <v>0.10001303069293499</v>
          </cell>
          <cell r="AA139">
            <v>-0.21660920176725504</v>
          </cell>
          <cell r="AB139"/>
          <cell r="AC139" t="e">
            <v>#N/A</v>
          </cell>
          <cell r="AD139">
            <v>52</v>
          </cell>
          <cell r="AE139" t="e">
            <v>#N/A</v>
          </cell>
          <cell r="AF139"/>
        </row>
        <row r="140">
          <cell r="Y140">
            <v>124</v>
          </cell>
          <cell r="Z140">
            <v>0.60709874890744686</v>
          </cell>
          <cell r="AA140">
            <v>4.5936716780681931E-2</v>
          </cell>
          <cell r="AB140"/>
          <cell r="AC140" t="e">
            <v>#N/A</v>
          </cell>
          <cell r="AD140">
            <v>53</v>
          </cell>
          <cell r="AE140" t="e">
            <v>#N/A</v>
          </cell>
          <cell r="AF140"/>
        </row>
        <row r="141">
          <cell r="Y141">
            <v>125</v>
          </cell>
          <cell r="Z141">
            <v>0.38135820440948009</v>
          </cell>
          <cell r="AA141">
            <v>-5.1033049555812546E-2</v>
          </cell>
          <cell r="AB141"/>
          <cell r="AC141" t="e">
            <v>#N/A</v>
          </cell>
          <cell r="AD141">
            <v>54</v>
          </cell>
          <cell r="AE141" t="e">
            <v>#N/A</v>
          </cell>
          <cell r="AF141"/>
        </row>
        <row r="142">
          <cell r="Y142">
            <v>126</v>
          </cell>
          <cell r="Z142">
            <v>1.7514582723379135E-3</v>
          </cell>
          <cell r="AA142">
            <v>-0.49353092993835729</v>
          </cell>
          <cell r="AB142"/>
          <cell r="AC142" t="e">
            <v>#N/A</v>
          </cell>
          <cell r="AD142">
            <v>55</v>
          </cell>
          <cell r="AE142" t="e">
            <v>#N/A</v>
          </cell>
          <cell r="AF142"/>
        </row>
        <row r="143">
          <cell r="Y143">
            <v>127</v>
          </cell>
          <cell r="Z143">
            <v>0.60549233667552471</v>
          </cell>
          <cell r="AA143">
            <v>4.5230878134087736E-2</v>
          </cell>
          <cell r="AB143"/>
          <cell r="AC143" t="e">
            <v>#N/A</v>
          </cell>
          <cell r="AD143">
            <v>56</v>
          </cell>
          <cell r="AE143" t="e">
            <v>#N/A</v>
          </cell>
          <cell r="AF143"/>
        </row>
        <row r="144">
          <cell r="Y144">
            <v>128</v>
          </cell>
          <cell r="Z144">
            <v>0.23815562389791012</v>
          </cell>
          <cell r="AA144">
            <v>-0.12039187744785904</v>
          </cell>
          <cell r="AB144"/>
          <cell r="AC144" t="e">
            <v>#N/A</v>
          </cell>
          <cell r="AD144">
            <v>57</v>
          </cell>
          <cell r="AE144" t="e">
            <v>#N/A</v>
          </cell>
          <cell r="AF144"/>
        </row>
        <row r="145">
          <cell r="Y145">
            <v>129</v>
          </cell>
          <cell r="Z145">
            <v>0.33500221185386181</v>
          </cell>
          <cell r="AA145">
            <v>-7.2031134160745164E-2</v>
          </cell>
          <cell r="AB145"/>
          <cell r="AC145" t="e">
            <v>#N/A</v>
          </cell>
          <cell r="AD145">
            <v>58</v>
          </cell>
          <cell r="AE145" t="e">
            <v>#N/A</v>
          </cell>
          <cell r="AF145"/>
        </row>
        <row r="146">
          <cell r="Y146">
            <v>130</v>
          </cell>
          <cell r="Z146">
            <v>0.47356737218797207</v>
          </cell>
          <cell r="AA146">
            <v>-1.1207645388894912E-2</v>
          </cell>
          <cell r="AB146"/>
          <cell r="AC146" t="e">
            <v>#N/A</v>
          </cell>
          <cell r="AD146">
            <v>59</v>
          </cell>
          <cell r="AE146" t="e">
            <v>#N/A</v>
          </cell>
          <cell r="AF146"/>
        </row>
        <row r="147">
          <cell r="Y147">
            <v>131</v>
          </cell>
          <cell r="Z147">
            <v>0.87825555913150311</v>
          </cell>
          <cell r="AA147">
            <v>0.19714247623324041</v>
          </cell>
          <cell r="AB147"/>
          <cell r="AC147" t="e">
            <v>#N/A</v>
          </cell>
          <cell r="AD147">
            <v>60</v>
          </cell>
          <cell r="AE147" t="e">
            <v>#N/A</v>
          </cell>
          <cell r="AF147"/>
        </row>
        <row r="148">
          <cell r="Y148">
            <v>132</v>
          </cell>
          <cell r="Z148">
            <v>8.6372997611761093E-3</v>
          </cell>
          <cell r="AA148">
            <v>-0.4024304115941349</v>
          </cell>
          <cell r="AB148"/>
          <cell r="AC148" t="e">
            <v>#N/A</v>
          </cell>
          <cell r="AD148">
            <v>61</v>
          </cell>
          <cell r="AE148" t="e">
            <v>#N/A</v>
          </cell>
          <cell r="AF148"/>
        </row>
        <row r="149">
          <cell r="Y149">
            <v>133</v>
          </cell>
          <cell r="Z149">
            <v>0.10989665798842907</v>
          </cell>
          <cell r="AA149">
            <v>-0.20741402042341434</v>
          </cell>
          <cell r="AB149"/>
          <cell r="AC149" t="e">
            <v>#N/A</v>
          </cell>
          <cell r="AD149">
            <v>62</v>
          </cell>
          <cell r="AE149" t="e">
            <v>#N/A</v>
          </cell>
          <cell r="AF149"/>
        </row>
        <row r="150">
          <cell r="Y150">
            <v>134</v>
          </cell>
          <cell r="Z150">
            <v>8.5408445447683334E-3</v>
          </cell>
          <cell r="AA150">
            <v>-0.40312923126153605</v>
          </cell>
          <cell r="AB150"/>
          <cell r="AC150" t="e">
            <v>#N/A</v>
          </cell>
          <cell r="AD150">
            <v>63</v>
          </cell>
          <cell r="AE150" t="e">
            <v>#N/A</v>
          </cell>
          <cell r="AF150"/>
        </row>
        <row r="151">
          <cell r="Y151">
            <v>135</v>
          </cell>
          <cell r="Z151">
            <v>0.55647866241633892</v>
          </cell>
          <cell r="AA151">
            <v>2.4010369421117124E-2</v>
          </cell>
          <cell r="AB151"/>
          <cell r="AC151" t="e">
            <v>#N/A</v>
          </cell>
          <cell r="AD151">
            <v>64</v>
          </cell>
          <cell r="AE151" t="e">
            <v>#N/A</v>
          </cell>
          <cell r="AF151"/>
        </row>
        <row r="152">
          <cell r="Y152">
            <v>136</v>
          </cell>
          <cell r="Z152">
            <v>0.85838600061833858</v>
          </cell>
          <cell r="AA152">
            <v>0.18138634764380679</v>
          </cell>
          <cell r="AB152"/>
          <cell r="AC152" t="e">
            <v>#N/A</v>
          </cell>
          <cell r="AD152">
            <v>65</v>
          </cell>
          <cell r="AE152" t="e">
            <v>#N/A</v>
          </cell>
          <cell r="AF152"/>
        </row>
        <row r="153">
          <cell r="Y153">
            <v>137</v>
          </cell>
          <cell r="Z153">
            <v>0.16520139388740063</v>
          </cell>
          <cell r="AA153">
            <v>-0.1645182153033255</v>
          </cell>
          <cell r="AB153"/>
          <cell r="AC153" t="e">
            <v>#N/A</v>
          </cell>
          <cell r="AD153">
            <v>66</v>
          </cell>
          <cell r="AE153" t="e">
            <v>#N/A</v>
          </cell>
          <cell r="AF153"/>
        </row>
        <row r="154">
          <cell r="Y154">
            <v>138</v>
          </cell>
          <cell r="Z154">
            <v>8.6492126807570457E-2</v>
          </cell>
          <cell r="AA154">
            <v>-0.2303344936081142</v>
          </cell>
          <cell r="AB154"/>
          <cell r="AC154" t="e">
            <v>#N/A</v>
          </cell>
          <cell r="AD154">
            <v>67</v>
          </cell>
          <cell r="AE154" t="e">
            <v>#N/A</v>
          </cell>
          <cell r="AF154"/>
        </row>
        <row r="155">
          <cell r="Y155">
            <v>139</v>
          </cell>
          <cell r="Z155">
            <v>0.39247335307300091</v>
          </cell>
          <cell r="AA155">
            <v>-4.6124864808523493E-2</v>
          </cell>
          <cell r="AB155"/>
          <cell r="AC155" t="e">
            <v>#N/A</v>
          </cell>
          <cell r="AD155">
            <v>68</v>
          </cell>
          <cell r="AE155" t="e">
            <v>#N/A</v>
          </cell>
          <cell r="AF155"/>
        </row>
        <row r="156">
          <cell r="Y156">
            <v>140</v>
          </cell>
          <cell r="Z156">
            <v>0.63288359902799129</v>
          </cell>
          <cell r="AA156">
            <v>5.7386040129740107E-2</v>
          </cell>
          <cell r="AB156"/>
          <cell r="AC156" t="e">
            <v>#N/A</v>
          </cell>
          <cell r="AD156">
            <v>69</v>
          </cell>
          <cell r="AE156" t="e">
            <v>#N/A</v>
          </cell>
          <cell r="AF156"/>
        </row>
        <row r="157">
          <cell r="Y157">
            <v>141</v>
          </cell>
          <cell r="Z157">
            <v>0.21776670031249523</v>
          </cell>
          <cell r="AA157">
            <v>-0.13180313863997639</v>
          </cell>
          <cell r="AB157"/>
          <cell r="AC157" t="e">
            <v>#N/A</v>
          </cell>
          <cell r="AD157">
            <v>70</v>
          </cell>
          <cell r="AE157" t="e">
            <v>#N/A</v>
          </cell>
          <cell r="AF157"/>
        </row>
        <row r="158">
          <cell r="Y158">
            <v>142</v>
          </cell>
          <cell r="Z158">
            <v>0.83409205637872219</v>
          </cell>
          <cell r="AA158">
            <v>0.16403814324280669</v>
          </cell>
          <cell r="AB158"/>
          <cell r="AC158" t="e">
            <v>#N/A</v>
          </cell>
          <cell r="AD158">
            <v>71</v>
          </cell>
          <cell r="AE158" t="e">
            <v>#N/A</v>
          </cell>
          <cell r="AF158"/>
        </row>
        <row r="159">
          <cell r="Y159">
            <v>143</v>
          </cell>
          <cell r="Z159">
            <v>0.40698395483195782</v>
          </cell>
          <cell r="AA159">
            <v>-3.9774698424874605E-2</v>
          </cell>
          <cell r="AB159"/>
          <cell r="AC159" t="e">
            <v>#N/A</v>
          </cell>
          <cell r="AD159">
            <v>72</v>
          </cell>
          <cell r="AE159" t="e">
            <v>#N/A</v>
          </cell>
          <cell r="AF159"/>
        </row>
        <row r="160">
          <cell r="Y160">
            <v>144</v>
          </cell>
          <cell r="Z160">
            <v>0.83911099098622799</v>
          </cell>
          <cell r="AA160">
            <v>0.16747757764911464</v>
          </cell>
          <cell r="AB160"/>
          <cell r="AC160" t="e">
            <v>#N/A</v>
          </cell>
          <cell r="AD160">
            <v>73</v>
          </cell>
          <cell r="AE160" t="e">
            <v>#N/A</v>
          </cell>
          <cell r="AF160"/>
        </row>
        <row r="161">
          <cell r="Y161">
            <v>145</v>
          </cell>
          <cell r="Z161">
            <v>0.81830516271293163</v>
          </cell>
          <cell r="AA161">
            <v>0.15363637957391657</v>
          </cell>
          <cell r="AB161"/>
          <cell r="AC161" t="e">
            <v>#N/A</v>
          </cell>
          <cell r="AD161">
            <v>74</v>
          </cell>
          <cell r="AE161" t="e">
            <v>#N/A</v>
          </cell>
          <cell r="AF161"/>
        </row>
        <row r="162">
          <cell r="Y162">
            <v>146</v>
          </cell>
          <cell r="Z162">
            <v>0.26509643159806728</v>
          </cell>
          <cell r="AA162">
            <v>-0.10610263150026972</v>
          </cell>
          <cell r="AB162"/>
          <cell r="AC162" t="e">
            <v>#N/A</v>
          </cell>
          <cell r="AD162">
            <v>75</v>
          </cell>
          <cell r="AE162" t="e">
            <v>#N/A</v>
          </cell>
          <cell r="AF162"/>
        </row>
        <row r="163">
          <cell r="Y163">
            <v>147</v>
          </cell>
          <cell r="Z163">
            <v>0.7622342836111784</v>
          </cell>
          <cell r="AA163">
            <v>0.12060487307007314</v>
          </cell>
          <cell r="AB163"/>
          <cell r="AC163" t="e">
            <v>#N/A</v>
          </cell>
          <cell r="AD163">
            <v>76</v>
          </cell>
          <cell r="AE163" t="e">
            <v>#N/A</v>
          </cell>
          <cell r="AF163"/>
        </row>
        <row r="164">
          <cell r="Y164">
            <v>148</v>
          </cell>
          <cell r="Z164">
            <v>0.74515747092664242</v>
          </cell>
          <cell r="AA164">
            <v>0.11144680126419877</v>
          </cell>
          <cell r="AB164"/>
          <cell r="AC164" t="e">
            <v>#N/A</v>
          </cell>
          <cell r="AD164">
            <v>77</v>
          </cell>
          <cell r="AE164" t="e">
            <v>#N/A</v>
          </cell>
          <cell r="AF164"/>
        </row>
        <row r="165">
          <cell r="Y165">
            <v>149</v>
          </cell>
          <cell r="Z165">
            <v>0.39631354622542858</v>
          </cell>
          <cell r="AA165">
            <v>-4.4438334367212728E-2</v>
          </cell>
          <cell r="AB165"/>
          <cell r="AC165" t="e">
            <v>#N/A</v>
          </cell>
          <cell r="AD165">
            <v>78</v>
          </cell>
          <cell r="AE165" t="e">
            <v>#N/A</v>
          </cell>
          <cell r="AF165"/>
        </row>
        <row r="166">
          <cell r="Y166">
            <v>150</v>
          </cell>
          <cell r="Z166">
            <v>0.61433038674294949</v>
          </cell>
          <cell r="AA166">
            <v>4.9124350453204187E-2</v>
          </cell>
          <cell r="AB166"/>
          <cell r="AC166" t="e">
            <v>#N/A</v>
          </cell>
          <cell r="AD166">
            <v>79</v>
          </cell>
          <cell r="AE166" t="e">
            <v>#N/A</v>
          </cell>
          <cell r="AF166"/>
        </row>
        <row r="167">
          <cell r="Y167">
            <v>151</v>
          </cell>
          <cell r="Z167">
            <v>0.8537245225161314</v>
          </cell>
          <cell r="AA167">
            <v>0.17791206865042078</v>
          </cell>
          <cell r="AB167"/>
          <cell r="AC167" t="e">
            <v>#N/A</v>
          </cell>
          <cell r="AD167">
            <v>80</v>
          </cell>
          <cell r="AE167" t="e">
            <v>#N/A</v>
          </cell>
          <cell r="AF167"/>
        </row>
        <row r="168">
          <cell r="Y168">
            <v>152</v>
          </cell>
          <cell r="Z168">
            <v>0.32358010672032833</v>
          </cell>
          <cell r="AA168">
            <v>-7.7367249393194087E-2</v>
          </cell>
          <cell r="AB168"/>
          <cell r="AC168" t="e">
            <v>#N/A</v>
          </cell>
          <cell r="AD168">
            <v>81</v>
          </cell>
          <cell r="AE168" t="e">
            <v>#N/A</v>
          </cell>
          <cell r="AF168"/>
        </row>
        <row r="169">
          <cell r="Y169">
            <v>153</v>
          </cell>
          <cell r="Z169">
            <v>0.27374467067420483</v>
          </cell>
          <cell r="AA169">
            <v>-0.10167654265521515</v>
          </cell>
          <cell r="AB169"/>
          <cell r="AC169" t="e">
            <v>#N/A</v>
          </cell>
          <cell r="AD169">
            <v>82</v>
          </cell>
          <cell r="AE169" t="e">
            <v>#N/A</v>
          </cell>
          <cell r="AF169"/>
        </row>
        <row r="170">
          <cell r="Y170">
            <v>154</v>
          </cell>
          <cell r="Z170">
            <v>0.26542276702821255</v>
          </cell>
          <cell r="AA170">
            <v>-0.10593430781308198</v>
          </cell>
          <cell r="AB170"/>
          <cell r="AC170" t="e">
            <v>#N/A</v>
          </cell>
          <cell r="AD170">
            <v>83</v>
          </cell>
          <cell r="AE170" t="e">
            <v>#N/A</v>
          </cell>
          <cell r="AF170"/>
        </row>
        <row r="171">
          <cell r="Y171">
            <v>155</v>
          </cell>
          <cell r="Z171">
            <v>0.12077809683978558</v>
          </cell>
          <cell r="AA171">
            <v>-0.19795303478895418</v>
          </cell>
          <cell r="AB171"/>
          <cell r="AC171" t="e">
            <v>#N/A</v>
          </cell>
          <cell r="AD171">
            <v>84</v>
          </cell>
          <cell r="AE171" t="e">
            <v>#N/A</v>
          </cell>
          <cell r="AF171"/>
        </row>
        <row r="172">
          <cell r="Y172">
            <v>156</v>
          </cell>
          <cell r="Z172">
            <v>0.53851311467587948</v>
          </cell>
          <cell r="AA172">
            <v>1.6343339870323787E-2</v>
          </cell>
          <cell r="AB172"/>
          <cell r="AC172" t="e">
            <v>#N/A</v>
          </cell>
          <cell r="AD172">
            <v>85</v>
          </cell>
          <cell r="AE172" t="e">
            <v>#N/A</v>
          </cell>
          <cell r="AF172"/>
        </row>
        <row r="173">
          <cell r="Y173">
            <v>157</v>
          </cell>
          <cell r="Z173">
            <v>0.14742928557097912</v>
          </cell>
          <cell r="AA173">
            <v>-0.17706365230684498</v>
          </cell>
          <cell r="AB173"/>
          <cell r="AC173" t="e">
            <v>#N/A</v>
          </cell>
          <cell r="AD173">
            <v>86</v>
          </cell>
          <cell r="AE173" t="e">
            <v>#N/A</v>
          </cell>
          <cell r="AF173"/>
        </row>
        <row r="174">
          <cell r="Y174">
            <v>158</v>
          </cell>
          <cell r="Z174">
            <v>0.77229050360620022</v>
          </cell>
          <cell r="AA174">
            <v>0.12616653787846793</v>
          </cell>
          <cell r="AB174"/>
          <cell r="AC174" t="e">
            <v>#N/A</v>
          </cell>
          <cell r="AD174">
            <v>87</v>
          </cell>
          <cell r="AE174" t="e">
            <v>#N/A</v>
          </cell>
          <cell r="AF174"/>
        </row>
        <row r="175">
          <cell r="Y175">
            <v>159</v>
          </cell>
          <cell r="Z175">
            <v>7.5838549062609673E-2</v>
          </cell>
          <cell r="AA175">
            <v>-0.24232816035339338</v>
          </cell>
          <cell r="AB175"/>
          <cell r="AC175" t="e">
            <v>#N/A</v>
          </cell>
          <cell r="AD175">
            <v>88</v>
          </cell>
          <cell r="AE175" t="e">
            <v>#N/A</v>
          </cell>
          <cell r="AF175"/>
        </row>
        <row r="176">
          <cell r="Y176">
            <v>160</v>
          </cell>
          <cell r="Z176">
            <v>0.47652723453938961</v>
          </cell>
          <cell r="AA176">
            <v>-9.9510974693184893E-3</v>
          </cell>
          <cell r="AB176"/>
          <cell r="AC176" t="e">
            <v>#N/A</v>
          </cell>
          <cell r="AD176">
            <v>89</v>
          </cell>
          <cell r="AE176" t="e">
            <v>#N/A</v>
          </cell>
          <cell r="AF176"/>
        </row>
        <row r="177">
          <cell r="Y177">
            <v>161</v>
          </cell>
          <cell r="Z177">
            <v>0.54024794511497021</v>
          </cell>
          <cell r="AA177">
            <v>1.7081985461841226E-2</v>
          </cell>
          <cell r="AB177"/>
          <cell r="AC177" t="e">
            <v>#N/A</v>
          </cell>
          <cell r="AD177">
            <v>90</v>
          </cell>
          <cell r="AE177" t="e">
            <v>#N/A</v>
          </cell>
          <cell r="AF177"/>
        </row>
        <row r="178">
          <cell r="Y178">
            <v>162</v>
          </cell>
          <cell r="Z178">
            <v>0.47437298856675625</v>
          </cell>
          <cell r="AA178">
            <v>-1.0865579298917462E-2</v>
          </cell>
          <cell r="AB178"/>
          <cell r="AC178" t="e">
            <v>#N/A</v>
          </cell>
          <cell r="AD178">
            <v>91</v>
          </cell>
          <cell r="AE178" t="e">
            <v>#N/A</v>
          </cell>
          <cell r="AF178"/>
        </row>
        <row r="179">
          <cell r="Y179">
            <v>163</v>
          </cell>
          <cell r="Z179">
            <v>5.2516413852572441E-2</v>
          </cell>
          <cell r="AA179">
            <v>-0.27398703879813124</v>
          </cell>
          <cell r="AB179"/>
          <cell r="AC179" t="e">
            <v>#N/A</v>
          </cell>
          <cell r="AD179">
            <v>92</v>
          </cell>
          <cell r="AE179" t="e">
            <v>#N/A</v>
          </cell>
          <cell r="AF179"/>
        </row>
        <row r="180">
          <cell r="Y180">
            <v>164</v>
          </cell>
          <cell r="Z180">
            <v>0.82123910449445248</v>
          </cell>
          <cell r="AA180">
            <v>0.15552486974233903</v>
          </cell>
          <cell r="AB180"/>
          <cell r="AC180" t="e">
            <v>#N/A</v>
          </cell>
          <cell r="AD180">
            <v>93</v>
          </cell>
          <cell r="AE180" t="e">
            <v>#N/A</v>
          </cell>
          <cell r="AF180"/>
        </row>
        <row r="181">
          <cell r="Y181">
            <v>165</v>
          </cell>
          <cell r="Z181">
            <v>0.72105288319289684</v>
          </cell>
          <cell r="AA181">
            <v>9.9047370320688444E-2</v>
          </cell>
          <cell r="AB181"/>
          <cell r="AC181" t="e">
            <v>#N/A</v>
          </cell>
          <cell r="AD181">
            <v>94</v>
          </cell>
          <cell r="AE181" t="e">
            <v>#N/A</v>
          </cell>
          <cell r="AF181"/>
        </row>
        <row r="182">
          <cell r="Y182">
            <v>166</v>
          </cell>
          <cell r="Z182">
            <v>0.20561644993722439</v>
          </cell>
          <cell r="AA182">
            <v>-0.1388970326263394</v>
          </cell>
          <cell r="AB182"/>
          <cell r="AC182" t="e">
            <v>#N/A</v>
          </cell>
          <cell r="AD182">
            <v>95</v>
          </cell>
          <cell r="AE182" t="e">
            <v>#N/A</v>
          </cell>
          <cell r="AF182"/>
        </row>
        <row r="183">
          <cell r="Y183">
            <v>167</v>
          </cell>
          <cell r="Z183">
            <v>0.17238609306514263</v>
          </cell>
          <cell r="AA183">
            <v>-0.1596966424274216</v>
          </cell>
          <cell r="AB183"/>
          <cell r="AC183" t="e">
            <v>#N/A</v>
          </cell>
          <cell r="AD183">
            <v>96</v>
          </cell>
          <cell r="AE183" t="e">
            <v>#N/A</v>
          </cell>
          <cell r="AF183"/>
        </row>
        <row r="184">
          <cell r="Y184">
            <v>168</v>
          </cell>
          <cell r="Z184">
            <v>0.17167063616216183</v>
          </cell>
          <cell r="AA184">
            <v>-0.16017093064074078</v>
          </cell>
          <cell r="AB184"/>
          <cell r="AC184" t="e">
            <v>#N/A</v>
          </cell>
          <cell r="AD184">
            <v>97</v>
          </cell>
          <cell r="AE184" t="e">
            <v>#N/A</v>
          </cell>
          <cell r="AF184"/>
        </row>
        <row r="185">
          <cell r="Y185">
            <v>169</v>
          </cell>
          <cell r="Z185">
            <v>0.59333988837897778</v>
          </cell>
          <cell r="AA185">
            <v>3.9915775696038824E-2</v>
          </cell>
          <cell r="AB185"/>
          <cell r="AC185" t="e">
            <v>#N/A</v>
          </cell>
          <cell r="AD185">
            <v>98</v>
          </cell>
          <cell r="AE185" t="e">
            <v>#N/A</v>
          </cell>
          <cell r="AF185"/>
        </row>
        <row r="186">
          <cell r="Y186">
            <v>170</v>
          </cell>
          <cell r="Z186">
            <v>0.59720832668244839</v>
          </cell>
          <cell r="AA186">
            <v>4.1603182077217811E-2</v>
          </cell>
          <cell r="AB186"/>
          <cell r="AC186" t="e">
            <v>#N/A</v>
          </cell>
          <cell r="AD186">
            <v>99</v>
          </cell>
          <cell r="AE186" t="e">
            <v>#N/A</v>
          </cell>
          <cell r="AF186"/>
        </row>
        <row r="187">
          <cell r="Y187">
            <v>171</v>
          </cell>
          <cell r="Z187">
            <v>3.0532730743288994E-2</v>
          </cell>
          <cell r="AA187">
            <v>-0.31659836246967205</v>
          </cell>
          <cell r="AB187"/>
          <cell r="AC187" t="e">
            <v>#N/A</v>
          </cell>
          <cell r="AD187">
            <v>100</v>
          </cell>
          <cell r="AE187" t="e">
            <v>#N/A</v>
          </cell>
          <cell r="AF187"/>
        </row>
        <row r="188">
          <cell r="Y188">
            <v>172</v>
          </cell>
          <cell r="Z188">
            <v>0.70435838960111141</v>
          </cell>
          <cell r="AA188">
            <v>9.0765747918578929E-2</v>
          </cell>
          <cell r="AB188"/>
          <cell r="AC188" t="e">
            <v>#N/A</v>
          </cell>
          <cell r="AD188">
            <v>101</v>
          </cell>
          <cell r="AE188" t="e">
            <v>#N/A</v>
          </cell>
          <cell r="AF188"/>
        </row>
        <row r="189">
          <cell r="Y189">
            <v>173</v>
          </cell>
          <cell r="Z189">
            <v>5.2670178934931755E-2</v>
          </cell>
          <cell r="AA189">
            <v>-0.27374496669160053</v>
          </cell>
          <cell r="AB189"/>
          <cell r="AC189" t="e">
            <v>#N/A</v>
          </cell>
          <cell r="AD189">
            <v>102</v>
          </cell>
          <cell r="AE189" t="e">
            <v>#N/A</v>
          </cell>
          <cell r="AF189"/>
        </row>
        <row r="190">
          <cell r="Y190">
            <v>174</v>
          </cell>
          <cell r="Z190">
            <v>0.474061643704772</v>
          </cell>
          <cell r="AA190">
            <v>-1.0997771506743371E-2</v>
          </cell>
          <cell r="AB190"/>
          <cell r="AC190" t="e">
            <v>#N/A</v>
          </cell>
          <cell r="AD190">
            <v>103</v>
          </cell>
          <cell r="AE190" t="e">
            <v>#N/A</v>
          </cell>
          <cell r="AF190"/>
        </row>
        <row r="191">
          <cell r="Y191">
            <v>175</v>
          </cell>
          <cell r="Z191">
            <v>0.59984908811748028</v>
          </cell>
          <cell r="AA191">
            <v>4.2757453403424031E-2</v>
          </cell>
          <cell r="AB191"/>
          <cell r="AC191" t="e">
            <v>#N/A</v>
          </cell>
          <cell r="AD191">
            <v>104</v>
          </cell>
          <cell r="AE191" t="e">
            <v>#N/A</v>
          </cell>
          <cell r="AF191"/>
        </row>
        <row r="192">
          <cell r="Y192">
            <v>176</v>
          </cell>
          <cell r="Z192">
            <v>0.67921294830739498</v>
          </cell>
          <cell r="AA192">
            <v>7.868370376744882E-2</v>
          </cell>
          <cell r="AB192"/>
          <cell r="AC192" t="e">
            <v>#N/A</v>
          </cell>
          <cell r="AD192">
            <v>105</v>
          </cell>
          <cell r="AE192" t="e">
            <v>#N/A</v>
          </cell>
          <cell r="AF192"/>
        </row>
        <row r="193">
          <cell r="Y193">
            <v>177</v>
          </cell>
          <cell r="Z193">
            <v>0.31284227780997753</v>
          </cell>
          <cell r="AA193">
            <v>-8.2454908844185187E-2</v>
          </cell>
          <cell r="AB193"/>
          <cell r="AC193" t="e">
            <v>#N/A</v>
          </cell>
          <cell r="AD193">
            <v>106</v>
          </cell>
          <cell r="AE193" t="e">
            <v>#N/A</v>
          </cell>
          <cell r="AF193"/>
        </row>
        <row r="194">
          <cell r="Y194">
            <v>178</v>
          </cell>
          <cell r="Z194">
            <v>0.84504938684403896</v>
          </cell>
          <cell r="AA194">
            <v>0.17163888071945985</v>
          </cell>
          <cell r="AB194"/>
          <cell r="AC194" t="e">
            <v>#N/A</v>
          </cell>
          <cell r="AD194">
            <v>107</v>
          </cell>
          <cell r="AE194" t="e">
            <v>#N/A</v>
          </cell>
          <cell r="AF194"/>
        </row>
        <row r="195">
          <cell r="Y195">
            <v>179</v>
          </cell>
          <cell r="Z195">
            <v>0.85408241860568523</v>
          </cell>
          <cell r="AA195">
            <v>0.17817614863095418</v>
          </cell>
          <cell r="AB195"/>
          <cell r="AC195" t="e">
            <v>#N/A</v>
          </cell>
          <cell r="AD195">
            <v>108</v>
          </cell>
          <cell r="AE195" t="e">
            <v>#N/A</v>
          </cell>
          <cell r="AF195"/>
        </row>
        <row r="196">
          <cell r="Y196">
            <v>180</v>
          </cell>
          <cell r="Z196">
            <v>0.28912829421460629</v>
          </cell>
          <cell r="AA196">
            <v>-9.3969845230022234E-2</v>
          </cell>
          <cell r="AB196"/>
          <cell r="AC196" t="e">
            <v>#N/A</v>
          </cell>
          <cell r="AD196">
            <v>109</v>
          </cell>
          <cell r="AE196" t="e">
            <v>#N/A</v>
          </cell>
          <cell r="AF196"/>
        </row>
        <row r="197">
          <cell r="Y197">
            <v>181</v>
          </cell>
          <cell r="Z197">
            <v>0.70081388764083385</v>
          </cell>
          <cell r="AA197">
            <v>8.9035779989058747E-2</v>
          </cell>
          <cell r="AB197"/>
          <cell r="AC197" t="e">
            <v>#N/A</v>
          </cell>
          <cell r="AD197">
            <v>110</v>
          </cell>
          <cell r="AE197" t="e">
            <v>#N/A</v>
          </cell>
          <cell r="AF197"/>
        </row>
        <row r="198">
          <cell r="Y198">
            <v>182</v>
          </cell>
          <cell r="Z198">
            <v>0.98698887787759304</v>
          </cell>
          <cell r="AA198">
            <v>0.37624233021386155</v>
          </cell>
          <cell r="AB198"/>
          <cell r="AC198" t="e">
            <v>#N/A</v>
          </cell>
          <cell r="AD198">
            <v>111</v>
          </cell>
          <cell r="AE198" t="e">
            <v>#N/A</v>
          </cell>
          <cell r="AF198"/>
        </row>
        <row r="199">
          <cell r="Y199">
            <v>183</v>
          </cell>
          <cell r="Z199">
            <v>0.60963134281337261</v>
          </cell>
          <cell r="AA199">
            <v>4.7051143043466803E-2</v>
          </cell>
          <cell r="AB199"/>
          <cell r="AC199" t="e">
            <v>#N/A</v>
          </cell>
          <cell r="AD199">
            <v>112</v>
          </cell>
          <cell r="AE199" t="e">
            <v>#N/A</v>
          </cell>
          <cell r="AF199"/>
        </row>
        <row r="200">
          <cell r="Y200">
            <v>184</v>
          </cell>
          <cell r="Z200">
            <v>0.35334118269383907</v>
          </cell>
          <cell r="AA200">
            <v>-6.3608927386657452E-2</v>
          </cell>
          <cell r="AB200"/>
          <cell r="AC200" t="e">
            <v>#N/A</v>
          </cell>
          <cell r="AD200">
            <v>113</v>
          </cell>
          <cell r="AE200" t="e">
            <v>#N/A</v>
          </cell>
          <cell r="AF200"/>
        </row>
        <row r="201">
          <cell r="Y201">
            <v>185</v>
          </cell>
          <cell r="Z201">
            <v>0.42037376575171947</v>
          </cell>
          <cell r="AA201">
            <v>-3.3964617893442683E-2</v>
          </cell>
          <cell r="AB201"/>
          <cell r="AC201" t="e">
            <v>#N/A</v>
          </cell>
          <cell r="AD201">
            <v>114</v>
          </cell>
          <cell r="AE201" t="e">
            <v>#N/A</v>
          </cell>
          <cell r="AF201"/>
        </row>
        <row r="202">
          <cell r="Y202">
            <v>186</v>
          </cell>
          <cell r="Z202">
            <v>0.12237614952027798</v>
          </cell>
          <cell r="AA202">
            <v>-0.19661504712170264</v>
          </cell>
          <cell r="AB202"/>
          <cell r="AC202" t="e">
            <v>#N/A</v>
          </cell>
          <cell r="AD202">
            <v>115</v>
          </cell>
          <cell r="AE202" t="e">
            <v>#N/A</v>
          </cell>
          <cell r="AF202"/>
        </row>
        <row r="203">
          <cell r="Y203">
            <v>187</v>
          </cell>
          <cell r="Z203">
            <v>8.6092723533511162E-2</v>
          </cell>
          <cell r="AA203">
            <v>-0.2307634736873618</v>
          </cell>
          <cell r="AB203"/>
          <cell r="AC203" t="e">
            <v>#N/A</v>
          </cell>
          <cell r="AD203">
            <v>116</v>
          </cell>
          <cell r="AE203" t="e">
            <v>#N/A</v>
          </cell>
          <cell r="AF203"/>
        </row>
        <row r="204">
          <cell r="Y204">
            <v>188</v>
          </cell>
          <cell r="Z204">
            <v>0.3545405175536871</v>
          </cell>
          <cell r="AA204">
            <v>-6.3063816925982827E-2</v>
          </cell>
          <cell r="AB204"/>
          <cell r="AC204" t="e">
            <v>#N/A</v>
          </cell>
          <cell r="AD204">
            <v>117</v>
          </cell>
          <cell r="AE204" t="e">
            <v>#N/A</v>
          </cell>
          <cell r="AF204"/>
        </row>
        <row r="205">
          <cell r="Y205">
            <v>189</v>
          </cell>
          <cell r="Z205">
            <v>0.78456359915435314</v>
          </cell>
          <cell r="AA205">
            <v>0.13314542906858823</v>
          </cell>
          <cell r="AB205"/>
          <cell r="AC205" t="e">
            <v>#N/A</v>
          </cell>
          <cell r="AD205">
            <v>118</v>
          </cell>
          <cell r="AE205" t="e">
            <v>#N/A</v>
          </cell>
          <cell r="AF205"/>
        </row>
        <row r="206">
          <cell r="Y206">
            <v>190</v>
          </cell>
          <cell r="Z206">
            <v>0.19087032042443752</v>
          </cell>
          <cell r="AA206">
            <v>-0.14785020430328097</v>
          </cell>
          <cell r="AB206"/>
          <cell r="AC206" t="e">
            <v>#N/A</v>
          </cell>
          <cell r="AD206">
            <v>119</v>
          </cell>
          <cell r="AE206" t="e">
            <v>#N/A</v>
          </cell>
          <cell r="AF206"/>
        </row>
        <row r="207">
          <cell r="Y207">
            <v>191</v>
          </cell>
          <cell r="Z207">
            <v>0.68555854074656963</v>
          </cell>
          <cell r="AA207">
            <v>8.1692567774352617E-2</v>
          </cell>
          <cell r="AB207"/>
          <cell r="AC207" t="e">
            <v>#N/A</v>
          </cell>
          <cell r="AD207">
            <v>120</v>
          </cell>
          <cell r="AE207" t="e">
            <v>#N/A</v>
          </cell>
          <cell r="AF207"/>
        </row>
        <row r="208">
          <cell r="Y208">
            <v>192</v>
          </cell>
          <cell r="Z208">
            <v>0.3197267260402441</v>
          </cell>
          <cell r="AA208">
            <v>-7.9184716650185422E-2</v>
          </cell>
          <cell r="AB208"/>
          <cell r="AC208" t="e">
            <v>#N/A</v>
          </cell>
          <cell r="AD208">
            <v>121</v>
          </cell>
          <cell r="AE208" t="e">
            <v>#N/A</v>
          </cell>
          <cell r="AF208"/>
        </row>
        <row r="209">
          <cell r="Y209">
            <v>193</v>
          </cell>
          <cell r="Z209">
            <v>0.41684987954795361</v>
          </cell>
          <cell r="AA209">
            <v>-3.5489529789393841E-2</v>
          </cell>
          <cell r="AB209"/>
          <cell r="AC209" t="e">
            <v>#N/A</v>
          </cell>
          <cell r="AD209">
            <v>122</v>
          </cell>
          <cell r="AE209" t="e">
            <v>#N/A</v>
          </cell>
          <cell r="AF209"/>
        </row>
        <row r="210">
          <cell r="Y210">
            <v>194</v>
          </cell>
          <cell r="Z210">
            <v>0.21452797017991543</v>
          </cell>
          <cell r="AA210">
            <v>-0.13367097827649205</v>
          </cell>
          <cell r="AB210"/>
          <cell r="AC210" t="e">
            <v>#N/A</v>
          </cell>
          <cell r="AD210">
            <v>123</v>
          </cell>
          <cell r="AE210" t="e">
            <v>#N/A</v>
          </cell>
          <cell r="AF210"/>
        </row>
        <row r="211">
          <cell r="Y211">
            <v>195</v>
          </cell>
          <cell r="Z211">
            <v>0.49066276662051678</v>
          </cell>
          <cell r="AA211">
            <v>-3.9565237977939212E-3</v>
          </cell>
          <cell r="AB211"/>
          <cell r="AC211" t="e">
            <v>#N/A</v>
          </cell>
          <cell r="AD211">
            <v>124</v>
          </cell>
          <cell r="AE211" t="e">
            <v>#N/A</v>
          </cell>
          <cell r="AF211"/>
        </row>
        <row r="212">
          <cell r="Y212">
            <v>196</v>
          </cell>
          <cell r="Z212">
            <v>4.4821133837103844E-2</v>
          </cell>
          <cell r="AA212">
            <v>-0.28689399661418136</v>
          </cell>
          <cell r="AB212"/>
          <cell r="AC212" t="e">
            <v>#N/A</v>
          </cell>
          <cell r="AD212">
            <v>125</v>
          </cell>
          <cell r="AE212" t="e">
            <v>#N/A</v>
          </cell>
          <cell r="AF212"/>
        </row>
        <row r="213">
          <cell r="Y213">
            <v>197</v>
          </cell>
          <cell r="Z213">
            <v>0.92104577831923962</v>
          </cell>
          <cell r="AA213">
            <v>0.23869539788317534</v>
          </cell>
          <cell r="AB213"/>
          <cell r="AC213" t="e">
            <v>#N/A</v>
          </cell>
          <cell r="AD213">
            <v>126</v>
          </cell>
          <cell r="AE213" t="e">
            <v>#N/A</v>
          </cell>
          <cell r="AF213"/>
        </row>
        <row r="214">
          <cell r="Y214">
            <v>198</v>
          </cell>
          <cell r="Z214">
            <v>0.75678751431405544</v>
          </cell>
          <cell r="AA214">
            <v>0.11764651366646847</v>
          </cell>
          <cell r="AB214"/>
          <cell r="AC214" t="e">
            <v>#N/A</v>
          </cell>
          <cell r="AD214">
            <v>127</v>
          </cell>
          <cell r="AE214" t="e">
            <v>#N/A</v>
          </cell>
          <cell r="AF214"/>
        </row>
        <row r="215">
          <cell r="Y215">
            <v>199</v>
          </cell>
          <cell r="Z215">
            <v>0.98137824051082134</v>
          </cell>
          <cell r="AA215">
            <v>0.35210555116204029</v>
          </cell>
          <cell r="AB215"/>
          <cell r="AC215" t="e">
            <v>#N/A</v>
          </cell>
          <cell r="AD215">
            <v>128</v>
          </cell>
          <cell r="AE215" t="e">
            <v>#N/A</v>
          </cell>
          <cell r="AF215"/>
        </row>
        <row r="216">
          <cell r="Y216">
            <v>200</v>
          </cell>
          <cell r="Z216">
            <v>0.16302534006536007</v>
          </cell>
          <cell r="AA216">
            <v>-0.16600516623744849</v>
          </cell>
          <cell r="AB216"/>
          <cell r="AC216" t="e">
            <v>#N/A</v>
          </cell>
          <cell r="AD216">
            <v>129</v>
          </cell>
          <cell r="AE216" t="e">
            <v>#N/A</v>
          </cell>
          <cell r="AF216"/>
        </row>
        <row r="217">
          <cell r="Y217">
            <v>201</v>
          </cell>
          <cell r="Z217">
            <v>0.51998302154242992</v>
          </cell>
          <cell r="AA217">
            <v>8.4703001153328614E-3</v>
          </cell>
          <cell r="AB217"/>
          <cell r="AC217" t="e">
            <v>#N/A</v>
          </cell>
          <cell r="AD217">
            <v>130</v>
          </cell>
          <cell r="AE217" t="e">
            <v>#N/A</v>
          </cell>
          <cell r="AF217"/>
        </row>
        <row r="218">
          <cell r="Y218">
            <v>202</v>
          </cell>
          <cell r="Z218">
            <v>0.97520357929170132</v>
          </cell>
          <cell r="AA218">
            <v>0.33188517850583454</v>
          </cell>
          <cell r="AB218"/>
          <cell r="AC218" t="e">
            <v>#N/A</v>
          </cell>
          <cell r="AD218">
            <v>131</v>
          </cell>
          <cell r="AE218" t="e">
            <v>#N/A</v>
          </cell>
          <cell r="AF218"/>
        </row>
        <row r="219">
          <cell r="Y219">
            <v>203</v>
          </cell>
          <cell r="Z219">
            <v>0.47056354396045208</v>
          </cell>
          <cell r="AA219">
            <v>-1.2483492006269841E-2</v>
          </cell>
          <cell r="AB219"/>
          <cell r="AC219" t="e">
            <v>#N/A</v>
          </cell>
          <cell r="AD219">
            <v>132</v>
          </cell>
          <cell r="AE219" t="e">
            <v>#N/A</v>
          </cell>
          <cell r="AF219"/>
        </row>
        <row r="220">
          <cell r="Y220">
            <v>204</v>
          </cell>
          <cell r="Z220">
            <v>0.55693059228360653</v>
          </cell>
          <cell r="AA220">
            <v>2.4203808324562478E-2</v>
          </cell>
          <cell r="AB220"/>
          <cell r="AC220" t="e">
            <v>#N/A</v>
          </cell>
          <cell r="AD220">
            <v>133</v>
          </cell>
          <cell r="AE220" t="e">
            <v>#N/A</v>
          </cell>
          <cell r="AF220"/>
        </row>
        <row r="221">
          <cell r="Y221">
            <v>205</v>
          </cell>
          <cell r="Z221">
            <v>0.16293376497924328</v>
          </cell>
          <cell r="AA221">
            <v>-0.16606802349429536</v>
          </cell>
          <cell r="AB221"/>
          <cell r="AC221" t="e">
            <v>#N/A</v>
          </cell>
          <cell r="AD221">
            <v>134</v>
          </cell>
          <cell r="AE221" t="e">
            <v>#N/A</v>
          </cell>
          <cell r="AF221"/>
        </row>
        <row r="222">
          <cell r="Y222">
            <v>206</v>
          </cell>
          <cell r="Z222">
            <v>0.7679313775151968</v>
          </cell>
          <cell r="AA222">
            <v>0.12373925745136645</v>
          </cell>
          <cell r="AB222"/>
          <cell r="AC222" t="e">
            <v>#N/A</v>
          </cell>
          <cell r="AD222">
            <v>135</v>
          </cell>
          <cell r="AE222" t="e">
            <v>#N/A</v>
          </cell>
          <cell r="AF222"/>
        </row>
        <row r="223">
          <cell r="Y223">
            <v>207</v>
          </cell>
          <cell r="Z223">
            <v>0.75825987569987774</v>
          </cell>
          <cell r="AA223">
            <v>0.11844262724522145</v>
          </cell>
          <cell r="AB223"/>
          <cell r="AC223" t="e">
            <v>#N/A</v>
          </cell>
          <cell r="AD223">
            <v>136</v>
          </cell>
          <cell r="AE223" t="e">
            <v>#N/A</v>
          </cell>
          <cell r="AF223"/>
        </row>
        <row r="224">
          <cell r="Y224">
            <v>208</v>
          </cell>
          <cell r="Z224">
            <v>0.61437716148793697</v>
          </cell>
          <cell r="AA224">
            <v>4.9145024036776515E-2</v>
          </cell>
          <cell r="AB224"/>
          <cell r="AC224" t="e">
            <v>#N/A</v>
          </cell>
          <cell r="AD224">
            <v>137</v>
          </cell>
          <cell r="AE224" t="e">
            <v>#N/A</v>
          </cell>
          <cell r="AF224"/>
        </row>
        <row r="225">
          <cell r="Y225">
            <v>209</v>
          </cell>
          <cell r="Z225">
            <v>0.60178246907889843</v>
          </cell>
          <cell r="AA225">
            <v>4.3603793200760195E-2</v>
          </cell>
          <cell r="AB225"/>
          <cell r="AC225" t="e">
            <v>#N/A</v>
          </cell>
          <cell r="AD225">
            <v>138</v>
          </cell>
          <cell r="AE225" t="e">
            <v>#N/A</v>
          </cell>
          <cell r="AF225"/>
        </row>
        <row r="226">
          <cell r="Y226">
            <v>210</v>
          </cell>
          <cell r="Z226">
            <v>0.51396108232438564</v>
          </cell>
          <cell r="AA226">
            <v>5.9164837131772743E-3</v>
          </cell>
          <cell r="AB226"/>
          <cell r="AC226" t="e">
            <v>#N/A</v>
          </cell>
          <cell r="AD226">
            <v>139</v>
          </cell>
          <cell r="AE226" t="e">
            <v>#N/A</v>
          </cell>
          <cell r="AF226"/>
        </row>
        <row r="227">
          <cell r="Y227">
            <v>211</v>
          </cell>
          <cell r="Z227">
            <v>0.50473792664706707</v>
          </cell>
          <cell r="AA227">
            <v>2.0074949164634423E-3</v>
          </cell>
          <cell r="AB227"/>
          <cell r="AC227" t="e">
            <v>#N/A</v>
          </cell>
          <cell r="AD227">
            <v>140</v>
          </cell>
          <cell r="AE227" t="e">
            <v>#N/A</v>
          </cell>
          <cell r="AF227"/>
        </row>
        <row r="228">
          <cell r="Y228">
            <v>212</v>
          </cell>
          <cell r="Z228">
            <v>0.82806371711194515</v>
          </cell>
          <cell r="AA228">
            <v>0.15999468201041162</v>
          </cell>
          <cell r="AB228"/>
          <cell r="AC228" t="e">
            <v>#N/A</v>
          </cell>
          <cell r="AD228">
            <v>141</v>
          </cell>
          <cell r="AE228" t="e">
            <v>#N/A</v>
          </cell>
          <cell r="AF228"/>
        </row>
        <row r="229">
          <cell r="Y229">
            <v>213</v>
          </cell>
          <cell r="Z229">
            <v>0.93594777397811413</v>
          </cell>
          <cell r="AA229">
            <v>0.25720063659493886</v>
          </cell>
          <cell r="AB229"/>
          <cell r="AC229" t="e">
            <v>#N/A</v>
          </cell>
          <cell r="AD229">
            <v>142</v>
          </cell>
          <cell r="AE229" t="e">
            <v>#N/A</v>
          </cell>
          <cell r="AF229"/>
        </row>
        <row r="230">
          <cell r="Y230">
            <v>214</v>
          </cell>
          <cell r="Z230">
            <v>0.9071022029966116</v>
          </cell>
          <cell r="AA230">
            <v>0.22364803881744991</v>
          </cell>
          <cell r="AB230"/>
          <cell r="AC230" t="e">
            <v>#N/A</v>
          </cell>
          <cell r="AD230">
            <v>143</v>
          </cell>
          <cell r="AE230" t="e">
            <v>#N/A</v>
          </cell>
          <cell r="AF230"/>
        </row>
        <row r="231">
          <cell r="Y231">
            <v>215</v>
          </cell>
          <cell r="Z231">
            <v>0.82229475490748882</v>
          </cell>
          <cell r="AA231">
            <v>0.15620912503383866</v>
          </cell>
          <cell r="AB231"/>
          <cell r="AC231" t="e">
            <v>#N/A</v>
          </cell>
          <cell r="AD231">
            <v>144</v>
          </cell>
          <cell r="AE231" t="e">
            <v>#N/A</v>
          </cell>
          <cell r="AF231"/>
        </row>
        <row r="232">
          <cell r="Y232">
            <v>216</v>
          </cell>
          <cell r="Z232">
            <v>0.23890670202672482</v>
          </cell>
          <cell r="AA232">
            <v>-0.11998212208163064</v>
          </cell>
          <cell r="AB232"/>
          <cell r="AC232" t="e">
            <v>#N/A</v>
          </cell>
          <cell r="AD232">
            <v>145</v>
          </cell>
          <cell r="AE232" t="e">
            <v>#N/A</v>
          </cell>
          <cell r="AF232"/>
        </row>
        <row r="233">
          <cell r="Y233">
            <v>217</v>
          </cell>
          <cell r="Z233">
            <v>0.12605437450110912</v>
          </cell>
          <cell r="AA233">
            <v>-0.19358130146757169</v>
          </cell>
          <cell r="AB233"/>
          <cell r="AC233" t="e">
            <v>#N/A</v>
          </cell>
          <cell r="AD233">
            <v>146</v>
          </cell>
          <cell r="AE233" t="e">
            <v>#N/A</v>
          </cell>
          <cell r="AF233"/>
        </row>
        <row r="234">
          <cell r="Y234">
            <v>218</v>
          </cell>
          <cell r="Z234">
            <v>0.38371795974671841</v>
          </cell>
          <cell r="AA234">
            <v>-4.9987574375181962E-2</v>
          </cell>
          <cell r="AB234"/>
          <cell r="AC234" t="e">
            <v>#N/A</v>
          </cell>
          <cell r="AD234">
            <v>147</v>
          </cell>
          <cell r="AE234" t="e">
            <v>#N/A</v>
          </cell>
          <cell r="AF234"/>
        </row>
        <row r="235">
          <cell r="Y235">
            <v>219</v>
          </cell>
          <cell r="Z235">
            <v>0.58580066077411175</v>
          </cell>
          <cell r="AA235">
            <v>3.6638413207321613E-2</v>
          </cell>
          <cell r="AB235"/>
          <cell r="AC235" t="e">
            <v>#N/A</v>
          </cell>
          <cell r="AD235">
            <v>148</v>
          </cell>
          <cell r="AE235" t="e">
            <v>#N/A</v>
          </cell>
          <cell r="AF235"/>
        </row>
        <row r="236">
          <cell r="Y236">
            <v>220</v>
          </cell>
          <cell r="Z236">
            <v>0.22314970754086971</v>
          </cell>
          <cell r="AA236">
            <v>-0.12873371481019355</v>
          </cell>
          <cell r="AB236"/>
          <cell r="AC236" t="e">
            <v>#N/A</v>
          </cell>
          <cell r="AD236">
            <v>149</v>
          </cell>
          <cell r="AE236" t="e">
            <v>#N/A</v>
          </cell>
          <cell r="AF236"/>
        </row>
        <row r="237">
          <cell r="Y237">
            <v>221</v>
          </cell>
          <cell r="Z237">
            <v>0.97635489515960217</v>
          </cell>
          <cell r="AA237">
            <v>0.33530511080722808</v>
          </cell>
          <cell r="AB237"/>
          <cell r="AC237" t="e">
            <v>#N/A</v>
          </cell>
          <cell r="AD237">
            <v>150</v>
          </cell>
          <cell r="AE237" t="e">
            <v>#N/A</v>
          </cell>
          <cell r="AF237"/>
        </row>
        <row r="238">
          <cell r="Y238">
            <v>222</v>
          </cell>
          <cell r="Z238">
            <v>0.64420965872704983</v>
          </cell>
          <cell r="AA238">
            <v>6.2496455662757529E-2</v>
          </cell>
          <cell r="AB238"/>
          <cell r="AC238" t="e">
            <v>#N/A</v>
          </cell>
          <cell r="AD238">
            <v>151</v>
          </cell>
          <cell r="AE238" t="e">
            <v>#N/A</v>
          </cell>
          <cell r="AF238"/>
        </row>
        <row r="239">
          <cell r="Y239">
            <v>223</v>
          </cell>
          <cell r="Z239">
            <v>0.96199606172740459</v>
          </cell>
          <cell r="AA239">
            <v>0.29991723011848281</v>
          </cell>
          <cell r="AB239"/>
          <cell r="AC239" t="e">
            <v>#N/A</v>
          </cell>
          <cell r="AD239">
            <v>152</v>
          </cell>
          <cell r="AE239" t="e">
            <v>#N/A</v>
          </cell>
          <cell r="AF239"/>
        </row>
        <row r="240">
          <cell r="Y240">
            <v>224</v>
          </cell>
          <cell r="Z240">
            <v>0.12322284840047359</v>
          </cell>
          <cell r="AA240">
            <v>-0.19591110560210656</v>
          </cell>
          <cell r="AB240"/>
          <cell r="AC240" t="e">
            <v>#N/A</v>
          </cell>
          <cell r="AD240">
            <v>153</v>
          </cell>
          <cell r="AE240" t="e">
            <v>#N/A</v>
          </cell>
          <cell r="AF240"/>
        </row>
        <row r="241">
          <cell r="Y241">
            <v>225</v>
          </cell>
          <cell r="Z241">
            <v>8.5901765152812004E-2</v>
          </cell>
          <cell r="AA241">
            <v>-0.23096909921553629</v>
          </cell>
          <cell r="AB241"/>
          <cell r="AC241" t="e">
            <v>#N/A</v>
          </cell>
          <cell r="AD241">
            <v>154</v>
          </cell>
          <cell r="AE241" t="e">
            <v>#N/A</v>
          </cell>
          <cell r="AF241"/>
        </row>
        <row r="242">
          <cell r="Y242">
            <v>226</v>
          </cell>
          <cell r="Z242">
            <v>0.76825106702744961</v>
          </cell>
          <cell r="AA242">
            <v>0.12391639881299249</v>
          </cell>
          <cell r="AB242"/>
          <cell r="AC242" t="e">
            <v>#N/A</v>
          </cell>
          <cell r="AD242">
            <v>155</v>
          </cell>
          <cell r="AE242" t="e">
            <v>#N/A</v>
          </cell>
          <cell r="AF242"/>
        </row>
        <row r="243">
          <cell r="Y243">
            <v>227</v>
          </cell>
          <cell r="Z243">
            <v>0.65753836743533611</v>
          </cell>
          <cell r="AA243">
            <v>6.8584965892536112E-2</v>
          </cell>
          <cell r="AB243"/>
          <cell r="AC243" t="e">
            <v>#N/A</v>
          </cell>
          <cell r="AD243">
            <v>156</v>
          </cell>
          <cell r="AE243" t="e">
            <v>#N/A</v>
          </cell>
          <cell r="AF243"/>
        </row>
        <row r="244">
          <cell r="Y244">
            <v>228</v>
          </cell>
          <cell r="Z244">
            <v>0.22235213778913021</v>
          </cell>
          <cell r="AA244">
            <v>-0.12918579960120885</v>
          </cell>
          <cell r="AB244"/>
          <cell r="AC244" t="e">
            <v>#N/A</v>
          </cell>
          <cell r="AD244">
            <v>157</v>
          </cell>
          <cell r="AE244" t="e">
            <v>#N/A</v>
          </cell>
          <cell r="AF244"/>
        </row>
        <row r="245">
          <cell r="Y245">
            <v>229</v>
          </cell>
          <cell r="Z245">
            <v>0.26846909336745739</v>
          </cell>
          <cell r="AA245">
            <v>-0.10436803852400081</v>
          </cell>
          <cell r="AB245"/>
          <cell r="AC245" t="e">
            <v>#N/A</v>
          </cell>
          <cell r="AD245">
            <v>158</v>
          </cell>
          <cell r="AE245" t="e">
            <v>#N/A</v>
          </cell>
          <cell r="AF245"/>
        </row>
        <row r="246">
          <cell r="Y246">
            <v>230</v>
          </cell>
          <cell r="Z246">
            <v>0.4237727876752615</v>
          </cell>
          <cell r="AA246">
            <v>-3.2496355161169103E-2</v>
          </cell>
          <cell r="AB246"/>
          <cell r="AC246" t="e">
            <v>#N/A</v>
          </cell>
          <cell r="AD246">
            <v>159</v>
          </cell>
          <cell r="AE246" t="e">
            <v>#N/A</v>
          </cell>
          <cell r="AF246"/>
        </row>
        <row r="247">
          <cell r="Y247">
            <v>231</v>
          </cell>
          <cell r="Z247">
            <v>0.38579885475337505</v>
          </cell>
          <cell r="AA247">
            <v>-4.9067231889754891E-2</v>
          </cell>
          <cell r="AB247"/>
          <cell r="AC247" t="e">
            <v>#N/A</v>
          </cell>
          <cell r="AD247">
            <v>160</v>
          </cell>
          <cell r="AE247" t="e">
            <v>#N/A</v>
          </cell>
          <cell r="AF247"/>
        </row>
        <row r="248">
          <cell r="Y248">
            <v>232</v>
          </cell>
          <cell r="Z248">
            <v>0.56291886232793331</v>
          </cell>
          <cell r="AA248">
            <v>2.67700544138804E-2</v>
          </cell>
          <cell r="AB248"/>
          <cell r="AC248" t="e">
            <v>#N/A</v>
          </cell>
          <cell r="AD248">
            <v>161</v>
          </cell>
          <cell r="AE248" t="e">
            <v>#N/A</v>
          </cell>
          <cell r="AF248"/>
        </row>
        <row r="249">
          <cell r="Y249">
            <v>233</v>
          </cell>
          <cell r="Z249">
            <v>0.94122454337775707</v>
          </cell>
          <cell r="AA249">
            <v>0.26455634980349424</v>
          </cell>
          <cell r="AB249"/>
          <cell r="AC249" t="e">
            <v>#N/A</v>
          </cell>
          <cell r="AD249">
            <v>162</v>
          </cell>
          <cell r="AE249" t="e">
            <v>#N/A</v>
          </cell>
          <cell r="AF249"/>
        </row>
        <row r="250">
          <cell r="Y250">
            <v>234</v>
          </cell>
          <cell r="Z250">
            <v>0.66969663463532925</v>
          </cell>
          <cell r="AA250">
            <v>7.421732874633305E-2</v>
          </cell>
          <cell r="AB250"/>
          <cell r="AC250" t="e">
            <v>#N/A</v>
          </cell>
          <cell r="AD250">
            <v>163</v>
          </cell>
          <cell r="AE250" t="e">
            <v>#N/A</v>
          </cell>
          <cell r="AF250"/>
        </row>
        <row r="251">
          <cell r="Y251">
            <v>235</v>
          </cell>
          <cell r="Z251">
            <v>5.2409542724490166E-2</v>
          </cell>
          <cell r="AA251">
            <v>-0.27415561742321953</v>
          </cell>
          <cell r="AB251"/>
          <cell r="AC251" t="e">
            <v>#N/A</v>
          </cell>
          <cell r="AD251">
            <v>164</v>
          </cell>
          <cell r="AE251" t="e">
            <v>#N/A</v>
          </cell>
          <cell r="AF251"/>
        </row>
        <row r="252">
          <cell r="Y252">
            <v>236</v>
          </cell>
          <cell r="Z252">
            <v>0.10856895707547665</v>
          </cell>
          <cell r="AA252">
            <v>-0.20861355377312454</v>
          </cell>
          <cell r="AB252"/>
          <cell r="AC252" t="e">
            <v>#N/A</v>
          </cell>
          <cell r="AD252">
            <v>165</v>
          </cell>
          <cell r="AE252" t="e">
            <v>#N/A</v>
          </cell>
          <cell r="AF252"/>
        </row>
        <row r="253">
          <cell r="Y253">
            <v>237</v>
          </cell>
          <cell r="Z253">
            <v>0.9821512084454298</v>
          </cell>
          <cell r="AA253">
            <v>0.3550248723589719</v>
          </cell>
          <cell r="AB253"/>
          <cell r="AC253" t="e">
            <v>#N/A</v>
          </cell>
          <cell r="AD253">
            <v>166</v>
          </cell>
          <cell r="AE253" t="e">
            <v>#N/A</v>
          </cell>
          <cell r="AF253"/>
        </row>
        <row r="254">
          <cell r="Y254">
            <v>238</v>
          </cell>
          <cell r="Z254">
            <v>0.8524200078099966</v>
          </cell>
          <cell r="AA254">
            <v>0.17695316406383327</v>
          </cell>
          <cell r="AB254"/>
          <cell r="AC254" t="e">
            <v>#N/A</v>
          </cell>
          <cell r="AD254">
            <v>167</v>
          </cell>
          <cell r="AE254" t="e">
            <v>#N/A</v>
          </cell>
          <cell r="AF254"/>
        </row>
        <row r="255">
          <cell r="Y255">
            <v>239</v>
          </cell>
          <cell r="Z255">
            <v>0.1595600675791502</v>
          </cell>
          <cell r="AA255">
            <v>-0.16839996249754377</v>
          </cell>
          <cell r="AB255"/>
          <cell r="AC255" t="e">
            <v>#N/A</v>
          </cell>
          <cell r="AD255">
            <v>168</v>
          </cell>
          <cell r="AE255" t="e">
            <v>#N/A</v>
          </cell>
          <cell r="AF255"/>
        </row>
        <row r="256">
          <cell r="Y256">
            <v>240</v>
          </cell>
          <cell r="Z256">
            <v>0.75007238052785397</v>
          </cell>
          <cell r="AA256">
            <v>0.11404807984151451</v>
          </cell>
          <cell r="AB256"/>
          <cell r="AC256" t="e">
            <v>#N/A</v>
          </cell>
          <cell r="AD256">
            <v>169</v>
          </cell>
          <cell r="AE256" t="e">
            <v>#N/A</v>
          </cell>
          <cell r="AF256"/>
        </row>
        <row r="257">
          <cell r="Y257">
            <v>241</v>
          </cell>
          <cell r="Z257">
            <v>0.55621948651969433</v>
          </cell>
          <cell r="AA257">
            <v>2.3899448930029217E-2</v>
          </cell>
          <cell r="AB257"/>
          <cell r="AC257" t="e">
            <v>#N/A</v>
          </cell>
          <cell r="AD257">
            <v>170</v>
          </cell>
          <cell r="AE257" t="e">
            <v>#N/A</v>
          </cell>
          <cell r="AF257"/>
        </row>
        <row r="258">
          <cell r="Y258">
            <v>242</v>
          </cell>
          <cell r="Z258">
            <v>9.6050268039107323E-2</v>
          </cell>
          <cell r="AA258">
            <v>-0.22048220470483898</v>
          </cell>
          <cell r="AB258"/>
          <cell r="AC258" t="e">
            <v>#N/A</v>
          </cell>
          <cell r="AD258">
            <v>171</v>
          </cell>
          <cell r="AE258" t="e">
            <v>#N/A</v>
          </cell>
          <cell r="AF258"/>
        </row>
        <row r="259">
          <cell r="Y259">
            <v>243</v>
          </cell>
          <cell r="Z259">
            <v>0.92904455773532391</v>
          </cell>
          <cell r="AA259">
            <v>0.24825766203398572</v>
          </cell>
          <cell r="AB259"/>
          <cell r="AC259" t="e">
            <v>#N/A</v>
          </cell>
          <cell r="AD259">
            <v>172</v>
          </cell>
          <cell r="AE259" t="e">
            <v>#N/A</v>
          </cell>
          <cell r="AF259"/>
        </row>
        <row r="260">
          <cell r="Y260">
            <v>244</v>
          </cell>
          <cell r="Z260">
            <v>0.65493248961865902</v>
          </cell>
          <cell r="AA260">
            <v>6.7387840126302376E-2</v>
          </cell>
          <cell r="AB260"/>
          <cell r="AC260" t="e">
            <v>#N/A</v>
          </cell>
          <cell r="AD260">
            <v>173</v>
          </cell>
          <cell r="AE260" t="e">
            <v>#N/A</v>
          </cell>
          <cell r="AF260"/>
        </row>
        <row r="261">
          <cell r="Y261">
            <v>245</v>
          </cell>
          <cell r="Z261">
            <v>0.4103089552372694</v>
          </cell>
          <cell r="AA261">
            <v>-3.8327796470792791E-2</v>
          </cell>
          <cell r="AB261"/>
          <cell r="AC261" t="e">
            <v>#N/A</v>
          </cell>
          <cell r="AD261">
            <v>174</v>
          </cell>
          <cell r="AE261" t="e">
            <v>#N/A</v>
          </cell>
          <cell r="AF261"/>
        </row>
        <row r="262">
          <cell r="Y262">
            <v>246</v>
          </cell>
          <cell r="Z262">
            <v>0.88638911210000515</v>
          </cell>
          <cell r="AA262">
            <v>0.20411260049371757</v>
          </cell>
          <cell r="AB262"/>
          <cell r="AC262" t="e">
            <v>#N/A</v>
          </cell>
          <cell r="AD262">
            <v>175</v>
          </cell>
          <cell r="AE262" t="e">
            <v>#N/A</v>
          </cell>
          <cell r="AF262"/>
        </row>
        <row r="263">
          <cell r="Y263">
            <v>247</v>
          </cell>
          <cell r="Z263">
            <v>0.64405850879848003</v>
          </cell>
          <cell r="AA263">
            <v>6.2427888522942801E-2</v>
          </cell>
          <cell r="AB263"/>
          <cell r="AC263" t="e">
            <v>#N/A</v>
          </cell>
          <cell r="AD263">
            <v>176</v>
          </cell>
          <cell r="AE263" t="e">
            <v>#N/A</v>
          </cell>
          <cell r="AF263"/>
        </row>
        <row r="264">
          <cell r="Y264">
            <v>248</v>
          </cell>
          <cell r="Z264">
            <v>0.46074541471898556</v>
          </cell>
          <cell r="AA264">
            <v>-1.6658999722075261E-2</v>
          </cell>
          <cell r="AB264"/>
          <cell r="AC264" t="e">
            <v>#N/A</v>
          </cell>
          <cell r="AD264">
            <v>177</v>
          </cell>
          <cell r="AE264" t="e">
            <v>#N/A</v>
          </cell>
          <cell r="AF264"/>
        </row>
        <row r="265">
          <cell r="Y265">
            <v>249</v>
          </cell>
          <cell r="Z265">
            <v>0.13688024692237377</v>
          </cell>
          <cell r="AA265">
            <v>-0.1849947240617868</v>
          </cell>
          <cell r="AB265"/>
          <cell r="AC265" t="e">
            <v>#N/A</v>
          </cell>
          <cell r="AD265">
            <v>178</v>
          </cell>
          <cell r="AE265" t="e">
            <v>#N/A</v>
          </cell>
          <cell r="AF265"/>
        </row>
        <row r="266">
          <cell r="Y266">
            <v>250</v>
          </cell>
          <cell r="Z266">
            <v>0.24866694770753384</v>
          </cell>
          <cell r="AA266">
            <v>-0.11471965710966009</v>
          </cell>
          <cell r="AB266"/>
          <cell r="AC266" t="e">
            <v>#N/A</v>
          </cell>
          <cell r="AD266">
            <v>179</v>
          </cell>
          <cell r="AE266" t="e">
            <v>#N/A</v>
          </cell>
          <cell r="AF266"/>
        </row>
        <row r="267">
          <cell r="Y267">
            <v>251</v>
          </cell>
          <cell r="Z267">
            <v>0.70974565856158733</v>
          </cell>
          <cell r="AA267">
            <v>9.341352122700991E-2</v>
          </cell>
          <cell r="AB267"/>
          <cell r="AC267" t="e">
            <v>#N/A</v>
          </cell>
          <cell r="AD267">
            <v>180</v>
          </cell>
          <cell r="AE267" t="e">
            <v>#N/A</v>
          </cell>
          <cell r="AF267"/>
        </row>
        <row r="268">
          <cell r="Y268">
            <v>252</v>
          </cell>
          <cell r="Z268">
            <v>0.81230943463742733</v>
          </cell>
          <cell r="AA268">
            <v>0.14983550099823223</v>
          </cell>
          <cell r="AB268"/>
          <cell r="AC268" t="e">
            <v>#N/A</v>
          </cell>
          <cell r="AD268">
            <v>181</v>
          </cell>
          <cell r="AE268" t="e">
            <v>#N/A</v>
          </cell>
          <cell r="AF268"/>
        </row>
        <row r="269">
          <cell r="Y269">
            <v>253</v>
          </cell>
          <cell r="Z269">
            <v>0.90639692358672619</v>
          </cell>
          <cell r="AA269">
            <v>0.22293296602473231</v>
          </cell>
          <cell r="AB269"/>
          <cell r="AC269" t="e">
            <v>#N/A</v>
          </cell>
          <cell r="AD269">
            <v>182</v>
          </cell>
          <cell r="AE269" t="e">
            <v>#N/A</v>
          </cell>
          <cell r="AF269"/>
        </row>
        <row r="270">
          <cell r="Y270">
            <v>254</v>
          </cell>
          <cell r="Z270">
            <v>1.9027268514037132E-2</v>
          </cell>
          <cell r="AA270">
            <v>-0.35061508656173618</v>
          </cell>
          <cell r="AB270"/>
          <cell r="AC270" t="e">
            <v>#N/A</v>
          </cell>
          <cell r="AD270">
            <v>183</v>
          </cell>
          <cell r="AE270" t="e">
            <v>#N/A</v>
          </cell>
          <cell r="AF270"/>
        </row>
        <row r="271">
          <cell r="Y271">
            <v>255</v>
          </cell>
          <cell r="Z271">
            <v>0.93249486200511456</v>
          </cell>
          <cell r="AA271">
            <v>0.25263907024977833</v>
          </cell>
          <cell r="AB271"/>
          <cell r="AC271" t="e">
            <v>#N/A</v>
          </cell>
          <cell r="AD271">
            <v>184</v>
          </cell>
          <cell r="AE271" t="e">
            <v>#N/A</v>
          </cell>
          <cell r="AF271"/>
        </row>
        <row r="272">
          <cell r="Y272">
            <v>256</v>
          </cell>
          <cell r="Z272">
            <v>0.74248435162007809</v>
          </cell>
          <cell r="AA272">
            <v>0.11004306153589045</v>
          </cell>
          <cell r="AB272"/>
          <cell r="AC272" t="e">
            <v>#N/A</v>
          </cell>
          <cell r="AD272">
            <v>185</v>
          </cell>
          <cell r="AE272" t="e">
            <v>#N/A</v>
          </cell>
          <cell r="AF272"/>
        </row>
        <row r="273">
          <cell r="Y273">
            <v>257</v>
          </cell>
          <cell r="Z273">
            <v>0.1684973519295454</v>
          </cell>
          <cell r="AA273">
            <v>-0.16228994088721946</v>
          </cell>
          <cell r="AB273"/>
          <cell r="AC273" t="e">
            <v>#N/A</v>
          </cell>
          <cell r="AD273">
            <v>186</v>
          </cell>
          <cell r="AE273" t="e">
            <v>#N/A</v>
          </cell>
          <cell r="AF273"/>
        </row>
        <row r="274">
          <cell r="Y274">
            <v>258</v>
          </cell>
          <cell r="Z274">
            <v>0.70976102910935879</v>
          </cell>
          <cell r="AA274">
            <v>9.3421108229659128E-2</v>
          </cell>
          <cell r="AB274"/>
          <cell r="AC274" t="e">
            <v>#N/A</v>
          </cell>
          <cell r="AD274">
            <v>187</v>
          </cell>
          <cell r="AE274" t="e">
            <v>#N/A</v>
          </cell>
          <cell r="AF274"/>
        </row>
        <row r="275">
          <cell r="Y275">
            <v>259</v>
          </cell>
          <cell r="Z275">
            <v>0.51798696629703045</v>
          </cell>
          <cell r="AA275">
            <v>7.6236166881654714E-3</v>
          </cell>
          <cell r="AB275"/>
          <cell r="AC275" t="e">
            <v>#N/A</v>
          </cell>
          <cell r="AD275">
            <v>188</v>
          </cell>
          <cell r="AE275" t="e">
            <v>#N/A</v>
          </cell>
          <cell r="AF275"/>
        </row>
        <row r="276">
          <cell r="Y276">
            <v>260</v>
          </cell>
          <cell r="Z276">
            <v>0.39680086635053158</v>
          </cell>
          <cell r="AA276">
            <v>-4.4224633286235111E-2</v>
          </cell>
          <cell r="AB276"/>
          <cell r="AC276" t="e">
            <v>#N/A</v>
          </cell>
          <cell r="AD276">
            <v>189</v>
          </cell>
          <cell r="AE276" t="e">
            <v>#N/A</v>
          </cell>
          <cell r="AF276"/>
        </row>
        <row r="277">
          <cell r="Y277">
            <v>261</v>
          </cell>
          <cell r="Z277">
            <v>0.82191657833755016</v>
          </cell>
          <cell r="AA277">
            <v>0.1559637034037637</v>
          </cell>
          <cell r="AB277"/>
          <cell r="AC277" t="e">
            <v>#N/A</v>
          </cell>
          <cell r="AD277">
            <v>190</v>
          </cell>
          <cell r="AE277" t="e">
            <v>#N/A</v>
          </cell>
          <cell r="AF277"/>
        </row>
        <row r="278">
          <cell r="Y278">
            <v>262</v>
          </cell>
          <cell r="Z278">
            <v>0.46829102002084255</v>
          </cell>
          <cell r="AA278">
            <v>-1.3449193158999E-2</v>
          </cell>
          <cell r="AB278"/>
          <cell r="AC278" t="e">
            <v>#N/A</v>
          </cell>
          <cell r="AD278">
            <v>191</v>
          </cell>
          <cell r="AE278" t="e">
            <v>#N/A</v>
          </cell>
          <cell r="AF278"/>
        </row>
        <row r="279">
          <cell r="Y279">
            <v>263</v>
          </cell>
          <cell r="Z279">
            <v>0.28799168579280376</v>
          </cell>
          <cell r="AA279">
            <v>-9.4532421204649109E-2</v>
          </cell>
          <cell r="AB279"/>
          <cell r="AC279" t="e">
            <v>#N/A</v>
          </cell>
          <cell r="AD279">
            <v>192</v>
          </cell>
          <cell r="AE279" t="e">
            <v>#N/A</v>
          </cell>
          <cell r="AF279"/>
        </row>
        <row r="280">
          <cell r="Y280">
            <v>264</v>
          </cell>
          <cell r="Z280">
            <v>0.60181995294988155</v>
          </cell>
          <cell r="AA280">
            <v>4.362021254809538E-2</v>
          </cell>
          <cell r="AB280"/>
          <cell r="AC280" t="e">
            <v>#N/A</v>
          </cell>
          <cell r="AD280">
            <v>193</v>
          </cell>
          <cell r="AE280" t="e">
            <v>#N/A</v>
          </cell>
          <cell r="AF280"/>
        </row>
        <row r="281">
          <cell r="Y281">
            <v>265</v>
          </cell>
          <cell r="Z281">
            <v>0.35315820388495922</v>
          </cell>
          <cell r="AA281">
            <v>-6.3692151256516366E-2</v>
          </cell>
          <cell r="AB281"/>
          <cell r="AC281" t="e">
            <v>#N/A</v>
          </cell>
          <cell r="AD281">
            <v>194</v>
          </cell>
          <cell r="AE281" t="e">
            <v>#N/A</v>
          </cell>
          <cell r="AF281"/>
        </row>
        <row r="282">
          <cell r="Y282">
            <v>266</v>
          </cell>
          <cell r="Z282">
            <v>0.62990624271333218</v>
          </cell>
          <cell r="AA282">
            <v>5.6051481819013378E-2</v>
          </cell>
          <cell r="AB282"/>
          <cell r="AC282" t="e">
            <v>#N/A</v>
          </cell>
          <cell r="AD282">
            <v>195</v>
          </cell>
          <cell r="AE282" t="e">
            <v>#N/A</v>
          </cell>
          <cell r="AF282"/>
        </row>
        <row r="283">
          <cell r="Y283">
            <v>267</v>
          </cell>
          <cell r="Z283">
            <v>0.61591447703540325</v>
          </cell>
          <cell r="AA283">
            <v>4.9824900743731415E-2</v>
          </cell>
          <cell r="AB283"/>
          <cell r="AC283" t="e">
            <v>#N/A</v>
          </cell>
          <cell r="AD283">
            <v>196</v>
          </cell>
          <cell r="AE283" t="e">
            <v>#N/A</v>
          </cell>
          <cell r="AF283"/>
        </row>
        <row r="284">
          <cell r="Y284">
            <v>268</v>
          </cell>
          <cell r="Z284">
            <v>0.77724223397672176</v>
          </cell>
          <cell r="AA284">
            <v>0.12895576292444885</v>
          </cell>
          <cell r="AB284"/>
          <cell r="AC284" t="e">
            <v>#N/A</v>
          </cell>
          <cell r="AD284">
            <v>197</v>
          </cell>
          <cell r="AE284" t="e">
            <v>#N/A</v>
          </cell>
          <cell r="AF284"/>
        </row>
        <row r="285">
          <cell r="Y285">
            <v>269</v>
          </cell>
          <cell r="Z285">
            <v>0.44391625933349133</v>
          </cell>
          <cell r="AA285">
            <v>-2.3841357372106825E-2</v>
          </cell>
          <cell r="AB285"/>
          <cell r="AC285" t="e">
            <v>#N/A</v>
          </cell>
          <cell r="AD285">
            <v>198</v>
          </cell>
          <cell r="AE285" t="e">
            <v>#N/A</v>
          </cell>
          <cell r="AF285"/>
        </row>
        <row r="286">
          <cell r="Y286">
            <v>270</v>
          </cell>
          <cell r="Z286">
            <v>0.36424628458917141</v>
          </cell>
          <cell r="AA286">
            <v>-5.8675923925644274E-2</v>
          </cell>
          <cell r="AB286"/>
          <cell r="AC286" t="e">
            <v>#N/A</v>
          </cell>
          <cell r="AD286">
            <v>199</v>
          </cell>
          <cell r="AE286" t="e">
            <v>#N/A</v>
          </cell>
          <cell r="AF286"/>
        </row>
        <row r="287">
          <cell r="Y287">
            <v>271</v>
          </cell>
          <cell r="Z287">
            <v>0.58109341375529766</v>
          </cell>
          <cell r="AA287">
            <v>3.4599176118122896E-2</v>
          </cell>
          <cell r="AB287"/>
          <cell r="AC287" t="e">
            <v>#N/A</v>
          </cell>
          <cell r="AD287">
            <v>200</v>
          </cell>
          <cell r="AE287" t="e">
            <v>#N/A</v>
          </cell>
          <cell r="AF287"/>
        </row>
        <row r="288">
          <cell r="Y288">
            <v>272</v>
          </cell>
          <cell r="Z288">
            <v>0.69176735542714596</v>
          </cell>
          <cell r="AA288">
            <v>8.4661840588919374E-2</v>
          </cell>
          <cell r="AB288"/>
          <cell r="AC288" t="e">
            <v>#N/A</v>
          </cell>
          <cell r="AD288">
            <v>201</v>
          </cell>
          <cell r="AE288" t="e">
            <v>#N/A</v>
          </cell>
          <cell r="AF288"/>
        </row>
        <row r="289">
          <cell r="Y289">
            <v>273</v>
          </cell>
          <cell r="Z289">
            <v>0.54724708013236523</v>
          </cell>
          <cell r="AA289">
            <v>2.0065497422783581E-2</v>
          </cell>
          <cell r="AB289"/>
          <cell r="AC289" t="e">
            <v>#N/A</v>
          </cell>
          <cell r="AD289">
            <v>202</v>
          </cell>
          <cell r="AE289" t="e">
            <v>#N/A</v>
          </cell>
          <cell r="AF289"/>
        </row>
        <row r="290">
          <cell r="Y290">
            <v>274</v>
          </cell>
          <cell r="Z290">
            <v>0.915535693988204</v>
          </cell>
          <cell r="AA290">
            <v>0.23252805778974373</v>
          </cell>
          <cell r="AB290"/>
          <cell r="AC290" t="e">
            <v>#N/A</v>
          </cell>
          <cell r="AD290">
            <v>203</v>
          </cell>
          <cell r="AE290" t="e">
            <v>#N/A</v>
          </cell>
          <cell r="AF290"/>
        </row>
        <row r="291">
          <cell r="Y291">
            <v>275</v>
          </cell>
          <cell r="Z291">
            <v>0.84184606187045574</v>
          </cell>
          <cell r="AA291">
            <v>0.16938141318460759</v>
          </cell>
          <cell r="AB291"/>
          <cell r="AC291" t="e">
            <v>#N/A</v>
          </cell>
          <cell r="AD291">
            <v>204</v>
          </cell>
          <cell r="AE291" t="e">
            <v>#N/A</v>
          </cell>
          <cell r="AF291"/>
        </row>
        <row r="292">
          <cell r="Y292">
            <v>276</v>
          </cell>
          <cell r="Z292">
            <v>0.56270336173474789</v>
          </cell>
          <cell r="AA292">
            <v>2.6677599045158984E-2</v>
          </cell>
          <cell r="AB292"/>
          <cell r="AC292" t="e">
            <v>#N/A</v>
          </cell>
          <cell r="AD292">
            <v>205</v>
          </cell>
          <cell r="AE292" t="e">
            <v>#N/A</v>
          </cell>
          <cell r="AF292"/>
        </row>
        <row r="293">
          <cell r="Y293">
            <v>277</v>
          </cell>
          <cell r="Z293">
            <v>0.93249118141829967</v>
          </cell>
          <cell r="AA293">
            <v>0.25263430533628317</v>
          </cell>
          <cell r="AB293"/>
          <cell r="AC293" t="e">
            <v>#N/A</v>
          </cell>
          <cell r="AD293">
            <v>206</v>
          </cell>
          <cell r="AE293" t="e">
            <v>#N/A</v>
          </cell>
          <cell r="AF293"/>
        </row>
        <row r="294">
          <cell r="Y294">
            <v>278</v>
          </cell>
          <cell r="Z294">
            <v>0.9365683551877737</v>
          </cell>
          <cell r="AA294">
            <v>0.25804060673826501</v>
          </cell>
          <cell r="AB294"/>
          <cell r="AC294" t="e">
            <v>#N/A</v>
          </cell>
          <cell r="AD294">
            <v>207</v>
          </cell>
          <cell r="AE294" t="e">
            <v>#N/A</v>
          </cell>
          <cell r="AF294"/>
        </row>
        <row r="295">
          <cell r="Y295">
            <v>279</v>
          </cell>
          <cell r="Z295">
            <v>0.72726635448634624</v>
          </cell>
          <cell r="AA295">
            <v>0.10219033403407612</v>
          </cell>
          <cell r="AB295"/>
          <cell r="AC295" t="e">
            <v>#N/A</v>
          </cell>
          <cell r="AD295">
            <v>208</v>
          </cell>
          <cell r="AE295" t="e">
            <v>#N/A</v>
          </cell>
          <cell r="AF295"/>
        </row>
        <row r="296">
          <cell r="Y296">
            <v>280</v>
          </cell>
          <cell r="Z296">
            <v>0.9993260707706213</v>
          </cell>
          <cell r="AA296">
            <v>0.54184362089858418</v>
          </cell>
          <cell r="AB296"/>
          <cell r="AC296" t="e">
            <v>#N/A</v>
          </cell>
          <cell r="AD296">
            <v>209</v>
          </cell>
          <cell r="AE296" t="e">
            <v>#N/A</v>
          </cell>
          <cell r="AF296"/>
        </row>
        <row r="297">
          <cell r="Y297">
            <v>281</v>
          </cell>
          <cell r="Z297">
            <v>0.69894513301551342</v>
          </cell>
          <cell r="AA297">
            <v>8.8127447782415561E-2</v>
          </cell>
          <cell r="AB297"/>
          <cell r="AC297" t="e">
            <v>#N/A</v>
          </cell>
          <cell r="AD297">
            <v>210</v>
          </cell>
          <cell r="AE297" t="e">
            <v>#N/A</v>
          </cell>
          <cell r="AF297"/>
        </row>
        <row r="298">
          <cell r="Y298">
            <v>282</v>
          </cell>
          <cell r="Z298">
            <v>0.41644186340272427</v>
          </cell>
          <cell r="AA298">
            <v>-3.5666277361375252E-2</v>
          </cell>
          <cell r="AB298"/>
          <cell r="AC298" t="e">
            <v>#N/A</v>
          </cell>
          <cell r="AD298">
            <v>211</v>
          </cell>
          <cell r="AE298" t="e">
            <v>#N/A</v>
          </cell>
          <cell r="AF298"/>
        </row>
        <row r="299">
          <cell r="Y299">
            <v>283</v>
          </cell>
          <cell r="Z299">
            <v>4.777146689593792E-2</v>
          </cell>
          <cell r="AA299">
            <v>-0.28175017988643469</v>
          </cell>
          <cell r="AB299"/>
          <cell r="AC299" t="e">
            <v>#N/A</v>
          </cell>
          <cell r="AD299">
            <v>212</v>
          </cell>
          <cell r="AE299" t="e">
            <v>#N/A</v>
          </cell>
          <cell r="AF299"/>
        </row>
        <row r="300">
          <cell r="Y300">
            <v>284</v>
          </cell>
          <cell r="Z300">
            <v>0.28998844884335995</v>
          </cell>
          <cell r="AA300">
            <v>-9.3544794098492159E-2</v>
          </cell>
          <cell r="AB300"/>
          <cell r="AC300" t="e">
            <v>#N/A</v>
          </cell>
          <cell r="AD300">
            <v>213</v>
          </cell>
          <cell r="AE300" t="e">
            <v>#N/A</v>
          </cell>
          <cell r="AF300"/>
        </row>
        <row r="301">
          <cell r="Y301">
            <v>285</v>
          </cell>
          <cell r="Z301">
            <v>0.25828343443572521</v>
          </cell>
          <cell r="AA301">
            <v>-0.10964127596311456</v>
          </cell>
          <cell r="AB301"/>
          <cell r="AC301" t="e">
            <v>#N/A</v>
          </cell>
          <cell r="AD301">
            <v>214</v>
          </cell>
          <cell r="AE301" t="e">
            <v>#N/A</v>
          </cell>
          <cell r="AF301"/>
        </row>
        <row r="302">
          <cell r="Y302">
            <v>286</v>
          </cell>
          <cell r="Z302">
            <v>0.70204189978539944</v>
          </cell>
          <cell r="AA302">
            <v>8.963407241153154E-2</v>
          </cell>
          <cell r="AB302"/>
          <cell r="AC302" t="e">
            <v>#N/A</v>
          </cell>
          <cell r="AD302">
            <v>215</v>
          </cell>
          <cell r="AE302" t="e">
            <v>#N/A</v>
          </cell>
          <cell r="AF302"/>
        </row>
        <row r="303">
          <cell r="Y303">
            <v>287</v>
          </cell>
          <cell r="Z303">
            <v>0.12439869157969952</v>
          </cell>
          <cell r="AA303">
            <v>-0.19493911431049118</v>
          </cell>
          <cell r="AB303"/>
          <cell r="AC303" t="e">
            <v>#N/A</v>
          </cell>
          <cell r="AD303">
            <v>216</v>
          </cell>
          <cell r="AE303" t="e">
            <v>#N/A</v>
          </cell>
          <cell r="AF303"/>
        </row>
        <row r="304">
          <cell r="Y304">
            <v>288</v>
          </cell>
          <cell r="Z304">
            <v>0.53297998569905758</v>
          </cell>
          <cell r="AA304">
            <v>1.3989492085075474E-2</v>
          </cell>
          <cell r="AB304"/>
          <cell r="AC304" t="e">
            <v>#N/A</v>
          </cell>
          <cell r="AD304">
            <v>217</v>
          </cell>
          <cell r="AE304" t="e">
            <v>#N/A</v>
          </cell>
          <cell r="AF304"/>
        </row>
        <row r="305">
          <cell r="Y305">
            <v>289</v>
          </cell>
          <cell r="Z305">
            <v>0.7857303898781538</v>
          </cell>
          <cell r="AA305">
            <v>0.1338206819416318</v>
          </cell>
          <cell r="AB305"/>
          <cell r="AC305" t="e">
            <v>#N/A</v>
          </cell>
          <cell r="AD305">
            <v>218</v>
          </cell>
          <cell r="AE305" t="e">
            <v>#N/A</v>
          </cell>
          <cell r="AF305"/>
        </row>
        <row r="306">
          <cell r="Y306">
            <v>290</v>
          </cell>
          <cell r="Z306">
            <v>0.11327660642564297</v>
          </cell>
          <cell r="AA306">
            <v>-0.20440654245567738</v>
          </cell>
          <cell r="AB306"/>
          <cell r="AC306" t="e">
            <v>#N/A</v>
          </cell>
          <cell r="AD306">
            <v>219</v>
          </cell>
          <cell r="AE306" t="e">
            <v>#N/A</v>
          </cell>
          <cell r="AF306"/>
        </row>
        <row r="307">
          <cell r="Y307">
            <v>291</v>
          </cell>
          <cell r="Z307">
            <v>0.53685231320559978</v>
          </cell>
          <cell r="AA307">
            <v>1.5636506352315446E-2</v>
          </cell>
          <cell r="AB307"/>
          <cell r="AC307" t="e">
            <v>#N/A</v>
          </cell>
          <cell r="AD307">
            <v>220</v>
          </cell>
          <cell r="AE307" t="e">
            <v>#N/A</v>
          </cell>
          <cell r="AF307"/>
        </row>
        <row r="308">
          <cell r="Y308">
            <v>292</v>
          </cell>
          <cell r="Z308">
            <v>0.11113606952130795</v>
          </cell>
          <cell r="AA308">
            <v>-0.2063036038380795</v>
          </cell>
          <cell r="AB308"/>
          <cell r="AC308" t="e">
            <v>#N/A</v>
          </cell>
          <cell r="AD308">
            <v>221</v>
          </cell>
          <cell r="AE308" t="e">
            <v>#N/A</v>
          </cell>
          <cell r="AF308"/>
        </row>
        <row r="309">
          <cell r="Y309">
            <v>293</v>
          </cell>
          <cell r="Z309">
            <v>0.13998198322951794</v>
          </cell>
          <cell r="AA309">
            <v>-0.18262098049841044</v>
          </cell>
          <cell r="AB309"/>
          <cell r="AC309" t="e">
            <v>#N/A</v>
          </cell>
          <cell r="AD309">
            <v>222</v>
          </cell>
          <cell r="AE309" t="e">
            <v>#N/A</v>
          </cell>
          <cell r="AF309"/>
        </row>
        <row r="310">
          <cell r="Y310">
            <v>294</v>
          </cell>
          <cell r="Z310">
            <v>0.65206096135079861</v>
          </cell>
          <cell r="AA310">
            <v>6.6072576489371079E-2</v>
          </cell>
          <cell r="AB310"/>
          <cell r="AC310" t="e">
            <v>#N/A</v>
          </cell>
          <cell r="AD310">
            <v>223</v>
          </cell>
          <cell r="AE310" t="e">
            <v>#N/A</v>
          </cell>
          <cell r="AF310"/>
        </row>
        <row r="311">
          <cell r="Y311">
            <v>295</v>
          </cell>
          <cell r="Z311">
            <v>9.0300483629107475E-2</v>
          </cell>
          <cell r="AA311">
            <v>-0.22631658087754286</v>
          </cell>
          <cell r="AB311"/>
          <cell r="AC311" t="e">
            <v>#N/A</v>
          </cell>
          <cell r="AD311">
            <v>224</v>
          </cell>
          <cell r="AE311" t="e">
            <v>#N/A</v>
          </cell>
          <cell r="AF311"/>
        </row>
        <row r="312">
          <cell r="Y312">
            <v>296</v>
          </cell>
          <cell r="Z312">
            <v>1.0197361931204796E-2</v>
          </cell>
          <cell r="AA312">
            <v>-0.39198351742727067</v>
          </cell>
          <cell r="AB312"/>
          <cell r="AC312" t="e">
            <v>#N/A</v>
          </cell>
          <cell r="AD312">
            <v>225</v>
          </cell>
          <cell r="AE312" t="e">
            <v>#N/A</v>
          </cell>
          <cell r="AF312"/>
        </row>
        <row r="313">
          <cell r="Y313">
            <v>297</v>
          </cell>
          <cell r="Z313">
            <v>0.75187775306403637</v>
          </cell>
          <cell r="AA313">
            <v>0.11501038731361166</v>
          </cell>
          <cell r="AB313"/>
          <cell r="AC313" t="e">
            <v>#N/A</v>
          </cell>
          <cell r="AD313">
            <v>226</v>
          </cell>
          <cell r="AE313" t="e">
            <v>#N/A</v>
          </cell>
          <cell r="AF313"/>
        </row>
        <row r="314">
          <cell r="Y314">
            <v>298</v>
          </cell>
          <cell r="Z314">
            <v>0.30505115352571011</v>
          </cell>
          <cell r="AA314">
            <v>-8.6193466701171784E-2</v>
          </cell>
          <cell r="AB314"/>
          <cell r="AC314" t="e">
            <v>#N/A</v>
          </cell>
          <cell r="AD314">
            <v>227</v>
          </cell>
          <cell r="AE314" t="e">
            <v>#N/A</v>
          </cell>
          <cell r="AF314"/>
        </row>
        <row r="315">
          <cell r="Y315">
            <v>299</v>
          </cell>
          <cell r="Z315">
            <v>0.50092209689319134</v>
          </cell>
          <cell r="AA315">
            <v>3.9069050573707279E-4</v>
          </cell>
          <cell r="AB315"/>
          <cell r="AC315" t="e">
            <v>#N/A</v>
          </cell>
          <cell r="AD315">
            <v>228</v>
          </cell>
          <cell r="AE315" t="e">
            <v>#N/A</v>
          </cell>
          <cell r="AF315"/>
        </row>
        <row r="316">
          <cell r="Y316">
            <v>300</v>
          </cell>
          <cell r="Z316">
            <v>0.48091917298734188</v>
          </cell>
          <cell r="AA316">
            <v>-8.0875836779201286E-3</v>
          </cell>
          <cell r="AB316"/>
          <cell r="AC316" t="e">
            <v>#N/A</v>
          </cell>
          <cell r="AD316">
            <v>229</v>
          </cell>
          <cell r="AE316" t="e">
            <v>#N/A</v>
          </cell>
          <cell r="AF316"/>
        </row>
        <row r="317">
          <cell r="Y317">
            <v>301</v>
          </cell>
          <cell r="Z317">
            <v>0.98182266764342785</v>
          </cell>
          <cell r="AA317">
            <v>0.35377113806492971</v>
          </cell>
          <cell r="AB317"/>
          <cell r="AC317" t="e">
            <v>#N/A</v>
          </cell>
          <cell r="AD317">
            <v>230</v>
          </cell>
          <cell r="AE317" t="e">
            <v>#N/A</v>
          </cell>
          <cell r="AF317"/>
        </row>
        <row r="318">
          <cell r="Y318">
            <v>302</v>
          </cell>
          <cell r="Z318">
            <v>0.44012895785272121</v>
          </cell>
          <cell r="AA318">
            <v>-2.5463190983097159E-2</v>
          </cell>
          <cell r="AB318"/>
          <cell r="AC318" t="e">
            <v>#N/A</v>
          </cell>
          <cell r="AD318">
            <v>231</v>
          </cell>
          <cell r="AE318" t="e">
            <v>#N/A</v>
          </cell>
          <cell r="AF318"/>
        </row>
        <row r="319">
          <cell r="Y319">
            <v>303</v>
          </cell>
          <cell r="Z319">
            <v>0.30020366422832012</v>
          </cell>
          <cell r="AA319">
            <v>-8.8540868682128543E-2</v>
          </cell>
          <cell r="AB319"/>
          <cell r="AC319" t="e">
            <v>#N/A</v>
          </cell>
          <cell r="AD319">
            <v>232</v>
          </cell>
          <cell r="AE319" t="e">
            <v>#N/A</v>
          </cell>
          <cell r="AF319"/>
        </row>
        <row r="320">
          <cell r="Y320">
            <v>304</v>
          </cell>
          <cell r="Z320">
            <v>0.54493083618581295</v>
          </cell>
          <cell r="AA320">
            <v>1.9077508647823913E-2</v>
          </cell>
          <cell r="AB320"/>
          <cell r="AC320" t="e">
            <v>#N/A</v>
          </cell>
          <cell r="AD320">
            <v>233</v>
          </cell>
          <cell r="AE320" t="e">
            <v>#N/A</v>
          </cell>
          <cell r="AF320"/>
        </row>
        <row r="321">
          <cell r="Y321">
            <v>305</v>
          </cell>
          <cell r="Z321">
            <v>0.44595899991691113</v>
          </cell>
          <cell r="AA321">
            <v>-2.2967515760266687E-2</v>
          </cell>
          <cell r="AB321"/>
          <cell r="AC321" t="e">
            <v>#N/A</v>
          </cell>
          <cell r="AD321">
            <v>234</v>
          </cell>
          <cell r="AE321" t="e">
            <v>#N/A</v>
          </cell>
          <cell r="AF321"/>
        </row>
        <row r="322">
          <cell r="Y322">
            <v>306</v>
          </cell>
          <cell r="Z322">
            <v>0.79663611017167568</v>
          </cell>
          <cell r="AA322">
            <v>0.14023911115234855</v>
          </cell>
          <cell r="AB322"/>
          <cell r="AC322" t="e">
            <v>#N/A</v>
          </cell>
          <cell r="AD322">
            <v>235</v>
          </cell>
          <cell r="AE322" t="e">
            <v>#N/A</v>
          </cell>
          <cell r="AF322"/>
        </row>
        <row r="323">
          <cell r="Y323">
            <v>307</v>
          </cell>
          <cell r="Z323">
            <v>0.45798618905246258</v>
          </cell>
          <cell r="AA323">
            <v>-1.783418035445895E-2</v>
          </cell>
          <cell r="AB323"/>
          <cell r="AC323" t="e">
            <v>#N/A</v>
          </cell>
          <cell r="AD323">
            <v>236</v>
          </cell>
          <cell r="AE323" t="e">
            <v>#N/A</v>
          </cell>
          <cell r="AF323"/>
        </row>
        <row r="324">
          <cell r="Y324">
            <v>308</v>
          </cell>
          <cell r="Z324">
            <v>0.84434508346021175</v>
          </cell>
          <cell r="AA324">
            <v>0.17113992147515752</v>
          </cell>
          <cell r="AB324"/>
          <cell r="AC324" t="e">
            <v>#N/A</v>
          </cell>
          <cell r="AD324">
            <v>237</v>
          </cell>
          <cell r="AE324" t="e">
            <v>#N/A</v>
          </cell>
          <cell r="AF324"/>
        </row>
        <row r="325">
          <cell r="Y325">
            <v>309</v>
          </cell>
          <cell r="Z325">
            <v>0.81108820252120495</v>
          </cell>
          <cell r="AA325">
            <v>0.14907058657440828</v>
          </cell>
          <cell r="AB325"/>
          <cell r="AC325" t="e">
            <v>#N/A</v>
          </cell>
          <cell r="AD325">
            <v>238</v>
          </cell>
          <cell r="AE325" t="e">
            <v>#N/A</v>
          </cell>
          <cell r="AF325"/>
        </row>
        <row r="326">
          <cell r="Y326">
            <v>310</v>
          </cell>
          <cell r="Z326">
            <v>0.56935868225991726</v>
          </cell>
          <cell r="AA326">
            <v>2.9536730610876971E-2</v>
          </cell>
          <cell r="AB326"/>
          <cell r="AC326" t="e">
            <v>#N/A</v>
          </cell>
          <cell r="AD326">
            <v>239</v>
          </cell>
          <cell r="AE326" t="e">
            <v>#N/A</v>
          </cell>
          <cell r="AF326"/>
        </row>
        <row r="327">
          <cell r="Y327">
            <v>311</v>
          </cell>
          <cell r="Z327">
            <v>0.22426204197108746</v>
          </cell>
          <cell r="AA327">
            <v>-0.12810474569767119</v>
          </cell>
          <cell r="AB327"/>
          <cell r="AC327" t="e">
            <v>#N/A</v>
          </cell>
          <cell r="AD327">
            <v>240</v>
          </cell>
          <cell r="AE327" t="e">
            <v>#N/A</v>
          </cell>
          <cell r="AF327"/>
        </row>
        <row r="328">
          <cell r="Y328">
            <v>312</v>
          </cell>
          <cell r="Z328">
            <v>0.33511742018163204</v>
          </cell>
          <cell r="AA328">
            <v>-7.1977684640951139E-2</v>
          </cell>
          <cell r="AB328"/>
          <cell r="AC328" t="e">
            <v>#N/A</v>
          </cell>
          <cell r="AD328">
            <v>241</v>
          </cell>
          <cell r="AE328" t="e">
            <v>#N/A</v>
          </cell>
          <cell r="AF328"/>
        </row>
        <row r="329">
          <cell r="Y329">
            <v>313</v>
          </cell>
          <cell r="Z329">
            <v>0.55834278278052807</v>
          </cell>
          <cell r="AA329">
            <v>2.4808471753228836E-2</v>
          </cell>
          <cell r="AB329"/>
          <cell r="AC329" t="e">
            <v>#N/A</v>
          </cell>
          <cell r="AD329">
            <v>242</v>
          </cell>
          <cell r="AE329" t="e">
            <v>#N/A</v>
          </cell>
          <cell r="AF329"/>
        </row>
        <row r="330">
          <cell r="Y330">
            <v>314</v>
          </cell>
          <cell r="Z330">
            <v>8.6261456832289696E-2</v>
          </cell>
          <cell r="AA330">
            <v>-0.23058206407501994</v>
          </cell>
          <cell r="AB330"/>
          <cell r="AC330" t="e">
            <v>#N/A</v>
          </cell>
          <cell r="AD330">
            <v>243</v>
          </cell>
          <cell r="AE330" t="e">
            <v>#N/A</v>
          </cell>
          <cell r="AF330"/>
        </row>
        <row r="331">
          <cell r="Y331">
            <v>315</v>
          </cell>
          <cell r="Z331">
            <v>0.68972183577716351</v>
          </cell>
          <cell r="AA331">
            <v>8.3680757813125714E-2</v>
          </cell>
          <cell r="AB331"/>
          <cell r="AC331" t="e">
            <v>#N/A</v>
          </cell>
          <cell r="AD331">
            <v>244</v>
          </cell>
          <cell r="AE331" t="e">
            <v>#N/A</v>
          </cell>
          <cell r="AF331"/>
        </row>
        <row r="332">
          <cell r="Y332">
            <v>316</v>
          </cell>
          <cell r="Z332">
            <v>0.32415550015866756</v>
          </cell>
          <cell r="AA332">
            <v>-7.7096633037190679E-2</v>
          </cell>
          <cell r="AB332"/>
          <cell r="AC332" t="e">
            <v>#N/A</v>
          </cell>
          <cell r="AD332">
            <v>245</v>
          </cell>
          <cell r="AE332" t="e">
            <v>#N/A</v>
          </cell>
          <cell r="AF332"/>
        </row>
        <row r="333">
          <cell r="Y333">
            <v>317</v>
          </cell>
          <cell r="Z333">
            <v>0.21560817770659924</v>
          </cell>
          <cell r="AA333">
            <v>-0.13304619667671103</v>
          </cell>
          <cell r="AB333"/>
          <cell r="AC333" t="e">
            <v>#N/A</v>
          </cell>
          <cell r="AD333">
            <v>246</v>
          </cell>
          <cell r="AE333" t="e">
            <v>#N/A</v>
          </cell>
          <cell r="AF333"/>
        </row>
        <row r="334">
          <cell r="Y334">
            <v>318</v>
          </cell>
          <cell r="Z334">
            <v>0.57997230254113674</v>
          </cell>
          <cell r="AA334">
            <v>3.4114249695118164E-2</v>
          </cell>
          <cell r="AB334"/>
          <cell r="AC334" t="e">
            <v>#N/A</v>
          </cell>
          <cell r="AD334">
            <v>247</v>
          </cell>
          <cell r="AE334" t="e">
            <v>#N/A</v>
          </cell>
          <cell r="AF334"/>
        </row>
        <row r="335">
          <cell r="Y335">
            <v>319</v>
          </cell>
          <cell r="Z335">
            <v>0.56505130045115948</v>
          </cell>
          <cell r="AA335">
            <v>2.7685362346662943E-2</v>
          </cell>
          <cell r="AB335"/>
          <cell r="AC335" t="e">
            <v>#N/A</v>
          </cell>
          <cell r="AD335">
            <v>248</v>
          </cell>
          <cell r="AE335" t="e">
            <v>#N/A</v>
          </cell>
          <cell r="AF335"/>
        </row>
        <row r="336">
          <cell r="Y336">
            <v>320</v>
          </cell>
          <cell r="Z336">
            <v>0.35017850063741207</v>
          </cell>
          <cell r="AA336">
            <v>-6.5049595470831223E-2</v>
          </cell>
          <cell r="AB336"/>
          <cell r="AC336" t="e">
            <v>#N/A</v>
          </cell>
          <cell r="AD336">
            <v>249</v>
          </cell>
          <cell r="AE336" t="e">
            <v>#N/A</v>
          </cell>
          <cell r="AF336"/>
        </row>
        <row r="337">
          <cell r="Y337">
            <v>321</v>
          </cell>
          <cell r="Z337">
            <v>0.5586946289986372</v>
          </cell>
          <cell r="AA337">
            <v>2.4959172312248121E-2</v>
          </cell>
          <cell r="AB337"/>
          <cell r="AC337" t="e">
            <v>#N/A</v>
          </cell>
          <cell r="AD337">
            <v>250</v>
          </cell>
          <cell r="AE337" t="e">
            <v>#N/A</v>
          </cell>
          <cell r="AF337"/>
        </row>
        <row r="338">
          <cell r="Y338">
            <v>322</v>
          </cell>
          <cell r="Z338">
            <v>0.55301654897630215</v>
          </cell>
          <cell r="AA338">
            <v>2.2529509510472147E-2</v>
          </cell>
          <cell r="AB338"/>
          <cell r="AC338" t="e">
            <v>#N/A</v>
          </cell>
          <cell r="AD338">
            <v>251</v>
          </cell>
          <cell r="AE338" t="e">
            <v>#N/A</v>
          </cell>
          <cell r="AF338"/>
        </row>
        <row r="339">
          <cell r="Y339">
            <v>323</v>
          </cell>
          <cell r="Z339">
            <v>0.67897815816104412</v>
          </cell>
          <cell r="AA339">
            <v>7.8572857002591034E-2</v>
          </cell>
          <cell r="AB339"/>
          <cell r="AC339" t="e">
            <v>#N/A</v>
          </cell>
          <cell r="AD339">
            <v>252</v>
          </cell>
          <cell r="AE339" t="e">
            <v>#N/A</v>
          </cell>
          <cell r="AF339"/>
        </row>
        <row r="340">
          <cell r="Y340">
            <v>324</v>
          </cell>
          <cell r="Z340">
            <v>0.40832649730145931</v>
          </cell>
          <cell r="AA340">
            <v>-3.9190134871867774E-2</v>
          </cell>
          <cell r="AB340"/>
          <cell r="AC340" t="e">
            <v>#N/A</v>
          </cell>
          <cell r="AD340">
            <v>253</v>
          </cell>
          <cell r="AE340" t="e">
            <v>#N/A</v>
          </cell>
          <cell r="AF340"/>
        </row>
        <row r="341">
          <cell r="Y341">
            <v>325</v>
          </cell>
          <cell r="Z341">
            <v>0.28125905804336071</v>
          </cell>
          <cell r="AA341">
            <v>-9.7886663649201455E-2</v>
          </cell>
          <cell r="AB341"/>
          <cell r="AC341" t="e">
            <v>#N/A</v>
          </cell>
          <cell r="AD341">
            <v>254</v>
          </cell>
          <cell r="AE341" t="e">
            <v>#N/A</v>
          </cell>
          <cell r="AF341"/>
        </row>
        <row r="342">
          <cell r="Y342">
            <v>326</v>
          </cell>
          <cell r="Z342">
            <v>0.23680136166512966</v>
          </cell>
          <cell r="AA342">
            <v>-0.12113249795358201</v>
          </cell>
          <cell r="AB342"/>
          <cell r="AC342" t="e">
            <v>#N/A</v>
          </cell>
          <cell r="AD342">
            <v>255</v>
          </cell>
          <cell r="AE342" t="e">
            <v>#N/A</v>
          </cell>
          <cell r="AF342"/>
        </row>
        <row r="343">
          <cell r="Y343">
            <v>327</v>
          </cell>
          <cell r="Z343">
            <v>0.69506899826228619</v>
          </cell>
          <cell r="AA343">
            <v>8.6251448016678056E-2</v>
          </cell>
          <cell r="AB343"/>
          <cell r="AC343" t="e">
            <v>#N/A</v>
          </cell>
          <cell r="AD343">
            <v>256</v>
          </cell>
          <cell r="AE343" t="e">
            <v>#N/A</v>
          </cell>
          <cell r="AF343"/>
        </row>
        <row r="344">
          <cell r="Y344">
            <v>328</v>
          </cell>
          <cell r="Z344">
            <v>1.8519839271903038E-2</v>
          </cell>
          <cell r="AA344">
            <v>-0.35248450347946569</v>
          </cell>
          <cell r="AB344"/>
          <cell r="AC344" t="e">
            <v>#N/A</v>
          </cell>
          <cell r="AD344">
            <v>257</v>
          </cell>
          <cell r="AE344" t="e">
            <v>#N/A</v>
          </cell>
          <cell r="AF344"/>
        </row>
        <row r="345">
          <cell r="Y345">
            <v>329</v>
          </cell>
          <cell r="Z345">
            <v>0.63347694091498852</v>
          </cell>
          <cell r="AA345">
            <v>5.7652422683981526E-2</v>
          </cell>
          <cell r="AB345"/>
          <cell r="AC345" t="e">
            <v>#N/A</v>
          </cell>
          <cell r="AD345">
            <v>258</v>
          </cell>
          <cell r="AE345" t="e">
            <v>#N/A</v>
          </cell>
          <cell r="AF345"/>
        </row>
        <row r="346">
          <cell r="Y346">
            <v>330</v>
          </cell>
          <cell r="Z346">
            <v>0.64435011707246304</v>
          </cell>
          <cell r="AA346">
            <v>6.2560181928641628E-2</v>
          </cell>
          <cell r="AB346"/>
          <cell r="AC346" t="e">
            <v>#N/A</v>
          </cell>
          <cell r="AD346">
            <v>259</v>
          </cell>
          <cell r="AE346" t="e">
            <v>#N/A</v>
          </cell>
          <cell r="AF346"/>
        </row>
        <row r="347">
          <cell r="Y347">
            <v>331</v>
          </cell>
          <cell r="Z347">
            <v>0.54727615229785442</v>
          </cell>
          <cell r="AA347">
            <v>2.0077902377746832E-2</v>
          </cell>
          <cell r="AB347"/>
          <cell r="AC347" t="e">
            <v>#N/A</v>
          </cell>
          <cell r="AD347">
            <v>260</v>
          </cell>
          <cell r="AE347" t="e">
            <v>#N/A</v>
          </cell>
          <cell r="AF347"/>
        </row>
        <row r="348">
          <cell r="Y348">
            <v>332</v>
          </cell>
          <cell r="Z348">
            <v>0.637568524107337</v>
          </cell>
          <cell r="AA348">
            <v>5.9493294883987219E-2</v>
          </cell>
          <cell r="AB348"/>
          <cell r="AC348" t="e">
            <v>#N/A</v>
          </cell>
          <cell r="AD348">
            <v>261</v>
          </cell>
          <cell r="AE348" t="e">
            <v>#N/A</v>
          </cell>
          <cell r="AF348"/>
        </row>
        <row r="349">
          <cell r="Y349">
            <v>333</v>
          </cell>
          <cell r="Z349">
            <v>0.52946418337523937</v>
          </cell>
          <cell r="AA349">
            <v>1.249527212207612E-2</v>
          </cell>
          <cell r="AB349"/>
          <cell r="AC349" t="e">
            <v>#N/A</v>
          </cell>
          <cell r="AD349">
            <v>262</v>
          </cell>
          <cell r="AE349" t="e">
            <v>#N/A</v>
          </cell>
          <cell r="AF349"/>
        </row>
        <row r="350">
          <cell r="Y350">
            <v>334</v>
          </cell>
          <cell r="Z350">
            <v>0.71678677760064602</v>
          </cell>
          <cell r="AA350">
            <v>9.6909167288480549E-2</v>
          </cell>
          <cell r="AB350"/>
          <cell r="AC350" t="e">
            <v>#N/A</v>
          </cell>
          <cell r="AD350">
            <v>263</v>
          </cell>
          <cell r="AE350" t="e">
            <v>#N/A</v>
          </cell>
          <cell r="AF350"/>
        </row>
        <row r="351">
          <cell r="Y351">
            <v>335</v>
          </cell>
          <cell r="Z351">
            <v>9.4234568998217583E-2</v>
          </cell>
          <cell r="AA351">
            <v>-0.22229607300793386</v>
          </cell>
          <cell r="AB351"/>
          <cell r="AC351" t="e">
            <v>#N/A</v>
          </cell>
          <cell r="AD351">
            <v>264</v>
          </cell>
          <cell r="AE351" t="e">
            <v>#N/A</v>
          </cell>
          <cell r="AF351"/>
        </row>
        <row r="352">
          <cell r="Y352">
            <v>336</v>
          </cell>
          <cell r="Z352">
            <v>0.91503157280385494</v>
          </cell>
          <cell r="AA352">
            <v>0.23197907840259196</v>
          </cell>
          <cell r="AB352"/>
          <cell r="AC352" t="e">
            <v>#N/A</v>
          </cell>
          <cell r="AD352">
            <v>265</v>
          </cell>
          <cell r="AE352" t="e">
            <v>#N/A</v>
          </cell>
          <cell r="AF352"/>
        </row>
        <row r="353">
          <cell r="Y353">
            <v>337</v>
          </cell>
          <cell r="Z353">
            <v>0.62344899587333202</v>
          </cell>
          <cell r="AA353">
            <v>5.3168952274645263E-2</v>
          </cell>
          <cell r="AB353"/>
          <cell r="AC353" t="e">
            <v>#N/A</v>
          </cell>
          <cell r="AD353">
            <v>266</v>
          </cell>
          <cell r="AE353" t="e">
            <v>#N/A</v>
          </cell>
          <cell r="AF353"/>
        </row>
        <row r="354">
          <cell r="Y354">
            <v>338</v>
          </cell>
          <cell r="Z354">
            <v>6.3570266589522362E-2</v>
          </cell>
          <cell r="AA354">
            <v>-0.2578524264042984</v>
          </cell>
          <cell r="AB354"/>
          <cell r="AC354" t="e">
            <v>#N/A</v>
          </cell>
          <cell r="AD354">
            <v>267</v>
          </cell>
          <cell r="AE354" t="e">
            <v>#N/A</v>
          </cell>
          <cell r="AF354"/>
        </row>
        <row r="355">
          <cell r="Y355">
            <v>339</v>
          </cell>
          <cell r="Z355">
            <v>0.49230868928134441</v>
          </cell>
          <cell r="AA355">
            <v>-3.2589911048613602E-3</v>
          </cell>
          <cell r="AB355"/>
          <cell r="AC355" t="e">
            <v>#N/A</v>
          </cell>
          <cell r="AD355">
            <v>268</v>
          </cell>
          <cell r="AE355" t="e">
            <v>#N/A</v>
          </cell>
          <cell r="AF355"/>
        </row>
        <row r="356">
          <cell r="Y356">
            <v>340</v>
          </cell>
          <cell r="Z356">
            <v>0.29282640479505062</v>
          </cell>
          <cell r="AA356">
            <v>-9.2146565490377016E-2</v>
          </cell>
          <cell r="AB356"/>
          <cell r="AC356" t="e">
            <v>#N/A</v>
          </cell>
          <cell r="AD356">
            <v>269</v>
          </cell>
          <cell r="AE356" t="e">
            <v>#N/A</v>
          </cell>
          <cell r="AF356"/>
        </row>
        <row r="357">
          <cell r="Y357">
            <v>341</v>
          </cell>
          <cell r="Z357">
            <v>0.85469376854598522</v>
          </cell>
          <cell r="AA357">
            <v>0.17862825276514357</v>
          </cell>
          <cell r="AB357"/>
          <cell r="AC357" t="e">
            <v>#N/A</v>
          </cell>
          <cell r="AD357">
            <v>270</v>
          </cell>
          <cell r="AE357" t="e">
            <v>#N/A</v>
          </cell>
          <cell r="AF357"/>
        </row>
        <row r="358">
          <cell r="Y358">
            <v>342</v>
          </cell>
          <cell r="Z358">
            <v>0.79647884331643581</v>
          </cell>
          <cell r="AA358">
            <v>0.14014512470378954</v>
          </cell>
          <cell r="AB358"/>
          <cell r="AC358" t="e">
            <v>#N/A</v>
          </cell>
          <cell r="AD358">
            <v>271</v>
          </cell>
          <cell r="AE358" t="e">
            <v>#N/A</v>
          </cell>
          <cell r="AF358"/>
        </row>
        <row r="359">
          <cell r="Y359">
            <v>343</v>
          </cell>
          <cell r="Z359">
            <v>0.78738932125270367</v>
          </cell>
          <cell r="AA359">
            <v>0.13478444410751089</v>
          </cell>
          <cell r="AB359"/>
          <cell r="AC359" t="e">
            <v>#N/A</v>
          </cell>
          <cell r="AD359">
            <v>272</v>
          </cell>
          <cell r="AE359" t="e">
            <v>#N/A</v>
          </cell>
          <cell r="AF359"/>
        </row>
        <row r="360">
          <cell r="Y360">
            <v>344</v>
          </cell>
          <cell r="Z360">
            <v>0.44858821295201778</v>
          </cell>
          <cell r="AA360">
            <v>-2.18436929673133E-2</v>
          </cell>
          <cell r="AB360"/>
          <cell r="AC360" t="e">
            <v>#N/A</v>
          </cell>
          <cell r="AD360">
            <v>273</v>
          </cell>
          <cell r="AE360" t="e">
            <v>#N/A</v>
          </cell>
          <cell r="AF360"/>
        </row>
        <row r="361">
          <cell r="Y361">
            <v>345</v>
          </cell>
          <cell r="Z361">
            <v>0.96116694621741772</v>
          </cell>
          <cell r="AA361">
            <v>0.29823657725100799</v>
          </cell>
          <cell r="AB361"/>
          <cell r="AC361" t="e">
            <v>#N/A</v>
          </cell>
          <cell r="AD361">
            <v>274</v>
          </cell>
          <cell r="AE361" t="e">
            <v>#N/A</v>
          </cell>
          <cell r="AF361"/>
        </row>
        <row r="362">
          <cell r="Y362">
            <v>346</v>
          </cell>
          <cell r="Z362">
            <v>0.95734447799623013</v>
          </cell>
          <cell r="AA362">
            <v>0.290846015623906</v>
          </cell>
          <cell r="AB362"/>
          <cell r="AC362" t="e">
            <v>#N/A</v>
          </cell>
          <cell r="AD362">
            <v>275</v>
          </cell>
          <cell r="AE362" t="e">
            <v>#N/A</v>
          </cell>
          <cell r="AF362"/>
        </row>
        <row r="363">
          <cell r="Y363">
            <v>347</v>
          </cell>
          <cell r="Z363">
            <v>0.22544051520526409</v>
          </cell>
          <cell r="AA363">
            <v>-0.12744030766893799</v>
          </cell>
          <cell r="AB363"/>
          <cell r="AC363" t="e">
            <v>#N/A</v>
          </cell>
          <cell r="AD363">
            <v>276</v>
          </cell>
          <cell r="AE363" t="e">
            <v>#N/A</v>
          </cell>
          <cell r="AF363"/>
        </row>
        <row r="364">
          <cell r="Y364">
            <v>348</v>
          </cell>
          <cell r="Z364">
            <v>8.2779338583350182E-2</v>
          </cell>
          <cell r="AA364">
            <v>-0.23438099856357617</v>
          </cell>
          <cell r="AB364"/>
          <cell r="AC364" t="e">
            <v>#N/A</v>
          </cell>
          <cell r="AD364">
            <v>277</v>
          </cell>
          <cell r="AE364" t="e">
            <v>#N/A</v>
          </cell>
          <cell r="AF364"/>
        </row>
        <row r="365">
          <cell r="Y365">
            <v>349</v>
          </cell>
          <cell r="Z365">
            <v>0.46196490339934826</v>
          </cell>
          <cell r="AA365">
            <v>-1.6139867661828688E-2</v>
          </cell>
          <cell r="AB365"/>
          <cell r="AC365" t="e">
            <v>#N/A</v>
          </cell>
          <cell r="AD365">
            <v>278</v>
          </cell>
          <cell r="AE365" t="e">
            <v>#N/A</v>
          </cell>
          <cell r="AF365"/>
        </row>
        <row r="366">
          <cell r="Y366">
            <v>350</v>
          </cell>
          <cell r="Z366">
            <v>3.9537226781249046E-2</v>
          </cell>
          <cell r="AA366">
            <v>-0.29683198981238795</v>
          </cell>
          <cell r="AB366"/>
          <cell r="AC366" t="e">
            <v>#N/A</v>
          </cell>
          <cell r="AD366">
            <v>279</v>
          </cell>
          <cell r="AE366" t="e">
            <v>#N/A</v>
          </cell>
          <cell r="AF366"/>
        </row>
        <row r="367">
          <cell r="Y367">
            <v>351</v>
          </cell>
          <cell r="Z367">
            <v>0.78179643861949444</v>
          </cell>
          <cell r="AA367">
            <v>0.13155242461949546</v>
          </cell>
          <cell r="AB367"/>
          <cell r="AC367" t="e">
            <v>#N/A</v>
          </cell>
          <cell r="AD367">
            <v>280</v>
          </cell>
          <cell r="AE367" t="e">
            <v>#N/A</v>
          </cell>
          <cell r="AF367"/>
        </row>
        <row r="368">
          <cell r="Y368">
            <v>352</v>
          </cell>
          <cell r="Z368">
            <v>0.54954864643514156</v>
          </cell>
          <cell r="AA368">
            <v>2.1047904906164785E-2</v>
          </cell>
          <cell r="AB368"/>
          <cell r="AC368" t="e">
            <v>#N/A</v>
          </cell>
          <cell r="AD368">
            <v>281</v>
          </cell>
          <cell r="AE368" t="e">
            <v>#N/A</v>
          </cell>
          <cell r="AF368"/>
        </row>
        <row r="369">
          <cell r="Y369">
            <v>353</v>
          </cell>
          <cell r="Z369">
            <v>0.6084838192909956</v>
          </cell>
          <cell r="AA369">
            <v>4.6545943695042072E-2</v>
          </cell>
          <cell r="AB369"/>
          <cell r="AC369" t="e">
            <v>#N/A</v>
          </cell>
          <cell r="AD369">
            <v>282</v>
          </cell>
          <cell r="AE369" t="e">
            <v>#N/A</v>
          </cell>
          <cell r="AF369"/>
        </row>
        <row r="370">
          <cell r="Y370">
            <v>354</v>
          </cell>
          <cell r="Z370">
            <v>0.10319960676133633</v>
          </cell>
          <cell r="AA370">
            <v>-0.21357534339952616</v>
          </cell>
          <cell r="AB370"/>
          <cell r="AC370" t="e">
            <v>#N/A</v>
          </cell>
          <cell r="AD370">
            <v>283</v>
          </cell>
          <cell r="AE370" t="e">
            <v>#N/A</v>
          </cell>
          <cell r="AF370"/>
        </row>
        <row r="371">
          <cell r="Y371">
            <v>355</v>
          </cell>
          <cell r="Z371">
            <v>0.40920825116336346</v>
          </cell>
          <cell r="AA371">
            <v>-3.8806461026220686E-2</v>
          </cell>
          <cell r="AB371"/>
          <cell r="AC371" t="e">
            <v>#N/A</v>
          </cell>
          <cell r="AD371">
            <v>284</v>
          </cell>
          <cell r="AE371" t="e">
            <v>#N/A</v>
          </cell>
          <cell r="AF371"/>
        </row>
        <row r="372">
          <cell r="Y372">
            <v>356</v>
          </cell>
          <cell r="Z372">
            <v>0.83134089969098568</v>
          </cell>
          <cell r="AA372">
            <v>0.16218131460372634</v>
          </cell>
          <cell r="AB372"/>
          <cell r="AC372" t="e">
            <v>#N/A</v>
          </cell>
          <cell r="AD372">
            <v>285</v>
          </cell>
          <cell r="AE372" t="e">
            <v>#N/A</v>
          </cell>
          <cell r="AF372"/>
        </row>
        <row r="373">
          <cell r="Y373">
            <v>357</v>
          </cell>
          <cell r="Z373">
            <v>0.80434155277907848</v>
          </cell>
          <cell r="AA373">
            <v>0.14489858903332528</v>
          </cell>
          <cell r="AB373"/>
          <cell r="AC373" t="e">
            <v>#N/A</v>
          </cell>
          <cell r="AD373">
            <v>286</v>
          </cell>
          <cell r="AE373" t="e">
            <v>#N/A</v>
          </cell>
          <cell r="AF373"/>
        </row>
        <row r="374">
          <cell r="Y374">
            <v>358</v>
          </cell>
          <cell r="Z374">
            <v>0.98423097096383572</v>
          </cell>
          <cell r="AA374">
            <v>0.36345300066642933</v>
          </cell>
          <cell r="AB374"/>
          <cell r="AC374" t="e">
            <v>#N/A</v>
          </cell>
          <cell r="AD374">
            <v>287</v>
          </cell>
          <cell r="AE374" t="e">
            <v>#N/A</v>
          </cell>
          <cell r="AF374"/>
        </row>
        <row r="375">
          <cell r="Y375">
            <v>359</v>
          </cell>
          <cell r="Z375">
            <v>0.5046409796923399</v>
          </cell>
          <cell r="AA375">
            <v>1.9664158949710044E-3</v>
          </cell>
          <cell r="AB375"/>
          <cell r="AC375" t="e">
            <v>#N/A</v>
          </cell>
          <cell r="AD375">
            <v>288</v>
          </cell>
          <cell r="AE375" t="e">
            <v>#N/A</v>
          </cell>
          <cell r="AF375"/>
        </row>
        <row r="376">
          <cell r="Y376">
            <v>360</v>
          </cell>
          <cell r="Z376">
            <v>0.35725613497197628</v>
          </cell>
          <cell r="AA376">
            <v>-6.1831949601464861E-2</v>
          </cell>
          <cell r="AB376"/>
          <cell r="AC376" t="e">
            <v>#N/A</v>
          </cell>
          <cell r="AD376">
            <v>289</v>
          </cell>
          <cell r="AE376" t="e">
            <v>#N/A</v>
          </cell>
          <cell r="AF376"/>
        </row>
        <row r="377">
          <cell r="Y377">
            <v>361</v>
          </cell>
          <cell r="Z377">
            <v>0.99404951743781567</v>
          </cell>
          <cell r="AA377">
            <v>0.42512397205924968</v>
          </cell>
          <cell r="AB377"/>
          <cell r="AC377" t="e">
            <v>#N/A</v>
          </cell>
          <cell r="AD377">
            <v>290</v>
          </cell>
          <cell r="AE377" t="e">
            <v>#N/A</v>
          </cell>
          <cell r="AF377"/>
        </row>
        <row r="378">
          <cell r="Y378">
            <v>362</v>
          </cell>
          <cell r="Z378">
            <v>9.7021883353590965E-2</v>
          </cell>
          <cell r="AA378">
            <v>-0.21952191081479974</v>
          </cell>
          <cell r="AB378"/>
          <cell r="AC378" t="e">
            <v>#N/A</v>
          </cell>
          <cell r="AD378">
            <v>291</v>
          </cell>
          <cell r="AE378" t="e">
            <v>#N/A</v>
          </cell>
          <cell r="AF378"/>
        </row>
        <row r="379">
          <cell r="Y379">
            <v>363</v>
          </cell>
          <cell r="Z379">
            <v>9.4820393249392509E-2</v>
          </cell>
          <cell r="AA379">
            <v>-0.22170804770577135</v>
          </cell>
          <cell r="AB379"/>
          <cell r="AC379" t="e">
            <v>#N/A</v>
          </cell>
          <cell r="AD379">
            <v>292</v>
          </cell>
          <cell r="AE379" t="e">
            <v>#N/A</v>
          </cell>
          <cell r="AF379"/>
        </row>
        <row r="380">
          <cell r="Y380">
            <v>364</v>
          </cell>
          <cell r="Z380">
            <v>0.16515903733670712</v>
          </cell>
          <cell r="AA380">
            <v>-0.16454703703948859</v>
          </cell>
          <cell r="AB380"/>
          <cell r="AC380" t="e">
            <v>#N/A</v>
          </cell>
          <cell r="AD380">
            <v>293</v>
          </cell>
          <cell r="AE380" t="e">
            <v>#N/A</v>
          </cell>
          <cell r="AF380"/>
        </row>
        <row r="381">
          <cell r="Y381">
            <v>365</v>
          </cell>
          <cell r="Z381">
            <v>0.5204345565289259</v>
          </cell>
          <cell r="AA381">
            <v>8.6618602015252916E-3</v>
          </cell>
          <cell r="AB381"/>
          <cell r="AC381" t="e">
            <v>#N/A</v>
          </cell>
          <cell r="AD381">
            <v>294</v>
          </cell>
          <cell r="AE381" t="e">
            <v>#N/A</v>
          </cell>
          <cell r="AF381"/>
        </row>
        <row r="382">
          <cell r="Y382">
            <v>366</v>
          </cell>
          <cell r="Z382">
            <v>0.33093849383294582</v>
          </cell>
          <cell r="AA382">
            <v>-7.3921109091170306E-2</v>
          </cell>
          <cell r="AB382"/>
          <cell r="AC382" t="e">
            <v>#N/A</v>
          </cell>
          <cell r="AD382">
            <v>295</v>
          </cell>
          <cell r="AE382" t="e">
            <v>#N/A</v>
          </cell>
          <cell r="AF382"/>
        </row>
        <row r="383">
          <cell r="Y383">
            <v>367</v>
          </cell>
          <cell r="Z383">
            <v>0.24052987806499004</v>
          </cell>
          <cell r="AA383">
            <v>-0.11909898616144568</v>
          </cell>
          <cell r="AB383"/>
          <cell r="AC383" t="e">
            <v>#N/A</v>
          </cell>
          <cell r="AD383">
            <v>296</v>
          </cell>
          <cell r="AE383" t="e">
            <v>#N/A</v>
          </cell>
          <cell r="AF383"/>
        </row>
        <row r="384">
          <cell r="Y384">
            <v>368</v>
          </cell>
          <cell r="Z384">
            <v>0.90753831528127193</v>
          </cell>
          <cell r="AA384">
            <v>0.22409221714830055</v>
          </cell>
          <cell r="AB384"/>
          <cell r="AC384" t="e">
            <v>#N/A</v>
          </cell>
          <cell r="AD384">
            <v>297</v>
          </cell>
          <cell r="AE384" t="e">
            <v>#N/A</v>
          </cell>
          <cell r="AF384"/>
        </row>
        <row r="385">
          <cell r="Y385">
            <v>369</v>
          </cell>
          <cell r="Z385">
            <v>0.95081081800162792</v>
          </cell>
          <cell r="AA385">
            <v>0.27936855317549497</v>
          </cell>
          <cell r="AB385"/>
          <cell r="AC385" t="e">
            <v>#N/A</v>
          </cell>
          <cell r="AD385">
            <v>298</v>
          </cell>
          <cell r="AE385" t="e">
            <v>#N/A</v>
          </cell>
          <cell r="AF385"/>
        </row>
        <row r="386">
          <cell r="Y386">
            <v>370</v>
          </cell>
          <cell r="Z386">
            <v>0.54055691324174404</v>
          </cell>
          <cell r="AA386">
            <v>1.7213569860324688E-2</v>
          </cell>
          <cell r="AB386"/>
          <cell r="AC386" t="e">
            <v>#N/A</v>
          </cell>
          <cell r="AD386">
            <v>299</v>
          </cell>
          <cell r="AE386" t="e">
            <v>#N/A</v>
          </cell>
          <cell r="AF386"/>
        </row>
        <row r="387">
          <cell r="Y387">
            <v>371</v>
          </cell>
          <cell r="Z387">
            <v>0.15965731255710125</v>
          </cell>
          <cell r="AA387">
            <v>-0.16833229722870807</v>
          </cell>
          <cell r="AB387"/>
          <cell r="AC387" t="e">
            <v>#N/A</v>
          </cell>
          <cell r="AD387">
            <v>300</v>
          </cell>
          <cell r="AE387" t="e">
            <v>#N/A</v>
          </cell>
          <cell r="AF387"/>
        </row>
        <row r="388">
          <cell r="Y388">
            <v>372</v>
          </cell>
          <cell r="Z388">
            <v>0.20111607573926449</v>
          </cell>
          <cell r="AA388">
            <v>-0.14158723337224907</v>
          </cell>
          <cell r="AB388"/>
          <cell r="AC388" t="e">
            <v>#N/A</v>
          </cell>
          <cell r="AD388">
            <v>301</v>
          </cell>
          <cell r="AE388" t="e">
            <v>#N/A</v>
          </cell>
          <cell r="AF388"/>
        </row>
        <row r="389">
          <cell r="Y389">
            <v>373</v>
          </cell>
          <cell r="Z389">
            <v>0.3719016294926405</v>
          </cell>
          <cell r="AA389">
            <v>-5.5242835354744772E-2</v>
          </cell>
          <cell r="AB389"/>
          <cell r="AC389" t="e">
            <v>#N/A</v>
          </cell>
          <cell r="AD389">
            <v>302</v>
          </cell>
          <cell r="AE389" t="e">
            <v>#N/A</v>
          </cell>
          <cell r="AF389"/>
        </row>
        <row r="390">
          <cell r="Y390">
            <v>374</v>
          </cell>
          <cell r="Z390">
            <v>0.12964758835732937</v>
          </cell>
          <cell r="AA390">
            <v>-0.19067670310490439</v>
          </cell>
          <cell r="AB390"/>
          <cell r="AC390" t="e">
            <v>#N/A</v>
          </cell>
          <cell r="AD390">
            <v>303</v>
          </cell>
          <cell r="AE390" t="e">
            <v>#N/A</v>
          </cell>
          <cell r="AF390"/>
        </row>
        <row r="391">
          <cell r="Y391">
            <v>375</v>
          </cell>
          <cell r="Z391">
            <v>0.56899194233119488</v>
          </cell>
          <cell r="AA391">
            <v>2.9378966116688717E-2</v>
          </cell>
          <cell r="AB391"/>
          <cell r="AC391" t="e">
            <v>#N/A</v>
          </cell>
          <cell r="AD391">
            <v>304</v>
          </cell>
          <cell r="AE391" t="e">
            <v>#N/A</v>
          </cell>
          <cell r="AF391"/>
        </row>
        <row r="392">
          <cell r="Y392">
            <v>376</v>
          </cell>
          <cell r="Z392">
            <v>0.82020719908177853</v>
          </cell>
          <cell r="AA392">
            <v>0.15485845992927608</v>
          </cell>
          <cell r="AB392"/>
          <cell r="AC392" t="e">
            <v>#N/A</v>
          </cell>
          <cell r="AD392">
            <v>305</v>
          </cell>
          <cell r="AE392" t="e">
            <v>#N/A</v>
          </cell>
          <cell r="AF392"/>
        </row>
        <row r="393">
          <cell r="Y393">
            <v>377</v>
          </cell>
          <cell r="Z393">
            <v>0.65351137332618237</v>
          </cell>
          <cell r="AA393">
            <v>6.6736412540176926E-2</v>
          </cell>
          <cell r="AB393"/>
          <cell r="AC393" t="e">
            <v>#N/A</v>
          </cell>
          <cell r="AD393">
            <v>306</v>
          </cell>
          <cell r="AE393" t="e">
            <v>#N/A</v>
          </cell>
          <cell r="AF393"/>
        </row>
        <row r="394">
          <cell r="Y394">
            <v>378</v>
          </cell>
          <cell r="Z394">
            <v>0.22890967689454556</v>
          </cell>
          <cell r="AA394">
            <v>-0.1254956663228568</v>
          </cell>
          <cell r="AB394"/>
          <cell r="AC394" t="e">
            <v>#N/A</v>
          </cell>
          <cell r="AD394">
            <v>307</v>
          </cell>
          <cell r="AE394" t="e">
            <v>#N/A</v>
          </cell>
          <cell r="AF394"/>
        </row>
        <row r="395">
          <cell r="Y395">
            <v>379</v>
          </cell>
          <cell r="Z395">
            <v>0.74477125518023968</v>
          </cell>
          <cell r="AA395">
            <v>0.11124351377091866</v>
          </cell>
          <cell r="AB395"/>
          <cell r="AC395" t="e">
            <v>#N/A</v>
          </cell>
          <cell r="AD395">
            <v>308</v>
          </cell>
          <cell r="AE395" t="e">
            <v>#N/A</v>
          </cell>
          <cell r="AF395"/>
        </row>
        <row r="396">
          <cell r="Y396">
            <v>380</v>
          </cell>
          <cell r="Z396">
            <v>0.2338287141174078</v>
          </cell>
          <cell r="AA396">
            <v>-0.12276640409822454</v>
          </cell>
          <cell r="AB396"/>
          <cell r="AC396" t="e">
            <v>#N/A</v>
          </cell>
          <cell r="AD396">
            <v>309</v>
          </cell>
          <cell r="AE396" t="e">
            <v>#N/A</v>
          </cell>
          <cell r="AF396"/>
        </row>
        <row r="397">
          <cell r="Y397">
            <v>381</v>
          </cell>
          <cell r="Z397">
            <v>0.18094736151397228</v>
          </cell>
          <cell r="AA397">
            <v>-0.15411568044554544</v>
          </cell>
          <cell r="AB397"/>
          <cell r="AC397" t="e">
            <v>#N/A</v>
          </cell>
          <cell r="AD397">
            <v>310</v>
          </cell>
          <cell r="AE397" t="e">
            <v>#N/A</v>
          </cell>
          <cell r="AF397"/>
        </row>
        <row r="398">
          <cell r="Y398">
            <v>382</v>
          </cell>
          <cell r="Z398">
            <v>0.96745542250573635</v>
          </cell>
          <cell r="AA398">
            <v>0.31180196215791128</v>
          </cell>
          <cell r="AB398"/>
          <cell r="AC398" t="e">
            <v>#N/A</v>
          </cell>
          <cell r="AD398">
            <v>311</v>
          </cell>
          <cell r="AE398" t="e">
            <v>#N/A</v>
          </cell>
          <cell r="AF398"/>
        </row>
        <row r="399">
          <cell r="Y399">
            <v>383</v>
          </cell>
          <cell r="Z399">
            <v>0.8019778560847044</v>
          </cell>
          <cell r="AA399">
            <v>0.14345768533714193</v>
          </cell>
          <cell r="AB399"/>
          <cell r="AC399" t="e">
            <v>#N/A</v>
          </cell>
          <cell r="AD399">
            <v>312</v>
          </cell>
          <cell r="AE399" t="e">
            <v>#N/A</v>
          </cell>
          <cell r="AF399"/>
        </row>
        <row r="400">
          <cell r="Y400">
            <v>384</v>
          </cell>
          <cell r="Z400">
            <v>0.98655917309224606</v>
          </cell>
          <cell r="AA400">
            <v>0.3741044911777453</v>
          </cell>
          <cell r="AB400"/>
          <cell r="AC400" t="e">
            <v>#N/A</v>
          </cell>
          <cell r="AD400">
            <v>313</v>
          </cell>
          <cell r="AE400" t="e">
            <v>#N/A</v>
          </cell>
          <cell r="AF400"/>
        </row>
        <row r="401">
          <cell r="Y401">
            <v>385</v>
          </cell>
          <cell r="Z401">
            <v>0.556191710755229</v>
          </cell>
          <cell r="AA401">
            <v>2.3887562242195865E-2</v>
          </cell>
          <cell r="AB401"/>
          <cell r="AC401" t="e">
            <v>#N/A</v>
          </cell>
          <cell r="AD401">
            <v>314</v>
          </cell>
          <cell r="AE401" t="e">
            <v>#N/A</v>
          </cell>
          <cell r="AF401"/>
        </row>
        <row r="402">
          <cell r="Y402">
            <v>386</v>
          </cell>
          <cell r="Z402">
            <v>0.33804452978074551</v>
          </cell>
          <cell r="AA402">
            <v>-7.0622081551198729E-2</v>
          </cell>
          <cell r="AB402"/>
          <cell r="AC402" t="e">
            <v>#N/A</v>
          </cell>
          <cell r="AD402">
            <v>315</v>
          </cell>
          <cell r="AE402" t="e">
            <v>#N/A</v>
          </cell>
          <cell r="AF402"/>
        </row>
        <row r="403">
          <cell r="Y403">
            <v>387</v>
          </cell>
          <cell r="Z403">
            <v>0.69238634221255779</v>
          </cell>
          <cell r="AA403">
            <v>8.4959283726819906E-2</v>
          </cell>
          <cell r="AB403"/>
          <cell r="AC403" t="e">
            <v>#N/A</v>
          </cell>
          <cell r="AD403">
            <v>316</v>
          </cell>
          <cell r="AE403" t="e">
            <v>#N/A</v>
          </cell>
          <cell r="AF403"/>
        </row>
        <row r="404">
          <cell r="Y404">
            <v>388</v>
          </cell>
          <cell r="Z404">
            <v>0.42314802668988705</v>
          </cell>
          <cell r="AA404">
            <v>-3.2766043683843678E-2</v>
          </cell>
          <cell r="AB404"/>
          <cell r="AC404" t="e">
            <v>#N/A</v>
          </cell>
          <cell r="AD404">
            <v>317</v>
          </cell>
          <cell r="AE404" t="e">
            <v>#N/A</v>
          </cell>
          <cell r="AF404"/>
        </row>
        <row r="405">
          <cell r="Y405">
            <v>389</v>
          </cell>
          <cell r="Z405">
            <v>0.76782321743667126</v>
          </cell>
          <cell r="AA405">
            <v>0.12367935624086018</v>
          </cell>
          <cell r="AB405"/>
          <cell r="AC405" t="e">
            <v>#N/A</v>
          </cell>
          <cell r="AD405">
            <v>318</v>
          </cell>
          <cell r="AE405" t="e">
            <v>#N/A</v>
          </cell>
          <cell r="AF405"/>
        </row>
        <row r="406">
          <cell r="Y406">
            <v>390</v>
          </cell>
          <cell r="Z406">
            <v>0.15606853924691677</v>
          </cell>
          <cell r="AA406">
            <v>-0.17084758693205768</v>
          </cell>
          <cell r="AB406"/>
          <cell r="AC406" t="e">
            <v>#N/A</v>
          </cell>
          <cell r="AD406">
            <v>319</v>
          </cell>
          <cell r="AE406" t="e">
            <v>#N/A</v>
          </cell>
          <cell r="AF406"/>
        </row>
        <row r="407">
          <cell r="Y407">
            <v>391</v>
          </cell>
          <cell r="Z407">
            <v>0.42136017791926861</v>
          </cell>
          <cell r="AA407">
            <v>-3.3538262038070837E-2</v>
          </cell>
          <cell r="AB407"/>
          <cell r="AC407" t="e">
            <v>#N/A</v>
          </cell>
          <cell r="AD407">
            <v>320</v>
          </cell>
          <cell r="AE407" t="e">
            <v>#N/A</v>
          </cell>
          <cell r="AF407"/>
        </row>
        <row r="408">
          <cell r="Y408">
            <v>392</v>
          </cell>
          <cell r="Z408">
            <v>0.25687499903142452</v>
          </cell>
          <cell r="AA408">
            <v>-0.11037879235769008</v>
          </cell>
          <cell r="AB408"/>
          <cell r="AC408" t="e">
            <v>#N/A</v>
          </cell>
          <cell r="AD408">
            <v>321</v>
          </cell>
          <cell r="AE408" t="e">
            <v>#N/A</v>
          </cell>
          <cell r="AF408"/>
        </row>
        <row r="409">
          <cell r="Y409">
            <v>393</v>
          </cell>
          <cell r="Z409">
            <v>0.32968923263251781</v>
          </cell>
          <cell r="AA409">
            <v>-7.4503973037092247E-2</v>
          </cell>
          <cell r="AB409"/>
          <cell r="AC409" t="e">
            <v>#N/A</v>
          </cell>
          <cell r="AD409">
            <v>322</v>
          </cell>
          <cell r="AE409" t="e">
            <v>#N/A</v>
          </cell>
          <cell r="AF409"/>
        </row>
        <row r="410">
          <cell r="Y410">
            <v>394</v>
          </cell>
          <cell r="Z410">
            <v>0.61228520236909389</v>
          </cell>
          <cell r="AA410">
            <v>4.8221129745320793E-2</v>
          </cell>
          <cell r="AB410"/>
          <cell r="AC410" t="e">
            <v>#N/A</v>
          </cell>
          <cell r="AD410">
            <v>323</v>
          </cell>
          <cell r="AE410" t="e">
            <v>#N/A</v>
          </cell>
          <cell r="AF410"/>
        </row>
        <row r="411">
          <cell r="Y411">
            <v>395</v>
          </cell>
          <cell r="Z411">
            <v>0.9833985697478056</v>
          </cell>
          <cell r="AA411">
            <v>0.35997176311348095</v>
          </cell>
          <cell r="AB411"/>
          <cell r="AC411" t="e">
            <v>#N/A</v>
          </cell>
          <cell r="AD411">
            <v>324</v>
          </cell>
          <cell r="AE411" t="e">
            <v>#N/A</v>
          </cell>
          <cell r="AF411"/>
        </row>
        <row r="412">
          <cell r="Y412">
            <v>396</v>
          </cell>
          <cell r="Z412">
            <v>0.48165946267545223</v>
          </cell>
          <cell r="AA412">
            <v>-7.7735793173126146E-3</v>
          </cell>
          <cell r="AB412"/>
          <cell r="AC412" t="e">
            <v>#N/A</v>
          </cell>
          <cell r="AD412">
            <v>325</v>
          </cell>
          <cell r="AE412" t="e">
            <v>#N/A</v>
          </cell>
          <cell r="AF412"/>
        </row>
        <row r="413">
          <cell r="Y413">
            <v>397</v>
          </cell>
          <cell r="Z413">
            <v>0.88832753710448742</v>
          </cell>
          <cell r="AA413">
            <v>0.20582578643158073</v>
          </cell>
          <cell r="AB413"/>
          <cell r="AC413" t="e">
            <v>#N/A</v>
          </cell>
          <cell r="AD413">
            <v>326</v>
          </cell>
          <cell r="AE413" t="e">
            <v>#N/A</v>
          </cell>
          <cell r="AF413"/>
        </row>
        <row r="414">
          <cell r="Y414">
            <v>398</v>
          </cell>
          <cell r="Z414">
            <v>0.91930285654962063</v>
          </cell>
          <cell r="AA414">
            <v>0.23671039879274888</v>
          </cell>
          <cell r="AB414"/>
          <cell r="AC414" t="e">
            <v>#N/A</v>
          </cell>
          <cell r="AD414">
            <v>327</v>
          </cell>
          <cell r="AE414" t="e">
            <v>#N/A</v>
          </cell>
          <cell r="AF414"/>
        </row>
        <row r="415">
          <cell r="Y415">
            <v>399</v>
          </cell>
          <cell r="Z415">
            <v>0.5164333414286375</v>
          </cell>
          <cell r="AA415">
            <v>6.9647360934892502E-3</v>
          </cell>
          <cell r="AB415"/>
          <cell r="AC415" t="e">
            <v>#N/A</v>
          </cell>
          <cell r="AD415">
            <v>328</v>
          </cell>
          <cell r="AE415" t="e">
            <v>#N/A</v>
          </cell>
          <cell r="AF415"/>
        </row>
        <row r="416">
          <cell r="Y416">
            <v>400</v>
          </cell>
          <cell r="Z416">
            <v>0.12791981361806393</v>
          </cell>
          <cell r="AA416">
            <v>-0.19206628284649047</v>
          </cell>
          <cell r="AB416"/>
          <cell r="AC416" t="e">
            <v>#N/A</v>
          </cell>
          <cell r="AD416">
            <v>329</v>
          </cell>
          <cell r="AE416" t="e">
            <v>#N/A</v>
          </cell>
          <cell r="AF416"/>
        </row>
        <row r="417">
          <cell r="Y417">
            <v>401</v>
          </cell>
          <cell r="Z417">
            <v>0.79913821630179882</v>
          </cell>
          <cell r="AA417">
            <v>0.14174031155888778</v>
          </cell>
          <cell r="AB417"/>
          <cell r="AC417" t="e">
            <v>#N/A</v>
          </cell>
          <cell r="AD417">
            <v>330</v>
          </cell>
          <cell r="AE417" t="e">
            <v>#N/A</v>
          </cell>
          <cell r="AF417"/>
        </row>
        <row r="418">
          <cell r="Y418">
            <v>402</v>
          </cell>
          <cell r="Z418">
            <v>0.55181480012834072</v>
          </cell>
          <cell r="AA418">
            <v>2.2015891761615586E-2</v>
          </cell>
          <cell r="AB418"/>
          <cell r="AC418" t="e">
            <v>#N/A</v>
          </cell>
          <cell r="AD418">
            <v>331</v>
          </cell>
          <cell r="AE418" t="e">
            <v>#N/A</v>
          </cell>
          <cell r="AF418"/>
        </row>
        <row r="419">
          <cell r="Y419">
            <v>403</v>
          </cell>
          <cell r="Z419">
            <v>0.17487580887973309</v>
          </cell>
          <cell r="AA419">
            <v>-0.15805587727839082</v>
          </cell>
          <cell r="AB419"/>
          <cell r="AC419" t="e">
            <v>#N/A</v>
          </cell>
          <cell r="AD419">
            <v>332</v>
          </cell>
          <cell r="AE419" t="e">
            <v>#N/A</v>
          </cell>
          <cell r="AF419"/>
        </row>
        <row r="420">
          <cell r="Y420">
            <v>404</v>
          </cell>
          <cell r="Z420">
            <v>0.36218284629285336</v>
          </cell>
          <cell r="AA420">
            <v>-5.9605383068423223E-2</v>
          </cell>
          <cell r="AB420"/>
          <cell r="AC420" t="e">
            <v>#N/A</v>
          </cell>
          <cell r="AD420">
            <v>333</v>
          </cell>
          <cell r="AE420" t="e">
            <v>#N/A</v>
          </cell>
          <cell r="AF420"/>
        </row>
        <row r="421">
          <cell r="Y421">
            <v>405</v>
          </cell>
          <cell r="Z421">
            <v>0.17130553536117077</v>
          </cell>
          <cell r="AA421">
            <v>-0.1604134485959107</v>
          </cell>
          <cell r="AB421"/>
          <cell r="AC421" t="e">
            <v>#N/A</v>
          </cell>
          <cell r="AD421">
            <v>334</v>
          </cell>
          <cell r="AE421" t="e">
            <v>#N/A</v>
          </cell>
          <cell r="AF421"/>
        </row>
        <row r="422">
          <cell r="Y422">
            <v>406</v>
          </cell>
          <cell r="Z422">
            <v>0.58058366738259792</v>
          </cell>
          <cell r="AA422">
            <v>3.4378654913434878E-2</v>
          </cell>
          <cell r="AB422"/>
          <cell r="AC422" t="e">
            <v>#N/A</v>
          </cell>
          <cell r="AD422">
            <v>335</v>
          </cell>
          <cell r="AE422" t="e">
            <v>#N/A</v>
          </cell>
          <cell r="AF422"/>
        </row>
        <row r="423">
          <cell r="Y423">
            <v>407</v>
          </cell>
          <cell r="Z423">
            <v>0.22141365520656109</v>
          </cell>
          <cell r="AA423">
            <v>-0.12971894411010126</v>
          </cell>
          <cell r="AB423"/>
          <cell r="AC423" t="e">
            <v>#N/A</v>
          </cell>
          <cell r="AD423">
            <v>336</v>
          </cell>
          <cell r="AE423" t="e">
            <v>#N/A</v>
          </cell>
          <cell r="AF423"/>
        </row>
        <row r="424">
          <cell r="Y424">
            <v>408</v>
          </cell>
          <cell r="Z424">
            <v>0.43044312857091427</v>
          </cell>
          <cell r="AA424">
            <v>-2.9621998498214976E-2</v>
          </cell>
          <cell r="AB424"/>
          <cell r="AC424" t="e">
            <v>#N/A</v>
          </cell>
          <cell r="AD424">
            <v>337</v>
          </cell>
          <cell r="AE424" t="e">
            <v>#N/A</v>
          </cell>
          <cell r="AF424"/>
        </row>
        <row r="425">
          <cell r="Y425">
            <v>409</v>
          </cell>
          <cell r="Z425">
            <v>0.88146981410682201</v>
          </cell>
          <cell r="AA425">
            <v>0.19985638911502157</v>
          </cell>
          <cell r="AB425"/>
          <cell r="AC425" t="e">
            <v>#N/A</v>
          </cell>
          <cell r="AD425">
            <v>338</v>
          </cell>
          <cell r="AE425" t="e">
            <v>#N/A</v>
          </cell>
          <cell r="AF425"/>
        </row>
        <row r="426">
          <cell r="Y426">
            <v>410</v>
          </cell>
          <cell r="Z426">
            <v>0.60017580352723598</v>
          </cell>
          <cell r="AA426">
            <v>4.2900397634371382E-2</v>
          </cell>
          <cell r="AB426"/>
          <cell r="AC426" t="e">
            <v>#N/A</v>
          </cell>
          <cell r="AD426">
            <v>339</v>
          </cell>
          <cell r="AE426" t="e">
            <v>#N/A</v>
          </cell>
          <cell r="AF426"/>
        </row>
        <row r="427">
          <cell r="Y427">
            <v>411</v>
          </cell>
          <cell r="Z427">
            <v>0.83755780570209026</v>
          </cell>
          <cell r="AA427">
            <v>0.166405831524359</v>
          </cell>
          <cell r="AB427"/>
          <cell r="AC427" t="e">
            <v>#N/A</v>
          </cell>
          <cell r="AD427">
            <v>340</v>
          </cell>
          <cell r="AE427" t="e">
            <v>#N/A</v>
          </cell>
          <cell r="AF427"/>
        </row>
        <row r="428">
          <cell r="Y428">
            <v>412</v>
          </cell>
          <cell r="Z428">
            <v>0.94527237676084042</v>
          </cell>
          <cell r="AA428">
            <v>0.27055863266892338</v>
          </cell>
          <cell r="AB428"/>
          <cell r="AC428" t="e">
            <v>#N/A</v>
          </cell>
          <cell r="AD428">
            <v>341</v>
          </cell>
          <cell r="AE428" t="e">
            <v>#N/A</v>
          </cell>
          <cell r="AF428"/>
        </row>
        <row r="429">
          <cell r="Y429">
            <v>413</v>
          </cell>
          <cell r="Z429">
            <v>5.6149302050471306E-2</v>
          </cell>
          <cell r="AA429">
            <v>-0.268411823531293</v>
          </cell>
          <cell r="AB429"/>
          <cell r="AC429" t="e">
            <v>#N/A</v>
          </cell>
          <cell r="AD429">
            <v>342</v>
          </cell>
          <cell r="AE429" t="e">
            <v>#N/A</v>
          </cell>
          <cell r="AF429"/>
        </row>
        <row r="430">
          <cell r="Y430">
            <v>414</v>
          </cell>
          <cell r="Z430">
            <v>0.75044563971459866</v>
          </cell>
          <cell r="AA430">
            <v>0.11424673215195508</v>
          </cell>
          <cell r="AB430"/>
          <cell r="AC430" t="e">
            <v>#N/A</v>
          </cell>
          <cell r="AD430">
            <v>343</v>
          </cell>
          <cell r="AE430" t="e">
            <v>#N/A</v>
          </cell>
          <cell r="AF430"/>
        </row>
        <row r="431">
          <cell r="Y431">
            <v>415</v>
          </cell>
          <cell r="Z431">
            <v>0.15293930284678936</v>
          </cell>
          <cell r="AA431">
            <v>-0.1730720854510753</v>
          </cell>
          <cell r="AB431"/>
          <cell r="AC431" t="e">
            <v>#N/A</v>
          </cell>
          <cell r="AD431">
            <v>344</v>
          </cell>
          <cell r="AE431" t="e">
            <v>#N/A</v>
          </cell>
          <cell r="AF431"/>
        </row>
        <row r="432">
          <cell r="Y432">
            <v>416</v>
          </cell>
          <cell r="Z432">
            <v>1.6678830608725548E-2</v>
          </cell>
          <cell r="AA432">
            <v>-0.35965571038398531</v>
          </cell>
          <cell r="AB432"/>
          <cell r="AC432" t="e">
            <v>#N/A</v>
          </cell>
          <cell r="AD432">
            <v>345</v>
          </cell>
          <cell r="AE432" t="e">
            <v>#N/A</v>
          </cell>
          <cell r="AF432"/>
        </row>
        <row r="433">
          <cell r="Y433">
            <v>417</v>
          </cell>
          <cell r="Z433">
            <v>0.52291205339133739</v>
          </cell>
          <cell r="AA433">
            <v>9.7131228932154159E-3</v>
          </cell>
          <cell r="AB433"/>
          <cell r="AC433" t="e">
            <v>#N/A</v>
          </cell>
          <cell r="AD433">
            <v>346</v>
          </cell>
          <cell r="AE433" t="e">
            <v>#N/A</v>
          </cell>
          <cell r="AF433"/>
        </row>
        <row r="434">
          <cell r="Y434">
            <v>418</v>
          </cell>
          <cell r="Z434">
            <v>0.33177006803452969</v>
          </cell>
          <cell r="AA434">
            <v>-7.3533611211770322E-2</v>
          </cell>
          <cell r="AB434"/>
          <cell r="AC434" t="e">
            <v>#N/A</v>
          </cell>
          <cell r="AD434">
            <v>347</v>
          </cell>
          <cell r="AE434" t="e">
            <v>#N/A</v>
          </cell>
          <cell r="AF434"/>
        </row>
        <row r="435">
          <cell r="Y435">
            <v>419</v>
          </cell>
          <cell r="Z435">
            <v>0.99335618130862713</v>
          </cell>
          <cell r="AA435">
            <v>0.41851457519741075</v>
          </cell>
          <cell r="AB435"/>
          <cell r="AC435" t="e">
            <v>#N/A</v>
          </cell>
          <cell r="AD435">
            <v>348</v>
          </cell>
          <cell r="AE435" t="e">
            <v>#N/A</v>
          </cell>
          <cell r="AF435"/>
        </row>
        <row r="436">
          <cell r="Y436">
            <v>420</v>
          </cell>
          <cell r="Z436">
            <v>0.72671662829816341</v>
          </cell>
          <cell r="AA436">
            <v>0.1019108526872998</v>
          </cell>
          <cell r="AB436"/>
          <cell r="AC436" t="e">
            <v>#N/A</v>
          </cell>
          <cell r="AD436">
            <v>349</v>
          </cell>
          <cell r="AE436" t="e">
            <v>#N/A</v>
          </cell>
          <cell r="AF436"/>
        </row>
        <row r="437">
          <cell r="Y437">
            <v>421</v>
          </cell>
          <cell r="Z437">
            <v>0.73029780201613903</v>
          </cell>
          <cell r="AA437">
            <v>0.10373658416111502</v>
          </cell>
          <cell r="AB437"/>
          <cell r="AC437" t="e">
            <v>#N/A</v>
          </cell>
          <cell r="AD437">
            <v>350</v>
          </cell>
          <cell r="AE437" t="e">
            <v>#N/A</v>
          </cell>
          <cell r="AF437"/>
        </row>
        <row r="438">
          <cell r="Y438">
            <v>422</v>
          </cell>
          <cell r="Z438">
            <v>0.51403281651437283</v>
          </cell>
          <cell r="AA438">
            <v>5.9468960311279588E-3</v>
          </cell>
          <cell r="AB438"/>
          <cell r="AC438" t="e">
            <v>#N/A</v>
          </cell>
          <cell r="AD438">
            <v>351</v>
          </cell>
          <cell r="AE438" t="e">
            <v>#N/A</v>
          </cell>
          <cell r="AF438"/>
        </row>
        <row r="439">
          <cell r="Y439">
            <v>423</v>
          </cell>
          <cell r="Z439">
            <v>0.84757034294307232</v>
          </cell>
          <cell r="AA439">
            <v>0.17343722551661547</v>
          </cell>
          <cell r="AB439"/>
          <cell r="AC439" t="e">
            <v>#N/A</v>
          </cell>
          <cell r="AD439">
            <v>352</v>
          </cell>
          <cell r="AE439" t="e">
            <v>#N/A</v>
          </cell>
          <cell r="AF439"/>
        </row>
        <row r="440">
          <cell r="Y440">
            <v>424</v>
          </cell>
          <cell r="Z440">
            <v>0.44784518145024776</v>
          </cell>
          <cell r="AA440">
            <v>-2.2161192062877748E-2</v>
          </cell>
          <cell r="AB440"/>
          <cell r="AC440" t="e">
            <v>#N/A</v>
          </cell>
          <cell r="AD440">
            <v>353</v>
          </cell>
          <cell r="AE440" t="e">
            <v>#N/A</v>
          </cell>
          <cell r="AF440"/>
        </row>
        <row r="441">
          <cell r="Y441">
            <v>425</v>
          </cell>
          <cell r="Z441">
            <v>0.63648983649909496</v>
          </cell>
          <cell r="AA441">
            <v>5.9007298750783144E-2</v>
          </cell>
          <cell r="AB441"/>
          <cell r="AC441" t="e">
            <v>#N/A</v>
          </cell>
          <cell r="AD441">
            <v>354</v>
          </cell>
          <cell r="AE441" t="e">
            <v>#N/A</v>
          </cell>
          <cell r="AF441"/>
        </row>
        <row r="442">
          <cell r="Y442">
            <v>426</v>
          </cell>
          <cell r="Z442">
            <v>0.63935882411897182</v>
          </cell>
          <cell r="AA442">
            <v>6.0300992709741166E-2</v>
          </cell>
          <cell r="AB442"/>
          <cell r="AC442" t="e">
            <v>#N/A</v>
          </cell>
          <cell r="AD442">
            <v>355</v>
          </cell>
          <cell r="AE442" t="e">
            <v>#N/A</v>
          </cell>
          <cell r="AF442"/>
        </row>
        <row r="443">
          <cell r="Y443">
            <v>427</v>
          </cell>
          <cell r="Z443">
            <v>0.55285443179309368</v>
          </cell>
          <cell r="AA443">
            <v>2.2460209901496171E-2</v>
          </cell>
          <cell r="AB443"/>
          <cell r="AC443" t="e">
            <v>#N/A</v>
          </cell>
          <cell r="AD443">
            <v>356</v>
          </cell>
          <cell r="AE443" t="e">
            <v>#N/A</v>
          </cell>
          <cell r="AF443"/>
        </row>
        <row r="444">
          <cell r="Y444">
            <v>428</v>
          </cell>
          <cell r="Z444">
            <v>0.50503855012357235</v>
          </cell>
          <cell r="AA444">
            <v>2.1348779005017568E-3</v>
          </cell>
          <cell r="AB444"/>
          <cell r="AC444" t="e">
            <v>#N/A</v>
          </cell>
          <cell r="AD444">
            <v>357</v>
          </cell>
          <cell r="AE444" t="e">
            <v>#N/A</v>
          </cell>
          <cell r="AF444"/>
        </row>
        <row r="445">
          <cell r="Y445">
            <v>429</v>
          </cell>
          <cell r="Z445">
            <v>6.6736875101923943E-2</v>
          </cell>
          <cell r="AA445">
            <v>-0.25363809510901414</v>
          </cell>
          <cell r="AB445"/>
          <cell r="AC445" t="e">
            <v>#N/A</v>
          </cell>
          <cell r="AD445">
            <v>358</v>
          </cell>
          <cell r="AE445" t="e">
            <v>#N/A</v>
          </cell>
          <cell r="AF445"/>
        </row>
        <row r="446">
          <cell r="Y446">
            <v>430</v>
          </cell>
          <cell r="Z446">
            <v>0.61859861575067043</v>
          </cell>
          <cell r="AA446">
            <v>5.1013901568045916E-2</v>
          </cell>
          <cell r="AB446"/>
          <cell r="AC446" t="e">
            <v>#N/A</v>
          </cell>
          <cell r="AD446">
            <v>359</v>
          </cell>
          <cell r="AE446" t="e">
            <v>#N/A</v>
          </cell>
          <cell r="AF446"/>
        </row>
        <row r="447">
          <cell r="Y447">
            <v>431</v>
          </cell>
          <cell r="Z447">
            <v>0.19928870908915997</v>
          </cell>
          <cell r="AA447">
            <v>-0.14268986519589308</v>
          </cell>
          <cell r="AB447"/>
          <cell r="AC447" t="e">
            <v>#N/A</v>
          </cell>
          <cell r="AD447">
            <v>360</v>
          </cell>
          <cell r="AE447" t="e">
            <v>#N/A</v>
          </cell>
          <cell r="AF447"/>
        </row>
        <row r="448">
          <cell r="Y448">
            <v>432</v>
          </cell>
          <cell r="Z448">
            <v>0.68164481781423092</v>
          </cell>
          <cell r="AA448">
            <v>7.9833817065523616E-2</v>
          </cell>
          <cell r="AB448"/>
          <cell r="AC448" t="e">
            <v>#N/A</v>
          </cell>
          <cell r="AD448">
            <v>361</v>
          </cell>
          <cell r="AE448" t="e">
            <v>#N/A</v>
          </cell>
          <cell r="AF448"/>
        </row>
        <row r="449">
          <cell r="Y449">
            <v>433</v>
          </cell>
          <cell r="Z449">
            <v>3.9524940773844719E-2</v>
          </cell>
          <cell r="AA449">
            <v>-0.29685632110848881</v>
          </cell>
          <cell r="AB449"/>
          <cell r="AC449" t="e">
            <v>#N/A</v>
          </cell>
          <cell r="AD449">
            <v>362</v>
          </cell>
          <cell r="AE449" t="e">
            <v>#N/A</v>
          </cell>
          <cell r="AF449"/>
        </row>
        <row r="450">
          <cell r="Y450">
            <v>434</v>
          </cell>
          <cell r="Z450">
            <v>0.9215626772493124</v>
          </cell>
          <cell r="AA450">
            <v>0.23929046232783518</v>
          </cell>
          <cell r="AB450"/>
          <cell r="AC450" t="e">
            <v>#N/A</v>
          </cell>
          <cell r="AD450">
            <v>363</v>
          </cell>
          <cell r="AE450" t="e">
            <v>#N/A</v>
          </cell>
          <cell r="AF450"/>
        </row>
        <row r="451">
          <cell r="Y451">
            <v>435</v>
          </cell>
          <cell r="Z451">
            <v>0.75280792824923992</v>
          </cell>
          <cell r="AA451">
            <v>0.11550765021337224</v>
          </cell>
          <cell r="AB451"/>
          <cell r="AC451" t="e">
            <v>#N/A</v>
          </cell>
          <cell r="AD451">
            <v>364</v>
          </cell>
          <cell r="AE451" t="e">
            <v>#N/A</v>
          </cell>
          <cell r="AF451"/>
        </row>
        <row r="452">
          <cell r="Y452">
            <v>436</v>
          </cell>
          <cell r="Z452">
            <v>6.8995466455817223E-2</v>
          </cell>
          <cell r="AA452">
            <v>-0.25072587316304012</v>
          </cell>
          <cell r="AB452"/>
          <cell r="AC452" t="e">
            <v>#N/A</v>
          </cell>
          <cell r="AD452">
            <v>365</v>
          </cell>
          <cell r="AE452" t="e">
            <v>#N/A</v>
          </cell>
          <cell r="AF452"/>
        </row>
        <row r="453">
          <cell r="Y453">
            <v>437</v>
          </cell>
          <cell r="Z453">
            <v>0.56149923615157604</v>
          </cell>
          <cell r="AA453">
            <v>2.6161143862732862E-2</v>
          </cell>
          <cell r="AB453"/>
          <cell r="AC453" t="e">
            <v>#N/A</v>
          </cell>
          <cell r="AD453">
            <v>366</v>
          </cell>
          <cell r="AE453" t="e">
            <v>#N/A</v>
          </cell>
          <cell r="AF453"/>
        </row>
        <row r="454">
          <cell r="Y454">
            <v>438</v>
          </cell>
          <cell r="Z454">
            <v>0.66100583039224148</v>
          </cell>
          <cell r="AA454">
            <v>7.0183262606242108E-2</v>
          </cell>
          <cell r="AB454"/>
          <cell r="AC454" t="e">
            <v>#N/A</v>
          </cell>
          <cell r="AD454">
            <v>367</v>
          </cell>
          <cell r="AE454" t="e">
            <v>#N/A</v>
          </cell>
          <cell r="AF454"/>
        </row>
        <row r="455">
          <cell r="Y455">
            <v>439</v>
          </cell>
          <cell r="Z455">
            <v>0.8969982098788023</v>
          </cell>
          <cell r="AA455">
            <v>0.21376167988277645</v>
          </cell>
          <cell r="AB455"/>
          <cell r="AC455" t="e">
            <v>#N/A</v>
          </cell>
          <cell r="AD455">
            <v>368</v>
          </cell>
          <cell r="AE455" t="e">
            <v>#N/A</v>
          </cell>
          <cell r="AF455"/>
        </row>
        <row r="456">
          <cell r="Y456">
            <v>440</v>
          </cell>
          <cell r="Z456">
            <v>0.75976475141942501</v>
          </cell>
          <cell r="AA456">
            <v>0.11925904584463516</v>
          </cell>
          <cell r="AB456"/>
          <cell r="AC456" t="e">
            <v>#N/A</v>
          </cell>
          <cell r="AD456">
            <v>369</v>
          </cell>
          <cell r="AE456" t="e">
            <v>#N/A</v>
          </cell>
          <cell r="AF456"/>
        </row>
        <row r="457">
          <cell r="Y457">
            <v>441</v>
          </cell>
          <cell r="Z457">
            <v>0.39113601855933666</v>
          </cell>
          <cell r="AA457">
            <v>-4.6713264508987606E-2</v>
          </cell>
          <cell r="AB457"/>
          <cell r="AC457" t="e">
            <v>#N/A</v>
          </cell>
          <cell r="AD457">
            <v>370</v>
          </cell>
          <cell r="AE457" t="e">
            <v>#N/A</v>
          </cell>
          <cell r="AF457"/>
        </row>
        <row r="458">
          <cell r="Y458">
            <v>442</v>
          </cell>
          <cell r="Z458">
            <v>0.27036160789430141</v>
          </cell>
          <cell r="AA458">
            <v>-0.10339950395189798</v>
          </cell>
          <cell r="AB458"/>
          <cell r="AC458" t="e">
            <v>#N/A</v>
          </cell>
          <cell r="AD458">
            <v>371</v>
          </cell>
          <cell r="AE458" t="e">
            <v>#N/A</v>
          </cell>
          <cell r="AF458"/>
        </row>
        <row r="459">
          <cell r="Y459">
            <v>443</v>
          </cell>
          <cell r="Z459">
            <v>0.59364391677081585</v>
          </cell>
          <cell r="AA459">
            <v>4.0048246256944905E-2</v>
          </cell>
          <cell r="AB459"/>
          <cell r="AC459" t="e">
            <v>#N/A</v>
          </cell>
          <cell r="AD459">
            <v>372</v>
          </cell>
          <cell r="AE459" t="e">
            <v>#N/A</v>
          </cell>
          <cell r="AF459"/>
        </row>
        <row r="460">
          <cell r="Y460">
            <v>444</v>
          </cell>
          <cell r="Z460">
            <v>0.88507907651364803</v>
          </cell>
          <cell r="AA460">
            <v>0.20296655851303352</v>
          </cell>
          <cell r="AB460"/>
          <cell r="AC460" t="e">
            <v>#N/A</v>
          </cell>
          <cell r="AD460">
            <v>373</v>
          </cell>
          <cell r="AE460" t="e">
            <v>#N/A</v>
          </cell>
          <cell r="AF460"/>
        </row>
        <row r="461">
          <cell r="Y461">
            <v>445</v>
          </cell>
          <cell r="Z461">
            <v>0.27116447500884533</v>
          </cell>
          <cell r="AA461">
            <v>-0.10298964483908195</v>
          </cell>
          <cell r="AB461"/>
          <cell r="AC461" t="e">
            <v>#N/A</v>
          </cell>
          <cell r="AD461">
            <v>374</v>
          </cell>
          <cell r="AE461" t="e">
            <v>#N/A</v>
          </cell>
          <cell r="AF461"/>
        </row>
        <row r="462">
          <cell r="Y462">
            <v>446</v>
          </cell>
          <cell r="Z462">
            <v>0.27522662840783596</v>
          </cell>
          <cell r="AA462">
            <v>-0.10092512108443684</v>
          </cell>
          <cell r="AB462"/>
          <cell r="AC462" t="e">
            <v>#N/A</v>
          </cell>
          <cell r="AD462">
            <v>375</v>
          </cell>
          <cell r="AE462" t="e">
            <v>#N/A</v>
          </cell>
          <cell r="AF462"/>
        </row>
        <row r="463">
          <cell r="Y463">
            <v>447</v>
          </cell>
          <cell r="Z463">
            <v>0.86202452890574932</v>
          </cell>
          <cell r="AA463">
            <v>0.18415240560073945</v>
          </cell>
          <cell r="AB463"/>
          <cell r="AC463" t="e">
            <v>#N/A</v>
          </cell>
          <cell r="AD463">
            <v>376</v>
          </cell>
          <cell r="AE463" t="e">
            <v>#N/A</v>
          </cell>
          <cell r="AF463"/>
        </row>
        <row r="464">
          <cell r="Y464">
            <v>448</v>
          </cell>
          <cell r="Z464">
            <v>0.49537636898458004</v>
          </cell>
          <cell r="AA464">
            <v>-1.9590648081880546E-3</v>
          </cell>
          <cell r="AB464"/>
          <cell r="AC464" t="e">
            <v>#N/A</v>
          </cell>
          <cell r="AD464">
            <v>377</v>
          </cell>
          <cell r="AE464" t="e">
            <v>#N/A</v>
          </cell>
          <cell r="AF464"/>
        </row>
        <row r="465">
          <cell r="Y465">
            <v>449</v>
          </cell>
          <cell r="Z465">
            <v>0.12973859719932079</v>
          </cell>
          <cell r="AA465">
            <v>-0.19060386521897635</v>
          </cell>
          <cell r="AB465"/>
          <cell r="AC465" t="e">
            <v>#N/A</v>
          </cell>
          <cell r="AD465">
            <v>378</v>
          </cell>
          <cell r="AE465" t="e">
            <v>#N/A</v>
          </cell>
          <cell r="AF465"/>
        </row>
        <row r="466">
          <cell r="Y466">
            <v>450</v>
          </cell>
          <cell r="Z466">
            <v>0.65859497152268887</v>
          </cell>
          <cell r="AA466">
            <v>6.907134245924583E-2</v>
          </cell>
          <cell r="AB466"/>
          <cell r="AC466" t="e">
            <v>#N/A</v>
          </cell>
          <cell r="AD466">
            <v>379</v>
          </cell>
          <cell r="AE466" t="e">
            <v>#N/A</v>
          </cell>
          <cell r="AF466"/>
        </row>
        <row r="467">
          <cell r="Y467">
            <v>451</v>
          </cell>
          <cell r="Z467">
            <v>0.27696151845157146</v>
          </cell>
          <cell r="AA467">
            <v>-0.10004797670565832</v>
          </cell>
          <cell r="AB467"/>
          <cell r="AC467" t="e">
            <v>#N/A</v>
          </cell>
          <cell r="AD467">
            <v>380</v>
          </cell>
          <cell r="AE467" t="e">
            <v>#N/A</v>
          </cell>
          <cell r="AF467"/>
        </row>
        <row r="468">
          <cell r="Y468">
            <v>452</v>
          </cell>
          <cell r="Z468">
            <v>0.78501545451581478</v>
          </cell>
          <cell r="AA468">
            <v>0.13340667716919083</v>
          </cell>
          <cell r="AB468"/>
          <cell r="AC468" t="e">
            <v>#N/A</v>
          </cell>
          <cell r="AD468">
            <v>381</v>
          </cell>
          <cell r="AE468" t="e">
            <v>#N/A</v>
          </cell>
          <cell r="AF468"/>
        </row>
        <row r="469">
          <cell r="Y469">
            <v>453</v>
          </cell>
          <cell r="Z469">
            <v>0.7503590565174818</v>
          </cell>
          <cell r="AA469">
            <v>0.11420063765133036</v>
          </cell>
          <cell r="AB469"/>
          <cell r="AC469" t="e">
            <v>#N/A</v>
          </cell>
          <cell r="AD469">
            <v>382</v>
          </cell>
          <cell r="AE469" t="e">
            <v>#N/A</v>
          </cell>
          <cell r="AF469"/>
        </row>
        <row r="470">
          <cell r="Y470">
            <v>454</v>
          </cell>
          <cell r="Z470">
            <v>0.31984255276620388</v>
          </cell>
          <cell r="AA470">
            <v>-7.9129953758609595E-2</v>
          </cell>
          <cell r="AB470"/>
          <cell r="AC470" t="e">
            <v>#N/A</v>
          </cell>
          <cell r="AD470">
            <v>383</v>
          </cell>
          <cell r="AE470" t="e">
            <v>#N/A</v>
          </cell>
          <cell r="AF470"/>
        </row>
        <row r="471">
          <cell r="Y471">
            <v>455</v>
          </cell>
          <cell r="Z471">
            <v>0.68561522476375103</v>
          </cell>
          <cell r="AA471">
            <v>8.1719560966919333E-2</v>
          </cell>
          <cell r="AB471"/>
          <cell r="AC471" t="e">
            <v>#N/A</v>
          </cell>
          <cell r="AD471">
            <v>384</v>
          </cell>
          <cell r="AE471" t="e">
            <v>#N/A</v>
          </cell>
          <cell r="AF471"/>
        </row>
        <row r="472">
          <cell r="Y472">
            <v>456</v>
          </cell>
          <cell r="Z472">
            <v>0.16063543222844601</v>
          </cell>
          <cell r="AA472">
            <v>-0.16765319350170746</v>
          </cell>
          <cell r="AB472"/>
          <cell r="AC472" t="e">
            <v>#N/A</v>
          </cell>
          <cell r="AD472">
            <v>385</v>
          </cell>
          <cell r="AE472" t="e">
            <v>#N/A</v>
          </cell>
          <cell r="AF472"/>
        </row>
        <row r="473">
          <cell r="Y473">
            <v>457</v>
          </cell>
          <cell r="Z473">
            <v>0.41054507903754711</v>
          </cell>
          <cell r="AA473">
            <v>-3.8225153176935443E-2</v>
          </cell>
          <cell r="AB473"/>
          <cell r="AC473" t="e">
            <v>#N/A</v>
          </cell>
          <cell r="AD473">
            <v>386</v>
          </cell>
          <cell r="AE473" t="e">
            <v>#N/A</v>
          </cell>
          <cell r="AF473"/>
        </row>
        <row r="474">
          <cell r="Y474">
            <v>458</v>
          </cell>
          <cell r="Z474">
            <v>0.12746149860322475</v>
          </cell>
          <cell r="AA474">
            <v>-0.19243707199839935</v>
          </cell>
          <cell r="AB474"/>
          <cell r="AC474" t="e">
            <v>#N/A</v>
          </cell>
          <cell r="AD474">
            <v>387</v>
          </cell>
          <cell r="AE474" t="e">
            <v>#N/A</v>
          </cell>
          <cell r="AF474"/>
        </row>
        <row r="475">
          <cell r="Y475">
            <v>459</v>
          </cell>
          <cell r="Z475">
            <v>0.64303172938525677</v>
          </cell>
          <cell r="AA475">
            <v>6.1962374939212715E-2</v>
          </cell>
          <cell r="AB475"/>
          <cell r="AC475" t="e">
            <v>#N/A</v>
          </cell>
          <cell r="AD475">
            <v>388</v>
          </cell>
          <cell r="AE475" t="e">
            <v>#N/A</v>
          </cell>
          <cell r="AF475"/>
        </row>
        <row r="476">
          <cell r="Y476">
            <v>460</v>
          </cell>
          <cell r="Z476">
            <v>0.65326504968106747</v>
          </cell>
          <cell r="AA476">
            <v>6.6623600877348865E-2</v>
          </cell>
          <cell r="AB476"/>
          <cell r="AC476" t="e">
            <v>#N/A</v>
          </cell>
          <cell r="AD476">
            <v>389</v>
          </cell>
          <cell r="AE476" t="e">
            <v>#N/A</v>
          </cell>
          <cell r="AF476"/>
        </row>
        <row r="477">
          <cell r="Y477">
            <v>461</v>
          </cell>
          <cell r="Z477">
            <v>0.98925632052123547</v>
          </cell>
          <cell r="AA477">
            <v>0.38865427652928353</v>
          </cell>
          <cell r="AB477"/>
          <cell r="AC477" t="e">
            <v>#N/A</v>
          </cell>
          <cell r="AD477">
            <v>390</v>
          </cell>
          <cell r="AE477" t="e">
            <v>#N/A</v>
          </cell>
          <cell r="AF477"/>
        </row>
        <row r="478">
          <cell r="Y478">
            <v>462</v>
          </cell>
          <cell r="Z478">
            <v>6.5544521436095238E-2</v>
          </cell>
          <cell r="AA478">
            <v>-0.25520636958145076</v>
          </cell>
          <cell r="AB478"/>
          <cell r="AC478" t="e">
            <v>#N/A</v>
          </cell>
          <cell r="AD478">
            <v>391</v>
          </cell>
          <cell r="AE478" t="e">
            <v>#N/A</v>
          </cell>
          <cell r="AF478"/>
        </row>
        <row r="479">
          <cell r="Y479">
            <v>463</v>
          </cell>
          <cell r="Z479">
            <v>6.6439731046557426E-2</v>
          </cell>
          <cell r="AA479">
            <v>-0.25402687858866141</v>
          </cell>
          <cell r="AB479"/>
          <cell r="AC479" t="e">
            <v>#N/A</v>
          </cell>
          <cell r="AD479">
            <v>392</v>
          </cell>
          <cell r="AE479" t="e">
            <v>#N/A</v>
          </cell>
          <cell r="AF479"/>
        </row>
        <row r="480">
          <cell r="Y480">
            <v>464</v>
          </cell>
          <cell r="Z480">
            <v>0.17418207786977291</v>
          </cell>
          <cell r="AA480">
            <v>-0.15851155654283161</v>
          </cell>
          <cell r="AB480"/>
          <cell r="AC480" t="e">
            <v>#N/A</v>
          </cell>
          <cell r="AD480">
            <v>393</v>
          </cell>
          <cell r="AE480" t="e">
            <v>#N/A</v>
          </cell>
          <cell r="AF480"/>
        </row>
        <row r="481">
          <cell r="Y481">
            <v>465</v>
          </cell>
          <cell r="Z481">
            <v>4.3064741417765617E-2</v>
          </cell>
          <cell r="AA481">
            <v>-0.29008701448729274</v>
          </cell>
          <cell r="AB481"/>
          <cell r="AC481" t="e">
            <v>#N/A</v>
          </cell>
          <cell r="AD481">
            <v>394</v>
          </cell>
          <cell r="AE481" t="e">
            <v>#N/A</v>
          </cell>
          <cell r="AF481"/>
        </row>
        <row r="482">
          <cell r="Y482">
            <v>466</v>
          </cell>
          <cell r="Z482">
            <v>0.97401929460465908</v>
          </cell>
          <cell r="AA482">
            <v>0.32850356769775518</v>
          </cell>
          <cell r="AB482"/>
          <cell r="AC482" t="e">
            <v>#N/A</v>
          </cell>
          <cell r="AD482">
            <v>395</v>
          </cell>
          <cell r="AE482" t="e">
            <v>#N/A</v>
          </cell>
          <cell r="AF482"/>
        </row>
        <row r="483">
          <cell r="Y483">
            <v>467</v>
          </cell>
          <cell r="Z483">
            <v>0.60829742066562176</v>
          </cell>
          <cell r="AA483">
            <v>4.6463920715875941E-2</v>
          </cell>
          <cell r="AB483"/>
          <cell r="AC483" t="e">
            <v>#N/A</v>
          </cell>
          <cell r="AD483">
            <v>396</v>
          </cell>
          <cell r="AE483" t="e">
            <v>#N/A</v>
          </cell>
          <cell r="AF483"/>
        </row>
        <row r="484">
          <cell r="Y484">
            <v>468</v>
          </cell>
          <cell r="Z484">
            <v>0.11452268622815609</v>
          </cell>
          <cell r="AA484">
            <v>-0.20331395500179916</v>
          </cell>
          <cell r="AB484"/>
          <cell r="AC484" t="e">
            <v>#N/A</v>
          </cell>
          <cell r="AD484">
            <v>397</v>
          </cell>
          <cell r="AE484" t="e">
            <v>#N/A</v>
          </cell>
          <cell r="AF484"/>
        </row>
        <row r="485">
          <cell r="Y485">
            <v>469</v>
          </cell>
          <cell r="Z485">
            <v>0.35107648186385632</v>
          </cell>
          <cell r="AA485">
            <v>-6.4640070127798058E-2</v>
          </cell>
          <cell r="AB485"/>
          <cell r="AC485" t="e">
            <v>#N/A</v>
          </cell>
          <cell r="AD485">
            <v>398</v>
          </cell>
          <cell r="AE485" t="e">
            <v>#N/A</v>
          </cell>
          <cell r="AF485"/>
        </row>
        <row r="486">
          <cell r="Y486">
            <v>470</v>
          </cell>
          <cell r="Z486">
            <v>0.38263282738626003</v>
          </cell>
          <cell r="AA486">
            <v>-5.0468095734139615E-2</v>
          </cell>
          <cell r="AB486"/>
          <cell r="AC486" t="e">
            <v>#N/A</v>
          </cell>
          <cell r="AD486">
            <v>399</v>
          </cell>
          <cell r="AE486" t="e">
            <v>#N/A</v>
          </cell>
          <cell r="AF486"/>
        </row>
        <row r="487">
          <cell r="Y487">
            <v>471</v>
          </cell>
          <cell r="Z487">
            <v>0.24808935634791851</v>
          </cell>
          <cell r="AA487">
            <v>-0.11502795332227796</v>
          </cell>
          <cell r="AB487"/>
          <cell r="AC487" t="e">
            <v>#N/A</v>
          </cell>
          <cell r="AD487">
            <v>400</v>
          </cell>
          <cell r="AE487" t="e">
            <v>#N/A</v>
          </cell>
          <cell r="AF487"/>
        </row>
        <row r="488">
          <cell r="Y488">
            <v>472</v>
          </cell>
          <cell r="Z488">
            <v>0.78864081762731075</v>
          </cell>
          <cell r="AA488">
            <v>0.13551441447508442</v>
          </cell>
          <cell r="AB488"/>
          <cell r="AC488" t="e">
            <v>#N/A</v>
          </cell>
          <cell r="AD488">
            <v>401</v>
          </cell>
          <cell r="AE488" t="e">
            <v>#N/A</v>
          </cell>
          <cell r="AF488"/>
        </row>
        <row r="489">
          <cell r="Y489">
            <v>473</v>
          </cell>
          <cell r="Z489">
            <v>0.42860373668372631</v>
          </cell>
          <cell r="AA489">
            <v>-3.0413731686509196E-2</v>
          </cell>
          <cell r="AB489"/>
          <cell r="AC489" t="e">
            <v>#N/A</v>
          </cell>
          <cell r="AD489">
            <v>402</v>
          </cell>
          <cell r="AE489" t="e">
            <v>#N/A</v>
          </cell>
          <cell r="AF489"/>
        </row>
        <row r="490">
          <cell r="Y490">
            <v>474</v>
          </cell>
          <cell r="Z490">
            <v>0.93868583999574184</v>
          </cell>
          <cell r="AA490">
            <v>0.26095573678081296</v>
          </cell>
          <cell r="AB490"/>
          <cell r="AC490" t="e">
            <v>#N/A</v>
          </cell>
          <cell r="AD490">
            <v>403</v>
          </cell>
          <cell r="AE490" t="e">
            <v>#N/A</v>
          </cell>
          <cell r="AF490"/>
        </row>
        <row r="491">
          <cell r="Y491">
            <v>475</v>
          </cell>
          <cell r="Z491">
            <v>0.60287333838641644</v>
          </cell>
          <cell r="AA491">
            <v>4.4081804008598957E-2</v>
          </cell>
          <cell r="AB491"/>
          <cell r="AC491" t="e">
            <v>#N/A</v>
          </cell>
          <cell r="AD491">
            <v>404</v>
          </cell>
          <cell r="AE491" t="e">
            <v>#N/A</v>
          </cell>
          <cell r="AF491"/>
        </row>
        <row r="492">
          <cell r="Y492">
            <v>476</v>
          </cell>
          <cell r="Z492">
            <v>0.22121756337583065</v>
          </cell>
          <cell r="AA492">
            <v>-0.12983050532682266</v>
          </cell>
          <cell r="AB492"/>
          <cell r="AC492" t="e">
            <v>#N/A</v>
          </cell>
          <cell r="AD492">
            <v>405</v>
          </cell>
          <cell r="AE492" t="e">
            <v>#N/A</v>
          </cell>
          <cell r="AF492"/>
        </row>
        <row r="493">
          <cell r="Y493">
            <v>477</v>
          </cell>
          <cell r="Z493">
            <v>0.50958663038909435</v>
          </cell>
          <cell r="AA493">
            <v>4.0622224218511771E-3</v>
          </cell>
          <cell r="AB493"/>
          <cell r="AC493" t="e">
            <v>#N/A</v>
          </cell>
          <cell r="AD493">
            <v>406</v>
          </cell>
          <cell r="AE493" t="e">
            <v>#N/A</v>
          </cell>
          <cell r="AF493"/>
        </row>
        <row r="494">
          <cell r="Y494">
            <v>478</v>
          </cell>
          <cell r="Z494">
            <v>0.92851713858544827</v>
          </cell>
          <cell r="AA494">
            <v>0.2476024412205674</v>
          </cell>
          <cell r="AB494"/>
          <cell r="AC494" t="e">
            <v>#N/A</v>
          </cell>
          <cell r="AD494">
            <v>407</v>
          </cell>
          <cell r="AE494" t="e">
            <v>#N/A</v>
          </cell>
          <cell r="AF494"/>
        </row>
        <row r="495">
          <cell r="Y495">
            <v>479</v>
          </cell>
          <cell r="Z495">
            <v>0.45657728426158428</v>
          </cell>
          <cell r="AA495">
            <v>-1.8434575451563073E-2</v>
          </cell>
          <cell r="AB495"/>
          <cell r="AC495" t="e">
            <v>#N/A</v>
          </cell>
          <cell r="AD495">
            <v>408</v>
          </cell>
          <cell r="AE495" t="e">
            <v>#N/A</v>
          </cell>
          <cell r="AF495"/>
        </row>
        <row r="496">
          <cell r="Y496">
            <v>480</v>
          </cell>
          <cell r="Z496">
            <v>0.77812053821980953</v>
          </cell>
          <cell r="AA496">
            <v>0.12945416211627517</v>
          </cell>
          <cell r="AB496"/>
          <cell r="AC496" t="e">
            <v>#N/A</v>
          </cell>
          <cell r="AD496">
            <v>409</v>
          </cell>
          <cell r="AE496" t="e">
            <v>#N/A</v>
          </cell>
          <cell r="AF496"/>
        </row>
        <row r="497">
          <cell r="Y497">
            <v>481</v>
          </cell>
          <cell r="Z497">
            <v>0.49776509217917919</v>
          </cell>
          <cell r="AA497">
            <v>-9.4692983235248316E-4</v>
          </cell>
          <cell r="AB497"/>
          <cell r="AC497" t="e">
            <v>#N/A</v>
          </cell>
          <cell r="AD497">
            <v>410</v>
          </cell>
          <cell r="AE497" t="e">
            <v>#N/A</v>
          </cell>
          <cell r="AF497"/>
        </row>
        <row r="498">
          <cell r="Y498">
            <v>482</v>
          </cell>
          <cell r="Z498">
            <v>0.39273799024522305</v>
          </cell>
          <cell r="AA498">
            <v>-4.6008496331732589E-2</v>
          </cell>
          <cell r="AB498"/>
          <cell r="AC498" t="e">
            <v>#N/A</v>
          </cell>
          <cell r="AD498">
            <v>411</v>
          </cell>
          <cell r="AE498" t="e">
            <v>#N/A</v>
          </cell>
          <cell r="AF498"/>
        </row>
        <row r="499">
          <cell r="Y499">
            <v>483</v>
          </cell>
          <cell r="Z499">
            <v>8.0461036413908005E-3</v>
          </cell>
          <cell r="AA499">
            <v>-0.40682641768056399</v>
          </cell>
          <cell r="AB499"/>
          <cell r="AC499" t="e">
            <v>#N/A</v>
          </cell>
          <cell r="AD499">
            <v>412</v>
          </cell>
          <cell r="AE499" t="e">
            <v>#N/A</v>
          </cell>
          <cell r="AF499"/>
        </row>
        <row r="500">
          <cell r="Y500">
            <v>484</v>
          </cell>
          <cell r="Z500">
            <v>0.14101325534284115</v>
          </cell>
          <cell r="AA500">
            <v>-0.18183968698784256</v>
          </cell>
          <cell r="AB500"/>
          <cell r="AC500" t="e">
            <v>#N/A</v>
          </cell>
          <cell r="AD500">
            <v>413</v>
          </cell>
          <cell r="AE500" t="e">
            <v>#N/A</v>
          </cell>
          <cell r="AF500"/>
        </row>
        <row r="501">
          <cell r="Y501">
            <v>485</v>
          </cell>
          <cell r="Z501">
            <v>0.38660073094069958</v>
          </cell>
          <cell r="AA501">
            <v>-4.8712965863617716E-2</v>
          </cell>
          <cell r="AB501"/>
          <cell r="AC501" t="e">
            <v>#N/A</v>
          </cell>
          <cell r="AD501">
            <v>414</v>
          </cell>
          <cell r="AE501" t="e">
            <v>#N/A</v>
          </cell>
          <cell r="AF501"/>
        </row>
        <row r="502">
          <cell r="Y502">
            <v>486</v>
          </cell>
          <cell r="Z502">
            <v>0.33521649800240993</v>
          </cell>
          <cell r="AA502">
            <v>-7.193172443168809E-2</v>
          </cell>
          <cell r="AB502"/>
          <cell r="AC502" t="e">
            <v>#N/A</v>
          </cell>
          <cell r="AD502">
            <v>415</v>
          </cell>
          <cell r="AE502" t="e">
            <v>#N/A</v>
          </cell>
          <cell r="AF502"/>
        </row>
        <row r="503">
          <cell r="Y503">
            <v>487</v>
          </cell>
          <cell r="Z503">
            <v>0.33783857338130474</v>
          </cell>
          <cell r="AA503">
            <v>-7.0717314655497979E-2</v>
          </cell>
          <cell r="AB503"/>
          <cell r="AC503" t="e">
            <v>#N/A</v>
          </cell>
          <cell r="AD503">
            <v>416</v>
          </cell>
          <cell r="AE503" t="e">
            <v>#N/A</v>
          </cell>
          <cell r="AF503"/>
        </row>
        <row r="504">
          <cell r="Y504">
            <v>488</v>
          </cell>
          <cell r="Z504">
            <v>0.12571450136601925</v>
          </cell>
          <cell r="AA504">
            <v>-0.19385900888584653</v>
          </cell>
          <cell r="AB504"/>
          <cell r="AC504" t="e">
            <v>#N/A</v>
          </cell>
          <cell r="AD504">
            <v>417</v>
          </cell>
          <cell r="AE504" t="e">
            <v>#N/A</v>
          </cell>
          <cell r="AF504"/>
        </row>
        <row r="505">
          <cell r="Y505">
            <v>489</v>
          </cell>
          <cell r="Z505">
            <v>0.64794871024787426</v>
          </cell>
          <cell r="AA505">
            <v>6.4195936914286975E-2</v>
          </cell>
          <cell r="AB505"/>
          <cell r="AC505" t="e">
            <v>#N/A</v>
          </cell>
          <cell r="AD505">
            <v>418</v>
          </cell>
          <cell r="AE505" t="e">
            <v>#N/A</v>
          </cell>
          <cell r="AF505"/>
        </row>
        <row r="506">
          <cell r="Y506">
            <v>490</v>
          </cell>
          <cell r="Z506">
            <v>0.52581197582185268</v>
          </cell>
          <cell r="AA506">
            <v>1.094411150803706E-2</v>
          </cell>
          <cell r="AB506"/>
          <cell r="AC506" t="e">
            <v>#N/A</v>
          </cell>
          <cell r="AD506">
            <v>419</v>
          </cell>
          <cell r="AE506" t="e">
            <v>#N/A</v>
          </cell>
          <cell r="AF506"/>
        </row>
        <row r="507">
          <cell r="Y507">
            <v>491</v>
          </cell>
          <cell r="Z507">
            <v>0.59377421252429485</v>
          </cell>
          <cell r="AA507">
            <v>4.0105025952743491E-2</v>
          </cell>
          <cell r="AB507"/>
          <cell r="AC507" t="e">
            <v>#N/A</v>
          </cell>
          <cell r="AD507">
            <v>420</v>
          </cell>
          <cell r="AE507" t="e">
            <v>#N/A</v>
          </cell>
          <cell r="AF507"/>
        </row>
        <row r="508">
          <cell r="Y508">
            <v>492</v>
          </cell>
          <cell r="Z508">
            <v>0.84430771134793758</v>
          </cell>
          <cell r="AA508">
            <v>0.17111348709679569</v>
          </cell>
          <cell r="AB508"/>
          <cell r="AC508" t="e">
            <v>#N/A</v>
          </cell>
          <cell r="AD508">
            <v>421</v>
          </cell>
          <cell r="AE508" t="e">
            <v>#N/A</v>
          </cell>
          <cell r="AF508"/>
        </row>
        <row r="509">
          <cell r="Y509">
            <v>493</v>
          </cell>
          <cell r="Z509">
            <v>8.9479623362421989E-2</v>
          </cell>
          <cell r="AA509">
            <v>-0.22717178718334913</v>
          </cell>
          <cell r="AB509"/>
          <cell r="AC509" t="e">
            <v>#N/A</v>
          </cell>
          <cell r="AD509">
            <v>422</v>
          </cell>
          <cell r="AE509" t="e">
            <v>#N/A</v>
          </cell>
          <cell r="AF509"/>
        </row>
        <row r="510">
          <cell r="Y510">
            <v>494</v>
          </cell>
          <cell r="Z510">
            <v>0.39685932360589504</v>
          </cell>
          <cell r="AA510">
            <v>-4.4199003189921253E-2</v>
          </cell>
          <cell r="AB510"/>
          <cell r="AC510" t="e">
            <v>#N/A</v>
          </cell>
          <cell r="AD510">
            <v>423</v>
          </cell>
          <cell r="AE510" t="e">
            <v>#N/A</v>
          </cell>
          <cell r="AF510"/>
        </row>
        <row r="511">
          <cell r="Y511">
            <v>495</v>
          </cell>
          <cell r="Z511">
            <v>0.39523015730082989</v>
          </cell>
          <cell r="AA511">
            <v>-4.4913680461362605E-2</v>
          </cell>
          <cell r="AB511"/>
          <cell r="AC511" t="e">
            <v>#N/A</v>
          </cell>
          <cell r="AD511">
            <v>424</v>
          </cell>
          <cell r="AE511" t="e">
            <v>#N/A</v>
          </cell>
          <cell r="AF511"/>
        </row>
        <row r="512">
          <cell r="Y512">
            <v>496</v>
          </cell>
          <cell r="Z512">
            <v>0.7110003437846899</v>
          </cell>
          <cell r="AA512">
            <v>9.4033463596018024E-2</v>
          </cell>
          <cell r="AB512"/>
          <cell r="AC512" t="e">
            <v>#N/A</v>
          </cell>
          <cell r="AD512">
            <v>425</v>
          </cell>
          <cell r="AE512" t="e">
            <v>#N/A</v>
          </cell>
          <cell r="AF512"/>
        </row>
        <row r="513">
          <cell r="Y513">
            <v>497</v>
          </cell>
          <cell r="Z513">
            <v>0.68085136823356152</v>
          </cell>
          <cell r="AA513">
            <v>7.9458164147421725E-2</v>
          </cell>
          <cell r="AB513"/>
          <cell r="AC513" t="e">
            <v>#N/A</v>
          </cell>
          <cell r="AD513">
            <v>426</v>
          </cell>
          <cell r="AE513" t="e">
            <v>#N/A</v>
          </cell>
          <cell r="AF513"/>
        </row>
        <row r="514">
          <cell r="Y514">
            <v>498</v>
          </cell>
          <cell r="Z514">
            <v>0.53340340219438076</v>
          </cell>
          <cell r="AA514">
            <v>1.4169516041654196E-2</v>
          </cell>
          <cell r="AB514"/>
          <cell r="AC514" t="e">
            <v>#N/A</v>
          </cell>
          <cell r="AD514">
            <v>427</v>
          </cell>
          <cell r="AE514" t="e">
            <v>#N/A</v>
          </cell>
          <cell r="AF514"/>
        </row>
        <row r="515">
          <cell r="Y515">
            <v>499</v>
          </cell>
          <cell r="Z515">
            <v>0.95618803612887859</v>
          </cell>
          <cell r="AA515">
            <v>0.28871600345132237</v>
          </cell>
          <cell r="AB515"/>
          <cell r="AC515" t="e">
            <v>#N/A</v>
          </cell>
          <cell r="AD515">
            <v>428</v>
          </cell>
          <cell r="AE515" t="e">
            <v>#N/A</v>
          </cell>
          <cell r="AF515"/>
        </row>
        <row r="516">
          <cell r="Y516">
            <v>500</v>
          </cell>
          <cell r="Z516">
            <v>0.79173325560986996</v>
          </cell>
          <cell r="AA516">
            <v>0.13732910808639387</v>
          </cell>
          <cell r="AB516"/>
          <cell r="AC516" t="e">
            <v>#N/A</v>
          </cell>
          <cell r="AD516">
            <v>429</v>
          </cell>
          <cell r="AE516" t="e">
            <v>#N/A</v>
          </cell>
          <cell r="AF516"/>
        </row>
        <row r="517">
          <cell r="Y517">
            <v>501</v>
          </cell>
          <cell r="Z517">
            <v>0.84863102249801159</v>
          </cell>
          <cell r="AA517">
            <v>0.17419976534319093</v>
          </cell>
          <cell r="AB517"/>
          <cell r="AC517" t="e">
            <v>#N/A</v>
          </cell>
          <cell r="AD517">
            <v>430</v>
          </cell>
          <cell r="AE517" t="e">
            <v>#N/A</v>
          </cell>
          <cell r="AF517"/>
        </row>
        <row r="518">
          <cell r="Y518">
            <v>502</v>
          </cell>
          <cell r="Z518">
            <v>0.25718340836465359</v>
          </cell>
          <cell r="AA518">
            <v>-0.11021711687904844</v>
          </cell>
          <cell r="AB518"/>
          <cell r="AC518" t="e">
            <v>#N/A</v>
          </cell>
          <cell r="AD518">
            <v>431</v>
          </cell>
          <cell r="AE518" t="e">
            <v>#N/A</v>
          </cell>
          <cell r="AF518"/>
        </row>
        <row r="519">
          <cell r="Y519">
            <v>503</v>
          </cell>
          <cell r="Z519">
            <v>0.42703084461390972</v>
          </cell>
          <cell r="AA519">
            <v>-3.1091283806102064E-2</v>
          </cell>
          <cell r="AB519"/>
          <cell r="AC519" t="e">
            <v>#N/A</v>
          </cell>
          <cell r="AD519">
            <v>432</v>
          </cell>
          <cell r="AE519" t="e">
            <v>#N/A</v>
          </cell>
          <cell r="AF519"/>
        </row>
        <row r="520">
          <cell r="Y520">
            <v>504</v>
          </cell>
          <cell r="Z520">
            <v>0.9975400771945715</v>
          </cell>
          <cell r="AA520">
            <v>0.4753545726874589</v>
          </cell>
          <cell r="AB520"/>
          <cell r="AC520" t="e">
            <v>#N/A</v>
          </cell>
          <cell r="AD520">
            <v>433</v>
          </cell>
          <cell r="AE520" t="e">
            <v>#N/A</v>
          </cell>
          <cell r="AF520"/>
        </row>
        <row r="521">
          <cell r="Y521">
            <v>505</v>
          </cell>
          <cell r="Z521">
            <v>0.73996671847999096</v>
          </cell>
          <cell r="AA521">
            <v>0.10872787847339255</v>
          </cell>
          <cell r="AB521"/>
          <cell r="AC521" t="e">
            <v>#N/A</v>
          </cell>
          <cell r="AD521">
            <v>434</v>
          </cell>
          <cell r="AE521" t="e">
            <v>#N/A</v>
          </cell>
          <cell r="AF521"/>
        </row>
        <row r="522">
          <cell r="Y522">
            <v>506</v>
          </cell>
          <cell r="Z522">
            <v>0.80436724983155727</v>
          </cell>
          <cell r="AA522">
            <v>0.14491431170438193</v>
          </cell>
          <cell r="AB522"/>
          <cell r="AC522" t="e">
            <v>#N/A</v>
          </cell>
          <cell r="AD522">
            <v>435</v>
          </cell>
          <cell r="AE522" t="e">
            <v>#N/A</v>
          </cell>
          <cell r="AF522"/>
        </row>
        <row r="523">
          <cell r="Y523">
            <v>507</v>
          </cell>
          <cell r="Z523">
            <v>0.95508982054889202</v>
          </cell>
          <cell r="AA523">
            <v>0.2867348211680853</v>
          </cell>
          <cell r="AB523"/>
          <cell r="AC523" t="e">
            <v>#N/A</v>
          </cell>
          <cell r="AD523">
            <v>436</v>
          </cell>
          <cell r="AE523" t="e">
            <v>#N/A</v>
          </cell>
          <cell r="AF523"/>
        </row>
        <row r="524">
          <cell r="Y524">
            <v>508</v>
          </cell>
          <cell r="Z524">
            <v>0.62165658734738827</v>
          </cell>
          <cell r="AA524">
            <v>5.2371586787346693E-2</v>
          </cell>
          <cell r="AB524"/>
          <cell r="AC524" t="e">
            <v>#N/A</v>
          </cell>
          <cell r="AD524">
            <v>437</v>
          </cell>
          <cell r="AE524" t="e">
            <v>#N/A</v>
          </cell>
          <cell r="AF524"/>
        </row>
        <row r="525">
          <cell r="Y525">
            <v>509</v>
          </cell>
          <cell r="Z525">
            <v>0.95500951819121838</v>
          </cell>
          <cell r="AA525">
            <v>0.28659149265005041</v>
          </cell>
          <cell r="AB525"/>
          <cell r="AC525" t="e">
            <v>#N/A</v>
          </cell>
          <cell r="AD525">
            <v>438</v>
          </cell>
          <cell r="AE525" t="e">
            <v>#N/A</v>
          </cell>
          <cell r="AF525"/>
        </row>
        <row r="526">
          <cell r="Y526">
            <v>510</v>
          </cell>
          <cell r="Z526">
            <v>0.59703592024743557</v>
          </cell>
          <cell r="AA526">
            <v>4.1527891586899818E-2</v>
          </cell>
          <cell r="AB526"/>
          <cell r="AC526" t="e">
            <v>#N/A</v>
          </cell>
          <cell r="AD526">
            <v>439</v>
          </cell>
          <cell r="AE526" t="e">
            <v>#N/A</v>
          </cell>
          <cell r="AF526"/>
        </row>
        <row r="527">
          <cell r="Y527">
            <v>511</v>
          </cell>
          <cell r="Z527">
            <v>0.96394131891429424</v>
          </cell>
          <cell r="AA527">
            <v>0.30398111229128644</v>
          </cell>
          <cell r="AB527"/>
          <cell r="AC527" t="e">
            <v>#N/A</v>
          </cell>
          <cell r="AD527">
            <v>440</v>
          </cell>
          <cell r="AE527" t="e">
            <v>#N/A</v>
          </cell>
          <cell r="AF527"/>
        </row>
        <row r="528">
          <cell r="Y528">
            <v>512</v>
          </cell>
          <cell r="Z528">
            <v>0.72038008831441402</v>
          </cell>
          <cell r="AA528">
            <v>9.8709115006123754E-2</v>
          </cell>
          <cell r="AB528"/>
          <cell r="AC528" t="e">
            <v>#N/A</v>
          </cell>
          <cell r="AD528">
            <v>441</v>
          </cell>
          <cell r="AE528" t="e">
            <v>#N/A</v>
          </cell>
          <cell r="AF528"/>
        </row>
        <row r="529">
          <cell r="Y529">
            <v>513</v>
          </cell>
          <cell r="Z529">
            <v>0.24808528833091259</v>
          </cell>
          <cell r="AA529">
            <v>-0.1150301260308097</v>
          </cell>
          <cell r="AB529"/>
          <cell r="AC529" t="e">
            <v>#N/A</v>
          </cell>
          <cell r="AD529">
            <v>442</v>
          </cell>
          <cell r="AE529" t="e">
            <v>#N/A</v>
          </cell>
          <cell r="AF529"/>
        </row>
        <row r="530">
          <cell r="Y530">
            <v>514</v>
          </cell>
          <cell r="Z530">
            <v>0.10841787420213223</v>
          </cell>
          <cell r="AA530">
            <v>-0.20875071911877852</v>
          </cell>
          <cell r="AB530"/>
          <cell r="AC530" t="e">
            <v>#N/A</v>
          </cell>
          <cell r="AD530">
            <v>443</v>
          </cell>
          <cell r="AE530" t="e">
            <v>#N/A</v>
          </cell>
          <cell r="AF530"/>
        </row>
        <row r="531">
          <cell r="Y531">
            <v>515</v>
          </cell>
          <cell r="Z531">
            <v>0.15145368687808514</v>
          </cell>
          <cell r="AA531">
            <v>-0.17413873616787043</v>
          </cell>
          <cell r="AB531"/>
          <cell r="AC531" t="e">
            <v>#N/A</v>
          </cell>
          <cell r="AD531">
            <v>444</v>
          </cell>
          <cell r="AE531" t="e">
            <v>#N/A</v>
          </cell>
          <cell r="AF531"/>
        </row>
        <row r="532">
          <cell r="Y532">
            <v>516</v>
          </cell>
          <cell r="Z532">
            <v>0.83767878077924252</v>
          </cell>
          <cell r="AA532">
            <v>0.16648906771518895</v>
          </cell>
          <cell r="AB532"/>
          <cell r="AC532" t="e">
            <v>#N/A</v>
          </cell>
          <cell r="AD532">
            <v>445</v>
          </cell>
          <cell r="AE532" t="e">
            <v>#N/A</v>
          </cell>
          <cell r="AF532"/>
        </row>
        <row r="533">
          <cell r="Y533">
            <v>517</v>
          </cell>
          <cell r="Z533">
            <v>0.69761657528579235</v>
          </cell>
          <cell r="AA533">
            <v>8.7483231010443183E-2</v>
          </cell>
          <cell r="AB533"/>
          <cell r="AC533" t="e">
            <v>#N/A</v>
          </cell>
          <cell r="AD533">
            <v>446</v>
          </cell>
          <cell r="AE533" t="e">
            <v>#N/A</v>
          </cell>
          <cell r="AF533"/>
        </row>
        <row r="534">
          <cell r="Y534">
            <v>518</v>
          </cell>
          <cell r="Z534">
            <v>0.82187340222299099</v>
          </cell>
          <cell r="AA534">
            <v>0.15593570472366558</v>
          </cell>
          <cell r="AB534"/>
          <cell r="AC534" t="e">
            <v>#N/A</v>
          </cell>
          <cell r="AD534">
            <v>447</v>
          </cell>
          <cell r="AE534" t="e">
            <v>#N/A</v>
          </cell>
          <cell r="AF534"/>
        </row>
        <row r="535">
          <cell r="Y535">
            <v>519</v>
          </cell>
          <cell r="Z535">
            <v>0.70658413879573345</v>
          </cell>
          <cell r="AA535">
            <v>9.1856939325937914E-2</v>
          </cell>
          <cell r="AB535"/>
          <cell r="AC535" t="e">
            <v>#N/A</v>
          </cell>
          <cell r="AD535">
            <v>448</v>
          </cell>
          <cell r="AE535" t="e">
            <v>#N/A</v>
          </cell>
          <cell r="AF535"/>
        </row>
        <row r="536">
          <cell r="Y536">
            <v>520</v>
          </cell>
          <cell r="Z536">
            <v>0.57355113886296749</v>
          </cell>
          <cell r="AA536">
            <v>3.1342109960207282E-2</v>
          </cell>
          <cell r="AB536"/>
          <cell r="AC536" t="e">
            <v>#N/A</v>
          </cell>
          <cell r="AD536">
            <v>449</v>
          </cell>
          <cell r="AE536" t="e">
            <v>#N/A</v>
          </cell>
          <cell r="AF536"/>
        </row>
        <row r="537">
          <cell r="Y537">
            <v>521</v>
          </cell>
          <cell r="Z537">
            <v>0.84479448013007641</v>
          </cell>
          <cell r="AA537">
            <v>0.17145812116951537</v>
          </cell>
          <cell r="AB537"/>
          <cell r="AC537" t="e">
            <v>#N/A</v>
          </cell>
          <cell r="AD537">
            <v>450</v>
          </cell>
          <cell r="AE537" t="e">
            <v>#N/A</v>
          </cell>
          <cell r="AF537"/>
        </row>
        <row r="538">
          <cell r="Y538">
            <v>522</v>
          </cell>
          <cell r="Z538">
            <v>0.78362900577485561</v>
          </cell>
          <cell r="AA538">
            <v>0.13260608396753779</v>
          </cell>
          <cell r="AB538"/>
          <cell r="AC538" t="e">
            <v>#N/A</v>
          </cell>
          <cell r="AD538">
            <v>451</v>
          </cell>
          <cell r="AE538" t="e">
            <v>#N/A</v>
          </cell>
          <cell r="AF538"/>
        </row>
        <row r="539">
          <cell r="Y539">
            <v>523</v>
          </cell>
          <cell r="Z539">
            <v>0.24492563121020794</v>
          </cell>
          <cell r="AA539">
            <v>-0.11672347857437737</v>
          </cell>
          <cell r="AB539"/>
          <cell r="AC539" t="e">
            <v>#N/A</v>
          </cell>
          <cell r="AD539">
            <v>452</v>
          </cell>
          <cell r="AE539" t="e">
            <v>#N/A</v>
          </cell>
          <cell r="AF539"/>
        </row>
        <row r="540">
          <cell r="Y540">
            <v>524</v>
          </cell>
          <cell r="Z540">
            <v>0.4961352851241827</v>
          </cell>
          <cell r="AA540">
            <v>-1.6374956832224477E-3</v>
          </cell>
          <cell r="AB540"/>
          <cell r="AC540" t="e">
            <v>#N/A</v>
          </cell>
          <cell r="AD540">
            <v>453</v>
          </cell>
          <cell r="AE540" t="e">
            <v>#N/A</v>
          </cell>
          <cell r="AF540"/>
        </row>
        <row r="541">
          <cell r="Y541">
            <v>525</v>
          </cell>
          <cell r="Z541">
            <v>0.30100053362548351</v>
          </cell>
          <cell r="AA541">
            <v>-8.8153821194591683E-2</v>
          </cell>
          <cell r="AB541"/>
          <cell r="AC541" t="e">
            <v>#N/A</v>
          </cell>
          <cell r="AD541">
            <v>454</v>
          </cell>
          <cell r="AE541" t="e">
            <v>#N/A</v>
          </cell>
          <cell r="AF541"/>
        </row>
        <row r="542">
          <cell r="Y542">
            <v>526</v>
          </cell>
          <cell r="Z542">
            <v>0.24926177226006985</v>
          </cell>
          <cell r="AA542">
            <v>-0.11440256084281117</v>
          </cell>
          <cell r="AB542"/>
          <cell r="AC542" t="e">
            <v>#N/A</v>
          </cell>
          <cell r="AD542">
            <v>455</v>
          </cell>
          <cell r="AE542" t="e">
            <v>#N/A</v>
          </cell>
          <cell r="AF542"/>
        </row>
        <row r="543">
          <cell r="Y543">
            <v>527</v>
          </cell>
          <cell r="Z543">
            <v>0.96300373785197735</v>
          </cell>
          <cell r="AA543">
            <v>0.30200059064869084</v>
          </cell>
          <cell r="AB543"/>
          <cell r="AC543" t="e">
            <v>#N/A</v>
          </cell>
          <cell r="AD543">
            <v>456</v>
          </cell>
          <cell r="AE543" t="e">
            <v>#N/A</v>
          </cell>
          <cell r="AF543"/>
        </row>
        <row r="544">
          <cell r="Y544">
            <v>528</v>
          </cell>
          <cell r="Z544">
            <v>0.8975683655589819</v>
          </cell>
          <cell r="AA544">
            <v>0.21430020571830527</v>
          </cell>
          <cell r="AB544"/>
          <cell r="AC544" t="e">
            <v>#N/A</v>
          </cell>
          <cell r="AD544">
            <v>457</v>
          </cell>
          <cell r="AE544" t="e">
            <v>#N/A</v>
          </cell>
          <cell r="AF544"/>
        </row>
        <row r="545">
          <cell r="Y545">
            <v>529</v>
          </cell>
          <cell r="Z545">
            <v>0.32397857122123241</v>
          </cell>
          <cell r="AA545">
            <v>-7.7179824359207852E-2</v>
          </cell>
          <cell r="AB545"/>
          <cell r="AC545" t="e">
            <v>#N/A</v>
          </cell>
          <cell r="AD545">
            <v>458</v>
          </cell>
          <cell r="AE545" t="e">
            <v>#N/A</v>
          </cell>
          <cell r="AF545"/>
        </row>
        <row r="546">
          <cell r="Y546">
            <v>530</v>
          </cell>
          <cell r="Z546">
            <v>0.92393375001847744</v>
          </cell>
          <cell r="AA546">
            <v>0.24205886544054803</v>
          </cell>
          <cell r="AB546"/>
          <cell r="AC546" t="e">
            <v>#N/A</v>
          </cell>
          <cell r="AD546">
            <v>459</v>
          </cell>
          <cell r="AE546" t="e">
            <v>#N/A</v>
          </cell>
          <cell r="AF546"/>
        </row>
        <row r="547">
          <cell r="Y547">
            <v>531</v>
          </cell>
          <cell r="Z547">
            <v>0.51132352463901043</v>
          </cell>
          <cell r="AA547">
            <v>4.7983935915951598E-3</v>
          </cell>
          <cell r="AB547"/>
          <cell r="AC547" t="e">
            <v>#N/A</v>
          </cell>
          <cell r="AD547">
            <v>460</v>
          </cell>
          <cell r="AE547" t="e">
            <v>#N/A</v>
          </cell>
          <cell r="AF547"/>
        </row>
        <row r="548">
          <cell r="Y548">
            <v>532</v>
          </cell>
          <cell r="Z548">
            <v>0.89359592460095882</v>
          </cell>
          <cell r="AA548">
            <v>0.2105922959854063</v>
          </cell>
          <cell r="AB548"/>
          <cell r="AC548" t="e">
            <v>#N/A</v>
          </cell>
          <cell r="AD548">
            <v>461</v>
          </cell>
          <cell r="AE548" t="e">
            <v>#N/A</v>
          </cell>
          <cell r="AF548"/>
        </row>
        <row r="549">
          <cell r="Y549">
            <v>533</v>
          </cell>
          <cell r="Z549">
            <v>0.86275660805404186</v>
          </cell>
          <cell r="AA549">
            <v>0.18471492698556152</v>
          </cell>
          <cell r="AB549"/>
          <cell r="AC549" t="e">
            <v>#N/A</v>
          </cell>
          <cell r="AD549">
            <v>462</v>
          </cell>
          <cell r="AE549" t="e">
            <v>#N/A</v>
          </cell>
          <cell r="AF549"/>
        </row>
        <row r="550">
          <cell r="Y550">
            <v>534</v>
          </cell>
          <cell r="Z550">
            <v>0.29637632332742214</v>
          </cell>
          <cell r="AA550">
            <v>-9.0406380038832418E-2</v>
          </cell>
          <cell r="AB550"/>
          <cell r="AC550" t="e">
            <v>#N/A</v>
          </cell>
          <cell r="AD550">
            <v>463</v>
          </cell>
          <cell r="AE550" t="e">
            <v>#N/A</v>
          </cell>
          <cell r="AF550"/>
        </row>
        <row r="551">
          <cell r="Y551">
            <v>535</v>
          </cell>
          <cell r="Z551">
            <v>8.6166424676775932E-2</v>
          </cell>
          <cell r="AA551">
            <v>-0.23068420296388559</v>
          </cell>
          <cell r="AB551"/>
          <cell r="AC551" t="e">
            <v>#N/A</v>
          </cell>
          <cell r="AD551">
            <v>464</v>
          </cell>
          <cell r="AE551" t="e">
            <v>#N/A</v>
          </cell>
          <cell r="AF551"/>
        </row>
        <row r="552">
          <cell r="Y552">
            <v>536</v>
          </cell>
          <cell r="Z552">
            <v>0.36693128012120724</v>
          </cell>
          <cell r="AA552">
            <v>-5.7469135343813982E-2</v>
          </cell>
          <cell r="AB552"/>
          <cell r="AC552" t="e">
            <v>#N/A</v>
          </cell>
          <cell r="AD552">
            <v>465</v>
          </cell>
          <cell r="AE552" t="e">
            <v>#N/A</v>
          </cell>
          <cell r="AF552"/>
        </row>
        <row r="553">
          <cell r="Y553">
            <v>537</v>
          </cell>
          <cell r="Z553">
            <v>0.57131871394813061</v>
          </cell>
          <cell r="AA553">
            <v>3.0380338599879108E-2</v>
          </cell>
          <cell r="AB553"/>
          <cell r="AC553" t="e">
            <v>#N/A</v>
          </cell>
          <cell r="AD553">
            <v>466</v>
          </cell>
          <cell r="AE553" t="e">
            <v>#N/A</v>
          </cell>
          <cell r="AF553"/>
        </row>
        <row r="554">
          <cell r="Y554">
            <v>538</v>
          </cell>
          <cell r="Z554">
            <v>0.5666245874017477</v>
          </cell>
          <cell r="AA554">
            <v>2.836118471763811E-2</v>
          </cell>
          <cell r="AB554"/>
          <cell r="AC554" t="e">
            <v>#N/A</v>
          </cell>
          <cell r="AD554">
            <v>467</v>
          </cell>
          <cell r="AE554" t="e">
            <v>#N/A</v>
          </cell>
          <cell r="AF554"/>
        </row>
        <row r="555">
          <cell r="Y555">
            <v>539</v>
          </cell>
          <cell r="Z555">
            <v>0.24013711325824261</v>
          </cell>
          <cell r="AA555">
            <v>-0.11931238233923849</v>
          </cell>
          <cell r="AB555"/>
          <cell r="AC555" t="e">
            <v>#N/A</v>
          </cell>
          <cell r="AD555">
            <v>468</v>
          </cell>
          <cell r="AE555" t="e">
            <v>#N/A</v>
          </cell>
          <cell r="AF555"/>
        </row>
        <row r="556">
          <cell r="Y556">
            <v>540</v>
          </cell>
          <cell r="Z556">
            <v>0.25436489842832088</v>
          </cell>
          <cell r="AA556">
            <v>-0.11169842884155556</v>
          </cell>
          <cell r="AB556"/>
          <cell r="AC556" t="e">
            <v>#N/A</v>
          </cell>
          <cell r="AD556">
            <v>469</v>
          </cell>
          <cell r="AE556" t="e">
            <v>#N/A</v>
          </cell>
          <cell r="AF556"/>
        </row>
        <row r="557">
          <cell r="Y557">
            <v>541</v>
          </cell>
          <cell r="Z557">
            <v>0.2910268884152174</v>
          </cell>
          <cell r="AA557">
            <v>-9.3032428919740062E-2</v>
          </cell>
          <cell r="AB557"/>
          <cell r="AC557" t="e">
            <v>#N/A</v>
          </cell>
          <cell r="AD557">
            <v>470</v>
          </cell>
          <cell r="AE557" t="e">
            <v>#N/A</v>
          </cell>
          <cell r="AF557"/>
        </row>
        <row r="558">
          <cell r="Y558">
            <v>542</v>
          </cell>
          <cell r="Z558">
            <v>0.66750172339379787</v>
          </cell>
          <cell r="AA558">
            <v>7.3194596924745794E-2</v>
          </cell>
          <cell r="AB558"/>
          <cell r="AC558" t="e">
            <v>#N/A</v>
          </cell>
          <cell r="AD558">
            <v>471</v>
          </cell>
          <cell r="AE558" t="e">
            <v>#N/A</v>
          </cell>
          <cell r="AF558"/>
        </row>
        <row r="559">
          <cell r="Y559">
            <v>543</v>
          </cell>
          <cell r="Z559">
            <v>0.9114603828638792</v>
          </cell>
          <cell r="AA559">
            <v>0.22815832232382183</v>
          </cell>
          <cell r="AB559"/>
          <cell r="AC559" t="e">
            <v>#N/A</v>
          </cell>
          <cell r="AD559">
            <v>472</v>
          </cell>
          <cell r="AE559" t="e">
            <v>#N/A</v>
          </cell>
          <cell r="AF559"/>
        </row>
        <row r="560">
          <cell r="Y560">
            <v>544</v>
          </cell>
          <cell r="Z560">
            <v>0.67762376926839352</v>
          </cell>
          <cell r="AA560">
            <v>7.7934093862991632E-2</v>
          </cell>
          <cell r="AB560"/>
          <cell r="AC560" t="e">
            <v>#N/A</v>
          </cell>
          <cell r="AD560">
            <v>473</v>
          </cell>
          <cell r="AE560" t="e">
            <v>#N/A</v>
          </cell>
          <cell r="AF560"/>
        </row>
        <row r="561">
          <cell r="Y561">
            <v>545</v>
          </cell>
          <cell r="Z561">
            <v>0.50179293565452099</v>
          </cell>
          <cell r="AA561">
            <v>7.596649301868458E-4</v>
          </cell>
          <cell r="AB561"/>
          <cell r="AC561" t="e">
            <v>#N/A</v>
          </cell>
          <cell r="AD561">
            <v>474</v>
          </cell>
          <cell r="AE561" t="e">
            <v>#N/A</v>
          </cell>
          <cell r="AF561"/>
        </row>
        <row r="562">
          <cell r="Y562">
            <v>546</v>
          </cell>
          <cell r="Z562">
            <v>0.8798533733934164</v>
          </cell>
          <cell r="AA562">
            <v>0.19848517360288376</v>
          </cell>
          <cell r="AB562"/>
          <cell r="AC562" t="e">
            <v>#N/A</v>
          </cell>
          <cell r="AD562">
            <v>475</v>
          </cell>
          <cell r="AE562" t="e">
            <v>#N/A</v>
          </cell>
          <cell r="AF562"/>
        </row>
        <row r="563">
          <cell r="Y563">
            <v>547</v>
          </cell>
          <cell r="Z563">
            <v>0.17202801816165447</v>
          </cell>
          <cell r="AA563">
            <v>-0.15993385880354899</v>
          </cell>
          <cell r="AB563"/>
          <cell r="AC563" t="e">
            <v>#N/A</v>
          </cell>
          <cell r="AD563">
            <v>476</v>
          </cell>
          <cell r="AE563" t="e">
            <v>#N/A</v>
          </cell>
          <cell r="AF563"/>
        </row>
        <row r="564">
          <cell r="Y564">
            <v>548</v>
          </cell>
          <cell r="Z564">
            <v>0.41798078082501888</v>
          </cell>
          <cell r="AA564">
            <v>-3.4999839412518566E-2</v>
          </cell>
          <cell r="AB564"/>
          <cell r="AC564" t="e">
            <v>#N/A</v>
          </cell>
          <cell r="AD564">
            <v>477</v>
          </cell>
          <cell r="AE564" t="e">
            <v>#N/A</v>
          </cell>
          <cell r="AF564"/>
        </row>
        <row r="565">
          <cell r="Y565">
            <v>549</v>
          </cell>
          <cell r="Z565">
            <v>0.24200033955276012</v>
          </cell>
          <cell r="AA565">
            <v>-0.11830173671095633</v>
          </cell>
          <cell r="AB565"/>
          <cell r="AC565" t="e">
            <v>#N/A</v>
          </cell>
          <cell r="AD565">
            <v>478</v>
          </cell>
          <cell r="AE565" t="e">
            <v>#N/A</v>
          </cell>
          <cell r="AF565"/>
        </row>
        <row r="566">
          <cell r="Y566">
            <v>550</v>
          </cell>
          <cell r="Z566">
            <v>0.54153201542794704</v>
          </cell>
          <cell r="AA566">
            <v>1.7628918502364428E-2</v>
          </cell>
          <cell r="AB566"/>
          <cell r="AC566" t="e">
            <v>#N/A</v>
          </cell>
          <cell r="AD566">
            <v>479</v>
          </cell>
          <cell r="AE566" t="e">
            <v>#N/A</v>
          </cell>
          <cell r="AF566"/>
        </row>
        <row r="567">
          <cell r="Y567">
            <v>551</v>
          </cell>
          <cell r="Z567">
            <v>0.19419567100703716</v>
          </cell>
          <cell r="AA567">
            <v>-0.14579559034300649</v>
          </cell>
          <cell r="AB567"/>
          <cell r="AC567" t="e">
            <v>#N/A</v>
          </cell>
          <cell r="AD567">
            <v>480</v>
          </cell>
          <cell r="AE567" t="e">
            <v>#N/A</v>
          </cell>
          <cell r="AF567"/>
        </row>
        <row r="568">
          <cell r="Y568">
            <v>552</v>
          </cell>
          <cell r="Z568">
            <v>0.23461409471929073</v>
          </cell>
          <cell r="AA568">
            <v>-0.12233361224485137</v>
          </cell>
          <cell r="AB568"/>
          <cell r="AC568" t="e">
            <v>#N/A</v>
          </cell>
          <cell r="AD568">
            <v>481</v>
          </cell>
          <cell r="AE568" t="e">
            <v>#N/A</v>
          </cell>
          <cell r="AF568"/>
        </row>
        <row r="569">
          <cell r="Y569">
            <v>553</v>
          </cell>
          <cell r="Z569">
            <v>0.99717613868415356</v>
          </cell>
          <cell r="AA569">
            <v>0.46780343355526988</v>
          </cell>
          <cell r="AB569"/>
          <cell r="AC569" t="e">
            <v>#N/A</v>
          </cell>
          <cell r="AD569">
            <v>482</v>
          </cell>
          <cell r="AE569" t="e">
            <v>#N/A</v>
          </cell>
          <cell r="AF569"/>
        </row>
        <row r="570">
          <cell r="Y570">
            <v>554</v>
          </cell>
          <cell r="Z570">
            <v>0.35013133846223354</v>
          </cell>
          <cell r="AA570">
            <v>-6.5071114369829833E-2</v>
          </cell>
          <cell r="AB570"/>
          <cell r="AC570" t="e">
            <v>#N/A</v>
          </cell>
          <cell r="AD570">
            <v>483</v>
          </cell>
          <cell r="AE570" t="e">
            <v>#N/A</v>
          </cell>
          <cell r="AF570"/>
        </row>
        <row r="571">
          <cell r="Y571">
            <v>555</v>
          </cell>
          <cell r="Z571">
            <v>0.93632973544299603</v>
          </cell>
          <cell r="AA571">
            <v>0.25771687640899454</v>
          </cell>
          <cell r="AB571"/>
          <cell r="AC571" t="e">
            <v>#N/A</v>
          </cell>
          <cell r="AD571">
            <v>484</v>
          </cell>
          <cell r="AE571" t="e">
            <v>#N/A</v>
          </cell>
          <cell r="AF571"/>
        </row>
        <row r="572">
          <cell r="Y572">
            <v>556</v>
          </cell>
          <cell r="Z572">
            <v>0.52671652100980282</v>
          </cell>
          <cell r="AA572">
            <v>1.1328197791261818E-2</v>
          </cell>
          <cell r="AB572"/>
          <cell r="AC572" t="e">
            <v>#N/A</v>
          </cell>
          <cell r="AD572">
            <v>485</v>
          </cell>
          <cell r="AE572" t="e">
            <v>#N/A</v>
          </cell>
          <cell r="AF572"/>
        </row>
        <row r="573">
          <cell r="Y573">
            <v>557</v>
          </cell>
          <cell r="Z573">
            <v>5.7412801310420036E-2</v>
          </cell>
          <cell r="AA573">
            <v>-0.26653955901218768</v>
          </cell>
          <cell r="AB573"/>
          <cell r="AC573" t="e">
            <v>#N/A</v>
          </cell>
          <cell r="AD573">
            <v>486</v>
          </cell>
          <cell r="AE573" t="e">
            <v>#N/A</v>
          </cell>
          <cell r="AF573"/>
        </row>
        <row r="574">
          <cell r="Y574">
            <v>558</v>
          </cell>
          <cell r="Z574">
            <v>0.75947061739861965</v>
          </cell>
          <cell r="AA574">
            <v>0.11909925523611468</v>
          </cell>
          <cell r="AB574"/>
          <cell r="AC574" t="e">
            <v>#N/A</v>
          </cell>
          <cell r="AD574">
            <v>487</v>
          </cell>
          <cell r="AE574" t="e">
            <v>#N/A</v>
          </cell>
          <cell r="AF574"/>
        </row>
        <row r="575">
          <cell r="Y575">
            <v>559</v>
          </cell>
          <cell r="Z575">
            <v>4.7104222699999809E-2</v>
          </cell>
          <cell r="AA575">
            <v>-0.2828907138316083</v>
          </cell>
          <cell r="AB575"/>
          <cell r="AC575" t="e">
            <v>#N/A</v>
          </cell>
          <cell r="AD575">
            <v>488</v>
          </cell>
          <cell r="AE575" t="e">
            <v>#N/A</v>
          </cell>
          <cell r="AF575"/>
        </row>
        <row r="576">
          <cell r="Y576">
            <v>560</v>
          </cell>
          <cell r="Z576">
            <v>0.83935489319264889</v>
          </cell>
          <cell r="AA576">
            <v>0.16764649000402981</v>
          </cell>
          <cell r="AB576"/>
          <cell r="AC576" t="e">
            <v>#N/A</v>
          </cell>
          <cell r="AD576">
            <v>489</v>
          </cell>
          <cell r="AE576" t="e">
            <v>#N/A</v>
          </cell>
          <cell r="AF576"/>
        </row>
        <row r="577">
          <cell r="Y577">
            <v>561</v>
          </cell>
          <cell r="Z577">
            <v>0.84354010038077831</v>
          </cell>
          <cell r="AA577">
            <v>0.17057145638022408</v>
          </cell>
          <cell r="AB577"/>
          <cell r="AC577" t="e">
            <v>#N/A</v>
          </cell>
          <cell r="AD577">
            <v>490</v>
          </cell>
          <cell r="AE577" t="e">
            <v>#N/A</v>
          </cell>
          <cell r="AF577"/>
        </row>
        <row r="578">
          <cell r="Y578">
            <v>562</v>
          </cell>
          <cell r="Z578">
            <v>0.96982908807694912</v>
          </cell>
          <cell r="AA578">
            <v>0.31748856137371939</v>
          </cell>
          <cell r="AB578"/>
          <cell r="AC578" t="e">
            <v>#N/A</v>
          </cell>
          <cell r="AD578">
            <v>491</v>
          </cell>
          <cell r="AE578" t="e">
            <v>#N/A</v>
          </cell>
          <cell r="AF578"/>
        </row>
        <row r="579">
          <cell r="Y579">
            <v>563</v>
          </cell>
          <cell r="Z579">
            <v>0.48854763619601727</v>
          </cell>
          <cell r="AA579">
            <v>-4.8530046763230151E-3</v>
          </cell>
          <cell r="AB579"/>
          <cell r="AC579" t="e">
            <v>#N/A</v>
          </cell>
          <cell r="AD579">
            <v>492</v>
          </cell>
          <cell r="AE579" t="e">
            <v>#N/A</v>
          </cell>
          <cell r="AF579"/>
        </row>
        <row r="580">
          <cell r="Y580">
            <v>564</v>
          </cell>
          <cell r="Z580">
            <v>0.71307944320142269</v>
          </cell>
          <cell r="AA580">
            <v>9.5063547481540653E-2</v>
          </cell>
          <cell r="AB580"/>
          <cell r="AC580" t="e">
            <v>#N/A</v>
          </cell>
          <cell r="AD580">
            <v>493</v>
          </cell>
          <cell r="AE580" t="e">
            <v>#N/A</v>
          </cell>
          <cell r="AF580"/>
        </row>
        <row r="581">
          <cell r="Y581">
            <v>565</v>
          </cell>
          <cell r="Z581">
            <v>0.70204698853194714</v>
          </cell>
          <cell r="AA581">
            <v>8.9636554001842131E-2</v>
          </cell>
          <cell r="AB581"/>
          <cell r="AC581" t="e">
            <v>#N/A</v>
          </cell>
          <cell r="AD581">
            <v>494</v>
          </cell>
          <cell r="AE581" t="e">
            <v>#N/A</v>
          </cell>
          <cell r="AF581"/>
        </row>
        <row r="582">
          <cell r="Y582">
            <v>566</v>
          </cell>
          <cell r="Z582">
            <v>1.1930322274565697E-2</v>
          </cell>
          <cell r="AA582">
            <v>-0.38190251128719072</v>
          </cell>
          <cell r="AB582"/>
          <cell r="AC582" t="e">
            <v>#N/A</v>
          </cell>
          <cell r="AD582">
            <v>495</v>
          </cell>
          <cell r="AE582" t="e">
            <v>#N/A</v>
          </cell>
          <cell r="AF582"/>
        </row>
        <row r="583">
          <cell r="Y583">
            <v>567</v>
          </cell>
          <cell r="Z583">
            <v>0.37783984653651714</v>
          </cell>
          <cell r="AA583">
            <v>-5.259548324679636E-2</v>
          </cell>
          <cell r="AB583"/>
          <cell r="AC583" t="e">
            <v>#N/A</v>
          </cell>
          <cell r="AD583">
            <v>496</v>
          </cell>
          <cell r="AE583" t="e">
            <v>#N/A</v>
          </cell>
          <cell r="AF583"/>
        </row>
        <row r="584">
          <cell r="Y584">
            <v>568</v>
          </cell>
          <cell r="Z584">
            <v>0.37728317640721798</v>
          </cell>
          <cell r="AA584">
            <v>-5.2843098361452123E-2</v>
          </cell>
          <cell r="AB584"/>
          <cell r="AC584" t="e">
            <v>#N/A</v>
          </cell>
          <cell r="AD584">
            <v>497</v>
          </cell>
          <cell r="AE584" t="e">
            <v>#N/A</v>
          </cell>
          <cell r="AF584"/>
        </row>
        <row r="585">
          <cell r="Y585">
            <v>569</v>
          </cell>
          <cell r="Z585">
            <v>0.66875347308814526</v>
          </cell>
          <cell r="AA585">
            <v>7.3777526296779458E-2</v>
          </cell>
          <cell r="AB585"/>
          <cell r="AC585" t="e">
            <v>#N/A</v>
          </cell>
          <cell r="AD585">
            <v>498</v>
          </cell>
          <cell r="AE585" t="e">
            <v>#N/A</v>
          </cell>
          <cell r="AF585"/>
        </row>
        <row r="586">
          <cell r="Y586">
            <v>570</v>
          </cell>
          <cell r="Z586">
            <v>0.42467660270631313</v>
          </cell>
          <cell r="AA586">
            <v>-3.210635445469142E-2</v>
          </cell>
          <cell r="AB586"/>
          <cell r="AC586" t="e">
            <v>#N/A</v>
          </cell>
          <cell r="AD586">
            <v>499</v>
          </cell>
          <cell r="AE586" t="e">
            <v>#N/A</v>
          </cell>
          <cell r="AF586"/>
        </row>
        <row r="587">
          <cell r="Y587">
            <v>571</v>
          </cell>
          <cell r="Z587">
            <v>0.54785896651446819</v>
          </cell>
          <cell r="AA587">
            <v>2.0326609342243604E-2</v>
          </cell>
          <cell r="AB587"/>
          <cell r="AC587" t="e">
            <v>#N/A</v>
          </cell>
          <cell r="AD587">
            <v>500</v>
          </cell>
          <cell r="AE587" t="e">
            <v>#N/A</v>
          </cell>
          <cell r="AF587"/>
        </row>
        <row r="588">
          <cell r="Y588">
            <v>572</v>
          </cell>
          <cell r="Z588">
            <v>0.7873112466186285</v>
          </cell>
          <cell r="AA588">
            <v>0.13473898822127442</v>
          </cell>
          <cell r="AB588"/>
          <cell r="AC588" t="e">
            <v>#N/A</v>
          </cell>
          <cell r="AD588">
            <v>501</v>
          </cell>
          <cell r="AE588" t="e">
            <v>#N/A</v>
          </cell>
          <cell r="AF588"/>
        </row>
        <row r="589">
          <cell r="Y589">
            <v>573</v>
          </cell>
          <cell r="Z589">
            <v>0.70123249106109142</v>
          </cell>
          <cell r="AA589">
            <v>8.9239599583648313E-2</v>
          </cell>
          <cell r="AB589"/>
          <cell r="AC589" t="e">
            <v>#N/A</v>
          </cell>
          <cell r="AD589">
            <v>502</v>
          </cell>
          <cell r="AE589" t="e">
            <v>#N/A</v>
          </cell>
          <cell r="AF589"/>
        </row>
        <row r="590">
          <cell r="Y590">
            <v>574</v>
          </cell>
          <cell r="Z590">
            <v>2.6633298024535179E-2</v>
          </cell>
          <cell r="AA590">
            <v>-0.32669493457670434</v>
          </cell>
          <cell r="AB590"/>
          <cell r="AC590" t="e">
            <v>#N/A</v>
          </cell>
          <cell r="AD590">
            <v>503</v>
          </cell>
          <cell r="AE590" t="e">
            <v>#N/A</v>
          </cell>
          <cell r="AF590"/>
        </row>
        <row r="591">
          <cell r="Y591">
            <v>575</v>
          </cell>
          <cell r="Z591">
            <v>0.32647822611033916</v>
          </cell>
          <cell r="AA591">
            <v>-7.6006216827163908E-2</v>
          </cell>
          <cell r="AB591"/>
          <cell r="AC591" t="e">
            <v>#N/A</v>
          </cell>
          <cell r="AD591">
            <v>504</v>
          </cell>
          <cell r="AE591" t="e">
            <v>#N/A</v>
          </cell>
          <cell r="AF591"/>
        </row>
        <row r="592">
          <cell r="Y592">
            <v>576</v>
          </cell>
          <cell r="Z592">
            <v>0.50532033108174801</v>
          </cell>
          <cell r="AA592">
            <v>2.2542778563664858E-3</v>
          </cell>
          <cell r="AB592"/>
          <cell r="AC592" t="e">
            <v>#N/A</v>
          </cell>
          <cell r="AD592">
            <v>505</v>
          </cell>
          <cell r="AE592" t="e">
            <v>#N/A</v>
          </cell>
          <cell r="AF592"/>
        </row>
        <row r="593">
          <cell r="Y593">
            <v>577</v>
          </cell>
          <cell r="Z593">
            <v>0.87998178415000439</v>
          </cell>
          <cell r="AA593">
            <v>0.19859362604877623</v>
          </cell>
          <cell r="AB593"/>
          <cell r="AC593" t="e">
            <v>#N/A</v>
          </cell>
          <cell r="AD593">
            <v>506</v>
          </cell>
          <cell r="AE593" t="e">
            <v>#N/A</v>
          </cell>
          <cell r="AF593"/>
        </row>
        <row r="594">
          <cell r="Y594">
            <v>578</v>
          </cell>
          <cell r="Z594">
            <v>0.28126323781907558</v>
          </cell>
          <cell r="AA594">
            <v>-9.7884569389797393E-2</v>
          </cell>
          <cell r="AB594"/>
          <cell r="AC594" t="e">
            <v>#N/A</v>
          </cell>
          <cell r="AD594">
            <v>507</v>
          </cell>
          <cell r="AE594" t="e">
            <v>#N/A</v>
          </cell>
          <cell r="AF594"/>
        </row>
        <row r="595">
          <cell r="Y595">
            <v>579</v>
          </cell>
          <cell r="Z595">
            <v>3.4612847492098808E-2</v>
          </cell>
          <cell r="AA595">
            <v>-0.30711958326194633</v>
          </cell>
          <cell r="AB595"/>
          <cell r="AC595" t="e">
            <v>#N/A</v>
          </cell>
          <cell r="AD595">
            <v>508</v>
          </cell>
          <cell r="AE595" t="e">
            <v>#N/A</v>
          </cell>
          <cell r="AF595"/>
        </row>
        <row r="596">
          <cell r="Y596">
            <v>580</v>
          </cell>
          <cell r="Z596">
            <v>0.92488800548017025</v>
          </cell>
          <cell r="AA596">
            <v>0.24319157330177829</v>
          </cell>
          <cell r="AB596"/>
          <cell r="AC596" t="e">
            <v>#N/A</v>
          </cell>
          <cell r="AD596">
            <v>509</v>
          </cell>
          <cell r="AE596" t="e">
            <v>#N/A</v>
          </cell>
          <cell r="AF596"/>
        </row>
        <row r="597">
          <cell r="Y597">
            <v>581</v>
          </cell>
          <cell r="Z597">
            <v>7.8345773741602898E-2</v>
          </cell>
          <cell r="AA597">
            <v>-0.23939616501497457</v>
          </cell>
          <cell r="AB597"/>
          <cell r="AC597" t="e">
            <v>#N/A</v>
          </cell>
          <cell r="AD597">
            <v>510</v>
          </cell>
          <cell r="AE597" t="e">
            <v>#N/A</v>
          </cell>
          <cell r="AF597"/>
        </row>
        <row r="598">
          <cell r="Y598">
            <v>582</v>
          </cell>
          <cell r="Z598">
            <v>0.7559110876172781</v>
          </cell>
          <cell r="AA598">
            <v>0.11717386236777032</v>
          </cell>
          <cell r="AB598"/>
          <cell r="AC598" t="e">
            <v>#N/A</v>
          </cell>
          <cell r="AD598">
            <v>511</v>
          </cell>
          <cell r="AE598" t="e">
            <v>#N/A</v>
          </cell>
          <cell r="AF598"/>
        </row>
        <row r="599">
          <cell r="Y599">
            <v>583</v>
          </cell>
          <cell r="Z599">
            <v>0.70301692001521587</v>
          </cell>
          <cell r="AA599">
            <v>9.0109906867781114E-2</v>
          </cell>
          <cell r="AB599"/>
          <cell r="AC599" t="e">
            <v>#N/A</v>
          </cell>
          <cell r="AD599">
            <v>512</v>
          </cell>
          <cell r="AE599" t="e">
            <v>#N/A</v>
          </cell>
          <cell r="AF599"/>
        </row>
        <row r="600">
          <cell r="Y600">
            <v>584</v>
          </cell>
          <cell r="Z600">
            <v>0.33937211893498898</v>
          </cell>
          <cell r="AA600">
            <v>-7.0008747720193887E-2</v>
          </cell>
          <cell r="AB600"/>
          <cell r="AC600" t="e">
            <v>#N/A</v>
          </cell>
          <cell r="AD600">
            <v>513</v>
          </cell>
          <cell r="AE600" t="e">
            <v>#N/A</v>
          </cell>
          <cell r="AF600"/>
        </row>
        <row r="601">
          <cell r="Y601">
            <v>585</v>
          </cell>
          <cell r="Z601">
            <v>0.60118743591010571</v>
          </cell>
          <cell r="AA601">
            <v>4.3343201248764035E-2</v>
          </cell>
          <cell r="AB601"/>
          <cell r="AC601" t="e">
            <v>#N/A</v>
          </cell>
          <cell r="AD601">
            <v>514</v>
          </cell>
          <cell r="AE601" t="e">
            <v>#N/A</v>
          </cell>
          <cell r="AF601"/>
        </row>
        <row r="602">
          <cell r="Y602">
            <v>586</v>
          </cell>
          <cell r="Z602">
            <v>0.17453772388398647</v>
          </cell>
          <cell r="AA602">
            <v>-0.15827780571284447</v>
          </cell>
          <cell r="AB602"/>
          <cell r="AC602" t="e">
            <v>#N/A</v>
          </cell>
          <cell r="AD602">
            <v>515</v>
          </cell>
          <cell r="AE602" t="e">
            <v>#N/A</v>
          </cell>
          <cell r="AF602"/>
        </row>
        <row r="603">
          <cell r="Y603">
            <v>587</v>
          </cell>
          <cell r="Z603">
            <v>0.50783027522265911</v>
          </cell>
          <cell r="AA603">
            <v>3.3178811629216189E-3</v>
          </cell>
          <cell r="AB603"/>
          <cell r="AC603" t="e">
            <v>#N/A</v>
          </cell>
          <cell r="AD603">
            <v>516</v>
          </cell>
          <cell r="AE603" t="e">
            <v>#N/A</v>
          </cell>
          <cell r="AF603"/>
        </row>
        <row r="604">
          <cell r="Y604">
            <v>588</v>
          </cell>
          <cell r="Z604">
            <v>0.35402016900479794</v>
          </cell>
          <cell r="AA604">
            <v>-6.3300240002828981E-2</v>
          </cell>
          <cell r="AB604"/>
          <cell r="AC604" t="e">
            <v>#N/A</v>
          </cell>
          <cell r="AD604">
            <v>517</v>
          </cell>
          <cell r="AE604" t="e">
            <v>#N/A</v>
          </cell>
          <cell r="AF604"/>
        </row>
        <row r="605">
          <cell r="Y605">
            <v>589</v>
          </cell>
          <cell r="Z605">
            <v>0.29231017641723156</v>
          </cell>
          <cell r="AA605">
            <v>-9.2400433835569951E-2</v>
          </cell>
          <cell r="AB605"/>
          <cell r="AC605" t="e">
            <v>#N/A</v>
          </cell>
          <cell r="AD605">
            <v>518</v>
          </cell>
          <cell r="AE605" t="e">
            <v>#N/A</v>
          </cell>
          <cell r="AF605"/>
        </row>
        <row r="606">
          <cell r="Y606">
            <v>590</v>
          </cell>
          <cell r="Z606">
            <v>0.56420460902154446</v>
          </cell>
          <cell r="AA606">
            <v>2.7321840698398905E-2</v>
          </cell>
          <cell r="AB606"/>
          <cell r="AC606" t="e">
            <v>#N/A</v>
          </cell>
          <cell r="AD606">
            <v>519</v>
          </cell>
          <cell r="AE606" t="e">
            <v>#N/A</v>
          </cell>
          <cell r="AF606"/>
        </row>
        <row r="607">
          <cell r="Y607">
            <v>591</v>
          </cell>
          <cell r="Z607">
            <v>0.42487536184489727</v>
          </cell>
          <cell r="AA607">
            <v>-3.2020611886218769E-2</v>
          </cell>
          <cell r="AB607"/>
          <cell r="AC607" t="e">
            <v>#N/A</v>
          </cell>
          <cell r="AD607">
            <v>520</v>
          </cell>
          <cell r="AE607" t="e">
            <v>#N/A</v>
          </cell>
          <cell r="AF607"/>
        </row>
        <row r="608">
          <cell r="Y608">
            <v>592</v>
          </cell>
          <cell r="Z608">
            <v>0.14182867668569088</v>
          </cell>
          <cell r="AA608">
            <v>-0.1812246618363792</v>
          </cell>
          <cell r="AB608"/>
          <cell r="AC608" t="e">
            <v>#N/A</v>
          </cell>
          <cell r="AD608">
            <v>521</v>
          </cell>
          <cell r="AE608" t="e">
            <v>#N/A</v>
          </cell>
          <cell r="AF608"/>
        </row>
        <row r="609">
          <cell r="Y609">
            <v>593</v>
          </cell>
          <cell r="Z609">
            <v>0.61062970571219921</v>
          </cell>
          <cell r="AA609">
            <v>4.7491016158664086E-2</v>
          </cell>
          <cell r="AB609"/>
          <cell r="AC609" t="e">
            <v>#N/A</v>
          </cell>
          <cell r="AD609">
            <v>522</v>
          </cell>
          <cell r="AE609" t="e">
            <v>#N/A</v>
          </cell>
          <cell r="AF609"/>
        </row>
        <row r="610">
          <cell r="Y610">
            <v>594</v>
          </cell>
          <cell r="Z610">
            <v>0.9953081663697958</v>
          </cell>
          <cell r="AA610">
            <v>0.43909996252257416</v>
          </cell>
          <cell r="AB610"/>
          <cell r="AC610" t="e">
            <v>#N/A</v>
          </cell>
          <cell r="AD610">
            <v>523</v>
          </cell>
          <cell r="AE610" t="e">
            <v>#N/A</v>
          </cell>
          <cell r="AF610"/>
        </row>
        <row r="611">
          <cell r="Y611">
            <v>595</v>
          </cell>
          <cell r="Z611">
            <v>0.6027041207998991</v>
          </cell>
          <cell r="AA611">
            <v>4.4007631113299729E-2</v>
          </cell>
          <cell r="AB611"/>
          <cell r="AC611" t="e">
            <v>#N/A</v>
          </cell>
          <cell r="AD611">
            <v>524</v>
          </cell>
          <cell r="AE611" t="e">
            <v>#N/A</v>
          </cell>
          <cell r="AF611"/>
        </row>
        <row r="612">
          <cell r="Y612">
            <v>596</v>
          </cell>
          <cell r="Z612">
            <v>4.3152561411261559E-2</v>
          </cell>
          <cell r="AA612">
            <v>-0.28992489007213273</v>
          </cell>
          <cell r="AB612"/>
          <cell r="AC612" t="e">
            <v>#N/A</v>
          </cell>
          <cell r="AD612">
            <v>525</v>
          </cell>
          <cell r="AE612" t="e">
            <v>#N/A</v>
          </cell>
          <cell r="AF612"/>
        </row>
        <row r="613">
          <cell r="Y613">
            <v>597</v>
          </cell>
          <cell r="Z613">
            <v>0.17509591393172741</v>
          </cell>
          <cell r="AA613">
            <v>-0.15791154049210193</v>
          </cell>
          <cell r="AB613"/>
          <cell r="AC613" t="e">
            <v>#N/A</v>
          </cell>
          <cell r="AD613">
            <v>526</v>
          </cell>
          <cell r="AE613" t="e">
            <v>#N/A</v>
          </cell>
          <cell r="AF613"/>
        </row>
        <row r="614">
          <cell r="Y614">
            <v>598</v>
          </cell>
          <cell r="Z614">
            <v>0.41556415520608425</v>
          </cell>
          <cell r="AA614">
            <v>-3.6046622225989658E-2</v>
          </cell>
          <cell r="AB614"/>
          <cell r="AC614" t="e">
            <v>#N/A</v>
          </cell>
          <cell r="AD614">
            <v>527</v>
          </cell>
          <cell r="AE614" t="e">
            <v>#N/A</v>
          </cell>
          <cell r="AF614"/>
        </row>
        <row r="615">
          <cell r="Y615">
            <v>599</v>
          </cell>
          <cell r="Z615">
            <v>0.95439486019313335</v>
          </cell>
          <cell r="AA615">
            <v>0.28550117850466283</v>
          </cell>
          <cell r="AB615"/>
          <cell r="AC615" t="e">
            <v>#N/A</v>
          </cell>
          <cell r="AD615">
            <v>528</v>
          </cell>
          <cell r="AE615" t="e">
            <v>#N/A</v>
          </cell>
          <cell r="AF615"/>
        </row>
        <row r="616">
          <cell r="Y616">
            <v>600</v>
          </cell>
          <cell r="Z616">
            <v>9.0645160526037216E-3</v>
          </cell>
          <cell r="AA616">
            <v>-0.39941519264483777</v>
          </cell>
          <cell r="AB616"/>
          <cell r="AC616" t="e">
            <v>#N/A</v>
          </cell>
          <cell r="AD616">
            <v>529</v>
          </cell>
          <cell r="AE616" t="e">
            <v>#N/A</v>
          </cell>
          <cell r="AF616"/>
        </row>
        <row r="617">
          <cell r="Y617">
            <v>601</v>
          </cell>
          <cell r="Z617">
            <v>0.2783647459000349</v>
          </cell>
          <cell r="AA617">
            <v>-9.9340484505789237E-2</v>
          </cell>
          <cell r="AB617"/>
          <cell r="AC617" t="e">
            <v>#N/A</v>
          </cell>
          <cell r="AD617">
            <v>530</v>
          </cell>
          <cell r="AE617" t="e">
            <v>#N/A</v>
          </cell>
          <cell r="AF617"/>
        </row>
        <row r="618">
          <cell r="Y618">
            <v>602</v>
          </cell>
          <cell r="Z618">
            <v>7.7742045745253563E-2</v>
          </cell>
          <cell r="AA618">
            <v>-0.24009558683891041</v>
          </cell>
          <cell r="AB618"/>
          <cell r="AC618" t="e">
            <v>#N/A</v>
          </cell>
          <cell r="AD618">
            <v>531</v>
          </cell>
          <cell r="AE618" t="e">
            <v>#N/A</v>
          </cell>
          <cell r="AF618"/>
        </row>
        <row r="619">
          <cell r="Y619">
            <v>603</v>
          </cell>
          <cell r="Z619">
            <v>0.46809913031756878</v>
          </cell>
          <cell r="AA619">
            <v>-1.353075568339443E-2</v>
          </cell>
          <cell r="AB619"/>
          <cell r="AC619" t="e">
            <v>#N/A</v>
          </cell>
          <cell r="AD619">
            <v>532</v>
          </cell>
          <cell r="AE619" t="e">
            <v>#N/A</v>
          </cell>
          <cell r="AF619"/>
        </row>
        <row r="620">
          <cell r="Y620">
            <v>604</v>
          </cell>
          <cell r="Z620">
            <v>0.38846438191831112</v>
          </cell>
          <cell r="AA620">
            <v>-4.7890434518313311E-2</v>
          </cell>
          <cell r="AB620"/>
          <cell r="AC620" t="e">
            <v>#N/A</v>
          </cell>
          <cell r="AD620">
            <v>533</v>
          </cell>
          <cell r="AE620" t="e">
            <v>#N/A</v>
          </cell>
          <cell r="AF620"/>
        </row>
        <row r="621">
          <cell r="Y621">
            <v>605</v>
          </cell>
          <cell r="Z621">
            <v>0.86922007612884045</v>
          </cell>
          <cell r="AA621">
            <v>0.18977295760269303</v>
          </cell>
          <cell r="AB621"/>
          <cell r="AC621" t="e">
            <v>#N/A</v>
          </cell>
          <cell r="AD621">
            <v>534</v>
          </cell>
          <cell r="AE621" t="e">
            <v>#N/A</v>
          </cell>
          <cell r="AF621"/>
        </row>
        <row r="622">
          <cell r="Y622">
            <v>606</v>
          </cell>
          <cell r="Z622">
            <v>6.1149394139647484E-2</v>
          </cell>
          <cell r="AA622">
            <v>-0.26118584601476236</v>
          </cell>
          <cell r="AB622"/>
          <cell r="AC622" t="e">
            <v>#N/A</v>
          </cell>
          <cell r="AD622">
            <v>535</v>
          </cell>
          <cell r="AE622" t="e">
            <v>#N/A</v>
          </cell>
          <cell r="AF622"/>
        </row>
        <row r="623">
          <cell r="Y623">
            <v>607</v>
          </cell>
          <cell r="Z623">
            <v>0.73633859865367413</v>
          </cell>
          <cell r="AA623">
            <v>0.10684407299209643</v>
          </cell>
          <cell r="AB623"/>
          <cell r="AC623" t="e">
            <v>#N/A</v>
          </cell>
          <cell r="AD623">
            <v>536</v>
          </cell>
          <cell r="AE623" t="e">
            <v>#N/A</v>
          </cell>
          <cell r="AF623"/>
        </row>
        <row r="624">
          <cell r="Y624">
            <v>608</v>
          </cell>
          <cell r="Z624">
            <v>0.5589385237544775</v>
          </cell>
          <cell r="AA624">
            <v>2.5063647416652738E-2</v>
          </cell>
          <cell r="AB624"/>
          <cell r="AC624" t="e">
            <v>#N/A</v>
          </cell>
          <cell r="AD624">
            <v>537</v>
          </cell>
          <cell r="AE624" t="e">
            <v>#N/A</v>
          </cell>
          <cell r="AF624"/>
        </row>
        <row r="625">
          <cell r="Y625">
            <v>609</v>
          </cell>
          <cell r="Z625">
            <v>0.50374558381736279</v>
          </cell>
          <cell r="AA625">
            <v>1.587017854038241E-3</v>
          </cell>
          <cell r="AB625"/>
          <cell r="AC625" t="e">
            <v>#N/A</v>
          </cell>
          <cell r="AD625">
            <v>538</v>
          </cell>
          <cell r="AE625" t="e">
            <v>#N/A</v>
          </cell>
          <cell r="AF625"/>
        </row>
        <row r="626">
          <cell r="Y626">
            <v>610</v>
          </cell>
          <cell r="Z626">
            <v>0.38686621747910976</v>
          </cell>
          <cell r="AA626">
            <v>-4.8595722072907618E-2</v>
          </cell>
          <cell r="AB626"/>
          <cell r="AC626" t="e">
            <v>#N/A</v>
          </cell>
          <cell r="AD626">
            <v>539</v>
          </cell>
          <cell r="AE626" t="e">
            <v>#N/A</v>
          </cell>
          <cell r="AF626"/>
        </row>
        <row r="627">
          <cell r="Y627">
            <v>611</v>
          </cell>
          <cell r="Z627">
            <v>0.20405192486941814</v>
          </cell>
          <cell r="AA627">
            <v>-0.13982824422322129</v>
          </cell>
          <cell r="AB627"/>
          <cell r="AC627" t="e">
            <v>#N/A</v>
          </cell>
          <cell r="AD627">
            <v>540</v>
          </cell>
          <cell r="AE627" t="e">
            <v>#N/A</v>
          </cell>
          <cell r="AF627"/>
        </row>
        <row r="628">
          <cell r="Y628">
            <v>612</v>
          </cell>
          <cell r="Z628">
            <v>0.90136920474469662</v>
          </cell>
          <cell r="AA628">
            <v>0.21794714892348024</v>
          </cell>
          <cell r="AB628"/>
          <cell r="AC628" t="e">
            <v>#N/A</v>
          </cell>
          <cell r="AD628">
            <v>541</v>
          </cell>
          <cell r="AE628" t="e">
            <v>#N/A</v>
          </cell>
          <cell r="AF628"/>
        </row>
        <row r="629">
          <cell r="Y629">
            <v>613</v>
          </cell>
          <cell r="Z629">
            <v>0.76524662785232067</v>
          </cell>
          <cell r="AA629">
            <v>0.12225694575565849</v>
          </cell>
          <cell r="AB629"/>
          <cell r="AC629" t="e">
            <v>#N/A</v>
          </cell>
          <cell r="AD629">
            <v>542</v>
          </cell>
          <cell r="AE629" t="e">
            <v>#N/A</v>
          </cell>
          <cell r="AF629"/>
        </row>
        <row r="630">
          <cell r="Y630">
            <v>614</v>
          </cell>
          <cell r="Z630">
            <v>0.22672936879098415</v>
          </cell>
          <cell r="AA630">
            <v>-0.12671588285175622</v>
          </cell>
          <cell r="AB630"/>
          <cell r="AC630" t="e">
            <v>#N/A</v>
          </cell>
          <cell r="AD630">
            <v>543</v>
          </cell>
          <cell r="AE630" t="e">
            <v>#N/A</v>
          </cell>
          <cell r="AF630"/>
        </row>
        <row r="631">
          <cell r="Y631">
            <v>615</v>
          </cell>
          <cell r="Z631">
            <v>0.63539163582026958</v>
          </cell>
          <cell r="AA631">
            <v>5.8513011703448539E-2</v>
          </cell>
          <cell r="AB631"/>
          <cell r="AC631" t="e">
            <v>#N/A</v>
          </cell>
          <cell r="AD631">
            <v>544</v>
          </cell>
          <cell r="AE631" t="e">
            <v>#N/A</v>
          </cell>
          <cell r="AF631"/>
        </row>
        <row r="632">
          <cell r="Y632">
            <v>616</v>
          </cell>
          <cell r="Z632">
            <v>0.61829396151006222</v>
          </cell>
          <cell r="AA632">
            <v>5.0878822022792987E-2</v>
          </cell>
          <cell r="AB632"/>
          <cell r="AC632" t="e">
            <v>#N/A</v>
          </cell>
          <cell r="AD632">
            <v>545</v>
          </cell>
          <cell r="AE632" t="e">
            <v>#N/A</v>
          </cell>
          <cell r="AF632"/>
        </row>
        <row r="633">
          <cell r="Y633">
            <v>617</v>
          </cell>
          <cell r="Z633">
            <v>0.65292212180793285</v>
          </cell>
          <cell r="AA633">
            <v>6.6466595657491551E-2</v>
          </cell>
          <cell r="AB633"/>
          <cell r="AC633" t="e">
            <v>#N/A</v>
          </cell>
          <cell r="AD633">
            <v>546</v>
          </cell>
          <cell r="AE633" t="e">
            <v>#N/A</v>
          </cell>
          <cell r="AF633"/>
        </row>
        <row r="634">
          <cell r="Y634">
            <v>618</v>
          </cell>
          <cell r="Z634">
            <v>0.7060669120401144</v>
          </cell>
          <cell r="AA634">
            <v>9.1603024783285802E-2</v>
          </cell>
          <cell r="AB634"/>
          <cell r="AC634" t="e">
            <v>#N/A</v>
          </cell>
          <cell r="AD634">
            <v>547</v>
          </cell>
          <cell r="AE634" t="e">
            <v>#N/A</v>
          </cell>
          <cell r="AF634"/>
        </row>
        <row r="635">
          <cell r="Y635">
            <v>619</v>
          </cell>
          <cell r="Z635">
            <v>0.2992710005491972</v>
          </cell>
          <cell r="AA635">
            <v>-8.8994463399997045E-2</v>
          </cell>
          <cell r="AB635"/>
          <cell r="AC635" t="e">
            <v>#N/A</v>
          </cell>
          <cell r="AD635">
            <v>548</v>
          </cell>
          <cell r="AE635" t="e">
            <v>#N/A</v>
          </cell>
          <cell r="AF635"/>
        </row>
        <row r="636">
          <cell r="Y636">
            <v>620</v>
          </cell>
          <cell r="Z636">
            <v>0.89601497910916805</v>
          </cell>
          <cell r="AA636">
            <v>0.21283805851074294</v>
          </cell>
          <cell r="AB636"/>
          <cell r="AC636" t="e">
            <v>#N/A</v>
          </cell>
          <cell r="AD636">
            <v>549</v>
          </cell>
          <cell r="AE636" t="e">
            <v>#N/A</v>
          </cell>
          <cell r="AF636"/>
        </row>
        <row r="637">
          <cell r="Y637">
            <v>621</v>
          </cell>
          <cell r="Z637">
            <v>0.43928640894591808</v>
          </cell>
          <cell r="AA637">
            <v>-2.5824308859275166E-2</v>
          </cell>
          <cell r="AB637"/>
          <cell r="AC637" t="e">
            <v>#N/A</v>
          </cell>
          <cell r="AD637">
            <v>550</v>
          </cell>
          <cell r="AE637" t="e">
            <v>#N/A</v>
          </cell>
          <cell r="AF637"/>
        </row>
        <row r="638">
          <cell r="Y638">
            <v>622</v>
          </cell>
          <cell r="Z638">
            <v>0.80018249712884426</v>
          </cell>
          <cell r="AA638">
            <v>0.14237016867438268</v>
          </cell>
          <cell r="AB638"/>
          <cell r="AC638" t="e">
            <v>#N/A</v>
          </cell>
          <cell r="AD638">
            <v>551</v>
          </cell>
          <cell r="AE638" t="e">
            <v>#N/A</v>
          </cell>
          <cell r="AF638"/>
        </row>
        <row r="639">
          <cell r="Y639">
            <v>623</v>
          </cell>
          <cell r="Z639">
            <v>0.37366090528666973</v>
          </cell>
          <cell r="AA639">
            <v>-5.4457137783816223E-2</v>
          </cell>
          <cell r="AB639"/>
          <cell r="AC639" t="e">
            <v>#N/A</v>
          </cell>
          <cell r="AD639">
            <v>552</v>
          </cell>
          <cell r="AE639" t="e">
            <v>#N/A</v>
          </cell>
          <cell r="AF639"/>
        </row>
        <row r="640">
          <cell r="Y640">
            <v>624</v>
          </cell>
          <cell r="Z640">
            <v>0.91045846603810787</v>
          </cell>
          <cell r="AA640">
            <v>0.22710708327861234</v>
          </cell>
          <cell r="AB640"/>
          <cell r="AC640" t="e">
            <v>#N/A</v>
          </cell>
          <cell r="AD640">
            <v>553</v>
          </cell>
          <cell r="AE640" t="e">
            <v>#N/A</v>
          </cell>
          <cell r="AF640"/>
        </row>
        <row r="641">
          <cell r="Y641">
            <v>625</v>
          </cell>
          <cell r="Z641">
            <v>0.49634113721549511</v>
          </cell>
          <cell r="AA641">
            <v>-1.5502727859985172E-3</v>
          </cell>
          <cell r="AB641"/>
          <cell r="AC641" t="e">
            <v>#N/A</v>
          </cell>
          <cell r="AD641">
            <v>554</v>
          </cell>
          <cell r="AE641" t="e">
            <v>#N/A</v>
          </cell>
          <cell r="AF641"/>
        </row>
        <row r="642">
          <cell r="Y642">
            <v>626</v>
          </cell>
          <cell r="Z642">
            <v>0.82458973489701748</v>
          </cell>
          <cell r="AA642">
            <v>0.1577055999933788</v>
          </cell>
          <cell r="AB642"/>
          <cell r="AC642" t="e">
            <v>#N/A</v>
          </cell>
          <cell r="AD642">
            <v>555</v>
          </cell>
          <cell r="AE642" t="e">
            <v>#N/A</v>
          </cell>
          <cell r="AF642"/>
        </row>
        <row r="643">
          <cell r="Y643">
            <v>627</v>
          </cell>
          <cell r="Z643">
            <v>6.8636728450655937E-2</v>
          </cell>
          <cell r="AA643">
            <v>-0.25118346416041964</v>
          </cell>
          <cell r="AB643"/>
          <cell r="AC643" t="e">
            <v>#N/A</v>
          </cell>
          <cell r="AD643">
            <v>556</v>
          </cell>
          <cell r="AE643" t="e">
            <v>#N/A</v>
          </cell>
          <cell r="AF643"/>
        </row>
        <row r="644">
          <cell r="Y644">
            <v>628</v>
          </cell>
          <cell r="Z644">
            <v>0.17678402923047543</v>
          </cell>
          <cell r="AA644">
            <v>-0.15680834045840372</v>
          </cell>
          <cell r="AB644"/>
          <cell r="AC644" t="e">
            <v>#N/A</v>
          </cell>
          <cell r="AD644">
            <v>557</v>
          </cell>
          <cell r="AE644" t="e">
            <v>#N/A</v>
          </cell>
          <cell r="AF644"/>
        </row>
        <row r="645">
          <cell r="Y645">
            <v>629</v>
          </cell>
          <cell r="Z645">
            <v>0.59049713425338268</v>
          </cell>
          <cell r="AA645">
            <v>3.8678311270281755E-2</v>
          </cell>
          <cell r="AB645"/>
          <cell r="AC645" t="e">
            <v>#N/A</v>
          </cell>
          <cell r="AD645">
            <v>558</v>
          </cell>
          <cell r="AE645" t="e">
            <v>#N/A</v>
          </cell>
          <cell r="AF645"/>
        </row>
        <row r="646">
          <cell r="Y646">
            <v>630</v>
          </cell>
          <cell r="Z646">
            <v>1.8996572121977806E-2</v>
          </cell>
          <cell r="AA646">
            <v>-0.35072696215679439</v>
          </cell>
          <cell r="AB646"/>
          <cell r="AC646" t="e">
            <v>#N/A</v>
          </cell>
          <cell r="AD646">
            <v>559</v>
          </cell>
          <cell r="AE646" t="e">
            <v>#N/A</v>
          </cell>
          <cell r="AF646"/>
        </row>
        <row r="647">
          <cell r="Y647">
            <v>631</v>
          </cell>
          <cell r="Z647">
            <v>0.96817521564662457</v>
          </cell>
          <cell r="AA647">
            <v>0.31348911025581738</v>
          </cell>
          <cell r="AB647"/>
          <cell r="AC647" t="e">
            <v>#N/A</v>
          </cell>
          <cell r="AD647">
            <v>560</v>
          </cell>
          <cell r="AE647" t="e">
            <v>#N/A</v>
          </cell>
          <cell r="AF647"/>
        </row>
        <row r="648">
          <cell r="Y648">
            <v>632</v>
          </cell>
          <cell r="Z648">
            <v>0.74274404905736446</v>
          </cell>
          <cell r="AA648">
            <v>0.11017910299032237</v>
          </cell>
          <cell r="AB648"/>
          <cell r="AC648" t="e">
            <v>#N/A</v>
          </cell>
          <cell r="AD648">
            <v>561</v>
          </cell>
          <cell r="AE648" t="e">
            <v>#N/A</v>
          </cell>
          <cell r="AF648"/>
        </row>
        <row r="649">
          <cell r="Y649">
            <v>633</v>
          </cell>
          <cell r="Z649">
            <v>0.14624628238379955</v>
          </cell>
          <cell r="AA649">
            <v>-0.1779335945046866</v>
          </cell>
          <cell r="AB649"/>
          <cell r="AC649" t="e">
            <v>#N/A</v>
          </cell>
          <cell r="AD649">
            <v>562</v>
          </cell>
          <cell r="AE649" t="e">
            <v>#N/A</v>
          </cell>
          <cell r="AF649"/>
        </row>
        <row r="650">
          <cell r="Y650">
            <v>634</v>
          </cell>
          <cell r="Z650">
            <v>0.72503966651856899</v>
          </cell>
          <cell r="AA650">
            <v>0.10105999766717222</v>
          </cell>
          <cell r="AB650"/>
          <cell r="AC650" t="e">
            <v>#N/A</v>
          </cell>
          <cell r="AD650">
            <v>563</v>
          </cell>
          <cell r="AE650" t="e">
            <v>#N/A</v>
          </cell>
          <cell r="AF650"/>
        </row>
        <row r="651">
          <cell r="Y651">
            <v>635</v>
          </cell>
          <cell r="Z651">
            <v>9.0701354667544365E-2</v>
          </cell>
          <cell r="AA651">
            <v>-0.22590103419770891</v>
          </cell>
          <cell r="AB651"/>
          <cell r="AC651" t="e">
            <v>#N/A</v>
          </cell>
          <cell r="AD651">
            <v>564</v>
          </cell>
          <cell r="AE651" t="e">
            <v>#N/A</v>
          </cell>
          <cell r="AF651"/>
        </row>
        <row r="652">
          <cell r="Y652">
            <v>636</v>
          </cell>
          <cell r="Z652">
            <v>0.72579305432736874</v>
          </cell>
          <cell r="AA652">
            <v>0.10144193269752959</v>
          </cell>
          <cell r="AB652"/>
          <cell r="AC652" t="e">
            <v>#N/A</v>
          </cell>
          <cell r="AD652">
            <v>565</v>
          </cell>
          <cell r="AE652" t="e">
            <v>#N/A</v>
          </cell>
          <cell r="AF652"/>
        </row>
        <row r="653">
          <cell r="Y653">
            <v>637</v>
          </cell>
          <cell r="Z653">
            <v>0.97858339361846447</v>
          </cell>
          <cell r="AA653">
            <v>0.34234371001149783</v>
          </cell>
          <cell r="AB653"/>
          <cell r="AC653" t="e">
            <v>#N/A</v>
          </cell>
          <cell r="AD653">
            <v>566</v>
          </cell>
          <cell r="AE653" t="e">
            <v>#N/A</v>
          </cell>
          <cell r="AF653"/>
        </row>
        <row r="654">
          <cell r="Y654">
            <v>638</v>
          </cell>
          <cell r="Z654">
            <v>0.65776876173913479</v>
          </cell>
          <cell r="AA654">
            <v>6.8690972583130477E-2</v>
          </cell>
          <cell r="AB654"/>
          <cell r="AC654" t="e">
            <v>#N/A</v>
          </cell>
          <cell r="AD654">
            <v>567</v>
          </cell>
          <cell r="AE654" t="e">
            <v>#N/A</v>
          </cell>
          <cell r="AF654"/>
        </row>
        <row r="655">
          <cell r="Y655">
            <v>639</v>
          </cell>
          <cell r="Z655">
            <v>0.16838525049388409</v>
          </cell>
          <cell r="AA655">
            <v>-0.16236526482826424</v>
          </cell>
          <cell r="AB655"/>
          <cell r="AC655" t="e">
            <v>#N/A</v>
          </cell>
          <cell r="AD655">
            <v>568</v>
          </cell>
          <cell r="AE655" t="e">
            <v>#N/A</v>
          </cell>
          <cell r="AF655"/>
        </row>
        <row r="656">
          <cell r="Y656">
            <v>640</v>
          </cell>
          <cell r="Z656">
            <v>0.69394709728658199</v>
          </cell>
          <cell r="AA656">
            <v>8.5710449084217405E-2</v>
          </cell>
          <cell r="AB656"/>
          <cell r="AC656" t="e">
            <v>#N/A</v>
          </cell>
          <cell r="AD656">
            <v>569</v>
          </cell>
          <cell r="AE656" t="e">
            <v>#N/A</v>
          </cell>
          <cell r="AF656"/>
        </row>
        <row r="657">
          <cell r="Y657">
            <v>641</v>
          </cell>
          <cell r="Z657">
            <v>0.99417808465659618</v>
          </cell>
          <cell r="AA657">
            <v>0.42642403044131721</v>
          </cell>
          <cell r="AB657"/>
          <cell r="AC657" t="e">
            <v>#N/A</v>
          </cell>
          <cell r="AD657">
            <v>570</v>
          </cell>
          <cell r="AE657" t="e">
            <v>#N/A</v>
          </cell>
          <cell r="AF657"/>
        </row>
        <row r="658">
          <cell r="Y658">
            <v>642</v>
          </cell>
          <cell r="Z658">
            <v>0.77088106237351894</v>
          </cell>
          <cell r="AA658">
            <v>0.12537889710839403</v>
          </cell>
          <cell r="AB658"/>
          <cell r="AC658" t="e">
            <v>#N/A</v>
          </cell>
          <cell r="AD658">
            <v>571</v>
          </cell>
          <cell r="AE658" t="e">
            <v>#N/A</v>
          </cell>
          <cell r="AF658"/>
        </row>
        <row r="659">
          <cell r="Y659">
            <v>643</v>
          </cell>
          <cell r="Z659">
            <v>0.64518900029361248</v>
          </cell>
          <cell r="AA659">
            <v>6.2940970695198883E-2</v>
          </cell>
          <cell r="AB659"/>
          <cell r="AC659" t="e">
            <v>#N/A</v>
          </cell>
          <cell r="AD659">
            <v>572</v>
          </cell>
          <cell r="AE659" t="e">
            <v>#N/A</v>
          </cell>
          <cell r="AF659"/>
        </row>
        <row r="660">
          <cell r="Y660">
            <v>644</v>
          </cell>
          <cell r="Z660">
            <v>0.39039312861859798</v>
          </cell>
          <cell r="AA660">
            <v>-4.7040365079245992E-2</v>
          </cell>
          <cell r="AB660"/>
          <cell r="AC660" t="e">
            <v>#N/A</v>
          </cell>
          <cell r="AD660">
            <v>573</v>
          </cell>
          <cell r="AE660" t="e">
            <v>#N/A</v>
          </cell>
          <cell r="AF660"/>
        </row>
        <row r="661">
          <cell r="Y661">
            <v>645</v>
          </cell>
          <cell r="Z661">
            <v>0.36129665188491344</v>
          </cell>
          <cell r="AA661">
            <v>-6.0005114436232541E-2</v>
          </cell>
          <cell r="AB661"/>
          <cell r="AC661" t="e">
            <v>#N/A</v>
          </cell>
          <cell r="AD661">
            <v>574</v>
          </cell>
          <cell r="AE661" t="e">
            <v>#N/A</v>
          </cell>
          <cell r="AF661"/>
        </row>
        <row r="662">
          <cell r="Y662">
            <v>646</v>
          </cell>
          <cell r="Z662">
            <v>0.21570560894906521</v>
          </cell>
          <cell r="AA662">
            <v>-0.1329899327821501</v>
          </cell>
          <cell r="AB662"/>
          <cell r="AC662" t="e">
            <v>#N/A</v>
          </cell>
          <cell r="AD662">
            <v>575</v>
          </cell>
          <cell r="AE662" t="e">
            <v>#N/A</v>
          </cell>
          <cell r="AF662"/>
        </row>
        <row r="663">
          <cell r="Y663">
            <v>647</v>
          </cell>
          <cell r="Z663">
            <v>0.8936635684221983</v>
          </cell>
          <cell r="AA663">
            <v>0.2106545896433622</v>
          </cell>
          <cell r="AB663"/>
          <cell r="AC663" t="e">
            <v>#N/A</v>
          </cell>
          <cell r="AD663">
            <v>576</v>
          </cell>
          <cell r="AE663" t="e">
            <v>#N/A</v>
          </cell>
          <cell r="AF663"/>
        </row>
        <row r="664">
          <cell r="Y664">
            <v>648</v>
          </cell>
          <cell r="Z664">
            <v>0.30184837244451046</v>
          </cell>
          <cell r="AA664">
            <v>-8.7742524167529728E-2</v>
          </cell>
          <cell r="AB664"/>
          <cell r="AC664" t="e">
            <v>#N/A</v>
          </cell>
          <cell r="AD664">
            <v>577</v>
          </cell>
          <cell r="AE664" t="e">
            <v>#N/A</v>
          </cell>
          <cell r="AF664"/>
        </row>
        <row r="665">
          <cell r="Y665">
            <v>649</v>
          </cell>
          <cell r="Z665">
            <v>0.648473946377635</v>
          </cell>
          <cell r="AA665">
            <v>6.4435185018275581E-2</v>
          </cell>
          <cell r="AB665"/>
          <cell r="AC665" t="e">
            <v>#N/A</v>
          </cell>
          <cell r="AD665">
            <v>578</v>
          </cell>
          <cell r="AE665" t="e">
            <v>#N/A</v>
          </cell>
          <cell r="AF665"/>
        </row>
        <row r="666">
          <cell r="Y666">
            <v>650</v>
          </cell>
          <cell r="Z666">
            <v>0.89393765293061733</v>
          </cell>
          <cell r="AA666">
            <v>0.21090728926374372</v>
          </cell>
          <cell r="AB666"/>
          <cell r="AC666" t="e">
            <v>#N/A</v>
          </cell>
          <cell r="AD666">
            <v>579</v>
          </cell>
          <cell r="AE666" t="e">
            <v>#N/A</v>
          </cell>
          <cell r="AF666"/>
        </row>
        <row r="667">
          <cell r="Y667">
            <v>651</v>
          </cell>
          <cell r="Z667">
            <v>0.15049566142261028</v>
          </cell>
          <cell r="AA667">
            <v>-0.17483027794317474</v>
          </cell>
          <cell r="AB667"/>
          <cell r="AC667" t="e">
            <v>#N/A</v>
          </cell>
          <cell r="AD667">
            <v>580</v>
          </cell>
          <cell r="AE667" t="e">
            <v>#N/A</v>
          </cell>
          <cell r="AF667"/>
        </row>
        <row r="668">
          <cell r="Y668">
            <v>652</v>
          </cell>
          <cell r="Z668">
            <v>0.57066970132291317</v>
          </cell>
          <cell r="AA668">
            <v>3.0100917362333272E-2</v>
          </cell>
          <cell r="AB668"/>
          <cell r="AC668" t="e">
            <v>#N/A</v>
          </cell>
          <cell r="AD668">
            <v>581</v>
          </cell>
          <cell r="AE668" t="e">
            <v>#N/A</v>
          </cell>
          <cell r="AF668"/>
        </row>
        <row r="669">
          <cell r="Y669">
            <v>653</v>
          </cell>
          <cell r="Z669">
            <v>0.43193524889647961</v>
          </cell>
          <cell r="AA669">
            <v>-2.8980220002246985E-2</v>
          </cell>
          <cell r="AB669"/>
          <cell r="AC669" t="e">
            <v>#N/A</v>
          </cell>
          <cell r="AD669">
            <v>582</v>
          </cell>
          <cell r="AE669" t="e">
            <v>#N/A</v>
          </cell>
          <cell r="AF669"/>
        </row>
        <row r="670">
          <cell r="Y670">
            <v>654</v>
          </cell>
          <cell r="Z670">
            <v>0.10412303172051907</v>
          </cell>
          <cell r="AA670">
            <v>-0.21270892247158762</v>
          </cell>
          <cell r="AB670"/>
          <cell r="AC670" t="e">
            <v>#N/A</v>
          </cell>
          <cell r="AD670">
            <v>583</v>
          </cell>
          <cell r="AE670" t="e">
            <v>#N/A</v>
          </cell>
          <cell r="AF670"/>
        </row>
        <row r="671">
          <cell r="Y671">
            <v>655</v>
          </cell>
          <cell r="Z671">
            <v>0.67080460302531719</v>
          </cell>
          <cell r="AA671">
            <v>7.4734624567691171E-2</v>
          </cell>
          <cell r="AB671"/>
          <cell r="AC671" t="e">
            <v>#N/A</v>
          </cell>
          <cell r="AD671">
            <v>584</v>
          </cell>
          <cell r="AE671" t="e">
            <v>#N/A</v>
          </cell>
          <cell r="AF671"/>
        </row>
        <row r="672">
          <cell r="Y672">
            <v>656</v>
          </cell>
          <cell r="Z672">
            <v>0.75071301124989986</v>
          </cell>
          <cell r="AA672">
            <v>0.11438912703085914</v>
          </cell>
          <cell r="AB672"/>
          <cell r="AC672" t="e">
            <v>#N/A</v>
          </cell>
          <cell r="AD672">
            <v>585</v>
          </cell>
          <cell r="AE672" t="e">
            <v>#N/A</v>
          </cell>
          <cell r="AF672"/>
        </row>
        <row r="673">
          <cell r="Y673">
            <v>657</v>
          </cell>
          <cell r="Z673">
            <v>0.87176814489066601</v>
          </cell>
          <cell r="AA673">
            <v>0.19181436080902992</v>
          </cell>
          <cell r="AB673"/>
          <cell r="AC673" t="e">
            <v>#N/A</v>
          </cell>
          <cell r="AD673">
            <v>586</v>
          </cell>
          <cell r="AE673" t="e">
            <v>#N/A</v>
          </cell>
          <cell r="AF673"/>
        </row>
        <row r="674">
          <cell r="Y674">
            <v>658</v>
          </cell>
          <cell r="Z674">
            <v>0.78189254365861416</v>
          </cell>
          <cell r="AA674">
            <v>0.13160755433618077</v>
          </cell>
          <cell r="AB674"/>
          <cell r="AC674" t="e">
            <v>#N/A</v>
          </cell>
          <cell r="AD674">
            <v>587</v>
          </cell>
          <cell r="AE674" t="e">
            <v>#N/A</v>
          </cell>
          <cell r="AF674"/>
        </row>
        <row r="675">
          <cell r="Y675">
            <v>659</v>
          </cell>
          <cell r="Z675">
            <v>0.60118920914828777</v>
          </cell>
          <cell r="AA675">
            <v>4.3343977676679794E-2</v>
          </cell>
          <cell r="AB675"/>
          <cell r="AC675" t="e">
            <v>#N/A</v>
          </cell>
          <cell r="AD675">
            <v>588</v>
          </cell>
          <cell r="AE675" t="e">
            <v>#N/A</v>
          </cell>
          <cell r="AF675"/>
        </row>
        <row r="676">
          <cell r="Y676">
            <v>660</v>
          </cell>
          <cell r="Z676">
            <v>0.90694259665906429</v>
          </cell>
          <cell r="AA676">
            <v>0.22348586591660896</v>
          </cell>
          <cell r="AB676"/>
          <cell r="AC676" t="e">
            <v>#N/A</v>
          </cell>
          <cell r="AD676">
            <v>589</v>
          </cell>
          <cell r="AE676" t="e">
            <v>#N/A</v>
          </cell>
          <cell r="AF676"/>
        </row>
        <row r="677">
          <cell r="Y677">
            <v>661</v>
          </cell>
          <cell r="Z677">
            <v>0.75684439949691296</v>
          </cell>
          <cell r="AA677">
            <v>0.11767722325455135</v>
          </cell>
          <cell r="AB677"/>
          <cell r="AC677" t="e">
            <v>#N/A</v>
          </cell>
          <cell r="AD677">
            <v>590</v>
          </cell>
          <cell r="AE677" t="e">
            <v>#N/A</v>
          </cell>
          <cell r="AF677"/>
        </row>
        <row r="678">
          <cell r="Y678">
            <v>662</v>
          </cell>
          <cell r="Z678">
            <v>0.83394632302224636</v>
          </cell>
          <cell r="AA678">
            <v>0.16393928782473843</v>
          </cell>
          <cell r="AB678"/>
          <cell r="AC678" t="e">
            <v>#N/A</v>
          </cell>
          <cell r="AD678">
            <v>591</v>
          </cell>
          <cell r="AE678" t="e">
            <v>#N/A</v>
          </cell>
          <cell r="AF678"/>
        </row>
        <row r="679">
          <cell r="Y679">
            <v>663</v>
          </cell>
          <cell r="Z679">
            <v>7.1524662896990776E-2</v>
          </cell>
          <cell r="AA679">
            <v>-0.24755066950646462</v>
          </cell>
          <cell r="AB679"/>
          <cell r="AC679" t="e">
            <v>#N/A</v>
          </cell>
          <cell r="AD679">
            <v>592</v>
          </cell>
          <cell r="AE679" t="e">
            <v>#N/A</v>
          </cell>
          <cell r="AF679"/>
        </row>
        <row r="680">
          <cell r="Y680">
            <v>664</v>
          </cell>
          <cell r="Z680">
            <v>0.55879052542150021</v>
          </cell>
          <cell r="AA680">
            <v>2.5000249500605202E-2</v>
          </cell>
          <cell r="AB680"/>
          <cell r="AC680" t="e">
            <v>#N/A</v>
          </cell>
          <cell r="AD680">
            <v>593</v>
          </cell>
          <cell r="AE680" t="e">
            <v>#N/A</v>
          </cell>
          <cell r="AF680"/>
        </row>
        <row r="681">
          <cell r="Y681">
            <v>665</v>
          </cell>
          <cell r="Z681">
            <v>0.5184918325394392</v>
          </cell>
          <cell r="AA681">
            <v>7.8377511100884596E-3</v>
          </cell>
          <cell r="AB681"/>
          <cell r="AC681" t="e">
            <v>#N/A</v>
          </cell>
          <cell r="AD681">
            <v>594</v>
          </cell>
          <cell r="AE681" t="e">
            <v>#N/A</v>
          </cell>
          <cell r="AF681"/>
        </row>
        <row r="682">
          <cell r="Y682">
            <v>666</v>
          </cell>
          <cell r="Z682">
            <v>6.5788215026259422E-2</v>
          </cell>
          <cell r="AA682">
            <v>-0.25488405854260593</v>
          </cell>
          <cell r="AB682"/>
          <cell r="AC682" t="e">
            <v>#N/A</v>
          </cell>
          <cell r="AD682">
            <v>595</v>
          </cell>
          <cell r="AE682" t="e">
            <v>#N/A</v>
          </cell>
          <cell r="AF682"/>
        </row>
        <row r="683">
          <cell r="Y683">
            <v>667</v>
          </cell>
          <cell r="Z683">
            <v>5.5093895643949509E-3</v>
          </cell>
          <cell r="AA683">
            <v>-0.42969378285583931</v>
          </cell>
          <cell r="AB683"/>
          <cell r="AC683" t="e">
            <v>#N/A</v>
          </cell>
          <cell r="AD683">
            <v>596</v>
          </cell>
          <cell r="AE683" t="e">
            <v>#N/A</v>
          </cell>
          <cell r="AF683"/>
        </row>
        <row r="684">
          <cell r="Y684">
            <v>668</v>
          </cell>
          <cell r="Z684">
            <v>0.96726601384580135</v>
          </cell>
          <cell r="AA684">
            <v>0.31136312204414274</v>
          </cell>
          <cell r="AB684"/>
          <cell r="AC684" t="e">
            <v>#N/A</v>
          </cell>
          <cell r="AD684">
            <v>597</v>
          </cell>
          <cell r="AE684" t="e">
            <v>#N/A</v>
          </cell>
          <cell r="AF684"/>
        </row>
        <row r="685">
          <cell r="Y685">
            <v>669</v>
          </cell>
          <cell r="Z685">
            <v>0.71291619352996349</v>
          </cell>
          <cell r="AA685">
            <v>9.4982538551826395E-2</v>
          </cell>
          <cell r="AB685"/>
          <cell r="AC685" t="e">
            <v>#N/A</v>
          </cell>
          <cell r="AD685">
            <v>598</v>
          </cell>
          <cell r="AE685" t="e">
            <v>#N/A</v>
          </cell>
          <cell r="AF685"/>
        </row>
        <row r="686">
          <cell r="Y686">
            <v>670</v>
          </cell>
          <cell r="Z686">
            <v>0.20321015082299709</v>
          </cell>
          <cell r="AA686">
            <v>-0.14033103120177709</v>
          </cell>
          <cell r="AB686"/>
          <cell r="AC686" t="e">
            <v>#N/A</v>
          </cell>
          <cell r="AD686">
            <v>599</v>
          </cell>
          <cell r="AE686" t="e">
            <v>#N/A</v>
          </cell>
          <cell r="AF686"/>
        </row>
        <row r="687">
          <cell r="Y687">
            <v>671</v>
          </cell>
          <cell r="Z687">
            <v>0.14996193163096905</v>
          </cell>
          <cell r="AA687">
            <v>-0.17521681816560852</v>
          </cell>
          <cell r="AB687"/>
          <cell r="AC687" t="e">
            <v>#N/A</v>
          </cell>
          <cell r="AD687">
            <v>600</v>
          </cell>
          <cell r="AE687" t="e">
            <v>#N/A</v>
          </cell>
          <cell r="AF687"/>
        </row>
        <row r="688">
          <cell r="Y688">
            <v>672</v>
          </cell>
          <cell r="Z688">
            <v>0.26581480167806149</v>
          </cell>
          <cell r="AA688">
            <v>-0.10573223528336995</v>
          </cell>
          <cell r="AB688"/>
          <cell r="AC688" t="e">
            <v>#N/A</v>
          </cell>
          <cell r="AD688">
            <v>601</v>
          </cell>
          <cell r="AE688" t="e">
            <v>#N/A</v>
          </cell>
          <cell r="AF688"/>
        </row>
        <row r="689">
          <cell r="Y689">
            <v>673</v>
          </cell>
          <cell r="Z689">
            <v>0.47237303666770458</v>
          </cell>
          <cell r="AA689">
            <v>-1.1714847182059576E-2</v>
          </cell>
          <cell r="AB689"/>
          <cell r="AC689" t="e">
            <v>#N/A</v>
          </cell>
          <cell r="AD689">
            <v>602</v>
          </cell>
          <cell r="AE689" t="e">
            <v>#N/A</v>
          </cell>
          <cell r="AF689"/>
        </row>
        <row r="690">
          <cell r="Y690">
            <v>674</v>
          </cell>
          <cell r="Z690">
            <v>0.50752652250230312</v>
          </cell>
          <cell r="AA690">
            <v>3.1891580454435574E-3</v>
          </cell>
          <cell r="AB690"/>
          <cell r="AC690" t="e">
            <v>#N/A</v>
          </cell>
          <cell r="AD690">
            <v>603</v>
          </cell>
          <cell r="AE690" t="e">
            <v>#N/A</v>
          </cell>
          <cell r="AF690"/>
        </row>
        <row r="691">
          <cell r="Y691">
            <v>675</v>
          </cell>
          <cell r="Z691">
            <v>0.82286782376468182</v>
          </cell>
          <cell r="AA691">
            <v>0.15658165294727394</v>
          </cell>
          <cell r="AB691"/>
          <cell r="AC691" t="e">
            <v>#N/A</v>
          </cell>
          <cell r="AD691">
            <v>604</v>
          </cell>
          <cell r="AE691" t="e">
            <v>#N/A</v>
          </cell>
          <cell r="AF691"/>
        </row>
        <row r="692">
          <cell r="Y692">
            <v>676</v>
          </cell>
          <cell r="Z692">
            <v>0.93492852710187435</v>
          </cell>
          <cell r="AA692">
            <v>0.25583468966989859</v>
          </cell>
          <cell r="AB692"/>
          <cell r="AC692" t="e">
            <v>#N/A</v>
          </cell>
          <cell r="AD692">
            <v>605</v>
          </cell>
          <cell r="AE692" t="e">
            <v>#N/A</v>
          </cell>
          <cell r="AF692"/>
        </row>
        <row r="693">
          <cell r="Y693">
            <v>677</v>
          </cell>
          <cell r="Z693">
            <v>0.42508959583938122</v>
          </cell>
          <cell r="AA693">
            <v>-3.1928202855214471E-2</v>
          </cell>
          <cell r="AB693"/>
          <cell r="AC693" t="e">
            <v>#N/A</v>
          </cell>
          <cell r="AD693">
            <v>606</v>
          </cell>
          <cell r="AE693" t="e">
            <v>#N/A</v>
          </cell>
          <cell r="AF693"/>
        </row>
        <row r="694">
          <cell r="Y694">
            <v>678</v>
          </cell>
          <cell r="Z694">
            <v>0.48455855809152126</v>
          </cell>
          <cell r="AA694">
            <v>-6.5441349575541454E-3</v>
          </cell>
          <cell r="AB694"/>
          <cell r="AC694" t="e">
            <v>#N/A</v>
          </cell>
          <cell r="AD694">
            <v>607</v>
          </cell>
          <cell r="AE694" t="e">
            <v>#N/A</v>
          </cell>
          <cell r="AF694"/>
        </row>
        <row r="695">
          <cell r="Y695">
            <v>679</v>
          </cell>
          <cell r="Z695">
            <v>0.88017646782100201</v>
          </cell>
          <cell r="AA695">
            <v>0.19875820701177496</v>
          </cell>
          <cell r="AB695"/>
          <cell r="AC695" t="e">
            <v>#N/A</v>
          </cell>
          <cell r="AD695">
            <v>608</v>
          </cell>
          <cell r="AE695" t="e">
            <v>#N/A</v>
          </cell>
          <cell r="AF695"/>
        </row>
        <row r="696">
          <cell r="Y696">
            <v>680</v>
          </cell>
          <cell r="Z696">
            <v>0.1205041017383337</v>
          </cell>
          <cell r="AA696">
            <v>-0.19818368873786119</v>
          </cell>
          <cell r="AB696"/>
          <cell r="AC696" t="e">
            <v>#N/A</v>
          </cell>
          <cell r="AD696">
            <v>609</v>
          </cell>
          <cell r="AE696" t="e">
            <v>#N/A</v>
          </cell>
          <cell r="AF696"/>
        </row>
        <row r="697">
          <cell r="Y697">
            <v>681</v>
          </cell>
          <cell r="Z697">
            <v>0.58393665961921215</v>
          </cell>
          <cell r="AA697">
            <v>3.5830283749237364E-2</v>
          </cell>
          <cell r="AB697"/>
          <cell r="AC697" t="e">
            <v>#N/A</v>
          </cell>
          <cell r="AD697">
            <v>610</v>
          </cell>
          <cell r="AE697" t="e">
            <v>#N/A</v>
          </cell>
          <cell r="AF697"/>
        </row>
        <row r="698">
          <cell r="Y698">
            <v>682</v>
          </cell>
          <cell r="Z698">
            <v>0.18736869655549526</v>
          </cell>
          <cell r="AA698">
            <v>-0.15003761371443936</v>
          </cell>
          <cell r="AB698"/>
          <cell r="AC698" t="e">
            <v>#N/A</v>
          </cell>
          <cell r="AD698">
            <v>611</v>
          </cell>
          <cell r="AE698" t="e">
            <v>#N/A</v>
          </cell>
          <cell r="AF698"/>
        </row>
        <row r="699">
          <cell r="Y699">
            <v>683</v>
          </cell>
          <cell r="Z699">
            <v>0.40134800784289837</v>
          </cell>
          <cell r="AA699">
            <v>-4.2233961409577338E-2</v>
          </cell>
          <cell r="AB699"/>
          <cell r="AC699" t="e">
            <v>#N/A</v>
          </cell>
          <cell r="AD699">
            <v>612</v>
          </cell>
          <cell r="AE699" t="e">
            <v>#N/A</v>
          </cell>
          <cell r="AF699"/>
        </row>
        <row r="700">
          <cell r="Y700">
            <v>684</v>
          </cell>
          <cell r="Z700">
            <v>0.29595308564603329</v>
          </cell>
          <cell r="AA700">
            <v>-9.0613346981274906E-2</v>
          </cell>
          <cell r="AB700"/>
          <cell r="AC700" t="e">
            <v>#N/A</v>
          </cell>
          <cell r="AD700">
            <v>613</v>
          </cell>
          <cell r="AE700" t="e">
            <v>#N/A</v>
          </cell>
          <cell r="AF700"/>
        </row>
        <row r="701">
          <cell r="Y701">
            <v>685</v>
          </cell>
          <cell r="Z701">
            <v>0.70385044626891613</v>
          </cell>
          <cell r="AA701">
            <v>9.0517255486859322E-2</v>
          </cell>
          <cell r="AB701"/>
          <cell r="AC701" t="e">
            <v>#N/A</v>
          </cell>
          <cell r="AD701">
            <v>614</v>
          </cell>
          <cell r="AE701" t="e">
            <v>#N/A</v>
          </cell>
          <cell r="AF701"/>
        </row>
        <row r="702">
          <cell r="Y702">
            <v>686</v>
          </cell>
          <cell r="Z702">
            <v>0.61274496279656887</v>
          </cell>
          <cell r="AA702">
            <v>4.842405422271151E-2</v>
          </cell>
          <cell r="AB702"/>
          <cell r="AC702" t="e">
            <v>#N/A</v>
          </cell>
          <cell r="AD702">
            <v>615</v>
          </cell>
          <cell r="AE702" t="e">
            <v>#N/A</v>
          </cell>
          <cell r="AF702"/>
        </row>
        <row r="703">
          <cell r="Y703">
            <v>687</v>
          </cell>
          <cell r="Z703">
            <v>0.59365020506083965</v>
          </cell>
          <cell r="AA703">
            <v>4.0050986435778139E-2</v>
          </cell>
          <cell r="AB703"/>
          <cell r="AC703" t="e">
            <v>#N/A</v>
          </cell>
          <cell r="AD703">
            <v>616</v>
          </cell>
          <cell r="AE703" t="e">
            <v>#N/A</v>
          </cell>
          <cell r="AF703"/>
        </row>
        <row r="704">
          <cell r="Y704">
            <v>688</v>
          </cell>
          <cell r="Z704">
            <v>0.76806106232106686</v>
          </cell>
          <cell r="AA704">
            <v>0.12381109997862043</v>
          </cell>
          <cell r="AB704"/>
          <cell r="AC704" t="e">
            <v>#N/A</v>
          </cell>
          <cell r="AD704">
            <v>617</v>
          </cell>
          <cell r="AE704" t="e">
            <v>#N/A</v>
          </cell>
          <cell r="AF704"/>
        </row>
        <row r="705">
          <cell r="Y705">
            <v>689</v>
          </cell>
          <cell r="Z705">
            <v>0.60800447873771191</v>
          </cell>
          <cell r="AA705">
            <v>4.6335036445969063E-2</v>
          </cell>
          <cell r="AB705"/>
          <cell r="AC705" t="e">
            <v>#N/A</v>
          </cell>
          <cell r="AD705">
            <v>618</v>
          </cell>
          <cell r="AE705" t="e">
            <v>#N/A</v>
          </cell>
          <cell r="AF705"/>
        </row>
        <row r="706">
          <cell r="Y706">
            <v>690</v>
          </cell>
          <cell r="Z706">
            <v>0.69143534265458584</v>
          </cell>
          <cell r="AA706">
            <v>8.450240574410918E-2</v>
          </cell>
          <cell r="AB706"/>
          <cell r="AC706" t="e">
            <v>#N/A</v>
          </cell>
          <cell r="AD706">
            <v>619</v>
          </cell>
          <cell r="AE706" t="e">
            <v>#N/A</v>
          </cell>
          <cell r="AF706"/>
        </row>
        <row r="707">
          <cell r="Y707">
            <v>691</v>
          </cell>
          <cell r="Z707">
            <v>0.41520531289279461</v>
          </cell>
          <cell r="AA707">
            <v>-3.6202174929325773E-2</v>
          </cell>
          <cell r="AB707"/>
          <cell r="AC707" t="e">
            <v>#N/A</v>
          </cell>
          <cell r="AD707">
            <v>620</v>
          </cell>
          <cell r="AE707" t="e">
            <v>#N/A</v>
          </cell>
          <cell r="AF707"/>
        </row>
        <row r="708">
          <cell r="Y708">
            <v>692</v>
          </cell>
          <cell r="Z708">
            <v>0.52659701369702816</v>
          </cell>
          <cell r="AA708">
            <v>1.1277449509402579E-2</v>
          </cell>
          <cell r="AB708"/>
          <cell r="AC708" t="e">
            <v>#N/A</v>
          </cell>
          <cell r="AD708">
            <v>621</v>
          </cell>
          <cell r="AE708" t="e">
            <v>#N/A</v>
          </cell>
          <cell r="AF708"/>
        </row>
        <row r="709">
          <cell r="Y709">
            <v>693</v>
          </cell>
          <cell r="Z709">
            <v>0.98273145966231823</v>
          </cell>
          <cell r="AA709">
            <v>0.357288060895596</v>
          </cell>
          <cell r="AB709"/>
          <cell r="AC709" t="e">
            <v>#N/A</v>
          </cell>
          <cell r="AD709">
            <v>622</v>
          </cell>
          <cell r="AE709" t="e">
            <v>#N/A</v>
          </cell>
          <cell r="AF709"/>
        </row>
        <row r="710">
          <cell r="Y710">
            <v>694</v>
          </cell>
          <cell r="Z710">
            <v>0.37213215790688992</v>
          </cell>
          <cell r="AA710">
            <v>-5.5139813094570278E-2</v>
          </cell>
          <cell r="AB710"/>
          <cell r="AC710" t="e">
            <v>#N/A</v>
          </cell>
          <cell r="AD710">
            <v>623</v>
          </cell>
          <cell r="AE710" t="e">
            <v>#N/A</v>
          </cell>
          <cell r="AF710"/>
        </row>
        <row r="711">
          <cell r="Y711">
            <v>695</v>
          </cell>
          <cell r="Z711">
            <v>0.41678695194423199</v>
          </cell>
          <cell r="AA711">
            <v>-3.5516786717225149E-2</v>
          </cell>
          <cell r="AB711"/>
          <cell r="AC711" t="e">
            <v>#N/A</v>
          </cell>
          <cell r="AD711">
            <v>624</v>
          </cell>
          <cell r="AE711" t="e">
            <v>#N/A</v>
          </cell>
          <cell r="AF711"/>
        </row>
        <row r="712">
          <cell r="Y712">
            <v>696</v>
          </cell>
          <cell r="Z712">
            <v>0.93767269514501095</v>
          </cell>
          <cell r="AA712">
            <v>0.25955131178598995</v>
          </cell>
          <cell r="AB712"/>
          <cell r="AC712" t="e">
            <v>#N/A</v>
          </cell>
          <cell r="AD712">
            <v>625</v>
          </cell>
          <cell r="AE712" t="e">
            <v>#N/A</v>
          </cell>
          <cell r="AF712"/>
        </row>
        <row r="713">
          <cell r="Y713">
            <v>697</v>
          </cell>
          <cell r="Z713">
            <v>0.14119514636695385</v>
          </cell>
          <cell r="AA713">
            <v>-0.18170228864107196</v>
          </cell>
          <cell r="AB713"/>
          <cell r="AC713" t="e">
            <v>#N/A</v>
          </cell>
          <cell r="AD713">
            <v>626</v>
          </cell>
          <cell r="AE713" t="e">
            <v>#N/A</v>
          </cell>
          <cell r="AF713"/>
        </row>
        <row r="714">
          <cell r="Y714">
            <v>698</v>
          </cell>
          <cell r="Z714">
            <v>0.29920644126832485</v>
          </cell>
          <cell r="AA714">
            <v>-8.9025885063736737E-2</v>
          </cell>
          <cell r="AB714"/>
          <cell r="AC714" t="e">
            <v>#N/A</v>
          </cell>
          <cell r="AD714">
            <v>627</v>
          </cell>
          <cell r="AE714" t="e">
            <v>#N/A</v>
          </cell>
          <cell r="AF714"/>
        </row>
        <row r="715">
          <cell r="Y715">
            <v>699</v>
          </cell>
          <cell r="Z715">
            <v>0.30236698500812054</v>
          </cell>
          <cell r="AA715">
            <v>-8.7491194834005276E-2</v>
          </cell>
          <cell r="AB715"/>
          <cell r="AC715" t="e">
            <v>#N/A</v>
          </cell>
          <cell r="AD715">
            <v>628</v>
          </cell>
          <cell r="AE715" t="e">
            <v>#N/A</v>
          </cell>
          <cell r="AF715"/>
        </row>
        <row r="716">
          <cell r="Y716">
            <v>700</v>
          </cell>
          <cell r="Z716">
            <v>0.78085201047360897</v>
          </cell>
          <cell r="AA716">
            <v>0.13101140488851279</v>
          </cell>
          <cell r="AB716"/>
          <cell r="AC716" t="e">
            <v>#N/A</v>
          </cell>
          <cell r="AD716">
            <v>629</v>
          </cell>
          <cell r="AE716" t="e">
            <v>#N/A</v>
          </cell>
          <cell r="AF716"/>
        </row>
        <row r="717">
          <cell r="Y717">
            <v>701</v>
          </cell>
          <cell r="Z717">
            <v>0.25581222586333752</v>
          </cell>
          <cell r="AA717">
            <v>-0.11093669898891453</v>
          </cell>
          <cell r="AB717"/>
          <cell r="AC717" t="e">
            <v>#N/A</v>
          </cell>
          <cell r="AD717">
            <v>630</v>
          </cell>
          <cell r="AE717" t="e">
            <v>#N/A</v>
          </cell>
          <cell r="AF717"/>
        </row>
        <row r="718">
          <cell r="Y718">
            <v>702</v>
          </cell>
          <cell r="Z718">
            <v>0.5841923113912344</v>
          </cell>
          <cell r="AA718">
            <v>3.5941071581933305E-2</v>
          </cell>
          <cell r="AB718"/>
          <cell r="AC718" t="e">
            <v>#N/A</v>
          </cell>
          <cell r="AD718">
            <v>631</v>
          </cell>
          <cell r="AE718" t="e">
            <v>#N/A</v>
          </cell>
          <cell r="AF718"/>
        </row>
        <row r="719">
          <cell r="Y719">
            <v>703</v>
          </cell>
          <cell r="Z719">
            <v>0.70841239206492901</v>
          </cell>
          <cell r="AA719">
            <v>9.2756125678076021E-2</v>
          </cell>
          <cell r="AB719"/>
          <cell r="AC719" t="e">
            <v>#N/A</v>
          </cell>
          <cell r="AD719">
            <v>632</v>
          </cell>
          <cell r="AE719" t="e">
            <v>#N/A</v>
          </cell>
          <cell r="AF719"/>
        </row>
        <row r="720">
          <cell r="Y720">
            <v>704</v>
          </cell>
          <cell r="Z720">
            <v>0.13001038692891598</v>
          </cell>
          <cell r="AA720">
            <v>-0.19038655180265113</v>
          </cell>
          <cell r="AB720"/>
          <cell r="AC720" t="e">
            <v>#N/A</v>
          </cell>
          <cell r="AD720">
            <v>633</v>
          </cell>
          <cell r="AE720" t="e">
            <v>#N/A</v>
          </cell>
          <cell r="AF720"/>
        </row>
        <row r="721">
          <cell r="Y721">
            <v>705</v>
          </cell>
          <cell r="Z721">
            <v>0.55942418985068798</v>
          </cell>
          <cell r="AA721">
            <v>2.527171659673362E-2</v>
          </cell>
          <cell r="AB721"/>
          <cell r="AC721" t="e">
            <v>#N/A</v>
          </cell>
          <cell r="AD721">
            <v>634</v>
          </cell>
          <cell r="AE721" t="e">
            <v>#N/A</v>
          </cell>
          <cell r="AF721"/>
        </row>
        <row r="722">
          <cell r="Y722">
            <v>706</v>
          </cell>
          <cell r="Z722">
            <v>0.1710213478654623</v>
          </cell>
          <cell r="AA722">
            <v>-0.16060244873515456</v>
          </cell>
          <cell r="AB722"/>
          <cell r="AC722" t="e">
            <v>#N/A</v>
          </cell>
          <cell r="AD722">
            <v>635</v>
          </cell>
          <cell r="AE722" t="e">
            <v>#N/A</v>
          </cell>
          <cell r="AF722"/>
        </row>
        <row r="723">
          <cell r="Y723">
            <v>707</v>
          </cell>
          <cell r="Z723">
            <v>0.70193214528262615</v>
          </cell>
          <cell r="AA723">
            <v>8.9580553968758692E-2</v>
          </cell>
          <cell r="AB723"/>
          <cell r="AC723" t="e">
            <v>#N/A</v>
          </cell>
          <cell r="AD723">
            <v>636</v>
          </cell>
          <cell r="AE723" t="e">
            <v>#N/A</v>
          </cell>
          <cell r="AF723"/>
        </row>
        <row r="724">
          <cell r="Y724">
            <v>708</v>
          </cell>
          <cell r="Z724">
            <v>0.57794415019452572</v>
          </cell>
          <cell r="AA724">
            <v>3.3237700955450214E-2</v>
          </cell>
          <cell r="AB724"/>
          <cell r="AC724" t="e">
            <v>#N/A</v>
          </cell>
          <cell r="AD724">
            <v>637</v>
          </cell>
          <cell r="AE724" t="e">
            <v>#N/A</v>
          </cell>
          <cell r="AF724"/>
        </row>
        <row r="725">
          <cell r="Y725">
            <v>709</v>
          </cell>
          <cell r="Z725">
            <v>1.5219209715723991E-2</v>
          </cell>
          <cell r="AA725">
            <v>-0.36583989151378249</v>
          </cell>
          <cell r="AB725"/>
          <cell r="AC725" t="e">
            <v>#N/A</v>
          </cell>
          <cell r="AD725">
            <v>638</v>
          </cell>
          <cell r="AE725" t="e">
            <v>#N/A</v>
          </cell>
          <cell r="AF725"/>
        </row>
        <row r="726">
          <cell r="Y726">
            <v>710</v>
          </cell>
          <cell r="Z726">
            <v>0.29500696621835232</v>
          </cell>
          <cell r="AA726">
            <v>-9.1076500018352685E-2</v>
          </cell>
          <cell r="AB726"/>
          <cell r="AC726" t="e">
            <v>#N/A</v>
          </cell>
          <cell r="AD726">
            <v>639</v>
          </cell>
          <cell r="AE726" t="e">
            <v>#N/A</v>
          </cell>
          <cell r="AF726"/>
        </row>
        <row r="727">
          <cell r="Y727">
            <v>711</v>
          </cell>
          <cell r="Z727">
            <v>0.49727408401668072</v>
          </cell>
          <cell r="AA727">
            <v>-1.1549728026207442E-3</v>
          </cell>
          <cell r="AB727"/>
          <cell r="AC727" t="e">
            <v>#N/A</v>
          </cell>
          <cell r="AD727">
            <v>640</v>
          </cell>
          <cell r="AE727" t="e">
            <v>#N/A</v>
          </cell>
          <cell r="AF727"/>
        </row>
        <row r="728">
          <cell r="Y728">
            <v>712</v>
          </cell>
          <cell r="Z728">
            <v>0.30472989939153194</v>
          </cell>
          <cell r="AA728">
            <v>-8.634851613637376E-2</v>
          </cell>
          <cell r="AB728"/>
          <cell r="AC728" t="e">
            <v>#N/A</v>
          </cell>
          <cell r="AD728">
            <v>641</v>
          </cell>
          <cell r="AE728" t="e">
            <v>#N/A</v>
          </cell>
          <cell r="AF728"/>
        </row>
        <row r="729">
          <cell r="Y729">
            <v>713</v>
          </cell>
          <cell r="Z729">
            <v>0.9554040115326643</v>
          </cell>
          <cell r="AA729">
            <v>0.28729759903474406</v>
          </cell>
          <cell r="AB729"/>
          <cell r="AC729" t="e">
            <v>#N/A</v>
          </cell>
          <cell r="AD729">
            <v>642</v>
          </cell>
          <cell r="AE729" t="e">
            <v>#N/A</v>
          </cell>
          <cell r="AF729"/>
        </row>
        <row r="730">
          <cell r="Y730">
            <v>714</v>
          </cell>
          <cell r="Z730">
            <v>0.53557879291474819</v>
          </cell>
          <cell r="AA730">
            <v>1.509468467905677E-2</v>
          </cell>
          <cell r="AB730"/>
          <cell r="AC730" t="e">
            <v>#N/A</v>
          </cell>
          <cell r="AD730">
            <v>643</v>
          </cell>
          <cell r="AE730" t="e">
            <v>#N/A</v>
          </cell>
          <cell r="AF730"/>
        </row>
        <row r="731">
          <cell r="Y731">
            <v>715</v>
          </cell>
          <cell r="Z731">
            <v>0.89167178981006145</v>
          </cell>
          <cell r="AA731">
            <v>0.20883218845686302</v>
          </cell>
          <cell r="AB731"/>
          <cell r="AC731" t="e">
            <v>#N/A</v>
          </cell>
          <cell r="AD731">
            <v>644</v>
          </cell>
          <cell r="AE731" t="e">
            <v>#N/A</v>
          </cell>
          <cell r="AF731"/>
        </row>
        <row r="732">
          <cell r="Y732">
            <v>716</v>
          </cell>
          <cell r="Z732">
            <v>0.4898338820785284</v>
          </cell>
          <cell r="AA732">
            <v>-4.3078251344251884E-3</v>
          </cell>
          <cell r="AB732"/>
          <cell r="AC732" t="e">
            <v>#N/A</v>
          </cell>
          <cell r="AD732">
            <v>645</v>
          </cell>
          <cell r="AE732" t="e">
            <v>#N/A</v>
          </cell>
          <cell r="AF732"/>
        </row>
        <row r="733">
          <cell r="Y733">
            <v>717</v>
          </cell>
          <cell r="Z733">
            <v>0.18862575106322765</v>
          </cell>
          <cell r="AA733">
            <v>-0.14924947657864426</v>
          </cell>
          <cell r="AB733"/>
          <cell r="AC733" t="e">
            <v>#N/A</v>
          </cell>
          <cell r="AD733">
            <v>646</v>
          </cell>
          <cell r="AE733" t="e">
            <v>#N/A</v>
          </cell>
          <cell r="AF733"/>
        </row>
        <row r="734">
          <cell r="Y734">
            <v>718</v>
          </cell>
          <cell r="Z734">
            <v>0.96276704035699368</v>
          </cell>
          <cell r="AA734">
            <v>0.30150709411570431</v>
          </cell>
          <cell r="AB734"/>
          <cell r="AC734" t="e">
            <v>#N/A</v>
          </cell>
          <cell r="AD734">
            <v>647</v>
          </cell>
          <cell r="AE734" t="e">
            <v>#N/A</v>
          </cell>
          <cell r="AF734"/>
        </row>
        <row r="735">
          <cell r="Y735">
            <v>719</v>
          </cell>
          <cell r="Z735">
            <v>0.91954146139323711</v>
          </cell>
          <cell r="AA735">
            <v>0.23698021687353321</v>
          </cell>
          <cell r="AB735"/>
          <cell r="AC735" t="e">
            <v>#N/A</v>
          </cell>
          <cell r="AD735">
            <v>648</v>
          </cell>
          <cell r="AE735" t="e">
            <v>#N/A</v>
          </cell>
          <cell r="AF735"/>
        </row>
        <row r="736">
          <cell r="Y736">
            <v>720</v>
          </cell>
          <cell r="Z736">
            <v>0.56797136925160885</v>
          </cell>
          <cell r="AA736">
            <v>2.894006935340426E-2</v>
          </cell>
          <cell r="AB736"/>
          <cell r="AC736" t="e">
            <v>#N/A</v>
          </cell>
          <cell r="AD736">
            <v>649</v>
          </cell>
          <cell r="AE736" t="e">
            <v>#N/A</v>
          </cell>
          <cell r="AF736"/>
        </row>
        <row r="737">
          <cell r="Y737">
            <v>721</v>
          </cell>
          <cell r="Z737">
            <v>7.6143888756632805E-2</v>
          </cell>
          <cell r="AA737">
            <v>-0.2419671847489307</v>
          </cell>
          <cell r="AB737"/>
          <cell r="AC737" t="e">
            <v>#N/A</v>
          </cell>
          <cell r="AD737">
            <v>650</v>
          </cell>
          <cell r="AE737" t="e">
            <v>#N/A</v>
          </cell>
          <cell r="AF737"/>
        </row>
        <row r="738">
          <cell r="Y738">
            <v>722</v>
          </cell>
          <cell r="Z738">
            <v>0.87743688188493252</v>
          </cell>
          <cell r="AA738">
            <v>0.19645930910083995</v>
          </cell>
          <cell r="AB738"/>
          <cell r="AC738" t="e">
            <v>#N/A</v>
          </cell>
          <cell r="AD738">
            <v>651</v>
          </cell>
          <cell r="AE738" t="e">
            <v>#N/A</v>
          </cell>
          <cell r="AF738"/>
        </row>
        <row r="739">
          <cell r="Y739">
            <v>723</v>
          </cell>
          <cell r="Z739">
            <v>0.22552878968417645</v>
          </cell>
          <cell r="AA739">
            <v>-0.12739061672048077</v>
          </cell>
          <cell r="AB739"/>
          <cell r="AC739" t="e">
            <v>#N/A</v>
          </cell>
          <cell r="AD739">
            <v>652</v>
          </cell>
          <cell r="AE739" t="e">
            <v>#N/A</v>
          </cell>
          <cell r="AF739"/>
        </row>
        <row r="740">
          <cell r="Y740">
            <v>724</v>
          </cell>
          <cell r="Z740">
            <v>0.82871603034436703</v>
          </cell>
          <cell r="AA740">
            <v>0.16042778392987214</v>
          </cell>
          <cell r="AB740"/>
          <cell r="AC740" t="e">
            <v>#N/A</v>
          </cell>
          <cell r="AD740">
            <v>653</v>
          </cell>
          <cell r="AE740" t="e">
            <v>#N/A</v>
          </cell>
          <cell r="AF740"/>
        </row>
        <row r="741">
          <cell r="Y741">
            <v>725</v>
          </cell>
          <cell r="Z741">
            <v>7.6752064749598503E-2</v>
          </cell>
          <cell r="AA741">
            <v>-0.24125146285944105</v>
          </cell>
          <cell r="AB741"/>
          <cell r="AC741" t="e">
            <v>#N/A</v>
          </cell>
          <cell r="AD741">
            <v>654</v>
          </cell>
          <cell r="AE741" t="e">
            <v>#N/A</v>
          </cell>
          <cell r="AF741"/>
        </row>
        <row r="742">
          <cell r="Y742">
            <v>726</v>
          </cell>
          <cell r="Z742">
            <v>0.64527282677590847</v>
          </cell>
          <cell r="AA742">
            <v>6.2979039029597353E-2</v>
          </cell>
          <cell r="AB742"/>
          <cell r="AC742" t="e">
            <v>#N/A</v>
          </cell>
          <cell r="AD742">
            <v>655</v>
          </cell>
          <cell r="AE742" t="e">
            <v>#N/A</v>
          </cell>
          <cell r="AF742"/>
        </row>
        <row r="743">
          <cell r="Y743">
            <v>727</v>
          </cell>
          <cell r="Z743">
            <v>0.6563058327883482</v>
          </cell>
          <cell r="AA743">
            <v>6.801832122711203E-2</v>
          </cell>
          <cell r="AB743"/>
          <cell r="AC743" t="e">
            <v>#N/A</v>
          </cell>
          <cell r="AD743">
            <v>656</v>
          </cell>
          <cell r="AE743" t="e">
            <v>#N/A</v>
          </cell>
          <cell r="AF743"/>
        </row>
        <row r="744">
          <cell r="Y744">
            <v>728</v>
          </cell>
          <cell r="Z744">
            <v>0.85985930822789669</v>
          </cell>
          <cell r="AA744">
            <v>0.18250048874243197</v>
          </cell>
          <cell r="AB744"/>
          <cell r="AC744" t="e">
            <v>#N/A</v>
          </cell>
          <cell r="AD744">
            <v>657</v>
          </cell>
          <cell r="AE744" t="e">
            <v>#N/A</v>
          </cell>
          <cell r="AF744"/>
        </row>
        <row r="745">
          <cell r="Y745">
            <v>729</v>
          </cell>
          <cell r="Z745">
            <v>0.2604499738663435</v>
          </cell>
          <cell r="AA745">
            <v>-0.10851083870477321</v>
          </cell>
          <cell r="AB745"/>
          <cell r="AC745" t="e">
            <v>#N/A</v>
          </cell>
          <cell r="AD745">
            <v>658</v>
          </cell>
          <cell r="AE745" t="e">
            <v>#N/A</v>
          </cell>
          <cell r="AF745"/>
        </row>
        <row r="746">
          <cell r="Y746">
            <v>730</v>
          </cell>
          <cell r="Z746">
            <v>0.12451309524476528</v>
          </cell>
          <cell r="AA746">
            <v>-0.19484488811503656</v>
          </cell>
          <cell r="AB746"/>
          <cell r="AC746" t="e">
            <v>#N/A</v>
          </cell>
          <cell r="AD746">
            <v>659</v>
          </cell>
          <cell r="AE746" t="e">
            <v>#N/A</v>
          </cell>
          <cell r="AF746"/>
        </row>
        <row r="747">
          <cell r="Y747">
            <v>731</v>
          </cell>
          <cell r="Z747">
            <v>0.57111789099872112</v>
          </cell>
          <cell r="AA747">
            <v>3.0293868893977706E-2</v>
          </cell>
          <cell r="AB747"/>
          <cell r="AC747" t="e">
            <v>#N/A</v>
          </cell>
          <cell r="AD747">
            <v>660</v>
          </cell>
          <cell r="AE747" t="e">
            <v>#N/A</v>
          </cell>
          <cell r="AF747"/>
        </row>
        <row r="748">
          <cell r="Y748">
            <v>732</v>
          </cell>
          <cell r="Z748">
            <v>0.33451979421079159</v>
          </cell>
          <cell r="AA748">
            <v>-7.2255024348517882E-2</v>
          </cell>
          <cell r="AB748"/>
          <cell r="AC748" t="e">
            <v>#N/A</v>
          </cell>
          <cell r="AD748">
            <v>661</v>
          </cell>
          <cell r="AE748" t="e">
            <v>#N/A</v>
          </cell>
          <cell r="AF748"/>
        </row>
        <row r="749">
          <cell r="Y749">
            <v>733</v>
          </cell>
          <cell r="Z749">
            <v>0.29086524061858654</v>
          </cell>
          <cell r="AA749">
            <v>-9.3112129530005819E-2</v>
          </cell>
          <cell r="AB749"/>
          <cell r="AC749" t="e">
            <v>#N/A</v>
          </cell>
          <cell r="AD749">
            <v>662</v>
          </cell>
          <cell r="AE749" t="e">
            <v>#N/A</v>
          </cell>
          <cell r="AF749"/>
        </row>
        <row r="750">
          <cell r="Y750">
            <v>734</v>
          </cell>
          <cell r="Z750">
            <v>0.1874339934438467</v>
          </cell>
          <cell r="AA750">
            <v>-0.14999659416833505</v>
          </cell>
          <cell r="AB750"/>
          <cell r="AC750" t="e">
            <v>#N/A</v>
          </cell>
          <cell r="AD750">
            <v>663</v>
          </cell>
          <cell r="AE750" t="e">
            <v>#N/A</v>
          </cell>
          <cell r="AF750"/>
        </row>
        <row r="751">
          <cell r="Y751">
            <v>735</v>
          </cell>
          <cell r="Z751">
            <v>0.37108038179576397</v>
          </cell>
          <cell r="AA751">
            <v>-5.5610014915172007E-2</v>
          </cell>
          <cell r="AB751"/>
          <cell r="AC751" t="e">
            <v>#N/A</v>
          </cell>
          <cell r="AD751">
            <v>664</v>
          </cell>
          <cell r="AE751" t="e">
            <v>#N/A</v>
          </cell>
          <cell r="AF751"/>
        </row>
        <row r="752">
          <cell r="Y752">
            <v>736</v>
          </cell>
          <cell r="Z752">
            <v>0.64200260303914547</v>
          </cell>
          <cell r="AA752">
            <v>6.1496268414933504E-2</v>
          </cell>
          <cell r="AB752"/>
          <cell r="AC752" t="e">
            <v>#N/A</v>
          </cell>
          <cell r="AD752">
            <v>665</v>
          </cell>
          <cell r="AE752" t="e">
            <v>#N/A</v>
          </cell>
          <cell r="AF752"/>
        </row>
        <row r="753">
          <cell r="Y753">
            <v>737</v>
          </cell>
          <cell r="Z753">
            <v>0.37642529420554638</v>
          </cell>
          <cell r="AA753">
            <v>-5.3224919431881339E-2</v>
          </cell>
          <cell r="AB753"/>
          <cell r="AC753" t="e">
            <v>#N/A</v>
          </cell>
          <cell r="AD753">
            <v>666</v>
          </cell>
          <cell r="AE753" t="e">
            <v>#N/A</v>
          </cell>
          <cell r="AF753"/>
        </row>
        <row r="754">
          <cell r="Y754">
            <v>738</v>
          </cell>
          <cell r="Z754">
            <v>0.83558428846299648</v>
          </cell>
          <cell r="AA754">
            <v>0.16505361794770684</v>
          </cell>
          <cell r="AB754"/>
          <cell r="AC754" t="e">
            <v>#N/A</v>
          </cell>
          <cell r="AD754">
            <v>667</v>
          </cell>
          <cell r="AE754" t="e">
            <v>#N/A</v>
          </cell>
          <cell r="AF754"/>
        </row>
        <row r="755">
          <cell r="Y755">
            <v>739</v>
          </cell>
          <cell r="Z755">
            <v>0.74722571484744549</v>
          </cell>
          <cell r="AA755">
            <v>0.11253819547500021</v>
          </cell>
          <cell r="AB755"/>
          <cell r="AC755" t="e">
            <v>#N/A</v>
          </cell>
          <cell r="AD755">
            <v>668</v>
          </cell>
          <cell r="AE755" t="e">
            <v>#N/A</v>
          </cell>
          <cell r="AF755"/>
        </row>
        <row r="756">
          <cell r="Y756">
            <v>740</v>
          </cell>
          <cell r="Z756">
            <v>0.86240874789655209</v>
          </cell>
          <cell r="AA756">
            <v>0.18444738043408052</v>
          </cell>
          <cell r="AB756"/>
          <cell r="AC756" t="e">
            <v>#N/A</v>
          </cell>
          <cell r="AD756">
            <v>669</v>
          </cell>
          <cell r="AE756" t="e">
            <v>#N/A</v>
          </cell>
          <cell r="AF756"/>
        </row>
        <row r="757">
          <cell r="Y757">
            <v>741</v>
          </cell>
          <cell r="Z757">
            <v>0.69027924351394176</v>
          </cell>
          <cell r="AA757">
            <v>8.3947823913484404E-2</v>
          </cell>
          <cell r="AB757"/>
          <cell r="AC757" t="e">
            <v>#N/A</v>
          </cell>
          <cell r="AD757">
            <v>670</v>
          </cell>
          <cell r="AE757" t="e">
            <v>#N/A</v>
          </cell>
          <cell r="AF757"/>
        </row>
        <row r="758">
          <cell r="Y758">
            <v>742</v>
          </cell>
          <cell r="Z758">
            <v>0.40876958332955837</v>
          </cell>
          <cell r="AA758">
            <v>-3.899731159890775E-2</v>
          </cell>
          <cell r="AB758"/>
          <cell r="AC758" t="e">
            <v>#N/A</v>
          </cell>
          <cell r="AD758">
            <v>671</v>
          </cell>
          <cell r="AE758" t="e">
            <v>#N/A</v>
          </cell>
          <cell r="AF758"/>
        </row>
        <row r="759">
          <cell r="Y759">
            <v>743</v>
          </cell>
          <cell r="Z759">
            <v>0.14730016700923443</v>
          </cell>
          <cell r="AA759">
            <v>-0.17715837380695215</v>
          </cell>
          <cell r="AB759"/>
          <cell r="AC759" t="e">
            <v>#N/A</v>
          </cell>
          <cell r="AD759">
            <v>672</v>
          </cell>
          <cell r="AE759" t="e">
            <v>#N/A</v>
          </cell>
          <cell r="AF759"/>
        </row>
        <row r="760">
          <cell r="Y760">
            <v>744</v>
          </cell>
          <cell r="Z760">
            <v>0.58499451540410519</v>
          </cell>
          <cell r="AA760">
            <v>3.6288810750620543E-2</v>
          </cell>
          <cell r="AB760"/>
          <cell r="AC760" t="e">
            <v>#N/A</v>
          </cell>
          <cell r="AD760">
            <v>673</v>
          </cell>
          <cell r="AE760" t="e">
            <v>#N/A</v>
          </cell>
          <cell r="AF760"/>
        </row>
        <row r="761">
          <cell r="Y761">
            <v>745</v>
          </cell>
          <cell r="Z761">
            <v>0.75896975211799145</v>
          </cell>
          <cell r="AA761">
            <v>0.11882740086959295</v>
          </cell>
          <cell r="AB761"/>
          <cell r="AC761" t="e">
            <v>#N/A</v>
          </cell>
          <cell r="AD761">
            <v>674</v>
          </cell>
          <cell r="AE761" t="e">
            <v>#N/A</v>
          </cell>
          <cell r="AF761"/>
        </row>
        <row r="762">
          <cell r="Y762">
            <v>746</v>
          </cell>
          <cell r="Z762">
            <v>0.38778669200837612</v>
          </cell>
          <cell r="AA762">
            <v>-4.8189404011250381E-2</v>
          </cell>
          <cell r="AB762"/>
          <cell r="AC762" t="e">
            <v>#N/A</v>
          </cell>
          <cell r="AD762">
            <v>675</v>
          </cell>
          <cell r="AE762" t="e">
            <v>#N/A</v>
          </cell>
          <cell r="AF762"/>
        </row>
        <row r="763">
          <cell r="Y763">
            <v>747</v>
          </cell>
          <cell r="Z763">
            <v>0.96131075732409954</v>
          </cell>
          <cell r="AA763">
            <v>0.2985259785190113</v>
          </cell>
          <cell r="AB763"/>
          <cell r="AC763" t="e">
            <v>#N/A</v>
          </cell>
          <cell r="AD763">
            <v>676</v>
          </cell>
          <cell r="AE763" t="e">
            <v>#N/A</v>
          </cell>
          <cell r="AF763"/>
        </row>
        <row r="764">
          <cell r="Y764">
            <v>748</v>
          </cell>
          <cell r="Z764">
            <v>7.0280840620398521E-2</v>
          </cell>
          <cell r="AA764">
            <v>-0.24910120531930119</v>
          </cell>
          <cell r="AB764"/>
          <cell r="AC764" t="e">
            <v>#N/A</v>
          </cell>
          <cell r="AD764">
            <v>677</v>
          </cell>
          <cell r="AE764" t="e">
            <v>#N/A</v>
          </cell>
          <cell r="AF764"/>
        </row>
        <row r="765">
          <cell r="Y765">
            <v>749</v>
          </cell>
          <cell r="Z765">
            <v>0.31985491327941418</v>
          </cell>
          <cell r="AA765">
            <v>-7.912411019684952E-2</v>
          </cell>
          <cell r="AB765"/>
          <cell r="AC765" t="e">
            <v>#N/A</v>
          </cell>
          <cell r="AD765">
            <v>678</v>
          </cell>
          <cell r="AE765" t="e">
            <v>#N/A</v>
          </cell>
          <cell r="AF765"/>
        </row>
        <row r="766">
          <cell r="Y766">
            <v>750</v>
          </cell>
          <cell r="Z766">
            <v>0.29090801440179348</v>
          </cell>
          <cell r="AA766">
            <v>-9.3091037859254225E-2</v>
          </cell>
          <cell r="AB766"/>
          <cell r="AC766" t="e">
            <v>#N/A</v>
          </cell>
          <cell r="AD766">
            <v>679</v>
          </cell>
          <cell r="AE766" t="e">
            <v>#N/A</v>
          </cell>
          <cell r="AF766"/>
        </row>
        <row r="767">
          <cell r="Y767">
            <v>751</v>
          </cell>
          <cell r="Z767">
            <v>0.92582212202250957</v>
          </cell>
          <cell r="AA767">
            <v>0.24431105494939198</v>
          </cell>
          <cell r="AB767"/>
          <cell r="AC767" t="e">
            <v>#N/A</v>
          </cell>
          <cell r="AD767">
            <v>680</v>
          </cell>
          <cell r="AE767" t="e">
            <v>#N/A</v>
          </cell>
          <cell r="AF767"/>
        </row>
        <row r="768">
          <cell r="Y768">
            <v>752</v>
          </cell>
          <cell r="Z768">
            <v>0.25591268204152584</v>
          </cell>
          <cell r="AA768">
            <v>-0.11088391249938438</v>
          </cell>
          <cell r="AB768"/>
          <cell r="AC768" t="e">
            <v>#N/A</v>
          </cell>
          <cell r="AD768">
            <v>681</v>
          </cell>
          <cell r="AE768" t="e">
            <v>#N/A</v>
          </cell>
          <cell r="AF768"/>
        </row>
        <row r="769">
          <cell r="Y769">
            <v>753</v>
          </cell>
          <cell r="Z769">
            <v>0.1472801249474287</v>
          </cell>
          <cell r="AA769">
            <v>-0.17717308167102772</v>
          </cell>
          <cell r="AB769"/>
          <cell r="AC769" t="e">
            <v>#N/A</v>
          </cell>
          <cell r="AD769">
            <v>682</v>
          </cell>
          <cell r="AE769" t="e">
            <v>#N/A</v>
          </cell>
          <cell r="AF769"/>
        </row>
        <row r="770">
          <cell r="Y770">
            <v>754</v>
          </cell>
          <cell r="Z770">
            <v>0.1641159113496542</v>
          </cell>
          <cell r="AA770">
            <v>-0.16525835356178434</v>
          </cell>
          <cell r="AB770"/>
          <cell r="AC770" t="e">
            <v>#N/A</v>
          </cell>
          <cell r="AD770">
            <v>683</v>
          </cell>
          <cell r="AE770" t="e">
            <v>#N/A</v>
          </cell>
          <cell r="AF770"/>
        </row>
        <row r="771">
          <cell r="Y771">
            <v>755</v>
          </cell>
          <cell r="Z771">
            <v>0.24700338952243328</v>
          </cell>
          <cell r="AA771">
            <v>-0.11560863988639788</v>
          </cell>
          <cell r="AB771"/>
          <cell r="AC771" t="e">
            <v>#N/A</v>
          </cell>
          <cell r="AD771">
            <v>684</v>
          </cell>
          <cell r="AE771" t="e">
            <v>#N/A</v>
          </cell>
          <cell r="AF771"/>
        </row>
        <row r="772">
          <cell r="Y772">
            <v>756</v>
          </cell>
          <cell r="Z772">
            <v>0.10626839660108089</v>
          </cell>
          <cell r="AA772">
            <v>-0.2107172723916291</v>
          </cell>
          <cell r="AB772"/>
          <cell r="AC772" t="e">
            <v>#N/A</v>
          </cell>
          <cell r="AD772">
            <v>685</v>
          </cell>
          <cell r="AE772" t="e">
            <v>#N/A</v>
          </cell>
          <cell r="AF772"/>
        </row>
        <row r="773">
          <cell r="Y773">
            <v>757</v>
          </cell>
          <cell r="Z773">
            <v>0.34749996475875378</v>
          </cell>
          <cell r="AA773">
            <v>-6.6273427305607785E-2</v>
          </cell>
          <cell r="AB773"/>
          <cell r="AC773" t="e">
            <v>#N/A</v>
          </cell>
          <cell r="AD773">
            <v>686</v>
          </cell>
          <cell r="AE773" t="e">
            <v>#N/A</v>
          </cell>
          <cell r="AF773"/>
        </row>
        <row r="774">
          <cell r="Y774">
            <v>758</v>
          </cell>
          <cell r="Z774">
            <v>0.16508707962930202</v>
          </cell>
          <cell r="AA774">
            <v>-0.16459601200790278</v>
          </cell>
          <cell r="AB774"/>
          <cell r="AC774" t="e">
            <v>#N/A</v>
          </cell>
          <cell r="AD774">
            <v>687</v>
          </cell>
          <cell r="AE774" t="e">
            <v>#N/A</v>
          </cell>
          <cell r="AF774"/>
        </row>
        <row r="775">
          <cell r="Y775">
            <v>759</v>
          </cell>
          <cell r="Z775">
            <v>0.94242505542933941</v>
          </cell>
          <cell r="AA775">
            <v>0.26630164874716233</v>
          </cell>
          <cell r="AB775"/>
          <cell r="AC775" t="e">
            <v>#N/A</v>
          </cell>
          <cell r="AD775">
            <v>688</v>
          </cell>
          <cell r="AE775" t="e">
            <v>#N/A</v>
          </cell>
          <cell r="AF775"/>
        </row>
        <row r="776">
          <cell r="Y776">
            <v>760</v>
          </cell>
          <cell r="Z776">
            <v>0.80581911467015743</v>
          </cell>
          <cell r="AA776">
            <v>0.14580467814289655</v>
          </cell>
          <cell r="AB776"/>
          <cell r="AC776" t="e">
            <v>#N/A</v>
          </cell>
          <cell r="AD776">
            <v>689</v>
          </cell>
          <cell r="AE776" t="e">
            <v>#N/A</v>
          </cell>
          <cell r="AF776"/>
        </row>
        <row r="777">
          <cell r="Y777">
            <v>761</v>
          </cell>
          <cell r="Z777">
            <v>0.62235006503760815</v>
          </cell>
          <cell r="AA777">
            <v>5.2679946015809179E-2</v>
          </cell>
          <cell r="AB777"/>
          <cell r="AC777" t="e">
            <v>#N/A</v>
          </cell>
          <cell r="AD777">
            <v>690</v>
          </cell>
          <cell r="AE777" t="e">
            <v>#N/A</v>
          </cell>
          <cell r="AF777"/>
        </row>
        <row r="778">
          <cell r="Y778">
            <v>762</v>
          </cell>
          <cell r="Z778">
            <v>0.74092692695558071</v>
          </cell>
          <cell r="AA778">
            <v>0.10922870000879327</v>
          </cell>
          <cell r="AB778"/>
          <cell r="AC778" t="e">
            <v>#N/A</v>
          </cell>
          <cell r="AD778">
            <v>691</v>
          </cell>
          <cell r="AE778" t="e">
            <v>#N/A</v>
          </cell>
          <cell r="AF778"/>
        </row>
        <row r="779">
          <cell r="Y779">
            <v>763</v>
          </cell>
          <cell r="Z779">
            <v>0.90160585753619671</v>
          </cell>
          <cell r="AA779">
            <v>0.21817759213434926</v>
          </cell>
          <cell r="AB779"/>
          <cell r="AC779" t="e">
            <v>#N/A</v>
          </cell>
          <cell r="AD779">
            <v>692</v>
          </cell>
          <cell r="AE779" t="e">
            <v>#N/A</v>
          </cell>
          <cell r="AF779"/>
        </row>
        <row r="780">
          <cell r="Y780">
            <v>764</v>
          </cell>
          <cell r="Z780">
            <v>0.29623811505734921</v>
          </cell>
          <cell r="AA780">
            <v>-9.0473950178781168E-2</v>
          </cell>
          <cell r="AB780"/>
          <cell r="AC780" t="e">
            <v>#N/A</v>
          </cell>
          <cell r="AD780">
            <v>693</v>
          </cell>
          <cell r="AE780" t="e">
            <v>#N/A</v>
          </cell>
          <cell r="AF780"/>
        </row>
        <row r="781">
          <cell r="Y781">
            <v>765</v>
          </cell>
          <cell r="Z781">
            <v>1.6689877957105637E-3</v>
          </cell>
          <cell r="AA781">
            <v>-0.49606626954296934</v>
          </cell>
          <cell r="AB781"/>
          <cell r="AC781" t="e">
            <v>#N/A</v>
          </cell>
          <cell r="AD781">
            <v>694</v>
          </cell>
          <cell r="AE781" t="e">
            <v>#N/A</v>
          </cell>
          <cell r="AF781"/>
        </row>
        <row r="782">
          <cell r="Y782">
            <v>766</v>
          </cell>
          <cell r="Z782">
            <v>0.89965394698083401</v>
          </cell>
          <cell r="AA782">
            <v>0.21628887161613602</v>
          </cell>
          <cell r="AB782"/>
          <cell r="AC782" t="e">
            <v>#N/A</v>
          </cell>
          <cell r="AD782">
            <v>695</v>
          </cell>
          <cell r="AE782" t="e">
            <v>#N/A</v>
          </cell>
          <cell r="AF782"/>
        </row>
        <row r="783">
          <cell r="Y783">
            <v>767</v>
          </cell>
          <cell r="Z783">
            <v>0.16530965082347393</v>
          </cell>
          <cell r="AA783">
            <v>-0.16444457303194532</v>
          </cell>
          <cell r="AB783"/>
          <cell r="AC783" t="e">
            <v>#N/A</v>
          </cell>
          <cell r="AD783">
            <v>696</v>
          </cell>
          <cell r="AE783" t="e">
            <v>#N/A</v>
          </cell>
          <cell r="AF783"/>
        </row>
        <row r="784">
          <cell r="Y784">
            <v>768</v>
          </cell>
          <cell r="Z784">
            <v>0.65726020000874996</v>
          </cell>
          <cell r="AA784">
            <v>6.8457014248044901E-2</v>
          </cell>
          <cell r="AB784"/>
          <cell r="AC784" t="e">
            <v>#N/A</v>
          </cell>
          <cell r="AD784">
            <v>697</v>
          </cell>
          <cell r="AE784" t="e">
            <v>#N/A</v>
          </cell>
          <cell r="AF784"/>
        </row>
        <row r="785">
          <cell r="Y785">
            <v>769</v>
          </cell>
          <cell r="Z785">
            <v>0.54447009973227978</v>
          </cell>
          <cell r="AA785">
            <v>1.888106129216988E-2</v>
          </cell>
          <cell r="AB785"/>
          <cell r="AC785" t="e">
            <v>#N/A</v>
          </cell>
          <cell r="AD785">
            <v>698</v>
          </cell>
          <cell r="AE785" t="e">
            <v>#N/A</v>
          </cell>
          <cell r="AF785"/>
        </row>
        <row r="786">
          <cell r="Y786">
            <v>770</v>
          </cell>
          <cell r="Z786">
            <v>7.5434094294905663E-2</v>
          </cell>
          <cell r="AA786">
            <v>-0.24280801892652784</v>
          </cell>
          <cell r="AB786"/>
          <cell r="AC786" t="e">
            <v>#N/A</v>
          </cell>
          <cell r="AD786">
            <v>699</v>
          </cell>
          <cell r="AE786" t="e">
            <v>#N/A</v>
          </cell>
          <cell r="AF786"/>
        </row>
        <row r="787">
          <cell r="Y787">
            <v>771</v>
          </cell>
          <cell r="Z787">
            <v>0.92359228245913982</v>
          </cell>
          <cell r="AA787">
            <v>0.24165617003238898</v>
          </cell>
          <cell r="AB787"/>
          <cell r="AC787" t="e">
            <v>#N/A</v>
          </cell>
          <cell r="AD787">
            <v>700</v>
          </cell>
          <cell r="AE787" t="e">
            <v>#N/A</v>
          </cell>
          <cell r="AF787"/>
        </row>
        <row r="788">
          <cell r="Y788">
            <v>772</v>
          </cell>
          <cell r="Z788">
            <v>0.83129107020795345</v>
          </cell>
          <cell r="AA788">
            <v>0.16214786382605348</v>
          </cell>
          <cell r="AB788"/>
          <cell r="AC788" t="e">
            <v>#N/A</v>
          </cell>
          <cell r="AD788">
            <v>701</v>
          </cell>
          <cell r="AE788" t="e">
            <v>#N/A</v>
          </cell>
          <cell r="AF788"/>
        </row>
        <row r="789">
          <cell r="Y789">
            <v>773</v>
          </cell>
          <cell r="Z789">
            <v>0.50886344723403454</v>
          </cell>
          <cell r="AA789">
            <v>3.7557295318909043E-3</v>
          </cell>
          <cell r="AB789"/>
          <cell r="AC789" t="e">
            <v>#N/A</v>
          </cell>
          <cell r="AD789">
            <v>702</v>
          </cell>
          <cell r="AE789" t="e">
            <v>#N/A</v>
          </cell>
          <cell r="AF789"/>
        </row>
        <row r="790">
          <cell r="Y790">
            <v>774</v>
          </cell>
          <cell r="Z790">
            <v>8.7565159425139427E-2</v>
          </cell>
          <cell r="AA790">
            <v>-0.22918928598827165</v>
          </cell>
          <cell r="AB790"/>
          <cell r="AC790" t="e">
            <v>#N/A</v>
          </cell>
          <cell r="AD790">
            <v>703</v>
          </cell>
          <cell r="AE790" t="e">
            <v>#N/A</v>
          </cell>
          <cell r="AF790"/>
        </row>
        <row r="791">
          <cell r="Y791">
            <v>775</v>
          </cell>
          <cell r="Z791">
            <v>0.73259846679866314</v>
          </cell>
          <cell r="AA791">
            <v>0.10491589856533885</v>
          </cell>
          <cell r="AB791"/>
          <cell r="AC791" t="e">
            <v>#N/A</v>
          </cell>
          <cell r="AD791">
            <v>704</v>
          </cell>
          <cell r="AE791" t="e">
            <v>#N/A</v>
          </cell>
          <cell r="AF791"/>
        </row>
        <row r="792">
          <cell r="Y792">
            <v>776</v>
          </cell>
          <cell r="Z792">
            <v>0.19176669977605343</v>
          </cell>
          <cell r="AA792">
            <v>-0.14729422248963633</v>
          </cell>
          <cell r="AB792"/>
          <cell r="AC792" t="e">
            <v>#N/A</v>
          </cell>
          <cell r="AD792">
            <v>705</v>
          </cell>
          <cell r="AE792" t="e">
            <v>#N/A</v>
          </cell>
          <cell r="AF792"/>
        </row>
        <row r="793">
          <cell r="Y793">
            <v>777</v>
          </cell>
          <cell r="Z793">
            <v>0.4907276313751936</v>
          </cell>
          <cell r="AA793">
            <v>-3.9290332850281124E-3</v>
          </cell>
          <cell r="AB793"/>
          <cell r="AC793" t="e">
            <v>#N/A</v>
          </cell>
          <cell r="AD793">
            <v>706</v>
          </cell>
          <cell r="AE793" t="e">
            <v>#N/A</v>
          </cell>
          <cell r="AF793"/>
        </row>
        <row r="794">
          <cell r="Y794">
            <v>778</v>
          </cell>
          <cell r="Z794">
            <v>0.69321114383637905</v>
          </cell>
          <cell r="AA794">
            <v>8.5356036976348443E-2</v>
          </cell>
          <cell r="AB794"/>
          <cell r="AC794" t="e">
            <v>#N/A</v>
          </cell>
          <cell r="AD794">
            <v>707</v>
          </cell>
          <cell r="AE794" t="e">
            <v>#N/A</v>
          </cell>
          <cell r="AF794"/>
        </row>
        <row r="795">
          <cell r="Y795">
            <v>779</v>
          </cell>
          <cell r="Z795">
            <v>0.45010866038501263</v>
          </cell>
          <cell r="AA795">
            <v>-2.1194241119575831E-2</v>
          </cell>
          <cell r="AB795"/>
          <cell r="AC795" t="e">
            <v>#N/A</v>
          </cell>
          <cell r="AD795">
            <v>708</v>
          </cell>
          <cell r="AE795" t="e">
            <v>#N/A</v>
          </cell>
          <cell r="AF795"/>
        </row>
        <row r="796">
          <cell r="Y796">
            <v>780</v>
          </cell>
          <cell r="Z796">
            <v>0.45526271127164364</v>
          </cell>
          <cell r="AA796">
            <v>-1.8994981370018316E-2</v>
          </cell>
          <cell r="AB796"/>
          <cell r="AC796" t="e">
            <v>#N/A</v>
          </cell>
          <cell r="AD796">
            <v>709</v>
          </cell>
          <cell r="AE796" t="e">
            <v>#N/A</v>
          </cell>
          <cell r="AF796"/>
        </row>
        <row r="797">
          <cell r="Y797">
            <v>781</v>
          </cell>
          <cell r="Z797">
            <v>3.11316829174757E-2</v>
          </cell>
          <cell r="AA797">
            <v>-0.31514375297619596</v>
          </cell>
          <cell r="AB797"/>
          <cell r="AC797" t="e">
            <v>#N/A</v>
          </cell>
          <cell r="AD797">
            <v>710</v>
          </cell>
          <cell r="AE797" t="e">
            <v>#N/A</v>
          </cell>
          <cell r="AF797"/>
        </row>
        <row r="798">
          <cell r="Y798">
            <v>782</v>
          </cell>
          <cell r="Z798">
            <v>0.23388663493096828</v>
          </cell>
          <cell r="AA798">
            <v>-0.12273445878450073</v>
          </cell>
          <cell r="AB798"/>
          <cell r="AC798" t="e">
            <v>#N/A</v>
          </cell>
          <cell r="AD798">
            <v>711</v>
          </cell>
          <cell r="AE798" t="e">
            <v>#N/A</v>
          </cell>
          <cell r="AF798"/>
        </row>
        <row r="799">
          <cell r="Y799">
            <v>783</v>
          </cell>
          <cell r="Z799">
            <v>0.38983593694865704</v>
          </cell>
          <cell r="AA799">
            <v>-4.7285816764255501E-2</v>
          </cell>
          <cell r="AB799"/>
          <cell r="AC799" t="e">
            <v>#N/A</v>
          </cell>
          <cell r="AD799">
            <v>712</v>
          </cell>
          <cell r="AE799" t="e">
            <v>#N/A</v>
          </cell>
          <cell r="AF799"/>
        </row>
        <row r="800">
          <cell r="Y800">
            <v>784</v>
          </cell>
          <cell r="Z800">
            <v>0.43735375069081783</v>
          </cell>
          <cell r="AA800">
            <v>-2.6653097665686659E-2</v>
          </cell>
          <cell r="AB800"/>
          <cell r="AC800" t="e">
            <v>#N/A</v>
          </cell>
          <cell r="AD800">
            <v>713</v>
          </cell>
          <cell r="AE800" t="e">
            <v>#N/A</v>
          </cell>
          <cell r="AF800"/>
        </row>
        <row r="801">
          <cell r="Y801">
            <v>785</v>
          </cell>
          <cell r="Z801">
            <v>0.1925069373100996</v>
          </cell>
          <cell r="AA801">
            <v>-0.14683628668360366</v>
          </cell>
          <cell r="AB801"/>
          <cell r="AC801" t="e">
            <v>#N/A</v>
          </cell>
          <cell r="AD801">
            <v>714</v>
          </cell>
          <cell r="AE801" t="e">
            <v>#N/A</v>
          </cell>
          <cell r="AF801"/>
        </row>
        <row r="802">
          <cell r="Y802">
            <v>786</v>
          </cell>
          <cell r="Z802">
            <v>0.87569118104875088</v>
          </cell>
          <cell r="AA802">
            <v>0.19501317853663239</v>
          </cell>
          <cell r="AB802"/>
          <cell r="AC802" t="e">
            <v>#N/A</v>
          </cell>
          <cell r="AD802">
            <v>715</v>
          </cell>
          <cell r="AE802" t="e">
            <v>#N/A</v>
          </cell>
          <cell r="AF802"/>
        </row>
        <row r="803">
          <cell r="Y803">
            <v>787</v>
          </cell>
          <cell r="Z803">
            <v>0.19447286240756512</v>
          </cell>
          <cell r="AA803">
            <v>-0.14562529664341667</v>
          </cell>
          <cell r="AB803"/>
          <cell r="AC803" t="e">
            <v>#N/A</v>
          </cell>
          <cell r="AD803">
            <v>716</v>
          </cell>
          <cell r="AE803" t="e">
            <v>#N/A</v>
          </cell>
          <cell r="AF803"/>
        </row>
        <row r="804">
          <cell r="Y804">
            <v>788</v>
          </cell>
          <cell r="Z804">
            <v>0.15222286246716976</v>
          </cell>
          <cell r="AA804">
            <v>-0.17358561629849059</v>
          </cell>
          <cell r="AB804"/>
          <cell r="AC804" t="e">
            <v>#N/A</v>
          </cell>
          <cell r="AD804">
            <v>717</v>
          </cell>
          <cell r="AE804" t="e">
            <v>#N/A</v>
          </cell>
          <cell r="AF804"/>
        </row>
        <row r="805">
          <cell r="Y805">
            <v>789</v>
          </cell>
          <cell r="Z805">
            <v>0.60356890968978405</v>
          </cell>
          <cell r="AA805">
            <v>4.4386782095521431E-2</v>
          </cell>
          <cell r="AB805"/>
          <cell r="AC805" t="e">
            <v>#N/A</v>
          </cell>
          <cell r="AD805">
            <v>718</v>
          </cell>
          <cell r="AE805" t="e">
            <v>#N/A</v>
          </cell>
          <cell r="AF805"/>
        </row>
        <row r="806">
          <cell r="Y806">
            <v>790</v>
          </cell>
          <cell r="Z806">
            <v>0.94329366646707058</v>
          </cell>
          <cell r="AA806">
            <v>0.26758236138781188</v>
          </cell>
          <cell r="AB806"/>
          <cell r="AC806" t="e">
            <v>#N/A</v>
          </cell>
          <cell r="AD806">
            <v>719</v>
          </cell>
          <cell r="AE806" t="e">
            <v>#N/A</v>
          </cell>
          <cell r="AF806"/>
        </row>
        <row r="807">
          <cell r="Y807">
            <v>791</v>
          </cell>
          <cell r="Z807">
            <v>0.92748836986720562</v>
          </cell>
          <cell r="AA807">
            <v>0.2463349854562612</v>
          </cell>
          <cell r="AB807"/>
          <cell r="AC807" t="e">
            <v>#N/A</v>
          </cell>
          <cell r="AD807">
            <v>720</v>
          </cell>
          <cell r="AE807" t="e">
            <v>#N/A</v>
          </cell>
          <cell r="AF807"/>
        </row>
        <row r="808">
          <cell r="Y808">
            <v>792</v>
          </cell>
          <cell r="Z808">
            <v>0.75602086447179317</v>
          </cell>
          <cell r="AA808">
            <v>0.11723301407892017</v>
          </cell>
          <cell r="AB808"/>
          <cell r="AC808" t="e">
            <v>#N/A</v>
          </cell>
          <cell r="AD808">
            <v>721</v>
          </cell>
          <cell r="AE808" t="e">
            <v>#N/A</v>
          </cell>
          <cell r="AF808"/>
        </row>
        <row r="809">
          <cell r="Y809">
            <v>793</v>
          </cell>
          <cell r="Z809">
            <v>0.4729891698807478</v>
          </cell>
          <cell r="AA809">
            <v>-1.1453179290353201E-2</v>
          </cell>
          <cell r="AB809"/>
          <cell r="AC809" t="e">
            <v>#N/A</v>
          </cell>
          <cell r="AD809">
            <v>722</v>
          </cell>
          <cell r="AE809" t="e">
            <v>#N/A</v>
          </cell>
          <cell r="AF809"/>
        </row>
        <row r="810">
          <cell r="Y810">
            <v>794</v>
          </cell>
          <cell r="Z810">
            <v>0.84766668640077114</v>
          </cell>
          <cell r="AA810">
            <v>0.17350634260785722</v>
          </cell>
          <cell r="AB810"/>
          <cell r="AC810" t="e">
            <v>#N/A</v>
          </cell>
          <cell r="AD810">
            <v>723</v>
          </cell>
          <cell r="AE810" t="e">
            <v>#N/A</v>
          </cell>
          <cell r="AF810"/>
        </row>
        <row r="811">
          <cell r="Y811">
            <v>795</v>
          </cell>
          <cell r="Z811">
            <v>0.88367463462054729</v>
          </cell>
          <cell r="AA811">
            <v>0.20174820243321584</v>
          </cell>
          <cell r="AB811"/>
          <cell r="AC811" t="e">
            <v>#N/A</v>
          </cell>
          <cell r="AD811">
            <v>724</v>
          </cell>
          <cell r="AE811" t="e">
            <v>#N/A</v>
          </cell>
          <cell r="AF811"/>
        </row>
        <row r="812">
          <cell r="Y812">
            <v>796</v>
          </cell>
          <cell r="Z812">
            <v>0.83397572301328182</v>
          </cell>
          <cell r="AA812">
            <v>0.16395922622736472</v>
          </cell>
          <cell r="AB812"/>
          <cell r="AC812" t="e">
            <v>#N/A</v>
          </cell>
          <cell r="AD812">
            <v>725</v>
          </cell>
          <cell r="AE812" t="e">
            <v>#N/A</v>
          </cell>
          <cell r="AF812"/>
        </row>
        <row r="813">
          <cell r="Y813">
            <v>797</v>
          </cell>
          <cell r="Z813">
            <v>7.1817217394709587E-2</v>
          </cell>
          <cell r="AA813">
            <v>-0.24718898500059455</v>
          </cell>
          <cell r="AB813"/>
          <cell r="AC813" t="e">
            <v>#N/A</v>
          </cell>
          <cell r="AD813">
            <v>726</v>
          </cell>
          <cell r="AE813" t="e">
            <v>#N/A</v>
          </cell>
          <cell r="AF813"/>
        </row>
        <row r="814">
          <cell r="Y814">
            <v>798</v>
          </cell>
          <cell r="Z814">
            <v>0.10757092200219631</v>
          </cell>
          <cell r="AA814">
            <v>-0.20952220962257637</v>
          </cell>
          <cell r="AB814"/>
          <cell r="AC814" t="e">
            <v>#N/A</v>
          </cell>
          <cell r="AD814">
            <v>727</v>
          </cell>
          <cell r="AE814" t="e">
            <v>#N/A</v>
          </cell>
          <cell r="AF814"/>
        </row>
        <row r="815">
          <cell r="Y815">
            <v>799</v>
          </cell>
          <cell r="Z815">
            <v>0.61844394914805889</v>
          </cell>
          <cell r="AA815">
            <v>5.0945320434821889E-2</v>
          </cell>
          <cell r="AB815"/>
          <cell r="AC815" t="e">
            <v>#N/A</v>
          </cell>
          <cell r="AD815">
            <v>728</v>
          </cell>
          <cell r="AE815" t="e">
            <v>#N/A</v>
          </cell>
          <cell r="AF815"/>
        </row>
        <row r="816">
          <cell r="Y816">
            <v>800</v>
          </cell>
          <cell r="Z816">
            <v>0.53125192783772945</v>
          </cell>
          <cell r="AA816">
            <v>1.3254936184161036E-2</v>
          </cell>
          <cell r="AB816"/>
          <cell r="AC816" t="e">
            <v>#N/A</v>
          </cell>
          <cell r="AD816">
            <v>729</v>
          </cell>
          <cell r="AE816" t="e">
            <v>#N/A</v>
          </cell>
          <cell r="AF816"/>
        </row>
        <row r="817">
          <cell r="Y817">
            <v>801</v>
          </cell>
          <cell r="Z817">
            <v>0.18465235643088818</v>
          </cell>
          <cell r="AA817">
            <v>-0.15175192661412015</v>
          </cell>
          <cell r="AB817"/>
          <cell r="AC817" t="e">
            <v>#N/A</v>
          </cell>
          <cell r="AD817">
            <v>730</v>
          </cell>
          <cell r="AE817" t="e">
            <v>#N/A</v>
          </cell>
          <cell r="AF817"/>
        </row>
        <row r="818">
          <cell r="Y818">
            <v>802</v>
          </cell>
          <cell r="Z818">
            <v>0.96478951536118984</v>
          </cell>
          <cell r="AA818">
            <v>0.30580949269681656</v>
          </cell>
          <cell r="AB818"/>
          <cell r="AC818" t="e">
            <v>#N/A</v>
          </cell>
          <cell r="AD818">
            <v>731</v>
          </cell>
          <cell r="AE818" t="e">
            <v>#N/A</v>
          </cell>
          <cell r="AF818"/>
        </row>
        <row r="819">
          <cell r="Y819">
            <v>803</v>
          </cell>
          <cell r="Z819">
            <v>0.69587559811770916</v>
          </cell>
          <cell r="AA819">
            <v>8.6640949982431215E-2</v>
          </cell>
          <cell r="AB819"/>
          <cell r="AC819" t="e">
            <v>#N/A</v>
          </cell>
          <cell r="AD819">
            <v>732</v>
          </cell>
          <cell r="AE819" t="e">
            <v>#N/A</v>
          </cell>
          <cell r="AF819"/>
        </row>
        <row r="820">
          <cell r="Y820">
            <v>804</v>
          </cell>
          <cell r="Z820">
            <v>2.755986712872982E-2</v>
          </cell>
          <cell r="AA820">
            <v>-0.32418954442673487</v>
          </cell>
          <cell r="AB820"/>
          <cell r="AC820" t="e">
            <v>#N/A</v>
          </cell>
          <cell r="AD820">
            <v>733</v>
          </cell>
          <cell r="AE820" t="e">
            <v>#N/A</v>
          </cell>
          <cell r="AF820"/>
        </row>
        <row r="821">
          <cell r="Y821">
            <v>805</v>
          </cell>
          <cell r="Z821">
            <v>2.9565570876002312E-2</v>
          </cell>
          <cell r="AA821">
            <v>-0.31899789911172594</v>
          </cell>
          <cell r="AB821"/>
          <cell r="AC821" t="e">
            <v>#N/A</v>
          </cell>
          <cell r="AD821">
            <v>734</v>
          </cell>
          <cell r="AE821" t="e">
            <v>#N/A</v>
          </cell>
          <cell r="AF821"/>
        </row>
        <row r="822">
          <cell r="Y822">
            <v>806</v>
          </cell>
          <cell r="Z822">
            <v>9.3112444505095482E-2</v>
          </cell>
          <cell r="AA822">
            <v>-0.22342998733615332</v>
          </cell>
          <cell r="AB822"/>
          <cell r="AC822" t="e">
            <v>#N/A</v>
          </cell>
          <cell r="AD822">
            <v>735</v>
          </cell>
          <cell r="AE822" t="e">
            <v>#N/A</v>
          </cell>
          <cell r="AF822"/>
        </row>
        <row r="823">
          <cell r="Y823">
            <v>807</v>
          </cell>
          <cell r="Z823">
            <v>0.65551273338496685</v>
          </cell>
          <cell r="AA823">
            <v>6.765410639636274E-2</v>
          </cell>
          <cell r="AB823"/>
          <cell r="AC823" t="e">
            <v>#N/A</v>
          </cell>
          <cell r="AD823">
            <v>736</v>
          </cell>
          <cell r="AE823" t="e">
            <v>#N/A</v>
          </cell>
          <cell r="AF823"/>
        </row>
        <row r="824">
          <cell r="Y824">
            <v>808</v>
          </cell>
          <cell r="Z824">
            <v>0.85551520250737667</v>
          </cell>
          <cell r="AA824">
            <v>0.17923773742266716</v>
          </cell>
          <cell r="AB824"/>
          <cell r="AC824" t="e">
            <v>#N/A</v>
          </cell>
          <cell r="AD824">
            <v>737</v>
          </cell>
          <cell r="AE824" t="e">
            <v>#N/A</v>
          </cell>
          <cell r="AF824"/>
        </row>
        <row r="825">
          <cell r="Y825">
            <v>809</v>
          </cell>
          <cell r="Z825">
            <v>0.14677139930427074</v>
          </cell>
          <cell r="AA825">
            <v>-0.17754686007865383</v>
          </cell>
          <cell r="AB825"/>
          <cell r="AC825" t="e">
            <v>#N/A</v>
          </cell>
          <cell r="AD825">
            <v>738</v>
          </cell>
          <cell r="AE825" t="e">
            <v>#N/A</v>
          </cell>
          <cell r="AF825"/>
        </row>
        <row r="826">
          <cell r="Y826">
            <v>810</v>
          </cell>
          <cell r="Z826">
            <v>0.90107089839875698</v>
          </cell>
          <cell r="AA826">
            <v>0.21765724579221821</v>
          </cell>
          <cell r="AB826"/>
          <cell r="AC826" t="e">
            <v>#N/A</v>
          </cell>
          <cell r="AD826">
            <v>739</v>
          </cell>
          <cell r="AE826" t="e">
            <v>#N/A</v>
          </cell>
          <cell r="AF826"/>
        </row>
        <row r="827">
          <cell r="Y827">
            <v>811</v>
          </cell>
          <cell r="Z827">
            <v>0.69790924899280071</v>
          </cell>
          <cell r="AA827">
            <v>8.7625038878418493E-2</v>
          </cell>
          <cell r="AB827"/>
          <cell r="AC827" t="e">
            <v>#N/A</v>
          </cell>
          <cell r="AD827">
            <v>740</v>
          </cell>
          <cell r="AE827" t="e">
            <v>#N/A</v>
          </cell>
          <cell r="AF827"/>
        </row>
        <row r="828">
          <cell r="Y828">
            <v>812</v>
          </cell>
          <cell r="Z828">
            <v>0.56274824403226376</v>
          </cell>
          <cell r="AA828">
            <v>2.6696854061123598E-2</v>
          </cell>
          <cell r="AB828"/>
          <cell r="AC828" t="e">
            <v>#N/A</v>
          </cell>
          <cell r="AD828">
            <v>741</v>
          </cell>
          <cell r="AE828" t="e">
            <v>#N/A</v>
          </cell>
          <cell r="AF828"/>
        </row>
        <row r="829">
          <cell r="Y829">
            <v>813</v>
          </cell>
          <cell r="Z829">
            <v>0.75604980997741222</v>
          </cell>
          <cell r="AA829">
            <v>0.11724861334856147</v>
          </cell>
          <cell r="AB829"/>
          <cell r="AC829" t="e">
            <v>#N/A</v>
          </cell>
          <cell r="AD829">
            <v>742</v>
          </cell>
          <cell r="AE829" t="e">
            <v>#N/A</v>
          </cell>
          <cell r="AF829"/>
        </row>
        <row r="830">
          <cell r="Y830">
            <v>814</v>
          </cell>
          <cell r="Z830">
            <v>0.92842165194451809</v>
          </cell>
          <cell r="AA830">
            <v>0.24748421374078361</v>
          </cell>
          <cell r="AB830"/>
          <cell r="AC830" t="e">
            <v>#N/A</v>
          </cell>
          <cell r="AD830">
            <v>743</v>
          </cell>
          <cell r="AE830" t="e">
            <v>#N/A</v>
          </cell>
          <cell r="AF830"/>
        </row>
        <row r="831">
          <cell r="Y831">
            <v>815</v>
          </cell>
          <cell r="Z831">
            <v>0.5889266561716795</v>
          </cell>
          <cell r="AA831">
            <v>3.799556682427753E-2</v>
          </cell>
          <cell r="AB831"/>
          <cell r="AC831" t="e">
            <v>#N/A</v>
          </cell>
          <cell r="AD831">
            <v>744</v>
          </cell>
          <cell r="AE831" t="e">
            <v>#N/A</v>
          </cell>
          <cell r="AF831"/>
        </row>
        <row r="832">
          <cell r="Y832">
            <v>816</v>
          </cell>
          <cell r="Z832">
            <v>0.21776332519948483</v>
          </cell>
          <cell r="AA832">
            <v>-0.13180507674162023</v>
          </cell>
          <cell r="AB832"/>
          <cell r="AC832" t="e">
            <v>#N/A</v>
          </cell>
          <cell r="AD832">
            <v>745</v>
          </cell>
          <cell r="AE832" t="e">
            <v>#N/A</v>
          </cell>
          <cell r="AF832"/>
        </row>
        <row r="833">
          <cell r="Y833">
            <v>817</v>
          </cell>
          <cell r="Z833">
            <v>8.29180758446455E-2</v>
          </cell>
          <cell r="AA833">
            <v>-0.23422736515860826</v>
          </cell>
          <cell r="AB833"/>
          <cell r="AC833" t="e">
            <v>#N/A</v>
          </cell>
          <cell r="AD833">
            <v>746</v>
          </cell>
          <cell r="AE833" t="e">
            <v>#N/A</v>
          </cell>
          <cell r="AF833"/>
        </row>
        <row r="834">
          <cell r="Y834">
            <v>818</v>
          </cell>
          <cell r="Z834">
            <v>0.83638144098222256</v>
          </cell>
          <cell r="AA834">
            <v>0.16559853468086211</v>
          </cell>
          <cell r="AB834"/>
          <cell r="AC834" t="e">
            <v>#N/A</v>
          </cell>
          <cell r="AD834">
            <v>747</v>
          </cell>
          <cell r="AE834" t="e">
            <v>#N/A</v>
          </cell>
          <cell r="AF834"/>
        </row>
        <row r="835">
          <cell r="Y835">
            <v>819</v>
          </cell>
          <cell r="Z835">
            <v>0.28278095833957195</v>
          </cell>
          <cell r="AA835">
            <v>-9.7125110808321591E-2</v>
          </cell>
          <cell r="AB835"/>
          <cell r="AC835" t="e">
            <v>#N/A</v>
          </cell>
          <cell r="AD835">
            <v>748</v>
          </cell>
          <cell r="AE835" t="e">
            <v>#N/A</v>
          </cell>
          <cell r="AF835"/>
        </row>
        <row r="836">
          <cell r="Y836">
            <v>820</v>
          </cell>
          <cell r="Z836">
            <v>0.25954817794263363</v>
          </cell>
          <cell r="AA836">
            <v>-0.10898077720008548</v>
          </cell>
          <cell r="AB836"/>
          <cell r="AC836" t="e">
            <v>#N/A</v>
          </cell>
          <cell r="AD836">
            <v>749</v>
          </cell>
          <cell r="AE836" t="e">
            <v>#N/A</v>
          </cell>
          <cell r="AF836"/>
        </row>
        <row r="837">
          <cell r="Y837">
            <v>821</v>
          </cell>
          <cell r="Z837">
            <v>0.15355264954268932</v>
          </cell>
          <cell r="AA837">
            <v>-0.17263371600864369</v>
          </cell>
          <cell r="AB837"/>
          <cell r="AC837" t="e">
            <v>#N/A</v>
          </cell>
          <cell r="AD837">
            <v>750</v>
          </cell>
          <cell r="AE837" t="e">
            <v>#N/A</v>
          </cell>
          <cell r="AF837"/>
        </row>
        <row r="838">
          <cell r="Y838">
            <v>822</v>
          </cell>
          <cell r="Z838">
            <v>0.49161133728921413</v>
          </cell>
          <cell r="AA838">
            <v>-3.5545174619774386E-3</v>
          </cell>
          <cell r="AB838"/>
          <cell r="AC838" t="e">
            <v>#N/A</v>
          </cell>
          <cell r="AD838">
            <v>751</v>
          </cell>
          <cell r="AE838" t="e">
            <v>#N/A</v>
          </cell>
          <cell r="AF838"/>
        </row>
        <row r="839">
          <cell r="Y839">
            <v>823</v>
          </cell>
          <cell r="Z839">
            <v>0.76383952610194683</v>
          </cell>
          <cell r="AA839">
            <v>0.1214837988500642</v>
          </cell>
          <cell r="AB839"/>
          <cell r="AC839" t="e">
            <v>#N/A</v>
          </cell>
          <cell r="AD839">
            <v>752</v>
          </cell>
          <cell r="AE839" t="e">
            <v>#N/A</v>
          </cell>
          <cell r="AF839"/>
        </row>
        <row r="840">
          <cell r="Y840">
            <v>824</v>
          </cell>
          <cell r="Z840">
            <v>0.19093330763280392</v>
          </cell>
          <cell r="AA840">
            <v>-0.147811084085748</v>
          </cell>
          <cell r="AB840"/>
          <cell r="AC840" t="e">
            <v>#N/A</v>
          </cell>
          <cell r="AD840">
            <v>753</v>
          </cell>
          <cell r="AE840" t="e">
            <v>#N/A</v>
          </cell>
          <cell r="AF840"/>
        </row>
        <row r="841">
          <cell r="Y841">
            <v>825</v>
          </cell>
          <cell r="Z841">
            <v>0.55846103839576244</v>
          </cell>
          <cell r="AA841">
            <v>2.4859120048511516E-2</v>
          </cell>
          <cell r="AB841"/>
          <cell r="AC841" t="e">
            <v>#N/A</v>
          </cell>
          <cell r="AD841">
            <v>754</v>
          </cell>
          <cell r="AE841" t="e">
            <v>#N/A</v>
          </cell>
          <cell r="AF841"/>
        </row>
        <row r="842">
          <cell r="Y842">
            <v>826</v>
          </cell>
          <cell r="Z842">
            <v>0.64395112358033657</v>
          </cell>
          <cell r="AA842">
            <v>6.2379180899124927E-2</v>
          </cell>
          <cell r="AB842"/>
          <cell r="AC842" t="e">
            <v>#N/A</v>
          </cell>
          <cell r="AD842">
            <v>755</v>
          </cell>
          <cell r="AE842" t="e">
            <v>#N/A</v>
          </cell>
          <cell r="AF842"/>
        </row>
        <row r="843">
          <cell r="Y843">
            <v>827</v>
          </cell>
          <cell r="Z843">
            <v>0.60716797225177288</v>
          </cell>
          <cell r="AA843">
            <v>4.5967150625602637E-2</v>
          </cell>
          <cell r="AB843"/>
          <cell r="AC843" t="e">
            <v>#N/A</v>
          </cell>
          <cell r="AD843">
            <v>756</v>
          </cell>
          <cell r="AE843" t="e">
            <v>#N/A</v>
          </cell>
          <cell r="AF843"/>
        </row>
        <row r="844">
          <cell r="Y844">
            <v>828</v>
          </cell>
          <cell r="Z844">
            <v>0.61570136807858944</v>
          </cell>
          <cell r="AA844">
            <v>4.9730605569284728E-2</v>
          </cell>
          <cell r="AB844"/>
          <cell r="AC844" t="e">
            <v>#N/A</v>
          </cell>
          <cell r="AD844">
            <v>757</v>
          </cell>
          <cell r="AE844" t="e">
            <v>#N/A</v>
          </cell>
          <cell r="AF844"/>
        </row>
        <row r="845">
          <cell r="Y845">
            <v>829</v>
          </cell>
          <cell r="Z845">
            <v>0.68490367941558361</v>
          </cell>
          <cell r="AA845">
            <v>8.1380870558063256E-2</v>
          </cell>
          <cell r="AB845"/>
          <cell r="AC845" t="e">
            <v>#N/A</v>
          </cell>
          <cell r="AD845">
            <v>758</v>
          </cell>
          <cell r="AE845" t="e">
            <v>#N/A</v>
          </cell>
          <cell r="AF845"/>
        </row>
        <row r="846">
          <cell r="Y846">
            <v>830</v>
          </cell>
          <cell r="Z846">
            <v>0.69790366850793362</v>
          </cell>
          <cell r="AA846">
            <v>8.7622334414794931E-2</v>
          </cell>
          <cell r="AB846"/>
          <cell r="AC846" t="e">
            <v>#N/A</v>
          </cell>
          <cell r="AD846">
            <v>759</v>
          </cell>
          <cell r="AE846" t="e">
            <v>#N/A</v>
          </cell>
          <cell r="AF846"/>
        </row>
        <row r="847">
          <cell r="Y847">
            <v>831</v>
          </cell>
          <cell r="Z847">
            <v>0.75782702676951885</v>
          </cell>
          <cell r="AA847">
            <v>0.11820831154269285</v>
          </cell>
          <cell r="AB847"/>
          <cell r="AC847" t="e">
            <v>#N/A</v>
          </cell>
          <cell r="AD847">
            <v>760</v>
          </cell>
          <cell r="AE847" t="e">
            <v>#N/A</v>
          </cell>
          <cell r="AF847"/>
        </row>
        <row r="848">
          <cell r="Y848">
            <v>832</v>
          </cell>
          <cell r="Z848">
            <v>0.11944653652608395</v>
          </cell>
          <cell r="AA848">
            <v>-0.19907744708023281</v>
          </cell>
          <cell r="AB848"/>
          <cell r="AC848" t="e">
            <v>#N/A</v>
          </cell>
          <cell r="AD848">
            <v>761</v>
          </cell>
          <cell r="AE848" t="e">
            <v>#N/A</v>
          </cell>
          <cell r="AF848"/>
        </row>
        <row r="849">
          <cell r="Y849">
            <v>833</v>
          </cell>
          <cell r="Z849">
            <v>0.91806581430137157</v>
          </cell>
          <cell r="AA849">
            <v>0.23532110550299778</v>
          </cell>
          <cell r="AB849"/>
          <cell r="AC849" t="e">
            <v>#N/A</v>
          </cell>
          <cell r="AD849">
            <v>762</v>
          </cell>
          <cell r="AE849" t="e">
            <v>#N/A</v>
          </cell>
          <cell r="AF849"/>
        </row>
        <row r="850">
          <cell r="Y850">
            <v>834</v>
          </cell>
          <cell r="Z850">
            <v>7.7869301661849022E-2</v>
          </cell>
          <cell r="AA850">
            <v>-0.23994781832852563</v>
          </cell>
          <cell r="AB850"/>
          <cell r="AC850" t="e">
            <v>#N/A</v>
          </cell>
          <cell r="AD850">
            <v>763</v>
          </cell>
          <cell r="AE850" t="e">
            <v>#N/A</v>
          </cell>
          <cell r="AF850"/>
        </row>
        <row r="851">
          <cell r="Y851">
            <v>835</v>
          </cell>
          <cell r="Z851">
            <v>2.8919411823153496E-2</v>
          </cell>
          <cell r="AA851">
            <v>-0.32063758399689768</v>
          </cell>
          <cell r="AB851"/>
          <cell r="AC851" t="e">
            <v>#N/A</v>
          </cell>
          <cell r="AD851">
            <v>764</v>
          </cell>
          <cell r="AE851" t="e">
            <v>#N/A</v>
          </cell>
          <cell r="AF851"/>
        </row>
        <row r="852">
          <cell r="Y852">
            <v>836</v>
          </cell>
          <cell r="Z852">
            <v>0.49418388865888119</v>
          </cell>
          <cell r="AA852">
            <v>-2.4643591948055334E-3</v>
          </cell>
          <cell r="AB852"/>
          <cell r="AC852" t="e">
            <v>#N/A</v>
          </cell>
          <cell r="AD852">
            <v>765</v>
          </cell>
          <cell r="AE852" t="e">
            <v>#N/A</v>
          </cell>
          <cell r="AF852"/>
        </row>
        <row r="853">
          <cell r="Y853">
            <v>837</v>
          </cell>
          <cell r="Z853">
            <v>0.31097936443984509</v>
          </cell>
          <cell r="AA853">
            <v>-8.3345093952970781E-2</v>
          </cell>
          <cell r="AB853"/>
          <cell r="AC853" t="e">
            <v>#N/A</v>
          </cell>
          <cell r="AD853">
            <v>766</v>
          </cell>
          <cell r="AE853" t="e">
            <v>#N/A</v>
          </cell>
          <cell r="AF853"/>
        </row>
        <row r="854">
          <cell r="Y854">
            <v>838</v>
          </cell>
          <cell r="Z854">
            <v>0.68713018856942654</v>
          </cell>
          <cell r="AA854">
            <v>8.2441769217811448E-2</v>
          </cell>
          <cell r="AB854"/>
          <cell r="AC854" t="e">
            <v>#N/A</v>
          </cell>
          <cell r="AD854">
            <v>767</v>
          </cell>
          <cell r="AE854" t="e">
            <v>#N/A</v>
          </cell>
          <cell r="AF854"/>
        </row>
        <row r="855">
          <cell r="Y855">
            <v>839</v>
          </cell>
          <cell r="Z855">
            <v>0.81838671676814556</v>
          </cell>
          <cell r="AA855">
            <v>0.15368861408503676</v>
          </cell>
          <cell r="AB855"/>
          <cell r="AC855" t="e">
            <v>#N/A</v>
          </cell>
          <cell r="AD855">
            <v>768</v>
          </cell>
          <cell r="AE855" t="e">
            <v>#N/A</v>
          </cell>
          <cell r="AF855"/>
        </row>
        <row r="856">
          <cell r="Y856">
            <v>840</v>
          </cell>
          <cell r="Z856">
            <v>0.80670877359807491</v>
          </cell>
          <cell r="AA856">
            <v>0.14635227200836837</v>
          </cell>
          <cell r="AB856"/>
          <cell r="AC856" t="e">
            <v>#N/A</v>
          </cell>
          <cell r="AD856">
            <v>769</v>
          </cell>
          <cell r="AE856" t="e">
            <v>#N/A</v>
          </cell>
          <cell r="AF856"/>
        </row>
        <row r="857">
          <cell r="Y857">
            <v>841</v>
          </cell>
          <cell r="Z857">
            <v>0.22319480590522289</v>
          </cell>
          <cell r="AA857">
            <v>-0.12870817931582554</v>
          </cell>
          <cell r="AB857"/>
          <cell r="AC857" t="e">
            <v>#N/A</v>
          </cell>
          <cell r="AD857">
            <v>770</v>
          </cell>
          <cell r="AE857" t="e">
            <v>#N/A</v>
          </cell>
          <cell r="AF857"/>
        </row>
        <row r="858">
          <cell r="Y858">
            <v>842</v>
          </cell>
          <cell r="Z858">
            <v>0.96058470569550991</v>
          </cell>
          <cell r="AA858">
            <v>0.29707373864598935</v>
          </cell>
          <cell r="AB858"/>
          <cell r="AC858" t="e">
            <v>#N/A</v>
          </cell>
          <cell r="AD858">
            <v>771</v>
          </cell>
          <cell r="AE858" t="e">
            <v>#N/A</v>
          </cell>
          <cell r="AF858"/>
        </row>
        <row r="859">
          <cell r="Y859">
            <v>843</v>
          </cell>
          <cell r="Z859">
            <v>0.5445562731474638</v>
          </cell>
          <cell r="AA859">
            <v>1.8917801694295761E-2</v>
          </cell>
          <cell r="AB859"/>
          <cell r="AC859" t="e">
            <v>#N/A</v>
          </cell>
          <cell r="AD859">
            <v>772</v>
          </cell>
          <cell r="AE859" t="e">
            <v>#N/A</v>
          </cell>
          <cell r="AF859"/>
        </row>
        <row r="860">
          <cell r="Y860">
            <v>844</v>
          </cell>
          <cell r="Z860">
            <v>0.81070618890225887</v>
          </cell>
          <cell r="AA860">
            <v>0.14883193988767107</v>
          </cell>
          <cell r="AB860"/>
          <cell r="AC860" t="e">
            <v>#N/A</v>
          </cell>
          <cell r="AD860">
            <v>773</v>
          </cell>
          <cell r="AE860" t="e">
            <v>#N/A</v>
          </cell>
          <cell r="AF860"/>
        </row>
        <row r="861">
          <cell r="Y861">
            <v>845</v>
          </cell>
          <cell r="Z861">
            <v>0.42820304445922375</v>
          </cell>
          <cell r="AA861">
            <v>-3.0586290399535004E-2</v>
          </cell>
          <cell r="AB861"/>
          <cell r="AC861" t="e">
            <v>#N/A</v>
          </cell>
          <cell r="AD861">
            <v>774</v>
          </cell>
          <cell r="AE861" t="e">
            <v>#N/A</v>
          </cell>
          <cell r="AF861"/>
        </row>
        <row r="862">
          <cell r="Y862">
            <v>846</v>
          </cell>
          <cell r="Z862">
            <v>1.1231815442442894E-2</v>
          </cell>
          <cell r="AA862">
            <v>-0.38580204506999732</v>
          </cell>
          <cell r="AB862"/>
          <cell r="AC862" t="e">
            <v>#N/A</v>
          </cell>
          <cell r="AD862">
            <v>775</v>
          </cell>
          <cell r="AE862" t="e">
            <v>#N/A</v>
          </cell>
          <cell r="AF862"/>
        </row>
        <row r="863">
          <cell r="Y863">
            <v>847</v>
          </cell>
          <cell r="Z863">
            <v>0.30043802969157696</v>
          </cell>
          <cell r="AA863">
            <v>-8.8426986910660893E-2</v>
          </cell>
          <cell r="AB863"/>
          <cell r="AC863" t="e">
            <v>#N/A</v>
          </cell>
          <cell r="AD863">
            <v>776</v>
          </cell>
          <cell r="AE863" t="e">
            <v>#N/A</v>
          </cell>
          <cell r="AF863"/>
        </row>
        <row r="864">
          <cell r="Y864">
            <v>848</v>
          </cell>
          <cell r="Z864">
            <v>0.20261015556752682</v>
          </cell>
          <cell r="AA864">
            <v>-0.14069016420391911</v>
          </cell>
          <cell r="AB864"/>
          <cell r="AC864" t="e">
            <v>#N/A</v>
          </cell>
          <cell r="AD864">
            <v>777</v>
          </cell>
          <cell r="AE864" t="e">
            <v>#N/A</v>
          </cell>
          <cell r="AF864"/>
        </row>
        <row r="865">
          <cell r="Y865">
            <v>849</v>
          </cell>
          <cell r="Z865">
            <v>0.1896072905510664</v>
          </cell>
          <cell r="AA865">
            <v>-0.14863632838170213</v>
          </cell>
          <cell r="AB865"/>
          <cell r="AC865" t="e">
            <v>#N/A</v>
          </cell>
          <cell r="AD865">
            <v>778</v>
          </cell>
          <cell r="AE865" t="e">
            <v>#N/A</v>
          </cell>
          <cell r="AF865"/>
        </row>
        <row r="866">
          <cell r="Y866">
            <v>850</v>
          </cell>
          <cell r="Z866">
            <v>0.37040544115006924</v>
          </cell>
          <cell r="AA866">
            <v>-5.5911977140401262E-2</v>
          </cell>
          <cell r="AB866"/>
          <cell r="AC866" t="e">
            <v>#N/A</v>
          </cell>
          <cell r="AD866">
            <v>779</v>
          </cell>
          <cell r="AE866" t="e">
            <v>#N/A</v>
          </cell>
          <cell r="AF866"/>
        </row>
        <row r="867">
          <cell r="Y867">
            <v>851</v>
          </cell>
          <cell r="Z867">
            <v>0.22677142731845379</v>
          </cell>
          <cell r="AA867">
            <v>-0.1266922822940893</v>
          </cell>
          <cell r="AB867"/>
          <cell r="AC867" t="e">
            <v>#N/A</v>
          </cell>
          <cell r="AD867">
            <v>780</v>
          </cell>
          <cell r="AE867" t="e">
            <v>#N/A</v>
          </cell>
          <cell r="AF867"/>
        </row>
        <row r="868">
          <cell r="Y868">
            <v>852</v>
          </cell>
          <cell r="Z868">
            <v>0.2212130930274725</v>
          </cell>
          <cell r="AA868">
            <v>-0.12983304927155992</v>
          </cell>
          <cell r="AB868"/>
          <cell r="AC868" t="e">
            <v>#N/A</v>
          </cell>
          <cell r="AD868">
            <v>781</v>
          </cell>
          <cell r="AE868" t="e">
            <v>#N/A</v>
          </cell>
          <cell r="AF868"/>
        </row>
        <row r="869">
          <cell r="Y869">
            <v>853</v>
          </cell>
          <cell r="Z869">
            <v>0.8060449343174696</v>
          </cell>
          <cell r="AA869">
            <v>0.14594352729564991</v>
          </cell>
          <cell r="AB869"/>
          <cell r="AC869" t="e">
            <v>#N/A</v>
          </cell>
          <cell r="AD869">
            <v>782</v>
          </cell>
          <cell r="AE869" t="e">
            <v>#N/A</v>
          </cell>
          <cell r="AF869"/>
        </row>
        <row r="870">
          <cell r="Y870">
            <v>854</v>
          </cell>
          <cell r="Z870">
            <v>0.82175884209573269</v>
          </cell>
          <cell r="AA870">
            <v>0.15586143594241941</v>
          </cell>
          <cell r="AB870"/>
          <cell r="AC870" t="e">
            <v>#N/A</v>
          </cell>
          <cell r="AD870">
            <v>783</v>
          </cell>
          <cell r="AE870" t="e">
            <v>#N/A</v>
          </cell>
          <cell r="AF870"/>
        </row>
        <row r="871">
          <cell r="Y871">
            <v>855</v>
          </cell>
          <cell r="Z871">
            <v>0.10382227413356304</v>
          </cell>
          <cell r="AA871">
            <v>-0.21299049962994782</v>
          </cell>
          <cell r="AB871"/>
          <cell r="AC871" t="e">
            <v>#N/A</v>
          </cell>
          <cell r="AD871">
            <v>784</v>
          </cell>
          <cell r="AE871" t="e">
            <v>#N/A</v>
          </cell>
          <cell r="AF871"/>
        </row>
        <row r="872">
          <cell r="Y872">
            <v>856</v>
          </cell>
          <cell r="Z872">
            <v>9.1025194153189659E-2</v>
          </cell>
          <cell r="AA872">
            <v>-0.22556633338620105</v>
          </cell>
          <cell r="AB872"/>
          <cell r="AC872" t="e">
            <v>#N/A</v>
          </cell>
          <cell r="AD872">
            <v>785</v>
          </cell>
          <cell r="AE872" t="e">
            <v>#N/A</v>
          </cell>
          <cell r="AF872"/>
        </row>
        <row r="873">
          <cell r="Y873">
            <v>857</v>
          </cell>
          <cell r="Z873">
            <v>0.12485942058265209</v>
          </cell>
          <cell r="AA873">
            <v>-0.19456001286822799</v>
          </cell>
          <cell r="AB873"/>
          <cell r="AC873" t="e">
            <v>#N/A</v>
          </cell>
          <cell r="AD873">
            <v>786</v>
          </cell>
          <cell r="AE873" t="e">
            <v>#N/A</v>
          </cell>
          <cell r="AF873"/>
        </row>
        <row r="874">
          <cell r="Y874">
            <v>858</v>
          </cell>
          <cell r="Z874">
            <v>0.828998988494277</v>
          </cell>
          <cell r="AA874">
            <v>0.16061598121899312</v>
          </cell>
          <cell r="AB874"/>
          <cell r="AC874" t="e">
            <v>#N/A</v>
          </cell>
          <cell r="AD874">
            <v>787</v>
          </cell>
          <cell r="AE874" t="e">
            <v>#N/A</v>
          </cell>
          <cell r="AF874"/>
        </row>
        <row r="875">
          <cell r="Y875">
            <v>859</v>
          </cell>
          <cell r="Z875">
            <v>0.66192962042987347</v>
          </cell>
          <cell r="AA875">
            <v>7.0610130334868612E-2</v>
          </cell>
          <cell r="AB875"/>
          <cell r="AC875" t="e">
            <v>#N/A</v>
          </cell>
          <cell r="AD875">
            <v>788</v>
          </cell>
          <cell r="AE875" t="e">
            <v>#N/A</v>
          </cell>
          <cell r="AF875"/>
        </row>
        <row r="876">
          <cell r="Y876">
            <v>860</v>
          </cell>
          <cell r="Z876">
            <v>0.80938380025327206</v>
          </cell>
          <cell r="AA876">
            <v>0.14800811456501178</v>
          </cell>
          <cell r="AB876"/>
          <cell r="AC876" t="e">
            <v>#N/A</v>
          </cell>
          <cell r="AD876">
            <v>789</v>
          </cell>
          <cell r="AE876" t="e">
            <v>#N/A</v>
          </cell>
          <cell r="AF876"/>
        </row>
        <row r="877">
          <cell r="Y877">
            <v>861</v>
          </cell>
          <cell r="Z877">
            <v>0.52452212385833263</v>
          </cell>
          <cell r="AA877">
            <v>1.0396514218101253E-2</v>
          </cell>
          <cell r="AB877"/>
          <cell r="AC877" t="e">
            <v>#N/A</v>
          </cell>
          <cell r="AD877">
            <v>790</v>
          </cell>
          <cell r="AE877" t="e">
            <v>#N/A</v>
          </cell>
          <cell r="AF877"/>
        </row>
        <row r="878">
          <cell r="Y878">
            <v>862</v>
          </cell>
          <cell r="Z878">
            <v>5.7370936498045921E-2</v>
          </cell>
          <cell r="AA878">
            <v>-0.26660107244063264</v>
          </cell>
          <cell r="AB878"/>
          <cell r="AC878" t="e">
            <v>#N/A</v>
          </cell>
          <cell r="AD878">
            <v>791</v>
          </cell>
          <cell r="AE878" t="e">
            <v>#N/A</v>
          </cell>
          <cell r="AF878"/>
        </row>
        <row r="879">
          <cell r="Y879">
            <v>863</v>
          </cell>
          <cell r="Z879">
            <v>0.11080263368785381</v>
          </cell>
          <cell r="AA879">
            <v>-0.20660146015781186</v>
          </cell>
          <cell r="AB879"/>
          <cell r="AC879" t="e">
            <v>#N/A</v>
          </cell>
          <cell r="AD879">
            <v>792</v>
          </cell>
          <cell r="AE879" t="e">
            <v>#N/A</v>
          </cell>
          <cell r="AF879"/>
        </row>
        <row r="880">
          <cell r="Y880">
            <v>864</v>
          </cell>
          <cell r="Z880">
            <v>0.77731277607381344</v>
          </cell>
          <cell r="AA880">
            <v>0.12899575103644978</v>
          </cell>
          <cell r="AB880"/>
          <cell r="AC880" t="e">
            <v>#N/A</v>
          </cell>
          <cell r="AD880">
            <v>793</v>
          </cell>
          <cell r="AE880" t="e">
            <v>#N/A</v>
          </cell>
          <cell r="AF880"/>
        </row>
        <row r="881">
          <cell r="Y881">
            <v>865</v>
          </cell>
          <cell r="Z881">
            <v>0.86580422334372997</v>
          </cell>
          <cell r="AA881">
            <v>0.18707898961402711</v>
          </cell>
          <cell r="AB881"/>
          <cell r="AC881" t="e">
            <v>#N/A</v>
          </cell>
          <cell r="AD881">
            <v>794</v>
          </cell>
          <cell r="AE881" t="e">
            <v>#N/A</v>
          </cell>
          <cell r="AF881"/>
        </row>
        <row r="882">
          <cell r="Y882">
            <v>866</v>
          </cell>
          <cell r="Z882">
            <v>0.4888922031968832</v>
          </cell>
          <cell r="AA882">
            <v>-4.7069541056930881E-3</v>
          </cell>
          <cell r="AB882"/>
          <cell r="AC882" t="e">
            <v>#N/A</v>
          </cell>
          <cell r="AD882">
            <v>795</v>
          </cell>
          <cell r="AE882" t="e">
            <v>#N/A</v>
          </cell>
          <cell r="AF882"/>
        </row>
        <row r="883">
          <cell r="Y883">
            <v>867</v>
          </cell>
          <cell r="Z883">
            <v>0.38756747357547283</v>
          </cell>
          <cell r="AA883">
            <v>-4.8286146588704913E-2</v>
          </cell>
          <cell r="AB883"/>
          <cell r="AC883" t="e">
            <v>#N/A</v>
          </cell>
          <cell r="AD883">
            <v>796</v>
          </cell>
          <cell r="AE883" t="e">
            <v>#N/A</v>
          </cell>
          <cell r="AF883"/>
        </row>
        <row r="884">
          <cell r="Y884">
            <v>868</v>
          </cell>
          <cell r="Z884">
            <v>0.77413188479840755</v>
          </cell>
          <cell r="AA884">
            <v>0.12719970799785851</v>
          </cell>
          <cell r="AB884"/>
          <cell r="AC884" t="e">
            <v>#N/A</v>
          </cell>
          <cell r="AD884">
            <v>797</v>
          </cell>
          <cell r="AE884" t="e">
            <v>#N/A</v>
          </cell>
          <cell r="AF884"/>
        </row>
        <row r="885">
          <cell r="Y885">
            <v>869</v>
          </cell>
          <cell r="Z885">
            <v>0.91169857792556286</v>
          </cell>
          <cell r="AA885">
            <v>0.22840954546548919</v>
          </cell>
          <cell r="AB885"/>
          <cell r="AC885" t="e">
            <v>#N/A</v>
          </cell>
          <cell r="AD885">
            <v>798</v>
          </cell>
          <cell r="AE885" t="e">
            <v>#N/A</v>
          </cell>
          <cell r="AF885"/>
        </row>
        <row r="886">
          <cell r="Y886">
            <v>870</v>
          </cell>
          <cell r="Z886">
            <v>0.63133714161813259</v>
          </cell>
          <cell r="AA886">
            <v>5.6692421025860751E-2</v>
          </cell>
          <cell r="AB886"/>
          <cell r="AC886" t="e">
            <v>#N/A</v>
          </cell>
          <cell r="AD886">
            <v>799</v>
          </cell>
          <cell r="AE886" t="e">
            <v>#N/A</v>
          </cell>
          <cell r="AF886"/>
        </row>
        <row r="887">
          <cell r="Y887">
            <v>871</v>
          </cell>
          <cell r="Z887">
            <v>0.62356416694819927</v>
          </cell>
          <cell r="AA887">
            <v>5.3220227221272683E-2</v>
          </cell>
          <cell r="AB887"/>
          <cell r="AC887" t="e">
            <v>#N/A</v>
          </cell>
          <cell r="AD887">
            <v>800</v>
          </cell>
          <cell r="AE887" t="e">
            <v>#N/A</v>
          </cell>
          <cell r="AF887"/>
        </row>
        <row r="888">
          <cell r="Y888">
            <v>872</v>
          </cell>
          <cell r="Z888">
            <v>0.77581616304814816</v>
          </cell>
          <cell r="AA888">
            <v>0.12814890867411449</v>
          </cell>
          <cell r="AB888"/>
          <cell r="AC888" t="e">
            <v>#N/A</v>
          </cell>
          <cell r="AD888">
            <v>801</v>
          </cell>
          <cell r="AE888" t="e">
            <v>#N/A</v>
          </cell>
          <cell r="AF888"/>
        </row>
        <row r="889">
          <cell r="Y889">
            <v>873</v>
          </cell>
          <cell r="Z889">
            <v>0.71609160117805004</v>
          </cell>
          <cell r="AA889">
            <v>9.6562213474310418E-2</v>
          </cell>
          <cell r="AB889"/>
          <cell r="AC889" t="e">
            <v>#N/A</v>
          </cell>
          <cell r="AD889">
            <v>802</v>
          </cell>
          <cell r="AE889" t="e">
            <v>#N/A</v>
          </cell>
          <cell r="AF889"/>
        </row>
        <row r="890">
          <cell r="Y890">
            <v>874</v>
          </cell>
          <cell r="Z890">
            <v>0.32097131572663784</v>
          </cell>
          <cell r="AA890">
            <v>-7.8596708028277104E-2</v>
          </cell>
          <cell r="AB890"/>
          <cell r="AC890" t="e">
            <v>#N/A</v>
          </cell>
          <cell r="AD890">
            <v>803</v>
          </cell>
          <cell r="AE890" t="e">
            <v>#N/A</v>
          </cell>
          <cell r="AF890"/>
        </row>
        <row r="891">
          <cell r="Y891">
            <v>875</v>
          </cell>
          <cell r="Z891">
            <v>0.32989348284900188</v>
          </cell>
          <cell r="AA891">
            <v>-7.4408616226816743E-2</v>
          </cell>
          <cell r="AB891"/>
          <cell r="AC891" t="e">
            <v>#N/A</v>
          </cell>
          <cell r="AD891">
            <v>804</v>
          </cell>
          <cell r="AE891" t="e">
            <v>#N/A</v>
          </cell>
          <cell r="AF891"/>
        </row>
        <row r="892">
          <cell r="Y892">
            <v>876</v>
          </cell>
          <cell r="Z892">
            <v>0.11710529588162899</v>
          </cell>
          <cell r="AA892">
            <v>-0.20107611459085686</v>
          </cell>
          <cell r="AB892"/>
          <cell r="AC892" t="e">
            <v>#N/A</v>
          </cell>
          <cell r="AD892">
            <v>805</v>
          </cell>
          <cell r="AE892" t="e">
            <v>#N/A</v>
          </cell>
          <cell r="AF892"/>
        </row>
        <row r="893">
          <cell r="Y893">
            <v>877</v>
          </cell>
          <cell r="Z893">
            <v>0.48118513636291027</v>
          </cell>
          <cell r="AA893">
            <v>-7.9747683877821971E-3</v>
          </cell>
          <cell r="AB893"/>
          <cell r="AC893" t="e">
            <v>#N/A</v>
          </cell>
          <cell r="AD893">
            <v>806</v>
          </cell>
          <cell r="AE893" t="e">
            <v>#N/A</v>
          </cell>
          <cell r="AF893"/>
        </row>
        <row r="894">
          <cell r="Y894">
            <v>878</v>
          </cell>
          <cell r="Z894">
            <v>0.6190358754247427</v>
          </cell>
          <cell r="AA894">
            <v>5.120783353358057E-2</v>
          </cell>
          <cell r="AB894"/>
          <cell r="AC894" t="e">
            <v>#N/A</v>
          </cell>
          <cell r="AD894">
            <v>807</v>
          </cell>
          <cell r="AE894" t="e">
            <v>#N/A</v>
          </cell>
          <cell r="AF894"/>
        </row>
        <row r="895">
          <cell r="Y895">
            <v>879</v>
          </cell>
          <cell r="Z895">
            <v>0.80171380750834942</v>
          </cell>
          <cell r="AA895">
            <v>0.14329736929682324</v>
          </cell>
          <cell r="AB895"/>
          <cell r="AC895" t="e">
            <v>#N/A</v>
          </cell>
          <cell r="AD895">
            <v>808</v>
          </cell>
          <cell r="AE895" t="e">
            <v>#N/A</v>
          </cell>
          <cell r="AF895"/>
        </row>
        <row r="896">
          <cell r="Y896">
            <v>880</v>
          </cell>
          <cell r="Z896">
            <v>0.49736299179494381</v>
          </cell>
          <cell r="AA896">
            <v>-1.1173019473067829E-3</v>
          </cell>
          <cell r="AB896"/>
          <cell r="AC896" t="e">
            <v>#N/A</v>
          </cell>
          <cell r="AD896">
            <v>809</v>
          </cell>
          <cell r="AE896" t="e">
            <v>#N/A</v>
          </cell>
          <cell r="AF896"/>
        </row>
        <row r="897">
          <cell r="Y897">
            <v>881</v>
          </cell>
          <cell r="Z897">
            <v>0.3836683314293623</v>
          </cell>
          <cell r="AA897">
            <v>-5.0009542083366984E-2</v>
          </cell>
          <cell r="AB897"/>
          <cell r="AC897" t="e">
            <v>#N/A</v>
          </cell>
          <cell r="AD897">
            <v>810</v>
          </cell>
          <cell r="AE897" t="e">
            <v>#N/A</v>
          </cell>
          <cell r="AF897"/>
        </row>
        <row r="898">
          <cell r="Y898">
            <v>882</v>
          </cell>
          <cell r="Z898">
            <v>0.30198193155229092</v>
          </cell>
          <cell r="AA898">
            <v>-8.7677780403926431E-2</v>
          </cell>
          <cell r="AB898"/>
          <cell r="AC898" t="e">
            <v>#N/A</v>
          </cell>
          <cell r="AD898">
            <v>811</v>
          </cell>
          <cell r="AE898" t="e">
            <v>#N/A</v>
          </cell>
          <cell r="AF898"/>
        </row>
        <row r="899">
          <cell r="Y899">
            <v>883</v>
          </cell>
          <cell r="Z899">
            <v>0.24128801934421062</v>
          </cell>
          <cell r="AA899">
            <v>-0.11868761015011088</v>
          </cell>
          <cell r="AB899"/>
          <cell r="AC899" t="e">
            <v>#N/A</v>
          </cell>
          <cell r="AD899">
            <v>812</v>
          </cell>
          <cell r="AE899" t="e">
            <v>#N/A</v>
          </cell>
          <cell r="AF899"/>
        </row>
        <row r="900">
          <cell r="Y900">
            <v>884</v>
          </cell>
          <cell r="Z900">
            <v>0.33018635772168636</v>
          </cell>
          <cell r="AA900">
            <v>-7.4271925170783473E-2</v>
          </cell>
          <cell r="AB900"/>
          <cell r="AC900" t="e">
            <v>#N/A</v>
          </cell>
          <cell r="AD900">
            <v>813</v>
          </cell>
          <cell r="AE900" t="e">
            <v>#N/A</v>
          </cell>
          <cell r="AF900"/>
        </row>
        <row r="901">
          <cell r="Y901">
            <v>885</v>
          </cell>
          <cell r="Z901">
            <v>0.86963951401412487</v>
          </cell>
          <cell r="AA901">
            <v>0.1901070879307169</v>
          </cell>
          <cell r="AB901"/>
          <cell r="AC901" t="e">
            <v>#N/A</v>
          </cell>
          <cell r="AD901">
            <v>814</v>
          </cell>
          <cell r="AE901" t="e">
            <v>#N/A</v>
          </cell>
          <cell r="AF901"/>
        </row>
        <row r="902">
          <cell r="Y902">
            <v>886</v>
          </cell>
          <cell r="Z902">
            <v>0.44545493088662624</v>
          </cell>
          <cell r="AA902">
            <v>-2.3183087986462129E-2</v>
          </cell>
          <cell r="AB902"/>
          <cell r="AC902" t="e">
            <v>#N/A</v>
          </cell>
          <cell r="AD902">
            <v>815</v>
          </cell>
          <cell r="AE902" t="e">
            <v>#N/A</v>
          </cell>
          <cell r="AF902"/>
        </row>
        <row r="903">
          <cell r="Y903">
            <v>887</v>
          </cell>
          <cell r="Z903">
            <v>9.9780363962054253E-2</v>
          </cell>
          <cell r="AA903">
            <v>-0.21683346352382368</v>
          </cell>
          <cell r="AB903"/>
          <cell r="AC903" t="e">
            <v>#N/A</v>
          </cell>
          <cell r="AD903">
            <v>816</v>
          </cell>
          <cell r="AE903" t="e">
            <v>#N/A</v>
          </cell>
          <cell r="AF903"/>
        </row>
        <row r="904">
          <cell r="Y904">
            <v>888</v>
          </cell>
          <cell r="Z904">
            <v>0.9367652740329504</v>
          </cell>
          <cell r="AA904">
            <v>0.25830847698239212</v>
          </cell>
          <cell r="AB904"/>
          <cell r="AC904" t="e">
            <v>#N/A</v>
          </cell>
          <cell r="AD904">
            <v>817</v>
          </cell>
          <cell r="AE904" t="e">
            <v>#N/A</v>
          </cell>
          <cell r="AF904"/>
        </row>
        <row r="905">
          <cell r="Y905">
            <v>889</v>
          </cell>
          <cell r="Z905">
            <v>0.91827806644141674</v>
          </cell>
          <cell r="AA905">
            <v>0.23555835136202077</v>
          </cell>
          <cell r="AB905"/>
          <cell r="AC905" t="e">
            <v>#N/A</v>
          </cell>
          <cell r="AD905">
            <v>818</v>
          </cell>
          <cell r="AE905" t="e">
            <v>#N/A</v>
          </cell>
          <cell r="AF905"/>
        </row>
        <row r="906">
          <cell r="Y906">
            <v>890</v>
          </cell>
          <cell r="Z906">
            <v>0.60202903114259243</v>
          </cell>
          <cell r="AA906">
            <v>4.3711804227258746E-2</v>
          </cell>
          <cell r="AB906"/>
          <cell r="AC906" t="e">
            <v>#N/A</v>
          </cell>
          <cell r="AD906">
            <v>819</v>
          </cell>
          <cell r="AE906" t="e">
            <v>#N/A</v>
          </cell>
          <cell r="AF906"/>
        </row>
        <row r="907">
          <cell r="Y907">
            <v>891</v>
          </cell>
          <cell r="Z907">
            <v>0.13780332915484905</v>
          </cell>
          <cell r="AA907">
            <v>-0.18428449401655383</v>
          </cell>
          <cell r="AB907"/>
          <cell r="AC907" t="e">
            <v>#N/A</v>
          </cell>
          <cell r="AD907">
            <v>820</v>
          </cell>
          <cell r="AE907" t="e">
            <v>#N/A</v>
          </cell>
          <cell r="AF907"/>
        </row>
        <row r="908">
          <cell r="Y908">
            <v>892</v>
          </cell>
          <cell r="Z908">
            <v>8.2991769537329674E-2</v>
          </cell>
          <cell r="AA908">
            <v>-0.23414583764260358</v>
          </cell>
          <cell r="AB908"/>
          <cell r="AC908" t="e">
            <v>#N/A</v>
          </cell>
          <cell r="AD908">
            <v>821</v>
          </cell>
          <cell r="AE908" t="e">
            <v>#N/A</v>
          </cell>
          <cell r="AF908"/>
        </row>
        <row r="909">
          <cell r="Y909">
            <v>893</v>
          </cell>
          <cell r="Z909">
            <v>0.77426630072295666</v>
          </cell>
          <cell r="AA909">
            <v>0.12727531263611674</v>
          </cell>
          <cell r="AB909"/>
          <cell r="AC909" t="e">
            <v>#N/A</v>
          </cell>
          <cell r="AD909">
            <v>822</v>
          </cell>
          <cell r="AE909" t="e">
            <v>#N/A</v>
          </cell>
          <cell r="AF909"/>
        </row>
        <row r="910">
          <cell r="Y910">
            <v>894</v>
          </cell>
          <cell r="Z910">
            <v>7.2691475972533226E-2</v>
          </cell>
          <cell r="AA910">
            <v>-0.24611483046502008</v>
          </cell>
          <cell r="AB910"/>
          <cell r="AC910" t="e">
            <v>#N/A</v>
          </cell>
          <cell r="AD910">
            <v>823</v>
          </cell>
          <cell r="AE910" t="e">
            <v>#N/A</v>
          </cell>
          <cell r="AF910"/>
        </row>
        <row r="911">
          <cell r="Y911">
            <v>895</v>
          </cell>
          <cell r="Z911">
            <v>0.70471451990306377</v>
          </cell>
          <cell r="AA911">
            <v>9.0940088480311085E-2</v>
          </cell>
          <cell r="AB911"/>
          <cell r="AC911" t="e">
            <v>#N/A</v>
          </cell>
          <cell r="AD911">
            <v>824</v>
          </cell>
          <cell r="AE911" t="e">
            <v>#N/A</v>
          </cell>
          <cell r="AF911"/>
        </row>
        <row r="912">
          <cell r="Y912">
            <v>896</v>
          </cell>
          <cell r="Z912">
            <v>0.36031939648091793</v>
          </cell>
          <cell r="AA912">
            <v>-6.0446309752620025E-2</v>
          </cell>
          <cell r="AB912"/>
          <cell r="AC912" t="e">
            <v>#N/A</v>
          </cell>
          <cell r="AD912">
            <v>825</v>
          </cell>
          <cell r="AE912" t="e">
            <v>#N/A</v>
          </cell>
          <cell r="AF912"/>
        </row>
        <row r="913">
          <cell r="Y913">
            <v>897</v>
          </cell>
          <cell r="Z913">
            <v>0.64896133355796337</v>
          </cell>
          <cell r="AA913">
            <v>6.4657308225803026E-2</v>
          </cell>
          <cell r="AB913"/>
          <cell r="AC913" t="e">
            <v>#N/A</v>
          </cell>
          <cell r="AD913">
            <v>826</v>
          </cell>
          <cell r="AE913" t="e">
            <v>#N/A</v>
          </cell>
          <cell r="AF913"/>
        </row>
        <row r="914">
          <cell r="Y914">
            <v>898</v>
          </cell>
          <cell r="Z914">
            <v>0.77207696996629238</v>
          </cell>
          <cell r="AA914">
            <v>0.12604703266251993</v>
          </cell>
          <cell r="AB914"/>
          <cell r="AC914" t="e">
            <v>#N/A</v>
          </cell>
          <cell r="AD914">
            <v>827</v>
          </cell>
          <cell r="AE914" t="e">
            <v>#N/A</v>
          </cell>
          <cell r="AF914"/>
        </row>
        <row r="915">
          <cell r="Y915">
            <v>899</v>
          </cell>
          <cell r="Z915">
            <v>0.73666353337466717</v>
          </cell>
          <cell r="AA915">
            <v>0.10701224332859961</v>
          </cell>
          <cell r="AB915"/>
          <cell r="AC915" t="e">
            <v>#N/A</v>
          </cell>
          <cell r="AD915">
            <v>828</v>
          </cell>
          <cell r="AE915" t="e">
            <v>#N/A</v>
          </cell>
          <cell r="AF915"/>
        </row>
        <row r="916">
          <cell r="Y916">
            <v>900</v>
          </cell>
          <cell r="Z916">
            <v>0.91037260554730892</v>
          </cell>
          <cell r="AA916">
            <v>0.22701740394344355</v>
          </cell>
          <cell r="AB916"/>
          <cell r="AC916" t="e">
            <v>#N/A</v>
          </cell>
          <cell r="AD916">
            <v>829</v>
          </cell>
          <cell r="AE916" t="e">
            <v>#N/A</v>
          </cell>
          <cell r="AF916"/>
        </row>
        <row r="917">
          <cell r="Y917">
            <v>901</v>
          </cell>
          <cell r="Z917">
            <v>0.89031696133315563</v>
          </cell>
          <cell r="AA917">
            <v>0.20760631303828661</v>
          </cell>
          <cell r="AB917"/>
          <cell r="AC917" t="e">
            <v>#N/A</v>
          </cell>
          <cell r="AD917">
            <v>830</v>
          </cell>
          <cell r="AE917" t="e">
            <v>#N/A</v>
          </cell>
          <cell r="AF917"/>
        </row>
        <row r="918">
          <cell r="Y918">
            <v>902</v>
          </cell>
          <cell r="Z918">
            <v>0.18745205365121365</v>
          </cell>
          <cell r="AA918">
            <v>-0.14998525029418591</v>
          </cell>
          <cell r="AB918"/>
          <cell r="AC918" t="e">
            <v>#N/A</v>
          </cell>
          <cell r="AD918">
            <v>831</v>
          </cell>
          <cell r="AE918" t="e">
            <v>#N/A</v>
          </cell>
          <cell r="AF918"/>
        </row>
        <row r="919">
          <cell r="Y919">
            <v>903</v>
          </cell>
          <cell r="Z919">
            <v>0.97338883392512798</v>
          </cell>
          <cell r="AA919">
            <v>0.32675566237771719</v>
          </cell>
          <cell r="AB919"/>
          <cell r="AC919" t="e">
            <v>#N/A</v>
          </cell>
          <cell r="AD919">
            <v>832</v>
          </cell>
          <cell r="AE919" t="e">
            <v>#N/A</v>
          </cell>
          <cell r="AF919"/>
        </row>
        <row r="920">
          <cell r="Y920">
            <v>904</v>
          </cell>
          <cell r="Z920">
            <v>0.9933061208575964</v>
          </cell>
          <cell r="AA920">
            <v>0.41806135475175155</v>
          </cell>
          <cell r="AB920"/>
          <cell r="AC920" t="e">
            <v>#N/A</v>
          </cell>
          <cell r="AD920">
            <v>833</v>
          </cell>
          <cell r="AE920" t="e">
            <v>#N/A</v>
          </cell>
          <cell r="AF920"/>
        </row>
        <row r="921">
          <cell r="Y921">
            <v>905</v>
          </cell>
          <cell r="Z921">
            <v>0.12155553512275219</v>
          </cell>
          <cell r="AA921">
            <v>-0.19730057160132003</v>
          </cell>
          <cell r="AB921"/>
          <cell r="AC921" t="e">
            <v>#N/A</v>
          </cell>
          <cell r="AD921">
            <v>834</v>
          </cell>
          <cell r="AE921" t="e">
            <v>#N/A</v>
          </cell>
          <cell r="AF921"/>
        </row>
        <row r="922">
          <cell r="Y922">
            <v>906</v>
          </cell>
          <cell r="Z922">
            <v>0.93144947849214077</v>
          </cell>
          <cell r="AA922">
            <v>0.25129370083501895</v>
          </cell>
          <cell r="AB922"/>
          <cell r="AC922" t="e">
            <v>#N/A</v>
          </cell>
          <cell r="AD922">
            <v>835</v>
          </cell>
          <cell r="AE922" t="e">
            <v>#N/A</v>
          </cell>
          <cell r="AF922"/>
        </row>
        <row r="923">
          <cell r="Y923">
            <v>907</v>
          </cell>
          <cell r="Z923">
            <v>0.89376462809741497</v>
          </cell>
          <cell r="AA923">
            <v>0.21074770952698121</v>
          </cell>
          <cell r="AB923"/>
          <cell r="AC923" t="e">
            <v>#N/A</v>
          </cell>
          <cell r="AD923">
            <v>836</v>
          </cell>
          <cell r="AE923" t="e">
            <v>#N/A</v>
          </cell>
          <cell r="AF923"/>
        </row>
        <row r="924">
          <cell r="Y924">
            <v>908</v>
          </cell>
          <cell r="Z924">
            <v>0.89991431497037411</v>
          </cell>
          <cell r="AA924">
            <v>0.21653925010267938</v>
          </cell>
          <cell r="AB924"/>
          <cell r="AC924" t="e">
            <v>#N/A</v>
          </cell>
          <cell r="AD924">
            <v>837</v>
          </cell>
          <cell r="AE924" t="e">
            <v>#N/A</v>
          </cell>
          <cell r="AF924"/>
        </row>
        <row r="925">
          <cell r="Y925">
            <v>909</v>
          </cell>
          <cell r="Z925">
            <v>0.84858983568847179</v>
          </cell>
          <cell r="AA925">
            <v>0.17417008932187558</v>
          </cell>
          <cell r="AB925"/>
          <cell r="AC925" t="e">
            <v>#N/A</v>
          </cell>
          <cell r="AD925">
            <v>838</v>
          </cell>
          <cell r="AE925" t="e">
            <v>#N/A</v>
          </cell>
          <cell r="AF925"/>
        </row>
        <row r="926">
          <cell r="Y926">
            <v>910</v>
          </cell>
          <cell r="Z926">
            <v>0.3885525818914175</v>
          </cell>
          <cell r="AA926">
            <v>-4.7851535278494499E-2</v>
          </cell>
          <cell r="AB926"/>
          <cell r="AC926" t="e">
            <v>#N/A</v>
          </cell>
          <cell r="AD926">
            <v>839</v>
          </cell>
          <cell r="AE926" t="e">
            <v>#N/A</v>
          </cell>
          <cell r="AF926"/>
        </row>
        <row r="927">
          <cell r="Y927">
            <v>911</v>
          </cell>
          <cell r="Z927">
            <v>0.87009773962199688</v>
          </cell>
          <cell r="AA927">
            <v>0.19047296824344467</v>
          </cell>
          <cell r="AB927"/>
          <cell r="AC927" t="e">
            <v>#N/A</v>
          </cell>
          <cell r="AD927">
            <v>840</v>
          </cell>
          <cell r="AE927" t="e">
            <v>#N/A</v>
          </cell>
          <cell r="AF927"/>
        </row>
        <row r="928">
          <cell r="Y928">
            <v>912</v>
          </cell>
          <cell r="Z928">
            <v>0.7074905838817358</v>
          </cell>
          <cell r="AA928">
            <v>9.2302428011240292E-2</v>
          </cell>
          <cell r="AB928"/>
          <cell r="AC928" t="e">
            <v>#N/A</v>
          </cell>
          <cell r="AD928">
            <v>841</v>
          </cell>
          <cell r="AE928" t="e">
            <v>#N/A</v>
          </cell>
          <cell r="AF928"/>
        </row>
        <row r="929">
          <cell r="Y929">
            <v>913</v>
          </cell>
          <cell r="Z929">
            <v>3.6194948479533195E-2</v>
          </cell>
          <cell r="AA929">
            <v>-0.30369066629845975</v>
          </cell>
          <cell r="AB929"/>
          <cell r="AC929" t="e">
            <v>#N/A</v>
          </cell>
          <cell r="AD929">
            <v>842</v>
          </cell>
          <cell r="AE929" t="e">
            <v>#N/A</v>
          </cell>
          <cell r="AF929"/>
        </row>
        <row r="930">
          <cell r="Y930">
            <v>914</v>
          </cell>
          <cell r="Z930">
            <v>0.9553296621888876</v>
          </cell>
          <cell r="AA930">
            <v>0.28716413703351806</v>
          </cell>
          <cell r="AB930"/>
          <cell r="AC930" t="e">
            <v>#N/A</v>
          </cell>
          <cell r="AD930">
            <v>843</v>
          </cell>
          <cell r="AE930" t="e">
            <v>#N/A</v>
          </cell>
          <cell r="AF930"/>
        </row>
        <row r="931">
          <cell r="Y931">
            <v>915</v>
          </cell>
          <cell r="Z931">
            <v>4.1174484416842461E-2</v>
          </cell>
          <cell r="AA931">
            <v>-0.29364317822688585</v>
          </cell>
          <cell r="AB931"/>
          <cell r="AC931" t="e">
            <v>#N/A</v>
          </cell>
          <cell r="AD931">
            <v>844</v>
          </cell>
          <cell r="AE931" t="e">
            <v>#N/A</v>
          </cell>
          <cell r="AF931"/>
        </row>
        <row r="932">
          <cell r="Y932">
            <v>916</v>
          </cell>
          <cell r="Z932">
            <v>0.37943672202527523</v>
          </cell>
          <cell r="AA932">
            <v>-5.1885793199791537E-2</v>
          </cell>
          <cell r="AB932"/>
          <cell r="AC932" t="e">
            <v>#N/A</v>
          </cell>
          <cell r="AD932">
            <v>845</v>
          </cell>
          <cell r="AE932" t="e">
            <v>#N/A</v>
          </cell>
          <cell r="AF932"/>
        </row>
        <row r="933">
          <cell r="Y933">
            <v>917</v>
          </cell>
          <cell r="Z933">
            <v>0.15293013863265514</v>
          </cell>
          <cell r="AA933">
            <v>-0.17307864409961726</v>
          </cell>
          <cell r="AB933"/>
          <cell r="AC933" t="e">
            <v>#N/A</v>
          </cell>
          <cell r="AD933">
            <v>846</v>
          </cell>
          <cell r="AE933" t="e">
            <v>#N/A</v>
          </cell>
          <cell r="AF933"/>
        </row>
        <row r="934">
          <cell r="Y934">
            <v>918</v>
          </cell>
          <cell r="Z934">
            <v>0.3744183536618948</v>
          </cell>
          <cell r="AA934">
            <v>-5.4119222187635832E-2</v>
          </cell>
          <cell r="AB934"/>
          <cell r="AC934" t="e">
            <v>#N/A</v>
          </cell>
          <cell r="AD934">
            <v>847</v>
          </cell>
          <cell r="AE934" t="e">
            <v>#N/A</v>
          </cell>
          <cell r="AF934"/>
        </row>
        <row r="935">
          <cell r="Y935">
            <v>919</v>
          </cell>
          <cell r="Z935">
            <v>0.40405754558742046</v>
          </cell>
          <cell r="AA935">
            <v>-4.1050562379392662E-2</v>
          </cell>
          <cell r="AB935"/>
          <cell r="AC935" t="e">
            <v>#N/A</v>
          </cell>
          <cell r="AD935">
            <v>848</v>
          </cell>
          <cell r="AE935" t="e">
            <v>#N/A</v>
          </cell>
          <cell r="AF935"/>
        </row>
        <row r="936">
          <cell r="Y936">
            <v>920</v>
          </cell>
          <cell r="Z936">
            <v>0.70862229727208614</v>
          </cell>
          <cell r="AA936">
            <v>9.2859530663375697E-2</v>
          </cell>
          <cell r="AB936"/>
          <cell r="AC936" t="e">
            <v>#N/A</v>
          </cell>
          <cell r="AD936">
            <v>849</v>
          </cell>
          <cell r="AE936" t="e">
            <v>#N/A</v>
          </cell>
          <cell r="AF936"/>
        </row>
        <row r="937">
          <cell r="Y937">
            <v>921</v>
          </cell>
          <cell r="Z937">
            <v>0.18481072597205639</v>
          </cell>
          <cell r="AA937">
            <v>-0.15165154987685434</v>
          </cell>
          <cell r="AB937"/>
          <cell r="AC937" t="e">
            <v>#N/A</v>
          </cell>
          <cell r="AD937">
            <v>850</v>
          </cell>
          <cell r="AE937" t="e">
            <v>#N/A</v>
          </cell>
          <cell r="AF937"/>
        </row>
        <row r="938">
          <cell r="Y938">
            <v>922</v>
          </cell>
          <cell r="Z938">
            <v>0.66226000152528286</v>
          </cell>
          <cell r="AA938">
            <v>7.0762903091579399E-2</v>
          </cell>
          <cell r="AB938"/>
          <cell r="AC938" t="e">
            <v>#N/A</v>
          </cell>
          <cell r="AD938">
            <v>851</v>
          </cell>
          <cell r="AE938" t="e">
            <v>#N/A</v>
          </cell>
          <cell r="AF938"/>
        </row>
        <row r="939">
          <cell r="Y939">
            <v>923</v>
          </cell>
          <cell r="Z939">
            <v>0.62463284842669964</v>
          </cell>
          <cell r="AA939">
            <v>5.3696245811119273E-2</v>
          </cell>
          <cell r="AB939"/>
          <cell r="AC939" t="e">
            <v>#N/A</v>
          </cell>
          <cell r="AD939">
            <v>852</v>
          </cell>
          <cell r="AE939" t="e">
            <v>#N/A</v>
          </cell>
          <cell r="AF939"/>
        </row>
        <row r="940">
          <cell r="Y940">
            <v>924</v>
          </cell>
          <cell r="Z940">
            <v>0.60449402593076229</v>
          </cell>
          <cell r="AA940">
            <v>4.4792629953142683E-2</v>
          </cell>
          <cell r="AB940"/>
          <cell r="AC940" t="e">
            <v>#N/A</v>
          </cell>
          <cell r="AD940">
            <v>853</v>
          </cell>
          <cell r="AE940" t="e">
            <v>#N/A</v>
          </cell>
          <cell r="AF940"/>
        </row>
        <row r="941">
          <cell r="Y941">
            <v>925</v>
          </cell>
          <cell r="Z941">
            <v>0.11772996000945568</v>
          </cell>
          <cell r="AA941">
            <v>-0.20054010789840745</v>
          </cell>
          <cell r="AB941"/>
          <cell r="AC941" t="e">
            <v>#N/A</v>
          </cell>
          <cell r="AD941">
            <v>854</v>
          </cell>
          <cell r="AE941" t="e">
            <v>#N/A</v>
          </cell>
          <cell r="AF941"/>
        </row>
        <row r="942">
          <cell r="Y942">
            <v>926</v>
          </cell>
          <cell r="Z942">
            <v>0.13058403693139553</v>
          </cell>
          <cell r="AA942">
            <v>-0.18992891162766426</v>
          </cell>
          <cell r="AB942"/>
          <cell r="AC942" t="e">
            <v>#N/A</v>
          </cell>
          <cell r="AD942">
            <v>855</v>
          </cell>
          <cell r="AE942" t="e">
            <v>#N/A</v>
          </cell>
          <cell r="AF942"/>
        </row>
        <row r="943">
          <cell r="Y943">
            <v>927</v>
          </cell>
          <cell r="Z943">
            <v>6.6906435415148735E-2</v>
          </cell>
          <cell r="AA943">
            <v>-0.2534168422488573</v>
          </cell>
          <cell r="AB943"/>
          <cell r="AC943" t="e">
            <v>#N/A</v>
          </cell>
          <cell r="AD943">
            <v>856</v>
          </cell>
          <cell r="AE943" t="e">
            <v>#N/A</v>
          </cell>
          <cell r="AF943"/>
        </row>
        <row r="944">
          <cell r="Y944">
            <v>928</v>
          </cell>
          <cell r="Z944">
            <v>0.22393514774739742</v>
          </cell>
          <cell r="AA944">
            <v>-0.12828940356391344</v>
          </cell>
          <cell r="AB944"/>
          <cell r="AC944" t="e">
            <v>#N/A</v>
          </cell>
          <cell r="AD944">
            <v>857</v>
          </cell>
          <cell r="AE944" t="e">
            <v>#N/A</v>
          </cell>
          <cell r="AF944"/>
        </row>
        <row r="945">
          <cell r="Y945">
            <v>929</v>
          </cell>
          <cell r="Z945">
            <v>0.38863089494407177</v>
          </cell>
          <cell r="AA945">
            <v>-4.7816998636649226E-2</v>
          </cell>
          <cell r="AB945"/>
          <cell r="AC945" t="e">
            <v>#N/A</v>
          </cell>
          <cell r="AD945">
            <v>858</v>
          </cell>
          <cell r="AE945" t="e">
            <v>#N/A</v>
          </cell>
          <cell r="AF945"/>
        </row>
        <row r="946">
          <cell r="Y946">
            <v>930</v>
          </cell>
          <cell r="Z946">
            <v>1.642351970076561E-3</v>
          </cell>
          <cell r="AA946">
            <v>-0.49690952317182047</v>
          </cell>
          <cell r="AB946"/>
          <cell r="AC946" t="e">
            <v>#N/A</v>
          </cell>
          <cell r="AD946">
            <v>859</v>
          </cell>
          <cell r="AE946" t="e">
            <v>#N/A</v>
          </cell>
          <cell r="AF946"/>
        </row>
        <row r="947">
          <cell r="Y947">
            <v>931</v>
          </cell>
          <cell r="Z947">
            <v>0.5410513412207365</v>
          </cell>
          <cell r="AA947">
            <v>1.7424160271321983E-2</v>
          </cell>
          <cell r="AB947"/>
          <cell r="AC947" t="e">
            <v>#N/A</v>
          </cell>
          <cell r="AD947">
            <v>860</v>
          </cell>
          <cell r="AE947" t="e">
            <v>#N/A</v>
          </cell>
          <cell r="AF947"/>
        </row>
        <row r="948">
          <cell r="Y948">
            <v>932</v>
          </cell>
          <cell r="Z948">
            <v>0.44587480090558529</v>
          </cell>
          <cell r="AA948">
            <v>-2.3003522046107679E-2</v>
          </cell>
          <cell r="AB948"/>
          <cell r="AC948" t="e">
            <v>#N/A</v>
          </cell>
          <cell r="AD948">
            <v>861</v>
          </cell>
          <cell r="AE948" t="e">
            <v>#N/A</v>
          </cell>
          <cell r="AF948"/>
        </row>
        <row r="949">
          <cell r="Y949">
            <v>933</v>
          </cell>
          <cell r="Z949">
            <v>0.80542826466262341</v>
          </cell>
          <cell r="AA949">
            <v>0.14556458939999917</v>
          </cell>
          <cell r="AB949"/>
          <cell r="AC949" t="e">
            <v>#N/A</v>
          </cell>
          <cell r="AD949">
            <v>862</v>
          </cell>
          <cell r="AE949" t="e">
            <v>#N/A</v>
          </cell>
          <cell r="AF949"/>
        </row>
        <row r="950">
          <cell r="Y950">
            <v>934</v>
          </cell>
          <cell r="Z950">
            <v>0.1171936746686697</v>
          </cell>
          <cell r="AA950">
            <v>-0.20100015645966698</v>
          </cell>
          <cell r="AB950"/>
          <cell r="AC950" t="e">
            <v>#N/A</v>
          </cell>
          <cell r="AD950">
            <v>863</v>
          </cell>
          <cell r="AE950" t="e">
            <v>#N/A</v>
          </cell>
          <cell r="AF950"/>
        </row>
        <row r="951">
          <cell r="Y951">
            <v>935</v>
          </cell>
          <cell r="Z951">
            <v>0.27020446769893169</v>
          </cell>
          <cell r="AA951">
            <v>-0.10347979424228886</v>
          </cell>
          <cell r="AB951"/>
          <cell r="AC951" t="e">
            <v>#N/A</v>
          </cell>
          <cell r="AD951">
            <v>864</v>
          </cell>
          <cell r="AE951" t="e">
            <v>#N/A</v>
          </cell>
          <cell r="AF951"/>
        </row>
        <row r="952">
          <cell r="Y952">
            <v>936</v>
          </cell>
          <cell r="Z952">
            <v>0.18964739702641964</v>
          </cell>
          <cell r="AA952">
            <v>-0.14861131626153931</v>
          </cell>
          <cell r="AB952"/>
          <cell r="AC952" t="e">
            <v>#N/A</v>
          </cell>
          <cell r="AD952">
            <v>865</v>
          </cell>
          <cell r="AE952" t="e">
            <v>#N/A</v>
          </cell>
          <cell r="AF952"/>
        </row>
        <row r="953">
          <cell r="Y953">
            <v>937</v>
          </cell>
          <cell r="Z953">
            <v>0.43568035773932934</v>
          </cell>
          <cell r="AA953">
            <v>-2.7371222042447081E-2</v>
          </cell>
          <cell r="AB953"/>
          <cell r="AC953" t="e">
            <v>#N/A</v>
          </cell>
          <cell r="AD953">
            <v>866</v>
          </cell>
          <cell r="AE953" t="e">
            <v>#N/A</v>
          </cell>
          <cell r="AF953"/>
        </row>
        <row r="954">
          <cell r="Y954">
            <v>938</v>
          </cell>
          <cell r="Z954">
            <v>0.2412379439920187</v>
          </cell>
          <cell r="AA954">
            <v>-0.11871475990222329</v>
          </cell>
          <cell r="AB954"/>
          <cell r="AC954" t="e">
            <v>#N/A</v>
          </cell>
          <cell r="AD954">
            <v>867</v>
          </cell>
          <cell r="AE954" t="e">
            <v>#N/A</v>
          </cell>
          <cell r="AF954"/>
        </row>
        <row r="955">
          <cell r="Y955">
            <v>939</v>
          </cell>
          <cell r="Z955">
            <v>0.57601345889270306</v>
          </cell>
          <cell r="AA955">
            <v>3.2404103943465469E-2</v>
          </cell>
          <cell r="AB955"/>
          <cell r="AC955" t="e">
            <v>#N/A</v>
          </cell>
          <cell r="AD955">
            <v>868</v>
          </cell>
          <cell r="AE955" t="e">
            <v>#N/A</v>
          </cell>
          <cell r="AF955"/>
        </row>
        <row r="956">
          <cell r="Y956">
            <v>940</v>
          </cell>
          <cell r="Z956">
            <v>7.7101996168494225E-2</v>
          </cell>
          <cell r="AA956">
            <v>-0.24084160456024006</v>
          </cell>
          <cell r="AB956"/>
          <cell r="AC956" t="e">
            <v>#N/A</v>
          </cell>
          <cell r="AD956">
            <v>869</v>
          </cell>
          <cell r="AE956" t="e">
            <v>#N/A</v>
          </cell>
          <cell r="AF956"/>
        </row>
        <row r="957">
          <cell r="Y957">
            <v>941</v>
          </cell>
          <cell r="Z957">
            <v>0.96401089243590832</v>
          </cell>
          <cell r="AA957">
            <v>0.30412975096245359</v>
          </cell>
          <cell r="AB957"/>
          <cell r="AC957" t="e">
            <v>#N/A</v>
          </cell>
          <cell r="AD957">
            <v>870</v>
          </cell>
          <cell r="AE957" t="e">
            <v>#N/A</v>
          </cell>
          <cell r="AF957"/>
        </row>
        <row r="958">
          <cell r="Y958">
            <v>942</v>
          </cell>
          <cell r="Z958">
            <v>0.45650068484246731</v>
          </cell>
          <cell r="AA958">
            <v>-1.8467224366508717E-2</v>
          </cell>
          <cell r="AB958"/>
          <cell r="AC958" t="e">
            <v>#N/A</v>
          </cell>
          <cell r="AD958">
            <v>871</v>
          </cell>
          <cell r="AE958" t="e">
            <v>#N/A</v>
          </cell>
          <cell r="AF958"/>
        </row>
        <row r="959">
          <cell r="Y959">
            <v>943</v>
          </cell>
          <cell r="Z959">
            <v>0.78293357603251934</v>
          </cell>
          <cell r="AA959">
            <v>0.13220563252009701</v>
          </cell>
          <cell r="AB959"/>
          <cell r="AC959" t="e">
            <v>#N/A</v>
          </cell>
          <cell r="AD959">
            <v>872</v>
          </cell>
          <cell r="AE959" t="e">
            <v>#N/A</v>
          </cell>
          <cell r="AF959"/>
        </row>
        <row r="960">
          <cell r="Y960">
            <v>944</v>
          </cell>
          <cell r="Z960">
            <v>0.93846168182790279</v>
          </cell>
          <cell r="AA960">
            <v>0.26064345568521102</v>
          </cell>
          <cell r="AB960"/>
          <cell r="AC960" t="e">
            <v>#N/A</v>
          </cell>
          <cell r="AD960">
            <v>873</v>
          </cell>
          <cell r="AE960" t="e">
            <v>#N/A</v>
          </cell>
          <cell r="AF960"/>
        </row>
        <row r="961">
          <cell r="Y961">
            <v>945</v>
          </cell>
          <cell r="Z961">
            <v>1.8280891701579094E-2</v>
          </cell>
          <cell r="AA961">
            <v>-0.35337995222678364</v>
          </cell>
          <cell r="AB961"/>
          <cell r="AC961" t="e">
            <v>#N/A</v>
          </cell>
          <cell r="AD961">
            <v>874</v>
          </cell>
          <cell r="AE961" t="e">
            <v>#N/A</v>
          </cell>
          <cell r="AF961"/>
        </row>
        <row r="962">
          <cell r="Y962">
            <v>946</v>
          </cell>
          <cell r="Z962">
            <v>0.15466738305985928</v>
          </cell>
          <cell r="AA962">
            <v>-0.17183995544612768</v>
          </cell>
          <cell r="AB962"/>
          <cell r="AC962" t="e">
            <v>#N/A</v>
          </cell>
          <cell r="AD962">
            <v>875</v>
          </cell>
          <cell r="AE962" t="e">
            <v>#N/A</v>
          </cell>
          <cell r="AF962"/>
        </row>
        <row r="963">
          <cell r="Y963">
            <v>947</v>
          </cell>
          <cell r="Z963">
            <v>0.8412745725363493</v>
          </cell>
          <cell r="AA963">
            <v>0.1689818376924806</v>
          </cell>
          <cell r="AB963"/>
          <cell r="AC963" t="e">
            <v>#N/A</v>
          </cell>
          <cell r="AD963">
            <v>876</v>
          </cell>
          <cell r="AE963" t="e">
            <v>#N/A</v>
          </cell>
          <cell r="AF963"/>
        </row>
        <row r="964">
          <cell r="Y964">
            <v>948</v>
          </cell>
          <cell r="Z964">
            <v>0.6619329359382391</v>
          </cell>
          <cell r="AA964">
            <v>7.061166318478844E-2</v>
          </cell>
          <cell r="AB964"/>
          <cell r="AC964" t="e">
            <v>#N/A</v>
          </cell>
          <cell r="AD964">
            <v>877</v>
          </cell>
          <cell r="AE964" t="e">
            <v>#N/A</v>
          </cell>
          <cell r="AF964"/>
        </row>
        <row r="965">
          <cell r="Y965">
            <v>949</v>
          </cell>
          <cell r="Z965">
            <v>0.96451055817306042</v>
          </cell>
          <cell r="AA965">
            <v>0.30520422289216775</v>
          </cell>
          <cell r="AB965"/>
          <cell r="AC965" t="e">
            <v>#N/A</v>
          </cell>
          <cell r="AD965">
            <v>878</v>
          </cell>
          <cell r="AE965" t="e">
            <v>#N/A</v>
          </cell>
          <cell r="AF965"/>
        </row>
        <row r="966">
          <cell r="Y966">
            <v>950</v>
          </cell>
          <cell r="Z966">
            <v>0.12036786042153835</v>
          </cell>
          <cell r="AA966">
            <v>-0.1982985165884659</v>
          </cell>
          <cell r="AB966"/>
          <cell r="AC966" t="e">
            <v>#N/A</v>
          </cell>
          <cell r="AD966">
            <v>879</v>
          </cell>
          <cell r="AE966" t="e">
            <v>#N/A</v>
          </cell>
          <cell r="AF966"/>
        </row>
        <row r="967">
          <cell r="Y967">
            <v>951</v>
          </cell>
          <cell r="Z967">
            <v>0.16899756900966167</v>
          </cell>
          <cell r="AA967">
            <v>-0.161954223684352</v>
          </cell>
          <cell r="AB967"/>
          <cell r="AC967" t="e">
            <v>#N/A</v>
          </cell>
          <cell r="AD967">
            <v>880</v>
          </cell>
          <cell r="AE967" t="e">
            <v>#N/A</v>
          </cell>
          <cell r="AF967"/>
        </row>
        <row r="968">
          <cell r="Y968">
            <v>952</v>
          </cell>
          <cell r="Z968">
            <v>0.88706501387059689</v>
          </cell>
          <cell r="AA968">
            <v>0.20470757764191527</v>
          </cell>
          <cell r="AB968"/>
          <cell r="AC968" t="e">
            <v>#N/A</v>
          </cell>
          <cell r="AD968">
            <v>881</v>
          </cell>
          <cell r="AE968" t="e">
            <v>#N/A</v>
          </cell>
          <cell r="AF968"/>
        </row>
        <row r="969">
          <cell r="Y969">
            <v>953</v>
          </cell>
          <cell r="Z969">
            <v>0.67055114917457104</v>
          </cell>
          <cell r="AA969">
            <v>7.4616228724273356E-2</v>
          </cell>
          <cell r="AB969"/>
          <cell r="AC969" t="e">
            <v>#N/A</v>
          </cell>
          <cell r="AD969">
            <v>882</v>
          </cell>
          <cell r="AE969" t="e">
            <v>#N/A</v>
          </cell>
          <cell r="AF969"/>
        </row>
        <row r="970">
          <cell r="Y970">
            <v>954</v>
          </cell>
          <cell r="Z970">
            <v>0.20891064964234829</v>
          </cell>
          <cell r="AA970">
            <v>-0.13694995385806219</v>
          </cell>
          <cell r="AB970"/>
          <cell r="AC970" t="e">
            <v>#N/A</v>
          </cell>
          <cell r="AD970">
            <v>883</v>
          </cell>
          <cell r="AE970" t="e">
            <v>#N/A</v>
          </cell>
          <cell r="AF970"/>
        </row>
        <row r="971">
          <cell r="Y971">
            <v>955</v>
          </cell>
          <cell r="Z971">
            <v>0.21226192824542522</v>
          </cell>
          <cell r="AA971">
            <v>-0.13498760952273278</v>
          </cell>
          <cell r="AB971"/>
          <cell r="AC971" t="e">
            <v>#N/A</v>
          </cell>
          <cell r="AD971">
            <v>884</v>
          </cell>
          <cell r="AE971" t="e">
            <v>#N/A</v>
          </cell>
          <cell r="AF971"/>
        </row>
        <row r="972">
          <cell r="Y972">
            <v>956</v>
          </cell>
          <cell r="Z972">
            <v>4.1859319433569908E-2</v>
          </cell>
          <cell r="AA972">
            <v>-0.29233980918284463</v>
          </cell>
          <cell r="AB972"/>
          <cell r="AC972" t="e">
            <v>#N/A</v>
          </cell>
          <cell r="AD972">
            <v>885</v>
          </cell>
          <cell r="AE972" t="e">
            <v>#N/A</v>
          </cell>
          <cell r="AF972"/>
        </row>
        <row r="973">
          <cell r="Y973">
            <v>957</v>
          </cell>
          <cell r="Z973">
            <v>0.7385068517178297</v>
          </cell>
          <cell r="AA973">
            <v>0.10796826988104673</v>
          </cell>
          <cell r="AB973"/>
          <cell r="AC973" t="e">
            <v>#N/A</v>
          </cell>
          <cell r="AD973">
            <v>886</v>
          </cell>
          <cell r="AE973" t="e">
            <v>#N/A</v>
          </cell>
          <cell r="AF973"/>
        </row>
        <row r="974">
          <cell r="Y974">
            <v>958</v>
          </cell>
          <cell r="Z974">
            <v>0.11776736937463284</v>
          </cell>
          <cell r="AA974">
            <v>-0.2005080719385669</v>
          </cell>
          <cell r="AB974"/>
          <cell r="AC974" t="e">
            <v>#N/A</v>
          </cell>
          <cell r="AD974">
            <v>887</v>
          </cell>
          <cell r="AE974" t="e">
            <v>#N/A</v>
          </cell>
          <cell r="AF974"/>
        </row>
        <row r="975">
          <cell r="Y975">
            <v>959</v>
          </cell>
          <cell r="Z975">
            <v>0.2247221302241087</v>
          </cell>
          <cell r="AA975">
            <v>-0.12784510712697081</v>
          </cell>
          <cell r="AB975"/>
          <cell r="AC975" t="e">
            <v>#N/A</v>
          </cell>
          <cell r="AD975">
            <v>888</v>
          </cell>
          <cell r="AE975" t="e">
            <v>#N/A</v>
          </cell>
          <cell r="AF975"/>
        </row>
        <row r="976">
          <cell r="Y976">
            <v>960</v>
          </cell>
          <cell r="Z976">
            <v>0.22362877987325191</v>
          </cell>
          <cell r="AA976">
            <v>-0.12846260548336549</v>
          </cell>
          <cell r="AB976"/>
          <cell r="AC976" t="e">
            <v>#N/A</v>
          </cell>
          <cell r="AD976">
            <v>889</v>
          </cell>
          <cell r="AE976" t="e">
            <v>#N/A</v>
          </cell>
          <cell r="AF976"/>
        </row>
        <row r="977">
          <cell r="Y977">
            <v>961</v>
          </cell>
          <cell r="Z977">
            <v>0.70590665750205517</v>
          </cell>
          <cell r="AA977">
            <v>9.1524395326276611E-2</v>
          </cell>
          <cell r="AB977"/>
          <cell r="AC977" t="e">
            <v>#N/A</v>
          </cell>
          <cell r="AD977">
            <v>890</v>
          </cell>
          <cell r="AE977" t="e">
            <v>#N/A</v>
          </cell>
          <cell r="AF977"/>
        </row>
        <row r="978">
          <cell r="Y978">
            <v>962</v>
          </cell>
          <cell r="Z978">
            <v>0.75180709920823574</v>
          </cell>
          <cell r="AA978">
            <v>0.11497265712377207</v>
          </cell>
          <cell r="AB978"/>
          <cell r="AC978" t="e">
            <v>#N/A</v>
          </cell>
          <cell r="AD978">
            <v>891</v>
          </cell>
          <cell r="AE978" t="e">
            <v>#N/A</v>
          </cell>
          <cell r="AF978"/>
        </row>
        <row r="979">
          <cell r="Y979">
            <v>963</v>
          </cell>
          <cell r="Z979">
            <v>0.76557464711368084</v>
          </cell>
          <cell r="AA979">
            <v>0.12243754703190798</v>
          </cell>
          <cell r="AB979"/>
          <cell r="AC979" t="e">
            <v>#N/A</v>
          </cell>
          <cell r="AD979">
            <v>892</v>
          </cell>
          <cell r="AE979" t="e">
            <v>#N/A</v>
          </cell>
          <cell r="AF979"/>
        </row>
        <row r="980">
          <cell r="Y980">
            <v>964</v>
          </cell>
          <cell r="Z980">
            <v>0.42360722087323666</v>
          </cell>
          <cell r="AA980">
            <v>-3.2567816754660507E-2</v>
          </cell>
          <cell r="AB980"/>
          <cell r="AC980" t="e">
            <v>#N/A</v>
          </cell>
          <cell r="AD980">
            <v>893</v>
          </cell>
          <cell r="AE980" t="e">
            <v>#N/A</v>
          </cell>
          <cell r="AF980"/>
        </row>
        <row r="981">
          <cell r="Y981">
            <v>965</v>
          </cell>
          <cell r="Z981">
            <v>0.71562623791396618</v>
          </cell>
          <cell r="AA981">
            <v>9.6330183727948257E-2</v>
          </cell>
          <cell r="AB981"/>
          <cell r="AC981" t="e">
            <v>#N/A</v>
          </cell>
          <cell r="AD981">
            <v>894</v>
          </cell>
          <cell r="AE981" t="e">
            <v>#N/A</v>
          </cell>
          <cell r="AF981"/>
        </row>
        <row r="982">
          <cell r="Y982">
            <v>966</v>
          </cell>
          <cell r="Z982">
            <v>0.68228075467050076</v>
          </cell>
          <cell r="AA982">
            <v>8.0135181561838117E-2</v>
          </cell>
          <cell r="AB982"/>
          <cell r="AC982" t="e">
            <v>#N/A</v>
          </cell>
          <cell r="AD982">
            <v>895</v>
          </cell>
          <cell r="AE982" t="e">
            <v>#N/A</v>
          </cell>
          <cell r="AF982"/>
        </row>
        <row r="983">
          <cell r="Y983">
            <v>967</v>
          </cell>
          <cell r="Z983">
            <v>0.4163548182696104</v>
          </cell>
          <cell r="AA983">
            <v>-3.5703989282812355E-2</v>
          </cell>
          <cell r="AB983"/>
          <cell r="AC983" t="e">
            <v>#N/A</v>
          </cell>
          <cell r="AD983">
            <v>896</v>
          </cell>
          <cell r="AE983" t="e">
            <v>#N/A</v>
          </cell>
          <cell r="AF983"/>
        </row>
        <row r="984">
          <cell r="Y984">
            <v>968</v>
          </cell>
          <cell r="Z984">
            <v>0.59530874155461788</v>
          </cell>
          <cell r="AA984">
            <v>4.0774078541102036E-2</v>
          </cell>
          <cell r="AB984"/>
          <cell r="AC984" t="e">
            <v>#N/A</v>
          </cell>
          <cell r="AD984">
            <v>897</v>
          </cell>
          <cell r="AE984" t="e">
            <v>#N/A</v>
          </cell>
          <cell r="AF984"/>
        </row>
        <row r="985">
          <cell r="Y985">
            <v>969</v>
          </cell>
          <cell r="Z985">
            <v>0.15455981902778149</v>
          </cell>
          <cell r="AA985">
            <v>-0.17191638256993508</v>
          </cell>
          <cell r="AB985"/>
          <cell r="AC985" t="e">
            <v>#N/A</v>
          </cell>
          <cell r="AD985">
            <v>898</v>
          </cell>
          <cell r="AE985" t="e">
            <v>#N/A</v>
          </cell>
          <cell r="AF985"/>
        </row>
        <row r="986">
          <cell r="Y986">
            <v>970</v>
          </cell>
          <cell r="Z986">
            <v>0.19955546222627163</v>
          </cell>
          <cell r="AA986">
            <v>-0.14252852867630059</v>
          </cell>
          <cell r="AB986"/>
          <cell r="AC986" t="e">
            <v>#N/A</v>
          </cell>
          <cell r="AD986">
            <v>899</v>
          </cell>
          <cell r="AE986" t="e">
            <v>#N/A</v>
          </cell>
          <cell r="AF986"/>
        </row>
        <row r="987">
          <cell r="Y987">
            <v>971</v>
          </cell>
          <cell r="Z987">
            <v>0.21648372523486614</v>
          </cell>
          <cell r="AA987">
            <v>-0.13254111921604891</v>
          </cell>
          <cell r="AB987"/>
          <cell r="AC987" t="e">
            <v>#N/A</v>
          </cell>
          <cell r="AD987">
            <v>900</v>
          </cell>
          <cell r="AE987" t="e">
            <v>#N/A</v>
          </cell>
          <cell r="AF987"/>
        </row>
        <row r="988">
          <cell r="Y988">
            <v>972</v>
          </cell>
          <cell r="Z988">
            <v>6.6637089475989342E-2</v>
          </cell>
          <cell r="AA988">
            <v>-0.25376850499946657</v>
          </cell>
          <cell r="AB988"/>
          <cell r="AC988" t="e">
            <v>#N/A</v>
          </cell>
          <cell r="AD988">
            <v>901</v>
          </cell>
          <cell r="AE988" t="e">
            <v>#N/A</v>
          </cell>
          <cell r="AF988"/>
        </row>
        <row r="989">
          <cell r="Y989">
            <v>973</v>
          </cell>
          <cell r="Z989">
            <v>0.76104205660521984</v>
          </cell>
          <cell r="AA989">
            <v>0.11995419273581129</v>
          </cell>
          <cell r="AB989"/>
          <cell r="AC989" t="e">
            <v>#N/A</v>
          </cell>
          <cell r="AD989">
            <v>902</v>
          </cell>
          <cell r="AE989" t="e">
            <v>#N/A</v>
          </cell>
          <cell r="AF989"/>
        </row>
        <row r="990">
          <cell r="Y990">
            <v>974</v>
          </cell>
          <cell r="Z990">
            <v>0.45959893427789211</v>
          </cell>
          <cell r="AA990">
            <v>-1.714719568884971E-2</v>
          </cell>
          <cell r="AB990"/>
          <cell r="AC990" t="e">
            <v>#N/A</v>
          </cell>
          <cell r="AD990">
            <v>903</v>
          </cell>
          <cell r="AE990" t="e">
            <v>#N/A</v>
          </cell>
          <cell r="AF990"/>
        </row>
        <row r="991">
          <cell r="Y991">
            <v>975</v>
          </cell>
          <cell r="Z991">
            <v>0.3175650667399168</v>
          </cell>
          <cell r="AA991">
            <v>-8.02082836899808E-2</v>
          </cell>
          <cell r="AB991"/>
          <cell r="AC991" t="e">
            <v>#N/A</v>
          </cell>
          <cell r="AD991">
            <v>904</v>
          </cell>
          <cell r="AE991" t="e">
            <v>#N/A</v>
          </cell>
          <cell r="AF991"/>
        </row>
        <row r="992">
          <cell r="Y992">
            <v>976</v>
          </cell>
          <cell r="Z992">
            <v>0.79574503563344479</v>
          </cell>
          <cell r="AA992">
            <v>0.13970715499357012</v>
          </cell>
          <cell r="AB992"/>
          <cell r="AC992" t="e">
            <v>#N/A</v>
          </cell>
          <cell r="AD992">
            <v>905</v>
          </cell>
          <cell r="AE992" t="e">
            <v>#N/A</v>
          </cell>
          <cell r="AF992"/>
        </row>
        <row r="993">
          <cell r="Y993">
            <v>977</v>
          </cell>
          <cell r="Z993">
            <v>0.70101991109549999</v>
          </cell>
          <cell r="AA993">
            <v>8.9136077394841737E-2</v>
          </cell>
          <cell r="AB993"/>
          <cell r="AC993" t="e">
            <v>#N/A</v>
          </cell>
          <cell r="AD993">
            <v>906</v>
          </cell>
          <cell r="AE993" t="e">
            <v>#N/A</v>
          </cell>
          <cell r="AF993"/>
        </row>
        <row r="994">
          <cell r="Y994">
            <v>978</v>
          </cell>
          <cell r="Z994">
            <v>0.22421384416520596</v>
          </cell>
          <cell r="AA994">
            <v>-0.12813196233554777</v>
          </cell>
          <cell r="AB994"/>
          <cell r="AC994" t="e">
            <v>#N/A</v>
          </cell>
          <cell r="AD994">
            <v>907</v>
          </cell>
          <cell r="AE994" t="e">
            <v>#N/A</v>
          </cell>
          <cell r="AF994"/>
        </row>
        <row r="995">
          <cell r="Y995">
            <v>979</v>
          </cell>
          <cell r="Z995">
            <v>0.35643203370273113</v>
          </cell>
          <cell r="AA995">
            <v>-6.2205431173468495E-2</v>
          </cell>
          <cell r="AB995"/>
          <cell r="AC995" t="e">
            <v>#N/A</v>
          </cell>
          <cell r="AD995">
            <v>908</v>
          </cell>
          <cell r="AE995" t="e">
            <v>#N/A</v>
          </cell>
          <cell r="AF995"/>
        </row>
        <row r="996">
          <cell r="Y996">
            <v>980</v>
          </cell>
          <cell r="Z996">
            <v>0.97064374946057796</v>
          </cell>
          <cell r="AA996">
            <v>0.31952578038074309</v>
          </cell>
          <cell r="AB996"/>
          <cell r="AC996" t="e">
            <v>#N/A</v>
          </cell>
          <cell r="AD996">
            <v>909</v>
          </cell>
          <cell r="AE996" t="e">
            <v>#N/A</v>
          </cell>
          <cell r="AF996"/>
        </row>
        <row r="997">
          <cell r="Y997">
            <v>981</v>
          </cell>
          <cell r="Z997">
            <v>0.11297452263534069</v>
          </cell>
          <cell r="AA997">
            <v>-0.20467270492087164</v>
          </cell>
          <cell r="AB997"/>
          <cell r="AC997" t="e">
            <v>#N/A</v>
          </cell>
          <cell r="AD997">
            <v>910</v>
          </cell>
          <cell r="AE997" t="e">
            <v>#N/A</v>
          </cell>
          <cell r="AF997"/>
        </row>
        <row r="998">
          <cell r="Y998">
            <v>982</v>
          </cell>
          <cell r="Z998">
            <v>0.69502220116555691</v>
          </cell>
          <cell r="AA998">
            <v>8.6228864065090116E-2</v>
          </cell>
          <cell r="AB998"/>
          <cell r="AC998" t="e">
            <v>#N/A</v>
          </cell>
          <cell r="AD998">
            <v>911</v>
          </cell>
          <cell r="AE998" t="e">
            <v>#N/A</v>
          </cell>
          <cell r="AF998"/>
        </row>
        <row r="999">
          <cell r="Y999">
            <v>983</v>
          </cell>
          <cell r="Z999">
            <v>4.6944184228777885E-2</v>
          </cell>
          <cell r="AA999">
            <v>-0.28316619461862941</v>
          </cell>
          <cell r="AB999"/>
          <cell r="AC999" t="e">
            <v>#N/A</v>
          </cell>
          <cell r="AD999">
            <v>912</v>
          </cell>
          <cell r="AE999" t="e">
            <v>#N/A</v>
          </cell>
          <cell r="AF999"/>
        </row>
        <row r="1000">
          <cell r="Y1000">
            <v>984</v>
          </cell>
          <cell r="Z1000">
            <v>0.45256217382848263</v>
          </cell>
          <cell r="AA1000">
            <v>-2.0146889826662892E-2</v>
          </cell>
          <cell r="AB1000"/>
          <cell r="AC1000" t="e">
            <v>#N/A</v>
          </cell>
          <cell r="AD1000">
            <v>913</v>
          </cell>
          <cell r="AE1000" t="e">
            <v>#N/A</v>
          </cell>
          <cell r="AF1000"/>
        </row>
        <row r="1001">
          <cell r="Y1001">
            <v>985</v>
          </cell>
          <cell r="Z1001">
            <v>0.62159308604896069</v>
          </cell>
          <cell r="AA1001">
            <v>5.2343359258724582E-2</v>
          </cell>
          <cell r="AB1001"/>
          <cell r="AC1001" t="e">
            <v>#N/A</v>
          </cell>
          <cell r="AD1001">
            <v>914</v>
          </cell>
          <cell r="AE1001" t="e">
            <v>#N/A</v>
          </cell>
          <cell r="AF1001"/>
        </row>
        <row r="1002">
          <cell r="Y1002">
            <v>986</v>
          </cell>
          <cell r="Z1002">
            <v>0.94119972549378872</v>
          </cell>
          <cell r="AA1002">
            <v>0.2645205662121255</v>
          </cell>
          <cell r="AB1002"/>
          <cell r="AC1002" t="e">
            <v>#N/A</v>
          </cell>
          <cell r="AD1002">
            <v>915</v>
          </cell>
          <cell r="AE1002" t="e">
            <v>#N/A</v>
          </cell>
          <cell r="AF1002"/>
        </row>
        <row r="1003">
          <cell r="Y1003">
            <v>987</v>
          </cell>
          <cell r="Z1003">
            <v>0.49053431861102581</v>
          </cell>
          <cell r="AA1003">
            <v>-4.0109620168016693E-3</v>
          </cell>
          <cell r="AB1003"/>
          <cell r="AC1003" t="e">
            <v>#N/A</v>
          </cell>
          <cell r="AD1003">
            <v>916</v>
          </cell>
          <cell r="AE1003" t="e">
            <v>#N/A</v>
          </cell>
          <cell r="AF1003"/>
        </row>
        <row r="1004">
          <cell r="Y1004">
            <v>988</v>
          </cell>
          <cell r="Z1004">
            <v>0.56305640004575253</v>
          </cell>
          <cell r="AA1004">
            <v>2.6829065863458651E-2</v>
          </cell>
          <cell r="AB1004"/>
          <cell r="AC1004" t="e">
            <v>#N/A</v>
          </cell>
          <cell r="AD1004">
            <v>917</v>
          </cell>
          <cell r="AE1004" t="e">
            <v>#N/A</v>
          </cell>
          <cell r="AF1004"/>
        </row>
        <row r="1005">
          <cell r="Y1005">
            <v>989</v>
          </cell>
          <cell r="Z1005">
            <v>0.32019072584807873</v>
          </cell>
          <cell r="AA1005">
            <v>-7.8965387446822993E-2</v>
          </cell>
          <cell r="AB1005"/>
          <cell r="AC1005" t="e">
            <v>#N/A</v>
          </cell>
          <cell r="AD1005">
            <v>918</v>
          </cell>
          <cell r="AE1005" t="e">
            <v>#N/A</v>
          </cell>
          <cell r="AF1005"/>
        </row>
        <row r="1006">
          <cell r="Y1006">
            <v>990</v>
          </cell>
          <cell r="Z1006">
            <v>0.42096022330224514</v>
          </cell>
          <cell r="AA1006">
            <v>-3.3711108114676258E-2</v>
          </cell>
          <cell r="AB1006"/>
          <cell r="AC1006" t="e">
            <v>#N/A</v>
          </cell>
          <cell r="AD1006">
            <v>919</v>
          </cell>
          <cell r="AE1006" t="e">
            <v>#N/A</v>
          </cell>
          <cell r="AF1006"/>
        </row>
        <row r="1007">
          <cell r="Y1007">
            <v>991</v>
          </cell>
          <cell r="Z1007">
            <v>0.70550535432994366</v>
          </cell>
          <cell r="AA1007">
            <v>9.1327581315960984E-2</v>
          </cell>
          <cell r="AB1007"/>
          <cell r="AC1007" t="e">
            <v>#N/A</v>
          </cell>
          <cell r="AD1007">
            <v>920</v>
          </cell>
          <cell r="AE1007" t="e">
            <v>#N/A</v>
          </cell>
          <cell r="AF1007"/>
        </row>
        <row r="1008">
          <cell r="Y1008">
            <v>992</v>
          </cell>
          <cell r="Z1008">
            <v>0.71486904285848141</v>
          </cell>
          <cell r="AA1008">
            <v>9.5953034217156716E-2</v>
          </cell>
          <cell r="AB1008"/>
          <cell r="AC1008" t="e">
            <v>#N/A</v>
          </cell>
          <cell r="AD1008">
            <v>921</v>
          </cell>
          <cell r="AE1008" t="e">
            <v>#N/A</v>
          </cell>
          <cell r="AF1008"/>
        </row>
        <row r="1009">
          <cell r="Y1009">
            <v>993</v>
          </cell>
          <cell r="Z1009">
            <v>0.72188237123191357</v>
          </cell>
          <cell r="AA1009">
            <v>9.9464951766656373E-2</v>
          </cell>
          <cell r="AB1009"/>
          <cell r="AC1009" t="e">
            <v>#N/A</v>
          </cell>
          <cell r="AD1009">
            <v>922</v>
          </cell>
          <cell r="AE1009" t="e">
            <v>#N/A</v>
          </cell>
          <cell r="AF1009"/>
        </row>
        <row r="1010">
          <cell r="Y1010">
            <v>994</v>
          </cell>
          <cell r="Z1010">
            <v>9.678996168076992E-2</v>
          </cell>
          <cell r="AA1010">
            <v>-0.21975048599934105</v>
          </cell>
          <cell r="AB1010"/>
          <cell r="AC1010" t="e">
            <v>#N/A</v>
          </cell>
          <cell r="AD1010">
            <v>923</v>
          </cell>
          <cell r="AE1010" t="e">
            <v>#N/A</v>
          </cell>
          <cell r="AF1010"/>
        </row>
        <row r="1011">
          <cell r="Y1011">
            <v>995</v>
          </cell>
          <cell r="Z1011">
            <v>0.87507720105350018</v>
          </cell>
          <cell r="AA1011">
            <v>0.19450793980839567</v>
          </cell>
          <cell r="AB1011"/>
          <cell r="AC1011" t="e">
            <v>#N/A</v>
          </cell>
          <cell r="AD1011">
            <v>924</v>
          </cell>
          <cell r="AE1011" t="e">
            <v>#N/A</v>
          </cell>
          <cell r="AF1011"/>
        </row>
        <row r="1012">
          <cell r="Y1012">
            <v>996</v>
          </cell>
          <cell r="Z1012">
            <v>0.38653861545026302</v>
          </cell>
          <cell r="AA1012">
            <v>-4.8740400600331885E-2</v>
          </cell>
          <cell r="AB1012"/>
          <cell r="AC1012" t="e">
            <v>#N/A</v>
          </cell>
          <cell r="AD1012">
            <v>925</v>
          </cell>
          <cell r="AE1012" t="e">
            <v>#N/A</v>
          </cell>
          <cell r="AF1012"/>
        </row>
        <row r="1013">
          <cell r="Y1013">
            <v>997</v>
          </cell>
          <cell r="Z1013">
            <v>0.17950463108718395</v>
          </cell>
          <cell r="AA1013">
            <v>-0.15504431893210771</v>
          </cell>
          <cell r="AB1013"/>
          <cell r="AC1013" t="e">
            <v>#N/A</v>
          </cell>
          <cell r="AD1013">
            <v>926</v>
          </cell>
          <cell r="AE1013" t="e">
            <v>#N/A</v>
          </cell>
          <cell r="AF1013"/>
        </row>
        <row r="1014">
          <cell r="Y1014">
            <v>998</v>
          </cell>
          <cell r="Z1014">
            <v>0.64443204365670681</v>
          </cell>
          <cell r="AA1014">
            <v>6.2597356309125871E-2</v>
          </cell>
          <cell r="AB1014"/>
          <cell r="AC1014" t="e">
            <v>#N/A</v>
          </cell>
          <cell r="AD1014">
            <v>927</v>
          </cell>
          <cell r="AE1014" t="e">
            <v>#N/A</v>
          </cell>
          <cell r="AF1014"/>
        </row>
        <row r="1015">
          <cell r="Y1015">
            <v>999</v>
          </cell>
          <cell r="Z1015">
            <v>0.81418363563716412</v>
          </cell>
          <cell r="AA1015">
            <v>0.15101540627250015</v>
          </cell>
          <cell r="AB1015"/>
          <cell r="AC1015" t="e">
            <v>#N/A</v>
          </cell>
          <cell r="AD1015">
            <v>928</v>
          </cell>
          <cell r="AE1015" t="e">
            <v>#N/A</v>
          </cell>
          <cell r="AF1015"/>
        </row>
        <row r="1016">
          <cell r="Y1016">
            <v>1000</v>
          </cell>
          <cell r="Z1016">
            <v>0.94075890444219112</v>
          </cell>
          <cell r="AA1016">
            <v>0.26388693566137</v>
          </cell>
          <cell r="AB1016"/>
          <cell r="AC1016" t="e">
            <v>#N/A</v>
          </cell>
          <cell r="AD1016">
            <v>929</v>
          </cell>
          <cell r="AE1016" t="e">
            <v>#N/A</v>
          </cell>
          <cell r="AF1016"/>
        </row>
      </sheetData>
      <sheetData sheetId="2"/>
      <sheetData sheetId="3"/>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Two Independent Groups"/>
      <sheetName val="Star Games"/>
      <sheetName val="Two Independent Groups Repeated"/>
      <sheetName val="Paired Data"/>
      <sheetName val="IBITwo-18.4.1b"/>
    </sheetNames>
    <sheetDataSet>
      <sheetData sheetId="0"/>
      <sheetData sheetId="1"/>
      <sheetData sheetId="2"/>
      <sheetData sheetId="3"/>
      <sheetData sheetId="4">
        <row r="3">
          <cell r="K3">
            <v>40</v>
          </cell>
        </row>
        <row r="5">
          <cell r="K5">
            <v>30</v>
          </cell>
        </row>
        <row r="6">
          <cell r="K6">
            <v>15</v>
          </cell>
        </row>
        <row r="8">
          <cell r="K8">
            <v>10</v>
          </cell>
        </row>
        <row r="11">
          <cell r="H11">
            <v>15</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2.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2.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2.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2.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26" Type="http://schemas.openxmlformats.org/officeDocument/2006/relationships/ctrlProp" Target="../ctrlProps/ctrlProp39.xml"/><Relationship Id="rId3" Type="http://schemas.openxmlformats.org/officeDocument/2006/relationships/vmlDrawing" Target="../drawings/vmlDrawing4.vml"/><Relationship Id="rId21" Type="http://schemas.openxmlformats.org/officeDocument/2006/relationships/ctrlProp" Target="../ctrlProps/ctrlProp34.xml"/><Relationship Id="rId34" Type="http://schemas.openxmlformats.org/officeDocument/2006/relationships/ctrlProp" Target="../ctrlProps/ctrlProp47.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5" Type="http://schemas.openxmlformats.org/officeDocument/2006/relationships/ctrlProp" Target="../ctrlProps/ctrlProp38.xml"/><Relationship Id="rId33" Type="http://schemas.openxmlformats.org/officeDocument/2006/relationships/ctrlProp" Target="../ctrlProps/ctrlProp46.xml"/><Relationship Id="rId2" Type="http://schemas.openxmlformats.org/officeDocument/2006/relationships/drawing" Target="../drawings/drawing5.xml"/><Relationship Id="rId16" Type="http://schemas.openxmlformats.org/officeDocument/2006/relationships/ctrlProp" Target="../ctrlProps/ctrlProp29.xml"/><Relationship Id="rId20" Type="http://schemas.openxmlformats.org/officeDocument/2006/relationships/ctrlProp" Target="../ctrlProps/ctrlProp33.xml"/><Relationship Id="rId29" Type="http://schemas.openxmlformats.org/officeDocument/2006/relationships/ctrlProp" Target="../ctrlProps/ctrlProp42.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32" Type="http://schemas.openxmlformats.org/officeDocument/2006/relationships/ctrlProp" Target="../ctrlProps/ctrlProp45.xml"/><Relationship Id="rId5" Type="http://schemas.openxmlformats.org/officeDocument/2006/relationships/image" Target="../media/image2.emf"/><Relationship Id="rId15" Type="http://schemas.openxmlformats.org/officeDocument/2006/relationships/ctrlProp" Target="../ctrlProps/ctrlProp28.xml"/><Relationship Id="rId23" Type="http://schemas.openxmlformats.org/officeDocument/2006/relationships/ctrlProp" Target="../ctrlProps/ctrlProp36.xml"/><Relationship Id="rId28" Type="http://schemas.openxmlformats.org/officeDocument/2006/relationships/ctrlProp" Target="../ctrlProps/ctrlProp41.xml"/><Relationship Id="rId10" Type="http://schemas.openxmlformats.org/officeDocument/2006/relationships/ctrlProp" Target="../ctrlProps/ctrlProp23.xml"/><Relationship Id="rId19" Type="http://schemas.openxmlformats.org/officeDocument/2006/relationships/ctrlProp" Target="../ctrlProps/ctrlProp32.xml"/><Relationship Id="rId31" Type="http://schemas.openxmlformats.org/officeDocument/2006/relationships/ctrlProp" Target="../ctrlProps/ctrlProp44.xml"/><Relationship Id="rId4" Type="http://schemas.openxmlformats.org/officeDocument/2006/relationships/oleObject" Target="../embeddings/oleObject2.bin"/><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 Id="rId27" Type="http://schemas.openxmlformats.org/officeDocument/2006/relationships/ctrlProp" Target="../ctrlProps/ctrlProp40.xml"/><Relationship Id="rId30" Type="http://schemas.openxmlformats.org/officeDocument/2006/relationships/ctrlProp" Target="../ctrlProps/ctrlProp43.xml"/><Relationship Id="rId35"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vmlDrawing" Target="../drawings/vmlDrawing5.vml"/><Relationship Id="rId7" Type="http://schemas.openxmlformats.org/officeDocument/2006/relationships/ctrlProp" Target="../ctrlProps/ctrlProp51.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6.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omments" Target="../comments6.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11.xml"/><Relationship Id="rId16" Type="http://schemas.openxmlformats.org/officeDocument/2006/relationships/ctrlProp" Target="../ctrlProps/ctrlProp74.xml"/><Relationship Id="rId1" Type="http://schemas.openxmlformats.org/officeDocument/2006/relationships/printerSettings" Target="../printerSettings/printerSettings7.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image" Target="../media/image2.emf"/><Relationship Id="rId15" Type="http://schemas.openxmlformats.org/officeDocument/2006/relationships/ctrlProp" Target="../ctrlProps/ctrlProp73.xml"/><Relationship Id="rId10" Type="http://schemas.openxmlformats.org/officeDocument/2006/relationships/ctrlProp" Target="../ctrlProps/ctrlProp68.xml"/><Relationship Id="rId4" Type="http://schemas.openxmlformats.org/officeDocument/2006/relationships/oleObject" Target="../embeddings/oleObject3.bin"/><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 Type="http://schemas.openxmlformats.org/officeDocument/2006/relationships/vmlDrawing" Target="../drawings/vmlDrawing8.vml"/><Relationship Id="rId21" Type="http://schemas.openxmlformats.org/officeDocument/2006/relationships/ctrlProp" Target="../ctrlProps/ctrlProp91.x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2" Type="http://schemas.openxmlformats.org/officeDocument/2006/relationships/drawing" Target="../drawings/drawing12.xml"/><Relationship Id="rId16" Type="http://schemas.openxmlformats.org/officeDocument/2006/relationships/ctrlProp" Target="../ctrlProps/ctrlProp86.xml"/><Relationship Id="rId20" Type="http://schemas.openxmlformats.org/officeDocument/2006/relationships/ctrlProp" Target="../ctrlProps/ctrlProp90.xml"/><Relationship Id="rId1" Type="http://schemas.openxmlformats.org/officeDocument/2006/relationships/printerSettings" Target="../printerSettings/printerSettings8.bin"/><Relationship Id="rId6" Type="http://schemas.openxmlformats.org/officeDocument/2006/relationships/ctrlProp" Target="../ctrlProps/ctrlProp76.xml"/><Relationship Id="rId11" Type="http://schemas.openxmlformats.org/officeDocument/2006/relationships/ctrlProp" Target="../ctrlProps/ctrlProp81.xml"/><Relationship Id="rId24" Type="http://schemas.openxmlformats.org/officeDocument/2006/relationships/ctrlProp" Target="../ctrlProps/ctrlProp94.xml"/><Relationship Id="rId5" Type="http://schemas.openxmlformats.org/officeDocument/2006/relationships/image" Target="../media/image2.emf"/><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omments" Target="../comments8.xml"/><Relationship Id="rId10" Type="http://schemas.openxmlformats.org/officeDocument/2006/relationships/ctrlProp" Target="../ctrlProps/ctrlProp80.xml"/><Relationship Id="rId19" Type="http://schemas.openxmlformats.org/officeDocument/2006/relationships/ctrlProp" Target="../ctrlProps/ctrlProp89.xml"/><Relationship Id="rId4" Type="http://schemas.openxmlformats.org/officeDocument/2006/relationships/oleObject" Target="../embeddings/oleObject4.bin"/><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00.xml"/><Relationship Id="rId13" Type="http://schemas.openxmlformats.org/officeDocument/2006/relationships/ctrlProp" Target="../ctrlProps/ctrlProp105.xml"/><Relationship Id="rId1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ctrlProp" Target="../ctrlProps/ctrlProp99.xml"/><Relationship Id="rId12" Type="http://schemas.openxmlformats.org/officeDocument/2006/relationships/ctrlProp" Target="../ctrlProps/ctrlProp104.xml"/><Relationship Id="rId17" Type="http://schemas.openxmlformats.org/officeDocument/2006/relationships/ctrlProp" Target="../ctrlProps/ctrlProp109.xml"/><Relationship Id="rId2" Type="http://schemas.openxmlformats.org/officeDocument/2006/relationships/drawing" Target="../drawings/drawing13.xml"/><Relationship Id="rId16" Type="http://schemas.openxmlformats.org/officeDocument/2006/relationships/ctrlProp" Target="../ctrlProps/ctrlProp108.xml"/><Relationship Id="rId1" Type="http://schemas.openxmlformats.org/officeDocument/2006/relationships/printerSettings" Target="../printerSettings/printerSettings9.bin"/><Relationship Id="rId6" Type="http://schemas.openxmlformats.org/officeDocument/2006/relationships/ctrlProp" Target="../ctrlProps/ctrlProp98.xml"/><Relationship Id="rId11" Type="http://schemas.openxmlformats.org/officeDocument/2006/relationships/ctrlProp" Target="../ctrlProps/ctrlProp103.xml"/><Relationship Id="rId5" Type="http://schemas.openxmlformats.org/officeDocument/2006/relationships/image" Target="../media/image2.emf"/><Relationship Id="rId15" Type="http://schemas.openxmlformats.org/officeDocument/2006/relationships/ctrlProp" Target="../ctrlProps/ctrlProp107.xml"/><Relationship Id="rId10" Type="http://schemas.openxmlformats.org/officeDocument/2006/relationships/ctrlProp" Target="../ctrlProps/ctrlProp102.xml"/><Relationship Id="rId4" Type="http://schemas.openxmlformats.org/officeDocument/2006/relationships/oleObject" Target="../embeddings/oleObject5.bin"/><Relationship Id="rId9" Type="http://schemas.openxmlformats.org/officeDocument/2006/relationships/ctrlProp" Target="../ctrlProps/ctrlProp101.xml"/><Relationship Id="rId14" Type="http://schemas.openxmlformats.org/officeDocument/2006/relationships/ctrlProp" Target="../ctrlProps/ctrlProp10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26" Type="http://schemas.openxmlformats.org/officeDocument/2006/relationships/ctrlProp" Target="../ctrlProps/ctrlProp130.xml"/><Relationship Id="rId3" Type="http://schemas.openxmlformats.org/officeDocument/2006/relationships/vmlDrawing" Target="../drawings/vmlDrawing10.vml"/><Relationship Id="rId21" Type="http://schemas.openxmlformats.org/officeDocument/2006/relationships/ctrlProp" Target="../ctrlProps/ctrlProp125.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5" Type="http://schemas.openxmlformats.org/officeDocument/2006/relationships/ctrlProp" Target="../ctrlProps/ctrlProp129.xml"/><Relationship Id="rId2" Type="http://schemas.openxmlformats.org/officeDocument/2006/relationships/drawing" Target="../drawings/drawing15.xml"/><Relationship Id="rId16" Type="http://schemas.openxmlformats.org/officeDocument/2006/relationships/ctrlProp" Target="../ctrlProps/ctrlProp120.xml"/><Relationship Id="rId20" Type="http://schemas.openxmlformats.org/officeDocument/2006/relationships/ctrlProp" Target="../ctrlProps/ctrlProp124.xml"/><Relationship Id="rId29"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5" Type="http://schemas.openxmlformats.org/officeDocument/2006/relationships/image" Target="../media/image2.emf"/><Relationship Id="rId15" Type="http://schemas.openxmlformats.org/officeDocument/2006/relationships/ctrlProp" Target="../ctrlProps/ctrlProp119.xml"/><Relationship Id="rId23" Type="http://schemas.openxmlformats.org/officeDocument/2006/relationships/ctrlProp" Target="../ctrlProps/ctrlProp127.xml"/><Relationship Id="rId28" Type="http://schemas.openxmlformats.org/officeDocument/2006/relationships/ctrlProp" Target="../ctrlProps/ctrlProp132.xml"/><Relationship Id="rId10" Type="http://schemas.openxmlformats.org/officeDocument/2006/relationships/ctrlProp" Target="../ctrlProps/ctrlProp114.xml"/><Relationship Id="rId19" Type="http://schemas.openxmlformats.org/officeDocument/2006/relationships/ctrlProp" Target="../ctrlProps/ctrlProp123.xml"/><Relationship Id="rId31" Type="http://schemas.openxmlformats.org/officeDocument/2006/relationships/comments" Target="../comments10.xml"/><Relationship Id="rId4" Type="http://schemas.openxmlformats.org/officeDocument/2006/relationships/oleObject" Target="../embeddings/oleObject6.bin"/><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 Id="rId27" Type="http://schemas.openxmlformats.org/officeDocument/2006/relationships/ctrlProp" Target="../ctrlProps/ctrlProp131.xml"/><Relationship Id="rId30" Type="http://schemas.openxmlformats.org/officeDocument/2006/relationships/ctrlProp" Target="../ctrlProps/ctrlProp1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S729"/>
  <sheetViews>
    <sheetView showGridLines="0" showRowColHeaders="0" workbookViewId="0">
      <selection activeCell="B2" sqref="B2"/>
    </sheetView>
  </sheetViews>
  <sheetFormatPr defaultRowHeight="11.25" x14ac:dyDescent="0.2"/>
  <cols>
    <col min="1" max="1" width="4.28515625" style="19" customWidth="1"/>
    <col min="2" max="2" width="5.7109375" style="19" customWidth="1"/>
    <col min="3" max="3" width="3.7109375" style="19" customWidth="1"/>
    <col min="4" max="4" width="6" style="19" customWidth="1"/>
    <col min="5" max="5" width="4.28515625" style="19" customWidth="1"/>
    <col min="6" max="7" width="2.85546875" style="19" customWidth="1"/>
    <col min="8" max="8" width="5.5703125" style="19" customWidth="1"/>
    <col min="9" max="9" width="5.7109375" style="19" customWidth="1"/>
    <col min="10" max="10" width="6" style="19" customWidth="1"/>
    <col min="11" max="11" width="5.7109375" style="19" customWidth="1"/>
    <col min="12" max="12" width="3.5703125" style="19" customWidth="1"/>
    <col min="13" max="13" width="7" style="19" customWidth="1"/>
    <col min="14" max="14" width="9.140625" style="19"/>
    <col min="15" max="15" width="25.85546875" style="19" customWidth="1"/>
    <col min="16" max="16" width="18.28515625" style="19" customWidth="1"/>
    <col min="17" max="17" width="11.28515625" style="19" customWidth="1"/>
    <col min="18" max="18" width="14" style="19" customWidth="1"/>
    <col min="19" max="19" width="12.28515625" style="19" customWidth="1"/>
    <col min="20" max="16384" width="9.140625" style="19"/>
  </cols>
  <sheetData>
    <row r="2" spans="1:19" ht="20.25" x14ac:dyDescent="0.3">
      <c r="F2" s="20" t="s">
        <v>482</v>
      </c>
    </row>
    <row r="3" spans="1:19" ht="15.75" x14ac:dyDescent="0.25">
      <c r="F3" s="21" t="s">
        <v>1034</v>
      </c>
      <c r="L3" s="22" t="s">
        <v>480</v>
      </c>
    </row>
    <row r="4" spans="1:19" ht="12" customHeight="1" x14ac:dyDescent="0.2"/>
    <row r="5" spans="1:19" s="23" customFormat="1" ht="12" customHeight="1" x14ac:dyDescent="0.2">
      <c r="G5" s="23" t="s">
        <v>483</v>
      </c>
      <c r="L5" s="24"/>
      <c r="N5" s="23" t="s">
        <v>1154</v>
      </c>
    </row>
    <row r="6" spans="1:19" s="23" customFormat="1" ht="12" customHeight="1" x14ac:dyDescent="0.2">
      <c r="H6" s="23" t="s">
        <v>484</v>
      </c>
      <c r="L6" s="24"/>
      <c r="M6" s="24"/>
      <c r="N6" s="23" t="s">
        <v>1155</v>
      </c>
      <c r="O6" s="24"/>
    </row>
    <row r="7" spans="1:19" s="23" customFormat="1" ht="12" customHeight="1" x14ac:dyDescent="0.2">
      <c r="H7" s="23" t="s">
        <v>1156</v>
      </c>
      <c r="L7" s="24"/>
      <c r="M7" s="24"/>
      <c r="N7" s="23" t="s">
        <v>1157</v>
      </c>
    </row>
    <row r="8" spans="1:19" s="23" customFormat="1" ht="12" customHeight="1" x14ac:dyDescent="0.2">
      <c r="H8" s="23" t="s">
        <v>1158</v>
      </c>
      <c r="L8" s="24"/>
      <c r="M8" s="24"/>
      <c r="N8" s="23" t="s">
        <v>1159</v>
      </c>
    </row>
    <row r="9" spans="1:19" s="23" customFormat="1" ht="12" customHeight="1" x14ac:dyDescent="0.2">
      <c r="H9" s="25" t="s">
        <v>485</v>
      </c>
      <c r="L9" s="24"/>
      <c r="M9" s="24"/>
      <c r="N9" s="23" t="s">
        <v>1160</v>
      </c>
    </row>
    <row r="10" spans="1:19" s="23" customFormat="1" ht="12" customHeight="1" x14ac:dyDescent="0.2">
      <c r="L10" s="24"/>
      <c r="M10" s="24"/>
    </row>
    <row r="11" spans="1:19" s="23" customFormat="1" ht="6" customHeight="1" x14ac:dyDescent="0.2">
      <c r="B11" s="26"/>
      <c r="C11" s="27"/>
      <c r="D11" s="27"/>
      <c r="E11" s="27"/>
      <c r="F11" s="27"/>
      <c r="G11" s="27"/>
      <c r="H11" s="27"/>
      <c r="I11" s="27"/>
      <c r="J11" s="27"/>
      <c r="K11" s="27"/>
      <c r="L11" s="27"/>
      <c r="M11" s="27"/>
      <c r="N11" s="27"/>
      <c r="O11" s="27"/>
      <c r="P11" s="27"/>
      <c r="Q11" s="27"/>
      <c r="R11" s="27"/>
      <c r="S11" s="28"/>
    </row>
    <row r="12" spans="1:19" s="23" customFormat="1" ht="12" customHeight="1" x14ac:dyDescent="0.2">
      <c r="B12" s="29" t="s">
        <v>1151</v>
      </c>
      <c r="C12" s="30"/>
      <c r="D12" s="30"/>
      <c r="E12" s="30"/>
      <c r="F12" s="30"/>
      <c r="G12" s="30"/>
      <c r="H12" s="30"/>
      <c r="I12" s="30"/>
      <c r="J12" s="30"/>
      <c r="K12" s="30"/>
      <c r="L12" s="30"/>
      <c r="M12" s="30"/>
      <c r="N12" s="30"/>
      <c r="O12" s="30"/>
      <c r="P12" s="30"/>
      <c r="Q12" s="30"/>
      <c r="R12" s="30"/>
      <c r="S12" s="31"/>
    </row>
    <row r="13" spans="1:19" s="23" customFormat="1" ht="12" customHeight="1" x14ac:dyDescent="0.2">
      <c r="A13" s="32"/>
      <c r="B13" s="29" t="s">
        <v>491</v>
      </c>
      <c r="C13" s="30"/>
      <c r="D13" s="30"/>
      <c r="E13" s="30"/>
      <c r="F13" s="30"/>
      <c r="G13" s="30"/>
      <c r="H13" s="30"/>
      <c r="I13" s="30"/>
      <c r="J13" s="30"/>
      <c r="K13" s="30"/>
      <c r="L13" s="30"/>
      <c r="M13" s="30"/>
      <c r="N13" s="30"/>
      <c r="O13" s="30"/>
      <c r="P13" s="30"/>
      <c r="Q13" s="30"/>
      <c r="R13" s="30"/>
      <c r="S13" s="31"/>
    </row>
    <row r="14" spans="1:19" s="23" customFormat="1" ht="12" customHeight="1" x14ac:dyDescent="0.2">
      <c r="A14" s="32"/>
      <c r="B14" s="29" t="s">
        <v>488</v>
      </c>
      <c r="C14" s="30"/>
      <c r="D14" s="30"/>
      <c r="E14" s="30"/>
      <c r="F14" s="30"/>
      <c r="G14" s="30"/>
      <c r="H14" s="30"/>
      <c r="I14" s="30"/>
      <c r="J14" s="30"/>
      <c r="K14" s="30"/>
      <c r="L14" s="30"/>
      <c r="M14" s="30"/>
      <c r="N14" s="30"/>
      <c r="O14" s="30"/>
      <c r="P14" s="30"/>
      <c r="Q14" s="30"/>
      <c r="R14" s="30"/>
      <c r="S14" s="31"/>
    </row>
    <row r="15" spans="1:19" s="23" customFormat="1" ht="12" customHeight="1" x14ac:dyDescent="0.2">
      <c r="A15" s="32"/>
      <c r="B15" s="29" t="s">
        <v>539</v>
      </c>
      <c r="C15" s="30"/>
      <c r="D15" s="30"/>
      <c r="E15" s="30"/>
      <c r="F15" s="30"/>
      <c r="G15" s="30"/>
      <c r="H15" s="30"/>
      <c r="I15" s="30"/>
      <c r="J15" s="30"/>
      <c r="K15" s="30"/>
      <c r="L15" s="30"/>
      <c r="M15" s="30"/>
      <c r="N15" s="30"/>
      <c r="O15" s="30"/>
      <c r="P15" s="30"/>
      <c r="Q15" s="30"/>
      <c r="R15" s="30"/>
      <c r="S15" s="31"/>
    </row>
    <row r="16" spans="1:19" s="23" customFormat="1" ht="6" customHeight="1" x14ac:dyDescent="0.2">
      <c r="B16" s="33"/>
      <c r="C16" s="34"/>
      <c r="D16" s="34"/>
      <c r="E16" s="34"/>
      <c r="F16" s="34"/>
      <c r="G16" s="34"/>
      <c r="H16" s="34"/>
      <c r="I16" s="34"/>
      <c r="J16" s="34"/>
      <c r="K16" s="34"/>
      <c r="L16" s="34"/>
      <c r="M16" s="34"/>
      <c r="N16" s="34"/>
      <c r="O16" s="34"/>
      <c r="P16" s="34"/>
      <c r="Q16" s="34"/>
      <c r="R16" s="34"/>
      <c r="S16" s="35"/>
    </row>
    <row r="17" spans="1:12" s="23" customFormat="1" ht="7.5" customHeight="1" x14ac:dyDescent="0.2">
      <c r="B17" s="36"/>
      <c r="C17" s="37"/>
      <c r="D17" s="37"/>
      <c r="E17" s="37"/>
      <c r="F17" s="37"/>
      <c r="G17" s="37"/>
      <c r="H17" s="37"/>
      <c r="I17" s="37"/>
      <c r="J17" s="37"/>
      <c r="K17" s="37"/>
      <c r="L17" s="37"/>
    </row>
    <row r="18" spans="1:12" s="23" customFormat="1" ht="7.5" customHeight="1" x14ac:dyDescent="0.2">
      <c r="B18" s="38"/>
    </row>
    <row r="19" spans="1:12" s="23" customFormat="1" ht="12" customHeight="1" x14ac:dyDescent="0.2">
      <c r="A19" s="39"/>
      <c r="B19" s="40" t="s">
        <v>486</v>
      </c>
    </row>
    <row r="20" spans="1:12" s="23" customFormat="1" ht="3" customHeight="1" x14ac:dyDescent="0.2">
      <c r="B20" s="32"/>
      <c r="C20" s="43"/>
    </row>
    <row r="21" spans="1:12" ht="12" customHeight="1" x14ac:dyDescent="0.2">
      <c r="B21" s="72"/>
      <c r="C21" s="25" t="s">
        <v>1032</v>
      </c>
    </row>
    <row r="22" spans="1:12" ht="3" customHeight="1" x14ac:dyDescent="0.2"/>
    <row r="23" spans="1:12" ht="13.5" customHeight="1" x14ac:dyDescent="0.35">
      <c r="B23" s="72"/>
      <c r="C23" s="43" t="s">
        <v>1037</v>
      </c>
    </row>
    <row r="24" spans="1:12" ht="3" customHeight="1" x14ac:dyDescent="0.2"/>
    <row r="25" spans="1:12" ht="12" customHeight="1" x14ac:dyDescent="0.2">
      <c r="B25" s="72"/>
      <c r="C25" s="25" t="s">
        <v>1033</v>
      </c>
    </row>
    <row r="26" spans="1:12" ht="3" customHeight="1" x14ac:dyDescent="0.2">
      <c r="B26" s="72"/>
      <c r="C26" s="25"/>
    </row>
    <row r="27" spans="1:12" ht="12" customHeight="1" x14ac:dyDescent="0.2">
      <c r="A27" s="1"/>
      <c r="B27" s="41"/>
      <c r="C27" s="43" t="s">
        <v>1149</v>
      </c>
      <c r="D27" s="23"/>
      <c r="E27" s="1"/>
      <c r="F27" s="1"/>
      <c r="G27" s="1"/>
    </row>
    <row r="28" spans="1:12" ht="3" customHeight="1" x14ac:dyDescent="0.2"/>
    <row r="29" spans="1:12" s="23" customFormat="1" ht="12" customHeight="1" x14ac:dyDescent="0.2">
      <c r="B29" s="41"/>
      <c r="C29" s="25" t="s">
        <v>736</v>
      </c>
    </row>
    <row r="30" spans="1:12" s="23" customFormat="1" ht="3" customHeight="1" x14ac:dyDescent="0.2">
      <c r="C30" s="42"/>
    </row>
    <row r="31" spans="1:12" s="23" customFormat="1" ht="12" customHeight="1" x14ac:dyDescent="0.2">
      <c r="B31" s="41"/>
      <c r="C31" s="25" t="s">
        <v>752</v>
      </c>
    </row>
    <row r="32" spans="1:12" s="23" customFormat="1" ht="3" customHeight="1" x14ac:dyDescent="0.2">
      <c r="B32" s="32"/>
      <c r="C32" s="43"/>
    </row>
    <row r="33" spans="1:3" s="23" customFormat="1" ht="12" customHeight="1" x14ac:dyDescent="0.2">
      <c r="B33" s="41"/>
      <c r="C33" s="25" t="s">
        <v>750</v>
      </c>
    </row>
    <row r="34" spans="1:3" s="23" customFormat="1" ht="3" customHeight="1" x14ac:dyDescent="0.2">
      <c r="B34" s="32"/>
      <c r="C34" s="43"/>
    </row>
    <row r="35" spans="1:3" s="23" customFormat="1" ht="12" customHeight="1" x14ac:dyDescent="0.2">
      <c r="B35" s="41"/>
      <c r="C35" s="25" t="s">
        <v>751</v>
      </c>
    </row>
    <row r="36" spans="1:3" ht="3" customHeight="1" x14ac:dyDescent="0.2"/>
    <row r="37" spans="1:3" s="23" customFormat="1" ht="12.75" customHeight="1" x14ac:dyDescent="0.2">
      <c r="B37" s="41"/>
      <c r="C37" s="25" t="s">
        <v>753</v>
      </c>
    </row>
    <row r="38" spans="1:3" ht="7.5" customHeight="1" x14ac:dyDescent="0.2"/>
    <row r="39" spans="1:3" ht="7.5" customHeight="1" x14ac:dyDescent="0.2"/>
    <row r="40" spans="1:3" ht="7.5" customHeight="1" x14ac:dyDescent="0.2"/>
    <row r="41" spans="1:3" ht="7.5" customHeight="1" x14ac:dyDescent="0.2"/>
    <row r="42" spans="1:3" ht="7.5" customHeight="1" x14ac:dyDescent="0.2"/>
    <row r="43" spans="1:3" ht="7.5" customHeight="1" x14ac:dyDescent="0.2"/>
    <row r="44" spans="1:3" ht="12" customHeight="1" x14ac:dyDescent="0.2"/>
    <row r="45" spans="1:3" s="23" customFormat="1" ht="12" customHeight="1" x14ac:dyDescent="0.2">
      <c r="A45" s="39"/>
      <c r="B45" s="23" t="s">
        <v>1161</v>
      </c>
    </row>
    <row r="46" spans="1:3" s="23" customFormat="1" ht="7.5" customHeight="1" x14ac:dyDescent="0.2"/>
    <row r="47" spans="1:3" s="23" customFormat="1" ht="12" customHeight="1" x14ac:dyDescent="0.2">
      <c r="A47" s="44"/>
    </row>
    <row r="48" spans="1:3" s="23" customFormat="1" ht="12" customHeight="1" x14ac:dyDescent="0.2">
      <c r="A48" s="44"/>
    </row>
    <row r="49" spans="1:18" s="23" customFormat="1" ht="12" customHeight="1" x14ac:dyDescent="0.2">
      <c r="A49" s="44"/>
    </row>
    <row r="50" spans="1:18" s="23" customFormat="1" ht="12" customHeight="1" x14ac:dyDescent="0.2">
      <c r="A50" s="44"/>
    </row>
    <row r="51" spans="1:18" s="23" customFormat="1" ht="12" customHeight="1" x14ac:dyDescent="0.2">
      <c r="A51" s="44"/>
    </row>
    <row r="52" spans="1:18" s="23" customFormat="1" ht="12" customHeight="1" x14ac:dyDescent="0.2">
      <c r="A52" s="44"/>
    </row>
    <row r="53" spans="1:18" s="23" customFormat="1" ht="12" customHeight="1" x14ac:dyDescent="0.2">
      <c r="A53" s="44"/>
    </row>
    <row r="54" spans="1:18" s="23" customFormat="1" ht="12" customHeight="1" x14ac:dyDescent="0.2">
      <c r="A54" s="44"/>
    </row>
    <row r="55" spans="1:18" s="23" customFormat="1" ht="12" customHeight="1" x14ac:dyDescent="0.25">
      <c r="A55" s="44"/>
      <c r="B55" s="992" t="s">
        <v>1162</v>
      </c>
    </row>
    <row r="56" spans="1:18" s="23" customFormat="1" ht="12" customHeight="1" x14ac:dyDescent="0.25">
      <c r="A56" s="44"/>
      <c r="B56" s="992" t="s">
        <v>1163</v>
      </c>
    </row>
    <row r="57" spans="1:18" s="23" customFormat="1" ht="12" customHeight="1" x14ac:dyDescent="0.25">
      <c r="A57" s="44"/>
      <c r="B57" s="992"/>
      <c r="Q57" s="32"/>
      <c r="R57" s="32"/>
    </row>
    <row r="58" spans="1:18" s="23" customFormat="1" ht="12" customHeight="1" x14ac:dyDescent="0.25">
      <c r="A58" s="44"/>
      <c r="B58" s="992" t="s">
        <v>1164</v>
      </c>
      <c r="Q58" s="32"/>
      <c r="R58" s="32"/>
    </row>
    <row r="59" spans="1:18" s="23" customFormat="1" ht="12" customHeight="1" x14ac:dyDescent="0.25">
      <c r="A59" s="44"/>
      <c r="B59" s="992" t="s">
        <v>1165</v>
      </c>
      <c r="Q59" s="32"/>
      <c r="R59" s="32"/>
    </row>
    <row r="60" spans="1:18" s="23" customFormat="1" ht="12" customHeight="1" x14ac:dyDescent="0.25">
      <c r="A60" s="44"/>
      <c r="B60" s="992" t="s">
        <v>1166</v>
      </c>
      <c r="Q60" s="32"/>
      <c r="R60" s="32"/>
    </row>
    <row r="61" spans="1:18" s="23" customFormat="1" ht="12" customHeight="1" x14ac:dyDescent="0.25">
      <c r="B61" s="992"/>
      <c r="Q61" s="32"/>
      <c r="R61" s="32"/>
    </row>
    <row r="62" spans="1:18" s="23" customFormat="1" ht="12" customHeight="1" x14ac:dyDescent="0.25">
      <c r="A62" s="32"/>
      <c r="B62" s="992" t="s">
        <v>1167</v>
      </c>
      <c r="C62" s="32"/>
      <c r="D62" s="32"/>
      <c r="E62" s="32"/>
      <c r="F62" s="32"/>
      <c r="G62" s="32"/>
      <c r="H62" s="32"/>
      <c r="I62" s="32"/>
      <c r="J62" s="32"/>
      <c r="Q62" s="32"/>
      <c r="R62" s="32"/>
    </row>
    <row r="63" spans="1:18" s="23" customFormat="1" ht="12" customHeight="1" x14ac:dyDescent="0.25">
      <c r="A63" s="32"/>
      <c r="B63" s="992"/>
      <c r="C63" s="32"/>
      <c r="D63" s="32"/>
      <c r="E63" s="32"/>
      <c r="F63" s="32"/>
      <c r="G63" s="32"/>
      <c r="H63" s="32"/>
      <c r="I63" s="32"/>
      <c r="J63" s="32"/>
      <c r="Q63" s="32"/>
      <c r="R63" s="32"/>
    </row>
    <row r="64" spans="1:18" s="23" customFormat="1" ht="12" customHeight="1" x14ac:dyDescent="0.25">
      <c r="A64" s="32"/>
      <c r="B64" s="992" t="s">
        <v>1168</v>
      </c>
      <c r="C64" s="32"/>
      <c r="D64" s="32"/>
      <c r="E64" s="32"/>
      <c r="F64" s="32"/>
      <c r="G64" s="32"/>
      <c r="H64" s="32"/>
      <c r="I64" s="32"/>
      <c r="J64" s="32"/>
      <c r="Q64" s="32"/>
      <c r="R64" s="32"/>
    </row>
    <row r="65" spans="1:18" s="23" customFormat="1" ht="12" customHeight="1" x14ac:dyDescent="0.25">
      <c r="A65" s="32"/>
      <c r="B65" s="992" t="s">
        <v>1169</v>
      </c>
      <c r="C65" s="32"/>
      <c r="D65" s="32"/>
      <c r="E65" s="32"/>
      <c r="F65" s="32"/>
      <c r="G65" s="32"/>
      <c r="H65" s="32"/>
      <c r="I65" s="32"/>
      <c r="J65" s="32"/>
      <c r="Q65" s="32"/>
      <c r="R65" s="32"/>
    </row>
    <row r="66" spans="1:18" s="23" customFormat="1" ht="12" customHeight="1" x14ac:dyDescent="0.25">
      <c r="A66" s="32"/>
      <c r="B66" s="992"/>
      <c r="C66" s="32"/>
      <c r="D66" s="32"/>
      <c r="E66" s="32"/>
      <c r="F66" s="32"/>
      <c r="G66" s="32"/>
      <c r="H66" s="32"/>
      <c r="I66" s="32"/>
      <c r="J66" s="32"/>
      <c r="Q66" s="32"/>
      <c r="R66" s="32"/>
    </row>
    <row r="67" spans="1:18" s="23" customFormat="1" ht="12" customHeight="1" x14ac:dyDescent="0.25">
      <c r="A67" s="32"/>
      <c r="B67" s="992" t="s">
        <v>1170</v>
      </c>
      <c r="C67" s="32"/>
      <c r="D67" s="32"/>
      <c r="E67" s="32"/>
      <c r="F67" s="32"/>
      <c r="G67" s="32"/>
      <c r="H67" s="32"/>
      <c r="I67" s="32"/>
      <c r="J67" s="32"/>
      <c r="Q67" s="32"/>
      <c r="R67" s="32"/>
    </row>
    <row r="68" spans="1:18" s="23" customFormat="1" ht="12" customHeight="1" x14ac:dyDescent="0.25">
      <c r="A68" s="32"/>
      <c r="B68" s="992" t="s">
        <v>1171</v>
      </c>
      <c r="C68" s="32"/>
      <c r="D68" s="32"/>
      <c r="E68" s="32"/>
      <c r="F68" s="32"/>
      <c r="G68" s="32"/>
      <c r="H68" s="32"/>
      <c r="I68" s="32"/>
      <c r="J68" s="32"/>
      <c r="Q68" s="32"/>
      <c r="R68" s="32"/>
    </row>
    <row r="69" spans="1:18" s="23" customFormat="1" ht="12" customHeight="1" x14ac:dyDescent="0.25">
      <c r="A69" s="32"/>
      <c r="B69" s="992" t="s">
        <v>1172</v>
      </c>
      <c r="C69" s="32"/>
      <c r="D69" s="32"/>
      <c r="E69" s="32"/>
      <c r="F69" s="32"/>
      <c r="G69" s="32"/>
      <c r="H69" s="32"/>
      <c r="I69" s="32"/>
      <c r="J69" s="32"/>
      <c r="Q69" s="32"/>
      <c r="R69" s="32"/>
    </row>
    <row r="70" spans="1:18" s="23" customFormat="1" ht="12" customHeight="1" x14ac:dyDescent="0.25">
      <c r="A70" s="32"/>
      <c r="B70" s="992" t="s">
        <v>1173</v>
      </c>
      <c r="C70" s="32"/>
      <c r="D70" s="32"/>
      <c r="E70" s="32"/>
      <c r="F70" s="32"/>
      <c r="G70" s="32"/>
      <c r="H70" s="32"/>
      <c r="I70" s="32"/>
      <c r="J70" s="32"/>
      <c r="Q70" s="32"/>
      <c r="R70" s="32"/>
    </row>
    <row r="71" spans="1:18" s="23" customFormat="1" ht="12" customHeight="1" x14ac:dyDescent="0.25">
      <c r="A71" s="32"/>
      <c r="B71" s="992" t="s">
        <v>1174</v>
      </c>
      <c r="C71" s="32"/>
      <c r="D71" s="990"/>
      <c r="E71" s="32"/>
      <c r="F71" s="32"/>
      <c r="G71" s="32"/>
      <c r="H71" s="32"/>
      <c r="I71" s="32"/>
      <c r="J71" s="32"/>
      <c r="Q71" s="32"/>
      <c r="R71" s="32"/>
    </row>
    <row r="72" spans="1:18" s="23" customFormat="1" ht="12" customHeight="1" x14ac:dyDescent="0.25">
      <c r="A72" s="32"/>
      <c r="B72" s="992" t="s">
        <v>1175</v>
      </c>
      <c r="C72" s="32"/>
      <c r="D72" s="32"/>
      <c r="E72" s="32"/>
      <c r="F72" s="32"/>
      <c r="G72" s="32"/>
      <c r="H72" s="32"/>
      <c r="I72" s="32"/>
      <c r="J72" s="32"/>
      <c r="Q72" s="32"/>
      <c r="R72" s="32"/>
    </row>
    <row r="73" spans="1:18" s="23" customFormat="1" ht="12" customHeight="1" x14ac:dyDescent="0.25">
      <c r="A73" s="32"/>
      <c r="B73" s="992" t="s">
        <v>1176</v>
      </c>
      <c r="C73" s="32"/>
      <c r="D73" s="990"/>
      <c r="E73" s="32"/>
      <c r="F73" s="32"/>
      <c r="G73" s="32"/>
      <c r="H73" s="32"/>
      <c r="I73" s="32"/>
      <c r="J73" s="32"/>
      <c r="Q73" s="32"/>
      <c r="R73" s="32"/>
    </row>
    <row r="74" spans="1:18" s="23" customFormat="1" ht="12" customHeight="1" x14ac:dyDescent="0.25">
      <c r="A74" s="32"/>
      <c r="B74" s="992" t="s">
        <v>1177</v>
      </c>
      <c r="C74" s="32"/>
      <c r="D74" s="32"/>
      <c r="E74" s="32"/>
      <c r="F74" s="32"/>
      <c r="G74" s="32"/>
      <c r="H74" s="32"/>
      <c r="I74" s="32"/>
      <c r="J74" s="32"/>
      <c r="Q74" s="32"/>
      <c r="R74" s="32"/>
    </row>
    <row r="75" spans="1:18" s="23" customFormat="1" ht="12" customHeight="1" x14ac:dyDescent="0.25">
      <c r="A75" s="32"/>
      <c r="B75" s="992"/>
      <c r="C75" s="32"/>
      <c r="D75" s="990"/>
      <c r="E75" s="32"/>
      <c r="F75" s="32"/>
      <c r="G75" s="32"/>
      <c r="H75" s="32"/>
      <c r="I75" s="32"/>
      <c r="J75" s="32"/>
      <c r="Q75" s="32"/>
      <c r="R75" s="32"/>
    </row>
    <row r="76" spans="1:18" s="23" customFormat="1" ht="12" customHeight="1" x14ac:dyDescent="0.25">
      <c r="A76" s="32"/>
      <c r="B76" s="992" t="s">
        <v>1178</v>
      </c>
      <c r="C76" s="32"/>
      <c r="D76" s="32"/>
      <c r="E76" s="32"/>
      <c r="F76" s="32"/>
      <c r="G76" s="32"/>
      <c r="H76" s="32"/>
      <c r="I76" s="32"/>
      <c r="J76" s="32"/>
      <c r="Q76" s="32"/>
      <c r="R76" s="32"/>
    </row>
    <row r="77" spans="1:18" s="23" customFormat="1" ht="12" customHeight="1" x14ac:dyDescent="0.25">
      <c r="A77" s="32"/>
      <c r="B77" s="992" t="s">
        <v>1179</v>
      </c>
      <c r="C77" s="32"/>
      <c r="D77" s="990"/>
      <c r="E77" s="32"/>
      <c r="F77" s="32"/>
      <c r="G77" s="32"/>
      <c r="H77" s="32"/>
      <c r="I77" s="32"/>
      <c r="J77" s="32"/>
      <c r="Q77" s="32"/>
      <c r="R77" s="32"/>
    </row>
    <row r="78" spans="1:18" s="23" customFormat="1" ht="12" customHeight="1" x14ac:dyDescent="0.25">
      <c r="A78" s="32"/>
      <c r="B78" s="992" t="s">
        <v>1180</v>
      </c>
      <c r="C78" s="32"/>
      <c r="D78" s="32"/>
      <c r="E78" s="32"/>
      <c r="F78" s="32"/>
      <c r="G78" s="32"/>
      <c r="H78" s="32"/>
      <c r="I78" s="32"/>
      <c r="J78" s="32"/>
      <c r="Q78" s="32"/>
      <c r="R78" s="32"/>
    </row>
    <row r="79" spans="1:18" s="23" customFormat="1" ht="12" customHeight="1" x14ac:dyDescent="0.25">
      <c r="A79" s="32"/>
      <c r="B79" s="992" t="s">
        <v>1181</v>
      </c>
      <c r="C79" s="32"/>
      <c r="D79" s="990"/>
      <c r="E79" s="32"/>
      <c r="F79" s="32"/>
      <c r="G79" s="32"/>
      <c r="H79" s="32"/>
      <c r="I79" s="32"/>
      <c r="J79" s="32"/>
      <c r="Q79" s="32"/>
      <c r="R79" s="32"/>
    </row>
    <row r="80" spans="1:18" s="23" customFormat="1" ht="12" customHeight="1" x14ac:dyDescent="0.25">
      <c r="A80" s="32"/>
      <c r="B80" s="992" t="s">
        <v>1182</v>
      </c>
      <c r="C80" s="32"/>
      <c r="D80" s="32"/>
      <c r="E80" s="32"/>
      <c r="F80" s="32"/>
      <c r="G80" s="32"/>
      <c r="H80" s="32"/>
      <c r="I80" s="32"/>
      <c r="J80" s="32"/>
      <c r="Q80" s="32"/>
      <c r="R80" s="32"/>
    </row>
    <row r="81" spans="1:18" s="23" customFormat="1" ht="12" customHeight="1" x14ac:dyDescent="0.25">
      <c r="A81" s="32"/>
      <c r="B81" s="992" t="s">
        <v>1183</v>
      </c>
      <c r="C81" s="32"/>
      <c r="D81" s="32"/>
      <c r="E81" s="32"/>
      <c r="F81" s="32"/>
      <c r="G81" s="32"/>
      <c r="H81" s="32"/>
      <c r="I81" s="32"/>
      <c r="J81" s="32"/>
      <c r="Q81" s="32"/>
      <c r="R81" s="32"/>
    </row>
    <row r="82" spans="1:18" s="23" customFormat="1" ht="12" customHeight="1" x14ac:dyDescent="0.25">
      <c r="A82" s="32"/>
      <c r="B82" s="992"/>
      <c r="C82" s="32"/>
      <c r="D82" s="990"/>
      <c r="E82" s="32"/>
      <c r="F82" s="32"/>
      <c r="G82" s="32"/>
      <c r="H82" s="32"/>
      <c r="I82" s="32"/>
      <c r="J82" s="32"/>
      <c r="Q82" s="32"/>
      <c r="R82" s="32"/>
    </row>
    <row r="83" spans="1:18" s="23" customFormat="1" ht="12" customHeight="1" x14ac:dyDescent="0.25">
      <c r="A83" s="32"/>
      <c r="B83" s="992" t="s">
        <v>1184</v>
      </c>
      <c r="C83" s="32"/>
      <c r="D83" s="32"/>
      <c r="E83" s="32"/>
      <c r="F83" s="32"/>
      <c r="G83" s="32"/>
      <c r="H83" s="32"/>
      <c r="I83" s="32"/>
      <c r="J83" s="32"/>
      <c r="Q83" s="32"/>
      <c r="R83" s="32"/>
    </row>
    <row r="84" spans="1:18" s="23" customFormat="1" ht="12" customHeight="1" x14ac:dyDescent="0.25">
      <c r="A84" s="32"/>
      <c r="B84" s="992" t="s">
        <v>1185</v>
      </c>
      <c r="C84" s="32"/>
      <c r="D84" s="32"/>
      <c r="E84" s="32"/>
      <c r="F84" s="32"/>
      <c r="G84" s="32"/>
      <c r="H84" s="32"/>
      <c r="I84" s="32"/>
      <c r="J84" s="32"/>
      <c r="Q84" s="32"/>
      <c r="R84" s="32"/>
    </row>
    <row r="85" spans="1:18" s="23" customFormat="1" ht="12" customHeight="1" x14ac:dyDescent="0.25">
      <c r="A85" s="32"/>
      <c r="B85" s="992" t="s">
        <v>1186</v>
      </c>
      <c r="C85" s="32"/>
      <c r="D85" s="32"/>
      <c r="E85" s="32"/>
      <c r="F85" s="32"/>
      <c r="G85" s="32"/>
      <c r="H85" s="32"/>
      <c r="I85" s="32"/>
      <c r="J85" s="32"/>
      <c r="Q85" s="32"/>
      <c r="R85" s="32"/>
    </row>
    <row r="86" spans="1:18" s="23" customFormat="1" ht="12" customHeight="1" x14ac:dyDescent="0.25">
      <c r="A86" s="32"/>
      <c r="B86" s="992" t="s">
        <v>1187</v>
      </c>
      <c r="C86" s="991"/>
      <c r="D86" s="32"/>
      <c r="E86" s="32"/>
      <c r="F86" s="32"/>
      <c r="G86" s="32"/>
      <c r="H86" s="32"/>
      <c r="I86" s="32"/>
      <c r="J86" s="32"/>
      <c r="Q86" s="32"/>
      <c r="R86" s="32"/>
    </row>
    <row r="87" spans="1:18" s="23" customFormat="1" ht="12" customHeight="1" x14ac:dyDescent="0.25">
      <c r="A87" s="32"/>
      <c r="B87" s="992"/>
      <c r="C87" s="32"/>
      <c r="D87" s="32"/>
      <c r="E87" s="32"/>
      <c r="F87" s="32"/>
      <c r="G87" s="32"/>
      <c r="H87" s="32"/>
      <c r="I87" s="32"/>
      <c r="J87" s="32"/>
      <c r="Q87" s="32"/>
      <c r="R87" s="32"/>
    </row>
    <row r="88" spans="1:18" s="23" customFormat="1" ht="12" customHeight="1" x14ac:dyDescent="0.25">
      <c r="A88" s="32"/>
      <c r="B88" s="992" t="s">
        <v>1188</v>
      </c>
      <c r="C88" s="32"/>
      <c r="D88" s="32"/>
      <c r="E88" s="32"/>
      <c r="F88" s="32"/>
      <c r="G88" s="32"/>
      <c r="H88" s="32"/>
      <c r="I88" s="32"/>
      <c r="J88" s="32"/>
      <c r="Q88" s="32"/>
      <c r="R88" s="32"/>
    </row>
    <row r="89" spans="1:18" s="23" customFormat="1" ht="12" customHeight="1" x14ac:dyDescent="0.25">
      <c r="A89" s="32"/>
      <c r="B89" s="992" t="s">
        <v>1189</v>
      </c>
      <c r="C89" s="32"/>
      <c r="D89" s="32"/>
      <c r="E89" s="32"/>
      <c r="F89" s="32"/>
      <c r="G89" s="32"/>
      <c r="H89" s="32"/>
      <c r="I89" s="32"/>
      <c r="J89" s="32"/>
      <c r="Q89" s="32"/>
      <c r="R89" s="32"/>
    </row>
    <row r="90" spans="1:18" s="23" customFormat="1" ht="12" customHeight="1" x14ac:dyDescent="0.25">
      <c r="A90" s="32"/>
      <c r="B90" s="992" t="s">
        <v>1190</v>
      </c>
      <c r="C90" s="32"/>
      <c r="D90" s="32"/>
      <c r="E90" s="32"/>
      <c r="F90" s="32"/>
      <c r="G90" s="32"/>
      <c r="H90" s="32"/>
      <c r="I90" s="32"/>
      <c r="J90" s="32"/>
      <c r="Q90" s="32"/>
      <c r="R90" s="32"/>
    </row>
    <row r="91" spans="1:18" s="23" customFormat="1" ht="12" customHeight="1" x14ac:dyDescent="0.25">
      <c r="A91" s="32"/>
      <c r="B91" s="992" t="s">
        <v>1191</v>
      </c>
      <c r="C91" s="32"/>
      <c r="D91" s="32"/>
      <c r="E91" s="32"/>
      <c r="F91" s="32"/>
      <c r="G91" s="32"/>
      <c r="H91" s="32"/>
      <c r="I91" s="32"/>
      <c r="J91" s="32"/>
      <c r="Q91" s="32"/>
      <c r="R91" s="32"/>
    </row>
    <row r="92" spans="1:18" s="23" customFormat="1" ht="12" customHeight="1" x14ac:dyDescent="0.25">
      <c r="A92" s="32"/>
      <c r="B92" s="992" t="s">
        <v>1192</v>
      </c>
      <c r="C92" s="32"/>
      <c r="D92" s="32"/>
      <c r="E92" s="32"/>
      <c r="F92" s="32"/>
      <c r="G92" s="32"/>
      <c r="H92" s="32"/>
      <c r="I92" s="32"/>
      <c r="J92" s="32"/>
      <c r="Q92" s="32"/>
      <c r="R92" s="32"/>
    </row>
    <row r="93" spans="1:18" s="23" customFormat="1" ht="12" customHeight="1" x14ac:dyDescent="0.25">
      <c r="A93" s="32"/>
      <c r="B93" s="992"/>
      <c r="C93" s="32"/>
      <c r="D93" s="32"/>
      <c r="E93" s="32"/>
      <c r="F93" s="32"/>
      <c r="G93" s="32"/>
      <c r="H93" s="32"/>
      <c r="I93" s="32"/>
      <c r="J93" s="32"/>
      <c r="Q93" s="32"/>
      <c r="R93" s="32"/>
    </row>
    <row r="94" spans="1:18" s="23" customFormat="1" ht="12" customHeight="1" x14ac:dyDescent="0.25">
      <c r="A94" s="32"/>
      <c r="B94" s="992" t="s">
        <v>1193</v>
      </c>
      <c r="C94" s="32"/>
      <c r="D94" s="32"/>
      <c r="E94" s="32"/>
      <c r="F94" s="32"/>
      <c r="G94" s="32"/>
      <c r="H94" s="32"/>
      <c r="I94" s="32"/>
      <c r="J94" s="32"/>
      <c r="Q94" s="32"/>
      <c r="R94" s="32"/>
    </row>
    <row r="95" spans="1:18" s="23" customFormat="1" ht="12" customHeight="1" x14ac:dyDescent="0.25">
      <c r="A95" s="32"/>
      <c r="B95" s="992" t="s">
        <v>1194</v>
      </c>
      <c r="C95" s="32"/>
      <c r="D95" s="32"/>
      <c r="E95" s="32"/>
      <c r="F95" s="32"/>
      <c r="G95" s="32"/>
      <c r="H95" s="32"/>
      <c r="I95" s="32"/>
      <c r="J95" s="32"/>
      <c r="Q95" s="32"/>
      <c r="R95" s="32"/>
    </row>
    <row r="96" spans="1:18" s="23" customFormat="1" ht="12" customHeight="1" x14ac:dyDescent="0.25">
      <c r="A96" s="32"/>
      <c r="B96" s="992" t="s">
        <v>1195</v>
      </c>
      <c r="C96" s="32"/>
      <c r="D96" s="32"/>
      <c r="E96" s="32"/>
      <c r="F96" s="32"/>
      <c r="G96" s="32"/>
      <c r="H96" s="32"/>
      <c r="I96" s="32"/>
      <c r="J96" s="32"/>
      <c r="Q96" s="32"/>
      <c r="R96" s="32"/>
    </row>
    <row r="97" spans="1:18" s="23" customFormat="1" ht="12" customHeight="1" x14ac:dyDescent="0.25">
      <c r="A97" s="32"/>
      <c r="B97" s="992"/>
      <c r="C97" s="32"/>
      <c r="D97" s="32"/>
      <c r="E97" s="32"/>
      <c r="F97" s="32"/>
      <c r="G97" s="32"/>
      <c r="H97" s="32"/>
      <c r="I97" s="32"/>
      <c r="J97" s="32"/>
      <c r="Q97" s="32"/>
      <c r="R97" s="32"/>
    </row>
    <row r="98" spans="1:18" s="23" customFormat="1" ht="12" customHeight="1" x14ac:dyDescent="0.25">
      <c r="A98" s="32"/>
      <c r="B98" s="992" t="s">
        <v>1196</v>
      </c>
      <c r="C98" s="32"/>
      <c r="D98" s="32"/>
      <c r="E98" s="32"/>
      <c r="F98" s="32"/>
      <c r="G98" s="32"/>
      <c r="H98" s="32"/>
      <c r="I98" s="32"/>
      <c r="J98" s="32"/>
      <c r="Q98" s="32"/>
      <c r="R98" s="32"/>
    </row>
    <row r="99" spans="1:18" s="23" customFormat="1" ht="12" customHeight="1" x14ac:dyDescent="0.25">
      <c r="A99" s="32"/>
      <c r="B99" s="992" t="s">
        <v>1197</v>
      </c>
      <c r="C99" s="32"/>
      <c r="D99" s="32"/>
      <c r="E99" s="32"/>
      <c r="F99" s="32"/>
      <c r="G99" s="32"/>
      <c r="H99" s="32"/>
      <c r="I99" s="32"/>
      <c r="J99" s="32"/>
      <c r="Q99" s="32"/>
      <c r="R99" s="32"/>
    </row>
    <row r="100" spans="1:18" s="23" customFormat="1" ht="12" customHeight="1" x14ac:dyDescent="0.25">
      <c r="A100" s="32"/>
      <c r="B100" s="992" t="s">
        <v>1198</v>
      </c>
      <c r="C100" s="32"/>
      <c r="D100" s="32"/>
      <c r="E100" s="32"/>
      <c r="F100" s="32"/>
      <c r="G100" s="32"/>
      <c r="H100" s="32"/>
      <c r="I100" s="32"/>
      <c r="J100" s="32"/>
      <c r="Q100" s="32"/>
      <c r="R100" s="32"/>
    </row>
    <row r="101" spans="1:18" s="23" customFormat="1" ht="12" customHeight="1" x14ac:dyDescent="0.25">
      <c r="A101" s="32"/>
      <c r="B101" s="992" t="s">
        <v>1199</v>
      </c>
      <c r="C101" s="32"/>
      <c r="D101" s="32"/>
      <c r="E101" s="32"/>
      <c r="F101" s="32"/>
      <c r="G101" s="32"/>
      <c r="H101" s="32"/>
      <c r="I101" s="32"/>
      <c r="J101" s="32"/>
      <c r="Q101" s="32"/>
      <c r="R101" s="32"/>
    </row>
    <row r="102" spans="1:18" s="23" customFormat="1" ht="12" customHeight="1" x14ac:dyDescent="0.25">
      <c r="A102" s="32"/>
      <c r="B102" s="992" t="s">
        <v>1200</v>
      </c>
      <c r="C102" s="32"/>
      <c r="D102" s="32"/>
      <c r="E102" s="32"/>
      <c r="F102" s="32"/>
      <c r="G102" s="32"/>
      <c r="H102" s="32"/>
      <c r="I102" s="32"/>
      <c r="J102" s="32"/>
      <c r="Q102" s="32"/>
      <c r="R102" s="32"/>
    </row>
    <row r="103" spans="1:18" s="23" customFormat="1" ht="12" customHeight="1" x14ac:dyDescent="0.25">
      <c r="A103" s="32"/>
      <c r="B103" s="992"/>
      <c r="C103" s="32"/>
      <c r="D103" s="32"/>
      <c r="E103" s="32"/>
      <c r="F103" s="32"/>
      <c r="G103" s="32"/>
      <c r="H103" s="32"/>
      <c r="I103" s="32"/>
      <c r="J103" s="32"/>
      <c r="Q103" s="32"/>
      <c r="R103" s="32"/>
    </row>
    <row r="104" spans="1:18" s="23" customFormat="1" ht="12" customHeight="1" x14ac:dyDescent="0.25">
      <c r="A104" s="32"/>
      <c r="B104" s="992" t="s">
        <v>1201</v>
      </c>
      <c r="C104" s="32"/>
      <c r="D104" s="32"/>
      <c r="E104" s="32"/>
      <c r="F104" s="32"/>
      <c r="G104" s="32"/>
      <c r="H104" s="32"/>
      <c r="I104" s="32"/>
      <c r="J104" s="32"/>
      <c r="Q104" s="32"/>
      <c r="R104" s="32"/>
    </row>
    <row r="105" spans="1:18" s="23" customFormat="1" ht="12" customHeight="1" x14ac:dyDescent="0.25">
      <c r="A105" s="32"/>
      <c r="B105" s="992" t="s">
        <v>1202</v>
      </c>
      <c r="C105" s="32"/>
      <c r="D105" s="32"/>
      <c r="E105" s="32"/>
      <c r="F105" s="32"/>
      <c r="G105" s="32"/>
      <c r="H105" s="32"/>
      <c r="I105" s="32"/>
      <c r="J105" s="32"/>
      <c r="Q105" s="32"/>
      <c r="R105" s="32"/>
    </row>
    <row r="106" spans="1:18" s="23" customFormat="1" ht="12" customHeight="1" x14ac:dyDescent="0.25">
      <c r="A106" s="32"/>
      <c r="B106" s="992" t="s">
        <v>1203</v>
      </c>
      <c r="C106" s="32"/>
      <c r="D106" s="32"/>
      <c r="E106" s="32"/>
      <c r="F106" s="32"/>
      <c r="G106" s="32"/>
      <c r="H106" s="32"/>
      <c r="I106" s="32"/>
      <c r="J106" s="32"/>
      <c r="Q106" s="32"/>
      <c r="R106" s="32"/>
    </row>
    <row r="107" spans="1:18" s="23" customFormat="1" ht="12" customHeight="1" x14ac:dyDescent="0.25">
      <c r="A107" s="32"/>
      <c r="B107" s="992" t="s">
        <v>1204</v>
      </c>
      <c r="C107" s="32"/>
      <c r="D107" s="32"/>
      <c r="E107" s="32"/>
      <c r="F107" s="32"/>
      <c r="G107" s="32"/>
      <c r="H107" s="32"/>
      <c r="I107" s="32"/>
      <c r="J107" s="32"/>
      <c r="Q107" s="32"/>
      <c r="R107" s="32"/>
    </row>
    <row r="108" spans="1:18" s="23" customFormat="1" ht="12" customHeight="1" x14ac:dyDescent="0.25">
      <c r="A108" s="32"/>
      <c r="B108" s="992" t="s">
        <v>1205</v>
      </c>
      <c r="C108" s="32"/>
      <c r="D108" s="32"/>
      <c r="E108" s="32"/>
      <c r="F108" s="32"/>
      <c r="G108" s="32"/>
      <c r="H108" s="32"/>
      <c r="I108" s="32"/>
      <c r="J108" s="32"/>
      <c r="Q108" s="32"/>
      <c r="R108" s="32"/>
    </row>
    <row r="109" spans="1:18" s="23" customFormat="1" ht="12" customHeight="1" x14ac:dyDescent="0.25">
      <c r="A109" s="32"/>
      <c r="B109" s="992" t="s">
        <v>1206</v>
      </c>
      <c r="C109" s="32"/>
      <c r="D109" s="32"/>
      <c r="E109" s="32"/>
      <c r="F109" s="32"/>
      <c r="G109" s="32"/>
      <c r="H109" s="32"/>
      <c r="I109" s="32"/>
      <c r="J109" s="32"/>
      <c r="Q109" s="32"/>
      <c r="R109" s="32"/>
    </row>
    <row r="110" spans="1:18" s="23" customFormat="1" ht="12" customHeight="1" x14ac:dyDescent="0.25">
      <c r="A110" s="32"/>
      <c r="B110" s="992" t="s">
        <v>1207</v>
      </c>
      <c r="C110" s="32"/>
      <c r="D110" s="32"/>
      <c r="E110" s="32"/>
      <c r="F110" s="32"/>
      <c r="G110" s="32"/>
      <c r="H110" s="32"/>
      <c r="I110" s="32"/>
      <c r="J110" s="32"/>
      <c r="Q110" s="32"/>
      <c r="R110" s="32"/>
    </row>
    <row r="111" spans="1:18" s="23" customFormat="1" ht="12" customHeight="1" x14ac:dyDescent="0.25">
      <c r="A111" s="32"/>
      <c r="B111" s="992" t="s">
        <v>1208</v>
      </c>
      <c r="C111" s="32"/>
      <c r="D111" s="32"/>
      <c r="E111" s="32"/>
      <c r="F111" s="32"/>
      <c r="G111" s="32"/>
      <c r="H111" s="32"/>
      <c r="I111" s="32"/>
      <c r="J111" s="32"/>
      <c r="Q111" s="32"/>
      <c r="R111" s="32"/>
    </row>
    <row r="112" spans="1:18" s="23" customFormat="1" ht="12" customHeight="1" x14ac:dyDescent="0.25">
      <c r="A112" s="32"/>
      <c r="B112" s="992" t="s">
        <v>1209</v>
      </c>
      <c r="C112" s="32"/>
      <c r="D112" s="32"/>
      <c r="E112" s="32"/>
      <c r="F112" s="32"/>
      <c r="G112" s="32"/>
      <c r="H112" s="32"/>
      <c r="I112" s="32"/>
      <c r="J112" s="32"/>
      <c r="Q112" s="32"/>
      <c r="R112" s="32"/>
    </row>
    <row r="113" spans="1:18" s="23" customFormat="1" ht="12" customHeight="1" x14ac:dyDescent="0.25">
      <c r="A113" s="32"/>
      <c r="B113" s="992" t="s">
        <v>1210</v>
      </c>
      <c r="C113" s="32"/>
      <c r="D113" s="32"/>
      <c r="E113" s="32"/>
      <c r="F113" s="32"/>
      <c r="G113" s="32"/>
      <c r="H113" s="32"/>
      <c r="I113" s="32"/>
      <c r="J113" s="32"/>
      <c r="Q113" s="32"/>
      <c r="R113" s="32"/>
    </row>
    <row r="114" spans="1:18" s="23" customFormat="1" ht="12" customHeight="1" x14ac:dyDescent="0.25">
      <c r="A114" s="32"/>
      <c r="B114" s="992"/>
      <c r="C114" s="32"/>
      <c r="D114" s="32"/>
      <c r="E114" s="32"/>
      <c r="F114" s="32"/>
      <c r="G114" s="32"/>
      <c r="H114" s="32"/>
      <c r="I114" s="32"/>
      <c r="J114" s="32"/>
      <c r="Q114" s="32"/>
      <c r="R114" s="32"/>
    </row>
    <row r="115" spans="1:18" s="23" customFormat="1" ht="12" customHeight="1" x14ac:dyDescent="0.25">
      <c r="A115" s="32"/>
      <c r="B115" s="992" t="s">
        <v>1211</v>
      </c>
      <c r="C115" s="32"/>
      <c r="D115" s="32"/>
      <c r="E115" s="32"/>
      <c r="F115" s="32"/>
      <c r="G115" s="32"/>
      <c r="H115" s="32"/>
      <c r="I115" s="32"/>
      <c r="J115" s="32"/>
      <c r="Q115" s="32"/>
      <c r="R115" s="32"/>
    </row>
    <row r="116" spans="1:18" s="23" customFormat="1" ht="12" customHeight="1" x14ac:dyDescent="0.25">
      <c r="A116" s="32"/>
      <c r="B116" s="992" t="s">
        <v>1212</v>
      </c>
      <c r="C116" s="32"/>
      <c r="D116" s="32"/>
      <c r="E116" s="32"/>
      <c r="F116" s="32"/>
      <c r="G116" s="32"/>
      <c r="H116" s="32"/>
      <c r="I116" s="32"/>
      <c r="J116" s="32"/>
      <c r="Q116" s="32"/>
      <c r="R116" s="32"/>
    </row>
    <row r="117" spans="1:18" s="23" customFormat="1" ht="12" customHeight="1" x14ac:dyDescent="0.25">
      <c r="A117" s="32"/>
      <c r="B117" s="992" t="s">
        <v>1213</v>
      </c>
      <c r="C117" s="32"/>
      <c r="D117" s="32"/>
      <c r="E117" s="32"/>
      <c r="F117" s="32"/>
      <c r="G117" s="32"/>
      <c r="H117" s="32"/>
      <c r="I117" s="32"/>
      <c r="J117" s="32"/>
      <c r="Q117" s="32"/>
      <c r="R117" s="32"/>
    </row>
    <row r="118" spans="1:18" s="23" customFormat="1" ht="12" customHeight="1" x14ac:dyDescent="0.25">
      <c r="A118" s="32"/>
      <c r="B118" s="992" t="s">
        <v>1214</v>
      </c>
      <c r="C118" s="32"/>
      <c r="D118" s="32"/>
      <c r="E118" s="32"/>
      <c r="F118" s="32"/>
      <c r="G118" s="32"/>
      <c r="H118" s="32"/>
      <c r="I118" s="32"/>
      <c r="J118" s="32"/>
      <c r="Q118" s="32"/>
      <c r="R118" s="32"/>
    </row>
    <row r="119" spans="1:18" s="23" customFormat="1" ht="12" customHeight="1" x14ac:dyDescent="0.25">
      <c r="A119" s="32"/>
      <c r="B119" s="992" t="s">
        <v>1215</v>
      </c>
      <c r="C119" s="32"/>
      <c r="D119" s="32"/>
      <c r="E119" s="32"/>
      <c r="F119" s="32"/>
      <c r="G119" s="32"/>
      <c r="H119" s="32"/>
      <c r="I119" s="32"/>
      <c r="J119" s="32"/>
      <c r="Q119" s="32"/>
      <c r="R119" s="32"/>
    </row>
    <row r="120" spans="1:18" s="23" customFormat="1" ht="12" customHeight="1" x14ac:dyDescent="0.25">
      <c r="A120" s="32"/>
      <c r="B120" s="992" t="s">
        <v>1216</v>
      </c>
      <c r="C120" s="32"/>
      <c r="D120" s="32"/>
      <c r="E120" s="32"/>
      <c r="F120" s="32"/>
      <c r="G120" s="32"/>
      <c r="H120" s="32"/>
      <c r="I120" s="32"/>
      <c r="J120" s="32"/>
      <c r="Q120" s="32"/>
      <c r="R120" s="32"/>
    </row>
    <row r="121" spans="1:18" s="23" customFormat="1" ht="12" customHeight="1" x14ac:dyDescent="0.25">
      <c r="A121" s="32"/>
      <c r="B121" s="992"/>
      <c r="C121" s="32"/>
      <c r="D121" s="32"/>
      <c r="E121" s="32"/>
      <c r="F121" s="32"/>
      <c r="G121" s="32"/>
      <c r="H121" s="32"/>
      <c r="I121" s="32"/>
      <c r="J121" s="32"/>
      <c r="Q121" s="32"/>
      <c r="R121" s="32"/>
    </row>
    <row r="122" spans="1:18" s="23" customFormat="1" ht="12" customHeight="1" x14ac:dyDescent="0.25">
      <c r="A122" s="32"/>
      <c r="B122" s="992" t="s">
        <v>1217</v>
      </c>
      <c r="C122" s="32"/>
      <c r="D122" s="32"/>
      <c r="E122" s="32"/>
      <c r="F122" s="32"/>
      <c r="G122" s="32"/>
      <c r="H122" s="32"/>
      <c r="I122" s="32"/>
      <c r="J122" s="32"/>
      <c r="Q122" s="32"/>
      <c r="R122" s="32"/>
    </row>
    <row r="123" spans="1:18" s="23" customFormat="1" ht="12" customHeight="1" x14ac:dyDescent="0.25">
      <c r="A123" s="32"/>
      <c r="B123" s="992" t="s">
        <v>1218</v>
      </c>
      <c r="C123" s="32"/>
      <c r="D123" s="32"/>
      <c r="E123" s="32"/>
      <c r="F123" s="32"/>
      <c r="G123" s="32"/>
      <c r="H123" s="32"/>
      <c r="I123" s="32"/>
      <c r="J123" s="32"/>
      <c r="Q123" s="32"/>
      <c r="R123" s="32"/>
    </row>
    <row r="124" spans="1:18" s="23" customFormat="1" ht="12" customHeight="1" x14ac:dyDescent="0.25">
      <c r="A124" s="32"/>
      <c r="B124" s="992"/>
      <c r="C124" s="32"/>
      <c r="D124" s="32"/>
      <c r="E124" s="32"/>
      <c r="F124" s="32"/>
      <c r="G124" s="32"/>
      <c r="H124" s="32"/>
      <c r="I124" s="32"/>
      <c r="J124" s="32"/>
      <c r="Q124" s="32"/>
      <c r="R124" s="32"/>
    </row>
    <row r="125" spans="1:18" s="23" customFormat="1" ht="12" customHeight="1" x14ac:dyDescent="0.25">
      <c r="A125" s="32"/>
      <c r="B125" s="992" t="s">
        <v>1219</v>
      </c>
      <c r="C125" s="32"/>
      <c r="D125" s="32"/>
      <c r="E125" s="32"/>
      <c r="F125" s="32"/>
      <c r="G125" s="32"/>
      <c r="H125" s="32"/>
      <c r="I125" s="32"/>
      <c r="J125" s="32"/>
      <c r="Q125" s="32"/>
      <c r="R125" s="32"/>
    </row>
    <row r="126" spans="1:18" s="23" customFormat="1" ht="12" customHeight="1" x14ac:dyDescent="0.25">
      <c r="A126" s="32"/>
      <c r="B126" s="992"/>
      <c r="C126" s="32"/>
      <c r="D126" s="32"/>
      <c r="E126" s="32"/>
      <c r="F126" s="32"/>
      <c r="G126" s="32"/>
      <c r="H126" s="32"/>
      <c r="I126" s="32"/>
      <c r="J126" s="32"/>
      <c r="Q126" s="32"/>
      <c r="R126" s="32"/>
    </row>
    <row r="127" spans="1:18" s="23" customFormat="1" ht="12" customHeight="1" x14ac:dyDescent="0.25">
      <c r="A127" s="32"/>
      <c r="B127" s="992" t="s">
        <v>1220</v>
      </c>
      <c r="C127" s="32"/>
      <c r="D127" s="32"/>
      <c r="E127" s="32"/>
      <c r="F127" s="32"/>
      <c r="G127" s="32"/>
      <c r="H127" s="32"/>
      <c r="I127" s="32"/>
      <c r="J127" s="32"/>
      <c r="Q127" s="32"/>
      <c r="R127" s="32"/>
    </row>
    <row r="128" spans="1:18" s="23" customFormat="1" ht="12" customHeight="1" x14ac:dyDescent="0.25">
      <c r="A128" s="32"/>
      <c r="B128" s="992"/>
      <c r="C128" s="32"/>
      <c r="D128" s="32"/>
      <c r="E128" s="32"/>
      <c r="F128" s="32"/>
      <c r="G128" s="32"/>
      <c r="H128" s="32"/>
      <c r="I128" s="32"/>
      <c r="J128" s="32"/>
      <c r="Q128" s="32"/>
      <c r="R128" s="32"/>
    </row>
    <row r="129" spans="1:18" s="23" customFormat="1" ht="12" customHeight="1" x14ac:dyDescent="0.25">
      <c r="A129" s="32"/>
      <c r="B129" s="992" t="s">
        <v>1221</v>
      </c>
      <c r="C129" s="32"/>
      <c r="D129" s="32"/>
      <c r="E129" s="32"/>
      <c r="F129" s="32"/>
      <c r="G129" s="32"/>
      <c r="H129" s="32"/>
      <c r="I129" s="32"/>
      <c r="J129" s="32"/>
      <c r="Q129" s="32"/>
      <c r="R129" s="32"/>
    </row>
    <row r="130" spans="1:18" s="23" customFormat="1" ht="12" customHeight="1" x14ac:dyDescent="0.25">
      <c r="A130" s="32"/>
      <c r="B130" s="992"/>
      <c r="C130" s="32"/>
      <c r="D130" s="32"/>
      <c r="E130" s="32"/>
      <c r="F130" s="32"/>
      <c r="G130" s="32"/>
      <c r="H130" s="32"/>
      <c r="I130" s="32"/>
      <c r="J130" s="32"/>
      <c r="Q130" s="32"/>
      <c r="R130" s="32"/>
    </row>
    <row r="131" spans="1:18" s="23" customFormat="1" ht="12" customHeight="1" x14ac:dyDescent="0.25">
      <c r="A131" s="32"/>
      <c r="B131" s="992" t="s">
        <v>1222</v>
      </c>
      <c r="C131" s="32"/>
      <c r="D131" s="32"/>
      <c r="E131" s="32"/>
      <c r="F131" s="32"/>
      <c r="G131" s="32"/>
      <c r="H131" s="32"/>
      <c r="I131" s="32"/>
      <c r="J131" s="32"/>
      <c r="Q131" s="32"/>
      <c r="R131" s="32"/>
    </row>
    <row r="132" spans="1:18" s="23" customFormat="1" ht="12" customHeight="1" x14ac:dyDescent="0.25">
      <c r="A132" s="32"/>
      <c r="B132" s="992" t="s">
        <v>1223</v>
      </c>
      <c r="C132" s="32"/>
      <c r="D132" s="32"/>
      <c r="E132" s="32"/>
      <c r="F132" s="32"/>
      <c r="G132" s="32"/>
      <c r="H132" s="32"/>
      <c r="I132" s="32"/>
      <c r="J132" s="32"/>
      <c r="Q132" s="32"/>
      <c r="R132" s="32"/>
    </row>
    <row r="133" spans="1:18" s="23" customFormat="1" ht="12" customHeight="1" x14ac:dyDescent="0.25">
      <c r="A133" s="32"/>
      <c r="B133" s="992"/>
      <c r="C133" s="32"/>
      <c r="D133" s="32"/>
      <c r="E133" s="32"/>
      <c r="F133" s="32"/>
      <c r="G133" s="32"/>
      <c r="H133" s="32"/>
      <c r="I133" s="32"/>
      <c r="J133" s="32"/>
      <c r="Q133" s="32"/>
      <c r="R133" s="32"/>
    </row>
    <row r="134" spans="1:18" s="23" customFormat="1" ht="12" customHeight="1" x14ac:dyDescent="0.25">
      <c r="A134" s="32"/>
      <c r="B134" s="992" t="s">
        <v>1224</v>
      </c>
      <c r="C134" s="32"/>
      <c r="D134" s="32"/>
      <c r="E134" s="32"/>
      <c r="F134" s="32"/>
      <c r="G134" s="32"/>
      <c r="H134" s="32"/>
      <c r="I134" s="32"/>
      <c r="J134" s="32"/>
      <c r="Q134" s="32"/>
      <c r="R134" s="32"/>
    </row>
    <row r="135" spans="1:18" s="23" customFormat="1" ht="12" customHeight="1" x14ac:dyDescent="0.25">
      <c r="A135" s="32"/>
      <c r="B135" s="992" t="s">
        <v>1225</v>
      </c>
      <c r="C135" s="32"/>
      <c r="D135" s="32"/>
      <c r="E135" s="32"/>
      <c r="F135" s="32"/>
      <c r="G135" s="32"/>
      <c r="H135" s="32"/>
      <c r="I135" s="32"/>
      <c r="J135" s="32"/>
      <c r="Q135" s="32"/>
      <c r="R135" s="32"/>
    </row>
    <row r="136" spans="1:18" s="23" customFormat="1" ht="12" customHeight="1" x14ac:dyDescent="0.25">
      <c r="A136" s="32"/>
      <c r="B136" s="992" t="s">
        <v>1226</v>
      </c>
      <c r="C136" s="32"/>
      <c r="D136" s="32"/>
      <c r="E136" s="32"/>
      <c r="F136" s="32"/>
      <c r="G136" s="32"/>
      <c r="H136" s="32"/>
      <c r="I136" s="32"/>
      <c r="J136" s="32"/>
      <c r="Q136" s="32"/>
      <c r="R136" s="32"/>
    </row>
    <row r="137" spans="1:18" s="23" customFormat="1" ht="12" customHeight="1" x14ac:dyDescent="0.25">
      <c r="A137" s="32"/>
      <c r="B137" s="992"/>
      <c r="C137" s="32"/>
      <c r="D137" s="32"/>
      <c r="E137" s="32"/>
      <c r="F137" s="32"/>
      <c r="G137" s="32"/>
      <c r="H137" s="32"/>
      <c r="I137" s="32"/>
      <c r="J137" s="32"/>
      <c r="Q137" s="32"/>
      <c r="R137" s="32"/>
    </row>
    <row r="138" spans="1:18" s="23" customFormat="1" ht="12" customHeight="1" x14ac:dyDescent="0.25">
      <c r="A138" s="32"/>
      <c r="B138" s="992" t="s">
        <v>1227</v>
      </c>
      <c r="C138" s="32"/>
      <c r="D138" s="32"/>
      <c r="E138" s="32"/>
      <c r="F138" s="32"/>
      <c r="G138" s="32"/>
      <c r="H138" s="32"/>
      <c r="I138" s="32"/>
      <c r="J138" s="32"/>
      <c r="Q138" s="32"/>
      <c r="R138" s="32"/>
    </row>
    <row r="139" spans="1:18" s="23" customFormat="1" ht="12" customHeight="1" x14ac:dyDescent="0.25">
      <c r="A139" s="32"/>
      <c r="B139" s="992" t="s">
        <v>1228</v>
      </c>
      <c r="C139" s="32"/>
      <c r="D139" s="32"/>
      <c r="E139" s="32"/>
      <c r="F139" s="32"/>
      <c r="G139" s="32"/>
      <c r="H139" s="32"/>
      <c r="I139" s="32"/>
      <c r="J139" s="32"/>
      <c r="Q139" s="32"/>
      <c r="R139" s="32"/>
    </row>
    <row r="140" spans="1:18" s="23" customFormat="1" ht="12" customHeight="1" x14ac:dyDescent="0.25">
      <c r="A140" s="32"/>
      <c r="B140" s="992" t="s">
        <v>1229</v>
      </c>
      <c r="C140" s="32"/>
      <c r="D140" s="32"/>
      <c r="E140" s="32"/>
      <c r="F140" s="32"/>
      <c r="G140" s="32"/>
      <c r="H140" s="32"/>
      <c r="I140" s="32"/>
      <c r="J140" s="32"/>
      <c r="Q140" s="32"/>
      <c r="R140" s="32"/>
    </row>
    <row r="141" spans="1:18" s="23" customFormat="1" ht="12" customHeight="1" x14ac:dyDescent="0.25">
      <c r="A141" s="32"/>
      <c r="B141" s="992" t="s">
        <v>1230</v>
      </c>
      <c r="C141" s="32"/>
      <c r="D141" s="32"/>
      <c r="E141" s="32"/>
      <c r="F141" s="32"/>
      <c r="G141" s="32"/>
      <c r="H141" s="32"/>
      <c r="I141" s="32"/>
      <c r="J141" s="32"/>
      <c r="Q141" s="32"/>
      <c r="R141" s="32"/>
    </row>
    <row r="142" spans="1:18" s="23" customFormat="1" ht="12" customHeight="1" x14ac:dyDescent="0.25">
      <c r="A142" s="32"/>
      <c r="B142" s="992"/>
      <c r="C142" s="32"/>
      <c r="D142" s="32"/>
      <c r="E142" s="32"/>
      <c r="F142" s="32"/>
      <c r="G142" s="32"/>
      <c r="H142" s="32"/>
      <c r="I142" s="32"/>
      <c r="J142" s="32"/>
      <c r="Q142" s="32"/>
      <c r="R142" s="32"/>
    </row>
    <row r="143" spans="1:18" s="23" customFormat="1" ht="12" customHeight="1" x14ac:dyDescent="0.25">
      <c r="A143" s="32"/>
      <c r="B143" s="992" t="s">
        <v>1231</v>
      </c>
      <c r="C143" s="32"/>
      <c r="D143" s="32"/>
      <c r="E143" s="32"/>
      <c r="F143" s="32"/>
      <c r="G143" s="32"/>
      <c r="H143" s="32"/>
      <c r="I143" s="32"/>
      <c r="J143" s="32"/>
      <c r="Q143" s="32"/>
      <c r="R143" s="32"/>
    </row>
    <row r="144" spans="1:18" s="23" customFormat="1" ht="12" customHeight="1" x14ac:dyDescent="0.25">
      <c r="A144" s="32"/>
      <c r="B144" s="992" t="s">
        <v>1232</v>
      </c>
      <c r="C144" s="32"/>
      <c r="D144" s="32"/>
      <c r="E144" s="32"/>
      <c r="F144" s="32"/>
      <c r="G144" s="32"/>
      <c r="H144" s="32"/>
      <c r="I144" s="32"/>
      <c r="J144" s="32"/>
      <c r="Q144" s="32"/>
      <c r="R144" s="32"/>
    </row>
    <row r="145" spans="1:18" s="23" customFormat="1" ht="12" customHeight="1" x14ac:dyDescent="0.25">
      <c r="A145" s="32"/>
      <c r="B145" s="992"/>
      <c r="C145" s="32"/>
      <c r="D145" s="32"/>
      <c r="E145" s="32"/>
      <c r="F145" s="32"/>
      <c r="G145" s="32"/>
      <c r="H145" s="32"/>
      <c r="I145" s="32"/>
      <c r="J145" s="32"/>
      <c r="Q145" s="32"/>
      <c r="R145" s="32"/>
    </row>
    <row r="146" spans="1:18" s="23" customFormat="1" ht="12" customHeight="1" x14ac:dyDescent="0.25">
      <c r="A146" s="32"/>
      <c r="B146" s="992" t="s">
        <v>1233</v>
      </c>
      <c r="C146" s="32"/>
      <c r="D146" s="32"/>
      <c r="E146" s="32"/>
      <c r="F146" s="32"/>
      <c r="G146" s="32"/>
      <c r="H146" s="32"/>
      <c r="I146" s="32"/>
      <c r="J146" s="32"/>
      <c r="Q146" s="32"/>
      <c r="R146" s="32"/>
    </row>
    <row r="147" spans="1:18" s="23" customFormat="1" ht="12" customHeight="1" x14ac:dyDescent="0.25">
      <c r="A147" s="32"/>
      <c r="B147" s="992" t="s">
        <v>1234</v>
      </c>
      <c r="C147" s="32"/>
      <c r="D147" s="32"/>
      <c r="E147" s="32"/>
      <c r="F147" s="32"/>
      <c r="G147" s="32"/>
      <c r="H147" s="32"/>
      <c r="I147" s="32"/>
      <c r="J147" s="32"/>
      <c r="Q147" s="32"/>
      <c r="R147" s="32"/>
    </row>
    <row r="148" spans="1:18" s="23" customFormat="1" ht="12" customHeight="1" x14ac:dyDescent="0.25">
      <c r="A148" s="32"/>
      <c r="B148" s="992" t="s">
        <v>1235</v>
      </c>
      <c r="C148" s="32"/>
      <c r="D148" s="32"/>
      <c r="E148" s="32"/>
      <c r="F148" s="32"/>
      <c r="G148" s="32"/>
      <c r="H148" s="32"/>
      <c r="I148" s="32"/>
      <c r="J148" s="32"/>
      <c r="Q148" s="32"/>
      <c r="R148" s="32"/>
    </row>
    <row r="149" spans="1:18" s="23" customFormat="1" ht="12" customHeight="1" x14ac:dyDescent="0.25">
      <c r="A149" s="32"/>
      <c r="B149" s="992" t="s">
        <v>1236</v>
      </c>
      <c r="C149" s="32"/>
      <c r="D149" s="32"/>
      <c r="E149" s="32"/>
      <c r="F149" s="32"/>
      <c r="G149" s="32"/>
      <c r="H149" s="32"/>
      <c r="I149" s="32"/>
      <c r="J149" s="32"/>
      <c r="Q149" s="32"/>
      <c r="R149" s="32"/>
    </row>
    <row r="150" spans="1:18" s="23" customFormat="1" ht="12" customHeight="1" x14ac:dyDescent="0.25">
      <c r="A150" s="32"/>
      <c r="B150" s="992" t="s">
        <v>1237</v>
      </c>
      <c r="C150" s="32"/>
      <c r="D150" s="32"/>
      <c r="E150" s="32"/>
      <c r="F150" s="32"/>
      <c r="G150" s="32"/>
      <c r="H150" s="32"/>
      <c r="I150" s="32"/>
      <c r="J150" s="32"/>
      <c r="Q150" s="32"/>
      <c r="R150" s="32"/>
    </row>
    <row r="151" spans="1:18" s="23" customFormat="1" ht="12" customHeight="1" x14ac:dyDescent="0.25">
      <c r="A151" s="32"/>
      <c r="B151" s="992" t="s">
        <v>1238</v>
      </c>
      <c r="C151" s="32"/>
      <c r="D151" s="32"/>
      <c r="E151" s="32"/>
      <c r="F151" s="32"/>
      <c r="G151" s="32"/>
      <c r="H151" s="32"/>
      <c r="I151" s="32"/>
      <c r="J151" s="32"/>
      <c r="Q151" s="32"/>
      <c r="R151" s="32"/>
    </row>
    <row r="152" spans="1:18" s="23" customFormat="1" ht="12" customHeight="1" x14ac:dyDescent="0.25">
      <c r="A152" s="32"/>
      <c r="B152" s="992"/>
      <c r="C152" s="32"/>
      <c r="D152" s="32"/>
      <c r="E152" s="32"/>
      <c r="F152" s="32"/>
      <c r="G152" s="32"/>
      <c r="H152" s="32"/>
      <c r="I152" s="32"/>
      <c r="J152" s="32"/>
      <c r="Q152" s="32"/>
      <c r="R152" s="32"/>
    </row>
    <row r="153" spans="1:18" s="23" customFormat="1" ht="12" customHeight="1" x14ac:dyDescent="0.25">
      <c r="A153" s="32"/>
      <c r="B153" s="992" t="s">
        <v>1239</v>
      </c>
      <c r="C153" s="32"/>
      <c r="D153" s="32"/>
      <c r="E153" s="32"/>
      <c r="F153" s="32"/>
      <c r="G153" s="32"/>
      <c r="H153" s="32"/>
      <c r="I153" s="32"/>
      <c r="J153" s="32"/>
      <c r="Q153" s="32"/>
      <c r="R153" s="32"/>
    </row>
    <row r="154" spans="1:18" s="23" customFormat="1" ht="12" customHeight="1" x14ac:dyDescent="0.25">
      <c r="A154" s="32"/>
      <c r="B154" s="992" t="s">
        <v>0</v>
      </c>
      <c r="C154" s="32"/>
      <c r="D154" s="32"/>
      <c r="E154" s="32"/>
      <c r="F154" s="32"/>
      <c r="G154" s="32"/>
      <c r="H154" s="32"/>
      <c r="I154" s="32"/>
      <c r="J154" s="32"/>
      <c r="Q154" s="32"/>
      <c r="R154" s="32"/>
    </row>
    <row r="155" spans="1:18" s="23" customFormat="1" ht="12" customHeight="1" x14ac:dyDescent="0.25">
      <c r="A155" s="32"/>
      <c r="B155" s="992" t="s">
        <v>1</v>
      </c>
      <c r="C155" s="32"/>
      <c r="D155" s="32"/>
      <c r="E155" s="32"/>
      <c r="F155" s="32"/>
      <c r="G155" s="32"/>
      <c r="H155" s="32"/>
      <c r="I155" s="32"/>
      <c r="J155" s="32"/>
      <c r="Q155" s="32"/>
      <c r="R155" s="32"/>
    </row>
    <row r="156" spans="1:18" s="23" customFormat="1" ht="12" customHeight="1" x14ac:dyDescent="0.25">
      <c r="A156" s="32"/>
      <c r="B156" s="992"/>
      <c r="C156" s="32"/>
      <c r="D156" s="32"/>
      <c r="E156" s="32"/>
      <c r="F156" s="32"/>
      <c r="G156" s="32"/>
      <c r="H156" s="32"/>
      <c r="I156" s="32"/>
      <c r="J156" s="32"/>
      <c r="Q156" s="32"/>
      <c r="R156" s="32"/>
    </row>
    <row r="157" spans="1:18" s="23" customFormat="1" ht="12" customHeight="1" x14ac:dyDescent="0.25">
      <c r="A157" s="32"/>
      <c r="B157" s="992" t="s">
        <v>2</v>
      </c>
      <c r="C157" s="32"/>
      <c r="D157" s="32"/>
      <c r="E157" s="32"/>
      <c r="F157" s="32"/>
      <c r="G157" s="32"/>
      <c r="H157" s="32"/>
      <c r="I157" s="32"/>
      <c r="J157" s="32"/>
      <c r="Q157" s="32"/>
      <c r="R157" s="32"/>
    </row>
    <row r="158" spans="1:18" s="23" customFormat="1" ht="12" customHeight="1" x14ac:dyDescent="0.25">
      <c r="A158" s="32"/>
      <c r="B158" s="992" t="s">
        <v>3</v>
      </c>
      <c r="C158" s="32"/>
      <c r="D158" s="32"/>
      <c r="E158" s="32"/>
      <c r="F158" s="32"/>
      <c r="G158" s="32"/>
      <c r="H158" s="32"/>
      <c r="I158" s="32"/>
      <c r="J158" s="32"/>
      <c r="Q158" s="32"/>
      <c r="R158" s="32"/>
    </row>
    <row r="159" spans="1:18" s="23" customFormat="1" ht="12" customHeight="1" x14ac:dyDescent="0.25">
      <c r="A159" s="32"/>
      <c r="B159" s="992" t="s">
        <v>4</v>
      </c>
      <c r="C159" s="32"/>
      <c r="D159" s="32"/>
      <c r="E159" s="32"/>
      <c r="F159" s="32"/>
      <c r="G159" s="32"/>
      <c r="H159" s="32"/>
      <c r="I159" s="32"/>
      <c r="J159" s="32"/>
      <c r="Q159" s="32"/>
      <c r="R159" s="32"/>
    </row>
    <row r="160" spans="1:18" s="23" customFormat="1" ht="12" customHeight="1" x14ac:dyDescent="0.25">
      <c r="A160" s="32"/>
      <c r="B160" s="992" t="s">
        <v>5</v>
      </c>
      <c r="C160" s="32"/>
      <c r="D160" s="32"/>
      <c r="E160" s="32"/>
      <c r="F160" s="32"/>
      <c r="G160" s="32"/>
      <c r="H160" s="32"/>
      <c r="I160" s="32"/>
      <c r="J160" s="32"/>
      <c r="Q160" s="32"/>
      <c r="R160" s="32"/>
    </row>
    <row r="161" spans="1:18" s="23" customFormat="1" ht="12" customHeight="1" x14ac:dyDescent="0.25">
      <c r="A161" s="32"/>
      <c r="B161" s="992" t="s">
        <v>6</v>
      </c>
      <c r="C161" s="32"/>
      <c r="D161" s="32"/>
      <c r="E161" s="32"/>
      <c r="F161" s="32"/>
      <c r="G161" s="32"/>
      <c r="H161" s="32"/>
      <c r="I161" s="32"/>
      <c r="J161" s="32"/>
      <c r="Q161" s="32"/>
      <c r="R161" s="32"/>
    </row>
    <row r="162" spans="1:18" s="23" customFormat="1" ht="12" customHeight="1" x14ac:dyDescent="0.25">
      <c r="A162" s="32"/>
      <c r="B162" s="992" t="s">
        <v>7</v>
      </c>
      <c r="C162" s="32"/>
      <c r="D162" s="32"/>
      <c r="E162" s="32"/>
      <c r="F162" s="32"/>
      <c r="G162" s="32"/>
      <c r="H162" s="32"/>
      <c r="I162" s="32"/>
      <c r="J162" s="32"/>
      <c r="Q162" s="32"/>
      <c r="R162" s="32"/>
    </row>
    <row r="163" spans="1:18" s="23" customFormat="1" ht="12" customHeight="1" x14ac:dyDescent="0.25">
      <c r="A163" s="32"/>
      <c r="B163" s="992" t="s">
        <v>8</v>
      </c>
      <c r="C163" s="32"/>
      <c r="D163" s="32"/>
      <c r="E163" s="32"/>
      <c r="F163" s="32"/>
      <c r="G163" s="32"/>
      <c r="H163" s="32"/>
      <c r="I163" s="32"/>
      <c r="J163" s="32"/>
      <c r="Q163" s="32"/>
      <c r="R163" s="32"/>
    </row>
    <row r="164" spans="1:18" ht="12" customHeight="1" x14ac:dyDescent="0.25">
      <c r="A164" s="32"/>
      <c r="B164" s="992" t="s">
        <v>9</v>
      </c>
      <c r="C164" s="32"/>
      <c r="D164" s="32"/>
      <c r="E164" s="32"/>
      <c r="F164" s="32"/>
      <c r="G164" s="32"/>
      <c r="H164" s="32"/>
      <c r="I164" s="32"/>
      <c r="J164" s="32"/>
      <c r="K164" s="23"/>
      <c r="L164" s="23"/>
      <c r="M164" s="23"/>
      <c r="N164" s="23"/>
      <c r="O164" s="23"/>
      <c r="P164" s="23"/>
      <c r="Q164" s="570"/>
      <c r="R164" s="570"/>
    </row>
    <row r="165" spans="1:18" ht="12" customHeight="1" x14ac:dyDescent="0.25">
      <c r="A165" s="32"/>
      <c r="B165" s="992"/>
      <c r="C165" s="32"/>
      <c r="D165" s="32"/>
      <c r="E165" s="32"/>
      <c r="F165" s="32"/>
      <c r="G165" s="32"/>
      <c r="H165" s="32"/>
      <c r="I165" s="32"/>
      <c r="J165" s="32"/>
      <c r="K165" s="23"/>
      <c r="L165" s="23"/>
      <c r="M165" s="23"/>
      <c r="N165" s="23"/>
      <c r="O165" s="23"/>
      <c r="P165" s="23"/>
      <c r="Q165" s="570"/>
      <c r="R165" s="570"/>
    </row>
    <row r="166" spans="1:18" ht="13.5" x14ac:dyDescent="0.25">
      <c r="A166" s="32"/>
      <c r="B166" s="992" t="s">
        <v>10</v>
      </c>
      <c r="C166" s="32"/>
      <c r="D166" s="32"/>
      <c r="E166" s="32"/>
      <c r="F166" s="32"/>
      <c r="G166" s="32"/>
      <c r="H166" s="32"/>
      <c r="I166" s="32"/>
      <c r="J166" s="32"/>
      <c r="K166" s="23"/>
      <c r="L166" s="23"/>
      <c r="M166" s="23"/>
      <c r="N166" s="23"/>
      <c r="O166" s="23"/>
      <c r="P166" s="23"/>
      <c r="Q166" s="570"/>
      <c r="R166" s="570"/>
    </row>
    <row r="167" spans="1:18" ht="13.5" x14ac:dyDescent="0.25">
      <c r="A167" s="32"/>
      <c r="B167" s="992"/>
      <c r="C167" s="32"/>
      <c r="D167" s="32"/>
      <c r="E167" s="32"/>
      <c r="F167" s="32"/>
      <c r="G167" s="32"/>
      <c r="H167" s="32"/>
      <c r="I167" s="32"/>
      <c r="J167" s="32"/>
      <c r="K167" s="23"/>
      <c r="L167" s="23"/>
      <c r="M167" s="23"/>
      <c r="N167" s="23"/>
      <c r="O167" s="23"/>
      <c r="P167" s="23"/>
      <c r="Q167" s="570"/>
      <c r="R167" s="570"/>
    </row>
    <row r="168" spans="1:18" ht="13.5" x14ac:dyDescent="0.25">
      <c r="A168" s="993"/>
      <c r="B168" s="992" t="s">
        <v>11</v>
      </c>
      <c r="C168" s="993"/>
      <c r="D168" s="993"/>
      <c r="E168" s="993"/>
      <c r="F168" s="993"/>
      <c r="G168" s="993"/>
      <c r="H168" s="993"/>
      <c r="I168" s="993"/>
      <c r="J168" s="993"/>
      <c r="K168" s="1"/>
      <c r="L168" s="1"/>
      <c r="M168" s="1"/>
      <c r="N168" s="1"/>
      <c r="O168" s="1"/>
      <c r="P168" s="1"/>
    </row>
    <row r="169" spans="1:18" ht="13.5" x14ac:dyDescent="0.25">
      <c r="A169" s="993"/>
      <c r="B169" s="992" t="s">
        <v>12</v>
      </c>
      <c r="C169" s="993"/>
      <c r="D169" s="993"/>
      <c r="E169" s="993"/>
      <c r="F169" s="993"/>
      <c r="G169" s="993"/>
      <c r="H169" s="993"/>
      <c r="I169" s="993"/>
      <c r="J169" s="993"/>
      <c r="K169" s="1"/>
      <c r="L169" s="1"/>
      <c r="M169" s="1"/>
      <c r="N169" s="1"/>
      <c r="O169" s="1"/>
      <c r="P169" s="1"/>
    </row>
    <row r="170" spans="1:18" ht="13.5" x14ac:dyDescent="0.25">
      <c r="A170" s="993"/>
      <c r="B170" s="992" t="s">
        <v>13</v>
      </c>
      <c r="C170" s="993"/>
      <c r="D170" s="993"/>
      <c r="E170" s="993"/>
      <c r="F170" s="993"/>
      <c r="G170" s="993"/>
      <c r="H170" s="993"/>
      <c r="I170" s="993"/>
      <c r="J170" s="993"/>
      <c r="K170" s="1"/>
      <c r="L170" s="1"/>
      <c r="M170" s="1"/>
      <c r="N170" s="1"/>
      <c r="O170" s="1"/>
      <c r="P170" s="1"/>
    </row>
    <row r="171" spans="1:18" ht="13.5" x14ac:dyDescent="0.25">
      <c r="A171" s="993"/>
      <c r="B171" s="992"/>
      <c r="C171" s="993"/>
      <c r="D171" s="993"/>
      <c r="E171" s="993"/>
      <c r="F171" s="993"/>
      <c r="G171" s="993"/>
      <c r="H171" s="993"/>
      <c r="I171" s="993"/>
      <c r="J171" s="993"/>
      <c r="K171" s="1"/>
      <c r="L171" s="1"/>
      <c r="M171" s="1"/>
      <c r="N171" s="1"/>
      <c r="O171" s="1"/>
      <c r="P171" s="1"/>
    </row>
    <row r="172" spans="1:18" ht="13.5" x14ac:dyDescent="0.25">
      <c r="A172" s="1"/>
      <c r="B172" s="992" t="s">
        <v>14</v>
      </c>
      <c r="C172" s="1"/>
      <c r="D172" s="1"/>
      <c r="E172" s="1"/>
      <c r="F172" s="1"/>
      <c r="G172" s="1"/>
      <c r="H172" s="1"/>
      <c r="I172" s="1"/>
      <c r="J172" s="1"/>
      <c r="K172" s="1"/>
      <c r="L172" s="1"/>
      <c r="M172" s="1"/>
      <c r="N172" s="1"/>
      <c r="O172" s="1"/>
      <c r="P172" s="1"/>
    </row>
    <row r="173" spans="1:18" ht="13.5" x14ac:dyDescent="0.25">
      <c r="A173" s="1"/>
      <c r="B173" s="992" t="s">
        <v>15</v>
      </c>
      <c r="C173" s="1"/>
      <c r="D173" s="1"/>
      <c r="E173" s="1"/>
      <c r="F173" s="1"/>
      <c r="G173" s="1"/>
      <c r="H173" s="1"/>
      <c r="I173" s="1"/>
      <c r="J173" s="1"/>
      <c r="K173" s="1"/>
      <c r="L173" s="1"/>
      <c r="M173" s="1"/>
      <c r="N173" s="1"/>
      <c r="O173" s="1"/>
      <c r="P173" s="1"/>
    </row>
    <row r="174" spans="1:18" ht="13.5" x14ac:dyDescent="0.25">
      <c r="A174" s="1"/>
      <c r="B174" s="992" t="s">
        <v>16</v>
      </c>
      <c r="C174" s="1"/>
      <c r="D174" s="1"/>
      <c r="E174" s="1"/>
      <c r="F174" s="1"/>
      <c r="G174" s="1"/>
      <c r="H174" s="1"/>
      <c r="I174" s="1"/>
      <c r="J174" s="1"/>
      <c r="K174" s="1"/>
      <c r="L174" s="1"/>
      <c r="M174" s="1"/>
      <c r="N174" s="1"/>
      <c r="O174" s="1"/>
      <c r="P174" s="1"/>
    </row>
    <row r="175" spans="1:18" ht="13.5" x14ac:dyDescent="0.25">
      <c r="A175" s="1"/>
      <c r="B175" s="992" t="s">
        <v>17</v>
      </c>
      <c r="C175" s="1"/>
      <c r="D175" s="1"/>
      <c r="E175" s="1"/>
      <c r="F175" s="1"/>
      <c r="G175" s="1"/>
      <c r="H175" s="1"/>
      <c r="I175" s="1"/>
      <c r="J175" s="1"/>
      <c r="K175" s="1"/>
      <c r="L175" s="1"/>
      <c r="M175" s="1"/>
      <c r="N175" s="1"/>
      <c r="O175" s="1"/>
      <c r="P175" s="1"/>
    </row>
    <row r="176" spans="1:18" ht="13.5" x14ac:dyDescent="0.25">
      <c r="A176" s="1"/>
      <c r="B176" s="992"/>
      <c r="C176" s="1"/>
      <c r="D176" s="1"/>
      <c r="E176" s="1"/>
      <c r="F176" s="1"/>
      <c r="G176" s="1"/>
      <c r="H176" s="1"/>
      <c r="I176" s="1"/>
      <c r="J176" s="1"/>
      <c r="K176" s="1"/>
      <c r="L176" s="1"/>
      <c r="M176" s="1"/>
      <c r="N176" s="1"/>
      <c r="O176" s="1"/>
      <c r="P176" s="1"/>
    </row>
    <row r="177" spans="1:16" ht="13.5" x14ac:dyDescent="0.25">
      <c r="A177" s="1"/>
      <c r="B177" s="992" t="s">
        <v>18</v>
      </c>
      <c r="C177" s="1"/>
      <c r="D177" s="1"/>
      <c r="E177" s="1"/>
      <c r="F177" s="1"/>
      <c r="G177" s="1"/>
      <c r="H177" s="1"/>
      <c r="I177" s="1"/>
      <c r="J177" s="1"/>
      <c r="K177" s="1"/>
      <c r="L177" s="1"/>
      <c r="M177" s="1"/>
      <c r="N177" s="1"/>
      <c r="O177" s="1"/>
      <c r="P177" s="1"/>
    </row>
    <row r="178" spans="1:16" ht="13.5" x14ac:dyDescent="0.25">
      <c r="A178" s="1"/>
      <c r="B178" s="992" t="s">
        <v>19</v>
      </c>
      <c r="C178" s="1"/>
      <c r="D178" s="1"/>
      <c r="E178" s="1"/>
      <c r="F178" s="1"/>
      <c r="G178" s="1"/>
      <c r="H178" s="1"/>
      <c r="I178" s="1"/>
      <c r="J178" s="1"/>
      <c r="K178" s="1"/>
      <c r="L178" s="1"/>
      <c r="M178" s="1"/>
      <c r="N178" s="1"/>
      <c r="O178" s="1"/>
      <c r="P178" s="1"/>
    </row>
    <row r="179" spans="1:16" ht="13.5" x14ac:dyDescent="0.25">
      <c r="A179" s="1"/>
      <c r="B179" s="992" t="s">
        <v>20</v>
      </c>
      <c r="C179" s="1"/>
      <c r="D179" s="1"/>
      <c r="E179" s="1"/>
      <c r="F179" s="1"/>
      <c r="G179" s="1"/>
      <c r="H179" s="1"/>
      <c r="I179" s="1"/>
      <c r="J179" s="1"/>
      <c r="K179" s="1"/>
      <c r="L179" s="1"/>
      <c r="M179" s="1"/>
      <c r="N179" s="1"/>
      <c r="O179" s="1"/>
      <c r="P179" s="1"/>
    </row>
    <row r="180" spans="1:16" ht="13.5" x14ac:dyDescent="0.25">
      <c r="A180" s="1"/>
      <c r="B180" s="992" t="s">
        <v>21</v>
      </c>
      <c r="C180" s="1"/>
      <c r="D180" s="1"/>
      <c r="E180" s="1"/>
      <c r="F180" s="1"/>
      <c r="G180" s="1"/>
      <c r="H180" s="1"/>
      <c r="I180" s="1"/>
      <c r="J180" s="1"/>
      <c r="K180" s="1"/>
      <c r="L180" s="1"/>
      <c r="M180" s="1"/>
      <c r="N180" s="1"/>
      <c r="O180" s="1"/>
      <c r="P180" s="1"/>
    </row>
    <row r="181" spans="1:16" ht="13.5" x14ac:dyDescent="0.25">
      <c r="A181" s="1"/>
      <c r="B181" s="992" t="s">
        <v>22</v>
      </c>
      <c r="C181" s="1"/>
      <c r="D181" s="1"/>
      <c r="E181" s="1"/>
      <c r="F181" s="1"/>
      <c r="G181" s="1"/>
      <c r="H181" s="1"/>
      <c r="I181" s="1"/>
      <c r="J181" s="1"/>
      <c r="K181" s="1"/>
      <c r="L181" s="1"/>
      <c r="M181" s="1"/>
      <c r="N181" s="1"/>
      <c r="O181" s="1"/>
      <c r="P181" s="1"/>
    </row>
    <row r="182" spans="1:16" ht="13.5" x14ac:dyDescent="0.25">
      <c r="A182" s="1"/>
      <c r="B182" s="992" t="s">
        <v>23</v>
      </c>
      <c r="C182" s="1"/>
      <c r="D182" s="1"/>
      <c r="E182" s="1"/>
      <c r="F182" s="1"/>
      <c r="G182" s="1"/>
      <c r="H182" s="1"/>
      <c r="I182" s="1"/>
      <c r="J182" s="1"/>
      <c r="K182" s="1"/>
      <c r="L182" s="1"/>
      <c r="M182" s="1"/>
      <c r="N182" s="1"/>
      <c r="O182" s="1"/>
      <c r="P182" s="1"/>
    </row>
    <row r="183" spans="1:16" ht="13.5" x14ac:dyDescent="0.25">
      <c r="A183" s="1"/>
      <c r="B183" s="992" t="s">
        <v>24</v>
      </c>
      <c r="C183" s="1"/>
      <c r="D183" s="1"/>
      <c r="E183" s="1"/>
      <c r="F183" s="1"/>
      <c r="G183" s="1"/>
      <c r="H183" s="1"/>
      <c r="I183" s="1"/>
      <c r="J183" s="1"/>
      <c r="K183" s="1"/>
      <c r="L183" s="1"/>
      <c r="M183" s="1"/>
      <c r="N183" s="1"/>
      <c r="O183" s="1"/>
      <c r="P183" s="1"/>
    </row>
    <row r="184" spans="1:16" ht="13.5" x14ac:dyDescent="0.25">
      <c r="A184" s="1"/>
      <c r="B184" s="992" t="s">
        <v>25</v>
      </c>
      <c r="C184" s="1"/>
      <c r="D184" s="1"/>
      <c r="E184" s="1"/>
      <c r="F184" s="1"/>
      <c r="G184" s="1"/>
      <c r="H184" s="1"/>
      <c r="I184" s="1"/>
      <c r="J184" s="1"/>
      <c r="K184" s="1"/>
      <c r="L184" s="1"/>
      <c r="M184" s="1"/>
      <c r="N184" s="1"/>
      <c r="O184" s="1"/>
      <c r="P184" s="1"/>
    </row>
    <row r="185" spans="1:16" ht="13.5" x14ac:dyDescent="0.25">
      <c r="A185" s="1"/>
      <c r="B185" s="992" t="s">
        <v>26</v>
      </c>
      <c r="C185" s="1"/>
      <c r="D185" s="1"/>
      <c r="E185" s="1"/>
      <c r="F185" s="1"/>
      <c r="G185" s="1"/>
      <c r="H185" s="1"/>
      <c r="I185" s="1"/>
      <c r="J185" s="1"/>
      <c r="K185" s="1"/>
      <c r="L185" s="1"/>
      <c r="M185" s="1"/>
      <c r="N185" s="1"/>
      <c r="O185" s="1"/>
      <c r="P185" s="1"/>
    </row>
    <row r="186" spans="1:16" ht="13.5" x14ac:dyDescent="0.25">
      <c r="A186" s="1"/>
      <c r="B186" s="992" t="s">
        <v>27</v>
      </c>
      <c r="C186" s="1"/>
      <c r="D186" s="1"/>
      <c r="E186" s="1"/>
      <c r="F186" s="1"/>
      <c r="G186" s="1"/>
      <c r="H186" s="1"/>
      <c r="I186" s="1"/>
      <c r="J186" s="1"/>
      <c r="K186" s="1"/>
      <c r="L186" s="1"/>
      <c r="M186" s="1"/>
      <c r="N186" s="1"/>
      <c r="O186" s="1"/>
      <c r="P186" s="1"/>
    </row>
    <row r="187" spans="1:16" ht="13.5" x14ac:dyDescent="0.25">
      <c r="A187" s="1"/>
      <c r="B187" s="992"/>
      <c r="C187" s="1"/>
      <c r="D187" s="1"/>
      <c r="E187" s="1"/>
      <c r="F187" s="1"/>
      <c r="G187" s="1"/>
      <c r="H187" s="1"/>
      <c r="I187" s="1"/>
      <c r="J187" s="1"/>
      <c r="K187" s="1"/>
      <c r="L187" s="1"/>
      <c r="M187" s="1"/>
      <c r="N187" s="1"/>
      <c r="O187" s="1"/>
      <c r="P187" s="1"/>
    </row>
    <row r="188" spans="1:16" ht="13.5" x14ac:dyDescent="0.25">
      <c r="A188" s="1"/>
      <c r="B188" s="992" t="s">
        <v>28</v>
      </c>
      <c r="C188" s="1"/>
      <c r="D188" s="1"/>
      <c r="E188" s="1"/>
      <c r="F188" s="1"/>
      <c r="G188" s="1"/>
      <c r="H188" s="1"/>
      <c r="I188" s="1"/>
      <c r="J188" s="1"/>
      <c r="K188" s="1"/>
      <c r="L188" s="1"/>
      <c r="M188" s="1"/>
      <c r="N188" s="1"/>
      <c r="O188" s="1"/>
      <c r="P188" s="1"/>
    </row>
    <row r="189" spans="1:16" ht="13.5" x14ac:dyDescent="0.25">
      <c r="A189" s="1"/>
      <c r="B189" s="992" t="s">
        <v>29</v>
      </c>
      <c r="C189" s="1"/>
      <c r="D189" s="1"/>
      <c r="E189" s="1"/>
      <c r="F189" s="1"/>
      <c r="G189" s="1"/>
      <c r="H189" s="1"/>
      <c r="I189" s="1"/>
      <c r="J189" s="1"/>
      <c r="K189" s="1"/>
      <c r="L189" s="1"/>
      <c r="M189" s="1"/>
      <c r="N189" s="1"/>
      <c r="O189" s="1"/>
      <c r="P189" s="1"/>
    </row>
    <row r="190" spans="1:16" ht="13.5" x14ac:dyDescent="0.25">
      <c r="A190" s="1"/>
      <c r="B190" s="992" t="s">
        <v>30</v>
      </c>
      <c r="C190" s="1"/>
      <c r="D190" s="1"/>
      <c r="E190" s="1"/>
      <c r="F190" s="1"/>
      <c r="G190" s="1"/>
      <c r="H190" s="1"/>
      <c r="I190" s="1"/>
      <c r="J190" s="1"/>
      <c r="K190" s="1"/>
      <c r="L190" s="1"/>
      <c r="M190" s="1"/>
      <c r="N190" s="1"/>
      <c r="O190" s="1"/>
      <c r="P190" s="1"/>
    </row>
    <row r="191" spans="1:16" ht="13.5" x14ac:dyDescent="0.25">
      <c r="A191" s="1"/>
      <c r="B191" s="992" t="s">
        <v>31</v>
      </c>
      <c r="C191" s="1"/>
      <c r="D191" s="1"/>
      <c r="E191" s="1"/>
      <c r="F191" s="1"/>
      <c r="G191" s="1"/>
      <c r="H191" s="1"/>
      <c r="I191" s="1"/>
      <c r="J191" s="1"/>
      <c r="K191" s="1"/>
      <c r="L191" s="1"/>
      <c r="M191" s="1"/>
      <c r="N191" s="1"/>
      <c r="O191" s="1"/>
      <c r="P191" s="1"/>
    </row>
    <row r="192" spans="1:16" ht="13.5" x14ac:dyDescent="0.25">
      <c r="A192" s="1"/>
      <c r="B192" s="992" t="s">
        <v>32</v>
      </c>
      <c r="C192" s="1"/>
      <c r="D192" s="1"/>
      <c r="E192" s="1"/>
      <c r="F192" s="1"/>
      <c r="G192" s="1"/>
      <c r="H192" s="1"/>
      <c r="I192" s="1"/>
      <c r="J192" s="1"/>
      <c r="K192" s="1"/>
      <c r="L192" s="1"/>
      <c r="M192" s="1"/>
      <c r="N192" s="1"/>
      <c r="O192" s="1"/>
      <c r="P192" s="1"/>
    </row>
    <row r="193" spans="1:16" ht="13.5" x14ac:dyDescent="0.25">
      <c r="A193" s="1"/>
      <c r="B193" s="992" t="s">
        <v>33</v>
      </c>
      <c r="C193" s="1"/>
      <c r="D193" s="1"/>
      <c r="E193" s="1"/>
      <c r="F193" s="1"/>
      <c r="G193" s="1"/>
      <c r="H193" s="1"/>
      <c r="I193" s="1"/>
      <c r="J193" s="1"/>
      <c r="K193" s="1"/>
      <c r="L193" s="1"/>
      <c r="M193" s="1"/>
      <c r="N193" s="1"/>
      <c r="O193" s="1"/>
      <c r="P193" s="1"/>
    </row>
    <row r="194" spans="1:16" ht="13.5" x14ac:dyDescent="0.25">
      <c r="A194" s="1"/>
      <c r="B194" s="992" t="s">
        <v>34</v>
      </c>
      <c r="C194" s="1"/>
      <c r="D194" s="1"/>
      <c r="E194" s="1"/>
      <c r="F194" s="1"/>
      <c r="G194" s="1"/>
      <c r="H194" s="1"/>
      <c r="I194" s="1"/>
      <c r="J194" s="1"/>
      <c r="K194" s="1"/>
      <c r="L194" s="1"/>
      <c r="M194" s="1"/>
      <c r="N194" s="1"/>
      <c r="O194" s="1"/>
      <c r="P194" s="1"/>
    </row>
    <row r="195" spans="1:16" ht="13.5" x14ac:dyDescent="0.25">
      <c r="A195" s="1"/>
      <c r="B195" s="992" t="s">
        <v>35</v>
      </c>
      <c r="C195" s="1"/>
      <c r="D195" s="1"/>
      <c r="E195" s="1"/>
      <c r="F195" s="1"/>
      <c r="G195" s="1"/>
      <c r="H195" s="1"/>
      <c r="I195" s="1"/>
      <c r="J195" s="1"/>
      <c r="K195" s="1"/>
      <c r="L195" s="1"/>
      <c r="M195" s="1"/>
      <c r="N195" s="1"/>
      <c r="O195" s="1"/>
      <c r="P195" s="1"/>
    </row>
    <row r="196" spans="1:16" ht="13.5" x14ac:dyDescent="0.25">
      <c r="A196" s="1"/>
      <c r="B196" s="992" t="s">
        <v>36</v>
      </c>
      <c r="C196" s="1"/>
      <c r="D196" s="1"/>
      <c r="E196" s="1"/>
      <c r="F196" s="1"/>
      <c r="G196" s="1"/>
      <c r="H196" s="1"/>
      <c r="I196" s="1"/>
      <c r="J196" s="1"/>
      <c r="K196" s="1"/>
      <c r="L196" s="1"/>
      <c r="M196" s="1"/>
      <c r="N196" s="1"/>
      <c r="O196" s="1"/>
      <c r="P196" s="1"/>
    </row>
    <row r="197" spans="1:16" ht="13.5" x14ac:dyDescent="0.25">
      <c r="A197" s="1"/>
      <c r="B197" s="992" t="s">
        <v>37</v>
      </c>
      <c r="C197" s="1"/>
      <c r="D197" s="1"/>
      <c r="E197" s="1"/>
      <c r="F197" s="1"/>
      <c r="G197" s="1"/>
      <c r="H197" s="1"/>
      <c r="I197" s="1"/>
      <c r="J197" s="1"/>
      <c r="K197" s="1"/>
      <c r="L197" s="1"/>
      <c r="M197" s="1"/>
      <c r="N197" s="1"/>
      <c r="O197" s="1"/>
      <c r="P197" s="1"/>
    </row>
    <row r="198" spans="1:16" ht="13.5" x14ac:dyDescent="0.25">
      <c r="A198" s="1"/>
      <c r="B198" s="992" t="s">
        <v>38</v>
      </c>
      <c r="C198" s="1"/>
      <c r="D198" s="1"/>
      <c r="E198" s="1"/>
      <c r="F198" s="1"/>
      <c r="G198" s="1"/>
      <c r="H198" s="1"/>
      <c r="I198" s="1"/>
      <c r="J198" s="1"/>
      <c r="K198" s="1"/>
      <c r="L198" s="1"/>
      <c r="M198" s="1"/>
      <c r="N198" s="1"/>
      <c r="O198" s="1"/>
      <c r="P198" s="1"/>
    </row>
    <row r="199" spans="1:16" ht="13.5" x14ac:dyDescent="0.25">
      <c r="A199" s="1"/>
      <c r="B199" s="992" t="s">
        <v>39</v>
      </c>
      <c r="C199" s="1"/>
      <c r="D199" s="1"/>
      <c r="E199" s="1"/>
      <c r="F199" s="1"/>
      <c r="G199" s="1"/>
      <c r="H199" s="1"/>
      <c r="I199" s="1"/>
      <c r="J199" s="1"/>
      <c r="K199" s="1"/>
      <c r="L199" s="1"/>
      <c r="M199" s="1"/>
      <c r="N199" s="1"/>
      <c r="O199" s="1"/>
      <c r="P199" s="1"/>
    </row>
    <row r="200" spans="1:16" ht="13.5" x14ac:dyDescent="0.25">
      <c r="A200" s="1"/>
      <c r="B200" s="992"/>
      <c r="C200" s="1"/>
      <c r="D200" s="1"/>
      <c r="E200" s="1"/>
      <c r="F200" s="1"/>
      <c r="G200" s="1"/>
      <c r="H200" s="1"/>
      <c r="I200" s="1"/>
      <c r="J200" s="1"/>
      <c r="K200" s="1"/>
      <c r="L200" s="1"/>
      <c r="M200" s="1"/>
      <c r="N200" s="1"/>
      <c r="O200" s="1"/>
      <c r="P200" s="1"/>
    </row>
    <row r="201" spans="1:16" ht="13.5" x14ac:dyDescent="0.25">
      <c r="A201" s="1"/>
      <c r="B201" s="992" t="s">
        <v>40</v>
      </c>
      <c r="C201" s="1"/>
      <c r="D201" s="1"/>
      <c r="E201" s="1"/>
      <c r="F201" s="1"/>
      <c r="G201" s="1"/>
      <c r="H201" s="1"/>
      <c r="I201" s="1"/>
      <c r="J201" s="1"/>
      <c r="K201" s="1"/>
      <c r="L201" s="1"/>
      <c r="M201" s="1"/>
      <c r="N201" s="1"/>
      <c r="O201" s="1"/>
      <c r="P201" s="1"/>
    </row>
    <row r="202" spans="1:16" ht="13.5" x14ac:dyDescent="0.25">
      <c r="A202" s="1"/>
      <c r="B202" s="992" t="s">
        <v>41</v>
      </c>
      <c r="C202" s="1"/>
      <c r="D202" s="1"/>
      <c r="E202" s="1"/>
      <c r="F202" s="1"/>
      <c r="G202" s="1"/>
      <c r="H202" s="1"/>
      <c r="I202" s="1"/>
      <c r="J202" s="1"/>
      <c r="K202" s="1"/>
      <c r="L202" s="1"/>
      <c r="M202" s="1"/>
      <c r="N202" s="1"/>
      <c r="O202" s="1"/>
      <c r="P202" s="1"/>
    </row>
    <row r="203" spans="1:16" ht="13.5" x14ac:dyDescent="0.25">
      <c r="A203" s="1"/>
      <c r="B203" s="992" t="s">
        <v>42</v>
      </c>
      <c r="C203" s="1"/>
      <c r="D203" s="1"/>
      <c r="E203" s="1"/>
      <c r="F203" s="1"/>
      <c r="G203" s="1"/>
      <c r="H203" s="1"/>
      <c r="I203" s="1"/>
      <c r="J203" s="1"/>
      <c r="K203" s="1"/>
      <c r="L203" s="1"/>
      <c r="M203" s="1"/>
      <c r="N203" s="1"/>
      <c r="O203" s="1"/>
      <c r="P203" s="1"/>
    </row>
    <row r="204" spans="1:16" ht="13.5" x14ac:dyDescent="0.25">
      <c r="A204" s="1"/>
      <c r="B204" s="992"/>
      <c r="C204" s="1"/>
      <c r="D204" s="1"/>
      <c r="E204" s="1"/>
      <c r="F204" s="1"/>
      <c r="G204" s="1"/>
      <c r="H204" s="1"/>
      <c r="I204" s="1"/>
      <c r="J204" s="1"/>
      <c r="K204" s="1"/>
      <c r="L204" s="1"/>
      <c r="M204" s="1"/>
      <c r="N204" s="1"/>
      <c r="O204" s="1"/>
      <c r="P204" s="1"/>
    </row>
    <row r="205" spans="1:16" ht="13.5" x14ac:dyDescent="0.25">
      <c r="A205" s="1"/>
      <c r="B205" s="992" t="s">
        <v>43</v>
      </c>
      <c r="C205" s="1"/>
      <c r="D205" s="1"/>
      <c r="E205" s="1"/>
      <c r="F205" s="1"/>
      <c r="G205" s="1"/>
      <c r="H205" s="1"/>
      <c r="I205" s="1"/>
      <c r="J205" s="1"/>
      <c r="K205" s="1"/>
      <c r="L205" s="1"/>
      <c r="M205" s="1"/>
      <c r="N205" s="1"/>
      <c r="O205" s="1"/>
      <c r="P205" s="1"/>
    </row>
    <row r="206" spans="1:16" ht="13.5" x14ac:dyDescent="0.25">
      <c r="A206" s="1"/>
      <c r="B206" s="992" t="s">
        <v>44</v>
      </c>
      <c r="C206" s="1"/>
      <c r="D206" s="1"/>
      <c r="E206" s="1"/>
      <c r="F206" s="1"/>
      <c r="G206" s="1"/>
      <c r="H206" s="1"/>
      <c r="I206" s="1"/>
      <c r="J206" s="1"/>
      <c r="K206" s="1"/>
      <c r="L206" s="1"/>
      <c r="M206" s="1"/>
      <c r="N206" s="1"/>
      <c r="O206" s="1"/>
      <c r="P206" s="1"/>
    </row>
    <row r="207" spans="1:16" ht="13.5" x14ac:dyDescent="0.25">
      <c r="A207" s="1"/>
      <c r="B207" s="992"/>
      <c r="C207" s="1"/>
      <c r="D207" s="1"/>
      <c r="E207" s="1"/>
      <c r="F207" s="1"/>
      <c r="G207" s="1"/>
      <c r="H207" s="1"/>
      <c r="I207" s="1"/>
      <c r="J207" s="1"/>
      <c r="K207" s="1"/>
      <c r="L207" s="1"/>
      <c r="M207" s="1"/>
      <c r="N207" s="1"/>
      <c r="O207" s="1"/>
      <c r="P207" s="1"/>
    </row>
    <row r="208" spans="1:16" ht="13.5" x14ac:dyDescent="0.25">
      <c r="A208" s="1"/>
      <c r="B208" s="992" t="s">
        <v>45</v>
      </c>
      <c r="C208" s="1"/>
      <c r="D208" s="1"/>
      <c r="E208" s="1"/>
      <c r="F208" s="1"/>
      <c r="G208" s="1"/>
      <c r="H208" s="1"/>
      <c r="I208" s="1"/>
      <c r="J208" s="1"/>
      <c r="K208" s="1"/>
      <c r="L208" s="1"/>
      <c r="M208" s="1"/>
      <c r="N208" s="1"/>
      <c r="O208" s="1"/>
      <c r="P208" s="1"/>
    </row>
    <row r="209" spans="1:16" ht="13.5" x14ac:dyDescent="0.25">
      <c r="A209" s="1"/>
      <c r="B209" s="992"/>
      <c r="C209" s="1"/>
      <c r="D209" s="1"/>
      <c r="E209" s="1"/>
      <c r="F209" s="1"/>
      <c r="G209" s="1"/>
      <c r="H209" s="1"/>
      <c r="I209" s="1"/>
      <c r="J209" s="1"/>
      <c r="K209" s="1"/>
      <c r="L209" s="1"/>
      <c r="M209" s="1"/>
      <c r="N209" s="1"/>
      <c r="O209" s="1"/>
      <c r="P209" s="1"/>
    </row>
    <row r="210" spans="1:16" ht="13.5" x14ac:dyDescent="0.25">
      <c r="A210" s="1"/>
      <c r="B210" s="992" t="s">
        <v>46</v>
      </c>
      <c r="C210" s="1"/>
      <c r="D210" s="1"/>
      <c r="E210" s="1"/>
      <c r="F210" s="1"/>
      <c r="G210" s="1"/>
      <c r="H210" s="1"/>
      <c r="I210" s="1"/>
      <c r="J210" s="1"/>
      <c r="K210" s="1"/>
      <c r="L210" s="1"/>
      <c r="M210" s="1"/>
      <c r="N210" s="1"/>
      <c r="O210" s="1"/>
      <c r="P210" s="1"/>
    </row>
    <row r="211" spans="1:16" ht="13.5" x14ac:dyDescent="0.25">
      <c r="A211" s="1"/>
      <c r="B211" s="992" t="s">
        <v>47</v>
      </c>
      <c r="C211" s="1"/>
      <c r="D211" s="1"/>
      <c r="E211" s="1"/>
      <c r="F211" s="1"/>
      <c r="G211" s="1"/>
      <c r="H211" s="1"/>
      <c r="I211" s="1"/>
      <c r="J211" s="1"/>
      <c r="K211" s="1"/>
      <c r="L211" s="1"/>
      <c r="M211" s="1"/>
      <c r="N211" s="1"/>
      <c r="O211" s="1"/>
      <c r="P211" s="1"/>
    </row>
    <row r="212" spans="1:16" ht="13.5" x14ac:dyDescent="0.25">
      <c r="A212" s="1"/>
      <c r="B212" s="992" t="s">
        <v>48</v>
      </c>
      <c r="C212" s="1"/>
      <c r="D212" s="1"/>
      <c r="E212" s="1"/>
      <c r="F212" s="1"/>
      <c r="G212" s="1"/>
      <c r="H212" s="1"/>
      <c r="I212" s="1"/>
      <c r="J212" s="1"/>
      <c r="K212" s="1"/>
      <c r="L212" s="1"/>
      <c r="M212" s="1"/>
      <c r="N212" s="1"/>
      <c r="O212" s="1"/>
      <c r="P212" s="1"/>
    </row>
    <row r="213" spans="1:16" ht="13.5" x14ac:dyDescent="0.25">
      <c r="A213" s="1"/>
      <c r="B213" s="992" t="s">
        <v>49</v>
      </c>
      <c r="C213" s="1"/>
      <c r="D213" s="1"/>
      <c r="E213" s="1"/>
      <c r="F213" s="1"/>
      <c r="G213" s="1"/>
      <c r="H213" s="1"/>
      <c r="I213" s="1"/>
      <c r="J213" s="1"/>
      <c r="K213" s="1"/>
      <c r="L213" s="1"/>
      <c r="M213" s="1"/>
      <c r="N213" s="1"/>
      <c r="O213" s="1"/>
      <c r="P213" s="1"/>
    </row>
    <row r="214" spans="1:16" ht="13.5" x14ac:dyDescent="0.25">
      <c r="A214" s="1"/>
      <c r="B214" s="992" t="s">
        <v>50</v>
      </c>
      <c r="C214" s="1"/>
      <c r="D214" s="1"/>
      <c r="E214" s="1"/>
      <c r="F214" s="1"/>
      <c r="G214" s="1"/>
      <c r="H214" s="1"/>
      <c r="I214" s="1"/>
      <c r="J214" s="1"/>
      <c r="K214" s="1"/>
      <c r="L214" s="1"/>
      <c r="M214" s="1"/>
      <c r="N214" s="1"/>
      <c r="O214" s="1"/>
      <c r="P214" s="1"/>
    </row>
    <row r="215" spans="1:16" ht="13.5" x14ac:dyDescent="0.25">
      <c r="A215" s="1"/>
      <c r="B215" s="992" t="s">
        <v>51</v>
      </c>
      <c r="C215" s="1"/>
      <c r="D215" s="1"/>
      <c r="E215" s="1"/>
      <c r="F215" s="1"/>
      <c r="G215" s="1"/>
      <c r="H215" s="1"/>
      <c r="I215" s="1"/>
      <c r="J215" s="1"/>
      <c r="K215" s="1"/>
      <c r="L215" s="1"/>
      <c r="M215" s="1"/>
      <c r="N215" s="1"/>
      <c r="O215" s="1"/>
      <c r="P215" s="1"/>
    </row>
    <row r="216" spans="1:16" ht="13.5" x14ac:dyDescent="0.25">
      <c r="A216" s="1"/>
      <c r="B216" s="992" t="s">
        <v>52</v>
      </c>
      <c r="C216" s="1"/>
      <c r="D216" s="1"/>
      <c r="E216" s="1"/>
      <c r="F216" s="1"/>
      <c r="G216" s="1"/>
      <c r="H216" s="1"/>
      <c r="I216" s="1"/>
      <c r="J216" s="1"/>
      <c r="K216" s="1"/>
      <c r="L216" s="1"/>
      <c r="M216" s="1"/>
      <c r="N216" s="1"/>
      <c r="O216" s="1"/>
      <c r="P216" s="1"/>
    </row>
    <row r="217" spans="1:16" ht="13.5" x14ac:dyDescent="0.25">
      <c r="A217" s="1"/>
      <c r="B217" s="992"/>
      <c r="C217" s="1"/>
      <c r="D217" s="1"/>
      <c r="E217" s="1"/>
      <c r="F217" s="1"/>
      <c r="G217" s="1"/>
      <c r="H217" s="1"/>
      <c r="I217" s="1"/>
      <c r="J217" s="1"/>
      <c r="K217" s="1"/>
      <c r="L217" s="1"/>
      <c r="M217" s="1"/>
      <c r="N217" s="1"/>
      <c r="O217" s="1"/>
      <c r="P217" s="1"/>
    </row>
    <row r="218" spans="1:16" ht="13.5" x14ac:dyDescent="0.25">
      <c r="A218" s="1"/>
      <c r="B218" s="992" t="s">
        <v>53</v>
      </c>
      <c r="C218" s="1"/>
      <c r="D218" s="1"/>
      <c r="E218" s="1"/>
      <c r="F218" s="1"/>
      <c r="G218" s="1"/>
      <c r="H218" s="1"/>
      <c r="I218" s="1"/>
      <c r="J218" s="1"/>
      <c r="K218" s="1"/>
      <c r="L218" s="1"/>
      <c r="M218" s="1"/>
      <c r="N218" s="1"/>
      <c r="O218" s="1"/>
      <c r="P218" s="1"/>
    </row>
    <row r="219" spans="1:16" ht="13.5" x14ac:dyDescent="0.25">
      <c r="A219" s="1"/>
      <c r="B219" s="992" t="s">
        <v>54</v>
      </c>
      <c r="C219" s="1"/>
      <c r="D219" s="1"/>
      <c r="E219" s="1"/>
      <c r="F219" s="1"/>
      <c r="G219" s="1"/>
      <c r="H219" s="1"/>
      <c r="I219" s="1"/>
      <c r="J219" s="1"/>
      <c r="K219" s="1"/>
      <c r="L219" s="1"/>
      <c r="M219" s="1"/>
      <c r="N219" s="1"/>
      <c r="O219" s="1"/>
      <c r="P219" s="1"/>
    </row>
    <row r="220" spans="1:16" ht="13.5" x14ac:dyDescent="0.25">
      <c r="A220" s="1"/>
      <c r="B220" s="992" t="s">
        <v>55</v>
      </c>
      <c r="C220" s="1"/>
      <c r="D220" s="1"/>
      <c r="E220" s="1"/>
      <c r="F220" s="1"/>
      <c r="G220" s="1"/>
      <c r="H220" s="1"/>
      <c r="I220" s="1"/>
      <c r="J220" s="1"/>
      <c r="K220" s="1"/>
      <c r="L220" s="1"/>
      <c r="M220" s="1"/>
      <c r="N220" s="1"/>
      <c r="O220" s="1"/>
      <c r="P220" s="1"/>
    </row>
    <row r="221" spans="1:16" ht="13.5" x14ac:dyDescent="0.25">
      <c r="A221" s="1"/>
      <c r="B221" s="992" t="s">
        <v>56</v>
      </c>
      <c r="C221" s="1"/>
      <c r="D221" s="1"/>
      <c r="E221" s="1"/>
      <c r="F221" s="1"/>
      <c r="G221" s="1"/>
      <c r="H221" s="1"/>
      <c r="I221" s="1"/>
      <c r="J221" s="1"/>
      <c r="K221" s="1"/>
      <c r="L221" s="1"/>
      <c r="M221" s="1"/>
      <c r="N221" s="1"/>
      <c r="O221" s="1"/>
      <c r="P221" s="1"/>
    </row>
    <row r="222" spans="1:16" ht="13.5" x14ac:dyDescent="0.25">
      <c r="A222" s="1"/>
      <c r="B222" s="992" t="s">
        <v>57</v>
      </c>
      <c r="C222" s="1"/>
      <c r="D222" s="1"/>
      <c r="E222" s="1"/>
      <c r="F222" s="1"/>
      <c r="G222" s="1"/>
      <c r="H222" s="1"/>
      <c r="I222" s="1"/>
      <c r="J222" s="1"/>
      <c r="K222" s="1"/>
      <c r="L222" s="1"/>
      <c r="M222" s="1"/>
      <c r="N222" s="1"/>
      <c r="O222" s="1"/>
      <c r="P222" s="1"/>
    </row>
    <row r="223" spans="1:16" ht="13.5" x14ac:dyDescent="0.25">
      <c r="A223" s="1"/>
      <c r="B223" s="992" t="s">
        <v>58</v>
      </c>
      <c r="C223" s="1"/>
      <c r="D223" s="1"/>
      <c r="E223" s="1"/>
      <c r="F223" s="1"/>
      <c r="G223" s="1"/>
      <c r="H223" s="1"/>
      <c r="I223" s="1"/>
      <c r="J223" s="1"/>
      <c r="K223" s="1"/>
      <c r="L223" s="1"/>
      <c r="M223" s="1"/>
      <c r="N223" s="1"/>
      <c r="O223" s="1"/>
      <c r="P223" s="1"/>
    </row>
    <row r="224" spans="1:16" ht="13.5" x14ac:dyDescent="0.25">
      <c r="A224" s="1"/>
      <c r="B224" s="992" t="s">
        <v>59</v>
      </c>
      <c r="C224" s="1"/>
      <c r="D224" s="1"/>
      <c r="E224" s="1"/>
      <c r="F224" s="1"/>
      <c r="G224" s="1"/>
      <c r="H224" s="1"/>
      <c r="I224" s="1"/>
      <c r="J224" s="1"/>
      <c r="K224" s="1"/>
      <c r="L224" s="1"/>
      <c r="M224" s="1"/>
      <c r="N224" s="1"/>
      <c r="O224" s="1"/>
      <c r="P224" s="1"/>
    </row>
    <row r="225" spans="1:16" ht="13.5" x14ac:dyDescent="0.25">
      <c r="A225" s="1"/>
      <c r="B225" s="992" t="s">
        <v>60</v>
      </c>
      <c r="C225" s="1"/>
      <c r="D225" s="1"/>
      <c r="E225" s="1"/>
      <c r="F225" s="1"/>
      <c r="G225" s="1"/>
      <c r="H225" s="1"/>
      <c r="I225" s="1"/>
      <c r="J225" s="1"/>
      <c r="K225" s="1"/>
      <c r="L225" s="1"/>
      <c r="M225" s="1"/>
      <c r="N225" s="1"/>
      <c r="O225" s="1"/>
      <c r="P225" s="1"/>
    </row>
    <row r="226" spans="1:16" ht="13.5" x14ac:dyDescent="0.25">
      <c r="A226" s="1"/>
      <c r="B226" s="992" t="s">
        <v>61</v>
      </c>
      <c r="C226" s="1"/>
      <c r="D226" s="1"/>
      <c r="E226" s="1"/>
      <c r="F226" s="1"/>
      <c r="G226" s="1"/>
      <c r="H226" s="1"/>
      <c r="I226" s="1"/>
      <c r="J226" s="1"/>
      <c r="K226" s="1"/>
      <c r="L226" s="1"/>
      <c r="M226" s="1"/>
      <c r="N226" s="1"/>
      <c r="O226" s="1"/>
      <c r="P226" s="1"/>
    </row>
    <row r="227" spans="1:16" ht="13.5" x14ac:dyDescent="0.25">
      <c r="A227" s="1"/>
      <c r="B227" s="992" t="s">
        <v>62</v>
      </c>
      <c r="C227" s="1"/>
      <c r="D227" s="1"/>
      <c r="E227" s="1"/>
      <c r="F227" s="1"/>
      <c r="G227" s="1"/>
      <c r="H227" s="1"/>
      <c r="I227" s="1"/>
      <c r="J227" s="1"/>
      <c r="K227" s="1"/>
      <c r="L227" s="1"/>
      <c r="M227" s="1"/>
      <c r="N227" s="1"/>
      <c r="O227" s="1"/>
      <c r="P227" s="1"/>
    </row>
    <row r="228" spans="1:16" ht="13.5" x14ac:dyDescent="0.25">
      <c r="A228" s="1"/>
      <c r="B228" s="992"/>
      <c r="C228" s="1"/>
      <c r="D228" s="1"/>
      <c r="E228" s="1"/>
      <c r="F228" s="1"/>
      <c r="G228" s="1"/>
      <c r="H228" s="1"/>
      <c r="I228" s="1"/>
      <c r="J228" s="1"/>
      <c r="K228" s="1"/>
      <c r="L228" s="1"/>
      <c r="M228" s="1"/>
      <c r="N228" s="1"/>
      <c r="O228" s="1"/>
      <c r="P228" s="1"/>
    </row>
    <row r="229" spans="1:16" ht="13.5" x14ac:dyDescent="0.25">
      <c r="A229" s="1"/>
      <c r="B229" s="992" t="s">
        <v>63</v>
      </c>
      <c r="C229" s="1"/>
      <c r="D229" s="1"/>
      <c r="E229" s="1"/>
      <c r="F229" s="1"/>
      <c r="G229" s="1"/>
      <c r="H229" s="1"/>
      <c r="I229" s="1"/>
      <c r="J229" s="1"/>
      <c r="K229" s="1"/>
      <c r="L229" s="1"/>
      <c r="M229" s="1"/>
      <c r="N229" s="1"/>
      <c r="O229" s="1"/>
      <c r="P229" s="1"/>
    </row>
    <row r="230" spans="1:16" ht="13.5" x14ac:dyDescent="0.25">
      <c r="A230" s="1"/>
      <c r="B230" s="992" t="s">
        <v>64</v>
      </c>
      <c r="C230" s="1"/>
      <c r="D230" s="1"/>
      <c r="E230" s="1"/>
      <c r="F230" s="1"/>
      <c r="G230" s="1"/>
      <c r="H230" s="1"/>
      <c r="I230" s="1"/>
      <c r="J230" s="1"/>
      <c r="K230" s="1"/>
      <c r="L230" s="1"/>
      <c r="M230" s="1"/>
      <c r="N230" s="1"/>
      <c r="O230" s="1"/>
      <c r="P230" s="1"/>
    </row>
    <row r="231" spans="1:16" ht="13.5" x14ac:dyDescent="0.25">
      <c r="A231" s="1"/>
      <c r="B231" s="992" t="s">
        <v>65</v>
      </c>
      <c r="C231" s="1"/>
      <c r="D231" s="1"/>
      <c r="E231" s="1"/>
      <c r="F231" s="1"/>
      <c r="G231" s="1"/>
      <c r="H231" s="1"/>
      <c r="I231" s="1"/>
      <c r="J231" s="1"/>
      <c r="K231" s="1"/>
      <c r="L231" s="1"/>
      <c r="M231" s="1"/>
      <c r="N231" s="1"/>
      <c r="O231" s="1"/>
      <c r="P231" s="1"/>
    </row>
    <row r="232" spans="1:16" ht="13.5" x14ac:dyDescent="0.25">
      <c r="A232" s="1"/>
      <c r="B232" s="992"/>
      <c r="C232" s="1"/>
      <c r="D232" s="1"/>
      <c r="E232" s="1"/>
      <c r="F232" s="1"/>
      <c r="G232" s="1"/>
      <c r="H232" s="1"/>
      <c r="I232" s="1"/>
      <c r="J232" s="1"/>
      <c r="K232" s="1"/>
      <c r="L232" s="1"/>
      <c r="M232" s="1"/>
      <c r="N232" s="1"/>
      <c r="O232" s="1"/>
      <c r="P232" s="1"/>
    </row>
    <row r="233" spans="1:16" ht="13.5" x14ac:dyDescent="0.25">
      <c r="A233" s="1"/>
      <c r="B233" s="992" t="s">
        <v>66</v>
      </c>
      <c r="C233" s="1"/>
      <c r="D233" s="1"/>
      <c r="E233" s="1"/>
      <c r="F233" s="1"/>
      <c r="G233" s="1"/>
      <c r="H233" s="1"/>
      <c r="I233" s="1"/>
      <c r="J233" s="1"/>
      <c r="K233" s="1"/>
      <c r="L233" s="1"/>
      <c r="M233" s="1"/>
      <c r="N233" s="1"/>
      <c r="O233" s="1"/>
      <c r="P233" s="1"/>
    </row>
    <row r="234" spans="1:16" ht="13.5" x14ac:dyDescent="0.25">
      <c r="A234" s="1"/>
      <c r="B234" s="992"/>
      <c r="C234" s="1"/>
      <c r="D234" s="1"/>
      <c r="E234" s="1"/>
      <c r="F234" s="1"/>
      <c r="G234" s="1"/>
      <c r="H234" s="1"/>
      <c r="I234" s="1"/>
      <c r="J234" s="1"/>
      <c r="K234" s="1"/>
      <c r="L234" s="1"/>
      <c r="M234" s="1"/>
      <c r="N234" s="1"/>
      <c r="O234" s="1"/>
      <c r="P234" s="1"/>
    </row>
    <row r="235" spans="1:16" ht="13.5" x14ac:dyDescent="0.25">
      <c r="A235" s="1"/>
      <c r="B235" s="992" t="s">
        <v>67</v>
      </c>
      <c r="C235" s="1"/>
      <c r="D235" s="1"/>
      <c r="E235" s="1"/>
      <c r="F235" s="1"/>
      <c r="G235" s="1"/>
      <c r="H235" s="1"/>
      <c r="I235" s="1"/>
      <c r="J235" s="1"/>
      <c r="K235" s="1"/>
      <c r="L235" s="1"/>
      <c r="M235" s="1"/>
      <c r="N235" s="1"/>
      <c r="O235" s="1"/>
      <c r="P235" s="1"/>
    </row>
    <row r="236" spans="1:16" ht="13.5" x14ac:dyDescent="0.25">
      <c r="A236" s="1"/>
      <c r="B236" s="992" t="s">
        <v>68</v>
      </c>
      <c r="C236" s="1"/>
      <c r="D236" s="1"/>
      <c r="E236" s="1"/>
      <c r="F236" s="1"/>
      <c r="G236" s="1"/>
      <c r="H236" s="1"/>
      <c r="I236" s="1"/>
      <c r="J236" s="1"/>
      <c r="K236" s="1"/>
      <c r="L236" s="1"/>
      <c r="M236" s="1"/>
      <c r="N236" s="1"/>
      <c r="O236" s="1"/>
      <c r="P236" s="1"/>
    </row>
    <row r="237" spans="1:16" ht="13.5" x14ac:dyDescent="0.25">
      <c r="A237" s="1"/>
      <c r="B237" s="992" t="s">
        <v>69</v>
      </c>
      <c r="C237" s="1"/>
      <c r="D237" s="1"/>
      <c r="E237" s="1"/>
      <c r="F237" s="1"/>
      <c r="G237" s="1"/>
      <c r="H237" s="1"/>
      <c r="I237" s="1"/>
      <c r="J237" s="1"/>
      <c r="K237" s="1"/>
      <c r="L237" s="1"/>
      <c r="M237" s="1"/>
      <c r="N237" s="1"/>
      <c r="O237" s="1"/>
      <c r="P237" s="1"/>
    </row>
    <row r="238" spans="1:16" ht="13.5" x14ac:dyDescent="0.25">
      <c r="A238" s="1"/>
      <c r="B238" s="992" t="s">
        <v>70</v>
      </c>
      <c r="C238" s="1"/>
      <c r="D238" s="1"/>
      <c r="E238" s="1"/>
      <c r="F238" s="1"/>
      <c r="G238" s="1"/>
      <c r="H238" s="1"/>
      <c r="I238" s="1"/>
      <c r="J238" s="1"/>
      <c r="K238" s="1"/>
      <c r="L238" s="1"/>
      <c r="M238" s="1"/>
      <c r="N238" s="1"/>
      <c r="O238" s="1"/>
      <c r="P238" s="1"/>
    </row>
    <row r="239" spans="1:16" ht="13.5" x14ac:dyDescent="0.25">
      <c r="A239" s="1"/>
      <c r="B239" s="992" t="s">
        <v>71</v>
      </c>
      <c r="C239" s="1"/>
      <c r="D239" s="1"/>
      <c r="E239" s="1"/>
      <c r="F239" s="1"/>
      <c r="G239" s="1"/>
      <c r="H239" s="1"/>
      <c r="I239" s="1"/>
      <c r="J239" s="1"/>
      <c r="K239" s="1"/>
      <c r="L239" s="1"/>
      <c r="M239" s="1"/>
      <c r="N239" s="1"/>
      <c r="O239" s="1"/>
      <c r="P239" s="1"/>
    </row>
    <row r="240" spans="1:16" ht="13.5" x14ac:dyDescent="0.25">
      <c r="A240" s="1"/>
      <c r="B240" s="992"/>
      <c r="C240" s="1"/>
      <c r="D240" s="1"/>
      <c r="E240" s="1"/>
      <c r="F240" s="1"/>
      <c r="G240" s="1"/>
      <c r="H240" s="1"/>
      <c r="I240" s="1"/>
      <c r="J240" s="1"/>
      <c r="K240" s="1"/>
      <c r="L240" s="1"/>
      <c r="M240" s="1"/>
      <c r="N240" s="1"/>
      <c r="O240" s="1"/>
      <c r="P240" s="1"/>
    </row>
    <row r="241" spans="1:16" ht="13.5" x14ac:dyDescent="0.25">
      <c r="A241" s="1"/>
      <c r="B241" s="992" t="s">
        <v>72</v>
      </c>
      <c r="C241" s="1"/>
      <c r="D241" s="1"/>
      <c r="E241" s="1"/>
      <c r="F241" s="1"/>
      <c r="G241" s="1"/>
      <c r="H241" s="1"/>
      <c r="I241" s="1"/>
      <c r="J241" s="1"/>
      <c r="K241" s="1"/>
      <c r="L241" s="1"/>
      <c r="M241" s="1"/>
      <c r="N241" s="1"/>
      <c r="O241" s="1"/>
      <c r="P241" s="1"/>
    </row>
    <row r="242" spans="1:16" ht="13.5" x14ac:dyDescent="0.25">
      <c r="A242" s="1"/>
      <c r="B242" s="992" t="s">
        <v>73</v>
      </c>
      <c r="C242" s="1"/>
      <c r="D242" s="1"/>
      <c r="E242" s="1"/>
      <c r="F242" s="1"/>
      <c r="G242" s="1"/>
      <c r="H242" s="1"/>
      <c r="I242" s="1"/>
      <c r="J242" s="1"/>
      <c r="K242" s="1"/>
      <c r="L242" s="1"/>
      <c r="M242" s="1"/>
      <c r="N242" s="1"/>
      <c r="O242" s="1"/>
      <c r="P242" s="1"/>
    </row>
    <row r="243" spans="1:16" ht="13.5" x14ac:dyDescent="0.25">
      <c r="A243" s="1"/>
      <c r="B243" s="992" t="s">
        <v>74</v>
      </c>
      <c r="C243" s="1"/>
      <c r="D243" s="1"/>
      <c r="E243" s="1"/>
      <c r="F243" s="1"/>
      <c r="G243" s="1"/>
      <c r="H243" s="1"/>
      <c r="I243" s="1"/>
      <c r="J243" s="1"/>
      <c r="K243" s="1"/>
      <c r="L243" s="1"/>
      <c r="M243" s="1"/>
      <c r="N243" s="1"/>
      <c r="O243" s="1"/>
      <c r="P243" s="1"/>
    </row>
    <row r="244" spans="1:16" ht="13.5" x14ac:dyDescent="0.25">
      <c r="A244" s="1"/>
      <c r="B244" s="992" t="s">
        <v>75</v>
      </c>
      <c r="C244" s="1"/>
      <c r="D244" s="1"/>
      <c r="E244" s="1"/>
      <c r="F244" s="1"/>
      <c r="G244" s="1"/>
      <c r="H244" s="1"/>
      <c r="I244" s="1"/>
      <c r="J244" s="1"/>
      <c r="K244" s="1"/>
      <c r="L244" s="1"/>
      <c r="M244" s="1"/>
      <c r="N244" s="1"/>
      <c r="O244" s="1"/>
      <c r="P244" s="1"/>
    </row>
    <row r="245" spans="1:16" ht="13.5" x14ac:dyDescent="0.25">
      <c r="A245" s="1"/>
      <c r="B245" s="992" t="s">
        <v>76</v>
      </c>
      <c r="C245" s="1"/>
      <c r="D245" s="1"/>
      <c r="E245" s="1"/>
      <c r="F245" s="1"/>
      <c r="G245" s="1"/>
      <c r="H245" s="1"/>
      <c r="I245" s="1"/>
      <c r="J245" s="1"/>
      <c r="K245" s="1"/>
      <c r="L245" s="1"/>
      <c r="M245" s="1"/>
      <c r="N245" s="1"/>
      <c r="O245" s="1"/>
      <c r="P245" s="1"/>
    </row>
    <row r="246" spans="1:16" ht="13.5" x14ac:dyDescent="0.25">
      <c r="A246" s="1"/>
      <c r="B246" s="992" t="s">
        <v>77</v>
      </c>
      <c r="C246" s="1"/>
      <c r="D246" s="1"/>
      <c r="E246" s="1"/>
      <c r="F246" s="1"/>
      <c r="G246" s="1"/>
      <c r="H246" s="1"/>
      <c r="I246" s="1"/>
      <c r="J246" s="1"/>
      <c r="K246" s="1"/>
      <c r="L246" s="1"/>
      <c r="M246" s="1"/>
      <c r="N246" s="1"/>
      <c r="O246" s="1"/>
      <c r="P246" s="1"/>
    </row>
    <row r="247" spans="1:16" ht="13.5" x14ac:dyDescent="0.25">
      <c r="A247" s="1"/>
      <c r="B247" s="992" t="s">
        <v>78</v>
      </c>
      <c r="C247" s="1"/>
      <c r="D247" s="1"/>
      <c r="E247" s="1"/>
      <c r="F247" s="1"/>
      <c r="G247" s="1"/>
      <c r="H247" s="1"/>
      <c r="I247" s="1"/>
      <c r="J247" s="1"/>
      <c r="K247" s="1"/>
      <c r="L247" s="1"/>
      <c r="M247" s="1"/>
      <c r="N247" s="1"/>
      <c r="O247" s="1"/>
      <c r="P247" s="1"/>
    </row>
    <row r="248" spans="1:16" ht="13.5" x14ac:dyDescent="0.25">
      <c r="A248" s="1"/>
      <c r="B248" s="992"/>
      <c r="C248" s="1"/>
      <c r="D248" s="1"/>
      <c r="E248" s="1"/>
      <c r="F248" s="1"/>
      <c r="G248" s="1"/>
      <c r="H248" s="1"/>
      <c r="I248" s="1"/>
      <c r="J248" s="1"/>
      <c r="K248" s="1"/>
      <c r="L248" s="1"/>
      <c r="M248" s="1"/>
      <c r="N248" s="1"/>
      <c r="O248" s="1"/>
      <c r="P248" s="1"/>
    </row>
    <row r="249" spans="1:16" ht="13.5" x14ac:dyDescent="0.25">
      <c r="A249" s="1"/>
      <c r="B249" s="992" t="s">
        <v>79</v>
      </c>
      <c r="C249" s="1"/>
      <c r="D249" s="1"/>
      <c r="E249" s="1"/>
      <c r="F249" s="1"/>
      <c r="G249" s="1"/>
      <c r="H249" s="1"/>
      <c r="I249" s="1"/>
      <c r="J249" s="1"/>
      <c r="K249" s="1"/>
      <c r="L249" s="1"/>
      <c r="M249" s="1"/>
      <c r="N249" s="1"/>
      <c r="O249" s="1"/>
      <c r="P249" s="1"/>
    </row>
    <row r="250" spans="1:16" ht="13.5" x14ac:dyDescent="0.25">
      <c r="A250" s="1"/>
      <c r="B250" s="992"/>
      <c r="C250" s="1"/>
      <c r="D250" s="1"/>
      <c r="E250" s="1"/>
      <c r="F250" s="1"/>
      <c r="G250" s="1"/>
      <c r="H250" s="1"/>
      <c r="I250" s="1"/>
      <c r="J250" s="1"/>
      <c r="K250" s="1"/>
      <c r="L250" s="1"/>
      <c r="M250" s="1"/>
      <c r="N250" s="1"/>
      <c r="O250" s="1"/>
      <c r="P250" s="1"/>
    </row>
    <row r="251" spans="1:16" ht="13.5" x14ac:dyDescent="0.25">
      <c r="A251" s="1"/>
      <c r="B251" s="992" t="s">
        <v>80</v>
      </c>
      <c r="C251" s="1"/>
      <c r="D251" s="1"/>
      <c r="E251" s="1"/>
      <c r="F251" s="1"/>
      <c r="G251" s="1"/>
      <c r="H251" s="1"/>
      <c r="I251" s="1"/>
      <c r="J251" s="1"/>
      <c r="K251" s="1"/>
      <c r="L251" s="1"/>
      <c r="M251" s="1"/>
      <c r="N251" s="1"/>
      <c r="O251" s="1"/>
      <c r="P251" s="1"/>
    </row>
    <row r="252" spans="1:16" ht="13.5" x14ac:dyDescent="0.25">
      <c r="A252" s="1"/>
      <c r="B252" s="992" t="s">
        <v>81</v>
      </c>
      <c r="C252" s="1"/>
      <c r="D252" s="1"/>
      <c r="E252" s="1"/>
      <c r="F252" s="1"/>
      <c r="G252" s="1"/>
      <c r="H252" s="1"/>
      <c r="I252" s="1"/>
      <c r="J252" s="1"/>
      <c r="K252" s="1"/>
      <c r="L252" s="1"/>
      <c r="M252" s="1"/>
      <c r="N252" s="1"/>
      <c r="O252" s="1"/>
      <c r="P252" s="1"/>
    </row>
    <row r="253" spans="1:16" ht="13.5" x14ac:dyDescent="0.25">
      <c r="A253" s="1"/>
      <c r="B253" s="992" t="s">
        <v>82</v>
      </c>
      <c r="C253" s="1"/>
      <c r="D253" s="1"/>
      <c r="E253" s="1"/>
      <c r="F253" s="1"/>
      <c r="G253" s="1"/>
      <c r="H253" s="1"/>
      <c r="I253" s="1"/>
      <c r="J253" s="1"/>
      <c r="K253" s="1"/>
      <c r="L253" s="1"/>
      <c r="M253" s="1"/>
      <c r="N253" s="1"/>
      <c r="O253" s="1"/>
      <c r="P253" s="1"/>
    </row>
    <row r="254" spans="1:16" ht="13.5" x14ac:dyDescent="0.25">
      <c r="A254" s="1"/>
      <c r="B254" s="992" t="s">
        <v>83</v>
      </c>
      <c r="C254" s="1"/>
      <c r="D254" s="1"/>
      <c r="E254" s="1"/>
      <c r="F254" s="1"/>
      <c r="G254" s="1"/>
      <c r="H254" s="1"/>
      <c r="I254" s="1"/>
      <c r="J254" s="1"/>
      <c r="K254" s="1"/>
      <c r="L254" s="1"/>
      <c r="M254" s="1"/>
      <c r="N254" s="1"/>
      <c r="O254" s="1"/>
      <c r="P254" s="1"/>
    </row>
    <row r="255" spans="1:16" ht="13.5" x14ac:dyDescent="0.25">
      <c r="A255" s="1"/>
      <c r="B255" s="992" t="s">
        <v>84</v>
      </c>
      <c r="C255" s="1"/>
      <c r="D255" s="1"/>
      <c r="E255" s="1"/>
      <c r="F255" s="1"/>
      <c r="G255" s="1"/>
      <c r="H255" s="1"/>
      <c r="I255" s="1"/>
      <c r="J255" s="1"/>
      <c r="K255" s="1"/>
      <c r="L255" s="1"/>
      <c r="M255" s="1"/>
      <c r="N255" s="1"/>
      <c r="O255" s="1"/>
      <c r="P255" s="1"/>
    </row>
    <row r="256" spans="1:16" ht="13.5" x14ac:dyDescent="0.25">
      <c r="A256" s="1"/>
      <c r="B256" s="992" t="s">
        <v>85</v>
      </c>
      <c r="C256" s="1"/>
      <c r="D256" s="1"/>
      <c r="E256" s="1"/>
      <c r="F256" s="1"/>
      <c r="G256" s="1"/>
      <c r="H256" s="1"/>
      <c r="I256" s="1"/>
      <c r="J256" s="1"/>
      <c r="K256" s="1"/>
      <c r="L256" s="1"/>
      <c r="M256" s="1"/>
      <c r="N256" s="1"/>
      <c r="O256" s="1"/>
      <c r="P256" s="1"/>
    </row>
    <row r="257" spans="1:16" ht="13.5" x14ac:dyDescent="0.25">
      <c r="A257" s="1"/>
      <c r="B257" s="992" t="s">
        <v>86</v>
      </c>
      <c r="C257" s="1"/>
      <c r="D257" s="1"/>
      <c r="E257" s="1"/>
      <c r="F257" s="1"/>
      <c r="G257" s="1"/>
      <c r="H257" s="1"/>
      <c r="I257" s="1"/>
      <c r="J257" s="1"/>
      <c r="K257" s="1"/>
      <c r="L257" s="1"/>
      <c r="M257" s="1"/>
      <c r="N257" s="1"/>
      <c r="O257" s="1"/>
      <c r="P257" s="1"/>
    </row>
    <row r="258" spans="1:16" ht="13.5" x14ac:dyDescent="0.25">
      <c r="A258" s="1"/>
      <c r="B258" s="992"/>
      <c r="C258" s="1"/>
      <c r="D258" s="1"/>
      <c r="E258" s="1"/>
      <c r="F258" s="1"/>
      <c r="G258" s="1"/>
      <c r="H258" s="1"/>
      <c r="I258" s="1"/>
      <c r="J258" s="1"/>
      <c r="K258" s="1"/>
      <c r="L258" s="1"/>
      <c r="M258" s="1"/>
      <c r="N258" s="1"/>
      <c r="O258" s="1"/>
      <c r="P258" s="1"/>
    </row>
    <row r="259" spans="1:16" ht="13.5" x14ac:dyDescent="0.25">
      <c r="A259" s="1"/>
      <c r="B259" s="992" t="s">
        <v>87</v>
      </c>
      <c r="C259" s="1"/>
      <c r="D259" s="1"/>
      <c r="E259" s="1"/>
      <c r="F259" s="1"/>
      <c r="G259" s="1"/>
      <c r="H259" s="1"/>
      <c r="I259" s="1"/>
      <c r="J259" s="1"/>
      <c r="K259" s="1"/>
      <c r="L259" s="1"/>
      <c r="M259" s="1"/>
      <c r="N259" s="1"/>
      <c r="O259" s="1"/>
      <c r="P259" s="1"/>
    </row>
    <row r="260" spans="1:16" ht="13.5" x14ac:dyDescent="0.25">
      <c r="A260" s="1"/>
      <c r="B260" s="992" t="s">
        <v>88</v>
      </c>
      <c r="C260" s="1"/>
      <c r="D260" s="1"/>
      <c r="E260" s="1"/>
      <c r="F260" s="1"/>
      <c r="G260" s="1"/>
      <c r="H260" s="1"/>
      <c r="I260" s="1"/>
      <c r="J260" s="1"/>
      <c r="K260" s="1"/>
      <c r="L260" s="1"/>
      <c r="M260" s="1"/>
      <c r="N260" s="1"/>
      <c r="O260" s="1"/>
      <c r="P260" s="1"/>
    </row>
    <row r="261" spans="1:16" ht="13.5" x14ac:dyDescent="0.25">
      <c r="A261" s="1"/>
      <c r="B261" s="992"/>
      <c r="C261" s="1"/>
      <c r="D261" s="1"/>
      <c r="E261" s="1"/>
      <c r="F261" s="1"/>
      <c r="G261" s="1"/>
      <c r="H261" s="1"/>
      <c r="I261" s="1"/>
      <c r="J261" s="1"/>
      <c r="K261" s="1"/>
      <c r="L261" s="1"/>
      <c r="M261" s="1"/>
      <c r="N261" s="1"/>
      <c r="O261" s="1"/>
      <c r="P261" s="1"/>
    </row>
    <row r="262" spans="1:16" ht="13.5" x14ac:dyDescent="0.25">
      <c r="A262" s="1"/>
      <c r="B262" s="992" t="s">
        <v>89</v>
      </c>
      <c r="C262" s="1"/>
      <c r="D262" s="1"/>
      <c r="E262" s="1"/>
      <c r="F262" s="1"/>
      <c r="G262" s="1"/>
      <c r="H262" s="1"/>
      <c r="I262" s="1"/>
      <c r="J262" s="1"/>
      <c r="K262" s="1"/>
      <c r="L262" s="1"/>
      <c r="M262" s="1"/>
      <c r="N262" s="1"/>
      <c r="O262" s="1"/>
      <c r="P262" s="1"/>
    </row>
    <row r="263" spans="1:16" ht="13.5" x14ac:dyDescent="0.25">
      <c r="A263" s="1"/>
      <c r="B263" s="992"/>
      <c r="C263" s="1"/>
      <c r="D263" s="1"/>
      <c r="E263" s="1"/>
      <c r="F263" s="1"/>
      <c r="G263" s="1"/>
      <c r="H263" s="1"/>
      <c r="I263" s="1"/>
      <c r="J263" s="1"/>
      <c r="K263" s="1"/>
      <c r="L263" s="1"/>
      <c r="M263" s="1"/>
      <c r="N263" s="1"/>
      <c r="O263" s="1"/>
      <c r="P263" s="1"/>
    </row>
    <row r="264" spans="1:16" ht="13.5" x14ac:dyDescent="0.25">
      <c r="A264" s="1"/>
      <c r="B264" s="992" t="s">
        <v>90</v>
      </c>
      <c r="C264" s="1"/>
      <c r="D264" s="1"/>
      <c r="E264" s="1"/>
      <c r="F264" s="1"/>
      <c r="G264" s="1"/>
      <c r="H264" s="1"/>
      <c r="I264" s="1"/>
      <c r="J264" s="1"/>
      <c r="K264" s="1"/>
      <c r="L264" s="1"/>
      <c r="M264" s="1"/>
      <c r="N264" s="1"/>
      <c r="O264" s="1"/>
      <c r="P264" s="1"/>
    </row>
    <row r="265" spans="1:16" ht="13.5" x14ac:dyDescent="0.25">
      <c r="A265" s="1"/>
      <c r="B265" s="992" t="s">
        <v>91</v>
      </c>
      <c r="C265" s="1"/>
      <c r="D265" s="1"/>
      <c r="E265" s="1"/>
      <c r="F265" s="1"/>
      <c r="G265" s="1"/>
      <c r="H265" s="1"/>
      <c r="I265" s="1"/>
      <c r="J265" s="1"/>
      <c r="K265" s="1"/>
      <c r="L265" s="1"/>
      <c r="M265" s="1"/>
      <c r="N265" s="1"/>
      <c r="O265" s="1"/>
      <c r="P265" s="1"/>
    </row>
    <row r="266" spans="1:16" ht="13.5" x14ac:dyDescent="0.25">
      <c r="A266" s="1"/>
      <c r="B266" s="992" t="s">
        <v>92</v>
      </c>
      <c r="C266" s="1"/>
      <c r="D266" s="1"/>
      <c r="E266" s="1"/>
      <c r="F266" s="1"/>
      <c r="G266" s="1"/>
      <c r="H266" s="1"/>
      <c r="I266" s="1"/>
      <c r="J266" s="1"/>
      <c r="K266" s="1"/>
      <c r="L266" s="1"/>
      <c r="M266" s="1"/>
      <c r="N266" s="1"/>
      <c r="O266" s="1"/>
      <c r="P266" s="1"/>
    </row>
    <row r="267" spans="1:16" ht="13.5" x14ac:dyDescent="0.25">
      <c r="A267" s="1"/>
      <c r="B267" s="992"/>
      <c r="C267" s="1"/>
      <c r="D267" s="1"/>
      <c r="E267" s="1"/>
      <c r="F267" s="1"/>
      <c r="G267" s="1"/>
      <c r="H267" s="1"/>
      <c r="I267" s="1"/>
      <c r="J267" s="1"/>
      <c r="K267" s="1"/>
      <c r="L267" s="1"/>
      <c r="M267" s="1"/>
      <c r="N267" s="1"/>
      <c r="O267" s="1"/>
      <c r="P267" s="1"/>
    </row>
    <row r="268" spans="1:16" ht="13.5" x14ac:dyDescent="0.25">
      <c r="A268" s="1"/>
      <c r="B268" s="992" t="s">
        <v>96</v>
      </c>
      <c r="C268" s="1"/>
      <c r="D268" s="1"/>
      <c r="E268" s="1"/>
      <c r="F268" s="1"/>
      <c r="G268" s="1"/>
      <c r="H268" s="1"/>
      <c r="I268" s="1"/>
      <c r="J268" s="1"/>
      <c r="K268" s="1"/>
      <c r="L268" s="1"/>
      <c r="M268" s="1"/>
      <c r="N268" s="1"/>
      <c r="O268" s="1"/>
      <c r="P268" s="1"/>
    </row>
    <row r="269" spans="1:16" ht="13.5" x14ac:dyDescent="0.25">
      <c r="A269" s="1"/>
      <c r="B269" s="992" t="s">
        <v>97</v>
      </c>
      <c r="C269" s="1"/>
      <c r="D269" s="1"/>
      <c r="E269" s="1"/>
      <c r="F269" s="1"/>
      <c r="G269" s="1"/>
      <c r="H269" s="1"/>
      <c r="I269" s="1"/>
      <c r="J269" s="1"/>
      <c r="K269" s="1"/>
      <c r="L269" s="1"/>
      <c r="M269" s="1"/>
      <c r="N269" s="1"/>
      <c r="O269" s="1"/>
      <c r="P269" s="1"/>
    </row>
    <row r="270" spans="1:16" ht="13.5" x14ac:dyDescent="0.25">
      <c r="A270" s="1"/>
      <c r="B270" s="992"/>
      <c r="C270" s="1"/>
      <c r="D270" s="1"/>
      <c r="E270" s="1"/>
      <c r="F270" s="1"/>
      <c r="G270" s="1"/>
      <c r="H270" s="1"/>
      <c r="I270" s="1"/>
      <c r="J270" s="1"/>
      <c r="K270" s="1"/>
      <c r="L270" s="1"/>
      <c r="M270" s="1"/>
      <c r="N270" s="1"/>
      <c r="O270" s="1"/>
      <c r="P270" s="1"/>
    </row>
    <row r="271" spans="1:16" ht="13.5" x14ac:dyDescent="0.25">
      <c r="A271" s="1"/>
      <c r="B271" s="992" t="s">
        <v>98</v>
      </c>
      <c r="C271" s="1"/>
      <c r="D271" s="1"/>
      <c r="E271" s="1"/>
      <c r="F271" s="1"/>
      <c r="G271" s="1"/>
      <c r="H271" s="1"/>
      <c r="I271" s="1"/>
      <c r="J271" s="1"/>
      <c r="K271" s="1"/>
      <c r="L271" s="1"/>
      <c r="M271" s="1"/>
      <c r="N271" s="1"/>
      <c r="O271" s="1"/>
      <c r="P271" s="1"/>
    </row>
    <row r="272" spans="1:16" ht="13.5" x14ac:dyDescent="0.25">
      <c r="A272" s="1"/>
      <c r="B272" s="992" t="s">
        <v>99</v>
      </c>
      <c r="C272" s="1"/>
      <c r="D272" s="1"/>
      <c r="E272" s="1"/>
      <c r="F272" s="1"/>
      <c r="G272" s="1"/>
      <c r="H272" s="1"/>
      <c r="I272" s="1"/>
      <c r="J272" s="1"/>
      <c r="K272" s="1"/>
      <c r="L272" s="1"/>
      <c r="M272" s="1"/>
      <c r="N272" s="1"/>
      <c r="O272" s="1"/>
      <c r="P272" s="1"/>
    </row>
    <row r="273" spans="1:16" ht="13.5" x14ac:dyDescent="0.25">
      <c r="A273" s="1"/>
      <c r="B273" s="992" t="s">
        <v>100</v>
      </c>
      <c r="C273" s="1"/>
      <c r="D273" s="1"/>
      <c r="E273" s="1"/>
      <c r="F273" s="1"/>
      <c r="G273" s="1"/>
      <c r="H273" s="1"/>
      <c r="I273" s="1"/>
      <c r="J273" s="1"/>
      <c r="K273" s="1"/>
      <c r="L273" s="1"/>
      <c r="M273" s="1"/>
      <c r="N273" s="1"/>
      <c r="O273" s="1"/>
      <c r="P273" s="1"/>
    </row>
    <row r="274" spans="1:16" ht="13.5" x14ac:dyDescent="0.25">
      <c r="A274" s="1"/>
      <c r="B274" s="992" t="s">
        <v>101</v>
      </c>
      <c r="C274" s="1"/>
      <c r="D274" s="1"/>
      <c r="E274" s="1"/>
      <c r="F274" s="1"/>
      <c r="G274" s="1"/>
      <c r="H274" s="1"/>
      <c r="I274" s="1"/>
      <c r="J274" s="1"/>
      <c r="K274" s="1"/>
      <c r="L274" s="1"/>
      <c r="M274" s="1"/>
      <c r="N274" s="1"/>
      <c r="O274" s="1"/>
      <c r="P274" s="1"/>
    </row>
    <row r="275" spans="1:16" ht="13.5" x14ac:dyDescent="0.25">
      <c r="A275" s="1"/>
      <c r="B275" s="992"/>
      <c r="C275" s="1"/>
      <c r="D275" s="1"/>
      <c r="E275" s="1"/>
      <c r="F275" s="1"/>
      <c r="G275" s="1"/>
      <c r="H275" s="1"/>
      <c r="I275" s="1"/>
      <c r="J275" s="1"/>
      <c r="K275" s="1"/>
      <c r="L275" s="1"/>
      <c r="M275" s="1"/>
      <c r="N275" s="1"/>
      <c r="O275" s="1"/>
      <c r="P275" s="1"/>
    </row>
    <row r="276" spans="1:16" ht="13.5" x14ac:dyDescent="0.25">
      <c r="A276" s="1"/>
      <c r="B276" s="992" t="s">
        <v>102</v>
      </c>
      <c r="C276" s="1"/>
      <c r="D276" s="1"/>
      <c r="E276" s="1"/>
      <c r="F276" s="1"/>
      <c r="G276" s="1"/>
      <c r="H276" s="1"/>
      <c r="I276" s="1"/>
      <c r="J276" s="1"/>
      <c r="K276" s="1"/>
      <c r="L276" s="1"/>
      <c r="M276" s="1"/>
      <c r="N276" s="1"/>
      <c r="O276" s="1"/>
      <c r="P276" s="1"/>
    </row>
    <row r="277" spans="1:16" ht="13.5" x14ac:dyDescent="0.25">
      <c r="A277" s="1"/>
      <c r="B277" s="992" t="s">
        <v>103</v>
      </c>
      <c r="C277" s="1"/>
      <c r="D277" s="1"/>
      <c r="E277" s="1"/>
      <c r="F277" s="1"/>
      <c r="G277" s="1"/>
      <c r="H277" s="1"/>
      <c r="I277" s="1"/>
      <c r="J277" s="1"/>
      <c r="K277" s="1"/>
      <c r="L277" s="1"/>
      <c r="M277" s="1"/>
      <c r="N277" s="1"/>
      <c r="O277" s="1"/>
      <c r="P277" s="1"/>
    </row>
    <row r="278" spans="1:16" ht="13.5" x14ac:dyDescent="0.25">
      <c r="A278" s="1"/>
      <c r="B278" s="992" t="s">
        <v>104</v>
      </c>
      <c r="C278" s="1"/>
      <c r="D278" s="1"/>
      <c r="E278" s="1"/>
      <c r="F278" s="1"/>
      <c r="G278" s="1"/>
      <c r="H278" s="1"/>
      <c r="I278" s="1"/>
      <c r="J278" s="1"/>
      <c r="K278" s="1"/>
      <c r="L278" s="1"/>
      <c r="M278" s="1"/>
      <c r="N278" s="1"/>
      <c r="O278" s="1"/>
      <c r="P278" s="1"/>
    </row>
    <row r="279" spans="1:16" ht="13.5" x14ac:dyDescent="0.25">
      <c r="A279" s="1"/>
      <c r="B279" s="992" t="s">
        <v>105</v>
      </c>
      <c r="C279" s="1"/>
      <c r="D279" s="1"/>
      <c r="E279" s="1"/>
      <c r="F279" s="1"/>
      <c r="G279" s="1"/>
      <c r="H279" s="1"/>
      <c r="I279" s="1"/>
      <c r="J279" s="1"/>
      <c r="K279" s="1"/>
      <c r="L279" s="1"/>
      <c r="M279" s="1"/>
      <c r="N279" s="1"/>
      <c r="O279" s="1"/>
      <c r="P279" s="1"/>
    </row>
    <row r="280" spans="1:16" ht="13.5" x14ac:dyDescent="0.25">
      <c r="A280" s="1"/>
      <c r="B280" s="992" t="s">
        <v>106</v>
      </c>
      <c r="C280" s="1"/>
      <c r="D280" s="1"/>
      <c r="E280" s="1"/>
      <c r="F280" s="1"/>
      <c r="G280" s="1"/>
      <c r="H280" s="1"/>
      <c r="I280" s="1"/>
      <c r="J280" s="1"/>
      <c r="K280" s="1"/>
      <c r="L280" s="1"/>
      <c r="M280" s="1"/>
      <c r="N280" s="1"/>
      <c r="O280" s="1"/>
      <c r="P280" s="1"/>
    </row>
    <row r="281" spans="1:16" ht="13.5" x14ac:dyDescent="0.25">
      <c r="A281" s="1"/>
      <c r="B281" s="992" t="s">
        <v>107</v>
      </c>
      <c r="C281" s="1"/>
      <c r="D281" s="1"/>
      <c r="E281" s="1"/>
      <c r="F281" s="1"/>
      <c r="G281" s="1"/>
      <c r="H281" s="1"/>
      <c r="I281" s="1"/>
      <c r="J281" s="1"/>
      <c r="K281" s="1"/>
      <c r="L281" s="1"/>
      <c r="M281" s="1"/>
      <c r="N281" s="1"/>
      <c r="O281" s="1"/>
      <c r="P281" s="1"/>
    </row>
    <row r="282" spans="1:16" ht="13.5" x14ac:dyDescent="0.25">
      <c r="A282" s="1"/>
      <c r="B282" s="992" t="s">
        <v>108</v>
      </c>
      <c r="C282" s="1"/>
      <c r="D282" s="1"/>
      <c r="E282" s="1"/>
      <c r="F282" s="1"/>
      <c r="G282" s="1"/>
      <c r="H282" s="1"/>
      <c r="I282" s="1"/>
      <c r="J282" s="1"/>
      <c r="K282" s="1"/>
      <c r="L282" s="1"/>
      <c r="M282" s="1"/>
      <c r="N282" s="1"/>
      <c r="O282" s="1"/>
      <c r="P282" s="1"/>
    </row>
    <row r="283" spans="1:16" ht="13.5" x14ac:dyDescent="0.25">
      <c r="A283" s="1"/>
      <c r="B283" s="992"/>
      <c r="C283" s="1"/>
      <c r="D283" s="1"/>
      <c r="E283" s="1"/>
      <c r="F283" s="1"/>
      <c r="G283" s="1"/>
      <c r="H283" s="1"/>
      <c r="I283" s="1"/>
      <c r="J283" s="1"/>
      <c r="K283" s="1"/>
      <c r="L283" s="1"/>
      <c r="M283" s="1"/>
      <c r="N283" s="1"/>
      <c r="O283" s="1"/>
      <c r="P283" s="1"/>
    </row>
    <row r="284" spans="1:16" ht="13.5" x14ac:dyDescent="0.25">
      <c r="A284" s="1"/>
      <c r="B284" s="992" t="s">
        <v>109</v>
      </c>
      <c r="C284" s="1"/>
      <c r="D284" s="1"/>
      <c r="E284" s="1"/>
      <c r="F284" s="1"/>
      <c r="G284" s="1"/>
      <c r="H284" s="1"/>
      <c r="I284" s="1"/>
      <c r="J284" s="1"/>
      <c r="K284" s="1"/>
      <c r="L284" s="1"/>
      <c r="M284" s="1"/>
      <c r="N284" s="1"/>
      <c r="O284" s="1"/>
      <c r="P284" s="1"/>
    </row>
    <row r="285" spans="1:16" ht="13.5" x14ac:dyDescent="0.25">
      <c r="A285" s="1"/>
      <c r="B285" s="992" t="s">
        <v>110</v>
      </c>
      <c r="C285" s="1"/>
      <c r="D285" s="1"/>
      <c r="E285" s="1"/>
      <c r="F285" s="1"/>
      <c r="G285" s="1"/>
      <c r="H285" s="1"/>
      <c r="I285" s="1"/>
      <c r="J285" s="1"/>
      <c r="K285" s="1"/>
      <c r="L285" s="1"/>
      <c r="M285" s="1"/>
      <c r="N285" s="1"/>
      <c r="O285" s="1"/>
      <c r="P285" s="1"/>
    </row>
    <row r="286" spans="1:16" ht="13.5" x14ac:dyDescent="0.25">
      <c r="A286" s="1"/>
      <c r="B286" s="992" t="s">
        <v>111</v>
      </c>
      <c r="C286" s="1"/>
      <c r="D286" s="1"/>
      <c r="E286" s="1"/>
      <c r="F286" s="1"/>
      <c r="G286" s="1"/>
      <c r="H286" s="1"/>
      <c r="I286" s="1"/>
      <c r="J286" s="1"/>
      <c r="K286" s="1"/>
      <c r="L286" s="1"/>
      <c r="M286" s="1"/>
      <c r="N286" s="1"/>
      <c r="O286" s="1"/>
      <c r="P286" s="1"/>
    </row>
    <row r="287" spans="1:16" ht="13.5" x14ac:dyDescent="0.25">
      <c r="A287" s="1"/>
      <c r="B287" s="992" t="s">
        <v>112</v>
      </c>
      <c r="C287" s="1"/>
      <c r="D287" s="1"/>
      <c r="E287" s="1"/>
      <c r="F287" s="1"/>
      <c r="G287" s="1"/>
      <c r="H287" s="1"/>
      <c r="I287" s="1"/>
      <c r="J287" s="1"/>
      <c r="K287" s="1"/>
      <c r="L287" s="1"/>
      <c r="M287" s="1"/>
      <c r="N287" s="1"/>
      <c r="O287" s="1"/>
      <c r="P287" s="1"/>
    </row>
    <row r="288" spans="1:16" ht="13.5" x14ac:dyDescent="0.25">
      <c r="A288" s="1"/>
      <c r="B288" s="992"/>
      <c r="C288" s="1"/>
      <c r="D288" s="1"/>
      <c r="E288" s="1"/>
      <c r="F288" s="1"/>
      <c r="G288" s="1"/>
      <c r="H288" s="1"/>
      <c r="I288" s="1"/>
      <c r="J288" s="1"/>
      <c r="K288" s="1"/>
      <c r="L288" s="1"/>
      <c r="M288" s="1"/>
      <c r="N288" s="1"/>
      <c r="O288" s="1"/>
      <c r="P288" s="1"/>
    </row>
    <row r="289" spans="1:16" ht="13.5" x14ac:dyDescent="0.25">
      <c r="A289" s="1"/>
      <c r="B289" s="992" t="s">
        <v>113</v>
      </c>
      <c r="C289" s="1"/>
      <c r="D289" s="1"/>
      <c r="E289" s="1"/>
      <c r="F289" s="1"/>
      <c r="G289" s="1"/>
      <c r="H289" s="1"/>
      <c r="I289" s="1"/>
      <c r="J289" s="1"/>
      <c r="K289" s="1"/>
      <c r="L289" s="1"/>
      <c r="M289" s="1"/>
      <c r="N289" s="1"/>
      <c r="O289" s="1"/>
      <c r="P289" s="1"/>
    </row>
    <row r="290" spans="1:16" ht="13.5" x14ac:dyDescent="0.25">
      <c r="A290" s="1"/>
      <c r="B290" s="992" t="s">
        <v>114</v>
      </c>
      <c r="C290" s="1"/>
      <c r="D290" s="1"/>
      <c r="E290" s="1"/>
      <c r="F290" s="1"/>
      <c r="G290" s="1"/>
      <c r="H290" s="1"/>
      <c r="I290" s="1"/>
      <c r="J290" s="1"/>
      <c r="K290" s="1"/>
      <c r="L290" s="1"/>
      <c r="M290" s="1"/>
      <c r="N290" s="1"/>
      <c r="O290" s="1"/>
      <c r="P290" s="1"/>
    </row>
    <row r="291" spans="1:16" ht="13.5" x14ac:dyDescent="0.25">
      <c r="A291" s="1"/>
      <c r="B291" s="992" t="s">
        <v>115</v>
      </c>
      <c r="C291" s="1"/>
      <c r="D291" s="1"/>
      <c r="E291" s="1"/>
      <c r="F291" s="1"/>
      <c r="G291" s="1"/>
      <c r="H291" s="1"/>
      <c r="I291" s="1"/>
      <c r="J291" s="1"/>
      <c r="K291" s="1"/>
      <c r="L291" s="1"/>
      <c r="M291" s="1"/>
      <c r="N291" s="1"/>
      <c r="O291" s="1"/>
      <c r="P291" s="1"/>
    </row>
    <row r="292" spans="1:16" ht="13.5" x14ac:dyDescent="0.25">
      <c r="A292" s="1"/>
      <c r="B292" s="992" t="s">
        <v>116</v>
      </c>
      <c r="C292" s="1"/>
      <c r="D292" s="1"/>
      <c r="E292" s="1"/>
      <c r="F292" s="1"/>
      <c r="G292" s="1"/>
      <c r="H292" s="1"/>
      <c r="I292" s="1"/>
      <c r="J292" s="1"/>
      <c r="K292" s="1"/>
      <c r="L292" s="1"/>
      <c r="M292" s="1"/>
      <c r="N292" s="1"/>
      <c r="O292" s="1"/>
      <c r="P292" s="1"/>
    </row>
    <row r="293" spans="1:16" ht="13.5" x14ac:dyDescent="0.25">
      <c r="A293" s="1"/>
      <c r="B293" s="992" t="s">
        <v>117</v>
      </c>
      <c r="C293" s="1"/>
      <c r="D293" s="1"/>
      <c r="E293" s="1"/>
      <c r="F293" s="1"/>
      <c r="G293" s="1"/>
      <c r="H293" s="1"/>
      <c r="I293" s="1"/>
      <c r="J293" s="1"/>
      <c r="K293" s="1"/>
      <c r="L293" s="1"/>
      <c r="M293" s="1"/>
      <c r="N293" s="1"/>
      <c r="O293" s="1"/>
      <c r="P293" s="1"/>
    </row>
    <row r="294" spans="1:16" ht="13.5" x14ac:dyDescent="0.25">
      <c r="A294" s="1"/>
      <c r="B294" s="992" t="s">
        <v>118</v>
      </c>
      <c r="C294" s="1"/>
      <c r="D294" s="1"/>
      <c r="E294" s="1"/>
      <c r="F294" s="1"/>
      <c r="G294" s="1"/>
      <c r="H294" s="1"/>
      <c r="I294" s="1"/>
      <c r="J294" s="1"/>
      <c r="K294" s="1"/>
      <c r="L294" s="1"/>
      <c r="M294" s="1"/>
      <c r="N294" s="1"/>
      <c r="O294" s="1"/>
      <c r="P294" s="1"/>
    </row>
    <row r="295" spans="1:16" ht="13.5" x14ac:dyDescent="0.25">
      <c r="A295" s="1"/>
      <c r="B295" s="992" t="s">
        <v>119</v>
      </c>
      <c r="C295" s="1"/>
      <c r="D295" s="1"/>
      <c r="E295" s="1"/>
      <c r="F295" s="1"/>
      <c r="G295" s="1"/>
      <c r="H295" s="1"/>
      <c r="I295" s="1"/>
      <c r="J295" s="1"/>
      <c r="K295" s="1"/>
      <c r="L295" s="1"/>
      <c r="M295" s="1"/>
      <c r="N295" s="1"/>
      <c r="O295" s="1"/>
      <c r="P295" s="1"/>
    </row>
    <row r="296" spans="1:16" ht="13.5" x14ac:dyDescent="0.25">
      <c r="A296" s="1"/>
      <c r="B296" s="992" t="s">
        <v>120</v>
      </c>
      <c r="C296" s="1"/>
      <c r="D296" s="1"/>
      <c r="E296" s="1"/>
      <c r="F296" s="1"/>
      <c r="G296" s="1"/>
      <c r="H296" s="1"/>
      <c r="I296" s="1"/>
      <c r="J296" s="1"/>
      <c r="K296" s="1"/>
      <c r="L296" s="1"/>
      <c r="M296" s="1"/>
      <c r="N296" s="1"/>
      <c r="O296" s="1"/>
      <c r="P296" s="1"/>
    </row>
    <row r="297" spans="1:16" ht="13.5" x14ac:dyDescent="0.25">
      <c r="A297" s="1"/>
      <c r="B297" s="992" t="s">
        <v>121</v>
      </c>
      <c r="C297" s="1"/>
      <c r="D297" s="1"/>
      <c r="E297" s="1"/>
      <c r="F297" s="1"/>
      <c r="G297" s="1"/>
      <c r="H297" s="1"/>
      <c r="I297" s="1"/>
      <c r="J297" s="1"/>
      <c r="K297" s="1"/>
      <c r="L297" s="1"/>
      <c r="M297" s="1"/>
      <c r="N297" s="1"/>
      <c r="O297" s="1"/>
      <c r="P297" s="1"/>
    </row>
    <row r="298" spans="1:16" ht="13.5" x14ac:dyDescent="0.25">
      <c r="A298" s="1"/>
      <c r="B298" s="992"/>
      <c r="C298" s="1"/>
      <c r="D298" s="1"/>
      <c r="E298" s="1"/>
      <c r="F298" s="1"/>
      <c r="G298" s="1"/>
      <c r="H298" s="1"/>
      <c r="I298" s="1"/>
      <c r="J298" s="1"/>
      <c r="K298" s="1"/>
      <c r="L298" s="1"/>
      <c r="M298" s="1"/>
      <c r="N298" s="1"/>
      <c r="O298" s="1"/>
      <c r="P298" s="1"/>
    </row>
    <row r="299" spans="1:16" ht="13.5" x14ac:dyDescent="0.25">
      <c r="A299" s="1"/>
      <c r="B299" s="992" t="s">
        <v>122</v>
      </c>
      <c r="C299" s="1"/>
      <c r="D299" s="1"/>
      <c r="E299" s="1"/>
      <c r="F299" s="1"/>
      <c r="G299" s="1"/>
      <c r="H299" s="1"/>
      <c r="I299" s="1"/>
      <c r="J299" s="1"/>
      <c r="K299" s="1"/>
      <c r="L299" s="1"/>
      <c r="M299" s="1"/>
      <c r="N299" s="1"/>
      <c r="O299" s="1"/>
      <c r="P299" s="1"/>
    </row>
    <row r="300" spans="1:16" ht="13.5" x14ac:dyDescent="0.25">
      <c r="A300" s="1"/>
      <c r="B300" s="992"/>
      <c r="C300" s="1"/>
      <c r="D300" s="1"/>
      <c r="E300" s="1"/>
      <c r="F300" s="1"/>
      <c r="G300" s="1"/>
      <c r="H300" s="1"/>
      <c r="I300" s="1"/>
      <c r="J300" s="1"/>
      <c r="K300" s="1"/>
      <c r="L300" s="1"/>
      <c r="M300" s="1"/>
      <c r="N300" s="1"/>
      <c r="O300" s="1"/>
      <c r="P300" s="1"/>
    </row>
    <row r="301" spans="1:16" ht="13.5" x14ac:dyDescent="0.25">
      <c r="A301" s="1"/>
      <c r="B301" s="992" t="s">
        <v>123</v>
      </c>
      <c r="C301" s="1"/>
      <c r="D301" s="1"/>
      <c r="E301" s="1"/>
      <c r="F301" s="1"/>
      <c r="G301" s="1"/>
      <c r="H301" s="1"/>
      <c r="I301" s="1"/>
      <c r="J301" s="1"/>
      <c r="K301" s="1"/>
      <c r="L301" s="1"/>
      <c r="M301" s="1"/>
      <c r="N301" s="1"/>
      <c r="O301" s="1"/>
      <c r="P301" s="1"/>
    </row>
    <row r="302" spans="1:16" ht="13.5" x14ac:dyDescent="0.25">
      <c r="A302" s="1"/>
      <c r="B302" s="992" t="s">
        <v>124</v>
      </c>
      <c r="C302" s="1"/>
      <c r="D302" s="1"/>
      <c r="E302" s="1"/>
      <c r="F302" s="1"/>
      <c r="G302" s="1"/>
      <c r="H302" s="1"/>
      <c r="I302" s="1"/>
      <c r="J302" s="1"/>
      <c r="K302" s="1"/>
      <c r="L302" s="1"/>
      <c r="M302" s="1"/>
      <c r="N302" s="1"/>
      <c r="O302" s="1"/>
      <c r="P302" s="1"/>
    </row>
    <row r="303" spans="1:16" ht="13.5" x14ac:dyDescent="0.25">
      <c r="A303" s="1"/>
      <c r="B303" s="992" t="s">
        <v>125</v>
      </c>
      <c r="C303" s="1"/>
      <c r="D303" s="1"/>
      <c r="E303" s="1"/>
      <c r="F303" s="1"/>
      <c r="G303" s="1"/>
      <c r="H303" s="1"/>
      <c r="I303" s="1"/>
      <c r="J303" s="1"/>
      <c r="K303" s="1"/>
      <c r="L303" s="1"/>
      <c r="M303" s="1"/>
      <c r="N303" s="1"/>
      <c r="O303" s="1"/>
      <c r="P303" s="1"/>
    </row>
    <row r="304" spans="1:16" ht="13.5" x14ac:dyDescent="0.25">
      <c r="A304" s="1"/>
      <c r="B304" s="992" t="s">
        <v>126</v>
      </c>
      <c r="C304" s="1"/>
      <c r="D304" s="1"/>
      <c r="E304" s="1"/>
      <c r="F304" s="1"/>
      <c r="G304" s="1"/>
      <c r="H304" s="1"/>
      <c r="I304" s="1"/>
      <c r="J304" s="1"/>
      <c r="K304" s="1"/>
      <c r="L304" s="1"/>
      <c r="M304" s="1"/>
      <c r="N304" s="1"/>
      <c r="O304" s="1"/>
      <c r="P304" s="1"/>
    </row>
    <row r="305" spans="1:16" ht="13.5" x14ac:dyDescent="0.25">
      <c r="A305" s="1"/>
      <c r="B305" s="992"/>
      <c r="C305" s="1"/>
      <c r="D305" s="1"/>
      <c r="E305" s="1"/>
      <c r="F305" s="1"/>
      <c r="G305" s="1"/>
      <c r="H305" s="1"/>
      <c r="I305" s="1"/>
      <c r="J305" s="1"/>
      <c r="K305" s="1"/>
      <c r="L305" s="1"/>
      <c r="M305" s="1"/>
      <c r="N305" s="1"/>
      <c r="O305" s="1"/>
      <c r="P305" s="1"/>
    </row>
    <row r="306" spans="1:16" ht="13.5" x14ac:dyDescent="0.25">
      <c r="A306" s="1"/>
      <c r="B306" s="992" t="s">
        <v>127</v>
      </c>
      <c r="C306" s="1"/>
      <c r="D306" s="1"/>
      <c r="E306" s="1"/>
      <c r="F306" s="1"/>
      <c r="G306" s="1"/>
      <c r="H306" s="1"/>
      <c r="I306" s="1"/>
      <c r="J306" s="1"/>
      <c r="K306" s="1"/>
      <c r="L306" s="1"/>
      <c r="M306" s="1"/>
      <c r="N306" s="1"/>
      <c r="O306" s="1"/>
      <c r="P306" s="1"/>
    </row>
    <row r="307" spans="1:16" ht="13.5" x14ac:dyDescent="0.25">
      <c r="A307" s="1"/>
      <c r="B307" s="992" t="s">
        <v>128</v>
      </c>
      <c r="C307" s="1"/>
      <c r="D307" s="1"/>
      <c r="E307" s="1"/>
      <c r="F307" s="1"/>
      <c r="G307" s="1"/>
      <c r="H307" s="1"/>
      <c r="I307" s="1"/>
      <c r="J307" s="1"/>
      <c r="K307" s="1"/>
      <c r="L307" s="1"/>
      <c r="M307" s="1"/>
      <c r="N307" s="1"/>
      <c r="O307" s="1"/>
      <c r="P307" s="1"/>
    </row>
    <row r="308" spans="1:16" ht="13.5" x14ac:dyDescent="0.25">
      <c r="A308" s="1"/>
      <c r="B308" s="992" t="s">
        <v>129</v>
      </c>
      <c r="C308" s="1"/>
      <c r="D308" s="1"/>
      <c r="E308" s="1"/>
      <c r="F308" s="1"/>
      <c r="G308" s="1"/>
      <c r="H308" s="1"/>
      <c r="I308" s="1"/>
      <c r="J308" s="1"/>
      <c r="K308" s="1"/>
      <c r="L308" s="1"/>
      <c r="M308" s="1"/>
      <c r="N308" s="1"/>
      <c r="O308" s="1"/>
      <c r="P308" s="1"/>
    </row>
    <row r="309" spans="1:16" ht="13.5" x14ac:dyDescent="0.25">
      <c r="A309" s="1"/>
      <c r="B309" s="992" t="s">
        <v>130</v>
      </c>
      <c r="C309" s="1"/>
      <c r="D309" s="1"/>
      <c r="E309" s="1"/>
      <c r="F309" s="1"/>
      <c r="G309" s="1"/>
      <c r="H309" s="1"/>
      <c r="I309" s="1"/>
      <c r="J309" s="1"/>
      <c r="K309" s="1"/>
      <c r="L309" s="1"/>
      <c r="M309" s="1"/>
      <c r="N309" s="1"/>
      <c r="O309" s="1"/>
      <c r="P309" s="1"/>
    </row>
    <row r="310" spans="1:16" ht="13.5" x14ac:dyDescent="0.25">
      <c r="A310" s="1"/>
      <c r="B310" s="992"/>
      <c r="C310" s="1"/>
      <c r="D310" s="1"/>
      <c r="E310" s="1"/>
      <c r="F310" s="1"/>
      <c r="G310" s="1"/>
      <c r="H310" s="1"/>
      <c r="I310" s="1"/>
      <c r="J310" s="1"/>
      <c r="K310" s="1"/>
      <c r="L310" s="1"/>
      <c r="M310" s="1"/>
      <c r="N310" s="1"/>
      <c r="O310" s="1"/>
      <c r="P310" s="1"/>
    </row>
    <row r="311" spans="1:16" ht="13.5" x14ac:dyDescent="0.25">
      <c r="A311" s="1"/>
      <c r="B311" s="992" t="s">
        <v>131</v>
      </c>
      <c r="C311" s="1"/>
      <c r="D311" s="1"/>
      <c r="E311" s="1"/>
      <c r="F311" s="1"/>
      <c r="G311" s="1"/>
      <c r="H311" s="1"/>
      <c r="I311" s="1"/>
      <c r="J311" s="1"/>
      <c r="K311" s="1"/>
      <c r="L311" s="1"/>
      <c r="M311" s="1"/>
      <c r="N311" s="1"/>
      <c r="O311" s="1"/>
      <c r="P311" s="1"/>
    </row>
    <row r="312" spans="1:16" ht="13.5" x14ac:dyDescent="0.25">
      <c r="A312" s="1"/>
      <c r="B312" s="992" t="s">
        <v>132</v>
      </c>
      <c r="C312" s="1"/>
      <c r="D312" s="1"/>
      <c r="E312" s="1"/>
      <c r="F312" s="1"/>
      <c r="G312" s="1"/>
      <c r="H312" s="1"/>
      <c r="I312" s="1"/>
      <c r="J312" s="1"/>
      <c r="K312" s="1"/>
      <c r="L312" s="1"/>
      <c r="M312" s="1"/>
      <c r="N312" s="1"/>
      <c r="O312" s="1"/>
      <c r="P312" s="1"/>
    </row>
    <row r="313" spans="1:16" ht="13.5" x14ac:dyDescent="0.25">
      <c r="A313" s="1"/>
      <c r="B313" s="992" t="s">
        <v>133</v>
      </c>
      <c r="C313" s="1"/>
      <c r="D313" s="1"/>
      <c r="E313" s="1"/>
      <c r="F313" s="1"/>
      <c r="G313" s="1"/>
      <c r="H313" s="1"/>
      <c r="I313" s="1"/>
      <c r="J313" s="1"/>
      <c r="K313" s="1"/>
      <c r="L313" s="1"/>
      <c r="M313" s="1"/>
      <c r="N313" s="1"/>
      <c r="O313" s="1"/>
      <c r="P313" s="1"/>
    </row>
    <row r="314" spans="1:16" ht="13.5" x14ac:dyDescent="0.25">
      <c r="A314" s="1"/>
      <c r="B314" s="992" t="s">
        <v>134</v>
      </c>
      <c r="C314" s="1"/>
      <c r="D314" s="1"/>
      <c r="E314" s="1"/>
      <c r="F314" s="1"/>
      <c r="G314" s="1"/>
      <c r="H314" s="1"/>
      <c r="I314" s="1"/>
      <c r="J314" s="1"/>
      <c r="K314" s="1"/>
      <c r="L314" s="1"/>
      <c r="M314" s="1"/>
      <c r="N314" s="1"/>
      <c r="O314" s="1"/>
      <c r="P314" s="1"/>
    </row>
    <row r="315" spans="1:16" ht="13.5" x14ac:dyDescent="0.25">
      <c r="A315" s="1"/>
      <c r="B315" s="992" t="s">
        <v>135</v>
      </c>
      <c r="C315" s="1"/>
      <c r="D315" s="1"/>
      <c r="E315" s="1"/>
      <c r="F315" s="1"/>
      <c r="G315" s="1"/>
      <c r="H315" s="1"/>
      <c r="I315" s="1"/>
      <c r="J315" s="1"/>
      <c r="K315" s="1"/>
      <c r="L315" s="1"/>
      <c r="M315" s="1"/>
      <c r="N315" s="1"/>
      <c r="O315" s="1"/>
      <c r="P315" s="1"/>
    </row>
    <row r="316" spans="1:16" ht="13.5" x14ac:dyDescent="0.25">
      <c r="A316" s="1"/>
      <c r="B316" s="992" t="s">
        <v>136</v>
      </c>
      <c r="C316" s="1"/>
      <c r="D316" s="1"/>
      <c r="E316" s="1"/>
      <c r="F316" s="1"/>
      <c r="G316" s="1"/>
      <c r="H316" s="1"/>
      <c r="I316" s="1"/>
      <c r="J316" s="1"/>
      <c r="K316" s="1"/>
      <c r="L316" s="1"/>
      <c r="M316" s="1"/>
      <c r="N316" s="1"/>
      <c r="O316" s="1"/>
      <c r="P316" s="1"/>
    </row>
    <row r="317" spans="1:16" ht="13.5" x14ac:dyDescent="0.25">
      <c r="A317" s="1"/>
      <c r="B317" s="992" t="s">
        <v>137</v>
      </c>
      <c r="C317" s="1"/>
      <c r="D317" s="1"/>
      <c r="E317" s="1"/>
      <c r="F317" s="1"/>
      <c r="G317" s="1"/>
      <c r="H317" s="1"/>
      <c r="I317" s="1"/>
      <c r="J317" s="1"/>
      <c r="K317" s="1"/>
      <c r="L317" s="1"/>
      <c r="M317" s="1"/>
      <c r="N317" s="1"/>
      <c r="O317" s="1"/>
      <c r="P317" s="1"/>
    </row>
    <row r="318" spans="1:16" ht="13.5" x14ac:dyDescent="0.25">
      <c r="A318" s="1"/>
      <c r="B318" s="992" t="s">
        <v>138</v>
      </c>
      <c r="C318" s="1"/>
      <c r="D318" s="1"/>
      <c r="E318" s="1"/>
      <c r="F318" s="1"/>
      <c r="G318" s="1"/>
      <c r="H318" s="1"/>
      <c r="I318" s="1"/>
      <c r="J318" s="1"/>
      <c r="K318" s="1"/>
      <c r="L318" s="1"/>
      <c r="M318" s="1"/>
      <c r="N318" s="1"/>
      <c r="O318" s="1"/>
      <c r="P318" s="1"/>
    </row>
    <row r="319" spans="1:16" ht="13.5" x14ac:dyDescent="0.25">
      <c r="A319" s="1"/>
      <c r="B319" s="992" t="s">
        <v>139</v>
      </c>
      <c r="C319" s="1"/>
      <c r="D319" s="1"/>
      <c r="E319" s="1"/>
      <c r="F319" s="1"/>
      <c r="G319" s="1"/>
      <c r="H319" s="1"/>
      <c r="I319" s="1"/>
      <c r="J319" s="1"/>
      <c r="K319" s="1"/>
      <c r="L319" s="1"/>
      <c r="M319" s="1"/>
      <c r="N319" s="1"/>
      <c r="O319" s="1"/>
      <c r="P319" s="1"/>
    </row>
    <row r="320" spans="1:16" ht="13.5" x14ac:dyDescent="0.25">
      <c r="A320" s="1"/>
      <c r="B320" s="992" t="s">
        <v>140</v>
      </c>
      <c r="C320" s="1"/>
      <c r="D320" s="1"/>
      <c r="E320" s="1"/>
      <c r="F320" s="1"/>
      <c r="G320" s="1"/>
      <c r="H320" s="1"/>
      <c r="I320" s="1"/>
      <c r="J320" s="1"/>
      <c r="K320" s="1"/>
      <c r="L320" s="1"/>
      <c r="M320" s="1"/>
      <c r="N320" s="1"/>
      <c r="O320" s="1"/>
      <c r="P320" s="1"/>
    </row>
    <row r="321" spans="1:16" ht="13.5" x14ac:dyDescent="0.25">
      <c r="A321" s="1"/>
      <c r="B321" s="992" t="s">
        <v>141</v>
      </c>
      <c r="C321" s="1"/>
      <c r="D321" s="1"/>
      <c r="E321" s="1"/>
      <c r="F321" s="1"/>
      <c r="G321" s="1"/>
      <c r="H321" s="1"/>
      <c r="I321" s="1"/>
      <c r="J321" s="1"/>
      <c r="K321" s="1"/>
      <c r="L321" s="1"/>
      <c r="M321" s="1"/>
      <c r="N321" s="1"/>
      <c r="O321" s="1"/>
      <c r="P321" s="1"/>
    </row>
    <row r="322" spans="1:16" ht="13.5" x14ac:dyDescent="0.25">
      <c r="A322" s="1"/>
      <c r="B322" s="992"/>
      <c r="C322" s="1"/>
      <c r="D322" s="1"/>
      <c r="E322" s="1"/>
      <c r="F322" s="1"/>
      <c r="G322" s="1"/>
      <c r="H322" s="1"/>
      <c r="I322" s="1"/>
      <c r="J322" s="1"/>
      <c r="K322" s="1"/>
      <c r="L322" s="1"/>
      <c r="M322" s="1"/>
      <c r="N322" s="1"/>
      <c r="O322" s="1"/>
      <c r="P322" s="1"/>
    </row>
    <row r="323" spans="1:16" ht="13.5" x14ac:dyDescent="0.25">
      <c r="A323" s="1"/>
      <c r="B323" s="992" t="s">
        <v>142</v>
      </c>
      <c r="C323" s="1"/>
      <c r="D323" s="1"/>
      <c r="E323" s="1"/>
      <c r="F323" s="1"/>
      <c r="G323" s="1"/>
      <c r="H323" s="1"/>
      <c r="I323" s="1"/>
      <c r="J323" s="1"/>
      <c r="K323" s="1"/>
      <c r="L323" s="1"/>
      <c r="M323" s="1"/>
      <c r="N323" s="1"/>
      <c r="O323" s="1"/>
      <c r="P323" s="1"/>
    </row>
    <row r="324" spans="1:16" ht="13.5" x14ac:dyDescent="0.25">
      <c r="A324" s="1"/>
      <c r="B324" s="992" t="s">
        <v>143</v>
      </c>
      <c r="C324" s="1"/>
      <c r="D324" s="1"/>
      <c r="E324" s="1"/>
      <c r="F324" s="1"/>
      <c r="G324" s="1"/>
      <c r="H324" s="1"/>
      <c r="I324" s="1"/>
      <c r="J324" s="1"/>
      <c r="K324" s="1"/>
      <c r="L324" s="1"/>
      <c r="M324" s="1"/>
      <c r="N324" s="1"/>
      <c r="O324" s="1"/>
      <c r="P324" s="1"/>
    </row>
    <row r="325" spans="1:16" ht="13.5" x14ac:dyDescent="0.25">
      <c r="A325" s="1"/>
      <c r="B325" s="992" t="s">
        <v>144</v>
      </c>
      <c r="C325" s="1"/>
      <c r="D325" s="1"/>
      <c r="E325" s="1"/>
      <c r="F325" s="1"/>
      <c r="G325" s="1"/>
      <c r="H325" s="1"/>
      <c r="I325" s="1"/>
      <c r="J325" s="1"/>
      <c r="K325" s="1"/>
      <c r="L325" s="1"/>
      <c r="M325" s="1"/>
      <c r="N325" s="1"/>
      <c r="O325" s="1"/>
      <c r="P325" s="1"/>
    </row>
    <row r="326" spans="1:16" ht="13.5" x14ac:dyDescent="0.25">
      <c r="A326" s="1"/>
      <c r="B326" s="992" t="s">
        <v>145</v>
      </c>
      <c r="C326" s="1"/>
      <c r="D326" s="1"/>
      <c r="E326" s="1"/>
      <c r="F326" s="1"/>
      <c r="G326" s="1"/>
      <c r="H326" s="1"/>
      <c r="I326" s="1"/>
      <c r="J326" s="1"/>
      <c r="K326" s="1"/>
      <c r="L326" s="1"/>
      <c r="M326" s="1"/>
      <c r="N326" s="1"/>
      <c r="O326" s="1"/>
      <c r="P326" s="1"/>
    </row>
    <row r="327" spans="1:16" ht="13.5" x14ac:dyDescent="0.25">
      <c r="A327" s="1"/>
      <c r="B327" s="992" t="s">
        <v>146</v>
      </c>
      <c r="C327" s="1"/>
      <c r="D327" s="1"/>
      <c r="E327" s="1"/>
      <c r="F327" s="1"/>
      <c r="G327" s="1"/>
      <c r="H327" s="1"/>
      <c r="I327" s="1"/>
      <c r="J327" s="1"/>
      <c r="K327" s="1"/>
      <c r="L327" s="1"/>
      <c r="M327" s="1"/>
      <c r="N327" s="1"/>
      <c r="O327" s="1"/>
      <c r="P327" s="1"/>
    </row>
    <row r="328" spans="1:16" ht="13.5" x14ac:dyDescent="0.25">
      <c r="A328" s="1"/>
      <c r="B328" s="992"/>
      <c r="C328" s="1"/>
      <c r="D328" s="1"/>
      <c r="E328" s="1"/>
      <c r="F328" s="1"/>
      <c r="G328" s="1"/>
      <c r="H328" s="1"/>
      <c r="I328" s="1"/>
      <c r="J328" s="1"/>
      <c r="K328" s="1"/>
      <c r="L328" s="1"/>
      <c r="M328" s="1"/>
      <c r="N328" s="1"/>
      <c r="O328" s="1"/>
      <c r="P328" s="1"/>
    </row>
    <row r="329" spans="1:16" ht="13.5" x14ac:dyDescent="0.25">
      <c r="A329" s="1"/>
      <c r="B329" s="992" t="s">
        <v>147</v>
      </c>
      <c r="C329" s="1"/>
      <c r="D329" s="1"/>
      <c r="E329" s="1"/>
      <c r="F329" s="1"/>
      <c r="G329" s="1"/>
      <c r="H329" s="1"/>
      <c r="I329" s="1"/>
      <c r="J329" s="1"/>
      <c r="K329" s="1"/>
      <c r="L329" s="1"/>
      <c r="M329" s="1"/>
      <c r="N329" s="1"/>
      <c r="O329" s="1"/>
      <c r="P329" s="1"/>
    </row>
    <row r="330" spans="1:16" ht="13.5" x14ac:dyDescent="0.25">
      <c r="A330" s="1"/>
      <c r="B330" s="992" t="s">
        <v>148</v>
      </c>
      <c r="C330" s="1"/>
      <c r="D330" s="1"/>
      <c r="E330" s="1"/>
      <c r="F330" s="1"/>
      <c r="G330" s="1"/>
      <c r="H330" s="1"/>
      <c r="I330" s="1"/>
      <c r="J330" s="1"/>
      <c r="K330" s="1"/>
      <c r="L330" s="1"/>
      <c r="M330" s="1"/>
      <c r="N330" s="1"/>
      <c r="O330" s="1"/>
      <c r="P330" s="1"/>
    </row>
    <row r="331" spans="1:16" ht="13.5" x14ac:dyDescent="0.25">
      <c r="A331" s="1"/>
      <c r="B331" s="992" t="s">
        <v>149</v>
      </c>
      <c r="C331" s="1"/>
      <c r="D331" s="1"/>
      <c r="E331" s="1"/>
      <c r="F331" s="1"/>
      <c r="G331" s="1"/>
      <c r="H331" s="1"/>
      <c r="I331" s="1"/>
      <c r="J331" s="1"/>
      <c r="K331" s="1"/>
      <c r="L331" s="1"/>
      <c r="M331" s="1"/>
      <c r="N331" s="1"/>
      <c r="O331" s="1"/>
      <c r="P331" s="1"/>
    </row>
    <row r="332" spans="1:16" ht="13.5" x14ac:dyDescent="0.25">
      <c r="A332" s="1"/>
      <c r="B332" s="992" t="s">
        <v>150</v>
      </c>
      <c r="C332" s="1"/>
      <c r="D332" s="1"/>
      <c r="E332" s="1"/>
      <c r="F332" s="1"/>
      <c r="G332" s="1"/>
      <c r="H332" s="1"/>
      <c r="I332" s="1"/>
      <c r="J332" s="1"/>
      <c r="K332" s="1"/>
      <c r="L332" s="1"/>
      <c r="M332" s="1"/>
      <c r="N332" s="1"/>
      <c r="O332" s="1"/>
      <c r="P332" s="1"/>
    </row>
    <row r="333" spans="1:16" ht="13.5" x14ac:dyDescent="0.25">
      <c r="A333" s="1"/>
      <c r="B333" s="992" t="s">
        <v>151</v>
      </c>
      <c r="C333" s="1"/>
      <c r="D333" s="1"/>
      <c r="E333" s="1"/>
      <c r="F333" s="1"/>
      <c r="G333" s="1"/>
      <c r="H333" s="1"/>
      <c r="I333" s="1"/>
      <c r="J333" s="1"/>
      <c r="K333" s="1"/>
      <c r="L333" s="1"/>
      <c r="M333" s="1"/>
      <c r="N333" s="1"/>
      <c r="O333" s="1"/>
      <c r="P333" s="1"/>
    </row>
    <row r="334" spans="1:16" ht="13.5" x14ac:dyDescent="0.25">
      <c r="A334" s="1"/>
      <c r="B334" s="992" t="s">
        <v>152</v>
      </c>
      <c r="C334" s="1"/>
      <c r="D334" s="1"/>
      <c r="E334" s="1"/>
      <c r="F334" s="1"/>
      <c r="G334" s="1"/>
      <c r="H334" s="1"/>
      <c r="I334" s="1"/>
      <c r="J334" s="1"/>
      <c r="K334" s="1"/>
      <c r="L334" s="1"/>
      <c r="M334" s="1"/>
      <c r="N334" s="1"/>
      <c r="O334" s="1"/>
      <c r="P334" s="1"/>
    </row>
    <row r="335" spans="1:16" ht="13.5" x14ac:dyDescent="0.25">
      <c r="A335" s="1"/>
      <c r="B335" s="992" t="s">
        <v>153</v>
      </c>
      <c r="C335" s="1"/>
      <c r="D335" s="1"/>
      <c r="E335" s="1"/>
      <c r="F335" s="1"/>
      <c r="G335" s="1"/>
      <c r="H335" s="1"/>
      <c r="I335" s="1"/>
      <c r="J335" s="1"/>
      <c r="K335" s="1"/>
      <c r="L335" s="1"/>
      <c r="M335" s="1"/>
      <c r="N335" s="1"/>
      <c r="O335" s="1"/>
      <c r="P335" s="1"/>
    </row>
    <row r="336" spans="1:16" ht="13.5" x14ac:dyDescent="0.25">
      <c r="A336" s="1"/>
      <c r="B336" s="992" t="s">
        <v>154</v>
      </c>
      <c r="C336" s="1"/>
      <c r="D336" s="1"/>
      <c r="E336" s="1"/>
      <c r="F336" s="1"/>
      <c r="G336" s="1"/>
      <c r="H336" s="1"/>
      <c r="I336" s="1"/>
      <c r="J336" s="1"/>
      <c r="K336" s="1"/>
      <c r="L336" s="1"/>
      <c r="M336" s="1"/>
      <c r="N336" s="1"/>
      <c r="O336" s="1"/>
      <c r="P336" s="1"/>
    </row>
    <row r="337" spans="1:16" ht="13.5" x14ac:dyDescent="0.25">
      <c r="A337" s="1"/>
      <c r="B337" s="992" t="s">
        <v>155</v>
      </c>
      <c r="C337" s="1"/>
      <c r="D337" s="1"/>
      <c r="E337" s="1"/>
      <c r="F337" s="1"/>
      <c r="G337" s="1"/>
      <c r="H337" s="1"/>
      <c r="I337" s="1"/>
      <c r="J337" s="1"/>
      <c r="K337" s="1"/>
      <c r="L337" s="1"/>
      <c r="M337" s="1"/>
      <c r="N337" s="1"/>
      <c r="O337" s="1"/>
      <c r="P337" s="1"/>
    </row>
    <row r="338" spans="1:16" ht="13.5" x14ac:dyDescent="0.25">
      <c r="A338" s="1"/>
      <c r="B338" s="992" t="s">
        <v>156</v>
      </c>
      <c r="C338" s="1"/>
      <c r="D338" s="1"/>
      <c r="E338" s="1"/>
      <c r="F338" s="1"/>
      <c r="G338" s="1"/>
      <c r="H338" s="1"/>
      <c r="I338" s="1"/>
      <c r="J338" s="1"/>
      <c r="K338" s="1"/>
      <c r="L338" s="1"/>
      <c r="M338" s="1"/>
      <c r="N338" s="1"/>
      <c r="O338" s="1"/>
      <c r="P338" s="1"/>
    </row>
    <row r="339" spans="1:16" ht="13.5" x14ac:dyDescent="0.25">
      <c r="A339" s="1"/>
      <c r="B339" s="992" t="s">
        <v>157</v>
      </c>
      <c r="C339" s="1"/>
      <c r="D339" s="1"/>
      <c r="E339" s="1"/>
      <c r="F339" s="1"/>
      <c r="G339" s="1"/>
      <c r="H339" s="1"/>
      <c r="I339" s="1"/>
      <c r="J339" s="1"/>
      <c r="K339" s="1"/>
      <c r="L339" s="1"/>
      <c r="M339" s="1"/>
      <c r="N339" s="1"/>
      <c r="O339" s="1"/>
      <c r="P339" s="1"/>
    </row>
    <row r="340" spans="1:16" ht="13.5" x14ac:dyDescent="0.25">
      <c r="A340" s="1"/>
      <c r="B340" s="992" t="s">
        <v>158</v>
      </c>
      <c r="C340" s="1"/>
      <c r="D340" s="1"/>
      <c r="E340" s="1"/>
      <c r="F340" s="1"/>
      <c r="G340" s="1"/>
      <c r="H340" s="1"/>
      <c r="I340" s="1"/>
      <c r="J340" s="1"/>
      <c r="K340" s="1"/>
      <c r="L340" s="1"/>
      <c r="M340" s="1"/>
      <c r="N340" s="1"/>
      <c r="O340" s="1"/>
      <c r="P340" s="1"/>
    </row>
    <row r="341" spans="1:16" ht="13.5" x14ac:dyDescent="0.25">
      <c r="A341" s="1"/>
      <c r="B341" s="992"/>
      <c r="C341" s="1"/>
      <c r="D341" s="1"/>
      <c r="E341" s="1"/>
      <c r="F341" s="1"/>
      <c r="G341" s="1"/>
      <c r="H341" s="1"/>
      <c r="I341" s="1"/>
      <c r="J341" s="1"/>
      <c r="K341" s="1"/>
      <c r="L341" s="1"/>
      <c r="M341" s="1"/>
      <c r="N341" s="1"/>
      <c r="O341" s="1"/>
      <c r="P341" s="1"/>
    </row>
    <row r="342" spans="1:16" ht="13.5" x14ac:dyDescent="0.25">
      <c r="A342" s="1"/>
      <c r="B342" s="992" t="s">
        <v>159</v>
      </c>
      <c r="C342" s="1"/>
      <c r="D342" s="1"/>
      <c r="E342" s="1"/>
      <c r="F342" s="1"/>
      <c r="G342" s="1"/>
      <c r="H342" s="1"/>
      <c r="I342" s="1"/>
      <c r="J342" s="1"/>
      <c r="K342" s="1"/>
      <c r="L342" s="1"/>
      <c r="M342" s="1"/>
      <c r="N342" s="1"/>
      <c r="O342" s="1"/>
      <c r="P342" s="1"/>
    </row>
    <row r="343" spans="1:16" ht="13.5" x14ac:dyDescent="0.25">
      <c r="A343" s="1"/>
      <c r="B343" s="992" t="s">
        <v>160</v>
      </c>
      <c r="C343" s="1"/>
      <c r="D343" s="1"/>
      <c r="E343" s="1"/>
      <c r="F343" s="1"/>
      <c r="G343" s="1"/>
      <c r="H343" s="1"/>
      <c r="I343" s="1"/>
      <c r="J343" s="1"/>
      <c r="K343" s="1"/>
      <c r="L343" s="1"/>
      <c r="M343" s="1"/>
      <c r="N343" s="1"/>
      <c r="O343" s="1"/>
      <c r="P343" s="1"/>
    </row>
    <row r="344" spans="1:16" ht="13.5" x14ac:dyDescent="0.25">
      <c r="A344" s="1"/>
      <c r="B344" s="992" t="s">
        <v>161</v>
      </c>
      <c r="C344" s="1"/>
      <c r="D344" s="1"/>
      <c r="E344" s="1"/>
      <c r="F344" s="1"/>
      <c r="G344" s="1"/>
      <c r="H344" s="1"/>
      <c r="I344" s="1"/>
      <c r="J344" s="1"/>
      <c r="K344" s="1"/>
      <c r="L344" s="1"/>
      <c r="M344" s="1"/>
      <c r="N344" s="1"/>
      <c r="O344" s="1"/>
      <c r="P344" s="1"/>
    </row>
    <row r="345" spans="1:16" ht="13.5" x14ac:dyDescent="0.25">
      <c r="A345" s="1"/>
      <c r="B345" s="992" t="s">
        <v>162</v>
      </c>
      <c r="C345" s="1"/>
      <c r="D345" s="1"/>
      <c r="E345" s="1"/>
      <c r="F345" s="1"/>
      <c r="G345" s="1"/>
      <c r="H345" s="1"/>
      <c r="I345" s="1"/>
      <c r="J345" s="1"/>
      <c r="K345" s="1"/>
      <c r="L345" s="1"/>
      <c r="M345" s="1"/>
      <c r="N345" s="1"/>
      <c r="O345" s="1"/>
      <c r="P345" s="1"/>
    </row>
    <row r="346" spans="1:16" ht="13.5" x14ac:dyDescent="0.25">
      <c r="A346" s="1"/>
      <c r="B346" s="992"/>
      <c r="C346" s="1"/>
      <c r="D346" s="1"/>
      <c r="E346" s="1"/>
      <c r="F346" s="1"/>
      <c r="G346" s="1"/>
      <c r="H346" s="1"/>
      <c r="I346" s="1"/>
      <c r="J346" s="1"/>
      <c r="K346" s="1"/>
      <c r="L346" s="1"/>
      <c r="M346" s="1"/>
      <c r="N346" s="1"/>
      <c r="O346" s="1"/>
      <c r="P346" s="1"/>
    </row>
    <row r="347" spans="1:16" ht="13.5" x14ac:dyDescent="0.25">
      <c r="A347" s="1"/>
      <c r="B347" s="992" t="s">
        <v>163</v>
      </c>
      <c r="C347" s="1"/>
      <c r="D347" s="1"/>
      <c r="E347" s="1"/>
      <c r="F347" s="1"/>
      <c r="G347" s="1"/>
      <c r="H347" s="1"/>
      <c r="I347" s="1"/>
      <c r="J347" s="1"/>
      <c r="K347" s="1"/>
      <c r="L347" s="1"/>
      <c r="M347" s="1"/>
      <c r="N347" s="1"/>
      <c r="O347" s="1"/>
      <c r="P347" s="1"/>
    </row>
    <row r="348" spans="1:16" ht="13.5" x14ac:dyDescent="0.25">
      <c r="A348" s="1"/>
      <c r="B348" s="992" t="s">
        <v>164</v>
      </c>
      <c r="C348" s="1"/>
      <c r="D348" s="1"/>
      <c r="E348" s="1"/>
      <c r="F348" s="1"/>
      <c r="G348" s="1"/>
      <c r="H348" s="1"/>
      <c r="I348" s="1"/>
      <c r="J348" s="1"/>
      <c r="K348" s="1"/>
      <c r="L348" s="1"/>
      <c r="M348" s="1"/>
      <c r="N348" s="1"/>
      <c r="O348" s="1"/>
      <c r="P348" s="1"/>
    </row>
    <row r="349" spans="1:16" ht="13.5" x14ac:dyDescent="0.25">
      <c r="A349" s="1"/>
      <c r="B349" s="992" t="s">
        <v>165</v>
      </c>
      <c r="C349" s="1"/>
      <c r="D349" s="1"/>
      <c r="E349" s="1"/>
      <c r="F349" s="1"/>
      <c r="G349" s="1"/>
      <c r="H349" s="1"/>
      <c r="I349" s="1"/>
      <c r="J349" s="1"/>
      <c r="K349" s="1"/>
      <c r="L349" s="1"/>
      <c r="M349" s="1"/>
      <c r="N349" s="1"/>
      <c r="O349" s="1"/>
      <c r="P349" s="1"/>
    </row>
    <row r="350" spans="1:16" ht="13.5" x14ac:dyDescent="0.25">
      <c r="A350" s="1"/>
      <c r="B350" s="992"/>
      <c r="C350" s="1"/>
      <c r="D350" s="1"/>
      <c r="E350" s="1"/>
      <c r="F350" s="1"/>
      <c r="G350" s="1"/>
      <c r="H350" s="1"/>
      <c r="I350" s="1"/>
      <c r="J350" s="1"/>
      <c r="K350" s="1"/>
      <c r="L350" s="1"/>
      <c r="M350" s="1"/>
      <c r="N350" s="1"/>
      <c r="O350" s="1"/>
      <c r="P350" s="1"/>
    </row>
    <row r="351" spans="1:16" ht="13.5" x14ac:dyDescent="0.25">
      <c r="A351" s="1"/>
      <c r="B351" s="992" t="s">
        <v>166</v>
      </c>
      <c r="C351" s="1"/>
      <c r="D351" s="1"/>
      <c r="E351" s="1"/>
      <c r="F351" s="1"/>
      <c r="G351" s="1"/>
      <c r="H351" s="1"/>
      <c r="I351" s="1"/>
      <c r="J351" s="1"/>
      <c r="K351" s="1"/>
      <c r="L351" s="1"/>
      <c r="M351" s="1"/>
      <c r="N351" s="1"/>
      <c r="O351" s="1"/>
      <c r="P351" s="1"/>
    </row>
    <row r="352" spans="1:16" ht="13.5" x14ac:dyDescent="0.25">
      <c r="A352" s="1"/>
      <c r="B352" s="992" t="s">
        <v>167</v>
      </c>
      <c r="C352" s="1"/>
      <c r="D352" s="1"/>
      <c r="E352" s="1"/>
      <c r="F352" s="1"/>
      <c r="G352" s="1"/>
      <c r="H352" s="1"/>
      <c r="I352" s="1"/>
      <c r="J352" s="1"/>
      <c r="K352" s="1"/>
      <c r="L352" s="1"/>
      <c r="M352" s="1"/>
      <c r="N352" s="1"/>
      <c r="O352" s="1"/>
      <c r="P352" s="1"/>
    </row>
    <row r="353" spans="1:16" ht="13.5" x14ac:dyDescent="0.25">
      <c r="A353" s="1"/>
      <c r="B353" s="992" t="s">
        <v>168</v>
      </c>
      <c r="C353" s="1"/>
      <c r="D353" s="1"/>
      <c r="E353" s="1"/>
      <c r="F353" s="1"/>
      <c r="G353" s="1"/>
      <c r="H353" s="1"/>
      <c r="I353" s="1"/>
      <c r="J353" s="1"/>
      <c r="K353" s="1"/>
      <c r="L353" s="1"/>
      <c r="M353" s="1"/>
      <c r="N353" s="1"/>
      <c r="O353" s="1"/>
      <c r="P353" s="1"/>
    </row>
    <row r="354" spans="1:16" ht="13.5" x14ac:dyDescent="0.25">
      <c r="A354" s="1"/>
      <c r="B354" s="992" t="s">
        <v>169</v>
      </c>
      <c r="C354" s="1"/>
      <c r="D354" s="1"/>
      <c r="E354" s="1"/>
      <c r="F354" s="1"/>
      <c r="G354" s="1"/>
      <c r="H354" s="1"/>
      <c r="I354" s="1"/>
      <c r="J354" s="1"/>
      <c r="K354" s="1"/>
      <c r="L354" s="1"/>
      <c r="M354" s="1"/>
      <c r="N354" s="1"/>
      <c r="O354" s="1"/>
      <c r="P354" s="1"/>
    </row>
    <row r="355" spans="1:16" ht="13.5" x14ac:dyDescent="0.25">
      <c r="A355" s="1"/>
      <c r="B355" s="992" t="s">
        <v>170</v>
      </c>
      <c r="C355" s="1"/>
      <c r="D355" s="1"/>
      <c r="E355" s="1"/>
      <c r="F355" s="1"/>
      <c r="G355" s="1"/>
      <c r="H355" s="1"/>
      <c r="I355" s="1"/>
      <c r="J355" s="1"/>
      <c r="K355" s="1"/>
      <c r="L355" s="1"/>
      <c r="M355" s="1"/>
      <c r="N355" s="1"/>
      <c r="O355" s="1"/>
      <c r="P355" s="1"/>
    </row>
    <row r="356" spans="1:16" ht="13.5" x14ac:dyDescent="0.25">
      <c r="A356" s="1"/>
      <c r="B356" s="992" t="s">
        <v>171</v>
      </c>
      <c r="C356" s="1"/>
      <c r="D356" s="1"/>
      <c r="E356" s="1"/>
      <c r="F356" s="1"/>
      <c r="G356" s="1"/>
      <c r="H356" s="1"/>
      <c r="I356" s="1"/>
      <c r="J356" s="1"/>
      <c r="K356" s="1"/>
      <c r="L356" s="1"/>
      <c r="M356" s="1"/>
      <c r="N356" s="1"/>
      <c r="O356" s="1"/>
      <c r="P356" s="1"/>
    </row>
    <row r="357" spans="1:16" ht="13.5" x14ac:dyDescent="0.25">
      <c r="A357" s="1"/>
      <c r="B357" s="992" t="s">
        <v>172</v>
      </c>
      <c r="C357" s="1"/>
      <c r="D357" s="1"/>
      <c r="E357" s="1"/>
      <c r="F357" s="1"/>
      <c r="G357" s="1"/>
      <c r="H357" s="1"/>
      <c r="I357" s="1"/>
      <c r="J357" s="1"/>
      <c r="K357" s="1"/>
      <c r="L357" s="1"/>
      <c r="M357" s="1"/>
      <c r="N357" s="1"/>
      <c r="O357" s="1"/>
      <c r="P357" s="1"/>
    </row>
    <row r="358" spans="1:16" ht="13.5" x14ac:dyDescent="0.25">
      <c r="A358" s="1"/>
      <c r="B358" s="992" t="s">
        <v>173</v>
      </c>
      <c r="C358" s="1"/>
      <c r="D358" s="1"/>
      <c r="E358" s="1"/>
      <c r="F358" s="1"/>
      <c r="G358" s="1"/>
      <c r="H358" s="1"/>
      <c r="I358" s="1"/>
      <c r="J358" s="1"/>
      <c r="K358" s="1"/>
      <c r="L358" s="1"/>
      <c r="M358" s="1"/>
      <c r="N358" s="1"/>
      <c r="O358" s="1"/>
      <c r="P358" s="1"/>
    </row>
    <row r="359" spans="1:16" ht="13.5" x14ac:dyDescent="0.25">
      <c r="A359" s="1"/>
      <c r="B359" s="992" t="s">
        <v>174</v>
      </c>
      <c r="C359" s="1"/>
      <c r="D359" s="1"/>
      <c r="E359" s="1"/>
      <c r="F359" s="1"/>
      <c r="G359" s="1"/>
      <c r="H359" s="1"/>
      <c r="I359" s="1"/>
      <c r="J359" s="1"/>
      <c r="K359" s="1"/>
      <c r="L359" s="1"/>
      <c r="M359" s="1"/>
      <c r="N359" s="1"/>
      <c r="O359" s="1"/>
      <c r="P359" s="1"/>
    </row>
    <row r="360" spans="1:16" ht="13.5" x14ac:dyDescent="0.25">
      <c r="A360" s="1"/>
      <c r="B360" s="992" t="s">
        <v>175</v>
      </c>
      <c r="C360" s="1"/>
      <c r="D360" s="1"/>
      <c r="E360" s="1"/>
      <c r="F360" s="1"/>
      <c r="G360" s="1"/>
      <c r="H360" s="1"/>
      <c r="I360" s="1"/>
      <c r="J360" s="1"/>
      <c r="K360" s="1"/>
      <c r="L360" s="1"/>
      <c r="M360" s="1"/>
      <c r="N360" s="1"/>
      <c r="O360" s="1"/>
      <c r="P360" s="1"/>
    </row>
    <row r="361" spans="1:16" ht="13.5" x14ac:dyDescent="0.25">
      <c r="A361" s="1"/>
      <c r="B361" s="992" t="s">
        <v>176</v>
      </c>
      <c r="C361" s="1"/>
      <c r="D361" s="1"/>
      <c r="E361" s="1"/>
      <c r="F361" s="1"/>
      <c r="G361" s="1"/>
      <c r="H361" s="1"/>
      <c r="I361" s="1"/>
      <c r="J361" s="1"/>
      <c r="K361" s="1"/>
      <c r="L361" s="1"/>
      <c r="M361" s="1"/>
      <c r="N361" s="1"/>
      <c r="O361" s="1"/>
      <c r="P361" s="1"/>
    </row>
    <row r="362" spans="1:16" ht="13.5" x14ac:dyDescent="0.25">
      <c r="A362" s="1"/>
      <c r="B362" s="992" t="s">
        <v>177</v>
      </c>
      <c r="C362" s="1"/>
      <c r="D362" s="1"/>
      <c r="E362" s="1"/>
      <c r="F362" s="1"/>
      <c r="G362" s="1"/>
      <c r="H362" s="1"/>
      <c r="I362" s="1"/>
      <c r="J362" s="1"/>
      <c r="K362" s="1"/>
      <c r="L362" s="1"/>
      <c r="M362" s="1"/>
      <c r="N362" s="1"/>
      <c r="O362" s="1"/>
      <c r="P362" s="1"/>
    </row>
    <row r="363" spans="1:16" ht="13.5" x14ac:dyDescent="0.25">
      <c r="A363" s="1"/>
      <c r="B363" s="992"/>
      <c r="C363" s="1"/>
      <c r="D363" s="1"/>
      <c r="E363" s="1"/>
      <c r="F363" s="1"/>
      <c r="G363" s="1"/>
      <c r="H363" s="1"/>
      <c r="I363" s="1"/>
      <c r="J363" s="1"/>
      <c r="K363" s="1"/>
      <c r="L363" s="1"/>
      <c r="M363" s="1"/>
      <c r="N363" s="1"/>
      <c r="O363" s="1"/>
      <c r="P363" s="1"/>
    </row>
    <row r="364" spans="1:16" ht="13.5" x14ac:dyDescent="0.25">
      <c r="A364" s="1"/>
      <c r="B364" s="992" t="s">
        <v>178</v>
      </c>
      <c r="C364" s="1"/>
      <c r="D364" s="1"/>
      <c r="E364" s="1"/>
      <c r="F364" s="1"/>
      <c r="G364" s="1"/>
      <c r="H364" s="1"/>
      <c r="I364" s="1"/>
      <c r="J364" s="1"/>
      <c r="K364" s="1"/>
      <c r="L364" s="1"/>
      <c r="M364" s="1"/>
      <c r="N364" s="1"/>
      <c r="O364" s="1"/>
      <c r="P364" s="1"/>
    </row>
    <row r="365" spans="1:16" ht="13.5" x14ac:dyDescent="0.25">
      <c r="A365" s="1"/>
      <c r="B365" s="992" t="s">
        <v>179</v>
      </c>
      <c r="C365" s="1"/>
      <c r="D365" s="1"/>
      <c r="E365" s="1"/>
      <c r="F365" s="1"/>
      <c r="G365" s="1"/>
      <c r="H365" s="1"/>
      <c r="I365" s="1"/>
      <c r="J365" s="1"/>
      <c r="K365" s="1"/>
      <c r="L365" s="1"/>
      <c r="M365" s="1"/>
      <c r="N365" s="1"/>
      <c r="O365" s="1"/>
      <c r="P365" s="1"/>
    </row>
    <row r="366" spans="1:16" ht="13.5" x14ac:dyDescent="0.25">
      <c r="A366" s="1"/>
      <c r="B366" s="992" t="s">
        <v>180</v>
      </c>
      <c r="C366" s="1"/>
      <c r="D366" s="1"/>
      <c r="E366" s="1"/>
      <c r="F366" s="1"/>
      <c r="G366" s="1"/>
      <c r="H366" s="1"/>
      <c r="I366" s="1"/>
      <c r="J366" s="1"/>
      <c r="K366" s="1"/>
      <c r="L366" s="1"/>
      <c r="M366" s="1"/>
      <c r="N366" s="1"/>
      <c r="O366" s="1"/>
      <c r="P366" s="1"/>
    </row>
    <row r="367" spans="1:16" ht="13.5" x14ac:dyDescent="0.25">
      <c r="A367" s="1"/>
      <c r="B367" s="992" t="s">
        <v>181</v>
      </c>
      <c r="C367" s="1"/>
      <c r="D367" s="1"/>
      <c r="E367" s="1"/>
      <c r="F367" s="1"/>
      <c r="G367" s="1"/>
      <c r="H367" s="1"/>
      <c r="I367" s="1"/>
      <c r="J367" s="1"/>
      <c r="K367" s="1"/>
      <c r="L367" s="1"/>
      <c r="M367" s="1"/>
      <c r="N367" s="1"/>
      <c r="O367" s="1"/>
      <c r="P367" s="1"/>
    </row>
    <row r="368" spans="1:16" ht="13.5" x14ac:dyDescent="0.25">
      <c r="A368" s="1"/>
      <c r="B368" s="992" t="s">
        <v>182</v>
      </c>
      <c r="C368" s="1"/>
      <c r="D368" s="1"/>
      <c r="E368" s="1"/>
      <c r="F368" s="1"/>
      <c r="G368" s="1"/>
      <c r="H368" s="1"/>
      <c r="I368" s="1"/>
      <c r="J368" s="1"/>
      <c r="K368" s="1"/>
      <c r="L368" s="1"/>
      <c r="M368" s="1"/>
      <c r="N368" s="1"/>
      <c r="O368" s="1"/>
      <c r="P368" s="1"/>
    </row>
    <row r="369" spans="1:16" ht="13.5" x14ac:dyDescent="0.25">
      <c r="A369" s="1"/>
      <c r="B369" s="992" t="s">
        <v>183</v>
      </c>
      <c r="C369" s="1"/>
      <c r="D369" s="1"/>
      <c r="E369" s="1"/>
      <c r="F369" s="1"/>
      <c r="G369" s="1"/>
      <c r="H369" s="1"/>
      <c r="I369" s="1"/>
      <c r="J369" s="1"/>
      <c r="K369" s="1"/>
      <c r="L369" s="1"/>
      <c r="M369" s="1"/>
      <c r="N369" s="1"/>
      <c r="O369" s="1"/>
      <c r="P369" s="1"/>
    </row>
    <row r="370" spans="1:16" ht="13.5" x14ac:dyDescent="0.25">
      <c r="A370" s="1"/>
      <c r="B370" s="992" t="s">
        <v>184</v>
      </c>
      <c r="C370" s="1"/>
      <c r="D370" s="1"/>
      <c r="E370" s="1"/>
      <c r="F370" s="1"/>
      <c r="G370" s="1"/>
      <c r="H370" s="1"/>
      <c r="I370" s="1"/>
      <c r="J370" s="1"/>
      <c r="K370" s="1"/>
      <c r="L370" s="1"/>
      <c r="M370" s="1"/>
      <c r="N370" s="1"/>
      <c r="O370" s="1"/>
      <c r="P370" s="1"/>
    </row>
    <row r="371" spans="1:16" ht="13.5" x14ac:dyDescent="0.25">
      <c r="A371" s="1"/>
      <c r="B371" s="992"/>
      <c r="C371" s="1"/>
      <c r="D371" s="1"/>
      <c r="E371" s="1"/>
      <c r="F371" s="1"/>
      <c r="G371" s="1"/>
      <c r="H371" s="1"/>
      <c r="I371" s="1"/>
      <c r="J371" s="1"/>
      <c r="K371" s="1"/>
      <c r="L371" s="1"/>
      <c r="M371" s="1"/>
      <c r="N371" s="1"/>
      <c r="O371" s="1"/>
      <c r="P371" s="1"/>
    </row>
    <row r="372" spans="1:16" ht="13.5" x14ac:dyDescent="0.25">
      <c r="A372" s="1"/>
      <c r="B372" s="992" t="s">
        <v>185</v>
      </c>
      <c r="C372" s="1"/>
      <c r="D372" s="1"/>
      <c r="E372" s="1"/>
      <c r="F372" s="1"/>
      <c r="G372" s="1"/>
      <c r="H372" s="1"/>
      <c r="I372" s="1"/>
      <c r="J372" s="1"/>
      <c r="K372" s="1"/>
      <c r="L372" s="1"/>
      <c r="M372" s="1"/>
      <c r="N372" s="1"/>
      <c r="O372" s="1"/>
      <c r="P372" s="1"/>
    </row>
    <row r="373" spans="1:16" ht="13.5" x14ac:dyDescent="0.25">
      <c r="A373" s="1"/>
      <c r="B373" s="992" t="s">
        <v>186</v>
      </c>
      <c r="C373" s="1"/>
      <c r="D373" s="1"/>
      <c r="E373" s="1"/>
      <c r="F373" s="1"/>
      <c r="G373" s="1"/>
      <c r="H373" s="1"/>
      <c r="I373" s="1"/>
      <c r="J373" s="1"/>
      <c r="K373" s="1"/>
      <c r="L373" s="1"/>
      <c r="M373" s="1"/>
      <c r="N373" s="1"/>
      <c r="O373" s="1"/>
      <c r="P373" s="1"/>
    </row>
    <row r="374" spans="1:16" ht="13.5" x14ac:dyDescent="0.25">
      <c r="A374" s="1"/>
      <c r="B374" s="992" t="s">
        <v>187</v>
      </c>
      <c r="C374" s="1"/>
      <c r="D374" s="1"/>
      <c r="E374" s="1"/>
      <c r="F374" s="1"/>
      <c r="G374" s="1"/>
      <c r="H374" s="1"/>
      <c r="I374" s="1"/>
      <c r="J374" s="1"/>
      <c r="K374" s="1"/>
      <c r="L374" s="1"/>
      <c r="M374" s="1"/>
      <c r="N374" s="1"/>
      <c r="O374" s="1"/>
      <c r="P374" s="1"/>
    </row>
    <row r="375" spans="1:16" ht="13.5" x14ac:dyDescent="0.25">
      <c r="A375" s="1"/>
      <c r="B375" s="992" t="s">
        <v>188</v>
      </c>
      <c r="C375" s="1"/>
      <c r="D375" s="1"/>
      <c r="E375" s="1"/>
      <c r="F375" s="1"/>
      <c r="G375" s="1"/>
      <c r="H375" s="1"/>
      <c r="I375" s="1"/>
      <c r="J375" s="1"/>
      <c r="K375" s="1"/>
      <c r="L375" s="1"/>
      <c r="M375" s="1"/>
      <c r="N375" s="1"/>
      <c r="O375" s="1"/>
      <c r="P375" s="1"/>
    </row>
    <row r="376" spans="1:16" ht="13.5" x14ac:dyDescent="0.25">
      <c r="A376" s="1"/>
      <c r="B376" s="992" t="s">
        <v>189</v>
      </c>
      <c r="C376" s="1"/>
      <c r="D376" s="1"/>
      <c r="E376" s="1"/>
      <c r="F376" s="1"/>
      <c r="G376" s="1"/>
      <c r="H376" s="1"/>
      <c r="I376" s="1"/>
      <c r="J376" s="1"/>
      <c r="K376" s="1"/>
      <c r="L376" s="1"/>
      <c r="M376" s="1"/>
      <c r="N376" s="1"/>
      <c r="O376" s="1"/>
      <c r="P376" s="1"/>
    </row>
    <row r="377" spans="1:16" ht="13.5" x14ac:dyDescent="0.25">
      <c r="A377" s="1"/>
      <c r="B377" s="992" t="s">
        <v>190</v>
      </c>
      <c r="C377" s="1"/>
      <c r="D377" s="1"/>
      <c r="E377" s="1"/>
      <c r="F377" s="1"/>
      <c r="G377" s="1"/>
      <c r="H377" s="1"/>
      <c r="I377" s="1"/>
      <c r="J377" s="1"/>
      <c r="K377" s="1"/>
      <c r="L377" s="1"/>
      <c r="M377" s="1"/>
      <c r="N377" s="1"/>
      <c r="O377" s="1"/>
      <c r="P377" s="1"/>
    </row>
    <row r="378" spans="1:16" ht="13.5" x14ac:dyDescent="0.25">
      <c r="A378" s="1"/>
      <c r="B378" s="992" t="s">
        <v>191</v>
      </c>
      <c r="C378" s="1"/>
      <c r="D378" s="1"/>
      <c r="E378" s="1"/>
      <c r="F378" s="1"/>
      <c r="G378" s="1"/>
      <c r="H378" s="1"/>
      <c r="I378" s="1"/>
      <c r="J378" s="1"/>
      <c r="K378" s="1"/>
      <c r="L378" s="1"/>
      <c r="M378" s="1"/>
      <c r="N378" s="1"/>
      <c r="O378" s="1"/>
      <c r="P378" s="1"/>
    </row>
    <row r="379" spans="1:16" ht="13.5" x14ac:dyDescent="0.25">
      <c r="A379" s="1"/>
      <c r="B379" s="992" t="s">
        <v>192</v>
      </c>
      <c r="C379" s="1"/>
      <c r="D379" s="1"/>
      <c r="E379" s="1"/>
      <c r="F379" s="1"/>
      <c r="G379" s="1"/>
      <c r="H379" s="1"/>
      <c r="I379" s="1"/>
      <c r="J379" s="1"/>
      <c r="K379" s="1"/>
      <c r="L379" s="1"/>
      <c r="M379" s="1"/>
      <c r="N379" s="1"/>
      <c r="O379" s="1"/>
      <c r="P379" s="1"/>
    </row>
    <row r="380" spans="1:16" ht="13.5" x14ac:dyDescent="0.25">
      <c r="A380" s="1"/>
      <c r="B380" s="992" t="s">
        <v>193</v>
      </c>
      <c r="C380" s="1"/>
      <c r="D380" s="1"/>
      <c r="E380" s="1"/>
      <c r="F380" s="1"/>
      <c r="G380" s="1"/>
      <c r="H380" s="1"/>
      <c r="I380" s="1"/>
      <c r="J380" s="1"/>
      <c r="K380" s="1"/>
      <c r="L380" s="1"/>
      <c r="M380" s="1"/>
      <c r="N380" s="1"/>
      <c r="O380" s="1"/>
      <c r="P380" s="1"/>
    </row>
    <row r="381" spans="1:16" ht="13.5" x14ac:dyDescent="0.25">
      <c r="A381" s="1"/>
      <c r="B381" s="992" t="s">
        <v>194</v>
      </c>
      <c r="C381" s="1"/>
      <c r="D381" s="1"/>
      <c r="E381" s="1"/>
      <c r="F381" s="1"/>
      <c r="G381" s="1"/>
      <c r="H381" s="1"/>
      <c r="I381" s="1"/>
      <c r="J381" s="1"/>
      <c r="K381" s="1"/>
      <c r="L381" s="1"/>
      <c r="M381" s="1"/>
      <c r="N381" s="1"/>
      <c r="O381" s="1"/>
      <c r="P381" s="1"/>
    </row>
    <row r="382" spans="1:16" ht="13.5" x14ac:dyDescent="0.25">
      <c r="A382" s="1"/>
      <c r="B382" s="992"/>
      <c r="C382" s="1"/>
      <c r="D382" s="1"/>
      <c r="E382" s="1"/>
      <c r="F382" s="1"/>
      <c r="G382" s="1"/>
      <c r="H382" s="1"/>
      <c r="I382" s="1"/>
      <c r="J382" s="1"/>
      <c r="K382" s="1"/>
      <c r="L382" s="1"/>
      <c r="M382" s="1"/>
      <c r="N382" s="1"/>
      <c r="O382" s="1"/>
      <c r="P382" s="1"/>
    </row>
    <row r="383" spans="1:16" ht="13.5" x14ac:dyDescent="0.25">
      <c r="A383" s="1"/>
      <c r="B383" s="992" t="s">
        <v>195</v>
      </c>
      <c r="C383" s="1"/>
      <c r="D383" s="1"/>
      <c r="E383" s="1"/>
      <c r="F383" s="1"/>
      <c r="G383" s="1"/>
      <c r="H383" s="1"/>
      <c r="I383" s="1"/>
      <c r="J383" s="1"/>
      <c r="K383" s="1"/>
      <c r="L383" s="1"/>
      <c r="M383" s="1"/>
      <c r="N383" s="1"/>
      <c r="O383" s="1"/>
      <c r="P383" s="1"/>
    </row>
    <row r="384" spans="1:16" ht="13.5" x14ac:dyDescent="0.25">
      <c r="A384" s="1"/>
      <c r="B384" s="992" t="s">
        <v>196</v>
      </c>
      <c r="C384" s="1"/>
      <c r="D384" s="1"/>
      <c r="E384" s="1"/>
      <c r="F384" s="1"/>
      <c r="G384" s="1"/>
      <c r="H384" s="1"/>
      <c r="I384" s="1"/>
      <c r="J384" s="1"/>
      <c r="K384" s="1"/>
      <c r="L384" s="1"/>
      <c r="M384" s="1"/>
      <c r="N384" s="1"/>
      <c r="O384" s="1"/>
      <c r="P384" s="1"/>
    </row>
    <row r="385" spans="1:16" ht="13.5" x14ac:dyDescent="0.25">
      <c r="A385" s="1"/>
      <c r="B385" s="992" t="s">
        <v>197</v>
      </c>
      <c r="C385" s="1"/>
      <c r="D385" s="1"/>
      <c r="E385" s="1"/>
      <c r="F385" s="1"/>
      <c r="G385" s="1"/>
      <c r="H385" s="1"/>
      <c r="I385" s="1"/>
      <c r="J385" s="1"/>
      <c r="K385" s="1"/>
      <c r="L385" s="1"/>
      <c r="M385" s="1"/>
      <c r="N385" s="1"/>
      <c r="O385" s="1"/>
      <c r="P385" s="1"/>
    </row>
    <row r="386" spans="1:16" ht="13.5" x14ac:dyDescent="0.25">
      <c r="A386" s="1"/>
      <c r="B386" s="992" t="s">
        <v>198</v>
      </c>
      <c r="C386" s="1"/>
      <c r="D386" s="1"/>
      <c r="E386" s="1"/>
      <c r="F386" s="1"/>
      <c r="G386" s="1"/>
      <c r="H386" s="1"/>
      <c r="I386" s="1"/>
      <c r="J386" s="1"/>
      <c r="K386" s="1"/>
      <c r="L386" s="1"/>
      <c r="M386" s="1"/>
      <c r="N386" s="1"/>
      <c r="O386" s="1"/>
      <c r="P386" s="1"/>
    </row>
    <row r="387" spans="1:16" ht="13.5" x14ac:dyDescent="0.25">
      <c r="A387" s="1"/>
      <c r="B387" s="992" t="s">
        <v>199</v>
      </c>
      <c r="C387" s="1"/>
      <c r="D387" s="1"/>
      <c r="E387" s="1"/>
      <c r="F387" s="1"/>
      <c r="G387" s="1"/>
      <c r="H387" s="1"/>
      <c r="I387" s="1"/>
      <c r="J387" s="1"/>
      <c r="K387" s="1"/>
      <c r="L387" s="1"/>
      <c r="M387" s="1"/>
      <c r="N387" s="1"/>
      <c r="O387" s="1"/>
      <c r="P387" s="1"/>
    </row>
    <row r="388" spans="1:16" ht="13.5" x14ac:dyDescent="0.25">
      <c r="A388" s="1"/>
      <c r="B388" s="992" t="s">
        <v>200</v>
      </c>
      <c r="C388" s="1"/>
      <c r="D388" s="1"/>
      <c r="E388" s="1"/>
      <c r="F388" s="1"/>
      <c r="G388" s="1"/>
      <c r="H388" s="1"/>
      <c r="I388" s="1"/>
      <c r="J388" s="1"/>
      <c r="K388" s="1"/>
      <c r="L388" s="1"/>
      <c r="M388" s="1"/>
      <c r="N388" s="1"/>
      <c r="O388" s="1"/>
      <c r="P388" s="1"/>
    </row>
    <row r="389" spans="1:16" ht="13.5" x14ac:dyDescent="0.25">
      <c r="A389" s="1"/>
      <c r="B389" s="992" t="s">
        <v>201</v>
      </c>
      <c r="C389" s="1"/>
      <c r="D389" s="1"/>
      <c r="E389" s="1"/>
      <c r="F389" s="1"/>
      <c r="G389" s="1"/>
      <c r="H389" s="1"/>
      <c r="I389" s="1"/>
      <c r="J389" s="1"/>
      <c r="K389" s="1"/>
      <c r="L389" s="1"/>
      <c r="M389" s="1"/>
      <c r="N389" s="1"/>
      <c r="O389" s="1"/>
      <c r="P389" s="1"/>
    </row>
    <row r="390" spans="1:16" ht="13.5" x14ac:dyDescent="0.25">
      <c r="A390" s="1"/>
      <c r="B390" s="992"/>
      <c r="C390" s="1"/>
      <c r="D390" s="1"/>
      <c r="E390" s="1"/>
      <c r="F390" s="1"/>
      <c r="G390" s="1"/>
      <c r="H390" s="1"/>
      <c r="I390" s="1"/>
      <c r="J390" s="1"/>
      <c r="K390" s="1"/>
      <c r="L390" s="1"/>
      <c r="M390" s="1"/>
      <c r="N390" s="1"/>
      <c r="O390" s="1"/>
      <c r="P390" s="1"/>
    </row>
    <row r="391" spans="1:16" ht="13.5" x14ac:dyDescent="0.25">
      <c r="A391" s="1"/>
      <c r="B391" s="992" t="s">
        <v>202</v>
      </c>
      <c r="C391" s="1"/>
      <c r="D391" s="1"/>
      <c r="E391" s="1"/>
      <c r="F391" s="1"/>
      <c r="G391" s="1"/>
      <c r="H391" s="1"/>
      <c r="I391" s="1"/>
      <c r="J391" s="1"/>
      <c r="K391" s="1"/>
      <c r="L391" s="1"/>
      <c r="M391" s="1"/>
      <c r="N391" s="1"/>
      <c r="O391" s="1"/>
      <c r="P391" s="1"/>
    </row>
    <row r="392" spans="1:16" ht="13.5" x14ac:dyDescent="0.25">
      <c r="A392" s="1"/>
      <c r="B392" s="992" t="s">
        <v>203</v>
      </c>
      <c r="C392" s="1"/>
      <c r="D392" s="1"/>
      <c r="E392" s="1"/>
      <c r="F392" s="1"/>
      <c r="G392" s="1"/>
      <c r="H392" s="1"/>
      <c r="I392" s="1"/>
      <c r="J392" s="1"/>
      <c r="K392" s="1"/>
      <c r="L392" s="1"/>
      <c r="M392" s="1"/>
      <c r="N392" s="1"/>
      <c r="O392" s="1"/>
      <c r="P392" s="1"/>
    </row>
    <row r="393" spans="1:16" ht="13.5" x14ac:dyDescent="0.25">
      <c r="A393" s="1"/>
      <c r="B393" s="992" t="s">
        <v>204</v>
      </c>
      <c r="C393" s="1"/>
      <c r="D393" s="1"/>
      <c r="E393" s="1"/>
      <c r="F393" s="1"/>
      <c r="G393" s="1"/>
      <c r="H393" s="1"/>
      <c r="I393" s="1"/>
      <c r="J393" s="1"/>
      <c r="K393" s="1"/>
      <c r="L393" s="1"/>
      <c r="M393" s="1"/>
      <c r="N393" s="1"/>
      <c r="O393" s="1"/>
      <c r="P393" s="1"/>
    </row>
    <row r="394" spans="1:16" ht="13.5" x14ac:dyDescent="0.25">
      <c r="A394" s="1"/>
      <c r="B394" s="992" t="s">
        <v>205</v>
      </c>
      <c r="C394" s="1"/>
      <c r="D394" s="1"/>
      <c r="E394" s="1"/>
      <c r="F394" s="1"/>
      <c r="G394" s="1"/>
      <c r="H394" s="1"/>
      <c r="I394" s="1"/>
      <c r="J394" s="1"/>
      <c r="K394" s="1"/>
      <c r="L394" s="1"/>
      <c r="M394" s="1"/>
      <c r="N394" s="1"/>
      <c r="O394" s="1"/>
      <c r="P394" s="1"/>
    </row>
    <row r="395" spans="1:16" ht="13.5" x14ac:dyDescent="0.25">
      <c r="A395" s="1"/>
      <c r="B395" s="992" t="s">
        <v>206</v>
      </c>
      <c r="C395" s="1"/>
      <c r="D395" s="1"/>
      <c r="E395" s="1"/>
      <c r="F395" s="1"/>
      <c r="G395" s="1"/>
      <c r="H395" s="1"/>
      <c r="I395" s="1"/>
      <c r="J395" s="1"/>
      <c r="K395" s="1"/>
      <c r="L395" s="1"/>
      <c r="M395" s="1"/>
      <c r="N395" s="1"/>
      <c r="O395" s="1"/>
      <c r="P395" s="1"/>
    </row>
    <row r="396" spans="1:16" ht="13.5" x14ac:dyDescent="0.25">
      <c r="A396" s="1"/>
      <c r="B396" s="992"/>
      <c r="C396" s="1"/>
      <c r="D396" s="1"/>
      <c r="E396" s="1"/>
      <c r="F396" s="1"/>
      <c r="G396" s="1"/>
      <c r="H396" s="1"/>
      <c r="I396" s="1"/>
      <c r="J396" s="1"/>
      <c r="K396" s="1"/>
      <c r="L396" s="1"/>
      <c r="M396" s="1"/>
      <c r="N396" s="1"/>
      <c r="O396" s="1"/>
      <c r="P396" s="1"/>
    </row>
    <row r="397" spans="1:16" ht="13.5" x14ac:dyDescent="0.25">
      <c r="A397" s="1"/>
      <c r="B397" s="992" t="s">
        <v>207</v>
      </c>
      <c r="C397" s="1"/>
      <c r="D397" s="1"/>
      <c r="E397" s="1"/>
      <c r="F397" s="1"/>
      <c r="G397" s="1"/>
      <c r="H397" s="1"/>
      <c r="I397" s="1"/>
      <c r="J397" s="1"/>
      <c r="K397" s="1"/>
      <c r="L397" s="1"/>
      <c r="M397" s="1"/>
      <c r="N397" s="1"/>
      <c r="O397" s="1"/>
      <c r="P397" s="1"/>
    </row>
    <row r="398" spans="1:16" ht="13.5" x14ac:dyDescent="0.25">
      <c r="A398" s="1"/>
      <c r="B398" s="992"/>
      <c r="C398" s="1"/>
      <c r="D398" s="1"/>
      <c r="E398" s="1"/>
      <c r="F398" s="1"/>
      <c r="G398" s="1"/>
      <c r="H398" s="1"/>
      <c r="I398" s="1"/>
      <c r="J398" s="1"/>
      <c r="K398" s="1"/>
      <c r="L398" s="1"/>
      <c r="M398" s="1"/>
      <c r="N398" s="1"/>
      <c r="O398" s="1"/>
      <c r="P398" s="1"/>
    </row>
    <row r="399" spans="1:16" ht="13.5" x14ac:dyDescent="0.25">
      <c r="A399" s="1"/>
      <c r="B399" s="992" t="s">
        <v>208</v>
      </c>
      <c r="C399" s="1"/>
      <c r="D399" s="1"/>
      <c r="E399" s="1"/>
      <c r="F399" s="1"/>
      <c r="G399" s="1"/>
      <c r="H399" s="1"/>
      <c r="I399" s="1"/>
      <c r="J399" s="1"/>
      <c r="K399" s="1"/>
      <c r="L399" s="1"/>
      <c r="M399" s="1"/>
      <c r="N399" s="1"/>
      <c r="O399" s="1"/>
      <c r="P399" s="1"/>
    </row>
    <row r="400" spans="1:16" ht="13.5" x14ac:dyDescent="0.25">
      <c r="A400" s="1"/>
      <c r="B400" s="992" t="s">
        <v>209</v>
      </c>
      <c r="C400" s="1"/>
      <c r="D400" s="1"/>
      <c r="E400" s="1"/>
      <c r="F400" s="1"/>
      <c r="G400" s="1"/>
      <c r="H400" s="1"/>
      <c r="I400" s="1"/>
      <c r="J400" s="1"/>
      <c r="K400" s="1"/>
      <c r="L400" s="1"/>
      <c r="M400" s="1"/>
      <c r="N400" s="1"/>
      <c r="O400" s="1"/>
      <c r="P400" s="1"/>
    </row>
    <row r="401" spans="1:16" ht="13.5" x14ac:dyDescent="0.25">
      <c r="A401" s="1"/>
      <c r="B401" s="992" t="s">
        <v>210</v>
      </c>
      <c r="C401" s="1"/>
      <c r="D401" s="1"/>
      <c r="E401" s="1"/>
      <c r="F401" s="1"/>
      <c r="G401" s="1"/>
      <c r="H401" s="1"/>
      <c r="I401" s="1"/>
      <c r="J401" s="1"/>
      <c r="K401" s="1"/>
      <c r="L401" s="1"/>
      <c r="M401" s="1"/>
      <c r="N401" s="1"/>
      <c r="O401" s="1"/>
      <c r="P401" s="1"/>
    </row>
    <row r="402" spans="1:16" ht="13.5" x14ac:dyDescent="0.25">
      <c r="A402" s="1"/>
      <c r="B402" s="992" t="s">
        <v>211</v>
      </c>
      <c r="C402" s="1"/>
      <c r="D402" s="1"/>
      <c r="E402" s="1"/>
      <c r="F402" s="1"/>
      <c r="G402" s="1"/>
      <c r="H402" s="1"/>
      <c r="I402" s="1"/>
      <c r="J402" s="1"/>
      <c r="K402" s="1"/>
      <c r="L402" s="1"/>
      <c r="M402" s="1"/>
      <c r="N402" s="1"/>
      <c r="O402" s="1"/>
      <c r="P402" s="1"/>
    </row>
    <row r="403" spans="1:16" ht="13.5" x14ac:dyDescent="0.25">
      <c r="A403" s="1"/>
      <c r="B403" s="992" t="s">
        <v>212</v>
      </c>
      <c r="C403" s="1"/>
      <c r="D403" s="1"/>
      <c r="E403" s="1"/>
      <c r="F403" s="1"/>
      <c r="G403" s="1"/>
      <c r="H403" s="1"/>
      <c r="I403" s="1"/>
      <c r="J403" s="1"/>
      <c r="K403" s="1"/>
      <c r="L403" s="1"/>
      <c r="M403" s="1"/>
      <c r="N403" s="1"/>
      <c r="O403" s="1"/>
      <c r="P403" s="1"/>
    </row>
    <row r="404" spans="1:16" ht="13.5" x14ac:dyDescent="0.25">
      <c r="A404" s="1"/>
      <c r="B404" s="992" t="s">
        <v>213</v>
      </c>
      <c r="C404" s="1"/>
      <c r="D404" s="1"/>
      <c r="E404" s="1"/>
      <c r="F404" s="1"/>
      <c r="G404" s="1"/>
      <c r="H404" s="1"/>
      <c r="I404" s="1"/>
      <c r="J404" s="1"/>
      <c r="K404" s="1"/>
      <c r="L404" s="1"/>
      <c r="M404" s="1"/>
      <c r="N404" s="1"/>
      <c r="O404" s="1"/>
      <c r="P404" s="1"/>
    </row>
    <row r="405" spans="1:16" ht="13.5" x14ac:dyDescent="0.25">
      <c r="A405" s="1"/>
      <c r="B405" s="992" t="s">
        <v>214</v>
      </c>
      <c r="C405" s="1"/>
      <c r="D405" s="1"/>
      <c r="E405" s="1"/>
      <c r="F405" s="1"/>
      <c r="G405" s="1"/>
      <c r="H405" s="1"/>
      <c r="I405" s="1"/>
      <c r="J405" s="1"/>
      <c r="K405" s="1"/>
      <c r="L405" s="1"/>
      <c r="M405" s="1"/>
      <c r="N405" s="1"/>
      <c r="O405" s="1"/>
      <c r="P405" s="1"/>
    </row>
    <row r="406" spans="1:16" ht="13.5" x14ac:dyDescent="0.25">
      <c r="A406" s="1"/>
      <c r="B406" s="992" t="s">
        <v>215</v>
      </c>
      <c r="C406" s="1"/>
      <c r="D406" s="1"/>
      <c r="E406" s="1"/>
      <c r="F406" s="1"/>
      <c r="G406" s="1"/>
      <c r="H406" s="1"/>
      <c r="I406" s="1"/>
      <c r="J406" s="1"/>
      <c r="K406" s="1"/>
      <c r="L406" s="1"/>
      <c r="M406" s="1"/>
      <c r="N406" s="1"/>
      <c r="O406" s="1"/>
      <c r="P406" s="1"/>
    </row>
    <row r="407" spans="1:16" ht="13.5" x14ac:dyDescent="0.25">
      <c r="A407" s="1"/>
      <c r="B407" s="992"/>
      <c r="C407" s="1"/>
      <c r="D407" s="1"/>
      <c r="E407" s="1"/>
      <c r="F407" s="1"/>
      <c r="G407" s="1"/>
      <c r="H407" s="1"/>
      <c r="I407" s="1"/>
      <c r="J407" s="1"/>
      <c r="K407" s="1"/>
      <c r="L407" s="1"/>
      <c r="M407" s="1"/>
      <c r="N407" s="1"/>
      <c r="O407" s="1"/>
      <c r="P407" s="1"/>
    </row>
    <row r="408" spans="1:16" ht="13.5" x14ac:dyDescent="0.25">
      <c r="A408" s="1"/>
      <c r="B408" s="992" t="s">
        <v>216</v>
      </c>
      <c r="C408" s="1"/>
      <c r="D408" s="1"/>
      <c r="E408" s="1"/>
      <c r="F408" s="1"/>
      <c r="G408" s="1"/>
      <c r="H408" s="1"/>
      <c r="I408" s="1"/>
      <c r="J408" s="1"/>
      <c r="K408" s="1"/>
      <c r="L408" s="1"/>
      <c r="M408" s="1"/>
      <c r="N408" s="1"/>
      <c r="O408" s="1"/>
      <c r="P408" s="1"/>
    </row>
    <row r="409" spans="1:16" ht="13.5" x14ac:dyDescent="0.25">
      <c r="A409" s="1"/>
      <c r="B409" s="992" t="s">
        <v>217</v>
      </c>
      <c r="C409" s="1"/>
      <c r="D409" s="1"/>
      <c r="E409" s="1"/>
      <c r="F409" s="1"/>
      <c r="G409" s="1"/>
      <c r="H409" s="1"/>
      <c r="I409" s="1"/>
      <c r="J409" s="1"/>
      <c r="K409" s="1"/>
      <c r="L409" s="1"/>
      <c r="M409" s="1"/>
      <c r="N409" s="1"/>
      <c r="O409" s="1"/>
      <c r="P409" s="1"/>
    </row>
    <row r="410" spans="1:16" ht="13.5" x14ac:dyDescent="0.25">
      <c r="A410" s="1"/>
      <c r="B410" s="992" t="s">
        <v>218</v>
      </c>
      <c r="C410" s="1"/>
      <c r="D410" s="1"/>
      <c r="E410" s="1"/>
      <c r="F410" s="1"/>
      <c r="G410" s="1"/>
      <c r="H410" s="1"/>
      <c r="I410" s="1"/>
      <c r="J410" s="1"/>
      <c r="K410" s="1"/>
      <c r="L410" s="1"/>
      <c r="M410" s="1"/>
      <c r="N410" s="1"/>
      <c r="O410" s="1"/>
      <c r="P410" s="1"/>
    </row>
    <row r="411" spans="1:16" ht="13.5" x14ac:dyDescent="0.25">
      <c r="A411" s="1"/>
      <c r="B411" s="992" t="s">
        <v>219</v>
      </c>
      <c r="C411" s="1"/>
      <c r="D411" s="1"/>
      <c r="E411" s="1"/>
      <c r="F411" s="1"/>
      <c r="G411" s="1"/>
      <c r="H411" s="1"/>
      <c r="I411" s="1"/>
      <c r="J411" s="1"/>
      <c r="K411" s="1"/>
      <c r="L411" s="1"/>
      <c r="M411" s="1"/>
      <c r="N411" s="1"/>
      <c r="O411" s="1"/>
      <c r="P411" s="1"/>
    </row>
    <row r="412" spans="1:16" ht="13.5" x14ac:dyDescent="0.25">
      <c r="A412" s="1"/>
      <c r="B412" s="992" t="s">
        <v>220</v>
      </c>
      <c r="C412" s="1"/>
      <c r="D412" s="1"/>
      <c r="E412" s="1"/>
      <c r="F412" s="1"/>
      <c r="G412" s="1"/>
      <c r="H412" s="1"/>
      <c r="I412" s="1"/>
      <c r="J412" s="1"/>
      <c r="K412" s="1"/>
      <c r="L412" s="1"/>
      <c r="M412" s="1"/>
      <c r="N412" s="1"/>
      <c r="O412" s="1"/>
      <c r="P412" s="1"/>
    </row>
    <row r="413" spans="1:16" ht="13.5" x14ac:dyDescent="0.25">
      <c r="A413" s="1"/>
      <c r="B413" s="992" t="s">
        <v>221</v>
      </c>
      <c r="C413" s="1"/>
      <c r="D413" s="1"/>
      <c r="E413" s="1"/>
      <c r="F413" s="1"/>
      <c r="G413" s="1"/>
      <c r="H413" s="1"/>
      <c r="I413" s="1"/>
      <c r="J413" s="1"/>
      <c r="K413" s="1"/>
      <c r="L413" s="1"/>
      <c r="M413" s="1"/>
      <c r="N413" s="1"/>
      <c r="O413" s="1"/>
      <c r="P413" s="1"/>
    </row>
    <row r="414" spans="1:16" ht="13.5" x14ac:dyDescent="0.25">
      <c r="A414" s="1"/>
      <c r="B414" s="992"/>
      <c r="C414" s="1"/>
      <c r="D414" s="1"/>
      <c r="E414" s="1"/>
      <c r="F414" s="1"/>
      <c r="G414" s="1"/>
      <c r="H414" s="1"/>
      <c r="I414" s="1"/>
      <c r="J414" s="1"/>
      <c r="K414" s="1"/>
      <c r="L414" s="1"/>
      <c r="M414" s="1"/>
      <c r="N414" s="1"/>
      <c r="O414" s="1"/>
      <c r="P414" s="1"/>
    </row>
    <row r="415" spans="1:16" ht="13.5" x14ac:dyDescent="0.25">
      <c r="A415" s="1"/>
      <c r="B415" s="992" t="s">
        <v>222</v>
      </c>
      <c r="C415" s="1"/>
      <c r="D415" s="1"/>
      <c r="E415" s="1"/>
      <c r="F415" s="1"/>
      <c r="G415" s="1"/>
      <c r="H415" s="1"/>
      <c r="I415" s="1"/>
      <c r="J415" s="1"/>
      <c r="K415" s="1"/>
      <c r="L415" s="1"/>
      <c r="M415" s="1"/>
      <c r="N415" s="1"/>
      <c r="O415" s="1"/>
      <c r="P415" s="1"/>
    </row>
    <row r="416" spans="1:16" ht="13.5" x14ac:dyDescent="0.25">
      <c r="A416" s="1"/>
      <c r="B416" s="992" t="s">
        <v>223</v>
      </c>
      <c r="C416" s="1"/>
      <c r="D416" s="1"/>
      <c r="E416" s="1"/>
      <c r="F416" s="1"/>
      <c r="G416" s="1"/>
      <c r="H416" s="1"/>
      <c r="I416" s="1"/>
      <c r="J416" s="1"/>
      <c r="K416" s="1"/>
      <c r="L416" s="1"/>
      <c r="M416" s="1"/>
      <c r="N416" s="1"/>
      <c r="O416" s="1"/>
      <c r="P416" s="1"/>
    </row>
    <row r="417" spans="1:16" ht="13.5" x14ac:dyDescent="0.25">
      <c r="A417" s="1"/>
      <c r="B417" s="992" t="s">
        <v>224</v>
      </c>
      <c r="C417" s="1"/>
      <c r="D417" s="1"/>
      <c r="E417" s="1"/>
      <c r="F417" s="1"/>
      <c r="G417" s="1"/>
      <c r="H417" s="1"/>
      <c r="I417" s="1"/>
      <c r="J417" s="1"/>
      <c r="K417" s="1"/>
      <c r="L417" s="1"/>
      <c r="M417" s="1"/>
      <c r="N417" s="1"/>
      <c r="O417" s="1"/>
      <c r="P417" s="1"/>
    </row>
    <row r="418" spans="1:16" ht="13.5" x14ac:dyDescent="0.25">
      <c r="A418" s="1"/>
      <c r="B418" s="992"/>
      <c r="C418" s="1"/>
      <c r="D418" s="1"/>
      <c r="E418" s="1"/>
      <c r="F418" s="1"/>
      <c r="G418" s="1"/>
      <c r="H418" s="1"/>
      <c r="I418" s="1"/>
      <c r="J418" s="1"/>
      <c r="K418" s="1"/>
      <c r="L418" s="1"/>
      <c r="M418" s="1"/>
      <c r="N418" s="1"/>
      <c r="O418" s="1"/>
      <c r="P418" s="1"/>
    </row>
    <row r="419" spans="1:16" ht="13.5" x14ac:dyDescent="0.25">
      <c r="A419" s="1"/>
      <c r="B419" s="992" t="s">
        <v>225</v>
      </c>
      <c r="C419" s="1"/>
      <c r="D419" s="1"/>
      <c r="E419" s="1"/>
      <c r="F419" s="1"/>
      <c r="G419" s="1"/>
      <c r="H419" s="1"/>
      <c r="I419" s="1"/>
      <c r="J419" s="1"/>
      <c r="K419" s="1"/>
      <c r="L419" s="1"/>
      <c r="M419" s="1"/>
      <c r="N419" s="1"/>
      <c r="O419" s="1"/>
      <c r="P419" s="1"/>
    </row>
    <row r="420" spans="1:16" ht="13.5" x14ac:dyDescent="0.25">
      <c r="A420" s="1"/>
      <c r="B420" s="992" t="s">
        <v>226</v>
      </c>
      <c r="C420" s="1"/>
      <c r="D420" s="1"/>
      <c r="E420" s="1"/>
      <c r="F420" s="1"/>
      <c r="G420" s="1"/>
      <c r="H420" s="1"/>
      <c r="I420" s="1"/>
      <c r="J420" s="1"/>
      <c r="K420" s="1"/>
      <c r="L420" s="1"/>
      <c r="M420" s="1"/>
      <c r="N420" s="1"/>
      <c r="O420" s="1"/>
      <c r="P420" s="1"/>
    </row>
    <row r="421" spans="1:16" ht="13.5" x14ac:dyDescent="0.25">
      <c r="A421" s="1"/>
      <c r="B421" s="992"/>
      <c r="C421" s="1"/>
      <c r="D421" s="1"/>
      <c r="E421" s="1"/>
      <c r="F421" s="1"/>
      <c r="G421" s="1"/>
      <c r="H421" s="1"/>
      <c r="I421" s="1"/>
      <c r="J421" s="1"/>
      <c r="K421" s="1"/>
      <c r="L421" s="1"/>
      <c r="M421" s="1"/>
      <c r="N421" s="1"/>
      <c r="O421" s="1"/>
      <c r="P421" s="1"/>
    </row>
    <row r="422" spans="1:16" ht="13.5" x14ac:dyDescent="0.25">
      <c r="A422" s="1"/>
      <c r="B422" s="992" t="s">
        <v>227</v>
      </c>
      <c r="C422" s="1"/>
      <c r="D422" s="1"/>
      <c r="E422" s="1"/>
      <c r="F422" s="1"/>
      <c r="G422" s="1"/>
      <c r="H422" s="1"/>
      <c r="I422" s="1"/>
      <c r="J422" s="1"/>
      <c r="K422" s="1"/>
      <c r="L422" s="1"/>
      <c r="M422" s="1"/>
      <c r="N422" s="1"/>
      <c r="O422" s="1"/>
      <c r="P422" s="1"/>
    </row>
    <row r="423" spans="1:16" ht="13.5" x14ac:dyDescent="0.25">
      <c r="A423" s="1"/>
      <c r="B423" s="992" t="s">
        <v>228</v>
      </c>
      <c r="C423" s="1"/>
      <c r="D423" s="1"/>
      <c r="E423" s="1"/>
      <c r="F423" s="1"/>
      <c r="G423" s="1"/>
      <c r="H423" s="1"/>
      <c r="I423" s="1"/>
      <c r="J423" s="1"/>
      <c r="K423" s="1"/>
      <c r="L423" s="1"/>
      <c r="M423" s="1"/>
      <c r="N423" s="1"/>
      <c r="O423" s="1"/>
      <c r="P423" s="1"/>
    </row>
    <row r="424" spans="1:16" ht="13.5" x14ac:dyDescent="0.25">
      <c r="A424" s="1"/>
      <c r="B424" s="992" t="s">
        <v>229</v>
      </c>
      <c r="C424" s="1"/>
      <c r="D424" s="1"/>
      <c r="E424" s="1"/>
      <c r="F424" s="1"/>
      <c r="G424" s="1"/>
      <c r="H424" s="1"/>
      <c r="I424" s="1"/>
      <c r="J424" s="1"/>
      <c r="K424" s="1"/>
      <c r="L424" s="1"/>
      <c r="M424" s="1"/>
      <c r="N424" s="1"/>
      <c r="O424" s="1"/>
      <c r="P424" s="1"/>
    </row>
    <row r="425" spans="1:16" ht="13.5" x14ac:dyDescent="0.25">
      <c r="A425" s="1"/>
      <c r="B425" s="992"/>
      <c r="C425" s="1"/>
      <c r="D425" s="1"/>
      <c r="E425" s="1"/>
      <c r="F425" s="1"/>
      <c r="G425" s="1"/>
      <c r="H425" s="1"/>
      <c r="I425" s="1"/>
      <c r="J425" s="1"/>
      <c r="K425" s="1"/>
      <c r="L425" s="1"/>
      <c r="M425" s="1"/>
      <c r="N425" s="1"/>
      <c r="O425" s="1"/>
      <c r="P425" s="1"/>
    </row>
    <row r="426" spans="1:16" ht="13.5" x14ac:dyDescent="0.25">
      <c r="A426" s="1"/>
      <c r="B426" s="992" t="s">
        <v>230</v>
      </c>
      <c r="C426" s="1"/>
      <c r="D426" s="1"/>
      <c r="E426" s="1"/>
      <c r="F426" s="1"/>
      <c r="G426" s="1"/>
      <c r="H426" s="1"/>
      <c r="I426" s="1"/>
      <c r="J426" s="1"/>
      <c r="K426" s="1"/>
      <c r="L426" s="1"/>
      <c r="M426" s="1"/>
      <c r="N426" s="1"/>
      <c r="O426" s="1"/>
      <c r="P426" s="1"/>
    </row>
    <row r="427" spans="1:16" ht="13.5" x14ac:dyDescent="0.25">
      <c r="A427" s="1"/>
      <c r="B427" s="992" t="s">
        <v>231</v>
      </c>
      <c r="C427" s="1"/>
      <c r="D427" s="1"/>
      <c r="E427" s="1"/>
      <c r="F427" s="1"/>
      <c r="G427" s="1"/>
      <c r="H427" s="1"/>
      <c r="I427" s="1"/>
      <c r="J427" s="1"/>
      <c r="K427" s="1"/>
      <c r="L427" s="1"/>
      <c r="M427" s="1"/>
      <c r="N427" s="1"/>
      <c r="O427" s="1"/>
      <c r="P427" s="1"/>
    </row>
    <row r="428" spans="1:16" ht="13.5" x14ac:dyDescent="0.25">
      <c r="A428" s="1"/>
      <c r="B428" s="992" t="s">
        <v>232</v>
      </c>
      <c r="C428" s="1"/>
      <c r="D428" s="1"/>
      <c r="E428" s="1"/>
      <c r="F428" s="1"/>
      <c r="G428" s="1"/>
      <c r="H428" s="1"/>
      <c r="I428" s="1"/>
      <c r="J428" s="1"/>
      <c r="K428" s="1"/>
      <c r="L428" s="1"/>
      <c r="M428" s="1"/>
      <c r="N428" s="1"/>
      <c r="O428" s="1"/>
      <c r="P428" s="1"/>
    </row>
    <row r="429" spans="1:16" ht="13.5" x14ac:dyDescent="0.25">
      <c r="A429" s="1"/>
      <c r="B429" s="992"/>
      <c r="C429" s="1"/>
      <c r="D429" s="1"/>
      <c r="E429" s="1"/>
      <c r="F429" s="1"/>
      <c r="G429" s="1"/>
      <c r="H429" s="1"/>
      <c r="I429" s="1"/>
      <c r="J429" s="1"/>
      <c r="K429" s="1"/>
      <c r="L429" s="1"/>
      <c r="M429" s="1"/>
      <c r="N429" s="1"/>
      <c r="O429" s="1"/>
      <c r="P429" s="1"/>
    </row>
    <row r="430" spans="1:16" ht="13.5" x14ac:dyDescent="0.25">
      <c r="A430" s="1"/>
      <c r="B430" s="992" t="s">
        <v>233</v>
      </c>
      <c r="C430" s="1"/>
      <c r="D430" s="1"/>
      <c r="E430" s="1"/>
      <c r="F430" s="1"/>
      <c r="G430" s="1"/>
      <c r="H430" s="1"/>
      <c r="I430" s="1"/>
      <c r="J430" s="1"/>
      <c r="K430" s="1"/>
      <c r="L430" s="1"/>
      <c r="M430" s="1"/>
      <c r="N430" s="1"/>
      <c r="O430" s="1"/>
      <c r="P430" s="1"/>
    </row>
    <row r="431" spans="1:16" ht="13.5" x14ac:dyDescent="0.25">
      <c r="A431" s="1"/>
      <c r="B431" s="992" t="s">
        <v>234</v>
      </c>
      <c r="C431" s="1"/>
      <c r="D431" s="1"/>
      <c r="E431" s="1"/>
      <c r="F431" s="1"/>
      <c r="G431" s="1"/>
      <c r="H431" s="1"/>
      <c r="I431" s="1"/>
      <c r="J431" s="1"/>
      <c r="K431" s="1"/>
      <c r="L431" s="1"/>
      <c r="M431" s="1"/>
      <c r="N431" s="1"/>
      <c r="O431" s="1"/>
      <c r="P431" s="1"/>
    </row>
    <row r="432" spans="1:16" ht="13.5" x14ac:dyDescent="0.25">
      <c r="A432" s="1"/>
      <c r="B432" s="992"/>
      <c r="C432" s="1"/>
      <c r="D432" s="1"/>
      <c r="E432" s="1"/>
      <c r="F432" s="1"/>
      <c r="G432" s="1"/>
      <c r="H432" s="1"/>
      <c r="I432" s="1"/>
      <c r="J432" s="1"/>
      <c r="K432" s="1"/>
      <c r="L432" s="1"/>
      <c r="M432" s="1"/>
      <c r="N432" s="1"/>
      <c r="O432" s="1"/>
      <c r="P432" s="1"/>
    </row>
    <row r="433" spans="1:16" ht="13.5" x14ac:dyDescent="0.25">
      <c r="A433" s="1"/>
      <c r="B433" s="992" t="s">
        <v>235</v>
      </c>
      <c r="C433" s="1"/>
      <c r="D433" s="1"/>
      <c r="E433" s="1"/>
      <c r="F433" s="1"/>
      <c r="G433" s="1"/>
      <c r="H433" s="1"/>
      <c r="I433" s="1"/>
      <c r="J433" s="1"/>
      <c r="K433" s="1"/>
      <c r="L433" s="1"/>
      <c r="M433" s="1"/>
      <c r="N433" s="1"/>
      <c r="O433" s="1"/>
      <c r="P433" s="1"/>
    </row>
    <row r="434" spans="1:16" ht="13.5" x14ac:dyDescent="0.25">
      <c r="A434" s="1"/>
      <c r="B434" s="992" t="s">
        <v>236</v>
      </c>
      <c r="C434" s="1"/>
      <c r="D434" s="1"/>
      <c r="E434" s="1"/>
      <c r="F434" s="1"/>
      <c r="G434" s="1"/>
      <c r="H434" s="1"/>
      <c r="I434" s="1"/>
      <c r="J434" s="1"/>
      <c r="K434" s="1"/>
      <c r="L434" s="1"/>
      <c r="M434" s="1"/>
      <c r="N434" s="1"/>
      <c r="O434" s="1"/>
      <c r="P434" s="1"/>
    </row>
    <row r="435" spans="1:16" ht="13.5" x14ac:dyDescent="0.25">
      <c r="A435" s="1"/>
      <c r="B435" s="992"/>
      <c r="C435" s="1"/>
      <c r="D435" s="1"/>
      <c r="E435" s="1"/>
      <c r="F435" s="1"/>
      <c r="G435" s="1"/>
      <c r="H435" s="1"/>
      <c r="I435" s="1"/>
      <c r="J435" s="1"/>
      <c r="K435" s="1"/>
      <c r="L435" s="1"/>
      <c r="M435" s="1"/>
      <c r="N435" s="1"/>
      <c r="O435" s="1"/>
      <c r="P435" s="1"/>
    </row>
    <row r="436" spans="1:16" ht="13.5" x14ac:dyDescent="0.25">
      <c r="A436" s="1"/>
      <c r="B436" s="992" t="s">
        <v>237</v>
      </c>
      <c r="C436" s="1"/>
      <c r="D436" s="1"/>
      <c r="E436" s="1"/>
      <c r="F436" s="1"/>
      <c r="G436" s="1"/>
      <c r="H436" s="1"/>
      <c r="I436" s="1"/>
      <c r="J436" s="1"/>
      <c r="K436" s="1"/>
      <c r="L436" s="1"/>
      <c r="M436" s="1"/>
      <c r="N436" s="1"/>
      <c r="O436" s="1"/>
      <c r="P436" s="1"/>
    </row>
    <row r="437" spans="1:16" ht="13.5" x14ac:dyDescent="0.25">
      <c r="A437" s="1"/>
      <c r="B437" s="992" t="s">
        <v>238</v>
      </c>
      <c r="C437" s="1"/>
      <c r="D437" s="1"/>
      <c r="E437" s="1"/>
      <c r="F437" s="1"/>
      <c r="G437" s="1"/>
      <c r="H437" s="1"/>
      <c r="I437" s="1"/>
      <c r="J437" s="1"/>
      <c r="K437" s="1"/>
      <c r="L437" s="1"/>
      <c r="M437" s="1"/>
      <c r="N437" s="1"/>
      <c r="O437" s="1"/>
      <c r="P437" s="1"/>
    </row>
    <row r="438" spans="1:16" ht="13.5" x14ac:dyDescent="0.25">
      <c r="A438" s="1"/>
      <c r="B438" s="992" t="s">
        <v>239</v>
      </c>
      <c r="C438" s="1"/>
      <c r="D438" s="1"/>
      <c r="E438" s="1"/>
      <c r="F438" s="1"/>
      <c r="G438" s="1"/>
      <c r="H438" s="1"/>
      <c r="I438" s="1"/>
      <c r="J438" s="1"/>
      <c r="K438" s="1"/>
      <c r="L438" s="1"/>
      <c r="M438" s="1"/>
      <c r="N438" s="1"/>
      <c r="O438" s="1"/>
      <c r="P438" s="1"/>
    </row>
    <row r="439" spans="1:16" ht="13.5" x14ac:dyDescent="0.25">
      <c r="A439" s="1"/>
      <c r="B439" s="992" t="s">
        <v>240</v>
      </c>
      <c r="C439" s="1"/>
      <c r="D439" s="1"/>
      <c r="E439" s="1"/>
      <c r="F439" s="1"/>
      <c r="G439" s="1"/>
      <c r="H439" s="1"/>
      <c r="I439" s="1"/>
      <c r="J439" s="1"/>
      <c r="K439" s="1"/>
      <c r="L439" s="1"/>
      <c r="M439" s="1"/>
      <c r="N439" s="1"/>
      <c r="O439" s="1"/>
      <c r="P439" s="1"/>
    </row>
    <row r="440" spans="1:16" ht="13.5" x14ac:dyDescent="0.25">
      <c r="A440" s="1"/>
      <c r="B440" s="992" t="s">
        <v>241</v>
      </c>
      <c r="C440" s="1"/>
      <c r="D440" s="1"/>
      <c r="E440" s="1"/>
      <c r="F440" s="1"/>
      <c r="G440" s="1"/>
      <c r="H440" s="1"/>
      <c r="I440" s="1"/>
      <c r="J440" s="1"/>
      <c r="K440" s="1"/>
      <c r="L440" s="1"/>
      <c r="M440" s="1"/>
      <c r="N440" s="1"/>
      <c r="O440" s="1"/>
      <c r="P440" s="1"/>
    </row>
    <row r="441" spans="1:16" ht="13.5" x14ac:dyDescent="0.25">
      <c r="A441" s="1"/>
      <c r="B441" s="992"/>
      <c r="C441" s="1"/>
      <c r="D441" s="1"/>
      <c r="E441" s="1"/>
      <c r="F441" s="1"/>
      <c r="G441" s="1"/>
      <c r="H441" s="1"/>
      <c r="I441" s="1"/>
      <c r="J441" s="1"/>
      <c r="K441" s="1"/>
      <c r="L441" s="1"/>
      <c r="M441" s="1"/>
      <c r="N441" s="1"/>
      <c r="O441" s="1"/>
      <c r="P441" s="1"/>
    </row>
    <row r="442" spans="1:16" ht="13.5" x14ac:dyDescent="0.25">
      <c r="A442" s="1"/>
      <c r="B442" s="992" t="s">
        <v>242</v>
      </c>
      <c r="C442" s="1"/>
      <c r="D442" s="1"/>
      <c r="E442" s="1"/>
      <c r="F442" s="1"/>
      <c r="G442" s="1"/>
      <c r="H442" s="1"/>
      <c r="I442" s="1"/>
      <c r="J442" s="1"/>
      <c r="K442" s="1"/>
      <c r="L442" s="1"/>
      <c r="M442" s="1"/>
      <c r="N442" s="1"/>
      <c r="O442" s="1"/>
      <c r="P442" s="1"/>
    </row>
    <row r="443" spans="1:16" ht="13.5" x14ac:dyDescent="0.25">
      <c r="A443" s="1"/>
      <c r="B443" s="992" t="s">
        <v>243</v>
      </c>
      <c r="C443" s="1"/>
      <c r="D443" s="1"/>
      <c r="E443" s="1"/>
      <c r="F443" s="1"/>
      <c r="G443" s="1"/>
      <c r="H443" s="1"/>
      <c r="I443" s="1"/>
      <c r="J443" s="1"/>
      <c r="K443" s="1"/>
      <c r="L443" s="1"/>
      <c r="M443" s="1"/>
      <c r="N443" s="1"/>
      <c r="O443" s="1"/>
      <c r="P443" s="1"/>
    </row>
    <row r="444" spans="1:16" ht="13.5" x14ac:dyDescent="0.25">
      <c r="A444" s="1"/>
      <c r="B444" s="992" t="s">
        <v>244</v>
      </c>
      <c r="C444" s="1"/>
      <c r="D444" s="1"/>
      <c r="E444" s="1"/>
      <c r="F444" s="1"/>
      <c r="G444" s="1"/>
      <c r="H444" s="1"/>
      <c r="I444" s="1"/>
      <c r="J444" s="1"/>
      <c r="K444" s="1"/>
      <c r="L444" s="1"/>
      <c r="M444" s="1"/>
      <c r="N444" s="1"/>
      <c r="O444" s="1"/>
      <c r="P444" s="1"/>
    </row>
    <row r="445" spans="1:16" ht="13.5" x14ac:dyDescent="0.25">
      <c r="A445" s="1"/>
      <c r="B445" s="992" t="s">
        <v>245</v>
      </c>
      <c r="C445" s="1"/>
      <c r="D445" s="1"/>
      <c r="E445" s="1"/>
      <c r="F445" s="1"/>
      <c r="G445" s="1"/>
      <c r="H445" s="1"/>
      <c r="I445" s="1"/>
      <c r="J445" s="1"/>
      <c r="K445" s="1"/>
      <c r="L445" s="1"/>
      <c r="M445" s="1"/>
      <c r="N445" s="1"/>
      <c r="O445" s="1"/>
      <c r="P445" s="1"/>
    </row>
    <row r="446" spans="1:16" ht="13.5" x14ac:dyDescent="0.25">
      <c r="A446" s="1"/>
      <c r="B446" s="992" t="s">
        <v>246</v>
      </c>
      <c r="C446" s="1"/>
      <c r="D446" s="1"/>
      <c r="E446" s="1"/>
      <c r="F446" s="1"/>
      <c r="G446" s="1"/>
      <c r="H446" s="1"/>
      <c r="I446" s="1"/>
      <c r="J446" s="1"/>
      <c r="K446" s="1"/>
      <c r="L446" s="1"/>
      <c r="M446" s="1"/>
      <c r="N446" s="1"/>
      <c r="O446" s="1"/>
      <c r="P446" s="1"/>
    </row>
    <row r="447" spans="1:16" ht="13.5" x14ac:dyDescent="0.25">
      <c r="A447" s="1"/>
      <c r="B447" s="992" t="s">
        <v>247</v>
      </c>
      <c r="C447" s="1"/>
      <c r="D447" s="1"/>
      <c r="E447" s="1"/>
      <c r="F447" s="1"/>
      <c r="G447" s="1"/>
      <c r="H447" s="1"/>
      <c r="I447" s="1"/>
      <c r="J447" s="1"/>
      <c r="K447" s="1"/>
      <c r="L447" s="1"/>
      <c r="M447" s="1"/>
      <c r="N447" s="1"/>
      <c r="O447" s="1"/>
      <c r="P447" s="1"/>
    </row>
    <row r="448" spans="1:16" ht="13.5" x14ac:dyDescent="0.25">
      <c r="A448" s="1"/>
      <c r="B448" s="992" t="s">
        <v>248</v>
      </c>
      <c r="C448" s="1"/>
      <c r="D448" s="1"/>
      <c r="E448" s="1"/>
      <c r="F448" s="1"/>
      <c r="G448" s="1"/>
      <c r="H448" s="1"/>
      <c r="I448" s="1"/>
      <c r="J448" s="1"/>
      <c r="K448" s="1"/>
      <c r="L448" s="1"/>
      <c r="M448" s="1"/>
      <c r="N448" s="1"/>
      <c r="O448" s="1"/>
      <c r="P448" s="1"/>
    </row>
    <row r="449" spans="1:16" ht="13.5" x14ac:dyDescent="0.25">
      <c r="A449" s="1"/>
      <c r="B449" s="992" t="s">
        <v>249</v>
      </c>
      <c r="C449" s="1"/>
      <c r="D449" s="1"/>
      <c r="E449" s="1"/>
      <c r="F449" s="1"/>
      <c r="G449" s="1"/>
      <c r="H449" s="1"/>
      <c r="I449" s="1"/>
      <c r="J449" s="1"/>
      <c r="K449" s="1"/>
      <c r="L449" s="1"/>
      <c r="M449" s="1"/>
      <c r="N449" s="1"/>
      <c r="O449" s="1"/>
      <c r="P449" s="1"/>
    </row>
    <row r="450" spans="1:16" ht="13.5" x14ac:dyDescent="0.25">
      <c r="A450" s="1"/>
      <c r="B450" s="992" t="s">
        <v>250</v>
      </c>
      <c r="C450" s="1"/>
      <c r="D450" s="1"/>
      <c r="E450" s="1"/>
      <c r="F450" s="1"/>
      <c r="G450" s="1"/>
      <c r="H450" s="1"/>
      <c r="I450" s="1"/>
      <c r="J450" s="1"/>
      <c r="K450" s="1"/>
      <c r="L450" s="1"/>
      <c r="M450" s="1"/>
      <c r="N450" s="1"/>
      <c r="O450" s="1"/>
      <c r="P450" s="1"/>
    </row>
    <row r="451" spans="1:16" ht="13.5" x14ac:dyDescent="0.25">
      <c r="A451" s="1"/>
      <c r="B451" s="992"/>
      <c r="C451" s="1"/>
      <c r="D451" s="1"/>
      <c r="E451" s="1"/>
      <c r="F451" s="1"/>
      <c r="G451" s="1"/>
      <c r="H451" s="1"/>
      <c r="I451" s="1"/>
      <c r="J451" s="1"/>
      <c r="K451" s="1"/>
      <c r="L451" s="1"/>
      <c r="M451" s="1"/>
      <c r="N451" s="1"/>
      <c r="O451" s="1"/>
      <c r="P451" s="1"/>
    </row>
    <row r="452" spans="1:16" ht="13.5" x14ac:dyDescent="0.25">
      <c r="A452" s="1"/>
      <c r="B452" s="992" t="s">
        <v>251</v>
      </c>
      <c r="C452" s="1"/>
      <c r="D452" s="1"/>
      <c r="E452" s="1"/>
      <c r="F452" s="1"/>
      <c r="G452" s="1"/>
      <c r="H452" s="1"/>
      <c r="I452" s="1"/>
      <c r="J452" s="1"/>
      <c r="K452" s="1"/>
      <c r="L452" s="1"/>
      <c r="M452" s="1"/>
      <c r="N452" s="1"/>
      <c r="O452" s="1"/>
      <c r="P452" s="1"/>
    </row>
    <row r="453" spans="1:16" ht="13.5" x14ac:dyDescent="0.25">
      <c r="A453" s="1"/>
      <c r="B453" s="992" t="s">
        <v>252</v>
      </c>
      <c r="C453" s="1"/>
      <c r="D453" s="1"/>
      <c r="E453" s="1"/>
      <c r="F453" s="1"/>
      <c r="G453" s="1"/>
      <c r="H453" s="1"/>
      <c r="I453" s="1"/>
      <c r="J453" s="1"/>
      <c r="K453" s="1"/>
      <c r="L453" s="1"/>
      <c r="M453" s="1"/>
      <c r="N453" s="1"/>
      <c r="O453" s="1"/>
      <c r="P453" s="1"/>
    </row>
    <row r="454" spans="1:16" ht="13.5" x14ac:dyDescent="0.25">
      <c r="A454" s="1"/>
      <c r="B454" s="992" t="s">
        <v>253</v>
      </c>
      <c r="C454" s="1"/>
      <c r="D454" s="1"/>
      <c r="E454" s="1"/>
      <c r="F454" s="1"/>
      <c r="G454" s="1"/>
      <c r="H454" s="1"/>
      <c r="I454" s="1"/>
      <c r="J454" s="1"/>
      <c r="K454" s="1"/>
      <c r="L454" s="1"/>
      <c r="M454" s="1"/>
      <c r="N454" s="1"/>
      <c r="O454" s="1"/>
      <c r="P454" s="1"/>
    </row>
    <row r="455" spans="1:16" ht="13.5" x14ac:dyDescent="0.25">
      <c r="A455" s="1"/>
      <c r="B455" s="992" t="s">
        <v>254</v>
      </c>
      <c r="C455" s="1"/>
      <c r="D455" s="1"/>
      <c r="E455" s="1"/>
      <c r="F455" s="1"/>
      <c r="G455" s="1"/>
      <c r="H455" s="1"/>
      <c r="I455" s="1"/>
      <c r="J455" s="1"/>
      <c r="K455" s="1"/>
      <c r="L455" s="1"/>
      <c r="M455" s="1"/>
      <c r="N455" s="1"/>
      <c r="O455" s="1"/>
      <c r="P455" s="1"/>
    </row>
    <row r="456" spans="1:16" ht="13.5" x14ac:dyDescent="0.25">
      <c r="A456" s="1"/>
      <c r="B456" s="992"/>
      <c r="C456" s="1"/>
      <c r="D456" s="1"/>
      <c r="E456" s="1"/>
      <c r="F456" s="1"/>
      <c r="G456" s="1"/>
      <c r="H456" s="1"/>
      <c r="I456" s="1"/>
      <c r="J456" s="1"/>
      <c r="K456" s="1"/>
      <c r="L456" s="1"/>
      <c r="M456" s="1"/>
      <c r="N456" s="1"/>
      <c r="O456" s="1"/>
      <c r="P456" s="1"/>
    </row>
    <row r="457" spans="1:16" ht="13.5" x14ac:dyDescent="0.25">
      <c r="A457" s="1"/>
      <c r="B457" s="992" t="s">
        <v>255</v>
      </c>
      <c r="C457" s="1"/>
      <c r="D457" s="1"/>
      <c r="E457" s="1"/>
      <c r="F457" s="1"/>
      <c r="G457" s="1"/>
      <c r="H457" s="1"/>
      <c r="I457" s="1"/>
      <c r="J457" s="1"/>
      <c r="K457" s="1"/>
      <c r="L457" s="1"/>
      <c r="M457" s="1"/>
      <c r="N457" s="1"/>
      <c r="O457" s="1"/>
      <c r="P457" s="1"/>
    </row>
    <row r="458" spans="1:16" ht="13.5" x14ac:dyDescent="0.25">
      <c r="A458" s="1"/>
      <c r="B458" s="992" t="s">
        <v>256</v>
      </c>
      <c r="C458" s="1"/>
      <c r="D458" s="1"/>
      <c r="E458" s="1"/>
      <c r="F458" s="1"/>
      <c r="G458" s="1"/>
      <c r="H458" s="1"/>
      <c r="I458" s="1"/>
      <c r="J458" s="1"/>
      <c r="K458" s="1"/>
      <c r="L458" s="1"/>
      <c r="M458" s="1"/>
      <c r="N458" s="1"/>
      <c r="O458" s="1"/>
      <c r="P458" s="1"/>
    </row>
    <row r="459" spans="1:16" ht="13.5" x14ac:dyDescent="0.25">
      <c r="A459" s="1"/>
      <c r="B459" s="992" t="s">
        <v>257</v>
      </c>
      <c r="C459" s="1"/>
      <c r="D459" s="1"/>
      <c r="E459" s="1"/>
      <c r="F459" s="1"/>
      <c r="G459" s="1"/>
      <c r="H459" s="1"/>
      <c r="I459" s="1"/>
      <c r="J459" s="1"/>
      <c r="K459" s="1"/>
      <c r="L459" s="1"/>
      <c r="M459" s="1"/>
      <c r="N459" s="1"/>
      <c r="O459" s="1"/>
      <c r="P459" s="1"/>
    </row>
    <row r="460" spans="1:16" ht="13.5" x14ac:dyDescent="0.25">
      <c r="A460" s="1"/>
      <c r="B460" s="992"/>
      <c r="C460" s="1"/>
      <c r="D460" s="1"/>
      <c r="E460" s="1"/>
      <c r="F460" s="1"/>
      <c r="G460" s="1"/>
      <c r="H460" s="1"/>
      <c r="I460" s="1"/>
      <c r="J460" s="1"/>
      <c r="K460" s="1"/>
      <c r="L460" s="1"/>
      <c r="M460" s="1"/>
      <c r="N460" s="1"/>
      <c r="O460" s="1"/>
      <c r="P460" s="1"/>
    </row>
    <row r="461" spans="1:16" ht="13.5" x14ac:dyDescent="0.25">
      <c r="A461" s="1"/>
      <c r="B461" s="992" t="s">
        <v>258</v>
      </c>
      <c r="C461" s="1"/>
      <c r="D461" s="1"/>
      <c r="E461" s="1"/>
      <c r="F461" s="1"/>
      <c r="G461" s="1"/>
      <c r="H461" s="1"/>
      <c r="I461" s="1"/>
      <c r="J461" s="1"/>
      <c r="K461" s="1"/>
      <c r="L461" s="1"/>
      <c r="M461" s="1"/>
      <c r="N461" s="1"/>
      <c r="O461" s="1"/>
      <c r="P461" s="1"/>
    </row>
    <row r="462" spans="1:16" ht="13.5" x14ac:dyDescent="0.25">
      <c r="A462" s="1"/>
      <c r="B462" s="992"/>
      <c r="C462" s="1"/>
      <c r="D462" s="1"/>
      <c r="E462" s="1"/>
      <c r="F462" s="1"/>
      <c r="G462" s="1"/>
      <c r="H462" s="1"/>
      <c r="I462" s="1"/>
      <c r="J462" s="1"/>
      <c r="K462" s="1"/>
      <c r="L462" s="1"/>
      <c r="M462" s="1"/>
      <c r="N462" s="1"/>
      <c r="O462" s="1"/>
      <c r="P462" s="1"/>
    </row>
    <row r="463" spans="1:16" ht="13.5" x14ac:dyDescent="0.25">
      <c r="A463" s="1"/>
      <c r="B463" s="992" t="s">
        <v>259</v>
      </c>
      <c r="C463" s="1"/>
      <c r="D463" s="1"/>
      <c r="E463" s="1"/>
      <c r="F463" s="1"/>
      <c r="G463" s="1"/>
      <c r="H463" s="1"/>
      <c r="I463" s="1"/>
      <c r="J463" s="1"/>
      <c r="K463" s="1"/>
      <c r="L463" s="1"/>
      <c r="M463" s="1"/>
      <c r="N463" s="1"/>
      <c r="O463" s="1"/>
      <c r="P463" s="1"/>
    </row>
    <row r="464" spans="1:16" ht="13.5" x14ac:dyDescent="0.25">
      <c r="A464" s="1"/>
      <c r="B464" s="992" t="s">
        <v>260</v>
      </c>
      <c r="C464" s="1"/>
      <c r="D464" s="1"/>
      <c r="E464" s="1"/>
      <c r="F464" s="1"/>
      <c r="G464" s="1"/>
      <c r="H464" s="1"/>
      <c r="I464" s="1"/>
      <c r="J464" s="1"/>
      <c r="K464" s="1"/>
      <c r="L464" s="1"/>
      <c r="M464" s="1"/>
      <c r="N464" s="1"/>
      <c r="O464" s="1"/>
      <c r="P464" s="1"/>
    </row>
    <row r="465" spans="1:16" ht="13.5" x14ac:dyDescent="0.25">
      <c r="A465" s="1"/>
      <c r="B465" s="992" t="s">
        <v>261</v>
      </c>
      <c r="C465" s="1"/>
      <c r="D465" s="1"/>
      <c r="E465" s="1"/>
      <c r="F465" s="1"/>
      <c r="G465" s="1"/>
      <c r="H465" s="1"/>
      <c r="I465" s="1"/>
      <c r="J465" s="1"/>
      <c r="K465" s="1"/>
      <c r="L465" s="1"/>
      <c r="M465" s="1"/>
      <c r="N465" s="1"/>
      <c r="O465" s="1"/>
      <c r="P465" s="1"/>
    </row>
    <row r="466" spans="1:16" ht="13.5" x14ac:dyDescent="0.25">
      <c r="A466" s="1"/>
      <c r="B466" s="992" t="s">
        <v>262</v>
      </c>
      <c r="C466" s="1"/>
      <c r="D466" s="1"/>
      <c r="E466" s="1"/>
      <c r="F466" s="1"/>
      <c r="G466" s="1"/>
      <c r="H466" s="1"/>
      <c r="I466" s="1"/>
      <c r="J466" s="1"/>
      <c r="K466" s="1"/>
      <c r="L466" s="1"/>
      <c r="M466" s="1"/>
      <c r="N466" s="1"/>
      <c r="O466" s="1"/>
      <c r="P466" s="1"/>
    </row>
    <row r="467" spans="1:16" ht="13.5" x14ac:dyDescent="0.25">
      <c r="A467" s="1"/>
      <c r="B467" s="992" t="s">
        <v>263</v>
      </c>
      <c r="C467" s="1"/>
      <c r="D467" s="1"/>
      <c r="E467" s="1"/>
      <c r="F467" s="1"/>
      <c r="G467" s="1"/>
      <c r="H467" s="1"/>
      <c r="I467" s="1"/>
      <c r="J467" s="1"/>
      <c r="K467" s="1"/>
      <c r="L467" s="1"/>
      <c r="M467" s="1"/>
      <c r="N467" s="1"/>
      <c r="O467" s="1"/>
      <c r="P467" s="1"/>
    </row>
    <row r="468" spans="1:16" ht="13.5" x14ac:dyDescent="0.25">
      <c r="A468" s="1"/>
      <c r="B468" s="992"/>
      <c r="C468" s="1"/>
      <c r="D468" s="1"/>
      <c r="E468" s="1"/>
      <c r="F468" s="1"/>
      <c r="G468" s="1"/>
      <c r="H468" s="1"/>
      <c r="I468" s="1"/>
      <c r="J468" s="1"/>
      <c r="K468" s="1"/>
      <c r="L468" s="1"/>
      <c r="M468" s="1"/>
      <c r="N468" s="1"/>
      <c r="O468" s="1"/>
      <c r="P468" s="1"/>
    </row>
    <row r="469" spans="1:16" ht="13.5" x14ac:dyDescent="0.25">
      <c r="A469" s="1"/>
      <c r="B469" s="992" t="s">
        <v>264</v>
      </c>
      <c r="C469" s="1"/>
      <c r="D469" s="1"/>
      <c r="E469" s="1"/>
      <c r="F469" s="1"/>
      <c r="G469" s="1"/>
      <c r="H469" s="1"/>
      <c r="I469" s="1"/>
      <c r="J469" s="1"/>
      <c r="K469" s="1"/>
      <c r="L469" s="1"/>
      <c r="M469" s="1"/>
      <c r="N469" s="1"/>
      <c r="O469" s="1"/>
      <c r="P469" s="1"/>
    </row>
    <row r="470" spans="1:16" ht="13.5" x14ac:dyDescent="0.25">
      <c r="A470" s="1"/>
      <c r="B470" s="992" t="s">
        <v>265</v>
      </c>
      <c r="C470" s="1"/>
      <c r="D470" s="1"/>
      <c r="E470" s="1"/>
      <c r="F470" s="1"/>
      <c r="G470" s="1"/>
      <c r="H470" s="1"/>
      <c r="I470" s="1"/>
      <c r="J470" s="1"/>
      <c r="K470" s="1"/>
      <c r="L470" s="1"/>
      <c r="M470" s="1"/>
      <c r="N470" s="1"/>
      <c r="O470" s="1"/>
      <c r="P470" s="1"/>
    </row>
    <row r="471" spans="1:16" ht="13.5" x14ac:dyDescent="0.25">
      <c r="A471" s="1"/>
      <c r="B471" s="992" t="s">
        <v>266</v>
      </c>
      <c r="C471" s="1"/>
      <c r="D471" s="1"/>
      <c r="E471" s="1"/>
      <c r="F471" s="1"/>
      <c r="G471" s="1"/>
      <c r="H471" s="1"/>
      <c r="I471" s="1"/>
      <c r="J471" s="1"/>
      <c r="K471" s="1"/>
      <c r="L471" s="1"/>
      <c r="M471" s="1"/>
      <c r="N471" s="1"/>
      <c r="O471" s="1"/>
      <c r="P471" s="1"/>
    </row>
    <row r="472" spans="1:16" ht="13.5" x14ac:dyDescent="0.25">
      <c r="A472" s="1"/>
      <c r="B472" s="992" t="s">
        <v>267</v>
      </c>
      <c r="C472" s="1"/>
      <c r="D472" s="1"/>
      <c r="E472" s="1"/>
      <c r="F472" s="1"/>
      <c r="G472" s="1"/>
      <c r="H472" s="1"/>
      <c r="I472" s="1"/>
      <c r="J472" s="1"/>
      <c r="K472" s="1"/>
      <c r="L472" s="1"/>
      <c r="M472" s="1"/>
      <c r="N472" s="1"/>
      <c r="O472" s="1"/>
      <c r="P472" s="1"/>
    </row>
    <row r="473" spans="1:16" ht="13.5" x14ac:dyDescent="0.25">
      <c r="A473" s="1"/>
      <c r="B473" s="992" t="s">
        <v>268</v>
      </c>
      <c r="C473" s="1"/>
      <c r="D473" s="1"/>
      <c r="E473" s="1"/>
      <c r="F473" s="1"/>
      <c r="G473" s="1"/>
      <c r="H473" s="1"/>
      <c r="I473" s="1"/>
      <c r="J473" s="1"/>
      <c r="K473" s="1"/>
      <c r="L473" s="1"/>
      <c r="M473" s="1"/>
      <c r="N473" s="1"/>
      <c r="O473" s="1"/>
      <c r="P473" s="1"/>
    </row>
    <row r="474" spans="1:16" ht="13.5" x14ac:dyDescent="0.25">
      <c r="A474" s="1"/>
      <c r="B474" s="992" t="s">
        <v>269</v>
      </c>
      <c r="C474" s="1"/>
      <c r="D474" s="1"/>
      <c r="E474" s="1"/>
      <c r="F474" s="1"/>
      <c r="G474" s="1"/>
      <c r="H474" s="1"/>
      <c r="I474" s="1"/>
      <c r="J474" s="1"/>
      <c r="K474" s="1"/>
      <c r="L474" s="1"/>
      <c r="M474" s="1"/>
      <c r="N474" s="1"/>
      <c r="O474" s="1"/>
      <c r="P474" s="1"/>
    </row>
    <row r="475" spans="1:16" ht="13.5" x14ac:dyDescent="0.25">
      <c r="A475" s="1"/>
      <c r="B475" s="992"/>
      <c r="C475" s="1"/>
      <c r="D475" s="1"/>
      <c r="E475" s="1"/>
      <c r="F475" s="1"/>
      <c r="G475" s="1"/>
      <c r="H475" s="1"/>
      <c r="I475" s="1"/>
      <c r="J475" s="1"/>
      <c r="K475" s="1"/>
      <c r="L475" s="1"/>
      <c r="M475" s="1"/>
      <c r="N475" s="1"/>
      <c r="O475" s="1"/>
      <c r="P475" s="1"/>
    </row>
    <row r="476" spans="1:16" ht="13.5" x14ac:dyDescent="0.25">
      <c r="A476" s="1"/>
      <c r="B476" s="992" t="s">
        <v>270</v>
      </c>
      <c r="C476" s="1"/>
      <c r="D476" s="1"/>
      <c r="E476" s="1"/>
      <c r="F476" s="1"/>
      <c r="G476" s="1"/>
      <c r="H476" s="1"/>
      <c r="I476" s="1"/>
      <c r="J476" s="1"/>
      <c r="K476" s="1"/>
      <c r="L476" s="1"/>
      <c r="M476" s="1"/>
      <c r="N476" s="1"/>
      <c r="O476" s="1"/>
      <c r="P476" s="1"/>
    </row>
    <row r="477" spans="1:16" ht="13.5" x14ac:dyDescent="0.25">
      <c r="A477" s="1"/>
      <c r="B477" s="992" t="s">
        <v>271</v>
      </c>
      <c r="C477" s="1"/>
      <c r="D477" s="1"/>
      <c r="E477" s="1"/>
      <c r="F477" s="1"/>
      <c r="G477" s="1"/>
      <c r="H477" s="1"/>
      <c r="I477" s="1"/>
      <c r="J477" s="1"/>
      <c r="K477" s="1"/>
      <c r="L477" s="1"/>
      <c r="M477" s="1"/>
      <c r="N477" s="1"/>
      <c r="O477" s="1"/>
      <c r="P477" s="1"/>
    </row>
    <row r="478" spans="1:16" ht="13.5" x14ac:dyDescent="0.25">
      <c r="A478" s="1"/>
      <c r="B478" s="992" t="s">
        <v>272</v>
      </c>
      <c r="C478" s="1"/>
      <c r="D478" s="1"/>
      <c r="E478" s="1"/>
      <c r="F478" s="1"/>
      <c r="G478" s="1"/>
      <c r="H478" s="1"/>
      <c r="I478" s="1"/>
      <c r="J478" s="1"/>
      <c r="K478" s="1"/>
      <c r="L478" s="1"/>
      <c r="M478" s="1"/>
      <c r="N478" s="1"/>
      <c r="O478" s="1"/>
      <c r="P478" s="1"/>
    </row>
    <row r="479" spans="1:16" ht="13.5" x14ac:dyDescent="0.25">
      <c r="A479" s="1"/>
      <c r="B479" s="992" t="s">
        <v>273</v>
      </c>
      <c r="C479" s="1"/>
      <c r="D479" s="1"/>
      <c r="E479" s="1"/>
      <c r="F479" s="1"/>
      <c r="G479" s="1"/>
      <c r="H479" s="1"/>
      <c r="I479" s="1"/>
      <c r="J479" s="1"/>
      <c r="K479" s="1"/>
      <c r="L479" s="1"/>
      <c r="M479" s="1"/>
      <c r="N479" s="1"/>
      <c r="O479" s="1"/>
      <c r="P479" s="1"/>
    </row>
    <row r="480" spans="1:16" ht="13.5" x14ac:dyDescent="0.25">
      <c r="A480" s="1"/>
      <c r="B480" s="992" t="s">
        <v>274</v>
      </c>
      <c r="C480" s="1"/>
      <c r="D480" s="1"/>
      <c r="E480" s="1"/>
      <c r="F480" s="1"/>
      <c r="G480" s="1"/>
      <c r="H480" s="1"/>
      <c r="I480" s="1"/>
      <c r="J480" s="1"/>
      <c r="K480" s="1"/>
      <c r="L480" s="1"/>
      <c r="M480" s="1"/>
      <c r="N480" s="1"/>
      <c r="O480" s="1"/>
      <c r="P480" s="1"/>
    </row>
    <row r="481" spans="1:16" ht="13.5" x14ac:dyDescent="0.25">
      <c r="A481" s="1"/>
      <c r="B481" s="992" t="s">
        <v>275</v>
      </c>
      <c r="C481" s="1"/>
      <c r="D481" s="1"/>
      <c r="E481" s="1"/>
      <c r="F481" s="1"/>
      <c r="G481" s="1"/>
      <c r="H481" s="1"/>
      <c r="I481" s="1"/>
      <c r="J481" s="1"/>
      <c r="K481" s="1"/>
      <c r="L481" s="1"/>
      <c r="M481" s="1"/>
      <c r="N481" s="1"/>
      <c r="O481" s="1"/>
      <c r="P481" s="1"/>
    </row>
    <row r="482" spans="1:16" ht="13.5" x14ac:dyDescent="0.25">
      <c r="A482" s="1"/>
      <c r="B482" s="992"/>
      <c r="C482" s="1"/>
      <c r="D482" s="1"/>
      <c r="E482" s="1"/>
      <c r="F482" s="1"/>
      <c r="G482" s="1"/>
      <c r="H482" s="1"/>
      <c r="I482" s="1"/>
      <c r="J482" s="1"/>
      <c r="K482" s="1"/>
      <c r="L482" s="1"/>
      <c r="M482" s="1"/>
      <c r="N482" s="1"/>
      <c r="O482" s="1"/>
      <c r="P482" s="1"/>
    </row>
    <row r="483" spans="1:16" ht="13.5" x14ac:dyDescent="0.25">
      <c r="A483" s="1"/>
      <c r="B483" s="992" t="s">
        <v>276</v>
      </c>
      <c r="C483" s="1"/>
      <c r="D483" s="1"/>
      <c r="E483" s="1"/>
      <c r="F483" s="1"/>
      <c r="G483" s="1"/>
      <c r="H483" s="1"/>
      <c r="I483" s="1"/>
      <c r="J483" s="1"/>
      <c r="K483" s="1"/>
      <c r="L483" s="1"/>
      <c r="M483" s="1"/>
      <c r="N483" s="1"/>
      <c r="O483" s="1"/>
      <c r="P483" s="1"/>
    </row>
    <row r="484" spans="1:16" ht="13.5" x14ac:dyDescent="0.25">
      <c r="A484" s="1"/>
      <c r="B484" s="992" t="s">
        <v>277</v>
      </c>
      <c r="C484" s="1"/>
      <c r="D484" s="1"/>
      <c r="E484" s="1"/>
      <c r="F484" s="1"/>
      <c r="G484" s="1"/>
      <c r="H484" s="1"/>
      <c r="I484" s="1"/>
      <c r="J484" s="1"/>
      <c r="K484" s="1"/>
      <c r="L484" s="1"/>
      <c r="M484" s="1"/>
      <c r="N484" s="1"/>
      <c r="O484" s="1"/>
      <c r="P484" s="1"/>
    </row>
    <row r="485" spans="1:16" ht="13.5" x14ac:dyDescent="0.25">
      <c r="A485" s="1"/>
      <c r="B485" s="992" t="s">
        <v>278</v>
      </c>
      <c r="C485" s="1"/>
      <c r="D485" s="1"/>
      <c r="E485" s="1"/>
      <c r="F485" s="1"/>
      <c r="G485" s="1"/>
      <c r="H485" s="1"/>
      <c r="I485" s="1"/>
      <c r="J485" s="1"/>
      <c r="K485" s="1"/>
      <c r="L485" s="1"/>
      <c r="M485" s="1"/>
      <c r="N485" s="1"/>
      <c r="O485" s="1"/>
      <c r="P485" s="1"/>
    </row>
    <row r="486" spans="1:16" ht="13.5" x14ac:dyDescent="0.25">
      <c r="A486" s="1"/>
      <c r="B486" s="992" t="s">
        <v>279</v>
      </c>
      <c r="C486" s="1"/>
      <c r="D486" s="1"/>
      <c r="E486" s="1"/>
      <c r="F486" s="1"/>
      <c r="G486" s="1"/>
      <c r="H486" s="1"/>
      <c r="I486" s="1"/>
      <c r="J486" s="1"/>
      <c r="K486" s="1"/>
      <c r="L486" s="1"/>
      <c r="M486" s="1"/>
      <c r="N486" s="1"/>
      <c r="O486" s="1"/>
      <c r="P486" s="1"/>
    </row>
    <row r="487" spans="1:16" ht="13.5" x14ac:dyDescent="0.25">
      <c r="A487" s="1"/>
      <c r="B487" s="992" t="s">
        <v>280</v>
      </c>
      <c r="C487" s="1"/>
      <c r="D487" s="1"/>
      <c r="E487" s="1"/>
      <c r="F487" s="1"/>
      <c r="G487" s="1"/>
      <c r="H487" s="1"/>
      <c r="I487" s="1"/>
      <c r="J487" s="1"/>
      <c r="K487" s="1"/>
      <c r="L487" s="1"/>
      <c r="M487" s="1"/>
      <c r="N487" s="1"/>
      <c r="O487" s="1"/>
      <c r="P487" s="1"/>
    </row>
    <row r="488" spans="1:16" ht="13.5" x14ac:dyDescent="0.25">
      <c r="A488" s="1"/>
      <c r="B488" s="992"/>
      <c r="C488" s="1"/>
      <c r="D488" s="1"/>
      <c r="E488" s="1"/>
      <c r="F488" s="1"/>
      <c r="G488" s="1"/>
      <c r="H488" s="1"/>
      <c r="I488" s="1"/>
      <c r="J488" s="1"/>
      <c r="K488" s="1"/>
      <c r="L488" s="1"/>
      <c r="M488" s="1"/>
      <c r="N488" s="1"/>
      <c r="O488" s="1"/>
      <c r="P488" s="1"/>
    </row>
    <row r="489" spans="1:16" ht="13.5" x14ac:dyDescent="0.25">
      <c r="A489" s="1"/>
      <c r="B489" s="992" t="s">
        <v>281</v>
      </c>
      <c r="C489" s="1"/>
      <c r="D489" s="1"/>
      <c r="E489" s="1"/>
      <c r="F489" s="1"/>
      <c r="G489" s="1"/>
      <c r="H489" s="1"/>
      <c r="I489" s="1"/>
      <c r="J489" s="1"/>
      <c r="K489" s="1"/>
      <c r="L489" s="1"/>
      <c r="M489" s="1"/>
      <c r="N489" s="1"/>
      <c r="O489" s="1"/>
      <c r="P489" s="1"/>
    </row>
    <row r="490" spans="1:16" ht="13.5" x14ac:dyDescent="0.25">
      <c r="A490" s="1"/>
      <c r="B490" s="992"/>
      <c r="C490" s="1"/>
      <c r="D490" s="1"/>
      <c r="E490" s="1"/>
      <c r="F490" s="1"/>
      <c r="G490" s="1"/>
      <c r="H490" s="1"/>
      <c r="I490" s="1"/>
      <c r="J490" s="1"/>
      <c r="K490" s="1"/>
      <c r="L490" s="1"/>
      <c r="M490" s="1"/>
      <c r="N490" s="1"/>
      <c r="O490" s="1"/>
      <c r="P490" s="1"/>
    </row>
    <row r="491" spans="1:16" ht="13.5" x14ac:dyDescent="0.25">
      <c r="A491" s="1"/>
      <c r="B491" s="992" t="s">
        <v>282</v>
      </c>
      <c r="C491" s="1"/>
      <c r="D491" s="1"/>
      <c r="E491" s="1"/>
      <c r="F491" s="1"/>
      <c r="G491" s="1"/>
      <c r="H491" s="1"/>
      <c r="I491" s="1"/>
      <c r="J491" s="1"/>
      <c r="K491" s="1"/>
      <c r="L491" s="1"/>
      <c r="M491" s="1"/>
      <c r="N491" s="1"/>
      <c r="O491" s="1"/>
      <c r="P491" s="1"/>
    </row>
    <row r="492" spans="1:16" ht="13.5" x14ac:dyDescent="0.25">
      <c r="A492" s="1"/>
      <c r="B492" s="992" t="s">
        <v>283</v>
      </c>
      <c r="C492" s="1"/>
      <c r="D492" s="1"/>
      <c r="E492" s="1"/>
      <c r="F492" s="1"/>
      <c r="G492" s="1"/>
      <c r="H492" s="1"/>
      <c r="I492" s="1"/>
      <c r="J492" s="1"/>
      <c r="K492" s="1"/>
      <c r="L492" s="1"/>
      <c r="M492" s="1"/>
      <c r="N492" s="1"/>
      <c r="O492" s="1"/>
      <c r="P492" s="1"/>
    </row>
    <row r="493" spans="1:16" ht="13.5" x14ac:dyDescent="0.25">
      <c r="A493" s="1"/>
      <c r="B493" s="992" t="s">
        <v>284</v>
      </c>
      <c r="C493" s="1"/>
      <c r="D493" s="1"/>
      <c r="E493" s="1"/>
      <c r="F493" s="1"/>
      <c r="G493" s="1"/>
      <c r="H493" s="1"/>
      <c r="I493" s="1"/>
      <c r="J493" s="1"/>
      <c r="K493" s="1"/>
      <c r="L493" s="1"/>
      <c r="M493" s="1"/>
      <c r="N493" s="1"/>
      <c r="O493" s="1"/>
      <c r="P493" s="1"/>
    </row>
    <row r="494" spans="1:16" ht="13.5" x14ac:dyDescent="0.25">
      <c r="A494" s="1"/>
      <c r="B494" s="992" t="s">
        <v>285</v>
      </c>
      <c r="C494" s="1"/>
      <c r="D494" s="1"/>
      <c r="E494" s="1"/>
      <c r="F494" s="1"/>
      <c r="G494" s="1"/>
      <c r="H494" s="1"/>
      <c r="I494" s="1"/>
      <c r="J494" s="1"/>
      <c r="K494" s="1"/>
      <c r="L494" s="1"/>
      <c r="M494" s="1"/>
      <c r="N494" s="1"/>
      <c r="O494" s="1"/>
      <c r="P494" s="1"/>
    </row>
    <row r="495" spans="1:16" ht="13.5" x14ac:dyDescent="0.25">
      <c r="A495" s="1"/>
      <c r="B495" s="992" t="s">
        <v>286</v>
      </c>
      <c r="C495" s="1"/>
      <c r="D495" s="1"/>
      <c r="E495" s="1"/>
      <c r="F495" s="1"/>
      <c r="G495" s="1"/>
      <c r="H495" s="1"/>
      <c r="I495" s="1"/>
      <c r="J495" s="1"/>
      <c r="K495" s="1"/>
      <c r="L495" s="1"/>
      <c r="M495" s="1"/>
      <c r="N495" s="1"/>
      <c r="O495" s="1"/>
      <c r="P495" s="1"/>
    </row>
    <row r="496" spans="1:16" ht="13.5" x14ac:dyDescent="0.25">
      <c r="A496" s="1"/>
      <c r="B496" s="992" t="s">
        <v>287</v>
      </c>
      <c r="C496" s="1"/>
      <c r="D496" s="1"/>
      <c r="E496" s="1"/>
      <c r="F496" s="1"/>
      <c r="G496" s="1"/>
      <c r="H496" s="1"/>
      <c r="I496" s="1"/>
      <c r="J496" s="1"/>
      <c r="K496" s="1"/>
      <c r="L496" s="1"/>
      <c r="M496" s="1"/>
      <c r="N496" s="1"/>
      <c r="O496" s="1"/>
      <c r="P496" s="1"/>
    </row>
    <row r="497" spans="1:16" ht="13.5" x14ac:dyDescent="0.25">
      <c r="A497" s="1"/>
      <c r="B497" s="992" t="s">
        <v>288</v>
      </c>
      <c r="C497" s="1"/>
      <c r="D497" s="1"/>
      <c r="E497" s="1"/>
      <c r="F497" s="1"/>
      <c r="G497" s="1"/>
      <c r="H497" s="1"/>
      <c r="I497" s="1"/>
      <c r="J497" s="1"/>
      <c r="K497" s="1"/>
      <c r="L497" s="1"/>
      <c r="M497" s="1"/>
      <c r="N497" s="1"/>
      <c r="O497" s="1"/>
      <c r="P497" s="1"/>
    </row>
    <row r="498" spans="1:16" ht="13.5" x14ac:dyDescent="0.25">
      <c r="A498" s="1"/>
      <c r="B498" s="992" t="s">
        <v>291</v>
      </c>
      <c r="C498" s="1"/>
      <c r="D498" s="1"/>
      <c r="E498" s="1"/>
      <c r="F498" s="1"/>
      <c r="G498" s="1"/>
      <c r="H498" s="1"/>
      <c r="I498" s="1"/>
      <c r="J498" s="1"/>
      <c r="K498" s="1"/>
      <c r="L498" s="1"/>
      <c r="M498" s="1"/>
      <c r="N498" s="1"/>
      <c r="O498" s="1"/>
      <c r="P498" s="1"/>
    </row>
    <row r="499" spans="1:16" ht="13.5" x14ac:dyDescent="0.25">
      <c r="A499" s="1"/>
      <c r="B499" s="992"/>
      <c r="C499" s="1"/>
      <c r="D499" s="1"/>
      <c r="E499" s="1"/>
      <c r="F499" s="1"/>
      <c r="G499" s="1"/>
      <c r="H499" s="1"/>
      <c r="I499" s="1"/>
      <c r="J499" s="1"/>
      <c r="K499" s="1"/>
      <c r="L499" s="1"/>
      <c r="M499" s="1"/>
      <c r="N499" s="1"/>
      <c r="O499" s="1"/>
      <c r="P499" s="1"/>
    </row>
    <row r="500" spans="1:16" ht="13.5" x14ac:dyDescent="0.25">
      <c r="A500" s="1"/>
      <c r="B500" s="992" t="s">
        <v>292</v>
      </c>
      <c r="C500" s="1"/>
      <c r="D500" s="1"/>
      <c r="E500" s="1"/>
      <c r="F500" s="1"/>
      <c r="G500" s="1"/>
      <c r="H500" s="1"/>
      <c r="I500" s="1"/>
      <c r="J500" s="1"/>
      <c r="K500" s="1"/>
      <c r="L500" s="1"/>
      <c r="M500" s="1"/>
      <c r="N500" s="1"/>
      <c r="O500" s="1"/>
      <c r="P500" s="1"/>
    </row>
    <row r="501" spans="1:16" ht="13.5" x14ac:dyDescent="0.25">
      <c r="A501" s="1"/>
      <c r="B501" s="992"/>
      <c r="C501" s="1"/>
      <c r="D501" s="1"/>
      <c r="E501" s="1"/>
      <c r="F501" s="1"/>
      <c r="G501" s="1"/>
      <c r="H501" s="1"/>
      <c r="I501" s="1"/>
      <c r="J501" s="1"/>
      <c r="K501" s="1"/>
      <c r="L501" s="1"/>
      <c r="M501" s="1"/>
      <c r="N501" s="1"/>
      <c r="O501" s="1"/>
      <c r="P501" s="1"/>
    </row>
    <row r="502" spans="1:16" ht="13.5" x14ac:dyDescent="0.25">
      <c r="A502" s="1"/>
      <c r="B502" s="992" t="s">
        <v>293</v>
      </c>
      <c r="C502" s="1"/>
      <c r="D502" s="1"/>
      <c r="E502" s="1"/>
      <c r="F502" s="1"/>
      <c r="G502" s="1"/>
      <c r="H502" s="1"/>
      <c r="I502" s="1"/>
      <c r="J502" s="1"/>
      <c r="K502" s="1"/>
      <c r="L502" s="1"/>
      <c r="M502" s="1"/>
      <c r="N502" s="1"/>
      <c r="O502" s="1"/>
      <c r="P502" s="1"/>
    </row>
    <row r="503" spans="1:16" ht="13.5" x14ac:dyDescent="0.25">
      <c r="A503" s="1"/>
      <c r="B503" s="992" t="s">
        <v>294</v>
      </c>
      <c r="C503" s="1"/>
      <c r="D503" s="1"/>
      <c r="E503" s="1"/>
      <c r="F503" s="1"/>
      <c r="G503" s="1"/>
      <c r="H503" s="1"/>
      <c r="I503" s="1"/>
      <c r="J503" s="1"/>
      <c r="K503" s="1"/>
      <c r="L503" s="1"/>
      <c r="M503" s="1"/>
      <c r="N503" s="1"/>
      <c r="O503" s="1"/>
      <c r="P503" s="1"/>
    </row>
    <row r="504" spans="1:16" ht="13.5" x14ac:dyDescent="0.25">
      <c r="A504" s="1"/>
      <c r="B504" s="992" t="s">
        <v>295</v>
      </c>
      <c r="C504" s="1"/>
      <c r="D504" s="1"/>
      <c r="E504" s="1"/>
      <c r="F504" s="1"/>
      <c r="G504" s="1"/>
      <c r="H504" s="1"/>
      <c r="I504" s="1"/>
      <c r="J504" s="1"/>
      <c r="K504" s="1"/>
      <c r="L504" s="1"/>
      <c r="M504" s="1"/>
      <c r="N504" s="1"/>
      <c r="O504" s="1"/>
      <c r="P504" s="1"/>
    </row>
    <row r="505" spans="1:16" ht="13.5" x14ac:dyDescent="0.25">
      <c r="A505" s="1"/>
      <c r="B505" s="992" t="s">
        <v>296</v>
      </c>
      <c r="C505" s="1"/>
      <c r="D505" s="1"/>
      <c r="E505" s="1"/>
      <c r="F505" s="1"/>
      <c r="G505" s="1"/>
      <c r="H505" s="1"/>
      <c r="I505" s="1"/>
      <c r="J505" s="1"/>
      <c r="K505" s="1"/>
      <c r="L505" s="1"/>
      <c r="M505" s="1"/>
      <c r="N505" s="1"/>
      <c r="O505" s="1"/>
      <c r="P505" s="1"/>
    </row>
    <row r="506" spans="1:16" ht="13.5" x14ac:dyDescent="0.25">
      <c r="A506" s="1"/>
      <c r="B506" s="992"/>
      <c r="C506" s="1"/>
      <c r="D506" s="1"/>
      <c r="E506" s="1"/>
      <c r="F506" s="1"/>
      <c r="G506" s="1"/>
      <c r="H506" s="1"/>
      <c r="I506" s="1"/>
      <c r="J506" s="1"/>
      <c r="K506" s="1"/>
      <c r="L506" s="1"/>
      <c r="M506" s="1"/>
      <c r="N506" s="1"/>
      <c r="O506" s="1"/>
      <c r="P506" s="1"/>
    </row>
    <row r="507" spans="1:16" ht="13.5" x14ac:dyDescent="0.25">
      <c r="A507" s="1"/>
      <c r="B507" s="992" t="s">
        <v>297</v>
      </c>
      <c r="C507" s="1"/>
      <c r="D507" s="1"/>
      <c r="E507" s="1"/>
      <c r="F507" s="1"/>
      <c r="G507" s="1"/>
      <c r="H507" s="1"/>
      <c r="I507" s="1"/>
      <c r="J507" s="1"/>
      <c r="K507" s="1"/>
      <c r="L507" s="1"/>
      <c r="M507" s="1"/>
      <c r="N507" s="1"/>
      <c r="O507" s="1"/>
      <c r="P507" s="1"/>
    </row>
    <row r="508" spans="1:16" ht="13.5" x14ac:dyDescent="0.25">
      <c r="A508" s="1"/>
      <c r="B508" s="992" t="s">
        <v>298</v>
      </c>
      <c r="C508" s="1"/>
      <c r="D508" s="1"/>
      <c r="E508" s="1"/>
      <c r="F508" s="1"/>
      <c r="G508" s="1"/>
      <c r="H508" s="1"/>
      <c r="I508" s="1"/>
      <c r="J508" s="1"/>
      <c r="K508" s="1"/>
      <c r="L508" s="1"/>
      <c r="M508" s="1"/>
      <c r="N508" s="1"/>
      <c r="O508" s="1"/>
      <c r="P508" s="1"/>
    </row>
    <row r="509" spans="1:16" ht="13.5" x14ac:dyDescent="0.25">
      <c r="A509" s="1"/>
      <c r="B509" s="992" t="s">
        <v>299</v>
      </c>
      <c r="C509" s="1"/>
      <c r="D509" s="1"/>
      <c r="E509" s="1"/>
      <c r="F509" s="1"/>
      <c r="G509" s="1"/>
      <c r="H509" s="1"/>
      <c r="I509" s="1"/>
      <c r="J509" s="1"/>
      <c r="K509" s="1"/>
      <c r="L509" s="1"/>
      <c r="M509" s="1"/>
      <c r="N509" s="1"/>
      <c r="O509" s="1"/>
      <c r="P509" s="1"/>
    </row>
    <row r="510" spans="1:16" ht="13.5" x14ac:dyDescent="0.25">
      <c r="A510" s="1"/>
      <c r="B510" s="992" t="s">
        <v>300</v>
      </c>
      <c r="C510" s="1"/>
      <c r="D510" s="1"/>
      <c r="E510" s="1"/>
      <c r="F510" s="1"/>
      <c r="G510" s="1"/>
      <c r="H510" s="1"/>
      <c r="I510" s="1"/>
      <c r="J510" s="1"/>
      <c r="K510" s="1"/>
      <c r="L510" s="1"/>
      <c r="M510" s="1"/>
      <c r="N510" s="1"/>
      <c r="O510" s="1"/>
      <c r="P510" s="1"/>
    </row>
    <row r="511" spans="1:16" ht="13.5" x14ac:dyDescent="0.25">
      <c r="A511" s="1"/>
      <c r="B511" s="992" t="s">
        <v>301</v>
      </c>
      <c r="C511" s="1"/>
      <c r="D511" s="1"/>
      <c r="E511" s="1"/>
      <c r="F511" s="1"/>
      <c r="G511" s="1"/>
      <c r="H511" s="1"/>
      <c r="I511" s="1"/>
      <c r="J511" s="1"/>
      <c r="K511" s="1"/>
      <c r="L511" s="1"/>
      <c r="M511" s="1"/>
      <c r="N511" s="1"/>
      <c r="O511" s="1"/>
      <c r="P511" s="1"/>
    </row>
    <row r="512" spans="1:16" ht="13.5" x14ac:dyDescent="0.25">
      <c r="A512" s="1"/>
      <c r="B512" s="992" t="s">
        <v>302</v>
      </c>
      <c r="C512" s="1"/>
      <c r="D512" s="1"/>
      <c r="E512" s="1"/>
      <c r="F512" s="1"/>
      <c r="G512" s="1"/>
      <c r="H512" s="1"/>
      <c r="I512" s="1"/>
      <c r="J512" s="1"/>
      <c r="K512" s="1"/>
      <c r="L512" s="1"/>
      <c r="M512" s="1"/>
      <c r="N512" s="1"/>
      <c r="O512" s="1"/>
      <c r="P512" s="1"/>
    </row>
    <row r="513" spans="1:16" ht="13.5" x14ac:dyDescent="0.25">
      <c r="A513" s="1"/>
      <c r="B513" s="992" t="s">
        <v>303</v>
      </c>
      <c r="C513" s="1"/>
      <c r="D513" s="1"/>
      <c r="E513" s="1"/>
      <c r="F513" s="1"/>
      <c r="G513" s="1"/>
      <c r="H513" s="1"/>
      <c r="I513" s="1"/>
      <c r="J513" s="1"/>
      <c r="K513" s="1"/>
      <c r="L513" s="1"/>
      <c r="M513" s="1"/>
      <c r="N513" s="1"/>
      <c r="O513" s="1"/>
      <c r="P513" s="1"/>
    </row>
    <row r="514" spans="1:16" ht="13.5" x14ac:dyDescent="0.25">
      <c r="A514" s="1"/>
      <c r="B514" s="992" t="s">
        <v>304</v>
      </c>
      <c r="C514" s="1"/>
      <c r="D514" s="1"/>
      <c r="E514" s="1"/>
      <c r="F514" s="1"/>
      <c r="G514" s="1"/>
      <c r="H514" s="1"/>
      <c r="I514" s="1"/>
      <c r="J514" s="1"/>
      <c r="K514" s="1"/>
      <c r="L514" s="1"/>
      <c r="M514" s="1"/>
      <c r="N514" s="1"/>
      <c r="O514" s="1"/>
      <c r="P514" s="1"/>
    </row>
    <row r="515" spans="1:16" ht="13.5" x14ac:dyDescent="0.25">
      <c r="A515" s="1"/>
      <c r="B515" s="992" t="s">
        <v>305</v>
      </c>
      <c r="C515" s="1"/>
      <c r="D515" s="1"/>
      <c r="E515" s="1"/>
      <c r="F515" s="1"/>
      <c r="G515" s="1"/>
      <c r="H515" s="1"/>
      <c r="I515" s="1"/>
      <c r="J515" s="1"/>
      <c r="K515" s="1"/>
      <c r="L515" s="1"/>
      <c r="M515" s="1"/>
      <c r="N515" s="1"/>
      <c r="O515" s="1"/>
      <c r="P515" s="1"/>
    </row>
    <row r="516" spans="1:16" ht="13.5" x14ac:dyDescent="0.25">
      <c r="A516" s="1"/>
      <c r="B516" s="992"/>
      <c r="C516" s="1"/>
      <c r="D516" s="1"/>
      <c r="E516" s="1"/>
      <c r="F516" s="1"/>
      <c r="G516" s="1"/>
      <c r="H516" s="1"/>
      <c r="I516" s="1"/>
      <c r="J516" s="1"/>
      <c r="K516" s="1"/>
      <c r="L516" s="1"/>
      <c r="M516" s="1"/>
      <c r="N516" s="1"/>
      <c r="O516" s="1"/>
      <c r="P516" s="1"/>
    </row>
    <row r="517" spans="1:16" ht="13.5" x14ac:dyDescent="0.25">
      <c r="A517" s="1"/>
      <c r="B517" s="992" t="s">
        <v>306</v>
      </c>
      <c r="C517" s="1"/>
      <c r="D517" s="1"/>
      <c r="E517" s="1"/>
      <c r="F517" s="1"/>
      <c r="G517" s="1"/>
      <c r="H517" s="1"/>
      <c r="I517" s="1"/>
      <c r="J517" s="1"/>
      <c r="K517" s="1"/>
      <c r="L517" s="1"/>
      <c r="M517" s="1"/>
      <c r="N517" s="1"/>
      <c r="O517" s="1"/>
      <c r="P517" s="1"/>
    </row>
    <row r="518" spans="1:16" ht="13.5" x14ac:dyDescent="0.25">
      <c r="A518" s="1"/>
      <c r="B518" s="992" t="s">
        <v>307</v>
      </c>
      <c r="C518" s="1"/>
      <c r="D518" s="1"/>
      <c r="E518" s="1"/>
      <c r="F518" s="1"/>
      <c r="G518" s="1"/>
      <c r="H518" s="1"/>
      <c r="I518" s="1"/>
      <c r="J518" s="1"/>
      <c r="K518" s="1"/>
      <c r="L518" s="1"/>
      <c r="M518" s="1"/>
      <c r="N518" s="1"/>
      <c r="O518" s="1"/>
      <c r="P518" s="1"/>
    </row>
    <row r="519" spans="1:16" ht="13.5" x14ac:dyDescent="0.25">
      <c r="A519" s="1"/>
      <c r="B519" s="992" t="s">
        <v>308</v>
      </c>
      <c r="C519" s="1"/>
      <c r="D519" s="1"/>
      <c r="E519" s="1"/>
      <c r="F519" s="1"/>
      <c r="G519" s="1"/>
      <c r="H519" s="1"/>
      <c r="I519" s="1"/>
      <c r="J519" s="1"/>
      <c r="K519" s="1"/>
      <c r="L519" s="1"/>
      <c r="M519" s="1"/>
      <c r="N519" s="1"/>
      <c r="O519" s="1"/>
      <c r="P519" s="1"/>
    </row>
    <row r="520" spans="1:16" ht="13.5" x14ac:dyDescent="0.25">
      <c r="A520" s="1"/>
      <c r="B520" s="992" t="s">
        <v>309</v>
      </c>
      <c r="C520" s="1"/>
      <c r="D520" s="1"/>
      <c r="E520" s="1"/>
      <c r="F520" s="1"/>
      <c r="G520" s="1"/>
      <c r="H520" s="1"/>
      <c r="I520" s="1"/>
      <c r="J520" s="1"/>
      <c r="K520" s="1"/>
      <c r="L520" s="1"/>
      <c r="M520" s="1"/>
      <c r="N520" s="1"/>
      <c r="O520" s="1"/>
      <c r="P520" s="1"/>
    </row>
    <row r="521" spans="1:16" ht="13.5" x14ac:dyDescent="0.25">
      <c r="A521" s="1"/>
      <c r="B521" s="992" t="s">
        <v>310</v>
      </c>
      <c r="C521" s="1"/>
      <c r="D521" s="1"/>
      <c r="E521" s="1"/>
      <c r="F521" s="1"/>
      <c r="G521" s="1"/>
      <c r="H521" s="1"/>
      <c r="I521" s="1"/>
      <c r="J521" s="1"/>
      <c r="K521" s="1"/>
      <c r="L521" s="1"/>
      <c r="M521" s="1"/>
      <c r="N521" s="1"/>
      <c r="O521" s="1"/>
      <c r="P521" s="1"/>
    </row>
    <row r="522" spans="1:16" ht="13.5" x14ac:dyDescent="0.25">
      <c r="A522" s="1"/>
      <c r="B522" s="992" t="s">
        <v>311</v>
      </c>
      <c r="C522" s="1"/>
      <c r="D522" s="1"/>
      <c r="E522" s="1"/>
      <c r="F522" s="1"/>
      <c r="G522" s="1"/>
      <c r="H522" s="1"/>
      <c r="I522" s="1"/>
      <c r="J522" s="1"/>
      <c r="K522" s="1"/>
      <c r="L522" s="1"/>
      <c r="M522" s="1"/>
      <c r="N522" s="1"/>
      <c r="O522" s="1"/>
      <c r="P522" s="1"/>
    </row>
    <row r="523" spans="1:16" ht="13.5" x14ac:dyDescent="0.25">
      <c r="A523" s="1"/>
      <c r="B523" s="992" t="s">
        <v>312</v>
      </c>
      <c r="C523" s="1"/>
      <c r="D523" s="1"/>
      <c r="E523" s="1"/>
      <c r="F523" s="1"/>
      <c r="G523" s="1"/>
      <c r="H523" s="1"/>
      <c r="I523" s="1"/>
      <c r="J523" s="1"/>
      <c r="K523" s="1"/>
      <c r="L523" s="1"/>
      <c r="M523" s="1"/>
      <c r="N523" s="1"/>
      <c r="O523" s="1"/>
      <c r="P523" s="1"/>
    </row>
    <row r="524" spans="1:16" ht="13.5" x14ac:dyDescent="0.25">
      <c r="A524" s="1"/>
      <c r="B524" s="992"/>
      <c r="C524" s="1"/>
      <c r="D524" s="1"/>
      <c r="E524" s="1"/>
      <c r="F524" s="1"/>
      <c r="G524" s="1"/>
      <c r="H524" s="1"/>
      <c r="I524" s="1"/>
      <c r="J524" s="1"/>
      <c r="K524" s="1"/>
      <c r="L524" s="1"/>
      <c r="M524" s="1"/>
      <c r="N524" s="1"/>
      <c r="O524" s="1"/>
      <c r="P524" s="1"/>
    </row>
    <row r="525" spans="1:16" ht="13.5" x14ac:dyDescent="0.25">
      <c r="A525" s="1"/>
      <c r="B525" s="992" t="s">
        <v>313</v>
      </c>
      <c r="C525" s="1"/>
      <c r="D525" s="1"/>
      <c r="E525" s="1"/>
      <c r="F525" s="1"/>
      <c r="G525" s="1"/>
      <c r="H525" s="1"/>
      <c r="I525" s="1"/>
      <c r="J525" s="1"/>
      <c r="K525" s="1"/>
      <c r="L525" s="1"/>
      <c r="M525" s="1"/>
      <c r="N525" s="1"/>
      <c r="O525" s="1"/>
      <c r="P525" s="1"/>
    </row>
    <row r="526" spans="1:16" ht="13.5" x14ac:dyDescent="0.25">
      <c r="A526" s="1"/>
      <c r="B526" s="992"/>
      <c r="C526" s="1"/>
      <c r="D526" s="1"/>
      <c r="E526" s="1"/>
      <c r="F526" s="1"/>
      <c r="G526" s="1"/>
      <c r="H526" s="1"/>
      <c r="I526" s="1"/>
      <c r="J526" s="1"/>
      <c r="K526" s="1"/>
      <c r="L526" s="1"/>
      <c r="M526" s="1"/>
      <c r="N526" s="1"/>
      <c r="O526" s="1"/>
      <c r="P526" s="1"/>
    </row>
    <row r="527" spans="1:16" ht="13.5" x14ac:dyDescent="0.25">
      <c r="A527" s="1"/>
      <c r="B527" s="992" t="s">
        <v>314</v>
      </c>
      <c r="C527" s="1"/>
      <c r="D527" s="1"/>
      <c r="E527" s="1"/>
      <c r="F527" s="1"/>
      <c r="G527" s="1"/>
      <c r="H527" s="1"/>
      <c r="I527" s="1"/>
      <c r="J527" s="1"/>
      <c r="K527" s="1"/>
      <c r="L527" s="1"/>
      <c r="M527" s="1"/>
      <c r="N527" s="1"/>
      <c r="O527" s="1"/>
      <c r="P527" s="1"/>
    </row>
    <row r="528" spans="1:16" ht="13.5" x14ac:dyDescent="0.25">
      <c r="A528" s="1"/>
      <c r="B528" s="992" t="s">
        <v>315</v>
      </c>
      <c r="C528" s="1"/>
      <c r="D528" s="1"/>
      <c r="E528" s="1"/>
      <c r="F528" s="1"/>
      <c r="G528" s="1"/>
      <c r="H528" s="1"/>
      <c r="I528" s="1"/>
      <c r="J528" s="1"/>
      <c r="K528" s="1"/>
      <c r="L528" s="1"/>
      <c r="M528" s="1"/>
      <c r="N528" s="1"/>
      <c r="O528" s="1"/>
      <c r="P528" s="1"/>
    </row>
    <row r="529" spans="1:16" ht="13.5" x14ac:dyDescent="0.25">
      <c r="A529" s="1"/>
      <c r="B529" s="992" t="s">
        <v>316</v>
      </c>
      <c r="C529" s="1"/>
      <c r="D529" s="1"/>
      <c r="E529" s="1"/>
      <c r="F529" s="1"/>
      <c r="G529" s="1"/>
      <c r="H529" s="1"/>
      <c r="I529" s="1"/>
      <c r="J529" s="1"/>
      <c r="K529" s="1"/>
      <c r="L529" s="1"/>
      <c r="M529" s="1"/>
      <c r="N529" s="1"/>
      <c r="O529" s="1"/>
      <c r="P529" s="1"/>
    </row>
    <row r="530" spans="1:16" ht="13.5" x14ac:dyDescent="0.25">
      <c r="A530" s="1"/>
      <c r="B530" s="992"/>
      <c r="C530" s="1"/>
      <c r="D530" s="1"/>
      <c r="E530" s="1"/>
      <c r="F530" s="1"/>
      <c r="G530" s="1"/>
      <c r="H530" s="1"/>
      <c r="I530" s="1"/>
      <c r="J530" s="1"/>
      <c r="K530" s="1"/>
      <c r="L530" s="1"/>
      <c r="M530" s="1"/>
      <c r="N530" s="1"/>
      <c r="O530" s="1"/>
      <c r="P530" s="1"/>
    </row>
    <row r="531" spans="1:16" ht="13.5" x14ac:dyDescent="0.25">
      <c r="A531" s="1"/>
      <c r="B531" s="992" t="s">
        <v>317</v>
      </c>
      <c r="C531" s="1"/>
      <c r="D531" s="1"/>
      <c r="E531" s="1"/>
      <c r="F531" s="1"/>
      <c r="G531" s="1"/>
      <c r="H531" s="1"/>
      <c r="I531" s="1"/>
      <c r="J531" s="1"/>
      <c r="K531" s="1"/>
      <c r="L531" s="1"/>
      <c r="M531" s="1"/>
      <c r="N531" s="1"/>
      <c r="O531" s="1"/>
      <c r="P531" s="1"/>
    </row>
    <row r="532" spans="1:16" ht="13.5" x14ac:dyDescent="0.25">
      <c r="A532" s="1"/>
      <c r="B532" s="992" t="s">
        <v>318</v>
      </c>
      <c r="C532" s="1"/>
      <c r="D532" s="1"/>
      <c r="E532" s="1"/>
      <c r="F532" s="1"/>
      <c r="G532" s="1"/>
      <c r="H532" s="1"/>
      <c r="I532" s="1"/>
      <c r="J532" s="1"/>
      <c r="K532" s="1"/>
      <c r="L532" s="1"/>
      <c r="M532" s="1"/>
      <c r="N532" s="1"/>
      <c r="O532" s="1"/>
      <c r="P532" s="1"/>
    </row>
    <row r="533" spans="1:16" ht="13.5" x14ac:dyDescent="0.25">
      <c r="A533" s="1"/>
      <c r="B533" s="992" t="s">
        <v>319</v>
      </c>
      <c r="C533" s="1"/>
      <c r="D533" s="1"/>
      <c r="E533" s="1"/>
      <c r="F533" s="1"/>
      <c r="G533" s="1"/>
      <c r="H533" s="1"/>
      <c r="I533" s="1"/>
      <c r="J533" s="1"/>
      <c r="K533" s="1"/>
      <c r="L533" s="1"/>
      <c r="M533" s="1"/>
      <c r="N533" s="1"/>
      <c r="O533" s="1"/>
      <c r="P533" s="1"/>
    </row>
    <row r="534" spans="1:16" ht="13.5" x14ac:dyDescent="0.25">
      <c r="A534" s="1"/>
      <c r="B534" s="992" t="s">
        <v>320</v>
      </c>
      <c r="C534" s="1"/>
      <c r="D534" s="1"/>
      <c r="E534" s="1"/>
      <c r="F534" s="1"/>
      <c r="G534" s="1"/>
      <c r="H534" s="1"/>
      <c r="I534" s="1"/>
      <c r="J534" s="1"/>
      <c r="K534" s="1"/>
      <c r="L534" s="1"/>
      <c r="M534" s="1"/>
      <c r="N534" s="1"/>
      <c r="O534" s="1"/>
      <c r="P534" s="1"/>
    </row>
    <row r="535" spans="1:16" ht="13.5" x14ac:dyDescent="0.25">
      <c r="A535" s="1"/>
      <c r="B535" s="992" t="s">
        <v>321</v>
      </c>
      <c r="C535" s="1"/>
      <c r="D535" s="1"/>
      <c r="E535" s="1"/>
      <c r="F535" s="1"/>
      <c r="G535" s="1"/>
      <c r="H535" s="1"/>
      <c r="I535" s="1"/>
      <c r="J535" s="1"/>
      <c r="K535" s="1"/>
      <c r="L535" s="1"/>
      <c r="M535" s="1"/>
      <c r="N535" s="1"/>
      <c r="O535" s="1"/>
      <c r="P535" s="1"/>
    </row>
    <row r="536" spans="1:16" ht="13.5" x14ac:dyDescent="0.25">
      <c r="A536" s="1"/>
      <c r="B536" s="992" t="s">
        <v>322</v>
      </c>
      <c r="C536" s="1"/>
      <c r="D536" s="1"/>
      <c r="E536" s="1"/>
      <c r="F536" s="1"/>
      <c r="G536" s="1"/>
      <c r="H536" s="1"/>
      <c r="I536" s="1"/>
      <c r="J536" s="1"/>
      <c r="K536" s="1"/>
      <c r="L536" s="1"/>
      <c r="M536" s="1"/>
      <c r="N536" s="1"/>
      <c r="O536" s="1"/>
      <c r="P536" s="1"/>
    </row>
    <row r="537" spans="1:16" ht="13.5" x14ac:dyDescent="0.25">
      <c r="A537" s="1"/>
      <c r="B537" s="992" t="s">
        <v>323</v>
      </c>
      <c r="C537" s="1"/>
      <c r="D537" s="1"/>
      <c r="E537" s="1"/>
      <c r="F537" s="1"/>
      <c r="G537" s="1"/>
      <c r="H537" s="1"/>
      <c r="I537" s="1"/>
      <c r="J537" s="1"/>
      <c r="K537" s="1"/>
      <c r="L537" s="1"/>
      <c r="M537" s="1"/>
      <c r="N537" s="1"/>
      <c r="O537" s="1"/>
      <c r="P537" s="1"/>
    </row>
    <row r="538" spans="1:16" ht="13.5" x14ac:dyDescent="0.25">
      <c r="A538" s="1"/>
      <c r="B538" s="992" t="s">
        <v>324</v>
      </c>
      <c r="C538" s="1"/>
      <c r="D538" s="1"/>
      <c r="E538" s="1"/>
      <c r="F538" s="1"/>
      <c r="G538" s="1"/>
      <c r="H538" s="1"/>
      <c r="I538" s="1"/>
      <c r="J538" s="1"/>
      <c r="K538" s="1"/>
      <c r="L538" s="1"/>
      <c r="M538" s="1"/>
      <c r="N538" s="1"/>
      <c r="O538" s="1"/>
      <c r="P538" s="1"/>
    </row>
    <row r="539" spans="1:16" ht="13.5" x14ac:dyDescent="0.25">
      <c r="A539" s="1"/>
      <c r="B539" s="992" t="s">
        <v>325</v>
      </c>
      <c r="C539" s="1"/>
      <c r="D539" s="1"/>
      <c r="E539" s="1"/>
      <c r="F539" s="1"/>
      <c r="G539" s="1"/>
      <c r="H539" s="1"/>
      <c r="I539" s="1"/>
      <c r="J539" s="1"/>
      <c r="K539" s="1"/>
      <c r="L539" s="1"/>
      <c r="M539" s="1"/>
      <c r="N539" s="1"/>
      <c r="O539" s="1"/>
      <c r="P539" s="1"/>
    </row>
    <row r="540" spans="1:16" ht="13.5" x14ac:dyDescent="0.25">
      <c r="A540" s="1"/>
      <c r="B540" s="992"/>
      <c r="C540" s="1"/>
      <c r="D540" s="1"/>
      <c r="E540" s="1"/>
      <c r="F540" s="1"/>
      <c r="G540" s="1"/>
      <c r="H540" s="1"/>
      <c r="I540" s="1"/>
      <c r="J540" s="1"/>
      <c r="K540" s="1"/>
      <c r="L540" s="1"/>
      <c r="M540" s="1"/>
      <c r="N540" s="1"/>
      <c r="O540" s="1"/>
      <c r="P540" s="1"/>
    </row>
    <row r="541" spans="1:16" ht="13.5" x14ac:dyDescent="0.25">
      <c r="A541" s="1"/>
      <c r="B541" s="992" t="s">
        <v>326</v>
      </c>
      <c r="C541" s="1"/>
      <c r="D541" s="1"/>
      <c r="E541" s="1"/>
      <c r="F541" s="1"/>
      <c r="G541" s="1"/>
      <c r="H541" s="1"/>
      <c r="I541" s="1"/>
      <c r="J541" s="1"/>
      <c r="K541" s="1"/>
      <c r="L541" s="1"/>
      <c r="M541" s="1"/>
      <c r="N541" s="1"/>
      <c r="O541" s="1"/>
      <c r="P541" s="1"/>
    </row>
    <row r="542" spans="1:16" ht="13.5" x14ac:dyDescent="0.25">
      <c r="A542" s="1"/>
      <c r="B542" s="992" t="s">
        <v>327</v>
      </c>
      <c r="C542" s="1"/>
      <c r="D542" s="1"/>
      <c r="E542" s="1"/>
      <c r="F542" s="1"/>
      <c r="G542" s="1"/>
      <c r="H542" s="1"/>
      <c r="I542" s="1"/>
      <c r="J542" s="1"/>
      <c r="K542" s="1"/>
      <c r="L542" s="1"/>
      <c r="M542" s="1"/>
      <c r="N542" s="1"/>
      <c r="O542" s="1"/>
      <c r="P542" s="1"/>
    </row>
    <row r="543" spans="1:16" ht="13.5" x14ac:dyDescent="0.25">
      <c r="A543" s="1"/>
      <c r="B543" s="992" t="s">
        <v>328</v>
      </c>
      <c r="C543" s="1"/>
      <c r="D543" s="1"/>
      <c r="E543" s="1"/>
      <c r="F543" s="1"/>
      <c r="G543" s="1"/>
      <c r="H543" s="1"/>
      <c r="I543" s="1"/>
      <c r="J543" s="1"/>
      <c r="K543" s="1"/>
      <c r="L543" s="1"/>
      <c r="M543" s="1"/>
      <c r="N543" s="1"/>
      <c r="O543" s="1"/>
      <c r="P543" s="1"/>
    </row>
    <row r="544" spans="1:16" ht="13.5" x14ac:dyDescent="0.25">
      <c r="A544" s="1"/>
      <c r="B544" s="992" t="s">
        <v>329</v>
      </c>
      <c r="C544" s="1"/>
      <c r="D544" s="1"/>
      <c r="E544" s="1"/>
      <c r="F544" s="1"/>
      <c r="G544" s="1"/>
      <c r="H544" s="1"/>
      <c r="I544" s="1"/>
      <c r="J544" s="1"/>
      <c r="K544" s="1"/>
      <c r="L544" s="1"/>
      <c r="M544" s="1"/>
      <c r="N544" s="1"/>
      <c r="O544" s="1"/>
      <c r="P544" s="1"/>
    </row>
    <row r="545" spans="1:16" ht="13.5" x14ac:dyDescent="0.25">
      <c r="A545" s="1"/>
      <c r="B545" s="992"/>
      <c r="C545" s="1"/>
      <c r="D545" s="1"/>
      <c r="E545" s="1"/>
      <c r="F545" s="1"/>
      <c r="G545" s="1"/>
      <c r="H545" s="1"/>
      <c r="I545" s="1"/>
      <c r="J545" s="1"/>
      <c r="K545" s="1"/>
      <c r="L545" s="1"/>
      <c r="M545" s="1"/>
      <c r="N545" s="1"/>
      <c r="O545" s="1"/>
      <c r="P545" s="1"/>
    </row>
    <row r="546" spans="1:16" ht="13.5" x14ac:dyDescent="0.25">
      <c r="A546" s="1"/>
      <c r="B546" s="992" t="s">
        <v>330</v>
      </c>
      <c r="C546" s="1"/>
      <c r="D546" s="1"/>
      <c r="E546" s="1"/>
      <c r="F546" s="1"/>
      <c r="G546" s="1"/>
      <c r="H546" s="1"/>
      <c r="I546" s="1"/>
      <c r="J546" s="1"/>
      <c r="K546" s="1"/>
      <c r="L546" s="1"/>
      <c r="M546" s="1"/>
      <c r="N546" s="1"/>
      <c r="O546" s="1"/>
      <c r="P546" s="1"/>
    </row>
    <row r="547" spans="1:16" ht="13.5" x14ac:dyDescent="0.25">
      <c r="A547" s="1"/>
      <c r="B547" s="992" t="s">
        <v>331</v>
      </c>
      <c r="C547" s="1"/>
      <c r="D547" s="1"/>
      <c r="E547" s="1"/>
      <c r="F547" s="1"/>
      <c r="G547" s="1"/>
      <c r="H547" s="1"/>
      <c r="I547" s="1"/>
      <c r="J547" s="1"/>
      <c r="K547" s="1"/>
      <c r="L547" s="1"/>
      <c r="M547" s="1"/>
      <c r="N547" s="1"/>
      <c r="O547" s="1"/>
      <c r="P547" s="1"/>
    </row>
    <row r="548" spans="1:16" ht="13.5" x14ac:dyDescent="0.25">
      <c r="A548" s="1"/>
      <c r="B548" s="992" t="s">
        <v>332</v>
      </c>
      <c r="C548" s="1"/>
      <c r="D548" s="1"/>
      <c r="E548" s="1"/>
      <c r="F548" s="1"/>
      <c r="G548" s="1"/>
      <c r="H548" s="1"/>
      <c r="I548" s="1"/>
      <c r="J548" s="1"/>
      <c r="K548" s="1"/>
      <c r="L548" s="1"/>
      <c r="M548" s="1"/>
      <c r="N548" s="1"/>
      <c r="O548" s="1"/>
      <c r="P548" s="1"/>
    </row>
    <row r="549" spans="1:16" ht="13.5" x14ac:dyDescent="0.25">
      <c r="A549" s="1"/>
      <c r="B549" s="992" t="s">
        <v>333</v>
      </c>
      <c r="C549" s="1"/>
      <c r="D549" s="1"/>
      <c r="E549" s="1"/>
      <c r="F549" s="1"/>
      <c r="G549" s="1"/>
      <c r="H549" s="1"/>
      <c r="I549" s="1"/>
      <c r="J549" s="1"/>
      <c r="K549" s="1"/>
      <c r="L549" s="1"/>
      <c r="M549" s="1"/>
      <c r="N549" s="1"/>
      <c r="O549" s="1"/>
      <c r="P549" s="1"/>
    </row>
    <row r="550" spans="1:16" ht="13.5" x14ac:dyDescent="0.25">
      <c r="A550" s="1"/>
      <c r="B550" s="992" t="s">
        <v>334</v>
      </c>
      <c r="C550" s="1"/>
      <c r="D550" s="1"/>
      <c r="E550" s="1"/>
      <c r="F550" s="1"/>
      <c r="G550" s="1"/>
      <c r="H550" s="1"/>
      <c r="I550" s="1"/>
      <c r="J550" s="1"/>
      <c r="K550" s="1"/>
      <c r="L550" s="1"/>
      <c r="M550" s="1"/>
      <c r="N550" s="1"/>
      <c r="O550" s="1"/>
      <c r="P550" s="1"/>
    </row>
    <row r="551" spans="1:16" ht="13.5" x14ac:dyDescent="0.25">
      <c r="A551" s="1"/>
      <c r="B551" s="992" t="s">
        <v>335</v>
      </c>
      <c r="C551" s="1"/>
      <c r="D551" s="1"/>
      <c r="E551" s="1"/>
      <c r="F551" s="1"/>
      <c r="G551" s="1"/>
      <c r="H551" s="1"/>
      <c r="I551" s="1"/>
      <c r="J551" s="1"/>
      <c r="K551" s="1"/>
      <c r="L551" s="1"/>
      <c r="M551" s="1"/>
      <c r="N551" s="1"/>
      <c r="O551" s="1"/>
      <c r="P551" s="1"/>
    </row>
    <row r="552" spans="1:16" ht="13.5" x14ac:dyDescent="0.25">
      <c r="A552" s="1"/>
      <c r="B552" s="992"/>
      <c r="C552" s="1"/>
      <c r="D552" s="1"/>
      <c r="E552" s="1"/>
      <c r="F552" s="1"/>
      <c r="G552" s="1"/>
      <c r="H552" s="1"/>
      <c r="I552" s="1"/>
      <c r="J552" s="1"/>
      <c r="K552" s="1"/>
      <c r="L552" s="1"/>
      <c r="M552" s="1"/>
      <c r="N552" s="1"/>
      <c r="O552" s="1"/>
      <c r="P552" s="1"/>
    </row>
    <row r="553" spans="1:16" ht="13.5" x14ac:dyDescent="0.25">
      <c r="A553" s="1"/>
      <c r="B553" s="992" t="s">
        <v>336</v>
      </c>
      <c r="C553" s="1"/>
      <c r="D553" s="1"/>
      <c r="E553" s="1"/>
      <c r="F553" s="1"/>
      <c r="G553" s="1"/>
      <c r="H553" s="1"/>
      <c r="I553" s="1"/>
      <c r="J553" s="1"/>
      <c r="K553" s="1"/>
      <c r="L553" s="1"/>
      <c r="M553" s="1"/>
      <c r="N553" s="1"/>
      <c r="O553" s="1"/>
      <c r="P553" s="1"/>
    </row>
    <row r="554" spans="1:16" ht="13.5" x14ac:dyDescent="0.25">
      <c r="A554" s="1"/>
      <c r="B554" s="992" t="s">
        <v>337</v>
      </c>
      <c r="C554" s="1"/>
      <c r="D554" s="1"/>
      <c r="E554" s="1"/>
      <c r="F554" s="1"/>
      <c r="G554" s="1"/>
      <c r="H554" s="1"/>
      <c r="I554" s="1"/>
      <c r="J554" s="1"/>
      <c r="K554" s="1"/>
      <c r="L554" s="1"/>
      <c r="M554" s="1"/>
      <c r="N554" s="1"/>
      <c r="O554" s="1"/>
      <c r="P554" s="1"/>
    </row>
    <row r="555" spans="1:16" ht="13.5" x14ac:dyDescent="0.25">
      <c r="A555" s="1"/>
      <c r="B555" s="992" t="s">
        <v>338</v>
      </c>
      <c r="C555" s="1"/>
      <c r="D555" s="1"/>
      <c r="E555" s="1"/>
      <c r="F555" s="1"/>
      <c r="G555" s="1"/>
      <c r="H555" s="1"/>
      <c r="I555" s="1"/>
      <c r="J555" s="1"/>
      <c r="K555" s="1"/>
      <c r="L555" s="1"/>
      <c r="M555" s="1"/>
      <c r="N555" s="1"/>
      <c r="O555" s="1"/>
      <c r="P555" s="1"/>
    </row>
    <row r="556" spans="1:16" ht="13.5" x14ac:dyDescent="0.25">
      <c r="A556" s="1"/>
      <c r="B556" s="992" t="s">
        <v>339</v>
      </c>
      <c r="C556" s="1"/>
      <c r="D556" s="1"/>
      <c r="E556" s="1"/>
      <c r="F556" s="1"/>
      <c r="G556" s="1"/>
      <c r="H556" s="1"/>
      <c r="I556" s="1"/>
      <c r="J556" s="1"/>
      <c r="K556" s="1"/>
      <c r="L556" s="1"/>
      <c r="M556" s="1"/>
      <c r="N556" s="1"/>
      <c r="O556" s="1"/>
      <c r="P556" s="1"/>
    </row>
    <row r="557" spans="1:16" ht="13.5" x14ac:dyDescent="0.25">
      <c r="A557" s="1"/>
      <c r="B557" s="992" t="s">
        <v>340</v>
      </c>
      <c r="C557" s="1"/>
      <c r="D557" s="1"/>
      <c r="E557" s="1"/>
      <c r="F557" s="1"/>
      <c r="G557" s="1"/>
      <c r="H557" s="1"/>
      <c r="I557" s="1"/>
      <c r="J557" s="1"/>
      <c r="K557" s="1"/>
      <c r="L557" s="1"/>
      <c r="M557" s="1"/>
      <c r="N557" s="1"/>
      <c r="O557" s="1"/>
      <c r="P557" s="1"/>
    </row>
    <row r="558" spans="1:16" ht="13.5" x14ac:dyDescent="0.25">
      <c r="A558" s="1"/>
      <c r="B558" s="992" t="s">
        <v>341</v>
      </c>
      <c r="C558" s="1"/>
      <c r="D558" s="1"/>
      <c r="E558" s="1"/>
      <c r="F558" s="1"/>
      <c r="G558" s="1"/>
      <c r="H558" s="1"/>
      <c r="I558" s="1"/>
      <c r="J558" s="1"/>
      <c r="K558" s="1"/>
      <c r="L558" s="1"/>
      <c r="M558" s="1"/>
      <c r="N558" s="1"/>
      <c r="O558" s="1"/>
      <c r="P558" s="1"/>
    </row>
    <row r="559" spans="1:16" ht="13.5" x14ac:dyDescent="0.25">
      <c r="A559" s="1"/>
      <c r="B559" s="992" t="s">
        <v>342</v>
      </c>
      <c r="C559" s="1"/>
      <c r="D559" s="1"/>
      <c r="E559" s="1"/>
      <c r="F559" s="1"/>
      <c r="G559" s="1"/>
      <c r="H559" s="1"/>
      <c r="I559" s="1"/>
      <c r="J559" s="1"/>
      <c r="K559" s="1"/>
      <c r="L559" s="1"/>
      <c r="M559" s="1"/>
      <c r="N559" s="1"/>
      <c r="O559" s="1"/>
      <c r="P559" s="1"/>
    </row>
    <row r="560" spans="1:16" ht="13.5" x14ac:dyDescent="0.25">
      <c r="A560" s="1"/>
      <c r="B560" s="992" t="s">
        <v>343</v>
      </c>
      <c r="C560" s="1"/>
      <c r="D560" s="1"/>
      <c r="E560" s="1"/>
      <c r="F560" s="1"/>
      <c r="G560" s="1"/>
      <c r="H560" s="1"/>
      <c r="I560" s="1"/>
      <c r="J560" s="1"/>
      <c r="K560" s="1"/>
      <c r="L560" s="1"/>
      <c r="M560" s="1"/>
      <c r="N560" s="1"/>
      <c r="O560" s="1"/>
      <c r="P560" s="1"/>
    </row>
    <row r="561" spans="1:16" ht="13.5" x14ac:dyDescent="0.25">
      <c r="A561" s="1"/>
      <c r="B561" s="992" t="s">
        <v>344</v>
      </c>
      <c r="C561" s="1"/>
      <c r="D561" s="1"/>
      <c r="E561" s="1"/>
      <c r="F561" s="1"/>
      <c r="G561" s="1"/>
      <c r="H561" s="1"/>
      <c r="I561" s="1"/>
      <c r="J561" s="1"/>
      <c r="K561" s="1"/>
      <c r="L561" s="1"/>
      <c r="M561" s="1"/>
      <c r="N561" s="1"/>
      <c r="O561" s="1"/>
      <c r="P561" s="1"/>
    </row>
    <row r="562" spans="1:16" ht="13.5" x14ac:dyDescent="0.25">
      <c r="A562" s="1"/>
      <c r="B562" s="992" t="s">
        <v>345</v>
      </c>
      <c r="C562" s="1"/>
      <c r="D562" s="1"/>
      <c r="E562" s="1"/>
      <c r="F562" s="1"/>
      <c r="G562" s="1"/>
      <c r="H562" s="1"/>
      <c r="I562" s="1"/>
      <c r="J562" s="1"/>
      <c r="K562" s="1"/>
      <c r="L562" s="1"/>
      <c r="M562" s="1"/>
      <c r="N562" s="1"/>
      <c r="O562" s="1"/>
      <c r="P562" s="1"/>
    </row>
    <row r="563" spans="1:16" ht="13.5" x14ac:dyDescent="0.25">
      <c r="A563" s="1"/>
      <c r="B563" s="992" t="s">
        <v>346</v>
      </c>
      <c r="C563" s="1"/>
      <c r="D563" s="1"/>
      <c r="E563" s="1"/>
      <c r="F563" s="1"/>
      <c r="G563" s="1"/>
      <c r="H563" s="1"/>
      <c r="I563" s="1"/>
      <c r="J563" s="1"/>
      <c r="K563" s="1"/>
      <c r="L563" s="1"/>
      <c r="M563" s="1"/>
      <c r="N563" s="1"/>
      <c r="O563" s="1"/>
      <c r="P563" s="1"/>
    </row>
    <row r="564" spans="1:16" ht="13.5" x14ac:dyDescent="0.25">
      <c r="A564" s="1"/>
      <c r="B564" s="992" t="s">
        <v>347</v>
      </c>
      <c r="C564" s="1"/>
      <c r="D564" s="1"/>
      <c r="E564" s="1"/>
      <c r="F564" s="1"/>
      <c r="G564" s="1"/>
      <c r="H564" s="1"/>
      <c r="I564" s="1"/>
      <c r="J564" s="1"/>
      <c r="K564" s="1"/>
      <c r="L564" s="1"/>
      <c r="M564" s="1"/>
      <c r="N564" s="1"/>
      <c r="O564" s="1"/>
      <c r="P564" s="1"/>
    </row>
    <row r="565" spans="1:16" ht="13.5" x14ac:dyDescent="0.25">
      <c r="A565" s="1"/>
      <c r="B565" s="992" t="s">
        <v>348</v>
      </c>
      <c r="C565" s="1"/>
      <c r="D565" s="1"/>
      <c r="E565" s="1"/>
      <c r="F565" s="1"/>
      <c r="G565" s="1"/>
      <c r="H565" s="1"/>
      <c r="I565" s="1"/>
      <c r="J565" s="1"/>
      <c r="K565" s="1"/>
      <c r="L565" s="1"/>
      <c r="M565" s="1"/>
      <c r="N565" s="1"/>
      <c r="O565" s="1"/>
      <c r="P565" s="1"/>
    </row>
    <row r="566" spans="1:16" ht="13.5" x14ac:dyDescent="0.25">
      <c r="A566" s="1"/>
      <c r="B566" s="992"/>
      <c r="C566" s="1"/>
      <c r="D566" s="1"/>
      <c r="E566" s="1"/>
      <c r="F566" s="1"/>
      <c r="G566" s="1"/>
      <c r="H566" s="1"/>
      <c r="I566" s="1"/>
      <c r="J566" s="1"/>
      <c r="K566" s="1"/>
      <c r="L566" s="1"/>
      <c r="M566" s="1"/>
      <c r="N566" s="1"/>
      <c r="O566" s="1"/>
      <c r="P566" s="1"/>
    </row>
    <row r="567" spans="1:16" ht="13.5" x14ac:dyDescent="0.25">
      <c r="A567" s="1"/>
      <c r="B567" s="992" t="s">
        <v>349</v>
      </c>
      <c r="C567" s="1"/>
      <c r="D567" s="1"/>
      <c r="E567" s="1"/>
      <c r="F567" s="1"/>
      <c r="G567" s="1"/>
      <c r="H567" s="1"/>
      <c r="I567" s="1"/>
      <c r="J567" s="1"/>
      <c r="K567" s="1"/>
      <c r="L567" s="1"/>
      <c r="M567" s="1"/>
      <c r="N567" s="1"/>
      <c r="O567" s="1"/>
      <c r="P567" s="1"/>
    </row>
    <row r="568" spans="1:16" ht="13.5" x14ac:dyDescent="0.25">
      <c r="A568" s="1"/>
      <c r="B568" s="992" t="s">
        <v>350</v>
      </c>
      <c r="C568" s="1"/>
      <c r="D568" s="1"/>
      <c r="E568" s="1"/>
      <c r="F568" s="1"/>
      <c r="G568" s="1"/>
      <c r="H568" s="1"/>
      <c r="I568" s="1"/>
      <c r="J568" s="1"/>
      <c r="K568" s="1"/>
      <c r="L568" s="1"/>
      <c r="M568" s="1"/>
      <c r="N568" s="1"/>
      <c r="O568" s="1"/>
      <c r="P568" s="1"/>
    </row>
    <row r="569" spans="1:16" ht="13.5" x14ac:dyDescent="0.25">
      <c r="A569" s="1"/>
      <c r="B569" s="992" t="s">
        <v>351</v>
      </c>
      <c r="C569" s="1"/>
      <c r="D569" s="1"/>
      <c r="E569" s="1"/>
      <c r="F569" s="1"/>
      <c r="G569" s="1"/>
      <c r="H569" s="1"/>
      <c r="I569" s="1"/>
      <c r="J569" s="1"/>
      <c r="K569" s="1"/>
      <c r="L569" s="1"/>
      <c r="M569" s="1"/>
      <c r="N569" s="1"/>
      <c r="O569" s="1"/>
      <c r="P569" s="1"/>
    </row>
    <row r="570" spans="1:16" ht="13.5" x14ac:dyDescent="0.25">
      <c r="A570" s="1"/>
      <c r="B570" s="992" t="s">
        <v>352</v>
      </c>
      <c r="C570" s="1"/>
      <c r="D570" s="1"/>
      <c r="E570" s="1"/>
      <c r="F570" s="1"/>
      <c r="G570" s="1"/>
      <c r="H570" s="1"/>
      <c r="I570" s="1"/>
      <c r="J570" s="1"/>
      <c r="K570" s="1"/>
      <c r="L570" s="1"/>
      <c r="M570" s="1"/>
      <c r="N570" s="1"/>
      <c r="O570" s="1"/>
      <c r="P570" s="1"/>
    </row>
    <row r="571" spans="1:16" ht="13.5" x14ac:dyDescent="0.25">
      <c r="A571" s="1"/>
      <c r="B571" s="992" t="s">
        <v>353</v>
      </c>
      <c r="C571" s="1"/>
      <c r="D571" s="1"/>
      <c r="E571" s="1"/>
      <c r="F571" s="1"/>
      <c r="G571" s="1"/>
      <c r="H571" s="1"/>
      <c r="I571" s="1"/>
      <c r="J571" s="1"/>
      <c r="K571" s="1"/>
      <c r="L571" s="1"/>
      <c r="M571" s="1"/>
      <c r="N571" s="1"/>
      <c r="O571" s="1"/>
      <c r="P571" s="1"/>
    </row>
    <row r="572" spans="1:16" ht="13.5" x14ac:dyDescent="0.25">
      <c r="A572" s="1"/>
      <c r="B572" s="992" t="s">
        <v>354</v>
      </c>
      <c r="C572" s="1"/>
      <c r="D572" s="1"/>
      <c r="E572" s="1"/>
      <c r="F572" s="1"/>
      <c r="G572" s="1"/>
      <c r="H572" s="1"/>
      <c r="I572" s="1"/>
      <c r="J572" s="1"/>
      <c r="K572" s="1"/>
      <c r="L572" s="1"/>
      <c r="M572" s="1"/>
      <c r="N572" s="1"/>
      <c r="O572" s="1"/>
      <c r="P572" s="1"/>
    </row>
    <row r="573" spans="1:16" ht="13.5" x14ac:dyDescent="0.25">
      <c r="A573" s="1"/>
      <c r="B573" s="992" t="s">
        <v>355</v>
      </c>
      <c r="C573" s="1"/>
      <c r="D573" s="1"/>
      <c r="E573" s="1"/>
      <c r="F573" s="1"/>
      <c r="G573" s="1"/>
      <c r="H573" s="1"/>
      <c r="I573" s="1"/>
      <c r="J573" s="1"/>
      <c r="K573" s="1"/>
      <c r="L573" s="1"/>
      <c r="M573" s="1"/>
      <c r="N573" s="1"/>
      <c r="O573" s="1"/>
      <c r="P573" s="1"/>
    </row>
    <row r="574" spans="1:16" ht="13.5" x14ac:dyDescent="0.25">
      <c r="A574" s="1"/>
      <c r="B574" s="992"/>
      <c r="C574" s="1"/>
      <c r="D574" s="1"/>
      <c r="E574" s="1"/>
      <c r="F574" s="1"/>
      <c r="G574" s="1"/>
      <c r="H574" s="1"/>
      <c r="I574" s="1"/>
      <c r="J574" s="1"/>
      <c r="K574" s="1"/>
      <c r="L574" s="1"/>
      <c r="M574" s="1"/>
      <c r="N574" s="1"/>
      <c r="O574" s="1"/>
      <c r="P574" s="1"/>
    </row>
    <row r="575" spans="1:16" ht="13.5" x14ac:dyDescent="0.25">
      <c r="A575" s="1"/>
      <c r="B575" s="992" t="s">
        <v>356</v>
      </c>
      <c r="C575" s="1"/>
      <c r="D575" s="1"/>
      <c r="E575" s="1"/>
      <c r="F575" s="1"/>
      <c r="G575" s="1"/>
      <c r="H575" s="1"/>
      <c r="I575" s="1"/>
      <c r="J575" s="1"/>
      <c r="K575" s="1"/>
      <c r="L575" s="1"/>
      <c r="M575" s="1"/>
      <c r="N575" s="1"/>
      <c r="O575" s="1"/>
      <c r="P575" s="1"/>
    </row>
    <row r="576" spans="1:16" ht="13.5" x14ac:dyDescent="0.25">
      <c r="A576" s="1"/>
      <c r="B576" s="992" t="s">
        <v>357</v>
      </c>
      <c r="C576" s="1"/>
      <c r="D576" s="1"/>
      <c r="E576" s="1"/>
      <c r="F576" s="1"/>
      <c r="G576" s="1"/>
      <c r="H576" s="1"/>
      <c r="I576" s="1"/>
      <c r="J576" s="1"/>
      <c r="K576" s="1"/>
      <c r="L576" s="1"/>
      <c r="M576" s="1"/>
      <c r="N576" s="1"/>
      <c r="O576" s="1"/>
      <c r="P576" s="1"/>
    </row>
    <row r="577" spans="1:16" ht="13.5" x14ac:dyDescent="0.25">
      <c r="A577" s="1"/>
      <c r="B577" s="992" t="s">
        <v>358</v>
      </c>
      <c r="C577" s="1"/>
      <c r="D577" s="1"/>
      <c r="E577" s="1"/>
      <c r="F577" s="1"/>
      <c r="G577" s="1"/>
      <c r="H577" s="1"/>
      <c r="I577" s="1"/>
      <c r="J577" s="1"/>
      <c r="K577" s="1"/>
      <c r="L577" s="1"/>
      <c r="M577" s="1"/>
      <c r="N577" s="1"/>
      <c r="O577" s="1"/>
      <c r="P577" s="1"/>
    </row>
    <row r="578" spans="1:16" ht="13.5" x14ac:dyDescent="0.25">
      <c r="A578" s="1"/>
      <c r="B578" s="992" t="s">
        <v>359</v>
      </c>
      <c r="C578" s="1"/>
      <c r="D578" s="1"/>
      <c r="E578" s="1"/>
      <c r="F578" s="1"/>
      <c r="G578" s="1"/>
      <c r="H578" s="1"/>
      <c r="I578" s="1"/>
      <c r="J578" s="1"/>
      <c r="K578" s="1"/>
      <c r="L578" s="1"/>
      <c r="M578" s="1"/>
      <c r="N578" s="1"/>
      <c r="O578" s="1"/>
      <c r="P578" s="1"/>
    </row>
    <row r="579" spans="1:16" ht="13.5" x14ac:dyDescent="0.25">
      <c r="A579" s="1"/>
      <c r="B579" s="992" t="s">
        <v>360</v>
      </c>
      <c r="C579" s="1"/>
      <c r="D579" s="1"/>
      <c r="E579" s="1"/>
      <c r="F579" s="1"/>
      <c r="G579" s="1"/>
      <c r="H579" s="1"/>
      <c r="I579" s="1"/>
      <c r="J579" s="1"/>
      <c r="K579" s="1"/>
      <c r="L579" s="1"/>
      <c r="M579" s="1"/>
      <c r="N579" s="1"/>
      <c r="O579" s="1"/>
      <c r="P579" s="1"/>
    </row>
    <row r="580" spans="1:16" ht="13.5" x14ac:dyDescent="0.25">
      <c r="A580" s="1"/>
      <c r="B580" s="992" t="s">
        <v>361</v>
      </c>
      <c r="C580" s="1"/>
      <c r="D580" s="1"/>
      <c r="E580" s="1"/>
      <c r="F580" s="1"/>
      <c r="G580" s="1"/>
      <c r="H580" s="1"/>
      <c r="I580" s="1"/>
      <c r="J580" s="1"/>
      <c r="K580" s="1"/>
      <c r="L580" s="1"/>
      <c r="M580" s="1"/>
      <c r="N580" s="1"/>
      <c r="O580" s="1"/>
      <c r="P580" s="1"/>
    </row>
    <row r="581" spans="1:16" ht="13.5" x14ac:dyDescent="0.25">
      <c r="A581" s="1"/>
      <c r="B581" s="992" t="s">
        <v>362</v>
      </c>
      <c r="C581" s="1"/>
      <c r="D581" s="1"/>
      <c r="E581" s="1"/>
      <c r="F581" s="1"/>
      <c r="G581" s="1"/>
      <c r="H581" s="1"/>
      <c r="I581" s="1"/>
      <c r="J581" s="1"/>
      <c r="K581" s="1"/>
      <c r="L581" s="1"/>
      <c r="M581" s="1"/>
      <c r="N581" s="1"/>
      <c r="O581" s="1"/>
      <c r="P581" s="1"/>
    </row>
    <row r="582" spans="1:16" ht="13.5" x14ac:dyDescent="0.25">
      <c r="A582" s="1"/>
      <c r="B582" s="992" t="s">
        <v>363</v>
      </c>
      <c r="C582" s="1"/>
      <c r="D582" s="1"/>
      <c r="E582" s="1"/>
      <c r="F582" s="1"/>
      <c r="G582" s="1"/>
      <c r="H582" s="1"/>
      <c r="I582" s="1"/>
      <c r="J582" s="1"/>
      <c r="K582" s="1"/>
      <c r="L582" s="1"/>
      <c r="M582" s="1"/>
      <c r="N582" s="1"/>
      <c r="O582" s="1"/>
      <c r="P582" s="1"/>
    </row>
    <row r="583" spans="1:16" ht="13.5" x14ac:dyDescent="0.25">
      <c r="A583" s="1"/>
      <c r="B583" s="992" t="s">
        <v>364</v>
      </c>
      <c r="C583" s="1"/>
      <c r="D583" s="1"/>
      <c r="E583" s="1"/>
      <c r="F583" s="1"/>
      <c r="G583" s="1"/>
      <c r="H583" s="1"/>
      <c r="I583" s="1"/>
      <c r="J583" s="1"/>
      <c r="K583" s="1"/>
      <c r="L583" s="1"/>
      <c r="M583" s="1"/>
      <c r="N583" s="1"/>
      <c r="O583" s="1"/>
      <c r="P583" s="1"/>
    </row>
    <row r="584" spans="1:16" ht="13.5" x14ac:dyDescent="0.25">
      <c r="A584" s="1"/>
      <c r="B584" s="992" t="s">
        <v>365</v>
      </c>
      <c r="C584" s="1"/>
      <c r="D584" s="1"/>
      <c r="E584" s="1"/>
      <c r="F584" s="1"/>
      <c r="G584" s="1"/>
      <c r="H584" s="1"/>
      <c r="I584" s="1"/>
      <c r="J584" s="1"/>
      <c r="K584" s="1"/>
      <c r="L584" s="1"/>
      <c r="M584" s="1"/>
      <c r="N584" s="1"/>
      <c r="O584" s="1"/>
      <c r="P584" s="1"/>
    </row>
    <row r="585" spans="1:16" ht="13.5" x14ac:dyDescent="0.25">
      <c r="A585" s="1"/>
      <c r="B585" s="992" t="s">
        <v>366</v>
      </c>
      <c r="C585" s="1"/>
      <c r="D585" s="1"/>
      <c r="E585" s="1"/>
      <c r="F585" s="1"/>
      <c r="G585" s="1"/>
      <c r="H585" s="1"/>
      <c r="I585" s="1"/>
      <c r="J585" s="1"/>
      <c r="K585" s="1"/>
      <c r="L585" s="1"/>
      <c r="M585" s="1"/>
      <c r="N585" s="1"/>
      <c r="O585" s="1"/>
      <c r="P585" s="1"/>
    </row>
    <row r="586" spans="1:16" ht="13.5" x14ac:dyDescent="0.25">
      <c r="A586" s="1"/>
      <c r="B586" s="992" t="s">
        <v>367</v>
      </c>
      <c r="C586" s="1"/>
      <c r="D586" s="1"/>
      <c r="E586" s="1"/>
      <c r="F586" s="1"/>
      <c r="G586" s="1"/>
      <c r="H586" s="1"/>
      <c r="I586" s="1"/>
      <c r="J586" s="1"/>
      <c r="K586" s="1"/>
      <c r="L586" s="1"/>
      <c r="M586" s="1"/>
      <c r="N586" s="1"/>
      <c r="O586" s="1"/>
      <c r="P586" s="1"/>
    </row>
    <row r="587" spans="1:16" ht="13.5" x14ac:dyDescent="0.25">
      <c r="A587" s="1"/>
      <c r="B587" s="992" t="s">
        <v>368</v>
      </c>
      <c r="C587" s="1"/>
      <c r="D587" s="1"/>
      <c r="E587" s="1"/>
      <c r="F587" s="1"/>
      <c r="G587" s="1"/>
      <c r="H587" s="1"/>
      <c r="I587" s="1"/>
      <c r="J587" s="1"/>
      <c r="K587" s="1"/>
      <c r="L587" s="1"/>
      <c r="M587" s="1"/>
      <c r="N587" s="1"/>
      <c r="O587" s="1"/>
      <c r="P587" s="1"/>
    </row>
    <row r="588" spans="1:16" ht="13.5" x14ac:dyDescent="0.25">
      <c r="A588" s="1"/>
      <c r="B588" s="992" t="s">
        <v>369</v>
      </c>
      <c r="C588" s="1"/>
      <c r="D588" s="1"/>
      <c r="E588" s="1"/>
      <c r="F588" s="1"/>
      <c r="G588" s="1"/>
      <c r="H588" s="1"/>
      <c r="I588" s="1"/>
      <c r="J588" s="1"/>
      <c r="K588" s="1"/>
      <c r="L588" s="1"/>
      <c r="M588" s="1"/>
      <c r="N588" s="1"/>
      <c r="O588" s="1"/>
      <c r="P588" s="1"/>
    </row>
    <row r="589" spans="1:16" ht="13.5" x14ac:dyDescent="0.25">
      <c r="A589" s="1"/>
      <c r="B589" s="992"/>
      <c r="C589" s="1"/>
      <c r="D589" s="1"/>
      <c r="E589" s="1"/>
      <c r="F589" s="1"/>
      <c r="G589" s="1"/>
      <c r="H589" s="1"/>
      <c r="I589" s="1"/>
      <c r="J589" s="1"/>
      <c r="K589" s="1"/>
      <c r="L589" s="1"/>
      <c r="M589" s="1"/>
      <c r="N589" s="1"/>
      <c r="O589" s="1"/>
      <c r="P589" s="1"/>
    </row>
    <row r="590" spans="1:16" ht="13.5" x14ac:dyDescent="0.25">
      <c r="A590" s="1"/>
      <c r="B590" s="992" t="s">
        <v>370</v>
      </c>
      <c r="C590" s="1"/>
      <c r="D590" s="1"/>
      <c r="E590" s="1"/>
      <c r="F590" s="1"/>
      <c r="G590" s="1"/>
      <c r="H590" s="1"/>
      <c r="I590" s="1"/>
      <c r="J590" s="1"/>
      <c r="K590" s="1"/>
      <c r="L590" s="1"/>
      <c r="M590" s="1"/>
      <c r="N590" s="1"/>
      <c r="O590" s="1"/>
      <c r="P590" s="1"/>
    </row>
    <row r="591" spans="1:16" ht="13.5" x14ac:dyDescent="0.25">
      <c r="A591" s="1"/>
      <c r="B591" s="992" t="s">
        <v>371</v>
      </c>
      <c r="C591" s="1"/>
      <c r="D591" s="1"/>
      <c r="E591" s="1"/>
      <c r="F591" s="1"/>
      <c r="G591" s="1"/>
      <c r="H591" s="1"/>
      <c r="I591" s="1"/>
      <c r="J591" s="1"/>
      <c r="K591" s="1"/>
      <c r="L591" s="1"/>
      <c r="M591" s="1"/>
      <c r="N591" s="1"/>
      <c r="O591" s="1"/>
      <c r="P591" s="1"/>
    </row>
    <row r="592" spans="1:16" ht="13.5" x14ac:dyDescent="0.25">
      <c r="A592" s="1"/>
      <c r="B592" s="992" t="s">
        <v>372</v>
      </c>
      <c r="C592" s="1"/>
      <c r="D592" s="1"/>
      <c r="E592" s="1"/>
      <c r="F592" s="1"/>
      <c r="G592" s="1"/>
      <c r="H592" s="1"/>
      <c r="I592" s="1"/>
      <c r="J592" s="1"/>
      <c r="K592" s="1"/>
      <c r="L592" s="1"/>
      <c r="M592" s="1"/>
      <c r="N592" s="1"/>
      <c r="O592" s="1"/>
      <c r="P592" s="1"/>
    </row>
    <row r="593" spans="1:16" ht="13.5" x14ac:dyDescent="0.25">
      <c r="A593" s="1"/>
      <c r="B593" s="992"/>
      <c r="C593" s="1"/>
      <c r="D593" s="1"/>
      <c r="E593" s="1"/>
      <c r="F593" s="1"/>
      <c r="G593" s="1"/>
      <c r="H593" s="1"/>
      <c r="I593" s="1"/>
      <c r="J593" s="1"/>
      <c r="K593" s="1"/>
      <c r="L593" s="1"/>
      <c r="M593" s="1"/>
      <c r="N593" s="1"/>
      <c r="O593" s="1"/>
      <c r="P593" s="1"/>
    </row>
    <row r="594" spans="1:16" ht="13.5" x14ac:dyDescent="0.25">
      <c r="A594" s="1"/>
      <c r="B594" s="992" t="s">
        <v>373</v>
      </c>
      <c r="C594" s="1"/>
      <c r="D594" s="1"/>
      <c r="E594" s="1"/>
      <c r="F594" s="1"/>
      <c r="G594" s="1"/>
      <c r="H594" s="1"/>
      <c r="I594" s="1"/>
      <c r="J594" s="1"/>
      <c r="K594" s="1"/>
      <c r="L594" s="1"/>
      <c r="M594" s="1"/>
      <c r="N594" s="1"/>
      <c r="O594" s="1"/>
      <c r="P594" s="1"/>
    </row>
    <row r="595" spans="1:16" ht="13.5" x14ac:dyDescent="0.25">
      <c r="A595" s="1"/>
      <c r="B595" s="992"/>
      <c r="C595" s="1"/>
      <c r="D595" s="1"/>
      <c r="E595" s="1"/>
      <c r="F595" s="1"/>
      <c r="G595" s="1"/>
      <c r="H595" s="1"/>
      <c r="I595" s="1"/>
      <c r="J595" s="1"/>
      <c r="K595" s="1"/>
      <c r="L595" s="1"/>
      <c r="M595" s="1"/>
      <c r="N595" s="1"/>
      <c r="O595" s="1"/>
      <c r="P595" s="1"/>
    </row>
    <row r="596" spans="1:16" ht="13.5" x14ac:dyDescent="0.25">
      <c r="A596" s="1"/>
      <c r="B596" s="992" t="s">
        <v>374</v>
      </c>
      <c r="C596" s="1"/>
      <c r="D596" s="1"/>
      <c r="E596" s="1"/>
      <c r="F596" s="1"/>
      <c r="G596" s="1"/>
      <c r="H596" s="1"/>
      <c r="I596" s="1"/>
      <c r="J596" s="1"/>
      <c r="K596" s="1"/>
      <c r="L596" s="1"/>
      <c r="M596" s="1"/>
      <c r="N596" s="1"/>
      <c r="O596" s="1"/>
      <c r="P596" s="1"/>
    </row>
    <row r="597" spans="1:16" ht="13.5" x14ac:dyDescent="0.25">
      <c r="A597" s="1"/>
      <c r="B597" s="992" t="s">
        <v>375</v>
      </c>
      <c r="C597" s="1"/>
      <c r="D597" s="1"/>
      <c r="E597" s="1"/>
      <c r="F597" s="1"/>
      <c r="G597" s="1"/>
      <c r="H597" s="1"/>
      <c r="I597" s="1"/>
      <c r="J597" s="1"/>
      <c r="K597" s="1"/>
      <c r="L597" s="1"/>
      <c r="M597" s="1"/>
      <c r="N597" s="1"/>
      <c r="O597" s="1"/>
      <c r="P597" s="1"/>
    </row>
    <row r="598" spans="1:16" ht="13.5" x14ac:dyDescent="0.25">
      <c r="A598" s="1"/>
      <c r="B598" s="992" t="s">
        <v>376</v>
      </c>
      <c r="C598" s="1"/>
      <c r="D598" s="1"/>
      <c r="E598" s="1"/>
      <c r="F598" s="1"/>
      <c r="G598" s="1"/>
      <c r="H598" s="1"/>
      <c r="I598" s="1"/>
      <c r="J598" s="1"/>
      <c r="K598" s="1"/>
      <c r="L598" s="1"/>
      <c r="M598" s="1"/>
      <c r="N598" s="1"/>
      <c r="O598" s="1"/>
      <c r="P598" s="1"/>
    </row>
    <row r="599" spans="1:16" ht="13.5" x14ac:dyDescent="0.25">
      <c r="A599" s="1"/>
      <c r="B599" s="992" t="s">
        <v>377</v>
      </c>
      <c r="C599" s="1"/>
      <c r="D599" s="1"/>
      <c r="E599" s="1"/>
      <c r="F599" s="1"/>
      <c r="G599" s="1"/>
      <c r="H599" s="1"/>
      <c r="I599" s="1"/>
      <c r="J599" s="1"/>
      <c r="K599" s="1"/>
      <c r="L599" s="1"/>
      <c r="M599" s="1"/>
      <c r="N599" s="1"/>
      <c r="O599" s="1"/>
      <c r="P599" s="1"/>
    </row>
    <row r="600" spans="1:16" ht="13.5" x14ac:dyDescent="0.25">
      <c r="A600" s="1"/>
      <c r="B600" s="992" t="s">
        <v>378</v>
      </c>
      <c r="C600" s="1"/>
      <c r="D600" s="1"/>
      <c r="E600" s="1"/>
      <c r="F600" s="1"/>
      <c r="G600" s="1"/>
      <c r="H600" s="1"/>
      <c r="I600" s="1"/>
      <c r="J600" s="1"/>
      <c r="K600" s="1"/>
      <c r="L600" s="1"/>
      <c r="M600" s="1"/>
      <c r="N600" s="1"/>
      <c r="O600" s="1"/>
      <c r="P600" s="1"/>
    </row>
    <row r="601" spans="1:16" ht="13.5" x14ac:dyDescent="0.25">
      <c r="A601" s="1"/>
      <c r="B601" s="992" t="s">
        <v>379</v>
      </c>
      <c r="C601" s="1"/>
      <c r="D601" s="1"/>
      <c r="E601" s="1"/>
      <c r="F601" s="1"/>
      <c r="G601" s="1"/>
      <c r="H601" s="1"/>
      <c r="I601" s="1"/>
      <c r="J601" s="1"/>
      <c r="K601" s="1"/>
      <c r="L601" s="1"/>
      <c r="M601" s="1"/>
      <c r="N601" s="1"/>
      <c r="O601" s="1"/>
      <c r="P601" s="1"/>
    </row>
    <row r="602" spans="1:16" ht="13.5" x14ac:dyDescent="0.25">
      <c r="A602" s="1"/>
      <c r="B602" s="992" t="s">
        <v>380</v>
      </c>
      <c r="C602" s="1"/>
      <c r="D602" s="1"/>
      <c r="E602" s="1"/>
      <c r="F602" s="1"/>
      <c r="G602" s="1"/>
      <c r="H602" s="1"/>
      <c r="I602" s="1"/>
      <c r="J602" s="1"/>
      <c r="K602" s="1"/>
      <c r="L602" s="1"/>
      <c r="M602" s="1"/>
      <c r="N602" s="1"/>
      <c r="O602" s="1"/>
      <c r="P602" s="1"/>
    </row>
    <row r="603" spans="1:16" ht="13.5" x14ac:dyDescent="0.25">
      <c r="A603" s="1"/>
      <c r="B603" s="992" t="s">
        <v>381</v>
      </c>
      <c r="C603" s="1"/>
      <c r="D603" s="1"/>
      <c r="E603" s="1"/>
      <c r="F603" s="1"/>
      <c r="G603" s="1"/>
      <c r="H603" s="1"/>
      <c r="I603" s="1"/>
      <c r="J603" s="1"/>
      <c r="K603" s="1"/>
      <c r="L603" s="1"/>
      <c r="M603" s="1"/>
      <c r="N603" s="1"/>
      <c r="O603" s="1"/>
      <c r="P603" s="1"/>
    </row>
    <row r="604" spans="1:16" ht="13.5" x14ac:dyDescent="0.25">
      <c r="A604" s="1"/>
      <c r="B604" s="992" t="s">
        <v>382</v>
      </c>
      <c r="C604" s="1"/>
      <c r="D604" s="1"/>
      <c r="E604" s="1"/>
      <c r="F604" s="1"/>
      <c r="G604" s="1"/>
      <c r="H604" s="1"/>
      <c r="I604" s="1"/>
      <c r="J604" s="1"/>
      <c r="K604" s="1"/>
      <c r="L604" s="1"/>
      <c r="M604" s="1"/>
      <c r="N604" s="1"/>
      <c r="O604" s="1"/>
      <c r="P604" s="1"/>
    </row>
    <row r="605" spans="1:16" ht="13.5" x14ac:dyDescent="0.25">
      <c r="A605" s="1"/>
      <c r="B605" s="992"/>
      <c r="C605" s="1"/>
      <c r="D605" s="1"/>
      <c r="E605" s="1"/>
      <c r="F605" s="1"/>
      <c r="G605" s="1"/>
      <c r="H605" s="1"/>
      <c r="I605" s="1"/>
      <c r="J605" s="1"/>
      <c r="K605" s="1"/>
      <c r="L605" s="1"/>
      <c r="M605" s="1"/>
      <c r="N605" s="1"/>
      <c r="O605" s="1"/>
      <c r="P605" s="1"/>
    </row>
    <row r="606" spans="1:16" ht="13.5" x14ac:dyDescent="0.25">
      <c r="A606" s="1"/>
      <c r="B606" s="992" t="s">
        <v>383</v>
      </c>
      <c r="C606" s="1"/>
      <c r="D606" s="1"/>
      <c r="E606" s="1"/>
      <c r="F606" s="1"/>
      <c r="G606" s="1"/>
      <c r="H606" s="1"/>
      <c r="I606" s="1"/>
      <c r="J606" s="1"/>
      <c r="K606" s="1"/>
      <c r="L606" s="1"/>
      <c r="M606" s="1"/>
      <c r="N606" s="1"/>
      <c r="O606" s="1"/>
      <c r="P606" s="1"/>
    </row>
    <row r="607" spans="1:16" ht="13.5" x14ac:dyDescent="0.25">
      <c r="A607" s="1"/>
      <c r="B607" s="992"/>
      <c r="C607" s="1"/>
      <c r="D607" s="1"/>
      <c r="E607" s="1"/>
      <c r="F607" s="1"/>
      <c r="G607" s="1"/>
      <c r="H607" s="1"/>
      <c r="I607" s="1"/>
      <c r="J607" s="1"/>
      <c r="K607" s="1"/>
      <c r="L607" s="1"/>
      <c r="M607" s="1"/>
      <c r="N607" s="1"/>
      <c r="O607" s="1"/>
      <c r="P607" s="1"/>
    </row>
    <row r="608" spans="1:16" ht="13.5" x14ac:dyDescent="0.25">
      <c r="A608" s="1"/>
      <c r="B608" s="992" t="s">
        <v>384</v>
      </c>
      <c r="C608" s="1"/>
      <c r="D608" s="1"/>
      <c r="E608" s="1"/>
      <c r="F608" s="1"/>
      <c r="G608" s="1"/>
      <c r="H608" s="1"/>
      <c r="I608" s="1"/>
      <c r="J608" s="1"/>
      <c r="K608" s="1"/>
      <c r="L608" s="1"/>
      <c r="M608" s="1"/>
      <c r="N608" s="1"/>
      <c r="O608" s="1"/>
      <c r="P608" s="1"/>
    </row>
    <row r="609" spans="1:16" ht="13.5" x14ac:dyDescent="0.25">
      <c r="A609" s="1"/>
      <c r="B609" s="992" t="s">
        <v>385</v>
      </c>
      <c r="C609" s="1"/>
      <c r="D609" s="1"/>
      <c r="E609" s="1"/>
      <c r="F609" s="1"/>
      <c r="G609" s="1"/>
      <c r="H609" s="1"/>
      <c r="I609" s="1"/>
      <c r="J609" s="1"/>
      <c r="K609" s="1"/>
      <c r="L609" s="1"/>
      <c r="M609" s="1"/>
      <c r="N609" s="1"/>
      <c r="O609" s="1"/>
      <c r="P609" s="1"/>
    </row>
    <row r="610" spans="1:16" ht="13.5" x14ac:dyDescent="0.25">
      <c r="A610" s="1"/>
      <c r="B610" s="992" t="s">
        <v>386</v>
      </c>
      <c r="C610" s="1"/>
      <c r="D610" s="1"/>
      <c r="E610" s="1"/>
      <c r="F610" s="1"/>
      <c r="G610" s="1"/>
      <c r="H610" s="1"/>
      <c r="I610" s="1"/>
      <c r="J610" s="1"/>
      <c r="K610" s="1"/>
      <c r="L610" s="1"/>
      <c r="M610" s="1"/>
      <c r="N610" s="1"/>
      <c r="O610" s="1"/>
      <c r="P610" s="1"/>
    </row>
    <row r="611" spans="1:16" ht="13.5" x14ac:dyDescent="0.25">
      <c r="A611" s="1"/>
      <c r="B611" s="992" t="s">
        <v>387</v>
      </c>
      <c r="C611" s="1"/>
      <c r="D611" s="1"/>
      <c r="E611" s="1"/>
      <c r="F611" s="1"/>
      <c r="G611" s="1"/>
      <c r="H611" s="1"/>
      <c r="I611" s="1"/>
      <c r="J611" s="1"/>
      <c r="K611" s="1"/>
      <c r="L611" s="1"/>
      <c r="M611" s="1"/>
      <c r="N611" s="1"/>
      <c r="O611" s="1"/>
      <c r="P611" s="1"/>
    </row>
    <row r="612" spans="1:16" ht="13.5" x14ac:dyDescent="0.25">
      <c r="A612" s="1"/>
      <c r="B612" s="992" t="s">
        <v>388</v>
      </c>
      <c r="C612" s="1"/>
      <c r="D612" s="1"/>
      <c r="E612" s="1"/>
      <c r="F612" s="1"/>
      <c r="G612" s="1"/>
      <c r="H612" s="1"/>
      <c r="I612" s="1"/>
      <c r="J612" s="1"/>
      <c r="K612" s="1"/>
      <c r="L612" s="1"/>
      <c r="M612" s="1"/>
      <c r="N612" s="1"/>
      <c r="O612" s="1"/>
      <c r="P612" s="1"/>
    </row>
    <row r="613" spans="1:16" ht="13.5" x14ac:dyDescent="0.25">
      <c r="A613" s="1"/>
      <c r="B613" s="992" t="s">
        <v>389</v>
      </c>
      <c r="C613" s="1"/>
      <c r="D613" s="1"/>
      <c r="E613" s="1"/>
      <c r="F613" s="1"/>
      <c r="G613" s="1"/>
      <c r="H613" s="1"/>
      <c r="I613" s="1"/>
      <c r="J613" s="1"/>
      <c r="K613" s="1"/>
      <c r="L613" s="1"/>
      <c r="M613" s="1"/>
      <c r="N613" s="1"/>
      <c r="O613" s="1"/>
      <c r="P613" s="1"/>
    </row>
    <row r="614" spans="1:16" ht="13.5" x14ac:dyDescent="0.25">
      <c r="A614" s="1"/>
      <c r="B614" s="992" t="s">
        <v>390</v>
      </c>
      <c r="C614" s="1"/>
      <c r="D614" s="1"/>
      <c r="E614" s="1"/>
      <c r="F614" s="1"/>
      <c r="G614" s="1"/>
      <c r="H614" s="1"/>
      <c r="I614" s="1"/>
      <c r="J614" s="1"/>
      <c r="K614" s="1"/>
      <c r="L614" s="1"/>
      <c r="M614" s="1"/>
      <c r="N614" s="1"/>
      <c r="O614" s="1"/>
      <c r="P614" s="1"/>
    </row>
    <row r="615" spans="1:16" ht="13.5" x14ac:dyDescent="0.25">
      <c r="A615" s="1"/>
      <c r="B615" s="992" t="s">
        <v>391</v>
      </c>
      <c r="C615" s="1"/>
      <c r="D615" s="1"/>
      <c r="E615" s="1"/>
      <c r="F615" s="1"/>
      <c r="G615" s="1"/>
      <c r="H615" s="1"/>
      <c r="I615" s="1"/>
      <c r="J615" s="1"/>
      <c r="K615" s="1"/>
      <c r="L615" s="1"/>
      <c r="M615" s="1"/>
      <c r="N615" s="1"/>
      <c r="O615" s="1"/>
      <c r="P615" s="1"/>
    </row>
    <row r="616" spans="1:16" ht="13.5" x14ac:dyDescent="0.25">
      <c r="A616" s="1"/>
      <c r="B616" s="992"/>
      <c r="C616" s="1"/>
      <c r="D616" s="1"/>
      <c r="E616" s="1"/>
      <c r="F616" s="1"/>
      <c r="G616" s="1"/>
      <c r="H616" s="1"/>
      <c r="I616" s="1"/>
      <c r="J616" s="1"/>
      <c r="K616" s="1"/>
      <c r="L616" s="1"/>
      <c r="M616" s="1"/>
      <c r="N616" s="1"/>
      <c r="O616" s="1"/>
      <c r="P616" s="1"/>
    </row>
    <row r="617" spans="1:16" ht="13.5" x14ac:dyDescent="0.25">
      <c r="A617" s="1"/>
      <c r="B617" s="992" t="s">
        <v>392</v>
      </c>
      <c r="C617" s="1"/>
      <c r="D617" s="1"/>
      <c r="E617" s="1"/>
      <c r="F617" s="1"/>
      <c r="G617" s="1"/>
      <c r="H617" s="1"/>
      <c r="I617" s="1"/>
      <c r="J617" s="1"/>
      <c r="K617" s="1"/>
      <c r="L617" s="1"/>
      <c r="M617" s="1"/>
      <c r="N617" s="1"/>
      <c r="O617" s="1"/>
      <c r="P617" s="1"/>
    </row>
    <row r="618" spans="1:16" ht="13.5" x14ac:dyDescent="0.25">
      <c r="A618" s="1"/>
      <c r="B618" s="992"/>
      <c r="C618" s="1"/>
      <c r="D618" s="1"/>
      <c r="E618" s="1"/>
      <c r="F618" s="1"/>
      <c r="G618" s="1"/>
      <c r="H618" s="1"/>
      <c r="I618" s="1"/>
      <c r="J618" s="1"/>
      <c r="K618" s="1"/>
      <c r="L618" s="1"/>
      <c r="M618" s="1"/>
      <c r="N618" s="1"/>
      <c r="O618" s="1"/>
      <c r="P618" s="1"/>
    </row>
    <row r="619" spans="1:16" ht="13.5" x14ac:dyDescent="0.25">
      <c r="A619" s="1"/>
      <c r="B619" s="992" t="s">
        <v>393</v>
      </c>
      <c r="C619" s="1"/>
      <c r="D619" s="1"/>
      <c r="E619" s="1"/>
      <c r="F619" s="1"/>
      <c r="G619" s="1"/>
      <c r="H619" s="1"/>
      <c r="I619" s="1"/>
      <c r="J619" s="1"/>
      <c r="K619" s="1"/>
      <c r="L619" s="1"/>
      <c r="M619" s="1"/>
      <c r="N619" s="1"/>
      <c r="O619" s="1"/>
      <c r="P619" s="1"/>
    </row>
    <row r="620" spans="1:16" ht="13.5" x14ac:dyDescent="0.25">
      <c r="A620" s="1"/>
      <c r="B620" s="992" t="s">
        <v>394</v>
      </c>
      <c r="C620" s="1"/>
      <c r="D620" s="1"/>
      <c r="E620" s="1"/>
      <c r="F620" s="1"/>
      <c r="G620" s="1"/>
      <c r="H620" s="1"/>
      <c r="I620" s="1"/>
      <c r="J620" s="1"/>
      <c r="K620" s="1"/>
      <c r="L620" s="1"/>
      <c r="M620" s="1"/>
      <c r="N620" s="1"/>
      <c r="O620" s="1"/>
      <c r="P620" s="1"/>
    </row>
    <row r="621" spans="1:16" ht="13.5" x14ac:dyDescent="0.25">
      <c r="A621" s="1"/>
      <c r="B621" s="992" t="s">
        <v>395</v>
      </c>
      <c r="C621" s="1"/>
      <c r="D621" s="1"/>
      <c r="E621" s="1"/>
      <c r="F621" s="1"/>
      <c r="G621" s="1"/>
      <c r="H621" s="1"/>
      <c r="I621" s="1"/>
      <c r="J621" s="1"/>
      <c r="K621" s="1"/>
      <c r="L621" s="1"/>
      <c r="M621" s="1"/>
      <c r="N621" s="1"/>
      <c r="O621" s="1"/>
      <c r="P621" s="1"/>
    </row>
    <row r="622" spans="1:16" ht="13.5" x14ac:dyDescent="0.25">
      <c r="A622" s="1"/>
      <c r="B622" s="992" t="s">
        <v>396</v>
      </c>
      <c r="C622" s="1"/>
      <c r="D622" s="1"/>
      <c r="E622" s="1"/>
      <c r="F622" s="1"/>
      <c r="G622" s="1"/>
      <c r="H622" s="1"/>
      <c r="I622" s="1"/>
      <c r="J622" s="1"/>
      <c r="K622" s="1"/>
      <c r="L622" s="1"/>
      <c r="M622" s="1"/>
      <c r="N622" s="1"/>
      <c r="O622" s="1"/>
      <c r="P622" s="1"/>
    </row>
    <row r="623" spans="1:16" ht="13.5" x14ac:dyDescent="0.25">
      <c r="A623" s="1"/>
      <c r="B623" s="992"/>
      <c r="C623" s="1"/>
      <c r="D623" s="1"/>
      <c r="E623" s="1"/>
      <c r="F623" s="1"/>
      <c r="G623" s="1"/>
      <c r="H623" s="1"/>
      <c r="I623" s="1"/>
      <c r="J623" s="1"/>
      <c r="K623" s="1"/>
      <c r="L623" s="1"/>
      <c r="M623" s="1"/>
      <c r="N623" s="1"/>
      <c r="O623" s="1"/>
      <c r="P623" s="1"/>
    </row>
    <row r="624" spans="1:16" ht="13.5" x14ac:dyDescent="0.25">
      <c r="A624" s="1"/>
      <c r="B624" s="992" t="s">
        <v>397</v>
      </c>
      <c r="C624" s="1"/>
      <c r="D624" s="1"/>
      <c r="E624" s="1"/>
      <c r="F624" s="1"/>
      <c r="G624" s="1"/>
      <c r="H624" s="1"/>
      <c r="I624" s="1"/>
      <c r="J624" s="1"/>
      <c r="K624" s="1"/>
      <c r="L624" s="1"/>
      <c r="M624" s="1"/>
      <c r="N624" s="1"/>
      <c r="O624" s="1"/>
      <c r="P624" s="1"/>
    </row>
    <row r="625" spans="1:16" ht="13.5" x14ac:dyDescent="0.25">
      <c r="A625" s="1"/>
      <c r="B625" s="992" t="s">
        <v>398</v>
      </c>
      <c r="C625" s="1"/>
      <c r="D625" s="1"/>
      <c r="E625" s="1"/>
      <c r="F625" s="1"/>
      <c r="G625" s="1"/>
      <c r="H625" s="1"/>
      <c r="I625" s="1"/>
      <c r="J625" s="1"/>
      <c r="K625" s="1"/>
      <c r="L625" s="1"/>
      <c r="M625" s="1"/>
      <c r="N625" s="1"/>
      <c r="O625" s="1"/>
      <c r="P625" s="1"/>
    </row>
    <row r="626" spans="1:16" ht="13.5" x14ac:dyDescent="0.25">
      <c r="A626" s="1"/>
      <c r="B626" s="992" t="s">
        <v>399</v>
      </c>
      <c r="C626" s="1"/>
      <c r="D626" s="1"/>
      <c r="E626" s="1"/>
      <c r="F626" s="1"/>
      <c r="G626" s="1"/>
      <c r="H626" s="1"/>
      <c r="I626" s="1"/>
      <c r="J626" s="1"/>
      <c r="K626" s="1"/>
      <c r="L626" s="1"/>
      <c r="M626" s="1"/>
      <c r="N626" s="1"/>
      <c r="O626" s="1"/>
      <c r="P626" s="1"/>
    </row>
    <row r="627" spans="1:16" ht="13.5" x14ac:dyDescent="0.25">
      <c r="A627" s="1"/>
      <c r="B627" s="992" t="s">
        <v>400</v>
      </c>
      <c r="C627" s="1"/>
      <c r="D627" s="1"/>
      <c r="E627" s="1"/>
      <c r="F627" s="1"/>
      <c r="G627" s="1"/>
      <c r="H627" s="1"/>
      <c r="I627" s="1"/>
      <c r="J627" s="1"/>
      <c r="K627" s="1"/>
      <c r="L627" s="1"/>
      <c r="M627" s="1"/>
      <c r="N627" s="1"/>
      <c r="O627" s="1"/>
      <c r="P627" s="1"/>
    </row>
    <row r="628" spans="1:16" ht="13.5" x14ac:dyDescent="0.25">
      <c r="A628" s="1"/>
      <c r="B628" s="992" t="s">
        <v>401</v>
      </c>
      <c r="C628" s="1"/>
      <c r="D628" s="1"/>
      <c r="E628" s="1"/>
      <c r="F628" s="1"/>
      <c r="G628" s="1"/>
      <c r="H628" s="1"/>
      <c r="I628" s="1"/>
      <c r="J628" s="1"/>
      <c r="K628" s="1"/>
      <c r="L628" s="1"/>
      <c r="M628" s="1"/>
      <c r="N628" s="1"/>
      <c r="O628" s="1"/>
      <c r="P628" s="1"/>
    </row>
    <row r="629" spans="1:16" ht="13.5" x14ac:dyDescent="0.25">
      <c r="A629" s="1"/>
      <c r="B629" s="992" t="s">
        <v>402</v>
      </c>
      <c r="C629" s="1"/>
      <c r="D629" s="1"/>
      <c r="E629" s="1"/>
      <c r="F629" s="1"/>
      <c r="G629" s="1"/>
      <c r="H629" s="1"/>
      <c r="I629" s="1"/>
      <c r="J629" s="1"/>
      <c r="K629" s="1"/>
      <c r="L629" s="1"/>
      <c r="M629" s="1"/>
      <c r="N629" s="1"/>
      <c r="O629" s="1"/>
      <c r="P629" s="1"/>
    </row>
    <row r="630" spans="1:16" ht="13.5" x14ac:dyDescent="0.25">
      <c r="A630" s="1"/>
      <c r="B630" s="992" t="s">
        <v>403</v>
      </c>
      <c r="C630" s="1"/>
      <c r="D630" s="1"/>
      <c r="E630" s="1"/>
      <c r="F630" s="1"/>
      <c r="G630" s="1"/>
      <c r="H630" s="1"/>
      <c r="I630" s="1"/>
      <c r="J630" s="1"/>
      <c r="K630" s="1"/>
      <c r="L630" s="1"/>
      <c r="M630" s="1"/>
      <c r="N630" s="1"/>
      <c r="O630" s="1"/>
      <c r="P630" s="1"/>
    </row>
    <row r="631" spans="1:16" ht="13.5" x14ac:dyDescent="0.25">
      <c r="A631" s="1"/>
      <c r="B631" s="992" t="s">
        <v>404</v>
      </c>
      <c r="C631" s="1"/>
      <c r="D631" s="1"/>
      <c r="E631" s="1"/>
      <c r="F631" s="1"/>
      <c r="G631" s="1"/>
      <c r="H631" s="1"/>
      <c r="I631" s="1"/>
      <c r="J631" s="1"/>
      <c r="K631" s="1"/>
      <c r="L631" s="1"/>
      <c r="M631" s="1"/>
      <c r="N631" s="1"/>
      <c r="O631" s="1"/>
      <c r="P631" s="1"/>
    </row>
    <row r="632" spans="1:16" ht="13.5" x14ac:dyDescent="0.25">
      <c r="A632" s="1"/>
      <c r="B632" s="992"/>
      <c r="C632" s="1"/>
      <c r="D632" s="1"/>
      <c r="E632" s="1"/>
      <c r="F632" s="1"/>
      <c r="G632" s="1"/>
      <c r="H632" s="1"/>
      <c r="I632" s="1"/>
      <c r="J632" s="1"/>
      <c r="K632" s="1"/>
      <c r="L632" s="1"/>
      <c r="M632" s="1"/>
      <c r="N632" s="1"/>
      <c r="O632" s="1"/>
      <c r="P632" s="1"/>
    </row>
    <row r="633" spans="1:16" ht="13.5" x14ac:dyDescent="0.25">
      <c r="A633" s="1"/>
      <c r="B633" s="992" t="s">
        <v>405</v>
      </c>
      <c r="C633" s="1"/>
      <c r="D633" s="1"/>
      <c r="E633" s="1"/>
      <c r="F633" s="1"/>
      <c r="G633" s="1"/>
      <c r="H633" s="1"/>
      <c r="I633" s="1"/>
      <c r="J633" s="1"/>
      <c r="K633" s="1"/>
      <c r="L633" s="1"/>
      <c r="M633" s="1"/>
      <c r="N633" s="1"/>
      <c r="O633" s="1"/>
      <c r="P633" s="1"/>
    </row>
    <row r="634" spans="1:16" ht="13.5" x14ac:dyDescent="0.25">
      <c r="A634" s="1"/>
      <c r="B634" s="992" t="s">
        <v>406</v>
      </c>
      <c r="C634" s="1"/>
      <c r="D634" s="1"/>
      <c r="E634" s="1"/>
      <c r="F634" s="1"/>
      <c r="G634" s="1"/>
      <c r="H634" s="1"/>
      <c r="I634" s="1"/>
      <c r="J634" s="1"/>
      <c r="K634" s="1"/>
      <c r="L634" s="1"/>
      <c r="M634" s="1"/>
      <c r="N634" s="1"/>
      <c r="O634" s="1"/>
      <c r="P634" s="1"/>
    </row>
    <row r="635" spans="1:16" ht="13.5" x14ac:dyDescent="0.25">
      <c r="A635" s="1"/>
      <c r="B635" s="992" t="s">
        <v>407</v>
      </c>
      <c r="C635" s="1"/>
      <c r="D635" s="1"/>
      <c r="E635" s="1"/>
      <c r="F635" s="1"/>
      <c r="G635" s="1"/>
      <c r="H635" s="1"/>
      <c r="I635" s="1"/>
      <c r="J635" s="1"/>
      <c r="K635" s="1"/>
      <c r="L635" s="1"/>
      <c r="M635" s="1"/>
      <c r="N635" s="1"/>
      <c r="O635" s="1"/>
      <c r="P635" s="1"/>
    </row>
    <row r="636" spans="1:16" ht="13.5" x14ac:dyDescent="0.25">
      <c r="A636" s="1"/>
      <c r="B636" s="992" t="s">
        <v>408</v>
      </c>
      <c r="C636" s="1"/>
      <c r="D636" s="1"/>
      <c r="E636" s="1"/>
      <c r="F636" s="1"/>
      <c r="G636" s="1"/>
      <c r="H636" s="1"/>
      <c r="I636" s="1"/>
      <c r="J636" s="1"/>
      <c r="K636" s="1"/>
      <c r="L636" s="1"/>
      <c r="M636" s="1"/>
      <c r="N636" s="1"/>
      <c r="O636" s="1"/>
      <c r="P636" s="1"/>
    </row>
    <row r="637" spans="1:16" ht="13.5" x14ac:dyDescent="0.25">
      <c r="A637" s="1"/>
      <c r="B637" s="992"/>
      <c r="C637" s="1"/>
      <c r="D637" s="1"/>
      <c r="E637" s="1"/>
      <c r="F637" s="1"/>
      <c r="G637" s="1"/>
      <c r="H637" s="1"/>
      <c r="I637" s="1"/>
      <c r="J637" s="1"/>
      <c r="K637" s="1"/>
      <c r="L637" s="1"/>
      <c r="M637" s="1"/>
      <c r="N637" s="1"/>
      <c r="O637" s="1"/>
      <c r="P637" s="1"/>
    </row>
    <row r="638" spans="1:16" ht="13.5" x14ac:dyDescent="0.25">
      <c r="A638" s="1"/>
      <c r="B638" s="992" t="s">
        <v>409</v>
      </c>
      <c r="C638" s="1"/>
      <c r="D638" s="1"/>
      <c r="E638" s="1"/>
      <c r="F638" s="1"/>
      <c r="G638" s="1"/>
      <c r="H638" s="1"/>
      <c r="I638" s="1"/>
      <c r="J638" s="1"/>
      <c r="K638" s="1"/>
      <c r="L638" s="1"/>
      <c r="M638" s="1"/>
      <c r="N638" s="1"/>
      <c r="O638" s="1"/>
      <c r="P638" s="1"/>
    </row>
    <row r="639" spans="1:16" ht="13.5" x14ac:dyDescent="0.25">
      <c r="A639" s="1"/>
      <c r="B639" s="992" t="s">
        <v>410</v>
      </c>
      <c r="C639" s="1"/>
      <c r="D639" s="1"/>
      <c r="E639" s="1"/>
      <c r="F639" s="1"/>
      <c r="G639" s="1"/>
      <c r="H639" s="1"/>
      <c r="I639" s="1"/>
      <c r="J639" s="1"/>
      <c r="K639" s="1"/>
      <c r="L639" s="1"/>
      <c r="M639" s="1"/>
      <c r="N639" s="1"/>
      <c r="O639" s="1"/>
      <c r="P639" s="1"/>
    </row>
    <row r="640" spans="1:16" ht="13.5" x14ac:dyDescent="0.25">
      <c r="A640" s="1"/>
      <c r="B640" s="992" t="s">
        <v>411</v>
      </c>
      <c r="C640" s="1"/>
      <c r="D640" s="1"/>
      <c r="E640" s="1"/>
      <c r="F640" s="1"/>
      <c r="G640" s="1"/>
      <c r="H640" s="1"/>
      <c r="I640" s="1"/>
      <c r="J640" s="1"/>
      <c r="K640" s="1"/>
      <c r="L640" s="1"/>
      <c r="M640" s="1"/>
      <c r="N640" s="1"/>
      <c r="O640" s="1"/>
      <c r="P640" s="1"/>
    </row>
    <row r="641" spans="1:16" ht="13.5" x14ac:dyDescent="0.25">
      <c r="A641" s="1"/>
      <c r="B641" s="992" t="s">
        <v>412</v>
      </c>
      <c r="C641" s="1"/>
      <c r="D641" s="1"/>
      <c r="E641" s="1"/>
      <c r="F641" s="1"/>
      <c r="G641" s="1"/>
      <c r="H641" s="1"/>
      <c r="I641" s="1"/>
      <c r="J641" s="1"/>
      <c r="K641" s="1"/>
      <c r="L641" s="1"/>
      <c r="M641" s="1"/>
      <c r="N641" s="1"/>
      <c r="O641" s="1"/>
      <c r="P641" s="1"/>
    </row>
    <row r="642" spans="1:16" ht="13.5" x14ac:dyDescent="0.25">
      <c r="A642" s="1"/>
      <c r="B642" s="992"/>
      <c r="C642" s="1"/>
      <c r="D642" s="1"/>
      <c r="E642" s="1"/>
      <c r="F642" s="1"/>
      <c r="G642" s="1"/>
      <c r="H642" s="1"/>
      <c r="I642" s="1"/>
      <c r="J642" s="1"/>
      <c r="K642" s="1"/>
      <c r="L642" s="1"/>
      <c r="M642" s="1"/>
      <c r="N642" s="1"/>
      <c r="O642" s="1"/>
      <c r="P642" s="1"/>
    </row>
    <row r="643" spans="1:16" ht="13.5" x14ac:dyDescent="0.25">
      <c r="A643" s="1"/>
      <c r="B643" s="992" t="s">
        <v>413</v>
      </c>
      <c r="C643" s="1"/>
      <c r="D643" s="1"/>
      <c r="E643" s="1"/>
      <c r="F643" s="1"/>
      <c r="G643" s="1"/>
      <c r="H643" s="1"/>
      <c r="I643" s="1"/>
      <c r="J643" s="1"/>
      <c r="K643" s="1"/>
      <c r="L643" s="1"/>
      <c r="M643" s="1"/>
      <c r="N643" s="1"/>
      <c r="O643" s="1"/>
      <c r="P643" s="1"/>
    </row>
    <row r="644" spans="1:16" ht="13.5" x14ac:dyDescent="0.25">
      <c r="A644" s="1"/>
      <c r="B644" s="992"/>
      <c r="C644" s="1"/>
      <c r="D644" s="1"/>
      <c r="E644" s="1"/>
      <c r="F644" s="1"/>
      <c r="G644" s="1"/>
      <c r="H644" s="1"/>
      <c r="I644" s="1"/>
      <c r="J644" s="1"/>
      <c r="K644" s="1"/>
      <c r="L644" s="1"/>
      <c r="M644" s="1"/>
      <c r="N644" s="1"/>
      <c r="O644" s="1"/>
      <c r="P644" s="1"/>
    </row>
    <row r="645" spans="1:16" ht="13.5" x14ac:dyDescent="0.25">
      <c r="A645" s="1"/>
      <c r="B645" s="992" t="s">
        <v>414</v>
      </c>
      <c r="C645" s="1"/>
      <c r="D645" s="1"/>
      <c r="E645" s="1"/>
      <c r="F645" s="1"/>
      <c r="G645" s="1"/>
      <c r="H645" s="1"/>
      <c r="I645" s="1"/>
      <c r="J645" s="1"/>
      <c r="K645" s="1"/>
      <c r="L645" s="1"/>
      <c r="M645" s="1"/>
      <c r="N645" s="1"/>
      <c r="O645" s="1"/>
      <c r="P645" s="1"/>
    </row>
    <row r="646" spans="1:16" ht="13.5" x14ac:dyDescent="0.25">
      <c r="A646" s="1"/>
      <c r="B646" s="992" t="s">
        <v>415</v>
      </c>
      <c r="C646" s="1"/>
      <c r="D646" s="1"/>
      <c r="E646" s="1"/>
      <c r="F646" s="1"/>
      <c r="G646" s="1"/>
      <c r="H646" s="1"/>
      <c r="I646" s="1"/>
      <c r="J646" s="1"/>
      <c r="K646" s="1"/>
      <c r="L646" s="1"/>
      <c r="M646" s="1"/>
      <c r="N646" s="1"/>
      <c r="O646" s="1"/>
      <c r="P646" s="1"/>
    </row>
    <row r="647" spans="1:16" ht="13.5" x14ac:dyDescent="0.25">
      <c r="A647" s="1"/>
      <c r="B647" s="992" t="s">
        <v>416</v>
      </c>
      <c r="C647" s="1"/>
      <c r="D647" s="1"/>
      <c r="E647" s="1"/>
      <c r="F647" s="1"/>
      <c r="G647" s="1"/>
      <c r="H647" s="1"/>
      <c r="I647" s="1"/>
      <c r="J647" s="1"/>
      <c r="K647" s="1"/>
      <c r="L647" s="1"/>
      <c r="M647" s="1"/>
      <c r="N647" s="1"/>
      <c r="O647" s="1"/>
      <c r="P647" s="1"/>
    </row>
    <row r="648" spans="1:16" ht="13.5" x14ac:dyDescent="0.25">
      <c r="A648" s="1"/>
      <c r="B648" s="992" t="s">
        <v>417</v>
      </c>
      <c r="C648" s="1"/>
      <c r="D648" s="1"/>
      <c r="E648" s="1"/>
      <c r="F648" s="1"/>
      <c r="G648" s="1"/>
      <c r="H648" s="1"/>
      <c r="I648" s="1"/>
      <c r="J648" s="1"/>
      <c r="K648" s="1"/>
      <c r="L648" s="1"/>
      <c r="M648" s="1"/>
      <c r="N648" s="1"/>
      <c r="O648" s="1"/>
      <c r="P648" s="1"/>
    </row>
    <row r="649" spans="1:16" ht="13.5" x14ac:dyDescent="0.25">
      <c r="A649" s="1"/>
      <c r="B649" s="992" t="s">
        <v>418</v>
      </c>
      <c r="C649" s="1"/>
      <c r="D649" s="1"/>
      <c r="E649" s="1"/>
      <c r="F649" s="1"/>
      <c r="G649" s="1"/>
      <c r="H649" s="1"/>
      <c r="I649" s="1"/>
      <c r="J649" s="1"/>
      <c r="K649" s="1"/>
      <c r="L649" s="1"/>
      <c r="M649" s="1"/>
      <c r="N649" s="1"/>
      <c r="O649" s="1"/>
      <c r="P649" s="1"/>
    </row>
    <row r="650" spans="1:16" ht="13.5" x14ac:dyDescent="0.25">
      <c r="A650" s="1"/>
      <c r="B650" s="992" t="s">
        <v>419</v>
      </c>
      <c r="C650" s="1"/>
      <c r="D650" s="1"/>
      <c r="E650" s="1"/>
      <c r="F650" s="1"/>
      <c r="G650" s="1"/>
      <c r="H650" s="1"/>
      <c r="I650" s="1"/>
      <c r="J650" s="1"/>
      <c r="K650" s="1"/>
      <c r="L650" s="1"/>
      <c r="M650" s="1"/>
      <c r="N650" s="1"/>
      <c r="O650" s="1"/>
      <c r="P650" s="1"/>
    </row>
    <row r="651" spans="1:16" ht="13.5" x14ac:dyDescent="0.25">
      <c r="A651" s="1"/>
      <c r="B651" s="992" t="s">
        <v>420</v>
      </c>
      <c r="C651" s="1"/>
      <c r="D651" s="1"/>
      <c r="E651" s="1"/>
      <c r="F651" s="1"/>
      <c r="G651" s="1"/>
      <c r="H651" s="1"/>
      <c r="I651" s="1"/>
      <c r="J651" s="1"/>
      <c r="K651" s="1"/>
      <c r="L651" s="1"/>
      <c r="M651" s="1"/>
      <c r="N651" s="1"/>
      <c r="O651" s="1"/>
      <c r="P651" s="1"/>
    </row>
    <row r="652" spans="1:16" ht="13.5" x14ac:dyDescent="0.25">
      <c r="A652" s="1"/>
      <c r="B652" s="992" t="s">
        <v>421</v>
      </c>
      <c r="C652" s="1"/>
      <c r="D652" s="1"/>
      <c r="E652" s="1"/>
      <c r="F652" s="1"/>
      <c r="G652" s="1"/>
      <c r="H652" s="1"/>
      <c r="I652" s="1"/>
      <c r="J652" s="1"/>
      <c r="K652" s="1"/>
      <c r="L652" s="1"/>
      <c r="M652" s="1"/>
      <c r="N652" s="1"/>
      <c r="O652" s="1"/>
      <c r="P652" s="1"/>
    </row>
    <row r="653" spans="1:16" ht="13.5" x14ac:dyDescent="0.25">
      <c r="A653" s="1"/>
      <c r="B653" s="992"/>
      <c r="C653" s="1"/>
      <c r="D653" s="1"/>
      <c r="E653" s="1"/>
      <c r="F653" s="1"/>
      <c r="G653" s="1"/>
      <c r="H653" s="1"/>
      <c r="I653" s="1"/>
      <c r="J653" s="1"/>
      <c r="K653" s="1"/>
      <c r="L653" s="1"/>
      <c r="M653" s="1"/>
      <c r="N653" s="1"/>
      <c r="O653" s="1"/>
      <c r="P653" s="1"/>
    </row>
    <row r="654" spans="1:16" ht="13.5" x14ac:dyDescent="0.25">
      <c r="A654" s="1"/>
      <c r="B654" s="992" t="s">
        <v>422</v>
      </c>
      <c r="C654" s="1"/>
      <c r="D654" s="1"/>
      <c r="E654" s="1"/>
      <c r="F654" s="1"/>
      <c r="G654" s="1"/>
      <c r="H654" s="1"/>
      <c r="I654" s="1"/>
      <c r="J654" s="1"/>
      <c r="K654" s="1"/>
      <c r="L654" s="1"/>
      <c r="M654" s="1"/>
      <c r="N654" s="1"/>
      <c r="O654" s="1"/>
      <c r="P654" s="1"/>
    </row>
    <row r="655" spans="1:16" ht="13.5" x14ac:dyDescent="0.25">
      <c r="A655" s="1"/>
      <c r="B655" s="992"/>
      <c r="C655" s="1"/>
      <c r="D655" s="1"/>
      <c r="E655" s="1"/>
      <c r="F655" s="1"/>
      <c r="G655" s="1"/>
      <c r="H655" s="1"/>
      <c r="I655" s="1"/>
      <c r="J655" s="1"/>
      <c r="K655" s="1"/>
      <c r="L655" s="1"/>
      <c r="M655" s="1"/>
      <c r="N655" s="1"/>
      <c r="O655" s="1"/>
      <c r="P655" s="1"/>
    </row>
    <row r="656" spans="1:16" ht="13.5" x14ac:dyDescent="0.25">
      <c r="A656" s="1"/>
      <c r="B656" s="992" t="s">
        <v>423</v>
      </c>
      <c r="C656" s="1"/>
      <c r="D656" s="1"/>
      <c r="E656" s="1"/>
      <c r="F656" s="1"/>
      <c r="G656" s="1"/>
      <c r="H656" s="1"/>
      <c r="I656" s="1"/>
      <c r="J656" s="1"/>
      <c r="K656" s="1"/>
      <c r="L656" s="1"/>
      <c r="M656" s="1"/>
      <c r="N656" s="1"/>
      <c r="O656" s="1"/>
      <c r="P656" s="1"/>
    </row>
    <row r="657" spans="1:16" ht="13.5" x14ac:dyDescent="0.25">
      <c r="A657" s="1"/>
      <c r="B657" s="992" t="s">
        <v>424</v>
      </c>
      <c r="C657" s="1"/>
      <c r="D657" s="1"/>
      <c r="E657" s="1"/>
      <c r="F657" s="1"/>
      <c r="G657" s="1"/>
      <c r="H657" s="1"/>
      <c r="I657" s="1"/>
      <c r="J657" s="1"/>
      <c r="K657" s="1"/>
      <c r="L657" s="1"/>
      <c r="M657" s="1"/>
      <c r="N657" s="1"/>
      <c r="O657" s="1"/>
      <c r="P657" s="1"/>
    </row>
    <row r="658" spans="1:16" ht="13.5" x14ac:dyDescent="0.25">
      <c r="A658" s="1"/>
      <c r="B658" s="992" t="s">
        <v>425</v>
      </c>
      <c r="C658" s="1"/>
      <c r="D658" s="1"/>
      <c r="E658" s="1"/>
      <c r="F658" s="1"/>
      <c r="G658" s="1"/>
      <c r="H658" s="1"/>
      <c r="I658" s="1"/>
      <c r="J658" s="1"/>
      <c r="K658" s="1"/>
      <c r="L658" s="1"/>
      <c r="M658" s="1"/>
      <c r="N658" s="1"/>
      <c r="O658" s="1"/>
      <c r="P658" s="1"/>
    </row>
    <row r="659" spans="1:16" ht="13.5" x14ac:dyDescent="0.25">
      <c r="A659" s="1"/>
      <c r="B659" s="992" t="s">
        <v>426</v>
      </c>
      <c r="C659" s="1"/>
      <c r="D659" s="1"/>
      <c r="E659" s="1"/>
      <c r="F659" s="1"/>
      <c r="G659" s="1"/>
      <c r="H659" s="1"/>
      <c r="I659" s="1"/>
      <c r="J659" s="1"/>
      <c r="K659" s="1"/>
      <c r="L659" s="1"/>
      <c r="M659" s="1"/>
      <c r="N659" s="1"/>
      <c r="O659" s="1"/>
      <c r="P659" s="1"/>
    </row>
    <row r="660" spans="1:16" ht="13.5" x14ac:dyDescent="0.25">
      <c r="A660" s="1"/>
      <c r="B660" s="992" t="s">
        <v>427</v>
      </c>
      <c r="C660" s="1"/>
      <c r="D660" s="1"/>
      <c r="E660" s="1"/>
      <c r="F660" s="1"/>
      <c r="G660" s="1"/>
      <c r="H660" s="1"/>
      <c r="I660" s="1"/>
      <c r="J660" s="1"/>
      <c r="K660" s="1"/>
      <c r="L660" s="1"/>
      <c r="M660" s="1"/>
      <c r="N660" s="1"/>
      <c r="O660" s="1"/>
      <c r="P660" s="1"/>
    </row>
    <row r="661" spans="1:16" ht="13.5" x14ac:dyDescent="0.25">
      <c r="A661" s="1"/>
      <c r="B661" s="992" t="s">
        <v>428</v>
      </c>
      <c r="C661" s="1"/>
      <c r="D661" s="1"/>
      <c r="E661" s="1"/>
      <c r="F661" s="1"/>
      <c r="G661" s="1"/>
      <c r="H661" s="1"/>
      <c r="I661" s="1"/>
      <c r="J661" s="1"/>
      <c r="K661" s="1"/>
      <c r="L661" s="1"/>
      <c r="M661" s="1"/>
      <c r="N661" s="1"/>
      <c r="O661" s="1"/>
      <c r="P661" s="1"/>
    </row>
    <row r="662" spans="1:16" ht="13.5" x14ac:dyDescent="0.25">
      <c r="A662" s="1"/>
      <c r="B662" s="992" t="s">
        <v>429</v>
      </c>
      <c r="C662" s="1"/>
      <c r="D662" s="1"/>
      <c r="E662" s="1"/>
      <c r="F662" s="1"/>
      <c r="G662" s="1"/>
      <c r="H662" s="1"/>
      <c r="I662" s="1"/>
      <c r="J662" s="1"/>
      <c r="K662" s="1"/>
      <c r="L662" s="1"/>
      <c r="M662" s="1"/>
      <c r="N662" s="1"/>
      <c r="O662" s="1"/>
      <c r="P662" s="1"/>
    </row>
    <row r="663" spans="1:16" ht="13.5" x14ac:dyDescent="0.25">
      <c r="A663" s="1"/>
      <c r="B663" s="992" t="s">
        <v>430</v>
      </c>
      <c r="C663" s="1"/>
      <c r="D663" s="1"/>
      <c r="E663" s="1"/>
      <c r="F663" s="1"/>
      <c r="G663" s="1"/>
      <c r="H663" s="1"/>
      <c r="I663" s="1"/>
      <c r="J663" s="1"/>
      <c r="K663" s="1"/>
      <c r="L663" s="1"/>
      <c r="M663" s="1"/>
      <c r="N663" s="1"/>
      <c r="O663" s="1"/>
      <c r="P663" s="1"/>
    </row>
    <row r="664" spans="1:16" ht="13.5" x14ac:dyDescent="0.25">
      <c r="A664" s="1"/>
      <c r="B664" s="992" t="s">
        <v>431</v>
      </c>
      <c r="C664" s="1"/>
      <c r="D664" s="1"/>
      <c r="E664" s="1"/>
      <c r="F664" s="1"/>
      <c r="G664" s="1"/>
      <c r="H664" s="1"/>
      <c r="I664" s="1"/>
      <c r="J664" s="1"/>
      <c r="K664" s="1"/>
      <c r="L664" s="1"/>
      <c r="M664" s="1"/>
      <c r="N664" s="1"/>
      <c r="O664" s="1"/>
      <c r="P664" s="1"/>
    </row>
    <row r="665" spans="1:16" ht="13.5" x14ac:dyDescent="0.25">
      <c r="A665" s="1"/>
      <c r="B665" s="992"/>
      <c r="C665" s="1"/>
      <c r="D665" s="1"/>
      <c r="E665" s="1"/>
      <c r="F665" s="1"/>
      <c r="G665" s="1"/>
      <c r="H665" s="1"/>
      <c r="I665" s="1"/>
      <c r="J665" s="1"/>
      <c r="K665" s="1"/>
      <c r="L665" s="1"/>
      <c r="M665" s="1"/>
      <c r="N665" s="1"/>
      <c r="O665" s="1"/>
      <c r="P665" s="1"/>
    </row>
    <row r="666" spans="1:16" ht="13.5" x14ac:dyDescent="0.25">
      <c r="A666" s="1"/>
      <c r="B666" s="992" t="s">
        <v>432</v>
      </c>
      <c r="C666" s="1"/>
      <c r="D666" s="1"/>
      <c r="E666" s="1"/>
      <c r="F666" s="1"/>
      <c r="G666" s="1"/>
      <c r="H666" s="1"/>
      <c r="I666" s="1"/>
      <c r="J666" s="1"/>
      <c r="K666" s="1"/>
      <c r="L666" s="1"/>
      <c r="M666" s="1"/>
      <c r="N666" s="1"/>
      <c r="O666" s="1"/>
      <c r="P666" s="1"/>
    </row>
    <row r="667" spans="1:16" ht="13.5" x14ac:dyDescent="0.25">
      <c r="A667" s="1"/>
      <c r="B667" s="992"/>
      <c r="C667" s="1"/>
      <c r="D667" s="1"/>
      <c r="E667" s="1"/>
      <c r="F667" s="1"/>
      <c r="G667" s="1"/>
      <c r="H667" s="1"/>
      <c r="I667" s="1"/>
      <c r="J667" s="1"/>
      <c r="K667" s="1"/>
      <c r="L667" s="1"/>
      <c r="M667" s="1"/>
      <c r="N667" s="1"/>
      <c r="O667" s="1"/>
      <c r="P667" s="1"/>
    </row>
    <row r="668" spans="1:16" ht="13.5" x14ac:dyDescent="0.25">
      <c r="A668" s="1"/>
      <c r="B668" s="992" t="s">
        <v>433</v>
      </c>
      <c r="C668" s="1"/>
      <c r="D668" s="1"/>
      <c r="E668" s="1"/>
      <c r="F668" s="1"/>
      <c r="G668" s="1"/>
      <c r="H668" s="1"/>
      <c r="I668" s="1"/>
      <c r="J668" s="1"/>
      <c r="K668" s="1"/>
      <c r="L668" s="1"/>
      <c r="M668" s="1"/>
      <c r="N668" s="1"/>
      <c r="O668" s="1"/>
      <c r="P668" s="1"/>
    </row>
    <row r="669" spans="1:16" ht="13.5" x14ac:dyDescent="0.25">
      <c r="A669" s="1"/>
      <c r="B669" s="992" t="s">
        <v>434</v>
      </c>
      <c r="C669" s="1"/>
      <c r="D669" s="1"/>
      <c r="E669" s="1"/>
      <c r="F669" s="1"/>
      <c r="G669" s="1"/>
      <c r="H669" s="1"/>
      <c r="I669" s="1"/>
      <c r="J669" s="1"/>
      <c r="K669" s="1"/>
      <c r="L669" s="1"/>
      <c r="M669" s="1"/>
      <c r="N669" s="1"/>
      <c r="O669" s="1"/>
      <c r="P669" s="1"/>
    </row>
    <row r="670" spans="1:16" ht="13.5" x14ac:dyDescent="0.25">
      <c r="A670" s="1"/>
      <c r="B670" s="992" t="s">
        <v>435</v>
      </c>
      <c r="C670" s="1"/>
      <c r="D670" s="1"/>
      <c r="E670" s="1"/>
      <c r="F670" s="1"/>
      <c r="G670" s="1"/>
      <c r="H670" s="1"/>
      <c r="I670" s="1"/>
      <c r="J670" s="1"/>
      <c r="K670" s="1"/>
      <c r="L670" s="1"/>
      <c r="M670" s="1"/>
      <c r="N670" s="1"/>
      <c r="O670" s="1"/>
      <c r="P670" s="1"/>
    </row>
    <row r="671" spans="1:16" ht="13.5" x14ac:dyDescent="0.25">
      <c r="A671" s="1"/>
      <c r="B671" s="992" t="s">
        <v>436</v>
      </c>
      <c r="C671" s="1"/>
      <c r="D671" s="1"/>
      <c r="E671" s="1"/>
      <c r="F671" s="1"/>
      <c r="G671" s="1"/>
      <c r="H671" s="1"/>
      <c r="I671" s="1"/>
      <c r="J671" s="1"/>
      <c r="K671" s="1"/>
      <c r="L671" s="1"/>
      <c r="M671" s="1"/>
      <c r="N671" s="1"/>
      <c r="O671" s="1"/>
      <c r="P671" s="1"/>
    </row>
    <row r="672" spans="1:16" ht="13.5" x14ac:dyDescent="0.25">
      <c r="A672" s="1"/>
      <c r="B672" s="992" t="s">
        <v>437</v>
      </c>
      <c r="C672" s="1"/>
      <c r="D672" s="1"/>
      <c r="E672" s="1"/>
      <c r="F672" s="1"/>
      <c r="G672" s="1"/>
      <c r="H672" s="1"/>
      <c r="I672" s="1"/>
      <c r="J672" s="1"/>
      <c r="K672" s="1"/>
      <c r="L672" s="1"/>
      <c r="M672" s="1"/>
      <c r="N672" s="1"/>
      <c r="O672" s="1"/>
      <c r="P672" s="1"/>
    </row>
    <row r="673" spans="1:16" ht="13.5" x14ac:dyDescent="0.25">
      <c r="A673" s="1"/>
      <c r="B673" s="992" t="s">
        <v>438</v>
      </c>
      <c r="C673" s="1"/>
      <c r="D673" s="1"/>
      <c r="E673" s="1"/>
      <c r="F673" s="1"/>
      <c r="G673" s="1"/>
      <c r="H673" s="1"/>
      <c r="I673" s="1"/>
      <c r="J673" s="1"/>
      <c r="K673" s="1"/>
      <c r="L673" s="1"/>
      <c r="M673" s="1"/>
      <c r="N673" s="1"/>
      <c r="O673" s="1"/>
      <c r="P673" s="1"/>
    </row>
    <row r="674" spans="1:16" ht="13.5" x14ac:dyDescent="0.25">
      <c r="A674" s="1"/>
      <c r="B674" s="992"/>
      <c r="C674" s="1"/>
      <c r="D674" s="1"/>
      <c r="E674" s="1"/>
      <c r="F674" s="1"/>
      <c r="G674" s="1"/>
      <c r="H674" s="1"/>
      <c r="I674" s="1"/>
      <c r="J674" s="1"/>
      <c r="K674" s="1"/>
      <c r="L674" s="1"/>
      <c r="M674" s="1"/>
      <c r="N674" s="1"/>
      <c r="O674" s="1"/>
      <c r="P674" s="1"/>
    </row>
    <row r="675" spans="1:16" ht="13.5" x14ac:dyDescent="0.25">
      <c r="A675" s="1"/>
      <c r="B675" s="992" t="s">
        <v>439</v>
      </c>
      <c r="C675" s="1"/>
      <c r="D675" s="1"/>
      <c r="E675" s="1"/>
      <c r="F675" s="1"/>
      <c r="G675" s="1"/>
      <c r="H675" s="1"/>
      <c r="I675" s="1"/>
      <c r="J675" s="1"/>
      <c r="K675" s="1"/>
      <c r="L675" s="1"/>
      <c r="M675" s="1"/>
      <c r="N675" s="1"/>
      <c r="O675" s="1"/>
      <c r="P675" s="1"/>
    </row>
    <row r="676" spans="1:16" ht="13.5" x14ac:dyDescent="0.25">
      <c r="A676" s="1"/>
      <c r="B676" s="992"/>
      <c r="C676" s="1"/>
      <c r="D676" s="1"/>
      <c r="E676" s="1"/>
      <c r="F676" s="1"/>
      <c r="G676" s="1"/>
      <c r="H676" s="1"/>
      <c r="I676" s="1"/>
      <c r="J676" s="1"/>
      <c r="K676" s="1"/>
      <c r="L676" s="1"/>
      <c r="M676" s="1"/>
      <c r="N676" s="1"/>
      <c r="O676" s="1"/>
      <c r="P676" s="1"/>
    </row>
    <row r="677" spans="1:16" ht="13.5" x14ac:dyDescent="0.25">
      <c r="A677" s="1"/>
      <c r="B677" s="992" t="s">
        <v>440</v>
      </c>
      <c r="C677" s="1"/>
      <c r="D677" s="1"/>
      <c r="E677" s="1"/>
      <c r="F677" s="1"/>
      <c r="G677" s="1"/>
      <c r="H677" s="1"/>
      <c r="I677" s="1"/>
      <c r="J677" s="1"/>
      <c r="K677" s="1"/>
      <c r="L677" s="1"/>
      <c r="M677" s="1"/>
      <c r="N677" s="1"/>
      <c r="O677" s="1"/>
      <c r="P677" s="1"/>
    </row>
    <row r="678" spans="1:16" ht="13.5" x14ac:dyDescent="0.25">
      <c r="A678" s="1"/>
      <c r="B678" s="992"/>
      <c r="C678" s="1"/>
      <c r="D678" s="1"/>
      <c r="E678" s="1"/>
      <c r="F678" s="1"/>
      <c r="G678" s="1"/>
      <c r="H678" s="1"/>
      <c r="I678" s="1"/>
      <c r="J678" s="1"/>
      <c r="K678" s="1"/>
      <c r="L678" s="1"/>
      <c r="M678" s="1"/>
      <c r="N678" s="1"/>
      <c r="O678" s="1"/>
      <c r="P678" s="1"/>
    </row>
    <row r="679" spans="1:16" ht="13.5" x14ac:dyDescent="0.25">
      <c r="A679" s="1"/>
      <c r="B679" s="992" t="s">
        <v>441</v>
      </c>
      <c r="C679" s="1"/>
      <c r="D679" s="1"/>
      <c r="E679" s="1"/>
      <c r="F679" s="1"/>
      <c r="G679" s="1"/>
      <c r="H679" s="1"/>
      <c r="I679" s="1"/>
      <c r="J679" s="1"/>
      <c r="K679" s="1"/>
      <c r="L679" s="1"/>
      <c r="M679" s="1"/>
      <c r="N679" s="1"/>
      <c r="O679" s="1"/>
      <c r="P679" s="1"/>
    </row>
    <row r="680" spans="1:16" ht="13.5" x14ac:dyDescent="0.25">
      <c r="A680" s="1"/>
      <c r="B680" s="992" t="s">
        <v>442</v>
      </c>
      <c r="C680" s="1"/>
      <c r="D680" s="1"/>
      <c r="E680" s="1"/>
      <c r="F680" s="1"/>
      <c r="G680" s="1"/>
      <c r="H680" s="1"/>
      <c r="I680" s="1"/>
      <c r="J680" s="1"/>
      <c r="K680" s="1"/>
      <c r="L680" s="1"/>
      <c r="M680" s="1"/>
      <c r="N680" s="1"/>
      <c r="O680" s="1"/>
      <c r="P680" s="1"/>
    </row>
    <row r="681" spans="1:16" ht="13.5" x14ac:dyDescent="0.25">
      <c r="A681" s="1"/>
      <c r="B681" s="992" t="s">
        <v>443</v>
      </c>
      <c r="C681" s="1"/>
      <c r="D681" s="1"/>
      <c r="E681" s="1"/>
      <c r="F681" s="1"/>
      <c r="G681" s="1"/>
      <c r="H681" s="1"/>
      <c r="I681" s="1"/>
      <c r="J681" s="1"/>
      <c r="K681" s="1"/>
      <c r="L681" s="1"/>
      <c r="M681" s="1"/>
      <c r="N681" s="1"/>
      <c r="O681" s="1"/>
      <c r="P681" s="1"/>
    </row>
    <row r="682" spans="1:16" ht="13.5" x14ac:dyDescent="0.25">
      <c r="A682" s="1"/>
      <c r="B682" s="992"/>
      <c r="C682" s="1"/>
      <c r="D682" s="1"/>
      <c r="E682" s="1"/>
      <c r="F682" s="1"/>
      <c r="G682" s="1"/>
      <c r="H682" s="1"/>
      <c r="I682" s="1"/>
      <c r="J682" s="1"/>
      <c r="K682" s="1"/>
      <c r="L682" s="1"/>
      <c r="M682" s="1"/>
      <c r="N682" s="1"/>
      <c r="O682" s="1"/>
      <c r="P682" s="1"/>
    </row>
    <row r="683" spans="1:16" ht="13.5" x14ac:dyDescent="0.25">
      <c r="A683" s="1"/>
      <c r="B683" s="992" t="s">
        <v>444</v>
      </c>
      <c r="C683" s="1"/>
      <c r="D683" s="1"/>
      <c r="E683" s="1"/>
      <c r="F683" s="1"/>
      <c r="G683" s="1"/>
      <c r="H683" s="1"/>
      <c r="I683" s="1"/>
      <c r="J683" s="1"/>
      <c r="K683" s="1"/>
      <c r="L683" s="1"/>
      <c r="M683" s="1"/>
      <c r="N683" s="1"/>
      <c r="O683" s="1"/>
      <c r="P683" s="1"/>
    </row>
    <row r="684" spans="1:16" ht="13.5" x14ac:dyDescent="0.25">
      <c r="A684" s="1"/>
      <c r="B684" s="992" t="s">
        <v>445</v>
      </c>
      <c r="C684" s="1"/>
      <c r="D684" s="1"/>
      <c r="E684" s="1"/>
      <c r="F684" s="1"/>
      <c r="G684" s="1"/>
      <c r="H684" s="1"/>
      <c r="I684" s="1"/>
      <c r="J684" s="1"/>
      <c r="K684" s="1"/>
      <c r="L684" s="1"/>
      <c r="M684" s="1"/>
      <c r="N684" s="1"/>
      <c r="O684" s="1"/>
      <c r="P684" s="1"/>
    </row>
    <row r="685" spans="1:16" ht="13.5" x14ac:dyDescent="0.25">
      <c r="A685" s="1"/>
      <c r="B685" s="992" t="s">
        <v>446</v>
      </c>
      <c r="C685" s="1"/>
      <c r="D685" s="1"/>
      <c r="E685" s="1"/>
      <c r="F685" s="1"/>
      <c r="G685" s="1"/>
      <c r="H685" s="1"/>
      <c r="I685" s="1"/>
      <c r="J685" s="1"/>
      <c r="K685" s="1"/>
      <c r="L685" s="1"/>
      <c r="M685" s="1"/>
      <c r="N685" s="1"/>
      <c r="O685" s="1"/>
      <c r="P685" s="1"/>
    </row>
    <row r="686" spans="1:16" ht="13.5" x14ac:dyDescent="0.25">
      <c r="A686" s="1"/>
      <c r="B686" s="992" t="s">
        <v>447</v>
      </c>
      <c r="C686" s="1"/>
      <c r="D686" s="1"/>
      <c r="E686" s="1"/>
      <c r="F686" s="1"/>
      <c r="G686" s="1"/>
      <c r="H686" s="1"/>
      <c r="I686" s="1"/>
      <c r="J686" s="1"/>
      <c r="K686" s="1"/>
      <c r="L686" s="1"/>
      <c r="M686" s="1"/>
      <c r="N686" s="1"/>
      <c r="O686" s="1"/>
      <c r="P686" s="1"/>
    </row>
    <row r="687" spans="1:16" ht="13.5" x14ac:dyDescent="0.25">
      <c r="A687" s="1"/>
      <c r="B687" s="992"/>
      <c r="C687" s="1"/>
      <c r="D687" s="1"/>
      <c r="E687" s="1"/>
      <c r="F687" s="1"/>
      <c r="G687" s="1"/>
      <c r="H687" s="1"/>
      <c r="I687" s="1"/>
      <c r="J687" s="1"/>
      <c r="K687" s="1"/>
      <c r="L687" s="1"/>
      <c r="M687" s="1"/>
      <c r="N687" s="1"/>
      <c r="O687" s="1"/>
      <c r="P687" s="1"/>
    </row>
    <row r="688" spans="1:16" ht="13.5" x14ac:dyDescent="0.25">
      <c r="A688" s="1"/>
      <c r="B688" s="992" t="s">
        <v>448</v>
      </c>
      <c r="C688" s="1"/>
      <c r="D688" s="1"/>
      <c r="E688" s="1"/>
      <c r="F688" s="1"/>
      <c r="G688" s="1"/>
      <c r="H688" s="1"/>
      <c r="I688" s="1"/>
      <c r="J688" s="1"/>
      <c r="K688" s="1"/>
      <c r="L688" s="1"/>
      <c r="M688" s="1"/>
      <c r="N688" s="1"/>
      <c r="O688" s="1"/>
      <c r="P688" s="1"/>
    </row>
    <row r="689" spans="1:16" ht="13.5" x14ac:dyDescent="0.25">
      <c r="A689" s="1"/>
      <c r="B689" s="992" t="s">
        <v>449</v>
      </c>
      <c r="C689" s="1"/>
      <c r="D689" s="1"/>
      <c r="E689" s="1"/>
      <c r="F689" s="1"/>
      <c r="G689" s="1"/>
      <c r="H689" s="1"/>
      <c r="I689" s="1"/>
      <c r="J689" s="1"/>
      <c r="K689" s="1"/>
      <c r="L689" s="1"/>
      <c r="M689" s="1"/>
      <c r="N689" s="1"/>
      <c r="O689" s="1"/>
      <c r="P689" s="1"/>
    </row>
    <row r="690" spans="1:16" ht="13.5" x14ac:dyDescent="0.25">
      <c r="A690" s="1"/>
      <c r="B690" s="992"/>
      <c r="C690" s="1"/>
      <c r="D690" s="1"/>
      <c r="E690" s="1"/>
      <c r="F690" s="1"/>
      <c r="G690" s="1"/>
      <c r="H690" s="1"/>
      <c r="I690" s="1"/>
      <c r="J690" s="1"/>
      <c r="K690" s="1"/>
      <c r="L690" s="1"/>
      <c r="M690" s="1"/>
      <c r="N690" s="1"/>
      <c r="O690" s="1"/>
      <c r="P690" s="1"/>
    </row>
    <row r="691" spans="1:16" ht="13.5" x14ac:dyDescent="0.25">
      <c r="A691" s="1"/>
      <c r="B691" s="992" t="s">
        <v>450</v>
      </c>
      <c r="C691" s="1"/>
      <c r="D691" s="1"/>
      <c r="E691" s="1"/>
      <c r="F691" s="1"/>
      <c r="G691" s="1"/>
      <c r="H691" s="1"/>
      <c r="I691" s="1"/>
      <c r="J691" s="1"/>
      <c r="K691" s="1"/>
      <c r="L691" s="1"/>
      <c r="M691" s="1"/>
      <c r="N691" s="1"/>
      <c r="O691" s="1"/>
      <c r="P691" s="1"/>
    </row>
    <row r="692" spans="1:16" ht="13.5" x14ac:dyDescent="0.25">
      <c r="A692" s="1"/>
      <c r="B692" s="992" t="s">
        <v>451</v>
      </c>
      <c r="C692" s="1"/>
      <c r="D692" s="1"/>
      <c r="E692" s="1"/>
      <c r="F692" s="1"/>
      <c r="G692" s="1"/>
      <c r="H692" s="1"/>
      <c r="I692" s="1"/>
      <c r="J692" s="1"/>
      <c r="K692" s="1"/>
      <c r="L692" s="1"/>
      <c r="M692" s="1"/>
      <c r="N692" s="1"/>
      <c r="O692" s="1"/>
      <c r="P692" s="1"/>
    </row>
    <row r="693" spans="1:16" ht="13.5" x14ac:dyDescent="0.25">
      <c r="A693" s="1"/>
      <c r="B693" s="992" t="s">
        <v>452</v>
      </c>
      <c r="C693" s="1"/>
      <c r="D693" s="1"/>
      <c r="E693" s="1"/>
      <c r="F693" s="1"/>
      <c r="G693" s="1"/>
      <c r="H693" s="1"/>
      <c r="I693" s="1"/>
      <c r="J693" s="1"/>
      <c r="K693" s="1"/>
      <c r="L693" s="1"/>
      <c r="M693" s="1"/>
      <c r="N693" s="1"/>
      <c r="O693" s="1"/>
      <c r="P693" s="1"/>
    </row>
    <row r="694" spans="1:16" ht="13.5" x14ac:dyDescent="0.25">
      <c r="A694" s="1"/>
      <c r="B694" s="992" t="s">
        <v>453</v>
      </c>
      <c r="C694" s="1"/>
      <c r="D694" s="1"/>
      <c r="E694" s="1"/>
      <c r="F694" s="1"/>
      <c r="G694" s="1"/>
      <c r="H694" s="1"/>
      <c r="I694" s="1"/>
      <c r="J694" s="1"/>
      <c r="K694" s="1"/>
      <c r="L694" s="1"/>
      <c r="M694" s="1"/>
      <c r="N694" s="1"/>
      <c r="O694" s="1"/>
      <c r="P694" s="1"/>
    </row>
    <row r="695" spans="1:16" ht="13.5" x14ac:dyDescent="0.25">
      <c r="A695" s="1"/>
      <c r="B695" s="992"/>
      <c r="C695" s="1"/>
      <c r="D695" s="1"/>
      <c r="E695" s="1"/>
      <c r="F695" s="1"/>
      <c r="G695" s="1"/>
      <c r="H695" s="1"/>
      <c r="I695" s="1"/>
      <c r="J695" s="1"/>
      <c r="K695" s="1"/>
      <c r="L695" s="1"/>
      <c r="M695" s="1"/>
      <c r="N695" s="1"/>
      <c r="O695" s="1"/>
      <c r="P695" s="1"/>
    </row>
    <row r="696" spans="1:16" ht="13.5" x14ac:dyDescent="0.25">
      <c r="A696" s="1"/>
      <c r="B696" s="992" t="s">
        <v>454</v>
      </c>
      <c r="C696" s="1"/>
      <c r="D696" s="1"/>
      <c r="E696" s="1"/>
      <c r="F696" s="1"/>
      <c r="G696" s="1"/>
      <c r="H696" s="1"/>
      <c r="I696" s="1"/>
      <c r="J696" s="1"/>
      <c r="K696" s="1"/>
      <c r="L696" s="1"/>
      <c r="M696" s="1"/>
      <c r="N696" s="1"/>
      <c r="O696" s="1"/>
      <c r="P696" s="1"/>
    </row>
    <row r="697" spans="1:16" ht="13.5" x14ac:dyDescent="0.25">
      <c r="A697" s="1"/>
      <c r="B697" s="992" t="s">
        <v>455</v>
      </c>
      <c r="C697" s="1"/>
      <c r="D697" s="1"/>
      <c r="E697" s="1"/>
      <c r="F697" s="1"/>
      <c r="G697" s="1"/>
      <c r="H697" s="1"/>
      <c r="I697" s="1"/>
      <c r="J697" s="1"/>
      <c r="K697" s="1"/>
      <c r="L697" s="1"/>
      <c r="M697" s="1"/>
      <c r="N697" s="1"/>
      <c r="O697" s="1"/>
      <c r="P697" s="1"/>
    </row>
    <row r="698" spans="1:16" ht="13.5" x14ac:dyDescent="0.25">
      <c r="A698" s="1"/>
      <c r="B698" s="992" t="s">
        <v>456</v>
      </c>
      <c r="C698" s="1"/>
      <c r="D698" s="1"/>
      <c r="E698" s="1"/>
      <c r="F698" s="1"/>
      <c r="G698" s="1"/>
      <c r="H698" s="1"/>
      <c r="I698" s="1"/>
      <c r="J698" s="1"/>
      <c r="K698" s="1"/>
      <c r="L698" s="1"/>
      <c r="M698" s="1"/>
      <c r="N698" s="1"/>
      <c r="O698" s="1"/>
      <c r="P698" s="1"/>
    </row>
    <row r="699" spans="1:16" ht="13.5" x14ac:dyDescent="0.25">
      <c r="A699" s="1"/>
      <c r="B699" s="992" t="s">
        <v>457</v>
      </c>
      <c r="C699" s="1"/>
      <c r="D699" s="1"/>
      <c r="E699" s="1"/>
      <c r="F699" s="1"/>
      <c r="G699" s="1"/>
      <c r="H699" s="1"/>
      <c r="I699" s="1"/>
      <c r="J699" s="1"/>
      <c r="K699" s="1"/>
      <c r="L699" s="1"/>
      <c r="M699" s="1"/>
      <c r="N699" s="1"/>
      <c r="O699" s="1"/>
      <c r="P699" s="1"/>
    </row>
    <row r="700" spans="1:16" ht="13.5" x14ac:dyDescent="0.25">
      <c r="A700" s="1"/>
      <c r="B700" s="992"/>
      <c r="C700" s="1"/>
      <c r="D700" s="1"/>
      <c r="E700" s="1"/>
      <c r="F700" s="1"/>
      <c r="G700" s="1"/>
      <c r="H700" s="1"/>
      <c r="I700" s="1"/>
      <c r="J700" s="1"/>
      <c r="K700" s="1"/>
      <c r="L700" s="1"/>
      <c r="M700" s="1"/>
      <c r="N700" s="1"/>
      <c r="O700" s="1"/>
      <c r="P700" s="1"/>
    </row>
    <row r="701" spans="1:16" ht="13.5" x14ac:dyDescent="0.25">
      <c r="A701" s="1"/>
      <c r="B701" s="992" t="s">
        <v>458</v>
      </c>
      <c r="C701" s="1"/>
      <c r="D701" s="1"/>
      <c r="E701" s="1"/>
      <c r="F701" s="1"/>
      <c r="G701" s="1"/>
      <c r="H701" s="1"/>
      <c r="I701" s="1"/>
      <c r="J701" s="1"/>
      <c r="K701" s="1"/>
      <c r="L701" s="1"/>
      <c r="M701" s="1"/>
      <c r="N701" s="1"/>
      <c r="O701" s="1"/>
      <c r="P701" s="1"/>
    </row>
    <row r="702" spans="1:16" ht="13.5" x14ac:dyDescent="0.25">
      <c r="A702" s="1"/>
      <c r="B702" s="992" t="s">
        <v>459</v>
      </c>
      <c r="C702" s="1"/>
      <c r="D702" s="1"/>
      <c r="E702" s="1"/>
      <c r="F702" s="1"/>
      <c r="G702" s="1"/>
      <c r="H702" s="1"/>
      <c r="I702" s="1"/>
      <c r="J702" s="1"/>
      <c r="K702" s="1"/>
      <c r="L702" s="1"/>
      <c r="M702" s="1"/>
      <c r="N702" s="1"/>
      <c r="O702" s="1"/>
      <c r="P702" s="1"/>
    </row>
    <row r="703" spans="1:16" ht="13.5" x14ac:dyDescent="0.25">
      <c r="A703" s="1"/>
      <c r="B703" s="992"/>
      <c r="C703" s="1"/>
      <c r="D703" s="1"/>
      <c r="E703" s="1"/>
      <c r="F703" s="1"/>
      <c r="G703" s="1"/>
      <c r="H703" s="1"/>
      <c r="I703" s="1"/>
      <c r="J703" s="1"/>
      <c r="K703" s="1"/>
      <c r="L703" s="1"/>
      <c r="M703" s="1"/>
      <c r="N703" s="1"/>
      <c r="O703" s="1"/>
      <c r="P703" s="1"/>
    </row>
    <row r="704" spans="1:16" ht="13.5" x14ac:dyDescent="0.25">
      <c r="A704" s="1"/>
      <c r="B704" s="992" t="s">
        <v>460</v>
      </c>
      <c r="C704" s="1"/>
      <c r="D704" s="1"/>
      <c r="E704" s="1"/>
      <c r="F704" s="1"/>
      <c r="G704" s="1"/>
      <c r="H704" s="1"/>
      <c r="I704" s="1"/>
      <c r="J704" s="1"/>
      <c r="K704" s="1"/>
      <c r="L704" s="1"/>
      <c r="M704" s="1"/>
      <c r="N704" s="1"/>
      <c r="O704" s="1"/>
      <c r="P704" s="1"/>
    </row>
    <row r="705" spans="1:16" ht="13.5" x14ac:dyDescent="0.25">
      <c r="A705" s="1"/>
      <c r="B705" s="992"/>
      <c r="C705" s="1"/>
      <c r="D705" s="1"/>
      <c r="E705" s="1"/>
      <c r="F705" s="1"/>
      <c r="G705" s="1"/>
      <c r="H705" s="1"/>
      <c r="I705" s="1"/>
      <c r="J705" s="1"/>
      <c r="K705" s="1"/>
      <c r="L705" s="1"/>
      <c r="M705" s="1"/>
      <c r="N705" s="1"/>
      <c r="O705" s="1"/>
      <c r="P705" s="1"/>
    </row>
    <row r="706" spans="1:16" ht="13.5" x14ac:dyDescent="0.25">
      <c r="A706" s="1"/>
      <c r="B706" s="992" t="s">
        <v>461</v>
      </c>
      <c r="C706" s="1"/>
      <c r="D706" s="1"/>
      <c r="E706" s="1"/>
      <c r="F706" s="1"/>
      <c r="G706" s="1"/>
      <c r="H706" s="1"/>
      <c r="I706" s="1"/>
      <c r="J706" s="1"/>
      <c r="K706" s="1"/>
      <c r="L706" s="1"/>
      <c r="M706" s="1"/>
      <c r="N706" s="1"/>
      <c r="O706" s="1"/>
      <c r="P706" s="1"/>
    </row>
    <row r="707" spans="1:16" ht="13.5" x14ac:dyDescent="0.25">
      <c r="A707" s="1"/>
      <c r="B707" s="992" t="s">
        <v>462</v>
      </c>
      <c r="C707" s="1"/>
      <c r="D707" s="1"/>
      <c r="E707" s="1"/>
      <c r="F707" s="1"/>
      <c r="G707" s="1"/>
      <c r="H707" s="1"/>
      <c r="I707" s="1"/>
      <c r="J707" s="1"/>
      <c r="K707" s="1"/>
      <c r="L707" s="1"/>
      <c r="M707" s="1"/>
      <c r="N707" s="1"/>
      <c r="O707" s="1"/>
      <c r="P707" s="1"/>
    </row>
    <row r="708" spans="1:16" ht="13.5" x14ac:dyDescent="0.25">
      <c r="A708" s="1"/>
      <c r="B708" s="992"/>
      <c r="C708" s="1"/>
      <c r="D708" s="1"/>
      <c r="E708" s="1"/>
      <c r="F708" s="1"/>
      <c r="G708" s="1"/>
      <c r="H708" s="1"/>
      <c r="I708" s="1"/>
      <c r="J708" s="1"/>
      <c r="K708" s="1"/>
      <c r="L708" s="1"/>
      <c r="M708" s="1"/>
      <c r="N708" s="1"/>
      <c r="O708" s="1"/>
      <c r="P708" s="1"/>
    </row>
    <row r="709" spans="1:16" ht="13.5" x14ac:dyDescent="0.25">
      <c r="A709" s="1"/>
      <c r="B709" s="992" t="s">
        <v>463</v>
      </c>
      <c r="C709" s="1"/>
      <c r="D709" s="1"/>
      <c r="E709" s="1"/>
      <c r="F709" s="1"/>
      <c r="G709" s="1"/>
      <c r="H709" s="1"/>
      <c r="I709" s="1"/>
      <c r="J709" s="1"/>
      <c r="K709" s="1"/>
      <c r="L709" s="1"/>
      <c r="M709" s="1"/>
      <c r="N709" s="1"/>
      <c r="O709" s="1"/>
      <c r="P709" s="1"/>
    </row>
    <row r="710" spans="1:16" ht="13.5" x14ac:dyDescent="0.25">
      <c r="A710" s="1"/>
      <c r="B710" s="992" t="s">
        <v>464</v>
      </c>
      <c r="C710" s="1"/>
      <c r="D710" s="1"/>
      <c r="E710" s="1"/>
      <c r="F710" s="1"/>
      <c r="G710" s="1"/>
      <c r="H710" s="1"/>
      <c r="I710" s="1"/>
      <c r="J710" s="1"/>
      <c r="K710" s="1"/>
      <c r="L710" s="1"/>
      <c r="M710" s="1"/>
      <c r="N710" s="1"/>
      <c r="O710" s="1"/>
      <c r="P710" s="1"/>
    </row>
    <row r="711" spans="1:16" ht="13.5" x14ac:dyDescent="0.25">
      <c r="A711" s="1"/>
      <c r="B711" s="992" t="s">
        <v>465</v>
      </c>
      <c r="C711" s="1"/>
      <c r="D711" s="1"/>
      <c r="E711" s="1"/>
      <c r="F711" s="1"/>
      <c r="G711" s="1"/>
      <c r="H711" s="1"/>
      <c r="I711" s="1"/>
      <c r="J711" s="1"/>
      <c r="K711" s="1"/>
      <c r="L711" s="1"/>
      <c r="M711" s="1"/>
      <c r="N711" s="1"/>
      <c r="O711" s="1"/>
      <c r="P711" s="1"/>
    </row>
    <row r="712" spans="1:16" ht="13.5" x14ac:dyDescent="0.25">
      <c r="A712" s="1"/>
      <c r="B712" s="992" t="s">
        <v>466</v>
      </c>
      <c r="C712" s="1"/>
      <c r="D712" s="1"/>
      <c r="E712" s="1"/>
      <c r="F712" s="1"/>
      <c r="G712" s="1"/>
      <c r="H712" s="1"/>
      <c r="I712" s="1"/>
      <c r="J712" s="1"/>
      <c r="K712" s="1"/>
      <c r="L712" s="1"/>
      <c r="M712" s="1"/>
      <c r="N712" s="1"/>
      <c r="O712" s="1"/>
      <c r="P712" s="1"/>
    </row>
    <row r="713" spans="1:16" ht="13.5" x14ac:dyDescent="0.25">
      <c r="A713" s="1"/>
      <c r="B713" s="992"/>
      <c r="C713" s="1"/>
      <c r="D713" s="1"/>
      <c r="E713" s="1"/>
      <c r="F713" s="1"/>
      <c r="G713" s="1"/>
      <c r="H713" s="1"/>
      <c r="I713" s="1"/>
      <c r="J713" s="1"/>
      <c r="K713" s="1"/>
      <c r="L713" s="1"/>
      <c r="M713" s="1"/>
      <c r="N713" s="1"/>
      <c r="O713" s="1"/>
      <c r="P713" s="1"/>
    </row>
    <row r="714" spans="1:16" ht="13.5" x14ac:dyDescent="0.25">
      <c r="A714" s="1"/>
      <c r="B714" s="992" t="s">
        <v>467</v>
      </c>
      <c r="C714" s="1"/>
      <c r="D714" s="1"/>
      <c r="E714" s="1"/>
      <c r="F714" s="1"/>
      <c r="G714" s="1"/>
      <c r="H714" s="1"/>
      <c r="I714" s="1"/>
      <c r="J714" s="1"/>
      <c r="K714" s="1"/>
      <c r="L714" s="1"/>
      <c r="M714" s="1"/>
      <c r="N714" s="1"/>
      <c r="O714" s="1"/>
      <c r="P714" s="1"/>
    </row>
    <row r="715" spans="1:16" ht="13.5" x14ac:dyDescent="0.25">
      <c r="A715" s="1"/>
      <c r="B715" s="992" t="s">
        <v>468</v>
      </c>
      <c r="C715" s="1"/>
      <c r="D715" s="1"/>
      <c r="E715" s="1"/>
      <c r="F715" s="1"/>
      <c r="G715" s="1"/>
      <c r="H715" s="1"/>
      <c r="I715" s="1"/>
      <c r="J715" s="1"/>
      <c r="K715" s="1"/>
      <c r="L715" s="1"/>
      <c r="M715" s="1"/>
      <c r="N715" s="1"/>
      <c r="O715" s="1"/>
      <c r="P715" s="1"/>
    </row>
    <row r="716" spans="1:16" ht="13.5" x14ac:dyDescent="0.25">
      <c r="A716" s="1"/>
      <c r="B716" s="992" t="s">
        <v>469</v>
      </c>
      <c r="C716" s="1"/>
      <c r="D716" s="1"/>
      <c r="E716" s="1"/>
      <c r="F716" s="1"/>
      <c r="G716" s="1"/>
      <c r="H716" s="1"/>
      <c r="I716" s="1"/>
      <c r="J716" s="1"/>
      <c r="K716" s="1"/>
      <c r="L716" s="1"/>
      <c r="M716" s="1"/>
      <c r="N716" s="1"/>
      <c r="O716" s="1"/>
      <c r="P716" s="1"/>
    </row>
    <row r="717" spans="1:16" ht="13.5" x14ac:dyDescent="0.25">
      <c r="A717" s="1"/>
      <c r="B717" s="992"/>
      <c r="C717" s="1"/>
      <c r="D717" s="1"/>
      <c r="E717" s="1"/>
      <c r="F717" s="1"/>
      <c r="G717" s="1"/>
      <c r="H717" s="1"/>
      <c r="I717" s="1"/>
      <c r="J717" s="1"/>
      <c r="K717" s="1"/>
      <c r="L717" s="1"/>
      <c r="M717" s="1"/>
      <c r="N717" s="1"/>
      <c r="O717" s="1"/>
      <c r="P717" s="1"/>
    </row>
    <row r="718" spans="1:16" ht="13.5" x14ac:dyDescent="0.25">
      <c r="A718" s="1"/>
      <c r="B718" s="992" t="s">
        <v>470</v>
      </c>
      <c r="C718" s="1"/>
      <c r="D718" s="1"/>
      <c r="E718" s="1"/>
      <c r="F718" s="1"/>
      <c r="G718" s="1"/>
      <c r="H718" s="1"/>
      <c r="I718" s="1"/>
      <c r="J718" s="1"/>
      <c r="K718" s="1"/>
      <c r="L718" s="1"/>
      <c r="M718" s="1"/>
      <c r="N718" s="1"/>
      <c r="O718" s="1"/>
      <c r="P718" s="1"/>
    </row>
    <row r="719" spans="1:16" ht="13.5" x14ac:dyDescent="0.25">
      <c r="A719" s="1"/>
      <c r="B719" s="992" t="s">
        <v>471</v>
      </c>
      <c r="C719" s="1"/>
      <c r="D719" s="1"/>
      <c r="E719" s="1"/>
      <c r="F719" s="1"/>
      <c r="G719" s="1"/>
      <c r="H719" s="1"/>
      <c r="I719" s="1"/>
      <c r="J719" s="1"/>
      <c r="K719" s="1"/>
      <c r="L719" s="1"/>
      <c r="M719" s="1"/>
      <c r="N719" s="1"/>
      <c r="O719" s="1"/>
      <c r="P719" s="1"/>
    </row>
    <row r="720" spans="1:16" ht="13.5" x14ac:dyDescent="0.25">
      <c r="A720" s="1"/>
      <c r="B720" s="992" t="s">
        <v>472</v>
      </c>
      <c r="C720" s="1"/>
      <c r="D720" s="1"/>
      <c r="E720" s="1"/>
      <c r="F720" s="1"/>
      <c r="G720" s="1"/>
      <c r="H720" s="1"/>
      <c r="I720" s="1"/>
      <c r="J720" s="1"/>
      <c r="K720" s="1"/>
      <c r="L720" s="1"/>
      <c r="M720" s="1"/>
      <c r="N720" s="1"/>
      <c r="O720" s="1"/>
      <c r="P720" s="1"/>
    </row>
    <row r="721" spans="1:16" ht="13.5" x14ac:dyDescent="0.25">
      <c r="A721" s="1"/>
      <c r="B721" s="992" t="s">
        <v>473</v>
      </c>
      <c r="C721" s="1"/>
      <c r="D721" s="1"/>
      <c r="E721" s="1"/>
      <c r="F721" s="1"/>
      <c r="G721" s="1"/>
      <c r="H721" s="1"/>
      <c r="I721" s="1"/>
      <c r="J721" s="1"/>
      <c r="K721" s="1"/>
      <c r="L721" s="1"/>
      <c r="M721" s="1"/>
      <c r="N721" s="1"/>
      <c r="O721" s="1"/>
      <c r="P721" s="1"/>
    </row>
    <row r="722" spans="1:16" ht="13.5" x14ac:dyDescent="0.25">
      <c r="A722" s="1"/>
      <c r="B722" s="992"/>
      <c r="C722" s="1"/>
      <c r="D722" s="1"/>
      <c r="E722" s="1"/>
      <c r="F722" s="1"/>
      <c r="G722" s="1"/>
      <c r="H722" s="1"/>
      <c r="I722" s="1"/>
      <c r="J722" s="1"/>
      <c r="K722" s="1"/>
      <c r="L722" s="1"/>
      <c r="M722" s="1"/>
      <c r="N722" s="1"/>
      <c r="O722" s="1"/>
      <c r="P722" s="1"/>
    </row>
    <row r="723" spans="1:16" ht="13.5" x14ac:dyDescent="0.25">
      <c r="A723" s="1"/>
      <c r="B723" s="992" t="s">
        <v>474</v>
      </c>
      <c r="C723" s="1"/>
      <c r="D723" s="1"/>
      <c r="E723" s="1"/>
      <c r="F723" s="1"/>
      <c r="G723" s="1"/>
      <c r="H723" s="1"/>
      <c r="I723" s="1"/>
      <c r="J723" s="1"/>
      <c r="K723" s="1"/>
      <c r="L723" s="1"/>
      <c r="M723" s="1"/>
      <c r="N723" s="1"/>
      <c r="O723" s="1"/>
      <c r="P723" s="1"/>
    </row>
    <row r="724" spans="1:16" ht="13.5" x14ac:dyDescent="0.25">
      <c r="A724" s="1"/>
      <c r="B724" s="992" t="s">
        <v>475</v>
      </c>
      <c r="C724" s="1"/>
      <c r="D724" s="1"/>
      <c r="E724" s="1"/>
      <c r="F724" s="1"/>
      <c r="G724" s="1"/>
      <c r="H724" s="1"/>
      <c r="I724" s="1"/>
      <c r="J724" s="1"/>
      <c r="K724" s="1"/>
      <c r="L724" s="1"/>
      <c r="M724" s="1"/>
      <c r="N724" s="1"/>
      <c r="O724" s="1"/>
      <c r="P724" s="1"/>
    </row>
    <row r="725" spans="1:16" ht="13.5" x14ac:dyDescent="0.25">
      <c r="A725" s="1"/>
      <c r="B725" s="992" t="s">
        <v>476</v>
      </c>
      <c r="C725" s="1"/>
      <c r="D725" s="1"/>
      <c r="E725" s="1"/>
      <c r="F725" s="1"/>
      <c r="G725" s="1"/>
      <c r="H725" s="1"/>
      <c r="I725" s="1"/>
      <c r="J725" s="1"/>
      <c r="K725" s="1"/>
      <c r="L725" s="1"/>
      <c r="M725" s="1"/>
      <c r="N725" s="1"/>
      <c r="O725" s="1"/>
      <c r="P725" s="1"/>
    </row>
    <row r="726" spans="1:16" ht="13.5" x14ac:dyDescent="0.25">
      <c r="A726" s="1"/>
      <c r="B726" s="992" t="s">
        <v>477</v>
      </c>
      <c r="C726" s="1"/>
      <c r="D726" s="1"/>
      <c r="E726" s="1"/>
      <c r="F726" s="1"/>
      <c r="G726" s="1"/>
      <c r="H726" s="1"/>
      <c r="I726" s="1"/>
      <c r="J726" s="1"/>
      <c r="K726" s="1"/>
      <c r="L726" s="1"/>
      <c r="M726" s="1"/>
      <c r="N726" s="1"/>
      <c r="O726" s="1"/>
      <c r="P726" s="1"/>
    </row>
    <row r="727" spans="1:16" ht="13.5" x14ac:dyDescent="0.25">
      <c r="A727" s="1"/>
      <c r="B727" s="992" t="s">
        <v>478</v>
      </c>
      <c r="C727" s="1"/>
      <c r="D727" s="1"/>
      <c r="E727" s="1"/>
      <c r="F727" s="1"/>
      <c r="G727" s="1"/>
      <c r="H727" s="1"/>
      <c r="I727" s="1"/>
      <c r="J727" s="1"/>
      <c r="K727" s="1"/>
      <c r="L727" s="1"/>
      <c r="M727" s="1"/>
      <c r="N727" s="1"/>
      <c r="O727" s="1"/>
      <c r="P727" s="1"/>
    </row>
    <row r="728" spans="1:16" ht="13.5" x14ac:dyDescent="0.25">
      <c r="A728" s="1"/>
      <c r="B728" s="992" t="s">
        <v>479</v>
      </c>
      <c r="C728" s="1"/>
      <c r="D728" s="1"/>
      <c r="E728" s="1"/>
      <c r="F728" s="1"/>
      <c r="G728" s="1"/>
      <c r="H728" s="1"/>
      <c r="I728" s="1"/>
      <c r="J728" s="1"/>
      <c r="K728" s="1"/>
      <c r="L728" s="1"/>
      <c r="M728" s="1"/>
      <c r="N728" s="1"/>
      <c r="O728" s="1"/>
      <c r="P728" s="1"/>
    </row>
    <row r="729" spans="1:16" ht="15" x14ac:dyDescent="0.25">
      <c r="A729" s="1"/>
      <c r="B729" s="994"/>
      <c r="C729" s="1"/>
      <c r="D729" s="1"/>
      <c r="E729" s="1"/>
      <c r="F729" s="1"/>
      <c r="G729" s="1"/>
      <c r="H729" s="1"/>
      <c r="I729" s="1"/>
      <c r="J729" s="1"/>
      <c r="K729" s="1"/>
      <c r="L729" s="1"/>
      <c r="M729" s="1"/>
      <c r="N729" s="1"/>
      <c r="O729" s="1"/>
      <c r="P729" s="1"/>
    </row>
  </sheetData>
  <sheetProtection sheet="1" objects="1" scenarios="1" selectLockedCells="1" selectUnlockedCells="1"/>
  <phoneticPr fontId="29" type="noConversion"/>
  <pageMargins left="0.75" right="0.75" top="1" bottom="1" header="0.5" footer="0.5"/>
  <pageSetup paperSize="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BH510"/>
  <sheetViews>
    <sheetView showGridLines="0" showRowColHeaders="0" topLeftCell="E1" workbookViewId="0">
      <selection activeCell="A2" sqref="A2"/>
    </sheetView>
  </sheetViews>
  <sheetFormatPr defaultRowHeight="11.25" customHeight="1" x14ac:dyDescent="0.2"/>
  <cols>
    <col min="1" max="3" width="5.7109375" style="392" hidden="1" customWidth="1"/>
    <col min="4" max="4" width="5.7109375" style="19" hidden="1" customWidth="1"/>
    <col min="5" max="5" width="0.85546875" style="19" customWidth="1"/>
    <col min="6" max="6" width="2.28515625" style="19" customWidth="1"/>
    <col min="7" max="7" width="5.7109375" style="19" customWidth="1"/>
    <col min="8" max="9" width="5.28515625" style="19" customWidth="1"/>
    <col min="10" max="10" width="1.5703125" style="19" customWidth="1"/>
    <col min="11" max="11" width="3.28515625" style="19" customWidth="1"/>
    <col min="12" max="12" width="4" style="19" customWidth="1"/>
    <col min="13" max="13" width="2.85546875" style="19" customWidth="1"/>
    <col min="14" max="14" width="5.28515625" style="19" customWidth="1"/>
    <col min="15" max="15" width="4.140625" style="19" customWidth="1"/>
    <col min="16" max="16" width="2.28515625" style="19" customWidth="1"/>
    <col min="17" max="17" width="3" style="19" customWidth="1"/>
    <col min="18" max="18" width="2" style="19" customWidth="1"/>
    <col min="19" max="19" width="2.85546875" style="409" customWidth="1"/>
    <col min="26" max="26" width="7.28515625" customWidth="1"/>
    <col min="27" max="27" width="6.140625" customWidth="1"/>
    <col min="28" max="28" width="5" customWidth="1"/>
    <col min="29" max="30" width="4.7109375" style="19" customWidth="1"/>
    <col min="31" max="31" width="4.85546875" style="19" customWidth="1"/>
    <col min="32" max="32" width="3.7109375" style="392" customWidth="1"/>
    <col min="33" max="36" width="8.5703125" style="392" customWidth="1"/>
    <col min="37" max="38" width="8.5703125" customWidth="1"/>
    <col min="39" max="40" width="4.42578125" customWidth="1"/>
    <col min="41" max="41" width="7.140625" style="19" customWidth="1"/>
    <col min="42" max="53" width="6.140625" style="19" customWidth="1"/>
    <col min="54" max="54" width="3.7109375" style="19" customWidth="1"/>
    <col min="55" max="55" width="6.28515625" style="19" customWidth="1"/>
    <col min="56" max="56" width="4.85546875" style="19" customWidth="1"/>
    <col min="57" max="57" width="3.5703125" style="19" customWidth="1"/>
    <col min="58" max="59" width="5.5703125" style="19" customWidth="1"/>
    <col min="60" max="61" width="6.42578125" style="19" customWidth="1"/>
    <col min="62" max="16384" width="9.140625" style="19"/>
  </cols>
  <sheetData>
    <row r="1" spans="1:60" ht="11.25" customHeight="1" x14ac:dyDescent="0.2">
      <c r="A1" s="160" t="s">
        <v>793</v>
      </c>
      <c r="B1" s="19" t="s">
        <v>794</v>
      </c>
      <c r="C1" s="407">
        <v>15</v>
      </c>
      <c r="D1" s="408">
        <f>H10</f>
        <v>15</v>
      </c>
      <c r="G1" s="1"/>
      <c r="H1" s="4" t="s">
        <v>795</v>
      </c>
      <c r="S1" s="409">
        <f>($I$13+$H$10+$AP$8+$AP$9+$I$6+$N$6)/100000000</f>
        <v>2.9500000000000001E-6</v>
      </c>
      <c r="T1" s="410">
        <f t="shared" ref="T1:AF1" si="0">$S$1</f>
        <v>2.9500000000000001E-6</v>
      </c>
      <c r="U1" s="410">
        <f t="shared" si="0"/>
        <v>2.9500000000000001E-6</v>
      </c>
      <c r="V1" s="410">
        <f t="shared" si="0"/>
        <v>2.9500000000000001E-6</v>
      </c>
      <c r="W1" s="410">
        <f t="shared" si="0"/>
        <v>2.9500000000000001E-6</v>
      </c>
      <c r="X1" s="410">
        <f t="shared" si="0"/>
        <v>2.9500000000000001E-6</v>
      </c>
      <c r="Y1" s="410">
        <f t="shared" si="0"/>
        <v>2.9500000000000001E-6</v>
      </c>
      <c r="Z1" s="410">
        <f t="shared" si="0"/>
        <v>2.9500000000000001E-6</v>
      </c>
      <c r="AA1" s="410">
        <f t="shared" si="0"/>
        <v>2.9500000000000001E-6</v>
      </c>
      <c r="AB1" s="410">
        <f t="shared" si="0"/>
        <v>2.9500000000000001E-6</v>
      </c>
      <c r="AC1" s="410">
        <f t="shared" si="0"/>
        <v>2.9500000000000001E-6</v>
      </c>
      <c r="AD1" s="410">
        <f t="shared" si="0"/>
        <v>2.9500000000000001E-6</v>
      </c>
      <c r="AE1" s="410">
        <f t="shared" si="0"/>
        <v>2.9500000000000001E-6</v>
      </c>
      <c r="AF1" s="411">
        <f t="shared" si="0"/>
        <v>2.9500000000000001E-6</v>
      </c>
      <c r="AG1" s="19"/>
      <c r="AH1" s="19"/>
      <c r="AI1" s="19"/>
      <c r="AJ1" s="19"/>
      <c r="AO1" s="412" t="s">
        <v>796</v>
      </c>
      <c r="AP1" s="413"/>
      <c r="AQ1" s="414" t="s">
        <v>797</v>
      </c>
      <c r="AR1" s="413">
        <v>3</v>
      </c>
      <c r="AS1" s="415" t="s">
        <v>798</v>
      </c>
      <c r="AT1" s="398">
        <v>0.3</v>
      </c>
      <c r="AU1" s="398">
        <f>IF(AP14,I6,NA())</f>
        <v>47</v>
      </c>
      <c r="AV1" s="416">
        <f>N6</f>
        <v>50</v>
      </c>
      <c r="AW1" s="398"/>
    </row>
    <row r="2" spans="1:60" ht="11.25" customHeight="1" x14ac:dyDescent="0.2">
      <c r="A2" s="417">
        <v>0.29652777314186096</v>
      </c>
      <c r="B2" s="19">
        <f ca="1">NOW()*1000-INT(NOW()*1000)</f>
        <v>0.57094907760620117</v>
      </c>
      <c r="C2" s="418">
        <v>47</v>
      </c>
      <c r="D2" s="419">
        <f>I6</f>
        <v>47</v>
      </c>
      <c r="G2" s="420"/>
      <c r="H2" s="1" t="s">
        <v>799</v>
      </c>
      <c r="J2" s="1"/>
      <c r="K2" s="1"/>
      <c r="L2" s="1"/>
      <c r="M2" s="1"/>
      <c r="N2" s="1"/>
      <c r="O2" s="1"/>
      <c r="S2" s="409">
        <f t="shared" ref="S2:S22" si="1">$S$1</f>
        <v>2.9500000000000001E-6</v>
      </c>
      <c r="T2" s="421"/>
      <c r="AE2" s="296"/>
      <c r="AF2" s="392">
        <f t="shared" ref="AF2:AF37" si="2">$S$1</f>
        <v>2.9500000000000001E-6</v>
      </c>
      <c r="AG2" s="19"/>
      <c r="AH2" s="19"/>
      <c r="AI2" s="19"/>
      <c r="AJ2" s="19"/>
      <c r="AO2" s="422">
        <f>MOD(C5*10000013,1)</f>
        <v>0.61905580433085561</v>
      </c>
      <c r="AP2" s="423">
        <f>MOD(AO2*10000013,1)</f>
        <v>9.1034011915326118E-2</v>
      </c>
      <c r="AQ2" s="424" t="s">
        <v>800</v>
      </c>
      <c r="AR2" s="425">
        <v>2.8</v>
      </c>
      <c r="AS2" s="424">
        <f>AP20*AP21</f>
        <v>25.303026237633194</v>
      </c>
      <c r="AT2" s="399">
        <v>0.3</v>
      </c>
      <c r="AU2" s="426">
        <f>$AU$1</f>
        <v>47</v>
      </c>
      <c r="AV2" s="427" t="e">
        <f>NA()</f>
        <v>#N/A</v>
      </c>
      <c r="AW2" s="426"/>
    </row>
    <row r="3" spans="1:60" ht="11.25" customHeight="1" x14ac:dyDescent="0.2">
      <c r="A3" s="160" t="s">
        <v>801</v>
      </c>
      <c r="B3" s="428" t="b">
        <v>0</v>
      </c>
      <c r="C3" s="418">
        <v>50</v>
      </c>
      <c r="D3" s="419">
        <f>N6</f>
        <v>50</v>
      </c>
      <c r="H3" s="1" t="s">
        <v>802</v>
      </c>
      <c r="J3" s="1"/>
      <c r="K3" s="1"/>
      <c r="L3" s="1"/>
      <c r="M3" s="1"/>
      <c r="N3" s="1"/>
      <c r="O3" s="1"/>
      <c r="S3" s="409">
        <f t="shared" si="1"/>
        <v>2.9500000000000001E-6</v>
      </c>
      <c r="AF3" s="392">
        <f t="shared" si="2"/>
        <v>2.9500000000000001E-6</v>
      </c>
      <c r="AO3" s="422" t="s">
        <v>493</v>
      </c>
      <c r="AP3" s="423" t="s">
        <v>631</v>
      </c>
      <c r="AQ3" s="424" t="s">
        <v>803</v>
      </c>
      <c r="AR3" s="425">
        <v>0.6</v>
      </c>
      <c r="AS3" s="422">
        <v>0.3</v>
      </c>
      <c r="AT3" s="426">
        <f>IF(AND(AP14,AP15,AP22),I6+AS2,NA())</f>
        <v>72.30302623763319</v>
      </c>
      <c r="AU3" s="426"/>
      <c r="AV3" s="429"/>
      <c r="AW3" s="426"/>
    </row>
    <row r="4" spans="1:60" ht="11.25" customHeight="1" x14ac:dyDescent="0.2">
      <c r="A4" s="392" t="s">
        <v>804</v>
      </c>
      <c r="B4" s="430" t="b">
        <v>0</v>
      </c>
      <c r="C4" s="418"/>
      <c r="D4" s="419"/>
      <c r="H4" s="1" t="s">
        <v>805</v>
      </c>
      <c r="J4" s="1"/>
      <c r="N4" s="1"/>
      <c r="O4" s="1"/>
      <c r="S4" s="409">
        <f t="shared" si="1"/>
        <v>2.9500000000000001E-6</v>
      </c>
      <c r="AE4" s="417"/>
      <c r="AF4" s="392">
        <f t="shared" si="2"/>
        <v>2.9500000000000001E-6</v>
      </c>
      <c r="AO4" s="431">
        <f>$I$6+$AP$21*NORMSINV(AO2)</f>
        <v>50.911738086272216</v>
      </c>
      <c r="AP4" s="432">
        <f>$N$6*SQRT(CHIINV(AP2,$H$10-1)/(($H$10-1)*$H$10))</f>
        <v>15.973660235739933</v>
      </c>
      <c r="AQ4" s="433" t="s">
        <v>806</v>
      </c>
      <c r="AR4" s="434">
        <f>(AR2-AR3)/19</f>
        <v>0.11578947368421051</v>
      </c>
      <c r="AS4" s="431">
        <v>0.3</v>
      </c>
      <c r="AT4" s="435">
        <f>IF(AND(AP14,AP15,AP22),I6-AS2,NA())</f>
        <v>21.696973762366806</v>
      </c>
      <c r="AU4" s="435"/>
      <c r="AV4" s="432">
        <f>IF(ISBLANK(B4),"",IF(AP17,AP20*AP21,AP19*AP4))</f>
        <v>25.303026237633194</v>
      </c>
      <c r="AW4" s="426"/>
    </row>
    <row r="5" spans="1:60" ht="11.25" customHeight="1" x14ac:dyDescent="0.2">
      <c r="A5" s="19"/>
      <c r="B5" s="19"/>
      <c r="C5" s="436">
        <v>0.28016489769121344</v>
      </c>
      <c r="D5" s="437">
        <f ca="1">RAND()</f>
        <v>6.6592092407564585E-2</v>
      </c>
      <c r="F5" s="6">
        <v>1</v>
      </c>
      <c r="G5" s="403" t="s">
        <v>807</v>
      </c>
      <c r="H5" s="438"/>
      <c r="I5" s="439"/>
      <c r="J5" s="439"/>
      <c r="K5" s="440"/>
      <c r="L5" s="440"/>
      <c r="M5" s="440"/>
      <c r="N5" s="438"/>
      <c r="O5" s="439"/>
      <c r="P5" s="439"/>
      <c r="Q5" s="439"/>
      <c r="R5" s="441"/>
      <c r="S5" s="409">
        <f t="shared" si="1"/>
        <v>2.9500000000000001E-6</v>
      </c>
      <c r="AE5" s="417"/>
      <c r="AF5" s="392">
        <f t="shared" si="2"/>
        <v>2.9500000000000001E-6</v>
      </c>
      <c r="AI5" s="157"/>
      <c r="AO5" s="412" t="s">
        <v>808</v>
      </c>
      <c r="AP5" s="413"/>
      <c r="AQ5" s="412" t="s">
        <v>809</v>
      </c>
      <c r="AR5" s="408"/>
      <c r="AS5" s="414" t="s">
        <v>624</v>
      </c>
      <c r="AT5" s="398">
        <v>0.2</v>
      </c>
      <c r="AU5" s="413">
        <f>IF(AP14,I6+N6/2,NA())</f>
        <v>72</v>
      </c>
    </row>
    <row r="6" spans="1:60" ht="11.25" customHeight="1" x14ac:dyDescent="0.2">
      <c r="F6" s="442"/>
      <c r="G6" s="443"/>
      <c r="H6" s="444" t="s">
        <v>995</v>
      </c>
      <c r="I6" s="171">
        <v>47</v>
      </c>
      <c r="J6" s="443"/>
      <c r="K6" s="443"/>
      <c r="L6" s="443"/>
      <c r="M6" s="444" t="s">
        <v>996</v>
      </c>
      <c r="N6" s="171">
        <v>50</v>
      </c>
      <c r="O6" s="444"/>
      <c r="P6" s="443"/>
      <c r="Q6" s="443"/>
      <c r="R6" s="445"/>
      <c r="S6" s="409">
        <f t="shared" si="1"/>
        <v>2.9500000000000001E-6</v>
      </c>
      <c r="AE6" s="417"/>
      <c r="AF6" s="392">
        <f t="shared" si="2"/>
        <v>2.9500000000000001E-6</v>
      </c>
      <c r="AI6" s="157"/>
      <c r="AO6" s="422">
        <f>AP8*0.05</f>
        <v>2.4000000000000004</v>
      </c>
      <c r="AP6" s="423" t="s">
        <v>632</v>
      </c>
      <c r="AQ6" s="446">
        <f>AR1</f>
        <v>3</v>
      </c>
      <c r="AR6" s="437">
        <v>0</v>
      </c>
      <c r="AS6" s="431"/>
      <c r="AT6" s="400">
        <v>0.18</v>
      </c>
      <c r="AU6" s="432">
        <f>IF(AP14,I6,NA())</f>
        <v>47</v>
      </c>
    </row>
    <row r="7" spans="1:60" ht="11.25" customHeight="1" x14ac:dyDescent="0.2">
      <c r="C7" s="447" t="s">
        <v>810</v>
      </c>
      <c r="D7" s="447" t="s">
        <v>811</v>
      </c>
      <c r="F7" s="442"/>
      <c r="G7" s="443"/>
      <c r="H7" s="443"/>
      <c r="I7" s="443"/>
      <c r="J7" s="443"/>
      <c r="K7" s="443"/>
      <c r="L7" s="443"/>
      <c r="M7" s="443"/>
      <c r="N7" s="443"/>
      <c r="O7" s="443"/>
      <c r="P7" s="443"/>
      <c r="Q7" s="443"/>
      <c r="R7" s="445"/>
      <c r="S7" s="409">
        <f t="shared" si="1"/>
        <v>2.9500000000000001E-6</v>
      </c>
      <c r="AE7" s="417"/>
      <c r="AF7" s="392">
        <f t="shared" si="2"/>
        <v>2.9500000000000001E-6</v>
      </c>
      <c r="AO7" s="422">
        <f>AP9*0.0015</f>
        <v>0.06</v>
      </c>
      <c r="AP7" s="423" t="s">
        <v>633</v>
      </c>
      <c r="AQ7" s="399"/>
      <c r="AR7" s="399"/>
      <c r="AS7" s="399"/>
      <c r="AT7" s="399"/>
      <c r="AU7" s="399"/>
      <c r="AV7" s="399"/>
      <c r="AW7" s="399"/>
    </row>
    <row r="8" spans="1:60" ht="11.25" customHeight="1" x14ac:dyDescent="0.2">
      <c r="C8" s="448">
        <f>AO4</f>
        <v>50.911738086272216</v>
      </c>
      <c r="D8" s="448">
        <f>AP4</f>
        <v>15.973660235739933</v>
      </c>
      <c r="F8" s="449"/>
      <c r="G8" s="450"/>
      <c r="H8" s="450"/>
      <c r="I8" s="450"/>
      <c r="J8" s="450"/>
      <c r="K8" s="450" t="s">
        <v>997</v>
      </c>
      <c r="L8" s="450"/>
      <c r="M8" s="450"/>
      <c r="N8" s="450"/>
      <c r="O8" s="451" t="s">
        <v>812</v>
      </c>
      <c r="P8" s="998">
        <f>N6/SQRT(H10)</f>
        <v>12.909944487358056</v>
      </c>
      <c r="Q8" s="998"/>
      <c r="R8" s="452"/>
      <c r="S8" s="409">
        <f t="shared" si="1"/>
        <v>2.9500000000000001E-6</v>
      </c>
      <c r="AE8" s="417"/>
      <c r="AF8" s="392">
        <f t="shared" si="2"/>
        <v>2.9500000000000001E-6</v>
      </c>
      <c r="AH8" s="19"/>
      <c r="AI8" s="19"/>
      <c r="AJ8" s="19"/>
      <c r="AO8" s="424" t="s">
        <v>632</v>
      </c>
      <c r="AP8" s="453">
        <v>48</v>
      </c>
      <c r="AQ8" s="454"/>
      <c r="AR8" s="454"/>
      <c r="AS8" s="454"/>
      <c r="AT8" s="454"/>
      <c r="AU8" s="454"/>
      <c r="AV8" s="455" t="s">
        <v>813</v>
      </c>
      <c r="AW8" s="455" t="s">
        <v>814</v>
      </c>
    </row>
    <row r="9" spans="1:60" ht="11.25" customHeight="1" x14ac:dyDescent="0.2">
      <c r="C9" s="456"/>
      <c r="D9" s="428"/>
      <c r="F9" s="58">
        <v>2</v>
      </c>
      <c r="G9" s="73" t="s">
        <v>815</v>
      </c>
      <c r="H9" s="457"/>
      <c r="I9" s="458"/>
      <c r="J9" s="458"/>
      <c r="K9" s="59"/>
      <c r="L9" s="458"/>
      <c r="M9" s="458"/>
      <c r="N9" s="458"/>
      <c r="O9" s="458"/>
      <c r="P9" s="458"/>
      <c r="Q9" s="458"/>
      <c r="R9" s="459"/>
      <c r="S9" s="409">
        <f t="shared" si="1"/>
        <v>2.9500000000000001E-6</v>
      </c>
      <c r="AE9" s="417"/>
      <c r="AF9" s="392">
        <f t="shared" si="2"/>
        <v>2.9500000000000001E-6</v>
      </c>
      <c r="AG9" s="19"/>
      <c r="AH9" s="19"/>
      <c r="AI9" s="19"/>
      <c r="AJ9" s="19"/>
      <c r="AO9" s="433" t="s">
        <v>633</v>
      </c>
      <c r="AP9" s="460">
        <v>40</v>
      </c>
      <c r="AQ9" s="461" t="s">
        <v>633</v>
      </c>
      <c r="AR9" s="296" t="s">
        <v>810</v>
      </c>
      <c r="AS9" s="296" t="s">
        <v>816</v>
      </c>
      <c r="AT9" s="296" t="s">
        <v>817</v>
      </c>
      <c r="AU9" s="296"/>
      <c r="AV9" s="462" t="str">
        <f t="shared" ref="AV9:AV72" si="3">IF(ISBLANK(D9),"",IF($AP$17,$AP$20*$AP$21,D9*$AP$19))</f>
        <v/>
      </c>
      <c r="AW9" s="463" t="str">
        <f t="shared" ref="AW9:AW72" si="4">IF(ISBLANK(C9),"",(NORMDIST(C9+AV9,$I$6,$AP$21,TRUE)-NORMDIST(C9-AV9,$I$6,$AP$21,TRUE))*100)</f>
        <v/>
      </c>
      <c r="AX9" s="464" t="s">
        <v>818</v>
      </c>
      <c r="AY9" s="464"/>
      <c r="AZ9" s="464"/>
      <c r="BA9" s="464"/>
      <c r="BB9" s="465"/>
      <c r="BC9" s="465" t="s">
        <v>819</v>
      </c>
      <c r="BD9" s="465">
        <f>AP13*AO6*AO7</f>
        <v>43.2</v>
      </c>
      <c r="BE9" s="465" t="s">
        <v>820</v>
      </c>
      <c r="BF9" s="465"/>
      <c r="BG9" s="466" t="s">
        <v>821</v>
      </c>
      <c r="BH9" s="466"/>
    </row>
    <row r="10" spans="1:60" ht="11.25" customHeight="1" x14ac:dyDescent="0.2">
      <c r="C10" s="428"/>
      <c r="D10" s="428"/>
      <c r="F10" s="467"/>
      <c r="G10" s="468" t="s">
        <v>766</v>
      </c>
      <c r="H10" s="171">
        <v>15</v>
      </c>
      <c r="I10" s="469"/>
      <c r="J10" s="469"/>
      <c r="K10" s="469" t="s">
        <v>822</v>
      </c>
      <c r="L10" s="469"/>
      <c r="M10" s="469"/>
      <c r="N10" s="469"/>
      <c r="O10" s="469"/>
      <c r="P10" s="469"/>
      <c r="Q10" s="470"/>
      <c r="R10" s="471"/>
      <c r="S10" s="409">
        <f t="shared" si="1"/>
        <v>2.9500000000000001E-6</v>
      </c>
      <c r="AE10" s="417"/>
      <c r="AF10" s="392">
        <f t="shared" si="2"/>
        <v>2.9500000000000001E-6</v>
      </c>
      <c r="AG10" s="19"/>
      <c r="AH10" s="19"/>
      <c r="AI10" s="472"/>
      <c r="AJ10" s="19"/>
      <c r="AO10" s="412" t="s">
        <v>823</v>
      </c>
      <c r="AP10" s="413"/>
      <c r="AQ10" s="19">
        <f>AR2</f>
        <v>2.8</v>
      </c>
      <c r="AR10" s="473" t="e">
        <f t="shared" ref="AR10:AR29" si="5">IF(AND($AP$18,$B$4,NOT($AP$14),NOT(ISBLANK(C9))),C9,NA())</f>
        <v>#N/A</v>
      </c>
      <c r="AS10" s="474" t="e">
        <f t="shared" ref="AS10:AS29" si="6">IF(AND($AP$18,$B$4,$AP$14,NOT(ISBLANK(C9))),IF(AND(C9+AV9&gt;=$I$6,C9-AV9&lt;=$I$6),C9,NA()),NA())</f>
        <v>#N/A</v>
      </c>
      <c r="AT10" s="474" t="e">
        <f t="shared" ref="AT10:AT29" si="7">IF(AND($AP$18,$B$4,$AP$14,NOT(ISBLANK(C9))),IF(OR(C9+AV9&lt;$I$6,C9-AV9&gt;$I$6),C9,NA()),NA())</f>
        <v>#N/A</v>
      </c>
      <c r="AU10" s="19" t="s">
        <v>824</v>
      </c>
      <c r="AV10" s="462" t="str">
        <f t="shared" si="3"/>
        <v/>
      </c>
      <c r="AW10" s="463" t="str">
        <f t="shared" si="4"/>
        <v/>
      </c>
      <c r="AX10" s="464" t="s">
        <v>825</v>
      </c>
      <c r="AY10" s="464" t="s">
        <v>826</v>
      </c>
      <c r="AZ10" s="464" t="s">
        <v>827</v>
      </c>
      <c r="BA10" s="464" t="s">
        <v>828</v>
      </c>
      <c r="BB10" s="465"/>
      <c r="BC10" s="475" t="s">
        <v>633</v>
      </c>
      <c r="BD10" s="475" t="s">
        <v>632</v>
      </c>
      <c r="BE10" s="475" t="s">
        <v>633</v>
      </c>
      <c r="BF10" s="475" t="s">
        <v>791</v>
      </c>
      <c r="BG10" s="476" t="s">
        <v>633</v>
      </c>
      <c r="BH10" s="466" t="s">
        <v>791</v>
      </c>
    </row>
    <row r="11" spans="1:60" ht="11.25" customHeight="1" x14ac:dyDescent="0.2">
      <c r="C11" s="428"/>
      <c r="D11" s="428"/>
      <c r="F11" s="467"/>
      <c r="G11" s="469"/>
      <c r="H11" s="469"/>
      <c r="I11" s="469"/>
      <c r="J11" s="469"/>
      <c r="K11" s="469"/>
      <c r="L11" s="469"/>
      <c r="M11" s="469"/>
      <c r="N11" s="469"/>
      <c r="O11" s="477" t="s">
        <v>998</v>
      </c>
      <c r="P11" s="469"/>
      <c r="Q11" s="469"/>
      <c r="R11" s="471"/>
      <c r="S11" s="409">
        <f t="shared" si="1"/>
        <v>2.9500000000000001E-6</v>
      </c>
      <c r="AE11" s="417"/>
      <c r="AF11" s="392">
        <f t="shared" si="2"/>
        <v>2.9500000000000001E-6</v>
      </c>
      <c r="AG11" s="19"/>
      <c r="AH11" s="19"/>
      <c r="AI11" s="19"/>
      <c r="AJ11" s="19"/>
      <c r="AO11" s="422">
        <f>AM25/1000</f>
        <v>0.127</v>
      </c>
      <c r="AP11" s="423" t="s">
        <v>632</v>
      </c>
      <c r="AQ11" s="19">
        <f t="shared" ref="AQ11:AQ29" si="8">AQ10-$AR$4</f>
        <v>2.6842105263157894</v>
      </c>
      <c r="AR11" s="473" t="e">
        <f t="shared" si="5"/>
        <v>#N/A</v>
      </c>
      <c r="AS11" s="474" t="e">
        <f t="shared" si="6"/>
        <v>#N/A</v>
      </c>
      <c r="AT11" s="474" t="e">
        <f t="shared" si="7"/>
        <v>#N/A</v>
      </c>
      <c r="AU11" s="19" t="e">
        <f t="shared" ref="AU11:AU29" si="9">IF(AND($AP$22,$AP$18,$AP$23,$B$4,$AP$14,NOT(ISBLANK(C10))),C10+AV10,NA())</f>
        <v>#N/A</v>
      </c>
      <c r="AV11" s="462" t="str">
        <f t="shared" si="3"/>
        <v/>
      </c>
      <c r="AW11" s="463" t="str">
        <f t="shared" si="4"/>
        <v/>
      </c>
      <c r="AX11" s="19" t="e">
        <f t="shared" ref="AX11:AX74" si="10">IF(OR(NOT(Repchange),AZ11=""),NA(),AZ11*$AO$12/100)</f>
        <v>#N/A</v>
      </c>
      <c r="AY11" s="19" t="e">
        <f t="shared" ref="AY11:AY74" si="11">$AO$11*(BA11-0.5)</f>
        <v>#N/A</v>
      </c>
      <c r="AZ11" s="19" t="str">
        <f t="shared" ref="AZ11:AZ74" si="12">IF(AW9="","",ROUND(AW9/$AO$12,0))</f>
        <v/>
      </c>
      <c r="BA11" s="19" t="e">
        <f>IF(AZ11="",NA(),COUNTIF(AZ11:$AZ$510,AZ11))</f>
        <v>#N/A</v>
      </c>
      <c r="BB11" s="19">
        <v>1</v>
      </c>
      <c r="BC11" s="19">
        <f t="shared" ref="BC11:BC74" si="13">IF(AND($AP$14,$AP$22),$AR$1+$BD$9*NORMDIST(BD11,$I$6,$AP$21,FALSE),NA())</f>
        <v>3.0002921930211248</v>
      </c>
      <c r="BD11" s="19">
        <v>100</v>
      </c>
      <c r="BE11" s="19" t="e">
        <f t="shared" ref="BE11:BE74" si="14">IF(AND($AP$18,$B$4,$AP$23),$AR$1,NA())</f>
        <v>#N/A</v>
      </c>
      <c r="BF11" s="19" t="e">
        <f t="shared" ref="BF11:BF74" si="15">IF(AND($AP$25&gt;=BD11,$AP$26&lt;=BD11),BC11-$AR$1,NA())</f>
        <v>#N/A</v>
      </c>
      <c r="BG11" s="19">
        <f t="shared" ref="BG11:BG74" si="16">IF(AND($AP$15,$AP$16),$AR$1,NA())</f>
        <v>3</v>
      </c>
      <c r="BH11" s="19" t="e">
        <f t="shared" ref="BH11:BH74" si="17">IF(AND($AT$3&gt;BD11,$AT$4&lt;=BD11),BC11-$AR$1,NA())</f>
        <v>#N/A</v>
      </c>
    </row>
    <row r="12" spans="1:60" ht="11.25" customHeight="1" x14ac:dyDescent="0.2">
      <c r="C12" s="456"/>
      <c r="D12" s="428"/>
      <c r="F12" s="467"/>
      <c r="G12" s="60"/>
      <c r="H12" s="60"/>
      <c r="I12" s="478" t="s">
        <v>829</v>
      </c>
      <c r="J12" s="60"/>
      <c r="K12" s="469"/>
      <c r="L12" s="470"/>
      <c r="M12" s="470"/>
      <c r="N12" s="470"/>
      <c r="O12" s="479" t="s">
        <v>830</v>
      </c>
      <c r="P12" s="469"/>
      <c r="Q12" s="469"/>
      <c r="R12" s="471"/>
      <c r="S12" s="409">
        <f t="shared" si="1"/>
        <v>2.9500000000000001E-6</v>
      </c>
      <c r="AE12" s="417"/>
      <c r="AF12" s="392">
        <f t="shared" si="2"/>
        <v>2.9500000000000001E-6</v>
      </c>
      <c r="AG12" s="19"/>
      <c r="AH12" s="19"/>
      <c r="AI12" s="19"/>
      <c r="AJ12" s="19"/>
      <c r="AO12" s="431">
        <f>AM26/1000</f>
        <v>0.32500000000000001</v>
      </c>
      <c r="AP12" s="432" t="s">
        <v>633</v>
      </c>
      <c r="AQ12" s="19">
        <f t="shared" si="8"/>
        <v>2.5684210526315789</v>
      </c>
      <c r="AR12" s="473" t="e">
        <f t="shared" si="5"/>
        <v>#N/A</v>
      </c>
      <c r="AS12" s="474" t="e">
        <f t="shared" si="6"/>
        <v>#N/A</v>
      </c>
      <c r="AT12" s="474" t="e">
        <f t="shared" si="7"/>
        <v>#N/A</v>
      </c>
      <c r="AU12" s="19" t="e">
        <f t="shared" si="9"/>
        <v>#N/A</v>
      </c>
      <c r="AV12" s="462" t="str">
        <f t="shared" si="3"/>
        <v/>
      </c>
      <c r="AW12" s="463" t="str">
        <f t="shared" si="4"/>
        <v/>
      </c>
      <c r="AX12" s="19" t="e">
        <f t="shared" si="10"/>
        <v>#N/A</v>
      </c>
      <c r="AY12" s="19" t="e">
        <f t="shared" si="11"/>
        <v>#N/A</v>
      </c>
      <c r="AZ12" s="19" t="str">
        <f t="shared" si="12"/>
        <v/>
      </c>
      <c r="BA12" s="19" t="e">
        <f>IF(AZ12="",NA(),COUNTIF(AZ12:$AZ$510,AZ12))</f>
        <v>#N/A</v>
      </c>
      <c r="BB12" s="19">
        <v>2</v>
      </c>
      <c r="BC12" s="19">
        <f t="shared" si="13"/>
        <v>3.000342292151013</v>
      </c>
      <c r="BD12" s="19">
        <v>99.5</v>
      </c>
      <c r="BE12" s="19" t="e">
        <f t="shared" si="14"/>
        <v>#N/A</v>
      </c>
      <c r="BF12" s="19" t="e">
        <f t="shared" si="15"/>
        <v>#N/A</v>
      </c>
      <c r="BG12" s="19">
        <f t="shared" si="16"/>
        <v>3</v>
      </c>
      <c r="BH12" s="19" t="e">
        <f t="shared" si="17"/>
        <v>#N/A</v>
      </c>
    </row>
    <row r="13" spans="1:60" ht="11.25" customHeight="1" x14ac:dyDescent="0.2">
      <c r="C13" s="456"/>
      <c r="D13" s="428"/>
      <c r="F13" s="467"/>
      <c r="G13" s="480"/>
      <c r="H13" s="480" t="s">
        <v>831</v>
      </c>
      <c r="I13" s="47">
        <v>95</v>
      </c>
      <c r="J13" s="60"/>
      <c r="K13" s="469"/>
      <c r="L13" s="469"/>
      <c r="M13" s="469"/>
      <c r="N13" s="469"/>
      <c r="O13" s="469"/>
      <c r="P13" s="469"/>
      <c r="Q13" s="469"/>
      <c r="R13" s="471"/>
      <c r="S13" s="409">
        <f t="shared" si="1"/>
        <v>2.9500000000000001E-6</v>
      </c>
      <c r="AE13" s="417"/>
      <c r="AF13" s="392">
        <f t="shared" si="2"/>
        <v>2.9500000000000001E-6</v>
      </c>
      <c r="AG13" s="157"/>
      <c r="AH13" s="157"/>
      <c r="AI13" s="157"/>
      <c r="AJ13" s="157"/>
      <c r="AO13" s="392" t="s">
        <v>832</v>
      </c>
      <c r="AP13" s="157">
        <v>300</v>
      </c>
      <c r="AQ13" s="19">
        <f t="shared" si="8"/>
        <v>2.4526315789473685</v>
      </c>
      <c r="AR13" s="473" t="e">
        <f t="shared" si="5"/>
        <v>#N/A</v>
      </c>
      <c r="AS13" s="474" t="e">
        <f t="shared" si="6"/>
        <v>#N/A</v>
      </c>
      <c r="AT13" s="474" t="e">
        <f t="shared" si="7"/>
        <v>#N/A</v>
      </c>
      <c r="AU13" s="19" t="e">
        <f t="shared" si="9"/>
        <v>#N/A</v>
      </c>
      <c r="AV13" s="462" t="str">
        <f t="shared" si="3"/>
        <v/>
      </c>
      <c r="AW13" s="463" t="str">
        <f t="shared" si="4"/>
        <v/>
      </c>
      <c r="AX13" s="19" t="e">
        <f t="shared" si="10"/>
        <v>#N/A</v>
      </c>
      <c r="AY13" s="19" t="e">
        <f t="shared" si="11"/>
        <v>#N/A</v>
      </c>
      <c r="AZ13" s="19" t="str">
        <f t="shared" si="12"/>
        <v/>
      </c>
      <c r="BA13" s="19" t="e">
        <f>IF(AZ13="",NA(),COUNTIF(AZ13:$AZ$510,AZ13))</f>
        <v>#N/A</v>
      </c>
      <c r="BB13" s="19">
        <v>3</v>
      </c>
      <c r="BC13" s="19">
        <f t="shared" si="13"/>
        <v>3.0004003802077928</v>
      </c>
      <c r="BD13" s="19">
        <v>99</v>
      </c>
      <c r="BE13" s="19" t="e">
        <f t="shared" si="14"/>
        <v>#N/A</v>
      </c>
      <c r="BF13" s="19" t="e">
        <f t="shared" si="15"/>
        <v>#N/A</v>
      </c>
      <c r="BG13" s="19">
        <f t="shared" si="16"/>
        <v>3</v>
      </c>
      <c r="BH13" s="19" t="e">
        <f t="shared" si="17"/>
        <v>#N/A</v>
      </c>
    </row>
    <row r="14" spans="1:60" ht="11.25" customHeight="1" x14ac:dyDescent="0.2">
      <c r="C14" s="428"/>
      <c r="D14" s="428"/>
      <c r="F14" s="481"/>
      <c r="G14" s="482"/>
      <c r="H14" s="482"/>
      <c r="I14" s="482"/>
      <c r="J14" s="482"/>
      <c r="K14" s="482"/>
      <c r="L14" s="482"/>
      <c r="M14" s="482"/>
      <c r="N14" s="482"/>
      <c r="O14" s="482"/>
      <c r="P14" s="483" t="s">
        <v>999</v>
      </c>
      <c r="Q14" s="482"/>
      <c r="R14" s="484"/>
      <c r="S14" s="409">
        <f t="shared" si="1"/>
        <v>2.9500000000000001E-6</v>
      </c>
      <c r="AE14" s="417"/>
      <c r="AF14" s="392">
        <f t="shared" si="2"/>
        <v>2.9500000000000001E-6</v>
      </c>
      <c r="AO14" s="392" t="s">
        <v>833</v>
      </c>
      <c r="AP14" s="485" t="b">
        <v>1</v>
      </c>
      <c r="AQ14" s="19">
        <f t="shared" si="8"/>
        <v>2.3368421052631581</v>
      </c>
      <c r="AR14" s="473" t="e">
        <f t="shared" si="5"/>
        <v>#N/A</v>
      </c>
      <c r="AS14" s="474" t="e">
        <f t="shared" si="6"/>
        <v>#N/A</v>
      </c>
      <c r="AT14" s="474" t="e">
        <f t="shared" si="7"/>
        <v>#N/A</v>
      </c>
      <c r="AU14" s="19" t="e">
        <f t="shared" si="9"/>
        <v>#N/A</v>
      </c>
      <c r="AV14" s="462" t="str">
        <f t="shared" si="3"/>
        <v/>
      </c>
      <c r="AW14" s="463" t="str">
        <f t="shared" si="4"/>
        <v/>
      </c>
      <c r="AX14" s="19" t="e">
        <f t="shared" si="10"/>
        <v>#N/A</v>
      </c>
      <c r="AY14" s="19" t="e">
        <f t="shared" si="11"/>
        <v>#N/A</v>
      </c>
      <c r="AZ14" s="19" t="str">
        <f t="shared" si="12"/>
        <v/>
      </c>
      <c r="BA14" s="19" t="e">
        <f>IF(AZ14="",NA(),COUNTIF(AZ14:$AZ$510,AZ14))</f>
        <v>#N/A</v>
      </c>
      <c r="BB14" s="19">
        <v>4</v>
      </c>
      <c r="BC14" s="19">
        <f t="shared" si="13"/>
        <v>3.0004676240284933</v>
      </c>
      <c r="BD14" s="19">
        <v>98.5</v>
      </c>
      <c r="BE14" s="19" t="e">
        <f t="shared" si="14"/>
        <v>#N/A</v>
      </c>
      <c r="BF14" s="19" t="e">
        <f t="shared" si="15"/>
        <v>#N/A</v>
      </c>
      <c r="BG14" s="19">
        <f t="shared" si="16"/>
        <v>3</v>
      </c>
      <c r="BH14" s="19" t="e">
        <f t="shared" si="17"/>
        <v>#N/A</v>
      </c>
    </row>
    <row r="15" spans="1:60" ht="11.25" customHeight="1" x14ac:dyDescent="0.2">
      <c r="C15" s="456"/>
      <c r="D15" s="428"/>
      <c r="F15" s="474"/>
      <c r="G15" s="474"/>
      <c r="H15" s="474"/>
      <c r="I15" s="474"/>
      <c r="J15" s="474"/>
      <c r="L15" s="474"/>
      <c r="O15" s="474"/>
      <c r="S15" s="409">
        <f t="shared" si="1"/>
        <v>2.9500000000000001E-6</v>
      </c>
      <c r="AE15" s="417"/>
      <c r="AF15" s="392">
        <f t="shared" si="2"/>
        <v>2.9500000000000001E-6</v>
      </c>
      <c r="AG15" s="19"/>
      <c r="AH15" s="19"/>
      <c r="AI15" s="19"/>
      <c r="AJ15" s="19"/>
      <c r="AO15" s="392" t="s">
        <v>834</v>
      </c>
      <c r="AP15" s="485" t="b">
        <v>1</v>
      </c>
      <c r="AQ15" s="19">
        <f t="shared" si="8"/>
        <v>2.2210526315789476</v>
      </c>
      <c r="AR15" s="473" t="e">
        <f t="shared" si="5"/>
        <v>#N/A</v>
      </c>
      <c r="AS15" s="474" t="e">
        <f t="shared" si="6"/>
        <v>#N/A</v>
      </c>
      <c r="AT15" s="474" t="e">
        <f t="shared" si="7"/>
        <v>#N/A</v>
      </c>
      <c r="AU15" s="19" t="e">
        <f t="shared" si="9"/>
        <v>#N/A</v>
      </c>
      <c r="AV15" s="462" t="str">
        <f t="shared" si="3"/>
        <v/>
      </c>
      <c r="AW15" s="463" t="str">
        <f t="shared" si="4"/>
        <v/>
      </c>
      <c r="AX15" s="19" t="e">
        <f t="shared" si="10"/>
        <v>#N/A</v>
      </c>
      <c r="AY15" s="19" t="e">
        <f t="shared" si="11"/>
        <v>#N/A</v>
      </c>
      <c r="AZ15" s="19" t="str">
        <f t="shared" si="12"/>
        <v/>
      </c>
      <c r="BA15" s="19" t="e">
        <f>IF(AZ15="",NA(),COUNTIF(AZ15:$AZ$510,AZ15))</f>
        <v>#N/A</v>
      </c>
      <c r="BB15" s="19">
        <v>5</v>
      </c>
      <c r="BC15" s="19">
        <f t="shared" si="13"/>
        <v>3.0005453428149291</v>
      </c>
      <c r="BD15" s="19">
        <v>98</v>
      </c>
      <c r="BE15" s="19" t="e">
        <f t="shared" si="14"/>
        <v>#N/A</v>
      </c>
      <c r="BF15" s="19" t="e">
        <f t="shared" si="15"/>
        <v>#N/A</v>
      </c>
      <c r="BG15" s="19">
        <f t="shared" si="16"/>
        <v>3</v>
      </c>
      <c r="BH15" s="19" t="e">
        <f t="shared" si="17"/>
        <v>#N/A</v>
      </c>
    </row>
    <row r="16" spans="1:60" ht="11.25" customHeight="1" x14ac:dyDescent="0.2">
      <c r="C16" s="456"/>
      <c r="D16" s="428"/>
      <c r="F16" s="486">
        <v>3</v>
      </c>
      <c r="Q16" s="487" t="s">
        <v>835</v>
      </c>
      <c r="S16" s="409">
        <f t="shared" si="1"/>
        <v>2.9500000000000001E-6</v>
      </c>
      <c r="AE16" s="417"/>
      <c r="AF16" s="392">
        <f t="shared" si="2"/>
        <v>2.9500000000000001E-6</v>
      </c>
      <c r="AO16" s="157" t="s">
        <v>836</v>
      </c>
      <c r="AP16" s="417" t="b">
        <v>1</v>
      </c>
      <c r="AQ16" s="19">
        <f t="shared" si="8"/>
        <v>2.1052631578947372</v>
      </c>
      <c r="AR16" s="473" t="e">
        <f t="shared" si="5"/>
        <v>#N/A</v>
      </c>
      <c r="AS16" s="474" t="e">
        <f t="shared" si="6"/>
        <v>#N/A</v>
      </c>
      <c r="AT16" s="474" t="e">
        <f t="shared" si="7"/>
        <v>#N/A</v>
      </c>
      <c r="AU16" s="19" t="e">
        <f t="shared" si="9"/>
        <v>#N/A</v>
      </c>
      <c r="AV16" s="462" t="str">
        <f t="shared" si="3"/>
        <v/>
      </c>
      <c r="AW16" s="463" t="str">
        <f t="shared" si="4"/>
        <v/>
      </c>
      <c r="AX16" s="19" t="e">
        <f t="shared" si="10"/>
        <v>#N/A</v>
      </c>
      <c r="AY16" s="19" t="e">
        <f t="shared" si="11"/>
        <v>#N/A</v>
      </c>
      <c r="AZ16" s="19" t="str">
        <f t="shared" si="12"/>
        <v/>
      </c>
      <c r="BA16" s="19" t="e">
        <f>IF(AZ16="",NA(),COUNTIF(AZ16:$AZ$510,AZ16))</f>
        <v>#N/A</v>
      </c>
      <c r="BB16" s="19">
        <v>6</v>
      </c>
      <c r="BC16" s="19">
        <f t="shared" si="13"/>
        <v>3.0006350251568108</v>
      </c>
      <c r="BD16" s="19">
        <v>97.5</v>
      </c>
      <c r="BE16" s="19" t="e">
        <f t="shared" si="14"/>
        <v>#N/A</v>
      </c>
      <c r="BF16" s="19" t="e">
        <f t="shared" si="15"/>
        <v>#N/A</v>
      </c>
      <c r="BG16" s="19">
        <f t="shared" si="16"/>
        <v>3</v>
      </c>
      <c r="BH16" s="19" t="e">
        <f t="shared" si="17"/>
        <v>#N/A</v>
      </c>
    </row>
    <row r="17" spans="3:60" ht="11.25" customHeight="1" x14ac:dyDescent="0.2">
      <c r="C17" s="456"/>
      <c r="D17" s="428"/>
      <c r="F17" s="399"/>
      <c r="G17" s="474"/>
      <c r="I17" s="474"/>
      <c r="J17" s="474"/>
      <c r="N17" s="474"/>
      <c r="Q17" s="488">
        <v>20</v>
      </c>
      <c r="S17" s="409">
        <f t="shared" si="1"/>
        <v>2.9500000000000001E-6</v>
      </c>
      <c r="AE17" s="417"/>
      <c r="AF17" s="392">
        <f t="shared" si="2"/>
        <v>2.9500000000000001E-6</v>
      </c>
      <c r="AG17" s="157"/>
      <c r="AH17" s="157"/>
      <c r="AI17" s="157"/>
      <c r="AJ17" s="157"/>
      <c r="AO17" s="489" t="s">
        <v>1000</v>
      </c>
      <c r="AP17" s="417" t="b">
        <v>1</v>
      </c>
      <c r="AQ17" s="19">
        <f t="shared" si="8"/>
        <v>1.9894736842105267</v>
      </c>
      <c r="AR17" s="473" t="e">
        <f t="shared" si="5"/>
        <v>#N/A</v>
      </c>
      <c r="AS17" s="474" t="e">
        <f t="shared" si="6"/>
        <v>#N/A</v>
      </c>
      <c r="AT17" s="474" t="e">
        <f t="shared" si="7"/>
        <v>#N/A</v>
      </c>
      <c r="AU17" s="19" t="e">
        <f t="shared" si="9"/>
        <v>#N/A</v>
      </c>
      <c r="AV17" s="462" t="str">
        <f t="shared" si="3"/>
        <v/>
      </c>
      <c r="AW17" s="463" t="str">
        <f t="shared" si="4"/>
        <v/>
      </c>
      <c r="AX17" s="19" t="e">
        <f t="shared" si="10"/>
        <v>#N/A</v>
      </c>
      <c r="AY17" s="19" t="e">
        <f t="shared" si="11"/>
        <v>#N/A</v>
      </c>
      <c r="AZ17" s="19" t="str">
        <f t="shared" si="12"/>
        <v/>
      </c>
      <c r="BA17" s="19" t="e">
        <f>IF(AZ17="",NA(),COUNTIF(AZ17:$AZ$510,AZ17))</f>
        <v>#N/A</v>
      </c>
      <c r="BB17" s="19">
        <v>7</v>
      </c>
      <c r="BC17" s="19">
        <f t="shared" si="13"/>
        <v>3.0007383475252123</v>
      </c>
      <c r="BD17" s="19">
        <v>97</v>
      </c>
      <c r="BE17" s="19" t="e">
        <f t="shared" si="14"/>
        <v>#N/A</v>
      </c>
      <c r="BF17" s="19" t="e">
        <f t="shared" si="15"/>
        <v>#N/A</v>
      </c>
      <c r="BG17" s="19">
        <f t="shared" si="16"/>
        <v>3</v>
      </c>
      <c r="BH17" s="19" t="e">
        <f t="shared" si="17"/>
        <v>#N/A</v>
      </c>
    </row>
    <row r="18" spans="3:60" ht="11.25" customHeight="1" x14ac:dyDescent="0.2">
      <c r="C18" s="456"/>
      <c r="D18" s="428"/>
      <c r="F18" s="399"/>
      <c r="G18" s="474"/>
      <c r="I18" s="474"/>
      <c r="J18" s="474"/>
      <c r="N18" s="474"/>
      <c r="O18" s="474"/>
      <c r="R18" s="474"/>
      <c r="S18" s="409">
        <f t="shared" si="1"/>
        <v>2.9500000000000001E-6</v>
      </c>
      <c r="AE18" s="417"/>
      <c r="AF18" s="392">
        <f t="shared" si="2"/>
        <v>2.9500000000000001E-6</v>
      </c>
      <c r="AO18" s="157" t="s">
        <v>837</v>
      </c>
      <c r="AP18" s="490" t="b">
        <f>AND(D1=C1,D2=C2,D3=C3)</f>
        <v>1</v>
      </c>
      <c r="AQ18" s="19">
        <f t="shared" si="8"/>
        <v>1.8736842105263163</v>
      </c>
      <c r="AR18" s="473" t="e">
        <f t="shared" si="5"/>
        <v>#N/A</v>
      </c>
      <c r="AS18" s="474" t="e">
        <f t="shared" si="6"/>
        <v>#N/A</v>
      </c>
      <c r="AT18" s="474" t="e">
        <f t="shared" si="7"/>
        <v>#N/A</v>
      </c>
      <c r="AU18" s="19" t="e">
        <f t="shared" si="9"/>
        <v>#N/A</v>
      </c>
      <c r="AV18" s="462" t="str">
        <f t="shared" si="3"/>
        <v/>
      </c>
      <c r="AW18" s="463" t="str">
        <f t="shared" si="4"/>
        <v/>
      </c>
      <c r="AX18" s="19" t="e">
        <f t="shared" si="10"/>
        <v>#N/A</v>
      </c>
      <c r="AY18" s="19" t="e">
        <f t="shared" si="11"/>
        <v>#N/A</v>
      </c>
      <c r="AZ18" s="19" t="str">
        <f t="shared" si="12"/>
        <v/>
      </c>
      <c r="BA18" s="19" t="e">
        <f>IF(AZ18="",NA(),COUNTIF(AZ18:$AZ$510,AZ18))</f>
        <v>#N/A</v>
      </c>
      <c r="BB18" s="19">
        <v>8</v>
      </c>
      <c r="BC18" s="19">
        <f t="shared" si="13"/>
        <v>3.000857194300953</v>
      </c>
      <c r="BD18" s="19">
        <v>96.5</v>
      </c>
      <c r="BE18" s="19" t="e">
        <f t="shared" si="14"/>
        <v>#N/A</v>
      </c>
      <c r="BF18" s="19" t="e">
        <f t="shared" si="15"/>
        <v>#N/A</v>
      </c>
      <c r="BG18" s="19">
        <f t="shared" si="16"/>
        <v>3</v>
      </c>
      <c r="BH18" s="19" t="e">
        <f t="shared" si="17"/>
        <v>#N/A</v>
      </c>
    </row>
    <row r="19" spans="3:60" ht="11.25" customHeight="1" x14ac:dyDescent="0.2">
      <c r="C19" s="456"/>
      <c r="D19" s="428"/>
      <c r="F19" s="303">
        <v>4</v>
      </c>
      <c r="G19" s="402" t="s">
        <v>838</v>
      </c>
      <c r="H19" s="491"/>
      <c r="I19" s="491"/>
      <c r="J19" s="491"/>
      <c r="K19" s="491"/>
      <c r="L19" s="491"/>
      <c r="M19" s="491"/>
      <c r="N19" s="491"/>
      <c r="O19" s="491"/>
      <c r="P19" s="491"/>
      <c r="Q19" s="491"/>
      <c r="R19" s="492"/>
      <c r="S19" s="409">
        <f t="shared" si="1"/>
        <v>2.9500000000000001E-6</v>
      </c>
      <c r="AE19" s="417"/>
      <c r="AF19" s="392">
        <f t="shared" si="2"/>
        <v>2.9500000000000001E-6</v>
      </c>
      <c r="AO19" s="157" t="s">
        <v>839</v>
      </c>
      <c r="AP19" s="157">
        <f>TINV((1-$I$13/100),H10-1)</f>
        <v>2.1447866879178035</v>
      </c>
      <c r="AQ19" s="19">
        <f t="shared" si="8"/>
        <v>1.7578947368421058</v>
      </c>
      <c r="AR19" s="473" t="e">
        <f t="shared" si="5"/>
        <v>#N/A</v>
      </c>
      <c r="AS19" s="474" t="e">
        <f t="shared" si="6"/>
        <v>#N/A</v>
      </c>
      <c r="AT19" s="474" t="e">
        <f t="shared" si="7"/>
        <v>#N/A</v>
      </c>
      <c r="AU19" s="19" t="e">
        <f t="shared" si="9"/>
        <v>#N/A</v>
      </c>
      <c r="AV19" s="462" t="str">
        <f t="shared" si="3"/>
        <v/>
      </c>
      <c r="AW19" s="463" t="str">
        <f t="shared" si="4"/>
        <v/>
      </c>
      <c r="AX19" s="19" t="e">
        <f t="shared" si="10"/>
        <v>#N/A</v>
      </c>
      <c r="AY19" s="19" t="e">
        <f t="shared" si="11"/>
        <v>#N/A</v>
      </c>
      <c r="AZ19" s="19" t="str">
        <f t="shared" si="12"/>
        <v/>
      </c>
      <c r="BA19" s="19" t="e">
        <f>IF(AZ19="",NA(),COUNTIF(AZ19:$AZ$510,AZ19))</f>
        <v>#N/A</v>
      </c>
      <c r="BB19" s="19">
        <v>9</v>
      </c>
      <c r="BC19" s="19">
        <f t="shared" si="13"/>
        <v>3.0009936793957399</v>
      </c>
      <c r="BD19" s="19">
        <v>96</v>
      </c>
      <c r="BE19" s="19" t="e">
        <f t="shared" si="14"/>
        <v>#N/A</v>
      </c>
      <c r="BF19" s="19" t="e">
        <f t="shared" si="15"/>
        <v>#N/A</v>
      </c>
      <c r="BG19" s="19">
        <f t="shared" si="16"/>
        <v>3</v>
      </c>
      <c r="BH19" s="19" t="e">
        <f t="shared" si="17"/>
        <v>#N/A</v>
      </c>
    </row>
    <row r="20" spans="3:60" ht="11.25" customHeight="1" x14ac:dyDescent="0.2">
      <c r="C20" s="456"/>
      <c r="D20" s="428"/>
      <c r="F20" s="493"/>
      <c r="G20" s="462"/>
      <c r="H20" s="465"/>
      <c r="I20" s="462" t="s">
        <v>840</v>
      </c>
      <c r="J20" s="462"/>
      <c r="K20" s="462"/>
      <c r="L20" s="462"/>
      <c r="M20" s="462"/>
      <c r="N20" s="462"/>
      <c r="O20" s="462"/>
      <c r="P20" s="465"/>
      <c r="Q20" s="462"/>
      <c r="R20" s="494"/>
      <c r="S20" s="409">
        <f t="shared" si="1"/>
        <v>2.9500000000000001E-6</v>
      </c>
      <c r="AE20" s="417"/>
      <c r="AF20" s="392">
        <f t="shared" si="2"/>
        <v>2.9500000000000001E-6</v>
      </c>
      <c r="AO20" s="157" t="s">
        <v>841</v>
      </c>
      <c r="AP20" s="157">
        <f>NORMSINV(1-(100-$I$13)/200)</f>
        <v>1.9599639845400536</v>
      </c>
      <c r="AQ20" s="19">
        <f t="shared" si="8"/>
        <v>1.6421052631578954</v>
      </c>
      <c r="AR20" s="473" t="e">
        <f t="shared" si="5"/>
        <v>#N/A</v>
      </c>
      <c r="AS20" s="474" t="e">
        <f t="shared" si="6"/>
        <v>#N/A</v>
      </c>
      <c r="AT20" s="474" t="e">
        <f t="shared" si="7"/>
        <v>#N/A</v>
      </c>
      <c r="AU20" s="19" t="e">
        <f t="shared" si="9"/>
        <v>#N/A</v>
      </c>
      <c r="AV20" s="462" t="str">
        <f t="shared" si="3"/>
        <v/>
      </c>
      <c r="AW20" s="463" t="str">
        <f t="shared" si="4"/>
        <v/>
      </c>
      <c r="AX20" s="19" t="e">
        <f t="shared" si="10"/>
        <v>#N/A</v>
      </c>
      <c r="AY20" s="19" t="e">
        <f t="shared" si="11"/>
        <v>#N/A</v>
      </c>
      <c r="AZ20" s="19" t="str">
        <f t="shared" si="12"/>
        <v/>
      </c>
      <c r="BA20" s="19" t="e">
        <f>IF(AZ20="",NA(),COUNTIF(AZ20:$AZ$510,AZ20))</f>
        <v>#N/A</v>
      </c>
      <c r="BB20" s="19">
        <v>10</v>
      </c>
      <c r="BC20" s="19">
        <f t="shared" si="13"/>
        <v>3.0011501695153342</v>
      </c>
      <c r="BD20" s="19">
        <v>95.5</v>
      </c>
      <c r="BE20" s="19" t="e">
        <f t="shared" si="14"/>
        <v>#N/A</v>
      </c>
      <c r="BF20" s="19" t="e">
        <f t="shared" si="15"/>
        <v>#N/A</v>
      </c>
      <c r="BG20" s="19">
        <f t="shared" si="16"/>
        <v>3</v>
      </c>
      <c r="BH20" s="19" t="e">
        <f t="shared" si="17"/>
        <v>#N/A</v>
      </c>
    </row>
    <row r="21" spans="3:60" ht="11.25" customHeight="1" x14ac:dyDescent="0.2">
      <c r="C21" s="456"/>
      <c r="D21" s="428"/>
      <c r="F21" s="493"/>
      <c r="G21" s="495"/>
      <c r="H21" s="465"/>
      <c r="I21" s="465"/>
      <c r="J21" s="462"/>
      <c r="K21" s="462"/>
      <c r="L21" s="462"/>
      <c r="M21" s="495" t="s">
        <v>842</v>
      </c>
      <c r="N21" s="474">
        <f>COUNT(D9:D508)</f>
        <v>0</v>
      </c>
      <c r="O21" s="462"/>
      <c r="P21" s="462"/>
      <c r="Q21" s="462"/>
      <c r="R21" s="494"/>
      <c r="S21" s="409">
        <f t="shared" si="1"/>
        <v>2.9500000000000001E-6</v>
      </c>
      <c r="AE21" s="417"/>
      <c r="AF21" s="392">
        <f t="shared" si="2"/>
        <v>2.9500000000000001E-6</v>
      </c>
      <c r="AO21" s="157" t="s">
        <v>631</v>
      </c>
      <c r="AP21" s="496">
        <f>N6/SQRT(H10)</f>
        <v>12.909944487358056</v>
      </c>
      <c r="AQ21" s="19">
        <f t="shared" si="8"/>
        <v>1.526315789473685</v>
      </c>
      <c r="AR21" s="473" t="e">
        <f t="shared" si="5"/>
        <v>#N/A</v>
      </c>
      <c r="AS21" s="474" t="e">
        <f t="shared" si="6"/>
        <v>#N/A</v>
      </c>
      <c r="AT21" s="474" t="e">
        <f t="shared" si="7"/>
        <v>#N/A</v>
      </c>
      <c r="AU21" s="19" t="e">
        <f t="shared" si="9"/>
        <v>#N/A</v>
      </c>
      <c r="AV21" s="462" t="str">
        <f t="shared" si="3"/>
        <v/>
      </c>
      <c r="AW21" s="463" t="str">
        <f t="shared" si="4"/>
        <v/>
      </c>
      <c r="AX21" s="19" t="e">
        <f t="shared" si="10"/>
        <v>#N/A</v>
      </c>
      <c r="AY21" s="19" t="e">
        <f t="shared" si="11"/>
        <v>#N/A</v>
      </c>
      <c r="AZ21" s="19" t="str">
        <f t="shared" si="12"/>
        <v/>
      </c>
      <c r="BA21" s="19" t="e">
        <f>IF(AZ21="",NA(),COUNTIF(AZ21:$AZ$510,AZ21))</f>
        <v>#N/A</v>
      </c>
      <c r="BB21" s="19">
        <v>11</v>
      </c>
      <c r="BC21" s="19">
        <f t="shared" si="13"/>
        <v>3.0013293091034221</v>
      </c>
      <c r="BD21" s="19">
        <v>95</v>
      </c>
      <c r="BE21" s="19" t="e">
        <f t="shared" si="14"/>
        <v>#N/A</v>
      </c>
      <c r="BF21" s="19" t="e">
        <f t="shared" si="15"/>
        <v>#N/A</v>
      </c>
      <c r="BG21" s="19">
        <f t="shared" si="16"/>
        <v>3</v>
      </c>
      <c r="BH21" s="19" t="e">
        <f t="shared" si="17"/>
        <v>#N/A</v>
      </c>
    </row>
    <row r="22" spans="3:60" ht="11.25" customHeight="1" x14ac:dyDescent="0.2">
      <c r="C22" s="456"/>
      <c r="D22" s="428"/>
      <c r="F22" s="497"/>
      <c r="G22" s="498"/>
      <c r="H22" s="498"/>
      <c r="I22" s="498"/>
      <c r="J22" s="498"/>
      <c r="K22" s="498"/>
      <c r="L22" s="498"/>
      <c r="M22" s="498"/>
      <c r="N22" s="498"/>
      <c r="O22" s="498"/>
      <c r="P22" s="498"/>
      <c r="Q22" s="498"/>
      <c r="R22" s="499"/>
      <c r="S22" s="409">
        <f t="shared" si="1"/>
        <v>2.9500000000000001E-6</v>
      </c>
      <c r="AE22" s="417"/>
      <c r="AF22" s="392">
        <f t="shared" si="2"/>
        <v>2.9500000000000001E-6</v>
      </c>
      <c r="AI22" s="19"/>
      <c r="AO22" s="19" t="s">
        <v>843</v>
      </c>
      <c r="AP22" s="417" t="b">
        <v>1</v>
      </c>
      <c r="AQ22" s="19">
        <f t="shared" si="8"/>
        <v>1.4105263157894745</v>
      </c>
      <c r="AR22" s="473" t="e">
        <f t="shared" si="5"/>
        <v>#N/A</v>
      </c>
      <c r="AS22" s="474" t="e">
        <f t="shared" si="6"/>
        <v>#N/A</v>
      </c>
      <c r="AT22" s="474" t="e">
        <f t="shared" si="7"/>
        <v>#N/A</v>
      </c>
      <c r="AU22" s="19" t="e">
        <f t="shared" si="9"/>
        <v>#N/A</v>
      </c>
      <c r="AV22" s="462" t="str">
        <f t="shared" si="3"/>
        <v/>
      </c>
      <c r="AW22" s="463" t="str">
        <f t="shared" si="4"/>
        <v/>
      </c>
      <c r="AX22" s="19" t="e">
        <f t="shared" si="10"/>
        <v>#N/A</v>
      </c>
      <c r="AY22" s="19" t="e">
        <f t="shared" si="11"/>
        <v>#N/A</v>
      </c>
      <c r="AZ22" s="19" t="str">
        <f t="shared" si="12"/>
        <v/>
      </c>
      <c r="BA22" s="19" t="e">
        <f>IF(AZ22="",NA(),COUNTIF(AZ22:$AZ$510,AZ22))</f>
        <v>#N/A</v>
      </c>
      <c r="BB22" s="19">
        <v>12</v>
      </c>
      <c r="BC22" s="19">
        <f t="shared" si="13"/>
        <v>3.0015340469920568</v>
      </c>
      <c r="BD22" s="19">
        <v>94.5</v>
      </c>
      <c r="BE22" s="19" t="e">
        <f t="shared" si="14"/>
        <v>#N/A</v>
      </c>
      <c r="BF22" s="19" t="e">
        <f t="shared" si="15"/>
        <v>#N/A</v>
      </c>
      <c r="BG22" s="19">
        <f t="shared" si="16"/>
        <v>3</v>
      </c>
      <c r="BH22" s="19" t="e">
        <f t="shared" si="17"/>
        <v>#N/A</v>
      </c>
    </row>
    <row r="23" spans="3:60" ht="11.25" customHeight="1" x14ac:dyDescent="0.2">
      <c r="C23" s="456"/>
      <c r="D23" s="428"/>
      <c r="F23" s="500">
        <v>5</v>
      </c>
      <c r="G23" s="409">
        <f t="shared" ref="G23:G37" si="18">$S$1</f>
        <v>2.9500000000000001E-6</v>
      </c>
      <c r="H23" s="474"/>
      <c r="I23" s="474"/>
      <c r="J23" s="474"/>
      <c r="K23" s="474"/>
      <c r="L23" s="474"/>
      <c r="M23" s="474"/>
      <c r="N23" s="474"/>
      <c r="O23" s="474"/>
      <c r="P23" s="474"/>
      <c r="Q23" s="474"/>
      <c r="R23" s="474"/>
      <c r="AE23" s="417"/>
      <c r="AF23" s="392">
        <f t="shared" si="2"/>
        <v>2.9500000000000001E-6</v>
      </c>
      <c r="AI23" s="19"/>
      <c r="AJ23" s="19"/>
      <c r="AO23" s="157" t="s">
        <v>844</v>
      </c>
      <c r="AP23" s="417" t="b">
        <v>0</v>
      </c>
      <c r="AQ23" s="19">
        <f t="shared" si="8"/>
        <v>1.2947368421052641</v>
      </c>
      <c r="AR23" s="473" t="e">
        <f t="shared" si="5"/>
        <v>#N/A</v>
      </c>
      <c r="AS23" s="474" t="e">
        <f t="shared" si="6"/>
        <v>#N/A</v>
      </c>
      <c r="AT23" s="474" t="e">
        <f t="shared" si="7"/>
        <v>#N/A</v>
      </c>
      <c r="AU23" s="19" t="e">
        <f t="shared" si="9"/>
        <v>#N/A</v>
      </c>
      <c r="AV23" s="462" t="str">
        <f t="shared" si="3"/>
        <v/>
      </c>
      <c r="AW23" s="463" t="str">
        <f t="shared" si="4"/>
        <v/>
      </c>
      <c r="AX23" s="19" t="e">
        <f t="shared" si="10"/>
        <v>#N/A</v>
      </c>
      <c r="AY23" s="19" t="e">
        <f t="shared" si="11"/>
        <v>#N/A</v>
      </c>
      <c r="AZ23" s="19" t="str">
        <f t="shared" si="12"/>
        <v/>
      </c>
      <c r="BA23" s="19" t="e">
        <f>IF(AZ23="",NA(),COUNTIF(AZ23:$AZ$510,AZ23))</f>
        <v>#N/A</v>
      </c>
      <c r="BB23" s="19">
        <v>13</v>
      </c>
      <c r="BC23" s="19">
        <f t="shared" si="13"/>
        <v>3.0017676647693667</v>
      </c>
      <c r="BD23" s="19">
        <v>94</v>
      </c>
      <c r="BE23" s="19" t="e">
        <f t="shared" si="14"/>
        <v>#N/A</v>
      </c>
      <c r="BF23" s="19" t="e">
        <f t="shared" si="15"/>
        <v>#N/A</v>
      </c>
      <c r="BG23" s="19">
        <f t="shared" si="16"/>
        <v>3</v>
      </c>
      <c r="BH23" s="19" t="e">
        <f t="shared" si="17"/>
        <v>#N/A</v>
      </c>
    </row>
    <row r="24" spans="3:60" ht="11.25" customHeight="1" x14ac:dyDescent="0.2">
      <c r="C24" s="456"/>
      <c r="D24" s="428"/>
      <c r="F24" s="474"/>
      <c r="G24" s="409">
        <f t="shared" si="18"/>
        <v>2.9500000000000001E-6</v>
      </c>
      <c r="H24" s="474"/>
      <c r="I24" s="474"/>
      <c r="J24" s="474"/>
      <c r="K24" s="474"/>
      <c r="L24" s="474"/>
      <c r="M24" s="474"/>
      <c r="N24" s="474"/>
      <c r="O24" s="474"/>
      <c r="P24" s="474"/>
      <c r="Q24" s="474"/>
      <c r="R24" s="474"/>
      <c r="AE24" s="417"/>
      <c r="AF24" s="392">
        <f t="shared" si="2"/>
        <v>2.9500000000000001E-6</v>
      </c>
      <c r="AI24" s="19"/>
      <c r="AJ24" s="19"/>
      <c r="AM24" s="157" t="s">
        <v>632</v>
      </c>
      <c r="AN24" s="392"/>
      <c r="AO24" s="412" t="s">
        <v>845</v>
      </c>
      <c r="AP24" s="413"/>
      <c r="AQ24" s="19">
        <f t="shared" si="8"/>
        <v>1.1789473684210536</v>
      </c>
      <c r="AR24" s="473" t="e">
        <f t="shared" si="5"/>
        <v>#N/A</v>
      </c>
      <c r="AS24" s="474" t="e">
        <f t="shared" si="6"/>
        <v>#N/A</v>
      </c>
      <c r="AT24" s="474" t="e">
        <f t="shared" si="7"/>
        <v>#N/A</v>
      </c>
      <c r="AU24" s="19" t="e">
        <f t="shared" si="9"/>
        <v>#N/A</v>
      </c>
      <c r="AV24" s="462" t="str">
        <f t="shared" si="3"/>
        <v/>
      </c>
      <c r="AW24" s="463" t="str">
        <f t="shared" si="4"/>
        <v/>
      </c>
      <c r="AX24" s="19" t="e">
        <f t="shared" si="10"/>
        <v>#N/A</v>
      </c>
      <c r="AY24" s="19" t="e">
        <f t="shared" si="11"/>
        <v>#N/A</v>
      </c>
      <c r="AZ24" s="19" t="str">
        <f t="shared" si="12"/>
        <v/>
      </c>
      <c r="BA24" s="19" t="e">
        <f>IF(AZ24="",NA(),COUNTIF(AZ24:$AZ$510,AZ24))</f>
        <v>#N/A</v>
      </c>
      <c r="BB24" s="19">
        <v>14</v>
      </c>
      <c r="BC24" s="19">
        <f t="shared" si="13"/>
        <v>3.0020338068575287</v>
      </c>
      <c r="BD24" s="19">
        <v>93.5</v>
      </c>
      <c r="BE24" s="19" t="e">
        <f t="shared" si="14"/>
        <v>#N/A</v>
      </c>
      <c r="BF24" s="19" t="e">
        <f t="shared" si="15"/>
        <v>#N/A</v>
      </c>
      <c r="BG24" s="19">
        <f t="shared" si="16"/>
        <v>3</v>
      </c>
      <c r="BH24" s="19" t="e">
        <f t="shared" si="17"/>
        <v>#N/A</v>
      </c>
    </row>
    <row r="25" spans="3:60" ht="11.25" customHeight="1" x14ac:dyDescent="0.2">
      <c r="C25" s="456"/>
      <c r="D25" s="428"/>
      <c r="F25" s="474"/>
      <c r="G25" s="409">
        <f t="shared" si="18"/>
        <v>2.9500000000000001E-6</v>
      </c>
      <c r="H25" s="474"/>
      <c r="I25" s="474"/>
      <c r="J25" s="474"/>
      <c r="K25" s="474"/>
      <c r="L25" s="474"/>
      <c r="M25" s="474"/>
      <c r="N25" s="474"/>
      <c r="O25" s="474"/>
      <c r="P25" s="474"/>
      <c r="Q25" s="474"/>
      <c r="R25" s="474"/>
      <c r="AE25" s="417"/>
      <c r="AF25" s="392">
        <f t="shared" si="2"/>
        <v>2.9500000000000001E-6</v>
      </c>
      <c r="AG25" s="19"/>
      <c r="AH25" s="19"/>
      <c r="AI25" s="19"/>
      <c r="AJ25" s="19"/>
      <c r="AM25" s="144">
        <v>127</v>
      </c>
      <c r="AN25" s="392"/>
      <c r="AO25" s="424" t="e">
        <f>IF(AND(Repchange,$AP$22,$AP$23,$AP$14,$B$4),$AR$2,NA())</f>
        <v>#N/A</v>
      </c>
      <c r="AP25" s="423">
        <f>AO4+AV4</f>
        <v>76.214764323905413</v>
      </c>
      <c r="AQ25" s="19">
        <f t="shared" si="8"/>
        <v>1.0631578947368432</v>
      </c>
      <c r="AR25" s="473" t="e">
        <f t="shared" si="5"/>
        <v>#N/A</v>
      </c>
      <c r="AS25" s="474" t="e">
        <f t="shared" si="6"/>
        <v>#N/A</v>
      </c>
      <c r="AT25" s="474" t="e">
        <f t="shared" si="7"/>
        <v>#N/A</v>
      </c>
      <c r="AU25" s="19" t="e">
        <f t="shared" si="9"/>
        <v>#N/A</v>
      </c>
      <c r="AV25" s="462" t="str">
        <f t="shared" si="3"/>
        <v/>
      </c>
      <c r="AW25" s="463" t="str">
        <f t="shared" si="4"/>
        <v/>
      </c>
      <c r="AX25" s="19" t="e">
        <f t="shared" si="10"/>
        <v>#N/A</v>
      </c>
      <c r="AY25" s="19" t="e">
        <f t="shared" si="11"/>
        <v>#N/A</v>
      </c>
      <c r="AZ25" s="19" t="str">
        <f t="shared" si="12"/>
        <v/>
      </c>
      <c r="BA25" s="19" t="e">
        <f>IF(AZ25="",NA(),COUNTIF(AZ25:$AZ$510,AZ25))</f>
        <v>#N/A</v>
      </c>
      <c r="BB25" s="19">
        <v>15</v>
      </c>
      <c r="BC25" s="19">
        <f t="shared" si="13"/>
        <v>3.0023365122736485</v>
      </c>
      <c r="BD25" s="19">
        <v>93</v>
      </c>
      <c r="BE25" s="19" t="e">
        <f t="shared" si="14"/>
        <v>#N/A</v>
      </c>
      <c r="BF25" s="19" t="e">
        <f t="shared" si="15"/>
        <v>#N/A</v>
      </c>
      <c r="BG25" s="19">
        <f t="shared" si="16"/>
        <v>3</v>
      </c>
      <c r="BH25" s="19" t="e">
        <f t="shared" si="17"/>
        <v>#N/A</v>
      </c>
    </row>
    <row r="26" spans="3:60" ht="11.25" customHeight="1" x14ac:dyDescent="0.2">
      <c r="C26" s="456"/>
      <c r="D26" s="428"/>
      <c r="F26" s="474"/>
      <c r="G26" s="409">
        <f t="shared" si="18"/>
        <v>2.9500000000000001E-6</v>
      </c>
      <c r="H26" s="474"/>
      <c r="I26" s="474"/>
      <c r="J26" s="474"/>
      <c r="K26" s="474"/>
      <c r="L26" s="474"/>
      <c r="M26" s="474"/>
      <c r="N26" s="474"/>
      <c r="O26" s="474"/>
      <c r="P26" s="474"/>
      <c r="Q26" s="474"/>
      <c r="R26" s="474"/>
      <c r="AE26" s="417"/>
      <c r="AF26" s="392">
        <f t="shared" si="2"/>
        <v>2.9500000000000001E-6</v>
      </c>
      <c r="AG26" s="19"/>
      <c r="AH26" s="19"/>
      <c r="AI26" s="19"/>
      <c r="AJ26" s="19"/>
      <c r="AM26" s="144">
        <v>325</v>
      </c>
      <c r="AN26" s="392"/>
      <c r="AO26" s="433" t="e">
        <f>IF(AND(Repchange,$AP$22,$AP$23,$AP$14,$B$4),$AR$2,NA())</f>
        <v>#N/A</v>
      </c>
      <c r="AP26" s="432">
        <f>AO4-AV4</f>
        <v>25.608711848639022</v>
      </c>
      <c r="AQ26" s="19">
        <f t="shared" si="8"/>
        <v>0.94736842105263264</v>
      </c>
      <c r="AR26" s="473" t="e">
        <f t="shared" si="5"/>
        <v>#N/A</v>
      </c>
      <c r="AS26" s="474" t="e">
        <f t="shared" si="6"/>
        <v>#N/A</v>
      </c>
      <c r="AT26" s="474" t="e">
        <f t="shared" si="7"/>
        <v>#N/A</v>
      </c>
      <c r="AU26" s="19" t="e">
        <f t="shared" si="9"/>
        <v>#N/A</v>
      </c>
      <c r="AV26" s="462" t="str">
        <f t="shared" si="3"/>
        <v/>
      </c>
      <c r="AW26" s="463" t="str">
        <f t="shared" si="4"/>
        <v/>
      </c>
      <c r="AX26" s="19" t="e">
        <f t="shared" si="10"/>
        <v>#N/A</v>
      </c>
      <c r="AY26" s="19" t="e">
        <f t="shared" si="11"/>
        <v>#N/A</v>
      </c>
      <c r="AZ26" s="19" t="str">
        <f t="shared" si="12"/>
        <v/>
      </c>
      <c r="BA26" s="19" t="e">
        <f>IF(AZ26="",NA(),COUNTIF(AZ26:$AZ$510,AZ26))</f>
        <v>#N/A</v>
      </c>
      <c r="BB26" s="19">
        <v>16</v>
      </c>
      <c r="BC26" s="19">
        <f t="shared" si="13"/>
        <v>3.0026802480230383</v>
      </c>
      <c r="BD26" s="19">
        <v>92.5</v>
      </c>
      <c r="BE26" s="19" t="e">
        <f t="shared" si="14"/>
        <v>#N/A</v>
      </c>
      <c r="BF26" s="19" t="e">
        <f t="shared" si="15"/>
        <v>#N/A</v>
      </c>
      <c r="BG26" s="19">
        <f t="shared" si="16"/>
        <v>3</v>
      </c>
      <c r="BH26" s="19" t="e">
        <f t="shared" si="17"/>
        <v>#N/A</v>
      </c>
    </row>
    <row r="27" spans="3:60" ht="11.25" customHeight="1" x14ac:dyDescent="0.2">
      <c r="C27" s="456"/>
      <c r="D27" s="428"/>
      <c r="F27" s="474"/>
      <c r="G27" s="409">
        <f t="shared" si="18"/>
        <v>2.9500000000000001E-6</v>
      </c>
      <c r="H27" s="474"/>
      <c r="I27" s="474"/>
      <c r="J27" s="474"/>
      <c r="K27" s="474"/>
      <c r="L27" s="474"/>
      <c r="M27" s="474"/>
      <c r="N27" s="474"/>
      <c r="O27" s="474"/>
      <c r="P27" s="474"/>
      <c r="Q27" s="474"/>
      <c r="R27" s="474"/>
      <c r="AE27" s="417"/>
      <c r="AF27" s="392">
        <f t="shared" si="2"/>
        <v>2.9500000000000001E-6</v>
      </c>
      <c r="AM27" s="157" t="s">
        <v>633</v>
      </c>
      <c r="AN27" s="19"/>
      <c r="AO27" s="415"/>
      <c r="AP27" s="416" t="s">
        <v>846</v>
      </c>
      <c r="AQ27" s="19">
        <f t="shared" si="8"/>
        <v>0.83157894736842208</v>
      </c>
      <c r="AR27" s="473" t="e">
        <f t="shared" si="5"/>
        <v>#N/A</v>
      </c>
      <c r="AS27" s="474" t="e">
        <f t="shared" si="6"/>
        <v>#N/A</v>
      </c>
      <c r="AT27" s="474" t="e">
        <f t="shared" si="7"/>
        <v>#N/A</v>
      </c>
      <c r="AU27" s="19" t="e">
        <f t="shared" si="9"/>
        <v>#N/A</v>
      </c>
      <c r="AV27" s="462" t="str">
        <f t="shared" si="3"/>
        <v/>
      </c>
      <c r="AW27" s="463" t="str">
        <f t="shared" si="4"/>
        <v/>
      </c>
      <c r="AX27" s="19" t="e">
        <f t="shared" si="10"/>
        <v>#N/A</v>
      </c>
      <c r="AY27" s="19" t="e">
        <f t="shared" si="11"/>
        <v>#N/A</v>
      </c>
      <c r="AZ27" s="19" t="str">
        <f t="shared" si="12"/>
        <v/>
      </c>
      <c r="BA27" s="19" t="e">
        <f>IF(AZ27="",NA(),COUNTIF(AZ27:$AZ$510,AZ27))</f>
        <v>#N/A</v>
      </c>
      <c r="BB27" s="19">
        <v>17</v>
      </c>
      <c r="BC27" s="19">
        <f t="shared" si="13"/>
        <v>3.0030699440483826</v>
      </c>
      <c r="BD27" s="19">
        <v>92</v>
      </c>
      <c r="BE27" s="19" t="e">
        <f t="shared" si="14"/>
        <v>#N/A</v>
      </c>
      <c r="BF27" s="19" t="e">
        <f t="shared" si="15"/>
        <v>#N/A</v>
      </c>
      <c r="BG27" s="19">
        <f t="shared" si="16"/>
        <v>3</v>
      </c>
      <c r="BH27" s="19" t="e">
        <f t="shared" si="17"/>
        <v>#N/A</v>
      </c>
    </row>
    <row r="28" spans="3:60" ht="11.25" customHeight="1" x14ac:dyDescent="0.2">
      <c r="C28" s="456"/>
      <c r="D28" s="428"/>
      <c r="F28" s="474"/>
      <c r="G28" s="409">
        <f t="shared" si="18"/>
        <v>2.9500000000000001E-6</v>
      </c>
      <c r="H28" s="45"/>
      <c r="I28" s="474"/>
      <c r="J28" s="45"/>
      <c r="K28" s="474"/>
      <c r="L28" s="474"/>
      <c r="M28" s="474"/>
      <c r="N28" s="474"/>
      <c r="O28" s="45"/>
      <c r="P28" s="474"/>
      <c r="Q28" s="474"/>
      <c r="R28" s="474"/>
      <c r="AE28" s="417"/>
      <c r="AF28" s="392">
        <f t="shared" si="2"/>
        <v>2.9500000000000001E-6</v>
      </c>
      <c r="AO28" s="431"/>
      <c r="AP28" s="501" t="str">
        <f>IF(B4,NORMDIST(AP25,I6,AP21,TRUE)-NORMDIST(AP26,I6,AP21,TRUE),"")</f>
        <v/>
      </c>
      <c r="AQ28" s="19">
        <f t="shared" si="8"/>
        <v>0.71578947368421153</v>
      </c>
      <c r="AR28" s="473" t="e">
        <f t="shared" si="5"/>
        <v>#N/A</v>
      </c>
      <c r="AS28" s="474" t="e">
        <f t="shared" si="6"/>
        <v>#N/A</v>
      </c>
      <c r="AT28" s="474" t="e">
        <f t="shared" si="7"/>
        <v>#N/A</v>
      </c>
      <c r="AU28" s="19" t="e">
        <f t="shared" si="9"/>
        <v>#N/A</v>
      </c>
      <c r="AV28" s="462" t="str">
        <f t="shared" si="3"/>
        <v/>
      </c>
      <c r="AW28" s="463" t="str">
        <f t="shared" si="4"/>
        <v/>
      </c>
      <c r="AX28" s="19" t="e">
        <f t="shared" si="10"/>
        <v>#N/A</v>
      </c>
      <c r="AY28" s="19" t="e">
        <f t="shared" si="11"/>
        <v>#N/A</v>
      </c>
      <c r="AZ28" s="19" t="str">
        <f t="shared" si="12"/>
        <v/>
      </c>
      <c r="BA28" s="19" t="e">
        <f>IF(AZ28="",NA(),COUNTIF(AZ28:$AZ$510,AZ28))</f>
        <v>#N/A</v>
      </c>
      <c r="BB28" s="19">
        <v>18</v>
      </c>
      <c r="BC28" s="19">
        <f t="shared" si="13"/>
        <v>3.0035110296293284</v>
      </c>
      <c r="BD28" s="19">
        <v>91.5</v>
      </c>
      <c r="BE28" s="19" t="e">
        <f t="shared" si="14"/>
        <v>#N/A</v>
      </c>
      <c r="BF28" s="19" t="e">
        <f t="shared" si="15"/>
        <v>#N/A</v>
      </c>
      <c r="BG28" s="19">
        <f t="shared" si="16"/>
        <v>3</v>
      </c>
      <c r="BH28" s="19" t="e">
        <f t="shared" si="17"/>
        <v>#N/A</v>
      </c>
    </row>
    <row r="29" spans="3:60" ht="11.25" customHeight="1" x14ac:dyDescent="0.2">
      <c r="C29" s="485"/>
      <c r="D29" s="417"/>
      <c r="F29" s="474"/>
      <c r="G29" s="409">
        <f t="shared" si="18"/>
        <v>2.9500000000000001E-6</v>
      </c>
      <c r="H29" s="474"/>
      <c r="I29" s="474"/>
      <c r="J29" s="474"/>
      <c r="K29" s="474"/>
      <c r="L29" s="474"/>
      <c r="M29" s="474"/>
      <c r="N29" s="474"/>
      <c r="O29" s="474"/>
      <c r="P29" s="474"/>
      <c r="Q29" s="474"/>
      <c r="R29" s="474"/>
      <c r="AE29" s="417"/>
      <c r="AF29" s="392">
        <f t="shared" si="2"/>
        <v>2.9500000000000001E-6</v>
      </c>
      <c r="AQ29" s="19">
        <f t="shared" si="8"/>
        <v>0.60000000000000098</v>
      </c>
      <c r="AR29" s="473" t="e">
        <f t="shared" si="5"/>
        <v>#N/A</v>
      </c>
      <c r="AS29" s="474" t="e">
        <f t="shared" si="6"/>
        <v>#N/A</v>
      </c>
      <c r="AT29" s="474" t="e">
        <f t="shared" si="7"/>
        <v>#N/A</v>
      </c>
      <c r="AU29" s="19" t="e">
        <f t="shared" si="9"/>
        <v>#N/A</v>
      </c>
      <c r="AV29" s="462" t="str">
        <f t="shared" si="3"/>
        <v/>
      </c>
      <c r="AW29" s="463" t="str">
        <f t="shared" si="4"/>
        <v/>
      </c>
      <c r="AX29" s="19" t="e">
        <f t="shared" si="10"/>
        <v>#N/A</v>
      </c>
      <c r="AY29" s="19" t="e">
        <f t="shared" si="11"/>
        <v>#N/A</v>
      </c>
      <c r="AZ29" s="19" t="str">
        <f t="shared" si="12"/>
        <v/>
      </c>
      <c r="BA29" s="19" t="e">
        <f>IF(AZ29="",NA(),COUNTIF(AZ29:$AZ$510,AZ29))</f>
        <v>#N/A</v>
      </c>
      <c r="BB29" s="19">
        <v>19</v>
      </c>
      <c r="BC29" s="19">
        <f t="shared" si="13"/>
        <v>3.0040094710951597</v>
      </c>
      <c r="BD29" s="19">
        <v>91</v>
      </c>
      <c r="BE29" s="19" t="e">
        <f t="shared" si="14"/>
        <v>#N/A</v>
      </c>
      <c r="BF29" s="19" t="e">
        <f t="shared" si="15"/>
        <v>#N/A</v>
      </c>
      <c r="BG29" s="19">
        <f t="shared" si="16"/>
        <v>3</v>
      </c>
      <c r="BH29" s="19" t="e">
        <f t="shared" si="17"/>
        <v>#N/A</v>
      </c>
    </row>
    <row r="30" spans="3:60" ht="11.25" customHeight="1" x14ac:dyDescent="0.2">
      <c r="C30" s="485"/>
      <c r="D30" s="417"/>
      <c r="F30" s="474"/>
      <c r="G30" s="409">
        <f t="shared" si="18"/>
        <v>2.9500000000000001E-6</v>
      </c>
      <c r="H30" s="474"/>
      <c r="I30" s="474"/>
      <c r="J30" s="474"/>
      <c r="K30" s="474"/>
      <c r="L30" s="474"/>
      <c r="M30" s="474"/>
      <c r="N30" s="474"/>
      <c r="O30" s="474"/>
      <c r="P30" s="474"/>
      <c r="Q30" s="474"/>
      <c r="R30" s="474"/>
      <c r="AE30" s="417"/>
      <c r="AF30" s="392">
        <f t="shared" si="2"/>
        <v>2.9500000000000001E-6</v>
      </c>
      <c r="AV30" s="462" t="str">
        <f t="shared" si="3"/>
        <v/>
      </c>
      <c r="AW30" s="463" t="str">
        <f t="shared" si="4"/>
        <v/>
      </c>
      <c r="AX30" s="19" t="e">
        <f t="shared" si="10"/>
        <v>#N/A</v>
      </c>
      <c r="AY30" s="19" t="e">
        <f t="shared" si="11"/>
        <v>#N/A</v>
      </c>
      <c r="AZ30" s="19" t="str">
        <f t="shared" si="12"/>
        <v/>
      </c>
      <c r="BA30" s="19" t="e">
        <f>IF(AZ30="",NA(),COUNTIF(AZ30:$AZ$510,AZ30))</f>
        <v>#N/A</v>
      </c>
      <c r="BB30" s="19">
        <v>20</v>
      </c>
      <c r="BC30" s="19">
        <f t="shared" si="13"/>
        <v>3.0045718106783963</v>
      </c>
      <c r="BD30" s="19">
        <v>90.5</v>
      </c>
      <c r="BE30" s="19" t="e">
        <f t="shared" si="14"/>
        <v>#N/A</v>
      </c>
      <c r="BF30" s="19" t="e">
        <f t="shared" si="15"/>
        <v>#N/A</v>
      </c>
      <c r="BG30" s="19">
        <f t="shared" si="16"/>
        <v>3</v>
      </c>
      <c r="BH30" s="19" t="e">
        <f t="shared" si="17"/>
        <v>#N/A</v>
      </c>
    </row>
    <row r="31" spans="3:60" ht="11.25" customHeight="1" x14ac:dyDescent="0.2">
      <c r="C31" s="485"/>
      <c r="D31" s="417"/>
      <c r="G31" s="409">
        <f t="shared" si="18"/>
        <v>2.9500000000000001E-6</v>
      </c>
      <c r="H31" s="474"/>
      <c r="I31" s="474"/>
      <c r="J31" s="474"/>
      <c r="K31" s="474"/>
      <c r="L31" s="474"/>
      <c r="M31" s="474"/>
      <c r="N31" s="474"/>
      <c r="P31" s="474"/>
      <c r="Q31" s="474"/>
      <c r="R31" s="474"/>
      <c r="AE31" s="417"/>
      <c r="AF31" s="392">
        <f t="shared" si="2"/>
        <v>2.9500000000000001E-6</v>
      </c>
      <c r="AV31" s="462" t="str">
        <f t="shared" si="3"/>
        <v/>
      </c>
      <c r="AW31" s="463" t="str">
        <f t="shared" si="4"/>
        <v/>
      </c>
      <c r="AX31" s="19" t="e">
        <f t="shared" si="10"/>
        <v>#N/A</v>
      </c>
      <c r="AY31" s="19" t="e">
        <f t="shared" si="11"/>
        <v>#N/A</v>
      </c>
      <c r="AZ31" s="19" t="str">
        <f t="shared" si="12"/>
        <v/>
      </c>
      <c r="BA31" s="19" t="e">
        <f>IF(AZ31="",NA(),COUNTIF(AZ31:$AZ$510,AZ31))</f>
        <v>#N/A</v>
      </c>
      <c r="BB31" s="19">
        <v>21</v>
      </c>
      <c r="BC31" s="19">
        <f t="shared" si="13"/>
        <v>3.0052052062994932</v>
      </c>
      <c r="BD31" s="19">
        <v>90</v>
      </c>
      <c r="BE31" s="19" t="e">
        <f t="shared" si="14"/>
        <v>#N/A</v>
      </c>
      <c r="BF31" s="19" t="e">
        <f t="shared" si="15"/>
        <v>#N/A</v>
      </c>
      <c r="BG31" s="19">
        <f t="shared" si="16"/>
        <v>3</v>
      </c>
      <c r="BH31" s="19" t="e">
        <f t="shared" si="17"/>
        <v>#N/A</v>
      </c>
    </row>
    <row r="32" spans="3:60" ht="11.25" customHeight="1" x14ac:dyDescent="0.2">
      <c r="C32" s="485"/>
      <c r="D32" s="417"/>
      <c r="F32" s="474"/>
      <c r="G32" s="409">
        <f t="shared" si="18"/>
        <v>2.9500000000000001E-6</v>
      </c>
      <c r="H32" s="474"/>
      <c r="I32" s="474"/>
      <c r="J32" s="474"/>
      <c r="K32" s="474"/>
      <c r="L32" s="474"/>
      <c r="M32" s="474"/>
      <c r="N32" s="474"/>
      <c r="O32" s="474"/>
      <c r="P32" s="474"/>
      <c r="Q32" s="474"/>
      <c r="R32" s="474"/>
      <c r="AE32" s="417"/>
      <c r="AF32" s="392">
        <f t="shared" si="2"/>
        <v>2.9500000000000001E-6</v>
      </c>
      <c r="AV32" s="462" t="str">
        <f t="shared" si="3"/>
        <v/>
      </c>
      <c r="AW32" s="463" t="str">
        <f t="shared" si="4"/>
        <v/>
      </c>
      <c r="AX32" s="19" t="e">
        <f t="shared" si="10"/>
        <v>#N/A</v>
      </c>
      <c r="AY32" s="19" t="e">
        <f t="shared" si="11"/>
        <v>#N/A</v>
      </c>
      <c r="AZ32" s="19" t="str">
        <f t="shared" si="12"/>
        <v/>
      </c>
      <c r="BA32" s="19" t="e">
        <f>IF(AZ32="",NA(),COUNTIF(AZ32:$AZ$510,AZ32))</f>
        <v>#N/A</v>
      </c>
      <c r="BB32" s="19">
        <v>22</v>
      </c>
      <c r="BC32" s="19">
        <f t="shared" si="13"/>
        <v>3.0059174720324493</v>
      </c>
      <c r="BD32" s="19">
        <v>89.5</v>
      </c>
      <c r="BE32" s="19" t="e">
        <f t="shared" si="14"/>
        <v>#N/A</v>
      </c>
      <c r="BF32" s="19" t="e">
        <f t="shared" si="15"/>
        <v>#N/A</v>
      </c>
      <c r="BG32" s="19">
        <f t="shared" si="16"/>
        <v>3</v>
      </c>
      <c r="BH32" s="19" t="e">
        <f t="shared" si="17"/>
        <v>#N/A</v>
      </c>
    </row>
    <row r="33" spans="3:60" ht="11.25" customHeight="1" x14ac:dyDescent="0.2">
      <c r="C33" s="485"/>
      <c r="D33" s="417"/>
      <c r="F33" s="474"/>
      <c r="G33" s="409">
        <f t="shared" si="18"/>
        <v>2.9500000000000001E-6</v>
      </c>
      <c r="H33" s="474"/>
      <c r="I33" s="474"/>
      <c r="J33" s="474"/>
      <c r="K33" s="474"/>
      <c r="L33" s="474"/>
      <c r="M33" s="474"/>
      <c r="N33" s="474"/>
      <c r="O33" s="474"/>
      <c r="P33" s="474"/>
      <c r="Q33" s="474"/>
      <c r="R33" s="474"/>
      <c r="AE33" s="417"/>
      <c r="AF33" s="392">
        <f t="shared" si="2"/>
        <v>2.9500000000000001E-6</v>
      </c>
      <c r="AV33" s="462" t="str">
        <f t="shared" si="3"/>
        <v/>
      </c>
      <c r="AW33" s="463" t="str">
        <f t="shared" si="4"/>
        <v/>
      </c>
      <c r="AX33" s="19" t="e">
        <f t="shared" si="10"/>
        <v>#N/A</v>
      </c>
      <c r="AY33" s="19" t="e">
        <f t="shared" si="11"/>
        <v>#N/A</v>
      </c>
      <c r="AZ33" s="19" t="str">
        <f t="shared" si="12"/>
        <v/>
      </c>
      <c r="BA33" s="19" t="e">
        <f>IF(AZ33="",NA(),COUNTIF(AZ33:$AZ$510,AZ33))</f>
        <v>#N/A</v>
      </c>
      <c r="BB33" s="19">
        <v>23</v>
      </c>
      <c r="BC33" s="19">
        <f t="shared" si="13"/>
        <v>3.0067171189582216</v>
      </c>
      <c r="BD33" s="19">
        <v>89</v>
      </c>
      <c r="BE33" s="19" t="e">
        <f t="shared" si="14"/>
        <v>#N/A</v>
      </c>
      <c r="BF33" s="19" t="e">
        <f t="shared" si="15"/>
        <v>#N/A</v>
      </c>
      <c r="BG33" s="19">
        <f t="shared" si="16"/>
        <v>3</v>
      </c>
      <c r="BH33" s="19" t="e">
        <f t="shared" si="17"/>
        <v>#N/A</v>
      </c>
    </row>
    <row r="34" spans="3:60" ht="11.25" customHeight="1" x14ac:dyDescent="0.2">
      <c r="C34" s="485"/>
      <c r="D34" s="417"/>
      <c r="G34" s="409">
        <f t="shared" si="18"/>
        <v>2.9500000000000001E-6</v>
      </c>
      <c r="AE34" s="417"/>
      <c r="AF34" s="392">
        <f t="shared" si="2"/>
        <v>2.9500000000000001E-6</v>
      </c>
      <c r="AV34" s="462" t="str">
        <f t="shared" si="3"/>
        <v/>
      </c>
      <c r="AW34" s="463" t="str">
        <f t="shared" si="4"/>
        <v/>
      </c>
      <c r="AX34" s="19" t="e">
        <f t="shared" si="10"/>
        <v>#N/A</v>
      </c>
      <c r="AY34" s="19" t="e">
        <f t="shared" si="11"/>
        <v>#N/A</v>
      </c>
      <c r="AZ34" s="19" t="str">
        <f t="shared" si="12"/>
        <v/>
      </c>
      <c r="BA34" s="19" t="e">
        <f>IF(AZ34="",NA(),COUNTIF(AZ34:$AZ$510,AZ34))</f>
        <v>#N/A</v>
      </c>
      <c r="BB34" s="19">
        <v>24</v>
      </c>
      <c r="BC34" s="19">
        <f t="shared" si="13"/>
        <v>3.007613396067693</v>
      </c>
      <c r="BD34" s="19">
        <v>88.5</v>
      </c>
      <c r="BE34" s="19" t="e">
        <f t="shared" si="14"/>
        <v>#N/A</v>
      </c>
      <c r="BF34" s="19" t="e">
        <f t="shared" si="15"/>
        <v>#N/A</v>
      </c>
      <c r="BG34" s="19">
        <f t="shared" si="16"/>
        <v>3</v>
      </c>
      <c r="BH34" s="19" t="e">
        <f t="shared" si="17"/>
        <v>#N/A</v>
      </c>
    </row>
    <row r="35" spans="3:60" ht="11.25" customHeight="1" x14ac:dyDescent="0.2">
      <c r="C35" s="485"/>
      <c r="D35" s="417"/>
      <c r="G35" s="409">
        <f t="shared" si="18"/>
        <v>2.9500000000000001E-6</v>
      </c>
      <c r="AE35" s="417"/>
      <c r="AF35" s="392">
        <f t="shared" si="2"/>
        <v>2.9500000000000001E-6</v>
      </c>
      <c r="AV35" s="462" t="str">
        <f t="shared" si="3"/>
        <v/>
      </c>
      <c r="AW35" s="463" t="str">
        <f t="shared" si="4"/>
        <v/>
      </c>
      <c r="AX35" s="19" t="e">
        <f t="shared" si="10"/>
        <v>#N/A</v>
      </c>
      <c r="AY35" s="19" t="e">
        <f t="shared" si="11"/>
        <v>#N/A</v>
      </c>
      <c r="AZ35" s="19" t="str">
        <f t="shared" si="12"/>
        <v/>
      </c>
      <c r="BA35" s="19" t="e">
        <f>IF(AZ35="",NA(),COUNTIF(AZ35:$AZ$510,AZ35))</f>
        <v>#N/A</v>
      </c>
      <c r="BB35" s="19">
        <v>25</v>
      </c>
      <c r="BC35" s="19">
        <f t="shared" si="13"/>
        <v>3.0086163308288412</v>
      </c>
      <c r="BD35" s="19">
        <v>88</v>
      </c>
      <c r="BE35" s="19" t="e">
        <f t="shared" si="14"/>
        <v>#N/A</v>
      </c>
      <c r="BF35" s="19" t="e">
        <f t="shared" si="15"/>
        <v>#N/A</v>
      </c>
      <c r="BG35" s="19">
        <f t="shared" si="16"/>
        <v>3</v>
      </c>
      <c r="BH35" s="19" t="e">
        <f t="shared" si="17"/>
        <v>#N/A</v>
      </c>
    </row>
    <row r="36" spans="3:60" ht="11.25" customHeight="1" x14ac:dyDescent="0.2">
      <c r="C36" s="485"/>
      <c r="D36" s="417"/>
      <c r="G36" s="409">
        <f t="shared" si="18"/>
        <v>2.9500000000000001E-6</v>
      </c>
      <c r="AE36" s="417"/>
      <c r="AF36" s="392">
        <f t="shared" si="2"/>
        <v>2.9500000000000001E-6</v>
      </c>
      <c r="AV36" s="462" t="str">
        <f t="shared" si="3"/>
        <v/>
      </c>
      <c r="AW36" s="463" t="str">
        <f t="shared" si="4"/>
        <v/>
      </c>
      <c r="AX36" s="19" t="e">
        <f t="shared" si="10"/>
        <v>#N/A</v>
      </c>
      <c r="AY36" s="19" t="e">
        <f t="shared" si="11"/>
        <v>#N/A</v>
      </c>
      <c r="AZ36" s="19" t="str">
        <f t="shared" si="12"/>
        <v/>
      </c>
      <c r="BA36" s="19" t="e">
        <f>IF(AZ36="",NA(),COUNTIF(AZ36:$AZ$510,AZ36))</f>
        <v>#N/A</v>
      </c>
      <c r="BB36" s="19">
        <v>26</v>
      </c>
      <c r="BC36" s="19">
        <f t="shared" si="13"/>
        <v>3.009736768984177</v>
      </c>
      <c r="BD36" s="19">
        <v>87.5</v>
      </c>
      <c r="BE36" s="19" t="e">
        <f t="shared" si="14"/>
        <v>#N/A</v>
      </c>
      <c r="BF36" s="19" t="e">
        <f t="shared" si="15"/>
        <v>#N/A</v>
      </c>
      <c r="BG36" s="19">
        <f t="shared" si="16"/>
        <v>3</v>
      </c>
      <c r="BH36" s="19" t="e">
        <f t="shared" si="17"/>
        <v>#N/A</v>
      </c>
    </row>
    <row r="37" spans="3:60" ht="11.25" customHeight="1" x14ac:dyDescent="0.2">
      <c r="C37" s="485"/>
      <c r="D37" s="417"/>
      <c r="G37" s="409">
        <f t="shared" si="18"/>
        <v>2.9500000000000001E-6</v>
      </c>
      <c r="AE37" s="417"/>
      <c r="AF37" s="392">
        <f t="shared" si="2"/>
        <v>2.9500000000000001E-6</v>
      </c>
      <c r="AV37" s="462" t="str">
        <f t="shared" si="3"/>
        <v/>
      </c>
      <c r="AW37" s="463" t="str">
        <f t="shared" si="4"/>
        <v/>
      </c>
      <c r="AX37" s="19" t="e">
        <f t="shared" si="10"/>
        <v>#N/A</v>
      </c>
      <c r="AY37" s="19" t="e">
        <f t="shared" si="11"/>
        <v>#N/A</v>
      </c>
      <c r="AZ37" s="19" t="str">
        <f t="shared" si="12"/>
        <v/>
      </c>
      <c r="BA37" s="19" t="e">
        <f>IF(AZ37="",NA(),COUNTIF(AZ37:$AZ$510,AZ37))</f>
        <v>#N/A</v>
      </c>
      <c r="BB37" s="19">
        <v>27</v>
      </c>
      <c r="BC37" s="19">
        <f t="shared" si="13"/>
        <v>3.01098641309488</v>
      </c>
      <c r="BD37" s="19">
        <v>87</v>
      </c>
      <c r="BE37" s="19" t="e">
        <f t="shared" si="14"/>
        <v>#N/A</v>
      </c>
      <c r="BF37" s="19" t="e">
        <f t="shared" si="15"/>
        <v>#N/A</v>
      </c>
      <c r="BG37" s="19">
        <f t="shared" si="16"/>
        <v>3</v>
      </c>
      <c r="BH37" s="19" t="e">
        <f t="shared" si="17"/>
        <v>#N/A</v>
      </c>
    </row>
    <row r="38" spans="3:60" ht="11.25" customHeight="1" x14ac:dyDescent="0.2">
      <c r="C38" s="485"/>
      <c r="D38" s="417"/>
      <c r="AE38" s="417"/>
      <c r="AV38" s="462" t="str">
        <f t="shared" si="3"/>
        <v/>
      </c>
      <c r="AW38" s="463" t="str">
        <f t="shared" si="4"/>
        <v/>
      </c>
      <c r="AX38" s="19" t="e">
        <f t="shared" si="10"/>
        <v>#N/A</v>
      </c>
      <c r="AY38" s="19" t="e">
        <f t="shared" si="11"/>
        <v>#N/A</v>
      </c>
      <c r="AZ38" s="19" t="str">
        <f t="shared" si="12"/>
        <v/>
      </c>
      <c r="BA38" s="19" t="e">
        <f>IF(AZ38="",NA(),COUNTIF(AZ38:$AZ$510,AZ38))</f>
        <v>#N/A</v>
      </c>
      <c r="BB38" s="19">
        <v>28</v>
      </c>
      <c r="BC38" s="19">
        <f t="shared" si="13"/>
        <v>3.0123778592980104</v>
      </c>
      <c r="BD38" s="19">
        <v>86.5</v>
      </c>
      <c r="BE38" s="19" t="e">
        <f t="shared" si="14"/>
        <v>#N/A</v>
      </c>
      <c r="BF38" s="19" t="e">
        <f t="shared" si="15"/>
        <v>#N/A</v>
      </c>
      <c r="BG38" s="19">
        <f t="shared" si="16"/>
        <v>3</v>
      </c>
      <c r="BH38" s="19" t="e">
        <f t="shared" si="17"/>
        <v>#N/A</v>
      </c>
    </row>
    <row r="39" spans="3:60" ht="11.25" customHeight="1" x14ac:dyDescent="0.2">
      <c r="C39" s="485"/>
      <c r="D39" s="417"/>
      <c r="AE39" s="417"/>
      <c r="AV39" s="462" t="str">
        <f t="shared" si="3"/>
        <v/>
      </c>
      <c r="AW39" s="463" t="str">
        <f t="shared" si="4"/>
        <v/>
      </c>
      <c r="AX39" s="19" t="e">
        <f t="shared" si="10"/>
        <v>#N/A</v>
      </c>
      <c r="AY39" s="19" t="e">
        <f t="shared" si="11"/>
        <v>#N/A</v>
      </c>
      <c r="AZ39" s="19" t="str">
        <f t="shared" si="12"/>
        <v/>
      </c>
      <c r="BA39" s="19" t="e">
        <f>IF(AZ39="",NA(),COUNTIF(AZ39:$AZ$510,AZ39))</f>
        <v>#N/A</v>
      </c>
      <c r="BB39" s="19">
        <v>29</v>
      </c>
      <c r="BC39" s="19">
        <f t="shared" si="13"/>
        <v>3.0139246316933153</v>
      </c>
      <c r="BD39" s="19">
        <v>86</v>
      </c>
      <c r="BE39" s="19" t="e">
        <f t="shared" si="14"/>
        <v>#N/A</v>
      </c>
      <c r="BF39" s="19" t="e">
        <f t="shared" si="15"/>
        <v>#N/A</v>
      </c>
      <c r="BG39" s="19">
        <f t="shared" si="16"/>
        <v>3</v>
      </c>
      <c r="BH39" s="19" t="e">
        <f t="shared" si="17"/>
        <v>#N/A</v>
      </c>
    </row>
    <row r="40" spans="3:60" ht="11.25" customHeight="1" x14ac:dyDescent="0.2">
      <c r="C40" s="485"/>
      <c r="D40" s="417"/>
      <c r="AE40" s="417"/>
      <c r="AV40" s="462" t="str">
        <f t="shared" si="3"/>
        <v/>
      </c>
      <c r="AW40" s="463" t="str">
        <f t="shared" si="4"/>
        <v/>
      </c>
      <c r="AX40" s="19" t="e">
        <f t="shared" si="10"/>
        <v>#N/A</v>
      </c>
      <c r="AY40" s="19" t="e">
        <f t="shared" si="11"/>
        <v>#N/A</v>
      </c>
      <c r="AZ40" s="19" t="str">
        <f t="shared" si="12"/>
        <v/>
      </c>
      <c r="BA40" s="19" t="e">
        <f>IF(AZ40="",NA(),COUNTIF(AZ40:$AZ$510,AZ40))</f>
        <v>#N/A</v>
      </c>
      <c r="BB40" s="19">
        <v>30</v>
      </c>
      <c r="BC40" s="19">
        <f t="shared" si="13"/>
        <v>3.0156412137272537</v>
      </c>
      <c r="BD40" s="19">
        <v>85.5</v>
      </c>
      <c r="BE40" s="19" t="e">
        <f t="shared" si="14"/>
        <v>#N/A</v>
      </c>
      <c r="BF40" s="19" t="e">
        <f t="shared" si="15"/>
        <v>#N/A</v>
      </c>
      <c r="BG40" s="19">
        <f t="shared" si="16"/>
        <v>3</v>
      </c>
      <c r="BH40" s="19" t="e">
        <f t="shared" si="17"/>
        <v>#N/A</v>
      </c>
    </row>
    <row r="41" spans="3:60" ht="11.25" customHeight="1" x14ac:dyDescent="0.2">
      <c r="C41" s="485"/>
      <c r="D41" s="417"/>
      <c r="AE41" s="417"/>
      <c r="AV41" s="462" t="str">
        <f t="shared" si="3"/>
        <v/>
      </c>
      <c r="AW41" s="463" t="str">
        <f t="shared" si="4"/>
        <v/>
      </c>
      <c r="AX41" s="19" t="e">
        <f t="shared" si="10"/>
        <v>#N/A</v>
      </c>
      <c r="AY41" s="19" t="e">
        <f t="shared" si="11"/>
        <v>#N/A</v>
      </c>
      <c r="AZ41" s="19" t="str">
        <f t="shared" si="12"/>
        <v/>
      </c>
      <c r="BA41" s="19" t="e">
        <f>IF(AZ41="",NA(),COUNTIF(AZ41:$AZ$510,AZ41))</f>
        <v>#N/A</v>
      </c>
      <c r="BB41" s="19">
        <v>31</v>
      </c>
      <c r="BC41" s="19">
        <f t="shared" si="13"/>
        <v>3.0175430758947512</v>
      </c>
      <c r="BD41" s="19">
        <v>85</v>
      </c>
      <c r="BE41" s="19" t="e">
        <f t="shared" si="14"/>
        <v>#N/A</v>
      </c>
      <c r="BF41" s="19" t="e">
        <f t="shared" si="15"/>
        <v>#N/A</v>
      </c>
      <c r="BG41" s="19">
        <f t="shared" si="16"/>
        <v>3</v>
      </c>
      <c r="BH41" s="19" t="e">
        <f t="shared" si="17"/>
        <v>#N/A</v>
      </c>
    </row>
    <row r="42" spans="3:60" ht="11.25" customHeight="1" x14ac:dyDescent="0.2">
      <c r="C42" s="485"/>
      <c r="D42" s="417"/>
      <c r="AE42" s="417"/>
      <c r="AV42" s="462" t="str">
        <f t="shared" si="3"/>
        <v/>
      </c>
      <c r="AW42" s="463" t="str">
        <f t="shared" si="4"/>
        <v/>
      </c>
      <c r="AX42" s="19" t="e">
        <f t="shared" si="10"/>
        <v>#N/A</v>
      </c>
      <c r="AY42" s="19" t="e">
        <f t="shared" si="11"/>
        <v>#N/A</v>
      </c>
      <c r="AZ42" s="19" t="str">
        <f t="shared" si="12"/>
        <v/>
      </c>
      <c r="BA42" s="19" t="e">
        <f>IF(AZ42="",NA(),COUNTIF(AZ42:$AZ$510,AZ42))</f>
        <v>#N/A</v>
      </c>
      <c r="BB42" s="19">
        <v>32</v>
      </c>
      <c r="BC42" s="19">
        <f t="shared" si="13"/>
        <v>3.0196466990347544</v>
      </c>
      <c r="BD42" s="19">
        <v>84.5</v>
      </c>
      <c r="BE42" s="19" t="e">
        <f t="shared" si="14"/>
        <v>#N/A</v>
      </c>
      <c r="BF42" s="19" t="e">
        <f t="shared" si="15"/>
        <v>#N/A</v>
      </c>
      <c r="BG42" s="19">
        <f t="shared" si="16"/>
        <v>3</v>
      </c>
      <c r="BH42" s="19" t="e">
        <f t="shared" si="17"/>
        <v>#N/A</v>
      </c>
    </row>
    <row r="43" spans="3:60" ht="11.25" customHeight="1" x14ac:dyDescent="0.2">
      <c r="C43" s="485"/>
      <c r="D43" s="417"/>
      <c r="AE43" s="417"/>
      <c r="AV43" s="462" t="str">
        <f t="shared" si="3"/>
        <v/>
      </c>
      <c r="AW43" s="463" t="str">
        <f t="shared" si="4"/>
        <v/>
      </c>
      <c r="AX43" s="19" t="e">
        <f t="shared" si="10"/>
        <v>#N/A</v>
      </c>
      <c r="AY43" s="19" t="e">
        <f t="shared" si="11"/>
        <v>#N/A</v>
      </c>
      <c r="AZ43" s="19" t="str">
        <f t="shared" si="12"/>
        <v/>
      </c>
      <c r="BA43" s="19" t="e">
        <f>IF(AZ43="",NA(),COUNTIF(AZ43:$AZ$510,AZ43))</f>
        <v>#N/A</v>
      </c>
      <c r="BB43" s="19">
        <v>33</v>
      </c>
      <c r="BC43" s="19">
        <f t="shared" si="13"/>
        <v>3.0219695924548748</v>
      </c>
      <c r="BD43" s="19">
        <v>84</v>
      </c>
      <c r="BE43" s="19" t="e">
        <f t="shared" si="14"/>
        <v>#N/A</v>
      </c>
      <c r="BF43" s="19" t="e">
        <f t="shared" si="15"/>
        <v>#N/A</v>
      </c>
      <c r="BG43" s="19">
        <f t="shared" si="16"/>
        <v>3</v>
      </c>
      <c r="BH43" s="19" t="e">
        <f t="shared" si="17"/>
        <v>#N/A</v>
      </c>
    </row>
    <row r="44" spans="3:60" ht="11.25" customHeight="1" x14ac:dyDescent="0.2">
      <c r="C44" s="485"/>
      <c r="D44" s="417"/>
      <c r="AE44" s="417"/>
      <c r="AV44" s="462" t="str">
        <f t="shared" si="3"/>
        <v/>
      </c>
      <c r="AW44" s="463" t="str">
        <f t="shared" si="4"/>
        <v/>
      </c>
      <c r="AX44" s="19" t="e">
        <f t="shared" si="10"/>
        <v>#N/A</v>
      </c>
      <c r="AY44" s="19" t="e">
        <f t="shared" si="11"/>
        <v>#N/A</v>
      </c>
      <c r="AZ44" s="19" t="str">
        <f t="shared" si="12"/>
        <v/>
      </c>
      <c r="BA44" s="19" t="e">
        <f>IF(AZ44="",NA(),COUNTIF(AZ44:$AZ$510,AZ44))</f>
        <v>#N/A</v>
      </c>
      <c r="BB44" s="19">
        <v>34</v>
      </c>
      <c r="BC44" s="19">
        <f t="shared" si="13"/>
        <v>3.0245303060843081</v>
      </c>
      <c r="BD44" s="19">
        <v>83.5</v>
      </c>
      <c r="BE44" s="19" t="e">
        <f t="shared" si="14"/>
        <v>#N/A</v>
      </c>
      <c r="BF44" s="19" t="e">
        <f t="shared" si="15"/>
        <v>#N/A</v>
      </c>
      <c r="BG44" s="19">
        <f t="shared" si="16"/>
        <v>3</v>
      </c>
      <c r="BH44" s="19" t="e">
        <f t="shared" si="17"/>
        <v>#N/A</v>
      </c>
    </row>
    <row r="45" spans="3:60" ht="11.25" customHeight="1" x14ac:dyDescent="0.2">
      <c r="C45" s="485"/>
      <c r="D45" s="417"/>
      <c r="AE45" s="417"/>
      <c r="AV45" s="462" t="str">
        <f t="shared" si="3"/>
        <v/>
      </c>
      <c r="AW45" s="463" t="str">
        <f t="shared" si="4"/>
        <v/>
      </c>
      <c r="AX45" s="19" t="e">
        <f t="shared" si="10"/>
        <v>#N/A</v>
      </c>
      <c r="AY45" s="19" t="e">
        <f t="shared" si="11"/>
        <v>#N/A</v>
      </c>
      <c r="AZ45" s="19" t="str">
        <f t="shared" si="12"/>
        <v/>
      </c>
      <c r="BA45" s="19" t="e">
        <f>IF(AZ45="",NA(),COUNTIF(AZ45:$AZ$510,AZ45))</f>
        <v>#N/A</v>
      </c>
      <c r="BB45" s="19">
        <v>35</v>
      </c>
      <c r="BC45" s="19">
        <f t="shared" si="13"/>
        <v>3.0273484358239067</v>
      </c>
      <c r="BD45" s="19">
        <v>83</v>
      </c>
      <c r="BE45" s="19" t="e">
        <f t="shared" si="14"/>
        <v>#N/A</v>
      </c>
      <c r="BF45" s="19" t="e">
        <f t="shared" si="15"/>
        <v>#N/A</v>
      </c>
      <c r="BG45" s="19">
        <f t="shared" si="16"/>
        <v>3</v>
      </c>
      <c r="BH45" s="19" t="e">
        <f t="shared" si="17"/>
        <v>#N/A</v>
      </c>
    </row>
    <row r="46" spans="3:60" ht="11.25" customHeight="1" x14ac:dyDescent="0.2">
      <c r="C46" s="485"/>
      <c r="D46" s="417"/>
      <c r="AE46" s="417"/>
      <c r="AV46" s="462" t="str">
        <f t="shared" si="3"/>
        <v/>
      </c>
      <c r="AW46" s="463" t="str">
        <f t="shared" si="4"/>
        <v/>
      </c>
      <c r="AX46" s="19" t="e">
        <f t="shared" si="10"/>
        <v>#N/A</v>
      </c>
      <c r="AY46" s="19" t="e">
        <f t="shared" si="11"/>
        <v>#N/A</v>
      </c>
      <c r="AZ46" s="19" t="str">
        <f t="shared" si="12"/>
        <v/>
      </c>
      <c r="BA46" s="19" t="e">
        <f>IF(AZ46="",NA(),COUNTIF(AZ46:$AZ$510,AZ46))</f>
        <v>#N/A</v>
      </c>
      <c r="BB46" s="19">
        <v>36</v>
      </c>
      <c r="BC46" s="19">
        <f t="shared" si="13"/>
        <v>3.0304446212388498</v>
      </c>
      <c r="BD46" s="19">
        <v>82.5</v>
      </c>
      <c r="BE46" s="19" t="e">
        <f t="shared" si="14"/>
        <v>#N/A</v>
      </c>
      <c r="BF46" s="19" t="e">
        <f t="shared" si="15"/>
        <v>#N/A</v>
      </c>
      <c r="BG46" s="19">
        <f t="shared" si="16"/>
        <v>3</v>
      </c>
      <c r="BH46" s="19" t="e">
        <f t="shared" si="17"/>
        <v>#N/A</v>
      </c>
    </row>
    <row r="47" spans="3:60" ht="11.25" customHeight="1" x14ac:dyDescent="0.2">
      <c r="C47" s="485"/>
      <c r="D47" s="417"/>
      <c r="AE47" s="417"/>
      <c r="AV47" s="462" t="str">
        <f t="shared" si="3"/>
        <v/>
      </c>
      <c r="AW47" s="463" t="str">
        <f t="shared" si="4"/>
        <v/>
      </c>
      <c r="AX47" s="19" t="e">
        <f t="shared" si="10"/>
        <v>#N/A</v>
      </c>
      <c r="AY47" s="19" t="e">
        <f t="shared" si="11"/>
        <v>#N/A</v>
      </c>
      <c r="AZ47" s="19" t="str">
        <f t="shared" si="12"/>
        <v/>
      </c>
      <c r="BA47" s="19" t="e">
        <f>IF(AZ47="",NA(),COUNTIF(AZ47:$AZ$510,AZ47))</f>
        <v>#N/A</v>
      </c>
      <c r="BB47" s="19">
        <v>37</v>
      </c>
      <c r="BC47" s="19">
        <f t="shared" si="13"/>
        <v>3.0338405347240225</v>
      </c>
      <c r="BD47" s="19">
        <v>82</v>
      </c>
      <c r="BE47" s="19" t="e">
        <f t="shared" si="14"/>
        <v>#N/A</v>
      </c>
      <c r="BF47" s="19" t="e">
        <f t="shared" si="15"/>
        <v>#N/A</v>
      </c>
      <c r="BG47" s="19">
        <f t="shared" si="16"/>
        <v>3</v>
      </c>
      <c r="BH47" s="19" t="e">
        <f t="shared" si="17"/>
        <v>#N/A</v>
      </c>
    </row>
    <row r="48" spans="3:60" ht="11.25" customHeight="1" x14ac:dyDescent="0.2">
      <c r="C48" s="485"/>
      <c r="D48" s="417"/>
      <c r="AE48" s="417"/>
      <c r="AV48" s="462" t="str">
        <f t="shared" si="3"/>
        <v/>
      </c>
      <c r="AW48" s="463" t="str">
        <f t="shared" si="4"/>
        <v/>
      </c>
      <c r="AX48" s="19" t="e">
        <f t="shared" si="10"/>
        <v>#N/A</v>
      </c>
      <c r="AY48" s="19" t="e">
        <f t="shared" si="11"/>
        <v>#N/A</v>
      </c>
      <c r="AZ48" s="19" t="str">
        <f t="shared" si="12"/>
        <v/>
      </c>
      <c r="BA48" s="19" t="e">
        <f>IF(AZ48="",NA(),COUNTIF(AZ48:$AZ$510,AZ48))</f>
        <v>#N/A</v>
      </c>
      <c r="BB48" s="19">
        <v>38</v>
      </c>
      <c r="BC48" s="19">
        <f t="shared" si="13"/>
        <v>3.0375588612660618</v>
      </c>
      <c r="BD48" s="19">
        <v>81.5</v>
      </c>
      <c r="BE48" s="19" t="e">
        <f t="shared" si="14"/>
        <v>#N/A</v>
      </c>
      <c r="BF48" s="19" t="e">
        <f t="shared" si="15"/>
        <v>#N/A</v>
      </c>
      <c r="BG48" s="19">
        <f t="shared" si="16"/>
        <v>3</v>
      </c>
      <c r="BH48" s="19" t="e">
        <f t="shared" si="17"/>
        <v>#N/A</v>
      </c>
    </row>
    <row r="49" spans="3:60" ht="11.25" customHeight="1" x14ac:dyDescent="0.2">
      <c r="C49" s="485"/>
      <c r="D49" s="417"/>
      <c r="AE49" s="417"/>
      <c r="AV49" s="462" t="str">
        <f t="shared" si="3"/>
        <v/>
      </c>
      <c r="AW49" s="463" t="str">
        <f t="shared" si="4"/>
        <v/>
      </c>
      <c r="AX49" s="19" t="e">
        <f t="shared" si="10"/>
        <v>#N/A</v>
      </c>
      <c r="AY49" s="19" t="e">
        <f t="shared" si="11"/>
        <v>#N/A</v>
      </c>
      <c r="AZ49" s="19" t="str">
        <f t="shared" si="12"/>
        <v/>
      </c>
      <c r="BA49" s="19" t="e">
        <f>IF(AZ49="",NA(),COUNTIF(AZ49:$AZ$510,AZ49))</f>
        <v>#N/A</v>
      </c>
      <c r="BB49" s="19">
        <v>39</v>
      </c>
      <c r="BC49" s="19">
        <f t="shared" si="13"/>
        <v>3.041623267930289</v>
      </c>
      <c r="BD49" s="19">
        <v>81</v>
      </c>
      <c r="BE49" s="19" t="e">
        <f t="shared" si="14"/>
        <v>#N/A</v>
      </c>
      <c r="BF49" s="19" t="e">
        <f t="shared" si="15"/>
        <v>#N/A</v>
      </c>
      <c r="BG49" s="19">
        <f t="shared" si="16"/>
        <v>3</v>
      </c>
      <c r="BH49" s="19" t="e">
        <f t="shared" si="17"/>
        <v>#N/A</v>
      </c>
    </row>
    <row r="50" spans="3:60" ht="11.25" customHeight="1" x14ac:dyDescent="0.2">
      <c r="C50" s="485"/>
      <c r="D50" s="417"/>
      <c r="AE50" s="417"/>
      <c r="AV50" s="462" t="str">
        <f t="shared" si="3"/>
        <v/>
      </c>
      <c r="AW50" s="463" t="str">
        <f t="shared" si="4"/>
        <v/>
      </c>
      <c r="AX50" s="19" t="e">
        <f t="shared" si="10"/>
        <v>#N/A</v>
      </c>
      <c r="AY50" s="19" t="e">
        <f t="shared" si="11"/>
        <v>#N/A</v>
      </c>
      <c r="AZ50" s="19" t="str">
        <f t="shared" si="12"/>
        <v/>
      </c>
      <c r="BA50" s="19" t="e">
        <f>IF(AZ50="",NA(),COUNTIF(AZ50:$AZ$510,AZ50))</f>
        <v>#N/A</v>
      </c>
      <c r="BB50" s="19">
        <v>40</v>
      </c>
      <c r="BC50" s="19">
        <f t="shared" si="13"/>
        <v>3.0460583622164896</v>
      </c>
      <c r="BD50" s="19">
        <v>80.5</v>
      </c>
      <c r="BE50" s="19" t="e">
        <f t="shared" si="14"/>
        <v>#N/A</v>
      </c>
      <c r="BF50" s="19" t="e">
        <f t="shared" si="15"/>
        <v>#N/A</v>
      </c>
      <c r="BG50" s="19">
        <f t="shared" si="16"/>
        <v>3</v>
      </c>
      <c r="BH50" s="19" t="e">
        <f t="shared" si="17"/>
        <v>#N/A</v>
      </c>
    </row>
    <row r="51" spans="3:60" ht="11.25" customHeight="1" x14ac:dyDescent="0.2">
      <c r="C51" s="485"/>
      <c r="D51" s="417"/>
      <c r="AE51" s="417"/>
      <c r="AV51" s="462" t="str">
        <f t="shared" si="3"/>
        <v/>
      </c>
      <c r="AW51" s="463" t="str">
        <f t="shared" si="4"/>
        <v/>
      </c>
      <c r="AX51" s="19" t="e">
        <f t="shared" si="10"/>
        <v>#N/A</v>
      </c>
      <c r="AY51" s="19" t="e">
        <f t="shared" si="11"/>
        <v>#N/A</v>
      </c>
      <c r="AZ51" s="19" t="str">
        <f t="shared" si="12"/>
        <v/>
      </c>
      <c r="BA51" s="19" t="e">
        <f>IF(AZ51="",NA(),COUNTIF(AZ51:$AZ$510,AZ51))</f>
        <v>#N/A</v>
      </c>
      <c r="BB51" s="19">
        <v>41</v>
      </c>
      <c r="BC51" s="19">
        <f t="shared" si="13"/>
        <v>3.0508896384558111</v>
      </c>
      <c r="BD51" s="19">
        <v>80</v>
      </c>
      <c r="BE51" s="19" t="e">
        <f t="shared" si="14"/>
        <v>#N/A</v>
      </c>
      <c r="BF51" s="19" t="e">
        <f t="shared" si="15"/>
        <v>#N/A</v>
      </c>
      <c r="BG51" s="19">
        <f t="shared" si="16"/>
        <v>3</v>
      </c>
      <c r="BH51" s="19" t="e">
        <f t="shared" si="17"/>
        <v>#N/A</v>
      </c>
    </row>
    <row r="52" spans="3:60" ht="11.25" customHeight="1" x14ac:dyDescent="0.2">
      <c r="C52" s="485"/>
      <c r="D52" s="417"/>
      <c r="AE52" s="417"/>
      <c r="AV52" s="462" t="str">
        <f t="shared" si="3"/>
        <v/>
      </c>
      <c r="AW52" s="463" t="str">
        <f t="shared" si="4"/>
        <v/>
      </c>
      <c r="AX52" s="19" t="e">
        <f t="shared" si="10"/>
        <v>#N/A</v>
      </c>
      <c r="AY52" s="19" t="e">
        <f t="shared" si="11"/>
        <v>#N/A</v>
      </c>
      <c r="AZ52" s="19" t="str">
        <f t="shared" si="12"/>
        <v/>
      </c>
      <c r="BA52" s="19" t="e">
        <f>IF(AZ52="",NA(),COUNTIF(AZ52:$AZ$510,AZ52))</f>
        <v>#N/A</v>
      </c>
      <c r="BB52" s="19">
        <v>42</v>
      </c>
      <c r="BC52" s="19">
        <f t="shared" si="13"/>
        <v>3.0561434114629167</v>
      </c>
      <c r="BD52" s="19">
        <v>79.5</v>
      </c>
      <c r="BE52" s="19" t="e">
        <f t="shared" si="14"/>
        <v>#N/A</v>
      </c>
      <c r="BF52" s="19" t="e">
        <f t="shared" si="15"/>
        <v>#N/A</v>
      </c>
      <c r="BG52" s="19">
        <f t="shared" si="16"/>
        <v>3</v>
      </c>
      <c r="BH52" s="19" t="e">
        <f t="shared" si="17"/>
        <v>#N/A</v>
      </c>
    </row>
    <row r="53" spans="3:60" ht="11.25" customHeight="1" x14ac:dyDescent="0.2">
      <c r="C53" s="485"/>
      <c r="D53" s="417"/>
      <c r="AE53" s="417"/>
      <c r="AV53" s="462" t="str">
        <f t="shared" si="3"/>
        <v/>
      </c>
      <c r="AW53" s="463" t="str">
        <f t="shared" si="4"/>
        <v/>
      </c>
      <c r="AX53" s="19" t="e">
        <f t="shared" si="10"/>
        <v>#N/A</v>
      </c>
      <c r="AY53" s="19" t="e">
        <f t="shared" si="11"/>
        <v>#N/A</v>
      </c>
      <c r="AZ53" s="19" t="str">
        <f t="shared" si="12"/>
        <v/>
      </c>
      <c r="BA53" s="19" t="e">
        <f>IF(AZ53="",NA(),COUNTIF(AZ53:$AZ$510,AZ53))</f>
        <v>#N/A</v>
      </c>
      <c r="BB53" s="19">
        <v>43</v>
      </c>
      <c r="BC53" s="19">
        <f t="shared" si="13"/>
        <v>3.0618467367138371</v>
      </c>
      <c r="BD53" s="19">
        <v>79</v>
      </c>
      <c r="BE53" s="19" t="e">
        <f t="shared" si="14"/>
        <v>#N/A</v>
      </c>
      <c r="BF53" s="19" t="e">
        <f t="shared" si="15"/>
        <v>#N/A</v>
      </c>
      <c r="BG53" s="19">
        <f t="shared" si="16"/>
        <v>3</v>
      </c>
      <c r="BH53" s="19" t="e">
        <f t="shared" si="17"/>
        <v>#N/A</v>
      </c>
    </row>
    <row r="54" spans="3:60" ht="11.25" customHeight="1" x14ac:dyDescent="0.2">
      <c r="C54" s="485"/>
      <c r="D54" s="417"/>
      <c r="AE54" s="417"/>
      <c r="AV54" s="462" t="str">
        <f t="shared" si="3"/>
        <v/>
      </c>
      <c r="AW54" s="463" t="str">
        <f t="shared" si="4"/>
        <v/>
      </c>
      <c r="AX54" s="19" t="e">
        <f t="shared" si="10"/>
        <v>#N/A</v>
      </c>
      <c r="AY54" s="19" t="e">
        <f t="shared" si="11"/>
        <v>#N/A</v>
      </c>
      <c r="AZ54" s="19" t="str">
        <f t="shared" si="12"/>
        <v/>
      </c>
      <c r="BA54" s="19" t="e">
        <f>IF(AZ54="",NA(),COUNTIF(AZ54:$AZ$510,AZ54))</f>
        <v>#N/A</v>
      </c>
      <c r="BB54" s="19">
        <v>44</v>
      </c>
      <c r="BC54" s="19">
        <f t="shared" si="13"/>
        <v>3.0680273163914453</v>
      </c>
      <c r="BD54" s="19">
        <v>78.5</v>
      </c>
      <c r="BE54" s="19" t="e">
        <f t="shared" si="14"/>
        <v>#N/A</v>
      </c>
      <c r="BF54" s="19" t="e">
        <f t="shared" si="15"/>
        <v>#N/A</v>
      </c>
      <c r="BG54" s="19">
        <f t="shared" si="16"/>
        <v>3</v>
      </c>
      <c r="BH54" s="19" t="e">
        <f t="shared" si="17"/>
        <v>#N/A</v>
      </c>
    </row>
    <row r="55" spans="3:60" ht="11.25" customHeight="1" x14ac:dyDescent="0.2">
      <c r="C55" s="485"/>
      <c r="D55" s="417"/>
      <c r="AE55" s="417"/>
      <c r="AV55" s="462" t="str">
        <f t="shared" si="3"/>
        <v/>
      </c>
      <c r="AW55" s="463" t="str">
        <f t="shared" si="4"/>
        <v/>
      </c>
      <c r="AX55" s="19" t="e">
        <f t="shared" si="10"/>
        <v>#N/A</v>
      </c>
      <c r="AY55" s="19" t="e">
        <f t="shared" si="11"/>
        <v>#N/A</v>
      </c>
      <c r="AZ55" s="19" t="str">
        <f t="shared" si="12"/>
        <v/>
      </c>
      <c r="BA55" s="19" t="e">
        <f>IF(AZ55="",NA(),COUNTIF(AZ55:$AZ$510,AZ55))</f>
        <v>#N/A</v>
      </c>
      <c r="BB55" s="19">
        <v>45</v>
      </c>
      <c r="BC55" s="19">
        <f t="shared" si="13"/>
        <v>3.0747133907277431</v>
      </c>
      <c r="BD55" s="19">
        <v>78</v>
      </c>
      <c r="BE55" s="19" t="e">
        <f t="shared" si="14"/>
        <v>#N/A</v>
      </c>
      <c r="BF55" s="19" t="e">
        <f t="shared" si="15"/>
        <v>#N/A</v>
      </c>
      <c r="BG55" s="19">
        <f t="shared" si="16"/>
        <v>3</v>
      </c>
      <c r="BH55" s="19" t="e">
        <f t="shared" si="17"/>
        <v>#N/A</v>
      </c>
    </row>
    <row r="56" spans="3:60" ht="11.25" customHeight="1" x14ac:dyDescent="0.2">
      <c r="C56" s="485"/>
      <c r="D56" s="417"/>
      <c r="AE56" s="417"/>
      <c r="AV56" s="462" t="str">
        <f t="shared" si="3"/>
        <v/>
      </c>
      <c r="AW56" s="463" t="str">
        <f t="shared" si="4"/>
        <v/>
      </c>
      <c r="AX56" s="19" t="e">
        <f t="shared" si="10"/>
        <v>#N/A</v>
      </c>
      <c r="AY56" s="19" t="e">
        <f t="shared" si="11"/>
        <v>#N/A</v>
      </c>
      <c r="AZ56" s="19" t="str">
        <f t="shared" si="12"/>
        <v/>
      </c>
      <c r="BA56" s="19" t="e">
        <f>IF(AZ56="",NA(),COUNTIF(AZ56:$AZ$510,AZ56))</f>
        <v>#N/A</v>
      </c>
      <c r="BB56" s="19">
        <v>46</v>
      </c>
      <c r="BC56" s="19">
        <f t="shared" si="13"/>
        <v>3.0819336141756084</v>
      </c>
      <c r="BD56" s="19">
        <v>77.5</v>
      </c>
      <c r="BE56" s="19" t="e">
        <f t="shared" si="14"/>
        <v>#N/A</v>
      </c>
      <c r="BF56" s="19" t="e">
        <f t="shared" si="15"/>
        <v>#N/A</v>
      </c>
      <c r="BG56" s="19">
        <f t="shared" si="16"/>
        <v>3</v>
      </c>
      <c r="BH56" s="19" t="e">
        <f t="shared" si="17"/>
        <v>#N/A</v>
      </c>
    </row>
    <row r="57" spans="3:60" ht="11.25" customHeight="1" x14ac:dyDescent="0.2">
      <c r="C57" s="485"/>
      <c r="D57" s="417"/>
      <c r="AE57" s="417"/>
      <c r="AV57" s="462" t="str">
        <f t="shared" si="3"/>
        <v/>
      </c>
      <c r="AW57" s="463" t="str">
        <f t="shared" si="4"/>
        <v/>
      </c>
      <c r="AX57" s="19" t="e">
        <f t="shared" si="10"/>
        <v>#N/A</v>
      </c>
      <c r="AY57" s="19" t="e">
        <f t="shared" si="11"/>
        <v>#N/A</v>
      </c>
      <c r="AZ57" s="19" t="str">
        <f t="shared" si="12"/>
        <v/>
      </c>
      <c r="BA57" s="19" t="e">
        <f>IF(AZ57="",NA(),COUNTIF(AZ57:$AZ$510,AZ57))</f>
        <v>#N/A</v>
      </c>
      <c r="BB57" s="19">
        <v>47</v>
      </c>
      <c r="BC57" s="19">
        <f t="shared" si="13"/>
        <v>3.0897169160624469</v>
      </c>
      <c r="BD57" s="19">
        <v>77</v>
      </c>
      <c r="BE57" s="19" t="e">
        <f t="shared" si="14"/>
        <v>#N/A</v>
      </c>
      <c r="BF57" s="19" t="e">
        <f t="shared" si="15"/>
        <v>#N/A</v>
      </c>
      <c r="BG57" s="19">
        <f t="shared" si="16"/>
        <v>3</v>
      </c>
      <c r="BH57" s="19" t="e">
        <f t="shared" si="17"/>
        <v>#N/A</v>
      </c>
    </row>
    <row r="58" spans="3:60" ht="11.25" customHeight="1" x14ac:dyDescent="0.2">
      <c r="C58" s="485"/>
      <c r="D58" s="417"/>
      <c r="AE58" s="417"/>
      <c r="AV58" s="462" t="str">
        <f t="shared" si="3"/>
        <v/>
      </c>
      <c r="AW58" s="463" t="str">
        <f t="shared" si="4"/>
        <v/>
      </c>
      <c r="AX58" s="19" t="e">
        <f t="shared" si="10"/>
        <v>#N/A</v>
      </c>
      <c r="AY58" s="19" t="e">
        <f t="shared" si="11"/>
        <v>#N/A</v>
      </c>
      <c r="AZ58" s="19" t="str">
        <f t="shared" si="12"/>
        <v/>
      </c>
      <c r="BA58" s="19" t="e">
        <f>IF(AZ58="",NA(),COUNTIF(AZ58:$AZ$510,AZ58))</f>
        <v>#N/A</v>
      </c>
      <c r="BB58" s="19">
        <v>48</v>
      </c>
      <c r="BC58" s="19">
        <f t="shared" si="13"/>
        <v>3.0980923455143619</v>
      </c>
      <c r="BD58" s="19">
        <v>76.5</v>
      </c>
      <c r="BE58" s="19" t="e">
        <f t="shared" si="14"/>
        <v>#N/A</v>
      </c>
      <c r="BF58" s="19" t="e">
        <f t="shared" si="15"/>
        <v>#N/A</v>
      </c>
      <c r="BG58" s="19">
        <f t="shared" si="16"/>
        <v>3</v>
      </c>
      <c r="BH58" s="19" t="e">
        <f t="shared" si="17"/>
        <v>#N/A</v>
      </c>
    </row>
    <row r="59" spans="3:60" ht="11.25" customHeight="1" x14ac:dyDescent="0.2">
      <c r="C59" s="485"/>
      <c r="D59" s="417"/>
      <c r="AE59" s="417"/>
      <c r="AV59" s="462" t="str">
        <f t="shared" si="3"/>
        <v/>
      </c>
      <c r="AW59" s="463" t="str">
        <f t="shared" si="4"/>
        <v/>
      </c>
      <c r="AX59" s="19" t="e">
        <f t="shared" si="10"/>
        <v>#N/A</v>
      </c>
      <c r="AY59" s="19" t="e">
        <f t="shared" si="11"/>
        <v>#N/A</v>
      </c>
      <c r="AZ59" s="19" t="str">
        <f t="shared" si="12"/>
        <v/>
      </c>
      <c r="BA59" s="19" t="e">
        <f>IF(AZ59="",NA(),COUNTIF(AZ59:$AZ$510,AZ59))</f>
        <v>#N/A</v>
      </c>
      <c r="BB59" s="19">
        <v>49</v>
      </c>
      <c r="BC59" s="19">
        <f t="shared" si="13"/>
        <v>3.1070889005916142</v>
      </c>
      <c r="BD59" s="19">
        <v>76</v>
      </c>
      <c r="BE59" s="19" t="e">
        <f t="shared" si="14"/>
        <v>#N/A</v>
      </c>
      <c r="BF59" s="19">
        <f t="shared" si="15"/>
        <v>0.10708890059161424</v>
      </c>
      <c r="BG59" s="19">
        <f t="shared" si="16"/>
        <v>3</v>
      </c>
      <c r="BH59" s="19" t="e">
        <f t="shared" si="17"/>
        <v>#N/A</v>
      </c>
    </row>
    <row r="60" spans="3:60" ht="11.25" customHeight="1" x14ac:dyDescent="0.2">
      <c r="C60" s="485"/>
      <c r="D60" s="417"/>
      <c r="AE60" s="417"/>
      <c r="AV60" s="462" t="str">
        <f t="shared" si="3"/>
        <v/>
      </c>
      <c r="AW60" s="463" t="str">
        <f t="shared" si="4"/>
        <v/>
      </c>
      <c r="AX60" s="19" t="e">
        <f t="shared" si="10"/>
        <v>#N/A</v>
      </c>
      <c r="AY60" s="19" t="e">
        <f t="shared" si="11"/>
        <v>#N/A</v>
      </c>
      <c r="AZ60" s="19" t="str">
        <f t="shared" si="12"/>
        <v/>
      </c>
      <c r="BA60" s="19" t="e">
        <f>IF(AZ60="",NA(),COUNTIF(AZ60:$AZ$510,AZ60))</f>
        <v>#N/A</v>
      </c>
      <c r="BB60" s="19">
        <v>50</v>
      </c>
      <c r="BC60" s="19">
        <f t="shared" si="13"/>
        <v>3.1167353417437407</v>
      </c>
      <c r="BD60" s="19">
        <v>75.5</v>
      </c>
      <c r="BE60" s="19" t="e">
        <f t="shared" si="14"/>
        <v>#N/A</v>
      </c>
      <c r="BF60" s="19">
        <f t="shared" si="15"/>
        <v>0.11673534174374067</v>
      </c>
      <c r="BG60" s="19">
        <f t="shared" si="16"/>
        <v>3</v>
      </c>
      <c r="BH60" s="19" t="e">
        <f t="shared" si="17"/>
        <v>#N/A</v>
      </c>
    </row>
    <row r="61" spans="3:60" ht="11.25" customHeight="1" x14ac:dyDescent="0.2">
      <c r="C61" s="485"/>
      <c r="D61" s="417"/>
      <c r="AE61" s="417"/>
      <c r="AV61" s="462" t="str">
        <f t="shared" si="3"/>
        <v/>
      </c>
      <c r="AW61" s="463" t="str">
        <f t="shared" si="4"/>
        <v/>
      </c>
      <c r="AX61" s="19" t="e">
        <f t="shared" si="10"/>
        <v>#N/A</v>
      </c>
      <c r="AY61" s="19" t="e">
        <f t="shared" si="11"/>
        <v>#N/A</v>
      </c>
      <c r="AZ61" s="19" t="str">
        <f t="shared" si="12"/>
        <v/>
      </c>
      <c r="BA61" s="19" t="e">
        <f>IF(AZ61="",NA(),COUNTIF(AZ61:$AZ$510,AZ61))</f>
        <v>#N/A</v>
      </c>
      <c r="BB61" s="19">
        <v>51</v>
      </c>
      <c r="BC61" s="19">
        <f t="shared" si="13"/>
        <v>3.1270599898748559</v>
      </c>
      <c r="BD61" s="19">
        <v>75</v>
      </c>
      <c r="BE61" s="19" t="e">
        <f t="shared" si="14"/>
        <v>#N/A</v>
      </c>
      <c r="BF61" s="19">
        <f t="shared" si="15"/>
        <v>0.12705998987485589</v>
      </c>
      <c r="BG61" s="19">
        <f t="shared" si="16"/>
        <v>3</v>
      </c>
      <c r="BH61" s="19" t="e">
        <f t="shared" si="17"/>
        <v>#N/A</v>
      </c>
    </row>
    <row r="62" spans="3:60" ht="11.25" customHeight="1" x14ac:dyDescent="0.2">
      <c r="C62" s="485"/>
      <c r="D62" s="417"/>
      <c r="AE62" s="417"/>
      <c r="AV62" s="462" t="str">
        <f t="shared" si="3"/>
        <v/>
      </c>
      <c r="AW62" s="463" t="str">
        <f t="shared" si="4"/>
        <v/>
      </c>
      <c r="AX62" s="19" t="e">
        <f t="shared" si="10"/>
        <v>#N/A</v>
      </c>
      <c r="AY62" s="19" t="e">
        <f t="shared" si="11"/>
        <v>#N/A</v>
      </c>
      <c r="AZ62" s="19" t="str">
        <f t="shared" si="12"/>
        <v/>
      </c>
      <c r="BA62" s="19" t="e">
        <f>IF(AZ62="",NA(),COUNTIF(AZ62:$AZ$510,AZ62))</f>
        <v>#N/A</v>
      </c>
      <c r="BB62" s="19">
        <v>52</v>
      </c>
      <c r="BC62" s="19">
        <f t="shared" si="13"/>
        <v>3.1380905095051541</v>
      </c>
      <c r="BD62" s="19">
        <v>74.5</v>
      </c>
      <c r="BE62" s="19" t="e">
        <f t="shared" si="14"/>
        <v>#N/A</v>
      </c>
      <c r="BF62" s="19">
        <f t="shared" si="15"/>
        <v>0.13809050950515411</v>
      </c>
      <c r="BG62" s="19">
        <f t="shared" si="16"/>
        <v>3</v>
      </c>
      <c r="BH62" s="19" t="e">
        <f t="shared" si="17"/>
        <v>#N/A</v>
      </c>
    </row>
    <row r="63" spans="3:60" ht="11.25" customHeight="1" x14ac:dyDescent="0.2">
      <c r="C63" s="485"/>
      <c r="D63" s="417"/>
      <c r="AE63" s="417"/>
      <c r="AV63" s="462" t="str">
        <f t="shared" si="3"/>
        <v/>
      </c>
      <c r="AW63" s="463" t="str">
        <f t="shared" si="4"/>
        <v/>
      </c>
      <c r="AX63" s="19" t="e">
        <f t="shared" si="10"/>
        <v>#N/A</v>
      </c>
      <c r="AY63" s="19" t="e">
        <f t="shared" si="11"/>
        <v>#N/A</v>
      </c>
      <c r="AZ63" s="19" t="str">
        <f t="shared" si="12"/>
        <v/>
      </c>
      <c r="BA63" s="19" t="e">
        <f>IF(AZ63="",NA(),COUNTIF(AZ63:$AZ$510,AZ63))</f>
        <v>#N/A</v>
      </c>
      <c r="BB63" s="19">
        <v>53</v>
      </c>
      <c r="BC63" s="19">
        <f t="shared" si="13"/>
        <v>3.1498536777219441</v>
      </c>
      <c r="BD63" s="19">
        <v>74</v>
      </c>
      <c r="BE63" s="19" t="e">
        <f t="shared" si="14"/>
        <v>#N/A</v>
      </c>
      <c r="BF63" s="19">
        <f t="shared" si="15"/>
        <v>0.14985367772194413</v>
      </c>
      <c r="BG63" s="19">
        <f t="shared" si="16"/>
        <v>3</v>
      </c>
      <c r="BH63" s="19" t="e">
        <f t="shared" si="17"/>
        <v>#N/A</v>
      </c>
    </row>
    <row r="64" spans="3:60" ht="11.25" customHeight="1" x14ac:dyDescent="0.2">
      <c r="C64" s="485"/>
      <c r="D64" s="417"/>
      <c r="AE64" s="417"/>
      <c r="AV64" s="462" t="str">
        <f t="shared" si="3"/>
        <v/>
      </c>
      <c r="AW64" s="463" t="str">
        <f t="shared" si="4"/>
        <v/>
      </c>
      <c r="AX64" s="19" t="e">
        <f t="shared" si="10"/>
        <v>#N/A</v>
      </c>
      <c r="AY64" s="19" t="e">
        <f t="shared" si="11"/>
        <v>#N/A</v>
      </c>
      <c r="AZ64" s="19" t="str">
        <f t="shared" si="12"/>
        <v/>
      </c>
      <c r="BA64" s="19" t="e">
        <f>IF(AZ64="",NA(),COUNTIF(AZ64:$AZ$510,AZ64))</f>
        <v>#N/A</v>
      </c>
      <c r="BB64" s="19">
        <v>54</v>
      </c>
      <c r="BC64" s="19">
        <f t="shared" si="13"/>
        <v>3.1623751398308704</v>
      </c>
      <c r="BD64" s="19">
        <v>73.5</v>
      </c>
      <c r="BE64" s="19" t="e">
        <f t="shared" si="14"/>
        <v>#N/A</v>
      </c>
      <c r="BF64" s="19">
        <f t="shared" si="15"/>
        <v>0.16237513983087037</v>
      </c>
      <c r="BG64" s="19">
        <f t="shared" si="16"/>
        <v>3</v>
      </c>
      <c r="BH64" s="19" t="e">
        <f t="shared" si="17"/>
        <v>#N/A</v>
      </c>
    </row>
    <row r="65" spans="3:60" ht="11.25" customHeight="1" x14ac:dyDescent="0.2">
      <c r="C65" s="485"/>
      <c r="D65" s="417"/>
      <c r="AE65" s="417"/>
      <c r="AV65" s="462" t="str">
        <f t="shared" si="3"/>
        <v/>
      </c>
      <c r="AW65" s="463" t="str">
        <f t="shared" si="4"/>
        <v/>
      </c>
      <c r="AX65" s="19" t="e">
        <f t="shared" si="10"/>
        <v>#N/A</v>
      </c>
      <c r="AY65" s="19" t="e">
        <f t="shared" si="11"/>
        <v>#N/A</v>
      </c>
      <c r="AZ65" s="19" t="str">
        <f t="shared" si="12"/>
        <v/>
      </c>
      <c r="BA65" s="19" t="e">
        <f>IF(AZ65="",NA(),COUNTIF(AZ65:$AZ$510,AZ65))</f>
        <v>#N/A</v>
      </c>
      <c r="BB65" s="19">
        <v>55</v>
      </c>
      <c r="BC65" s="19">
        <f t="shared" si="13"/>
        <v>3.1756791528430979</v>
      </c>
      <c r="BD65" s="19">
        <v>73</v>
      </c>
      <c r="BE65" s="19" t="e">
        <f t="shared" si="14"/>
        <v>#N/A</v>
      </c>
      <c r="BF65" s="19">
        <f t="shared" si="15"/>
        <v>0.17567915284309787</v>
      </c>
      <c r="BG65" s="19">
        <f t="shared" si="16"/>
        <v>3</v>
      </c>
      <c r="BH65" s="19" t="e">
        <f t="shared" si="17"/>
        <v>#N/A</v>
      </c>
    </row>
    <row r="66" spans="3:60" ht="11.25" customHeight="1" x14ac:dyDescent="0.2">
      <c r="C66" s="485"/>
      <c r="D66" s="417"/>
      <c r="AE66" s="417"/>
      <c r="AV66" s="462" t="str">
        <f t="shared" si="3"/>
        <v/>
      </c>
      <c r="AW66" s="463" t="str">
        <f t="shared" si="4"/>
        <v/>
      </c>
      <c r="AX66" s="19" t="e">
        <f t="shared" si="10"/>
        <v>#N/A</v>
      </c>
      <c r="AY66" s="19" t="e">
        <f t="shared" si="11"/>
        <v>#N/A</v>
      </c>
      <c r="AZ66" s="19" t="str">
        <f t="shared" si="12"/>
        <v/>
      </c>
      <c r="BA66" s="19" t="e">
        <f>IF(AZ66="",NA(),COUNTIF(AZ66:$AZ$510,AZ66))</f>
        <v>#N/A</v>
      </c>
      <c r="BB66" s="19">
        <v>56</v>
      </c>
      <c r="BC66" s="19">
        <f t="shared" si="13"/>
        <v>3.1897883181647027</v>
      </c>
      <c r="BD66" s="19">
        <v>72.5</v>
      </c>
      <c r="BE66" s="19" t="e">
        <f t="shared" si="14"/>
        <v>#N/A</v>
      </c>
      <c r="BF66" s="19">
        <f t="shared" si="15"/>
        <v>0.18978831816470265</v>
      </c>
      <c r="BG66" s="19">
        <f t="shared" si="16"/>
        <v>3</v>
      </c>
      <c r="BH66" s="19" t="e">
        <f t="shared" si="17"/>
        <v>#N/A</v>
      </c>
    </row>
    <row r="67" spans="3:60" ht="11.25" customHeight="1" x14ac:dyDescent="0.2">
      <c r="C67" s="485"/>
      <c r="D67" s="417"/>
      <c r="AE67" s="417"/>
      <c r="AV67" s="462" t="str">
        <f t="shared" si="3"/>
        <v/>
      </c>
      <c r="AW67" s="463" t="str">
        <f t="shared" si="4"/>
        <v/>
      </c>
      <c r="AX67" s="19" t="e">
        <f t="shared" si="10"/>
        <v>#N/A</v>
      </c>
      <c r="AY67" s="19" t="e">
        <f t="shared" si="11"/>
        <v>#N/A</v>
      </c>
      <c r="AZ67" s="19" t="str">
        <f t="shared" si="12"/>
        <v/>
      </c>
      <c r="BA67" s="19" t="e">
        <f>IF(AZ67="",NA(),COUNTIF(AZ67:$AZ$510,AZ67))</f>
        <v>#N/A</v>
      </c>
      <c r="BB67" s="19">
        <v>57</v>
      </c>
      <c r="BC67" s="19">
        <f t="shared" si="13"/>
        <v>3.204723305087561</v>
      </c>
      <c r="BD67" s="19">
        <v>72</v>
      </c>
      <c r="BE67" s="19" t="e">
        <f t="shared" si="14"/>
        <v>#N/A</v>
      </c>
      <c r="BF67" s="19">
        <f t="shared" si="15"/>
        <v>0.20472330508756098</v>
      </c>
      <c r="BG67" s="19">
        <f t="shared" si="16"/>
        <v>3</v>
      </c>
      <c r="BH67" s="19">
        <f t="shared" si="17"/>
        <v>0.20472330508756098</v>
      </c>
    </row>
    <row r="68" spans="3:60" ht="11.25" customHeight="1" x14ac:dyDescent="0.2">
      <c r="C68" s="485"/>
      <c r="D68" s="417"/>
      <c r="AE68" s="417"/>
      <c r="AV68" s="462" t="str">
        <f t="shared" si="3"/>
        <v/>
      </c>
      <c r="AW68" s="463" t="str">
        <f t="shared" si="4"/>
        <v/>
      </c>
      <c r="AX68" s="19" t="e">
        <f t="shared" si="10"/>
        <v>#N/A</v>
      </c>
      <c r="AY68" s="19" t="e">
        <f t="shared" si="11"/>
        <v>#N/A</v>
      </c>
      <c r="AZ68" s="19" t="str">
        <f t="shared" si="12"/>
        <v/>
      </c>
      <c r="BA68" s="19" t="e">
        <f>IF(AZ68="",NA(),COUNTIF(AZ68:$AZ$510,AZ68))</f>
        <v>#N/A</v>
      </c>
      <c r="BB68" s="19">
        <v>58</v>
      </c>
      <c r="BC68" s="19">
        <f t="shared" si="13"/>
        <v>3.2205025669135621</v>
      </c>
      <c r="BD68" s="19">
        <v>71.5</v>
      </c>
      <c r="BE68" s="19" t="e">
        <f t="shared" si="14"/>
        <v>#N/A</v>
      </c>
      <c r="BF68" s="19">
        <f t="shared" si="15"/>
        <v>0.22050256691356207</v>
      </c>
      <c r="BG68" s="19">
        <f t="shared" si="16"/>
        <v>3</v>
      </c>
      <c r="BH68" s="19">
        <f t="shared" si="17"/>
        <v>0.22050256691356207</v>
      </c>
    </row>
    <row r="69" spans="3:60" ht="11.25" customHeight="1" x14ac:dyDescent="0.2">
      <c r="C69" s="485"/>
      <c r="D69" s="417"/>
      <c r="AE69" s="417"/>
      <c r="AV69" s="462" t="str">
        <f t="shared" si="3"/>
        <v/>
      </c>
      <c r="AW69" s="463" t="str">
        <f t="shared" si="4"/>
        <v/>
      </c>
      <c r="AX69" s="19" t="e">
        <f t="shared" si="10"/>
        <v>#N/A</v>
      </c>
      <c r="AY69" s="19" t="e">
        <f t="shared" si="11"/>
        <v>#N/A</v>
      </c>
      <c r="AZ69" s="19" t="str">
        <f t="shared" si="12"/>
        <v/>
      </c>
      <c r="BA69" s="19" t="e">
        <f>IF(AZ69="",NA(),COUNTIF(AZ69:$AZ$510,AZ69))</f>
        <v>#N/A</v>
      </c>
      <c r="BB69" s="19">
        <v>59</v>
      </c>
      <c r="BC69" s="19">
        <f t="shared" si="13"/>
        <v>3.2371420517727465</v>
      </c>
      <c r="BD69" s="19">
        <v>71</v>
      </c>
      <c r="BE69" s="19" t="e">
        <f t="shared" si="14"/>
        <v>#N/A</v>
      </c>
      <c r="BF69" s="19">
        <f t="shared" si="15"/>
        <v>0.2371420517727465</v>
      </c>
      <c r="BG69" s="19">
        <f t="shared" si="16"/>
        <v>3</v>
      </c>
      <c r="BH69" s="19">
        <f t="shared" si="17"/>
        <v>0.2371420517727465</v>
      </c>
    </row>
    <row r="70" spans="3:60" ht="11.25" customHeight="1" x14ac:dyDescent="0.2">
      <c r="C70" s="485"/>
      <c r="D70" s="417"/>
      <c r="AE70" s="417"/>
      <c r="AV70" s="462" t="str">
        <f t="shared" si="3"/>
        <v/>
      </c>
      <c r="AW70" s="463" t="str">
        <f t="shared" si="4"/>
        <v/>
      </c>
      <c r="AX70" s="19" t="e">
        <f t="shared" si="10"/>
        <v>#N/A</v>
      </c>
      <c r="AY70" s="19" t="e">
        <f t="shared" si="11"/>
        <v>#N/A</v>
      </c>
      <c r="AZ70" s="19" t="str">
        <f t="shared" si="12"/>
        <v/>
      </c>
      <c r="BA70" s="19" t="e">
        <f>IF(AZ70="",NA(),COUNTIF(AZ70:$AZ$510,AZ70))</f>
        <v>#N/A</v>
      </c>
      <c r="BB70" s="19">
        <v>60</v>
      </c>
      <c r="BC70" s="19">
        <f t="shared" si="13"/>
        <v>3.2546549104174241</v>
      </c>
      <c r="BD70" s="19">
        <v>70.5</v>
      </c>
      <c r="BE70" s="19" t="e">
        <f t="shared" si="14"/>
        <v>#N/A</v>
      </c>
      <c r="BF70" s="19">
        <f t="shared" si="15"/>
        <v>0.25465491041742405</v>
      </c>
      <c r="BG70" s="19">
        <f t="shared" si="16"/>
        <v>3</v>
      </c>
      <c r="BH70" s="19">
        <f t="shared" si="17"/>
        <v>0.25465491041742405</v>
      </c>
    </row>
    <row r="71" spans="3:60" ht="11.25" customHeight="1" x14ac:dyDescent="0.2">
      <c r="C71" s="485"/>
      <c r="D71" s="417"/>
      <c r="AE71" s="417"/>
      <c r="AV71" s="462" t="str">
        <f t="shared" si="3"/>
        <v/>
      </c>
      <c r="AW71" s="463" t="str">
        <f t="shared" si="4"/>
        <v/>
      </c>
      <c r="AX71" s="19" t="e">
        <f t="shared" si="10"/>
        <v>#N/A</v>
      </c>
      <c r="AY71" s="19" t="e">
        <f t="shared" si="11"/>
        <v>#N/A</v>
      </c>
      <c r="AZ71" s="19" t="str">
        <f t="shared" si="12"/>
        <v/>
      </c>
      <c r="BA71" s="19" t="e">
        <f>IF(AZ71="",NA(),COUNTIF(AZ71:$AZ$510,AZ71))</f>
        <v>#N/A</v>
      </c>
      <c r="BB71" s="19">
        <v>61</v>
      </c>
      <c r="BC71" s="19">
        <f t="shared" si="13"/>
        <v>3.2730512034848145</v>
      </c>
      <c r="BD71" s="19">
        <v>70</v>
      </c>
      <c r="BE71" s="19" t="e">
        <f t="shared" si="14"/>
        <v>#N/A</v>
      </c>
      <c r="BF71" s="19">
        <f t="shared" si="15"/>
        <v>0.27305120348481449</v>
      </c>
      <c r="BG71" s="19">
        <f t="shared" si="16"/>
        <v>3</v>
      </c>
      <c r="BH71" s="19">
        <f t="shared" si="17"/>
        <v>0.27305120348481449</v>
      </c>
    </row>
    <row r="72" spans="3:60" ht="11.25" customHeight="1" x14ac:dyDescent="0.2">
      <c r="C72" s="485"/>
      <c r="D72" s="417"/>
      <c r="AE72" s="417"/>
      <c r="AV72" s="462" t="str">
        <f t="shared" si="3"/>
        <v/>
      </c>
      <c r="AW72" s="463" t="str">
        <f t="shared" si="4"/>
        <v/>
      </c>
      <c r="AX72" s="19" t="e">
        <f t="shared" si="10"/>
        <v>#N/A</v>
      </c>
      <c r="AY72" s="19" t="e">
        <f t="shared" si="11"/>
        <v>#N/A</v>
      </c>
      <c r="AZ72" s="19" t="str">
        <f t="shared" si="12"/>
        <v/>
      </c>
      <c r="BA72" s="19" t="e">
        <f>IF(AZ72="",NA(),COUNTIF(AZ72:$AZ$510,AZ72))</f>
        <v>#N/A</v>
      </c>
      <c r="BB72" s="19">
        <v>62</v>
      </c>
      <c r="BC72" s="19">
        <f t="shared" si="13"/>
        <v>3.2923376109164644</v>
      </c>
      <c r="BD72" s="19">
        <v>69.5</v>
      </c>
      <c r="BE72" s="19" t="e">
        <f t="shared" si="14"/>
        <v>#N/A</v>
      </c>
      <c r="BF72" s="19">
        <f t="shared" si="15"/>
        <v>0.29233761091646437</v>
      </c>
      <c r="BG72" s="19">
        <f t="shared" si="16"/>
        <v>3</v>
      </c>
      <c r="BH72" s="19">
        <f t="shared" si="17"/>
        <v>0.29233761091646437</v>
      </c>
    </row>
    <row r="73" spans="3:60" ht="11.25" customHeight="1" x14ac:dyDescent="0.2">
      <c r="C73" s="485"/>
      <c r="D73" s="417"/>
      <c r="AE73" s="417"/>
      <c r="AV73" s="462" t="str">
        <f t="shared" ref="AV73:AV136" si="19">IF(ISBLANK(D73),"",IF($AP$17,$AP$20*$AP$21,D73*$AP$19))</f>
        <v/>
      </c>
      <c r="AW73" s="463" t="str">
        <f t="shared" ref="AW73:AW136" si="20">IF(ISBLANK(C73),"",(NORMDIST(C73+AV73,$I$6,$AP$21,TRUE)-NORMDIST(C73-AV73,$I$6,$AP$21,TRUE))*100)</f>
        <v/>
      </c>
      <c r="AX73" s="19" t="e">
        <f t="shared" si="10"/>
        <v>#N/A</v>
      </c>
      <c r="AY73" s="19" t="e">
        <f t="shared" si="11"/>
        <v>#N/A</v>
      </c>
      <c r="AZ73" s="19" t="str">
        <f t="shared" si="12"/>
        <v/>
      </c>
      <c r="BA73" s="19" t="e">
        <f>IF(AZ73="",NA(),COUNTIF(AZ73:$AZ$510,AZ73))</f>
        <v>#N/A</v>
      </c>
      <c r="BB73" s="19">
        <v>63</v>
      </c>
      <c r="BC73" s="19">
        <f t="shared" si="13"/>
        <v>3.3125171463997658</v>
      </c>
      <c r="BD73" s="19">
        <v>69</v>
      </c>
      <c r="BE73" s="19" t="e">
        <f t="shared" si="14"/>
        <v>#N/A</v>
      </c>
      <c r="BF73" s="19">
        <f t="shared" si="15"/>
        <v>0.3125171463997658</v>
      </c>
      <c r="BG73" s="19">
        <f t="shared" si="16"/>
        <v>3</v>
      </c>
      <c r="BH73" s="19">
        <f t="shared" si="17"/>
        <v>0.3125171463997658</v>
      </c>
    </row>
    <row r="74" spans="3:60" ht="11.25" customHeight="1" x14ac:dyDescent="0.2">
      <c r="C74" s="485"/>
      <c r="D74" s="417"/>
      <c r="AE74" s="417"/>
      <c r="AV74" s="462" t="str">
        <f t="shared" si="19"/>
        <v/>
      </c>
      <c r="AW74" s="463" t="str">
        <f t="shared" si="20"/>
        <v/>
      </c>
      <c r="AX74" s="19" t="e">
        <f t="shared" si="10"/>
        <v>#N/A</v>
      </c>
      <c r="AY74" s="19" t="e">
        <f t="shared" si="11"/>
        <v>#N/A</v>
      </c>
      <c r="AZ74" s="19" t="str">
        <f t="shared" si="12"/>
        <v/>
      </c>
      <c r="BA74" s="19" t="e">
        <f>IF(AZ74="",NA(),COUNTIF(AZ74:$AZ$510,AZ74))</f>
        <v>#N/A</v>
      </c>
      <c r="BB74" s="19">
        <v>64</v>
      </c>
      <c r="BC74" s="19">
        <f t="shared" si="13"/>
        <v>3.3335888798514852</v>
      </c>
      <c r="BD74" s="19">
        <v>68.5</v>
      </c>
      <c r="BE74" s="19" t="e">
        <f t="shared" si="14"/>
        <v>#N/A</v>
      </c>
      <c r="BF74" s="19">
        <f t="shared" si="15"/>
        <v>0.33358887985148522</v>
      </c>
      <c r="BG74" s="19">
        <f t="shared" si="16"/>
        <v>3</v>
      </c>
      <c r="BH74" s="19">
        <f t="shared" si="17"/>
        <v>0.33358887985148522</v>
      </c>
    </row>
    <row r="75" spans="3:60" ht="11.25" customHeight="1" x14ac:dyDescent="0.2">
      <c r="C75" s="485"/>
      <c r="D75" s="417"/>
      <c r="AE75" s="417"/>
      <c r="AV75" s="462" t="str">
        <f t="shared" si="19"/>
        <v/>
      </c>
      <c r="AW75" s="463" t="str">
        <f t="shared" si="20"/>
        <v/>
      </c>
      <c r="AX75" s="19" t="e">
        <f t="shared" ref="AX75:AX138" si="21">IF(OR(NOT(Repchange),AZ75=""),NA(),AZ75*$AO$12/100)</f>
        <v>#N/A</v>
      </c>
      <c r="AY75" s="19" t="e">
        <f t="shared" ref="AY75:AY138" si="22">$AO$11*(BA75-0.5)</f>
        <v>#N/A</v>
      </c>
      <c r="AZ75" s="19" t="str">
        <f t="shared" ref="AZ75:AZ138" si="23">IF(AW73="","",ROUND(AW73/$AO$12,0))</f>
        <v/>
      </c>
      <c r="BA75" s="19" t="e">
        <f>IF(AZ75="",NA(),COUNTIF(AZ75:$AZ$510,AZ75))</f>
        <v>#N/A</v>
      </c>
      <c r="BB75" s="19">
        <v>65</v>
      </c>
      <c r="BC75" s="19">
        <f t="shared" ref="BC75:BC138" si="24">IF(AND($AP$14,$AP$22),$AR$1+$BD$9*NORMDIST(BD75,$I$6,$AP$21,FALSE),NA())</f>
        <v>3.35554767109147</v>
      </c>
      <c r="BD75" s="19">
        <v>68</v>
      </c>
      <c r="BE75" s="19" t="e">
        <f t="shared" ref="BE75:BE138" si="25">IF(AND($AP$18,$B$4,$AP$23),$AR$1,NA())</f>
        <v>#N/A</v>
      </c>
      <c r="BF75" s="19">
        <f t="shared" ref="BF75:BF138" si="26">IF(AND($AP$25&gt;=BD75,$AP$26&lt;=BD75),BC75-$AR$1,NA())</f>
        <v>0.35554767109147001</v>
      </c>
      <c r="BG75" s="19">
        <f t="shared" ref="BG75:BG138" si="27">IF(AND($AP$15,$AP$16),$AR$1,NA())</f>
        <v>3</v>
      </c>
      <c r="BH75" s="19">
        <f t="shared" ref="BH75:BH138" si="28">IF(AND($AT$3&gt;BD75,$AT$4&lt;=BD75),BC75-$AR$1,NA())</f>
        <v>0.35554767109147001</v>
      </c>
    </row>
    <row r="76" spans="3:60" ht="11.25" customHeight="1" x14ac:dyDescent="0.2">
      <c r="C76" s="485"/>
      <c r="D76" s="417"/>
      <c r="AE76" s="417"/>
      <c r="AV76" s="462" t="str">
        <f t="shared" si="19"/>
        <v/>
      </c>
      <c r="AW76" s="463" t="str">
        <f t="shared" si="20"/>
        <v/>
      </c>
      <c r="AX76" s="19" t="e">
        <f t="shared" si="21"/>
        <v>#N/A</v>
      </c>
      <c r="AY76" s="19" t="e">
        <f t="shared" si="22"/>
        <v>#N/A</v>
      </c>
      <c r="AZ76" s="19" t="str">
        <f t="shared" si="23"/>
        <v/>
      </c>
      <c r="BA76" s="19" t="e">
        <f>IF(AZ76="",NA(),COUNTIF(AZ76:$AZ$510,AZ76))</f>
        <v>#N/A</v>
      </c>
      <c r="BB76" s="19">
        <v>66</v>
      </c>
      <c r="BC76" s="19">
        <f t="shared" si="24"/>
        <v>3.3783839179530482</v>
      </c>
      <c r="BD76" s="19">
        <v>67.5</v>
      </c>
      <c r="BE76" s="19" t="e">
        <f t="shared" si="25"/>
        <v>#N/A</v>
      </c>
      <c r="BF76" s="19">
        <f t="shared" si="26"/>
        <v>0.37838391795304815</v>
      </c>
      <c r="BG76" s="19">
        <f t="shared" si="27"/>
        <v>3</v>
      </c>
      <c r="BH76" s="19">
        <f t="shared" si="28"/>
        <v>0.37838391795304815</v>
      </c>
    </row>
    <row r="77" spans="3:60" ht="11.25" customHeight="1" x14ac:dyDescent="0.2">
      <c r="C77" s="485"/>
      <c r="D77" s="417"/>
      <c r="AE77" s="417"/>
      <c r="AV77" s="462" t="str">
        <f t="shared" si="19"/>
        <v/>
      </c>
      <c r="AW77" s="463" t="str">
        <f t="shared" si="20"/>
        <v/>
      </c>
      <c r="AX77" s="19" t="e">
        <f t="shared" si="21"/>
        <v>#N/A</v>
      </c>
      <c r="AY77" s="19" t="e">
        <f t="shared" si="22"/>
        <v>#N/A</v>
      </c>
      <c r="AZ77" s="19" t="str">
        <f t="shared" si="23"/>
        <v/>
      </c>
      <c r="BA77" s="19" t="e">
        <f>IF(AZ77="",NA(),COUNTIF(AZ77:$AZ$510,AZ77))</f>
        <v>#N/A</v>
      </c>
      <c r="BB77" s="19">
        <v>67</v>
      </c>
      <c r="BC77" s="19">
        <f t="shared" si="24"/>
        <v>3.4020833221415057</v>
      </c>
      <c r="BD77" s="19">
        <v>67</v>
      </c>
      <c r="BE77" s="19" t="e">
        <f t="shared" si="25"/>
        <v>#N/A</v>
      </c>
      <c r="BF77" s="19">
        <f t="shared" si="26"/>
        <v>0.40208332214150566</v>
      </c>
      <c r="BG77" s="19">
        <f t="shared" si="27"/>
        <v>3</v>
      </c>
      <c r="BH77" s="19">
        <f t="shared" si="28"/>
        <v>0.40208332214150566</v>
      </c>
    </row>
    <row r="78" spans="3:60" ht="11.25" customHeight="1" x14ac:dyDescent="0.2">
      <c r="C78" s="485"/>
      <c r="D78" s="417"/>
      <c r="AE78" s="417"/>
      <c r="AV78" s="462" t="str">
        <f t="shared" si="19"/>
        <v/>
      </c>
      <c r="AW78" s="463" t="str">
        <f t="shared" si="20"/>
        <v/>
      </c>
      <c r="AX78" s="19" t="e">
        <f t="shared" si="21"/>
        <v>#N/A</v>
      </c>
      <c r="AY78" s="19" t="e">
        <f t="shared" si="22"/>
        <v>#N/A</v>
      </c>
      <c r="AZ78" s="19" t="str">
        <f t="shared" si="23"/>
        <v/>
      </c>
      <c r="BA78" s="19" t="e">
        <f>IF(AZ78="",NA(),COUNTIF(AZ78:$AZ$510,AZ78))</f>
        <v>#N/A</v>
      </c>
      <c r="BB78" s="19">
        <v>68</v>
      </c>
      <c r="BC78" s="19">
        <f t="shared" si="24"/>
        <v>3.4266266761803306</v>
      </c>
      <c r="BD78" s="19">
        <v>66.5</v>
      </c>
      <c r="BE78" s="19" t="e">
        <f t="shared" si="25"/>
        <v>#N/A</v>
      </c>
      <c r="BF78" s="19">
        <f t="shared" si="26"/>
        <v>0.42662667618033057</v>
      </c>
      <c r="BG78" s="19">
        <f t="shared" si="27"/>
        <v>3</v>
      </c>
      <c r="BH78" s="19">
        <f t="shared" si="28"/>
        <v>0.42662667618033057</v>
      </c>
    </row>
    <row r="79" spans="3:60" ht="11.25" customHeight="1" x14ac:dyDescent="0.2">
      <c r="C79" s="485"/>
      <c r="D79" s="417"/>
      <c r="AE79" s="417"/>
      <c r="AV79" s="462" t="str">
        <f t="shared" si="19"/>
        <v/>
      </c>
      <c r="AW79" s="463" t="str">
        <f t="shared" si="20"/>
        <v/>
      </c>
      <c r="AX79" s="19" t="e">
        <f t="shared" si="21"/>
        <v>#N/A</v>
      </c>
      <c r="AY79" s="19" t="e">
        <f t="shared" si="22"/>
        <v>#N/A</v>
      </c>
      <c r="AZ79" s="19" t="str">
        <f t="shared" si="23"/>
        <v/>
      </c>
      <c r="BA79" s="19" t="e">
        <f>IF(AZ79="",NA(),COUNTIF(AZ79:$AZ$510,AZ79))</f>
        <v>#N/A</v>
      </c>
      <c r="BB79" s="19">
        <v>69</v>
      </c>
      <c r="BC79" s="19">
        <f t="shared" si="24"/>
        <v>3.4519896747737855</v>
      </c>
      <c r="BD79" s="19">
        <v>66</v>
      </c>
      <c r="BE79" s="19" t="e">
        <f t="shared" si="25"/>
        <v>#N/A</v>
      </c>
      <c r="BF79" s="19">
        <f t="shared" si="26"/>
        <v>0.45198967477378549</v>
      </c>
      <c r="BG79" s="19">
        <f t="shared" si="27"/>
        <v>3</v>
      </c>
      <c r="BH79" s="19">
        <f t="shared" si="28"/>
        <v>0.45198967477378549</v>
      </c>
    </row>
    <row r="80" spans="3:60" ht="11.25" customHeight="1" x14ac:dyDescent="0.2">
      <c r="C80" s="485"/>
      <c r="D80" s="417"/>
      <c r="AE80" s="417"/>
      <c r="AV80" s="462" t="str">
        <f t="shared" si="19"/>
        <v/>
      </c>
      <c r="AW80" s="463" t="str">
        <f t="shared" si="20"/>
        <v/>
      </c>
      <c r="AX80" s="19" t="e">
        <f t="shared" si="21"/>
        <v>#N/A</v>
      </c>
      <c r="AY80" s="19" t="e">
        <f t="shared" si="22"/>
        <v>#N/A</v>
      </c>
      <c r="AZ80" s="19" t="str">
        <f t="shared" si="23"/>
        <v/>
      </c>
      <c r="BA80" s="19" t="e">
        <f>IF(AZ80="",NA(),COUNTIF(AZ80:$AZ$510,AZ80))</f>
        <v>#N/A</v>
      </c>
      <c r="BB80" s="19">
        <v>70</v>
      </c>
      <c r="BC80" s="19">
        <f t="shared" si="24"/>
        <v>3.4781427538613694</v>
      </c>
      <c r="BD80" s="19">
        <v>65.5</v>
      </c>
      <c r="BE80" s="19" t="e">
        <f t="shared" si="25"/>
        <v>#N/A</v>
      </c>
      <c r="BF80" s="19">
        <f t="shared" si="26"/>
        <v>0.4781427538613694</v>
      </c>
      <c r="BG80" s="19">
        <f t="shared" si="27"/>
        <v>3</v>
      </c>
      <c r="BH80" s="19">
        <f t="shared" si="28"/>
        <v>0.4781427538613694</v>
      </c>
    </row>
    <row r="81" spans="3:60" ht="11.25" customHeight="1" x14ac:dyDescent="0.2">
      <c r="C81" s="485"/>
      <c r="D81" s="417"/>
      <c r="AE81" s="417"/>
      <c r="AV81" s="462" t="str">
        <f t="shared" si="19"/>
        <v/>
      </c>
      <c r="AW81" s="463" t="str">
        <f t="shared" si="20"/>
        <v/>
      </c>
      <c r="AX81" s="19" t="e">
        <f t="shared" si="21"/>
        <v>#N/A</v>
      </c>
      <c r="AY81" s="19" t="e">
        <f t="shared" si="22"/>
        <v>#N/A</v>
      </c>
      <c r="AZ81" s="19" t="str">
        <f t="shared" si="23"/>
        <v/>
      </c>
      <c r="BA81" s="19" t="e">
        <f>IF(AZ81="",NA(),COUNTIF(AZ81:$AZ$510,AZ81))</f>
        <v>#N/A</v>
      </c>
      <c r="BB81" s="19">
        <v>71</v>
      </c>
      <c r="BC81" s="19">
        <f t="shared" si="24"/>
        <v>3.5050509605430311</v>
      </c>
      <c r="BD81" s="19">
        <v>65</v>
      </c>
      <c r="BE81" s="19" t="e">
        <f t="shared" si="25"/>
        <v>#N/A</v>
      </c>
      <c r="BF81" s="19">
        <f t="shared" si="26"/>
        <v>0.50505096054303111</v>
      </c>
      <c r="BG81" s="19">
        <f t="shared" si="27"/>
        <v>3</v>
      </c>
      <c r="BH81" s="19">
        <f t="shared" si="28"/>
        <v>0.50505096054303111</v>
      </c>
    </row>
    <row r="82" spans="3:60" ht="11.25" customHeight="1" x14ac:dyDescent="0.2">
      <c r="C82" s="485"/>
      <c r="D82" s="417"/>
      <c r="AE82" s="417"/>
      <c r="AV82" s="462" t="str">
        <f t="shared" si="19"/>
        <v/>
      </c>
      <c r="AW82" s="463" t="str">
        <f t="shared" si="20"/>
        <v/>
      </c>
      <c r="AX82" s="19" t="e">
        <f t="shared" si="21"/>
        <v>#N/A</v>
      </c>
      <c r="AY82" s="19" t="e">
        <f t="shared" si="22"/>
        <v>#N/A</v>
      </c>
      <c r="AZ82" s="19" t="str">
        <f t="shared" si="23"/>
        <v/>
      </c>
      <c r="BA82" s="19" t="e">
        <f>IF(AZ82="",NA(),COUNTIF(AZ82:$AZ$510,AZ82))</f>
        <v>#N/A</v>
      </c>
      <c r="BB82" s="19">
        <v>72</v>
      </c>
      <c r="BC82" s="19">
        <f t="shared" si="24"/>
        <v>3.532673856912135</v>
      </c>
      <c r="BD82" s="19">
        <v>64.5</v>
      </c>
      <c r="BE82" s="19" t="e">
        <f t="shared" si="25"/>
        <v>#N/A</v>
      </c>
      <c r="BF82" s="19">
        <f t="shared" si="26"/>
        <v>0.53267385691213498</v>
      </c>
      <c r="BG82" s="19">
        <f t="shared" si="27"/>
        <v>3</v>
      </c>
      <c r="BH82" s="19">
        <f t="shared" si="28"/>
        <v>0.53267385691213498</v>
      </c>
    </row>
    <row r="83" spans="3:60" ht="11.25" customHeight="1" x14ac:dyDescent="0.2">
      <c r="C83" s="485"/>
      <c r="D83" s="417"/>
      <c r="AE83" s="417"/>
      <c r="AV83" s="462" t="str">
        <f t="shared" si="19"/>
        <v/>
      </c>
      <c r="AW83" s="463" t="str">
        <f t="shared" si="20"/>
        <v/>
      </c>
      <c r="AX83" s="19" t="e">
        <f t="shared" si="21"/>
        <v>#N/A</v>
      </c>
      <c r="AY83" s="19" t="e">
        <f t="shared" si="22"/>
        <v>#N/A</v>
      </c>
      <c r="AZ83" s="19" t="str">
        <f t="shared" si="23"/>
        <v/>
      </c>
      <c r="BA83" s="19" t="e">
        <f>IF(AZ83="",NA(),COUNTIF(AZ83:$AZ$510,AZ83))</f>
        <v>#N/A</v>
      </c>
      <c r="BB83" s="19">
        <v>73</v>
      </c>
      <c r="BC83" s="19">
        <f t="shared" si="24"/>
        <v>3.5609654606454852</v>
      </c>
      <c r="BD83" s="19">
        <v>64</v>
      </c>
      <c r="BE83" s="19" t="e">
        <f t="shared" si="25"/>
        <v>#N/A</v>
      </c>
      <c r="BF83" s="19">
        <f t="shared" si="26"/>
        <v>0.56096546064548525</v>
      </c>
      <c r="BG83" s="19">
        <f t="shared" si="27"/>
        <v>3</v>
      </c>
      <c r="BH83" s="19">
        <f t="shared" si="28"/>
        <v>0.56096546064548525</v>
      </c>
    </row>
    <row r="84" spans="3:60" ht="11.25" customHeight="1" x14ac:dyDescent="0.2">
      <c r="C84" s="485"/>
      <c r="D84" s="417"/>
      <c r="AE84" s="417"/>
      <c r="AV84" s="462" t="str">
        <f t="shared" si="19"/>
        <v/>
      </c>
      <c r="AW84" s="463" t="str">
        <f t="shared" si="20"/>
        <v/>
      </c>
      <c r="AX84" s="19" t="e">
        <f t="shared" si="21"/>
        <v>#N/A</v>
      </c>
      <c r="AY84" s="19" t="e">
        <f t="shared" si="22"/>
        <v>#N/A</v>
      </c>
      <c r="AZ84" s="19" t="str">
        <f t="shared" si="23"/>
        <v/>
      </c>
      <c r="BA84" s="19" t="e">
        <f>IF(AZ84="",NA(),COUNTIF(AZ84:$AZ$510,AZ84))</f>
        <v>#N/A</v>
      </c>
      <c r="BB84" s="19">
        <v>74</v>
      </c>
      <c r="BC84" s="19">
        <f t="shared" si="24"/>
        <v>3.5898742249660689</v>
      </c>
      <c r="BD84" s="19">
        <v>63.5</v>
      </c>
      <c r="BE84" s="19" t="e">
        <f t="shared" si="25"/>
        <v>#N/A</v>
      </c>
      <c r="BF84" s="19">
        <f t="shared" si="26"/>
        <v>0.58987422496606889</v>
      </c>
      <c r="BG84" s="19">
        <f t="shared" si="27"/>
        <v>3</v>
      </c>
      <c r="BH84" s="19">
        <f t="shared" si="28"/>
        <v>0.58987422496606889</v>
      </c>
    </row>
    <row r="85" spans="3:60" ht="11.25" customHeight="1" x14ac:dyDescent="0.2">
      <c r="C85" s="485"/>
      <c r="D85" s="417"/>
      <c r="AE85" s="417"/>
      <c r="AV85" s="462" t="str">
        <f t="shared" si="19"/>
        <v/>
      </c>
      <c r="AW85" s="463" t="str">
        <f t="shared" si="20"/>
        <v/>
      </c>
      <c r="AX85" s="19" t="e">
        <f t="shared" si="21"/>
        <v>#N/A</v>
      </c>
      <c r="AY85" s="19" t="e">
        <f t="shared" si="22"/>
        <v>#N/A</v>
      </c>
      <c r="AZ85" s="19" t="str">
        <f t="shared" si="23"/>
        <v/>
      </c>
      <c r="BA85" s="19" t="e">
        <f>IF(AZ85="",NA(),COUNTIF(AZ85:$AZ$510,AZ85))</f>
        <v>#N/A</v>
      </c>
      <c r="BB85" s="19">
        <v>75</v>
      </c>
      <c r="BC85" s="19">
        <f t="shared" si="24"/>
        <v>3.6193430603152046</v>
      </c>
      <c r="BD85" s="19">
        <v>63</v>
      </c>
      <c r="BE85" s="19" t="e">
        <f t="shared" si="25"/>
        <v>#N/A</v>
      </c>
      <c r="BF85" s="19">
        <f t="shared" si="26"/>
        <v>0.61934306031520459</v>
      </c>
      <c r="BG85" s="19">
        <f t="shared" si="27"/>
        <v>3</v>
      </c>
      <c r="BH85" s="19">
        <f t="shared" si="28"/>
        <v>0.61934306031520459</v>
      </c>
    </row>
    <row r="86" spans="3:60" ht="11.25" customHeight="1" x14ac:dyDescent="0.2">
      <c r="C86" s="485"/>
      <c r="D86" s="417"/>
      <c r="AE86" s="417"/>
      <c r="AV86" s="462" t="str">
        <f t="shared" si="19"/>
        <v/>
      </c>
      <c r="AW86" s="463" t="str">
        <f t="shared" si="20"/>
        <v/>
      </c>
      <c r="AX86" s="19" t="e">
        <f t="shared" si="21"/>
        <v>#N/A</v>
      </c>
      <c r="AY86" s="19" t="e">
        <f t="shared" si="22"/>
        <v>#N/A</v>
      </c>
      <c r="AZ86" s="19" t="str">
        <f t="shared" si="23"/>
        <v/>
      </c>
      <c r="BA86" s="19" t="e">
        <f>IF(AZ86="",NA(),COUNTIF(AZ86:$AZ$510,AZ86))</f>
        <v>#N/A</v>
      </c>
      <c r="BB86" s="19">
        <v>76</v>
      </c>
      <c r="BC86" s="19">
        <f t="shared" si="24"/>
        <v>3.6493093997478234</v>
      </c>
      <c r="BD86" s="19">
        <v>62.5</v>
      </c>
      <c r="BE86" s="19" t="e">
        <f t="shared" si="25"/>
        <v>#N/A</v>
      </c>
      <c r="BF86" s="19">
        <f t="shared" si="26"/>
        <v>0.64930939974782342</v>
      </c>
      <c r="BG86" s="19">
        <f t="shared" si="27"/>
        <v>3</v>
      </c>
      <c r="BH86" s="19">
        <f t="shared" si="28"/>
        <v>0.64930939974782342</v>
      </c>
    </row>
    <row r="87" spans="3:60" ht="11.25" customHeight="1" x14ac:dyDescent="0.2">
      <c r="C87" s="485"/>
      <c r="D87" s="417"/>
      <c r="AE87" s="417"/>
      <c r="AV87" s="462" t="str">
        <f t="shared" si="19"/>
        <v/>
      </c>
      <c r="AW87" s="463" t="str">
        <f t="shared" si="20"/>
        <v/>
      </c>
      <c r="AX87" s="19" t="e">
        <f t="shared" si="21"/>
        <v>#N/A</v>
      </c>
      <c r="AY87" s="19" t="e">
        <f t="shared" si="22"/>
        <v>#N/A</v>
      </c>
      <c r="AZ87" s="19" t="str">
        <f t="shared" si="23"/>
        <v/>
      </c>
      <c r="BA87" s="19" t="e">
        <f>IF(AZ87="",NA(),COUNTIF(AZ87:$AZ$510,AZ87))</f>
        <v>#N/A</v>
      </c>
      <c r="BB87" s="19">
        <v>77</v>
      </c>
      <c r="BC87" s="19">
        <f t="shared" si="24"/>
        <v>3.6797053096997687</v>
      </c>
      <c r="BD87" s="19">
        <v>62</v>
      </c>
      <c r="BE87" s="19" t="e">
        <f t="shared" si="25"/>
        <v>#N/A</v>
      </c>
      <c r="BF87" s="19">
        <f t="shared" si="26"/>
        <v>0.67970530969976872</v>
      </c>
      <c r="BG87" s="19">
        <f t="shared" si="27"/>
        <v>3</v>
      </c>
      <c r="BH87" s="19">
        <f t="shared" si="28"/>
        <v>0.67970530969976872</v>
      </c>
    </row>
    <row r="88" spans="3:60" ht="11.25" customHeight="1" x14ac:dyDescent="0.2">
      <c r="C88" s="485"/>
      <c r="D88" s="417"/>
      <c r="AE88" s="417"/>
      <c r="AV88" s="462" t="str">
        <f t="shared" si="19"/>
        <v/>
      </c>
      <c r="AW88" s="463" t="str">
        <f t="shared" si="20"/>
        <v/>
      </c>
      <c r="AX88" s="19" t="e">
        <f t="shared" si="21"/>
        <v>#N/A</v>
      </c>
      <c r="AY88" s="19" t="e">
        <f t="shared" si="22"/>
        <v>#N/A</v>
      </c>
      <c r="AZ88" s="19" t="str">
        <f t="shared" si="23"/>
        <v/>
      </c>
      <c r="BA88" s="19" t="e">
        <f>IF(AZ88="",NA(),COUNTIF(AZ88:$AZ$510,AZ88))</f>
        <v>#N/A</v>
      </c>
      <c r="BB88" s="19">
        <v>78</v>
      </c>
      <c r="BC88" s="19">
        <f t="shared" si="24"/>
        <v>3.7104576473721345</v>
      </c>
      <c r="BD88" s="19">
        <v>61.5</v>
      </c>
      <c r="BE88" s="19" t="e">
        <f t="shared" si="25"/>
        <v>#N/A</v>
      </c>
      <c r="BF88" s="19">
        <f t="shared" si="26"/>
        <v>0.71045764737213446</v>
      </c>
      <c r="BG88" s="19">
        <f t="shared" si="27"/>
        <v>3</v>
      </c>
      <c r="BH88" s="19">
        <f t="shared" si="28"/>
        <v>0.71045764737213446</v>
      </c>
    </row>
    <row r="89" spans="3:60" ht="11.25" customHeight="1" x14ac:dyDescent="0.2">
      <c r="C89" s="485"/>
      <c r="D89" s="417"/>
      <c r="AE89" s="417"/>
      <c r="AV89" s="462" t="str">
        <f t="shared" si="19"/>
        <v/>
      </c>
      <c r="AW89" s="463" t="str">
        <f t="shared" si="20"/>
        <v/>
      </c>
      <c r="AX89" s="19" t="e">
        <f t="shared" si="21"/>
        <v>#N/A</v>
      </c>
      <c r="AY89" s="19" t="e">
        <f t="shared" si="22"/>
        <v>#N/A</v>
      </c>
      <c r="AZ89" s="19" t="str">
        <f t="shared" si="23"/>
        <v/>
      </c>
      <c r="BA89" s="19" t="e">
        <f>IF(AZ89="",NA(),COUNTIF(AZ89:$AZ$510,AZ89))</f>
        <v>#N/A</v>
      </c>
      <c r="BB89" s="19">
        <v>79</v>
      </c>
      <c r="BC89" s="19">
        <f t="shared" si="24"/>
        <v>3.7414882655383614</v>
      </c>
      <c r="BD89" s="19">
        <v>61</v>
      </c>
      <c r="BE89" s="19" t="e">
        <f t="shared" si="25"/>
        <v>#N/A</v>
      </c>
      <c r="BF89" s="19">
        <f t="shared" si="26"/>
        <v>0.74148826553836145</v>
      </c>
      <c r="BG89" s="19">
        <f t="shared" si="27"/>
        <v>3</v>
      </c>
      <c r="BH89" s="19">
        <f t="shared" si="28"/>
        <v>0.74148826553836145</v>
      </c>
    </row>
    <row r="90" spans="3:60" ht="11.25" customHeight="1" x14ac:dyDescent="0.2">
      <c r="C90" s="485"/>
      <c r="D90" s="417"/>
      <c r="AE90" s="417"/>
      <c r="AV90" s="462" t="str">
        <f t="shared" si="19"/>
        <v/>
      </c>
      <c r="AW90" s="463" t="str">
        <f t="shared" si="20"/>
        <v/>
      </c>
      <c r="AX90" s="19" t="e">
        <f t="shared" si="21"/>
        <v>#N/A</v>
      </c>
      <c r="AY90" s="19" t="e">
        <f t="shared" si="22"/>
        <v>#N/A</v>
      </c>
      <c r="AZ90" s="19" t="str">
        <f t="shared" si="23"/>
        <v/>
      </c>
      <c r="BA90" s="19" t="e">
        <f>IF(AZ90="",NA(),COUNTIF(AZ90:$AZ$510,AZ90))</f>
        <v>#N/A</v>
      </c>
      <c r="BB90" s="19">
        <v>80</v>
      </c>
      <c r="BC90" s="19">
        <f t="shared" si="24"/>
        <v>3.7727142651093764</v>
      </c>
      <c r="BD90" s="19">
        <v>60.5</v>
      </c>
      <c r="BE90" s="19" t="e">
        <f t="shared" si="25"/>
        <v>#N/A</v>
      </c>
      <c r="BF90" s="19">
        <f t="shared" si="26"/>
        <v>0.77271426510937635</v>
      </c>
      <c r="BG90" s="19">
        <f t="shared" si="27"/>
        <v>3</v>
      </c>
      <c r="BH90" s="19">
        <f t="shared" si="28"/>
        <v>0.77271426510937635</v>
      </c>
    </row>
    <row r="91" spans="3:60" ht="11.25" customHeight="1" x14ac:dyDescent="0.2">
      <c r="C91" s="485"/>
      <c r="D91" s="417"/>
      <c r="AE91" s="417"/>
      <c r="AV91" s="462" t="str">
        <f t="shared" si="19"/>
        <v/>
      </c>
      <c r="AW91" s="463" t="str">
        <f t="shared" si="20"/>
        <v/>
      </c>
      <c r="AX91" s="19" t="e">
        <f t="shared" si="21"/>
        <v>#N/A</v>
      </c>
      <c r="AY91" s="19" t="e">
        <f t="shared" si="22"/>
        <v>#N/A</v>
      </c>
      <c r="AZ91" s="19" t="str">
        <f t="shared" si="23"/>
        <v/>
      </c>
      <c r="BA91" s="19" t="e">
        <f>IF(AZ91="",NA(),COUNTIF(AZ91:$AZ$510,AZ91))</f>
        <v>#N/A</v>
      </c>
      <c r="BB91" s="19">
        <v>81</v>
      </c>
      <c r="BC91" s="19">
        <f t="shared" si="24"/>
        <v>3.8040482952955648</v>
      </c>
      <c r="BD91" s="19">
        <v>60</v>
      </c>
      <c r="BE91" s="19" t="e">
        <f t="shared" si="25"/>
        <v>#N/A</v>
      </c>
      <c r="BF91" s="19">
        <f t="shared" si="26"/>
        <v>0.80404829529556476</v>
      </c>
      <c r="BG91" s="19">
        <f t="shared" si="27"/>
        <v>3</v>
      </c>
      <c r="BH91" s="19">
        <f t="shared" si="28"/>
        <v>0.80404829529556476</v>
      </c>
    </row>
    <row r="92" spans="3:60" ht="11.25" customHeight="1" x14ac:dyDescent="0.2">
      <c r="C92" s="485"/>
      <c r="D92" s="417"/>
      <c r="AE92" s="417"/>
      <c r="AV92" s="462" t="str">
        <f t="shared" si="19"/>
        <v/>
      </c>
      <c r="AW92" s="463" t="str">
        <f t="shared" si="20"/>
        <v/>
      </c>
      <c r="AX92" s="19" t="e">
        <f t="shared" si="21"/>
        <v>#N/A</v>
      </c>
      <c r="AY92" s="19" t="e">
        <f t="shared" si="22"/>
        <v>#N/A</v>
      </c>
      <c r="AZ92" s="19" t="str">
        <f t="shared" si="23"/>
        <v/>
      </c>
      <c r="BA92" s="19" t="e">
        <f>IF(AZ92="",NA(),COUNTIF(AZ92:$AZ$510,AZ92))</f>
        <v>#N/A</v>
      </c>
      <c r="BB92" s="19">
        <v>82</v>
      </c>
      <c r="BC92" s="19">
        <f t="shared" si="24"/>
        <v>3.8353989006873483</v>
      </c>
      <c r="BD92" s="19">
        <v>59.5</v>
      </c>
      <c r="BE92" s="19" t="e">
        <f t="shared" si="25"/>
        <v>#N/A</v>
      </c>
      <c r="BF92" s="19">
        <f t="shared" si="26"/>
        <v>0.83539890068734834</v>
      </c>
      <c r="BG92" s="19">
        <f t="shared" si="27"/>
        <v>3</v>
      </c>
      <c r="BH92" s="19">
        <f t="shared" si="28"/>
        <v>0.83539890068734834</v>
      </c>
    </row>
    <row r="93" spans="3:60" ht="11.25" customHeight="1" x14ac:dyDescent="0.2">
      <c r="C93" s="485"/>
      <c r="D93" s="417"/>
      <c r="AE93" s="417"/>
      <c r="AV93" s="462" t="str">
        <f t="shared" si="19"/>
        <v/>
      </c>
      <c r="AW93" s="463" t="str">
        <f t="shared" si="20"/>
        <v/>
      </c>
      <c r="AX93" s="19" t="e">
        <f t="shared" si="21"/>
        <v>#N/A</v>
      </c>
      <c r="AY93" s="19" t="e">
        <f t="shared" si="22"/>
        <v>#N/A</v>
      </c>
      <c r="AZ93" s="19" t="str">
        <f t="shared" si="23"/>
        <v/>
      </c>
      <c r="BA93" s="19" t="e">
        <f>IF(AZ93="",NA(),COUNTIF(AZ93:$AZ$510,AZ93))</f>
        <v>#N/A</v>
      </c>
      <c r="BB93" s="19">
        <v>83</v>
      </c>
      <c r="BC93" s="19">
        <f t="shared" si="24"/>
        <v>3.8666709140448954</v>
      </c>
      <c r="BD93" s="19">
        <v>59</v>
      </c>
      <c r="BE93" s="19" t="e">
        <f t="shared" si="25"/>
        <v>#N/A</v>
      </c>
      <c r="BF93" s="19">
        <f t="shared" si="26"/>
        <v>0.86667091404489538</v>
      </c>
      <c r="BG93" s="19">
        <f t="shared" si="27"/>
        <v>3</v>
      </c>
      <c r="BH93" s="19">
        <f t="shared" si="28"/>
        <v>0.86667091404489538</v>
      </c>
    </row>
    <row r="94" spans="3:60" ht="11.25" customHeight="1" x14ac:dyDescent="0.2">
      <c r="C94" s="485"/>
      <c r="D94" s="417"/>
      <c r="AE94" s="417"/>
      <c r="AV94" s="462" t="str">
        <f t="shared" si="19"/>
        <v/>
      </c>
      <c r="AW94" s="463" t="str">
        <f t="shared" si="20"/>
        <v/>
      </c>
      <c r="AX94" s="19" t="e">
        <f t="shared" si="21"/>
        <v>#N/A</v>
      </c>
      <c r="AY94" s="19" t="e">
        <f t="shared" si="22"/>
        <v>#N/A</v>
      </c>
      <c r="AZ94" s="19" t="str">
        <f t="shared" si="23"/>
        <v/>
      </c>
      <c r="BA94" s="19" t="e">
        <f>IF(AZ94="",NA(),COUNTIF(AZ94:$AZ$510,AZ94))</f>
        <v>#N/A</v>
      </c>
      <c r="BB94" s="19">
        <v>84</v>
      </c>
      <c r="BC94" s="19">
        <f t="shared" si="24"/>
        <v>3.8977658930486938</v>
      </c>
      <c r="BD94" s="19">
        <v>58.5</v>
      </c>
      <c r="BE94" s="19" t="e">
        <f t="shared" si="25"/>
        <v>#N/A</v>
      </c>
      <c r="BF94" s="19">
        <f t="shared" si="26"/>
        <v>0.89776589304869381</v>
      </c>
      <c r="BG94" s="19">
        <f t="shared" si="27"/>
        <v>3</v>
      </c>
      <c r="BH94" s="19">
        <f t="shared" si="28"/>
        <v>0.89776589304869381</v>
      </c>
    </row>
    <row r="95" spans="3:60" ht="11.25" customHeight="1" x14ac:dyDescent="0.2">
      <c r="C95" s="485"/>
      <c r="D95" s="417"/>
      <c r="AE95" s="417"/>
      <c r="AV95" s="462" t="str">
        <f t="shared" si="19"/>
        <v/>
      </c>
      <c r="AW95" s="463" t="str">
        <f t="shared" si="20"/>
        <v/>
      </c>
      <c r="AX95" s="19" t="e">
        <f t="shared" si="21"/>
        <v>#N/A</v>
      </c>
      <c r="AY95" s="19" t="e">
        <f t="shared" si="22"/>
        <v>#N/A</v>
      </c>
      <c r="AZ95" s="19" t="str">
        <f t="shared" si="23"/>
        <v/>
      </c>
      <c r="BA95" s="19" t="e">
        <f>IF(AZ95="",NA(),COUNTIF(AZ95:$AZ$510,AZ95))</f>
        <v>#N/A</v>
      </c>
      <c r="BB95" s="19">
        <v>85</v>
      </c>
      <c r="BC95" s="19">
        <f t="shared" si="24"/>
        <v>3.9285825987233949</v>
      </c>
      <c r="BD95" s="19">
        <v>58</v>
      </c>
      <c r="BE95" s="19" t="e">
        <f t="shared" si="25"/>
        <v>#N/A</v>
      </c>
      <c r="BF95" s="19">
        <f t="shared" si="26"/>
        <v>0.92858259872339488</v>
      </c>
      <c r="BG95" s="19">
        <f t="shared" si="27"/>
        <v>3</v>
      </c>
      <c r="BH95" s="19">
        <f t="shared" si="28"/>
        <v>0.92858259872339488</v>
      </c>
    </row>
    <row r="96" spans="3:60" ht="11.25" customHeight="1" x14ac:dyDescent="0.2">
      <c r="C96" s="485"/>
      <c r="D96" s="417"/>
      <c r="AE96" s="417"/>
      <c r="AV96" s="462" t="str">
        <f t="shared" si="19"/>
        <v/>
      </c>
      <c r="AW96" s="463" t="str">
        <f t="shared" si="20"/>
        <v/>
      </c>
      <c r="AX96" s="19" t="e">
        <f t="shared" si="21"/>
        <v>#N/A</v>
      </c>
      <c r="AY96" s="19" t="e">
        <f t="shared" si="22"/>
        <v>#N/A</v>
      </c>
      <c r="AZ96" s="19" t="str">
        <f t="shared" si="23"/>
        <v/>
      </c>
      <c r="BA96" s="19" t="e">
        <f>IF(AZ96="",NA(),COUNTIF(AZ96:$AZ$510,AZ96))</f>
        <v>#N/A</v>
      </c>
      <c r="BB96" s="19">
        <v>86</v>
      </c>
      <c r="BC96" s="19">
        <f t="shared" si="24"/>
        <v>3.9590175127150022</v>
      </c>
      <c r="BD96" s="19">
        <v>57.5</v>
      </c>
      <c r="BE96" s="19" t="e">
        <f t="shared" si="25"/>
        <v>#N/A</v>
      </c>
      <c r="BF96" s="19">
        <f t="shared" si="26"/>
        <v>0.95901751271500224</v>
      </c>
      <c r="BG96" s="19">
        <f t="shared" si="27"/>
        <v>3</v>
      </c>
      <c r="BH96" s="19">
        <f t="shared" si="28"/>
        <v>0.95901751271500224</v>
      </c>
    </row>
    <row r="97" spans="3:60" ht="11.25" customHeight="1" x14ac:dyDescent="0.2">
      <c r="C97" s="485"/>
      <c r="D97" s="417"/>
      <c r="AE97" s="417"/>
      <c r="AV97" s="462" t="str">
        <f t="shared" si="19"/>
        <v/>
      </c>
      <c r="AW97" s="463" t="str">
        <f t="shared" si="20"/>
        <v/>
      </c>
      <c r="AX97" s="19" t="e">
        <f t="shared" si="21"/>
        <v>#N/A</v>
      </c>
      <c r="AY97" s="19" t="e">
        <f t="shared" si="22"/>
        <v>#N/A</v>
      </c>
      <c r="AZ97" s="19" t="str">
        <f t="shared" si="23"/>
        <v/>
      </c>
      <c r="BA97" s="19" t="e">
        <f>IF(AZ97="",NA(),COUNTIF(AZ97:$AZ$510,AZ97))</f>
        <v>#N/A</v>
      </c>
      <c r="BB97" s="19">
        <v>87</v>
      </c>
      <c r="BC97" s="19">
        <f t="shared" si="24"/>
        <v>3.9889653900835693</v>
      </c>
      <c r="BD97" s="19">
        <v>57</v>
      </c>
      <c r="BE97" s="19" t="e">
        <f t="shared" si="25"/>
        <v>#N/A</v>
      </c>
      <c r="BF97" s="19">
        <f t="shared" si="26"/>
        <v>0.98896539008356932</v>
      </c>
      <c r="BG97" s="19">
        <f t="shared" si="27"/>
        <v>3</v>
      </c>
      <c r="BH97" s="19">
        <f t="shared" si="28"/>
        <v>0.98896539008356932</v>
      </c>
    </row>
    <row r="98" spans="3:60" ht="11.25" customHeight="1" x14ac:dyDescent="0.2">
      <c r="C98" s="485"/>
      <c r="D98" s="417"/>
      <c r="AE98" s="417"/>
      <c r="AV98" s="462" t="str">
        <f t="shared" si="19"/>
        <v/>
      </c>
      <c r="AW98" s="463" t="str">
        <f t="shared" si="20"/>
        <v/>
      </c>
      <c r="AX98" s="19" t="e">
        <f t="shared" si="21"/>
        <v>#N/A</v>
      </c>
      <c r="AY98" s="19" t="e">
        <f t="shared" si="22"/>
        <v>#N/A</v>
      </c>
      <c r="AZ98" s="19" t="str">
        <f t="shared" si="23"/>
        <v/>
      </c>
      <c r="BA98" s="19" t="e">
        <f>IF(AZ98="",NA(),COUNTIF(AZ98:$AZ$510,AZ98))</f>
        <v>#N/A</v>
      </c>
      <c r="BB98" s="19">
        <v>88</v>
      </c>
      <c r="BC98" s="19">
        <f t="shared" si="24"/>
        <v>4.0183198437778191</v>
      </c>
      <c r="BD98" s="19">
        <v>56.5</v>
      </c>
      <c r="BE98" s="19" t="e">
        <f t="shared" si="25"/>
        <v>#N/A</v>
      </c>
      <c r="BF98" s="19">
        <f t="shared" si="26"/>
        <v>1.0183198437778191</v>
      </c>
      <c r="BG98" s="19">
        <f t="shared" si="27"/>
        <v>3</v>
      </c>
      <c r="BH98" s="19">
        <f t="shared" si="28"/>
        <v>1.0183198437778191</v>
      </c>
    </row>
    <row r="99" spans="3:60" ht="11.25" customHeight="1" x14ac:dyDescent="0.2">
      <c r="C99" s="485"/>
      <c r="D99" s="417"/>
      <c r="AE99" s="417"/>
      <c r="AV99" s="462" t="str">
        <f t="shared" si="19"/>
        <v/>
      </c>
      <c r="AW99" s="463" t="str">
        <f t="shared" si="20"/>
        <v/>
      </c>
      <c r="AX99" s="19" t="e">
        <f t="shared" si="21"/>
        <v>#N/A</v>
      </c>
      <c r="AY99" s="19" t="e">
        <f t="shared" si="22"/>
        <v>#N/A</v>
      </c>
      <c r="AZ99" s="19" t="str">
        <f t="shared" si="23"/>
        <v/>
      </c>
      <c r="BA99" s="19" t="e">
        <f>IF(AZ99="",NA(),COUNTIF(AZ99:$AZ$510,AZ99))</f>
        <v>#N/A</v>
      </c>
      <c r="BB99" s="19">
        <v>89</v>
      </c>
      <c r="BC99" s="19">
        <f t="shared" si="24"/>
        <v>4.0469739564920229</v>
      </c>
      <c r="BD99" s="19">
        <v>56</v>
      </c>
      <c r="BE99" s="19" t="e">
        <f t="shared" si="25"/>
        <v>#N/A</v>
      </c>
      <c r="BF99" s="19">
        <f t="shared" si="26"/>
        <v>1.0469739564920229</v>
      </c>
      <c r="BG99" s="19">
        <f t="shared" si="27"/>
        <v>3</v>
      </c>
      <c r="BH99" s="19">
        <f t="shared" si="28"/>
        <v>1.0469739564920229</v>
      </c>
    </row>
    <row r="100" spans="3:60" ht="11.25" customHeight="1" x14ac:dyDescent="0.2">
      <c r="C100" s="485"/>
      <c r="D100" s="417"/>
      <c r="AE100" s="417"/>
      <c r="AV100" s="462" t="str">
        <f t="shared" si="19"/>
        <v/>
      </c>
      <c r="AW100" s="463" t="str">
        <f t="shared" si="20"/>
        <v/>
      </c>
      <c r="AX100" s="19" t="e">
        <f t="shared" si="21"/>
        <v>#N/A</v>
      </c>
      <c r="AY100" s="19" t="e">
        <f t="shared" si="22"/>
        <v>#N/A</v>
      </c>
      <c r="AZ100" s="19" t="str">
        <f t="shared" si="23"/>
        <v/>
      </c>
      <c r="BA100" s="19" t="e">
        <f>IF(AZ100="",NA(),COUNTIF(AZ100:$AZ$510,AZ100))</f>
        <v>#N/A</v>
      </c>
      <c r="BB100" s="19">
        <v>90</v>
      </c>
      <c r="BC100" s="19">
        <f t="shared" si="24"/>
        <v>4.0748209151764545</v>
      </c>
      <c r="BD100" s="19">
        <v>55.5</v>
      </c>
      <c r="BE100" s="19" t="e">
        <f t="shared" si="25"/>
        <v>#N/A</v>
      </c>
      <c r="BF100" s="19">
        <f t="shared" si="26"/>
        <v>1.0748209151764545</v>
      </c>
      <c r="BG100" s="19">
        <f t="shared" si="27"/>
        <v>3</v>
      </c>
      <c r="BH100" s="19">
        <f t="shared" si="28"/>
        <v>1.0748209151764545</v>
      </c>
    </row>
    <row r="101" spans="3:60" ht="11.25" customHeight="1" x14ac:dyDescent="0.2">
      <c r="C101" s="485"/>
      <c r="D101" s="417"/>
      <c r="AE101" s="417"/>
      <c r="AV101" s="462" t="str">
        <f t="shared" si="19"/>
        <v/>
      </c>
      <c r="AW101" s="463" t="str">
        <f t="shared" si="20"/>
        <v/>
      </c>
      <c r="AX101" s="19" t="e">
        <f t="shared" si="21"/>
        <v>#N/A</v>
      </c>
      <c r="AY101" s="19" t="e">
        <f t="shared" si="22"/>
        <v>#N/A</v>
      </c>
      <c r="AZ101" s="19" t="str">
        <f t="shared" si="23"/>
        <v/>
      </c>
      <c r="BA101" s="19" t="e">
        <f>IF(AZ101="",NA(),COUNTIF(AZ101:$AZ$510,AZ101))</f>
        <v>#N/A</v>
      </c>
      <c r="BB101" s="19">
        <v>91</v>
      </c>
      <c r="BC101" s="19">
        <f t="shared" si="24"/>
        <v>4.1017546630878483</v>
      </c>
      <c r="BD101" s="19">
        <v>55</v>
      </c>
      <c r="BE101" s="19" t="e">
        <f t="shared" si="25"/>
        <v>#N/A</v>
      </c>
      <c r="BF101" s="19">
        <f t="shared" si="26"/>
        <v>1.1017546630878483</v>
      </c>
      <c r="BG101" s="19">
        <f t="shared" si="27"/>
        <v>3</v>
      </c>
      <c r="BH101" s="19">
        <f t="shared" si="28"/>
        <v>1.1017546630878483</v>
      </c>
    </row>
    <row r="102" spans="3:60" ht="11.25" customHeight="1" x14ac:dyDescent="0.2">
      <c r="C102" s="485"/>
      <c r="D102" s="417"/>
      <c r="AE102" s="417"/>
      <c r="AV102" s="462" t="str">
        <f t="shared" si="19"/>
        <v/>
      </c>
      <c r="AW102" s="463" t="str">
        <f t="shared" si="20"/>
        <v/>
      </c>
      <c r="AX102" s="19" t="e">
        <f t="shared" si="21"/>
        <v>#N/A</v>
      </c>
      <c r="AY102" s="19" t="e">
        <f t="shared" si="22"/>
        <v>#N/A</v>
      </c>
      <c r="AZ102" s="19" t="str">
        <f t="shared" si="23"/>
        <v/>
      </c>
      <c r="BA102" s="19" t="e">
        <f>IF(AZ102="",NA(),COUNTIF(AZ102:$AZ$510,AZ102))</f>
        <v>#N/A</v>
      </c>
      <c r="BB102" s="19">
        <v>92</v>
      </c>
      <c r="BC102" s="19">
        <f t="shared" si="24"/>
        <v>4.1276705639321278</v>
      </c>
      <c r="BD102" s="19">
        <v>54.5</v>
      </c>
      <c r="BE102" s="19" t="e">
        <f t="shared" si="25"/>
        <v>#N/A</v>
      </c>
      <c r="BF102" s="19">
        <f t="shared" si="26"/>
        <v>1.1276705639321278</v>
      </c>
      <c r="BG102" s="19">
        <f t="shared" si="27"/>
        <v>3</v>
      </c>
      <c r="BH102" s="19">
        <f t="shared" si="28"/>
        <v>1.1276705639321278</v>
      </c>
    </row>
    <row r="103" spans="3:60" ht="11.25" customHeight="1" x14ac:dyDescent="0.2">
      <c r="C103" s="485"/>
      <c r="D103" s="417"/>
      <c r="AE103" s="417"/>
      <c r="AV103" s="462" t="str">
        <f t="shared" si="19"/>
        <v/>
      </c>
      <c r="AW103" s="463" t="str">
        <f t="shared" si="20"/>
        <v/>
      </c>
      <c r="AX103" s="19" t="e">
        <f t="shared" si="21"/>
        <v>#N/A</v>
      </c>
      <c r="AY103" s="19" t="e">
        <f t="shared" si="22"/>
        <v>#N/A</v>
      </c>
      <c r="AZ103" s="19" t="str">
        <f t="shared" si="23"/>
        <v/>
      </c>
      <c r="BA103" s="19" t="e">
        <f>IF(AZ103="",NA(),COUNTIF(AZ103:$AZ$510,AZ103))</f>
        <v>#N/A</v>
      </c>
      <c r="BB103" s="19">
        <v>93</v>
      </c>
      <c r="BC103" s="19">
        <f t="shared" si="24"/>
        <v>4.1524660723742315</v>
      </c>
      <c r="BD103" s="19">
        <v>54</v>
      </c>
      <c r="BE103" s="19" t="e">
        <f t="shared" si="25"/>
        <v>#N/A</v>
      </c>
      <c r="BF103" s="19">
        <f t="shared" si="26"/>
        <v>1.1524660723742315</v>
      </c>
      <c r="BG103" s="19">
        <f t="shared" si="27"/>
        <v>3</v>
      </c>
      <c r="BH103" s="19">
        <f t="shared" si="28"/>
        <v>1.1524660723742315</v>
      </c>
    </row>
    <row r="104" spans="3:60" ht="11.25" customHeight="1" x14ac:dyDescent="0.2">
      <c r="C104" s="485"/>
      <c r="D104" s="417"/>
      <c r="AE104" s="417"/>
      <c r="AV104" s="462" t="str">
        <f t="shared" si="19"/>
        <v/>
      </c>
      <c r="AW104" s="463" t="str">
        <f t="shared" si="20"/>
        <v/>
      </c>
      <c r="AX104" s="19" t="e">
        <f t="shared" si="21"/>
        <v>#N/A</v>
      </c>
      <c r="AY104" s="19" t="e">
        <f t="shared" si="22"/>
        <v>#N/A</v>
      </c>
      <c r="AZ104" s="19" t="str">
        <f t="shared" si="23"/>
        <v/>
      </c>
      <c r="BA104" s="19" t="e">
        <f>IF(AZ104="",NA(),COUNTIF(AZ104:$AZ$510,AZ104))</f>
        <v>#N/A</v>
      </c>
      <c r="BB104" s="19">
        <v>94</v>
      </c>
      <c r="BC104" s="19">
        <f t="shared" si="24"/>
        <v>4.1760414049745753</v>
      </c>
      <c r="BD104" s="19">
        <v>53.5</v>
      </c>
      <c r="BE104" s="19" t="e">
        <f t="shared" si="25"/>
        <v>#N/A</v>
      </c>
      <c r="BF104" s="19">
        <f t="shared" si="26"/>
        <v>1.1760414049745753</v>
      </c>
      <c r="BG104" s="19">
        <f t="shared" si="27"/>
        <v>3</v>
      </c>
      <c r="BH104" s="19">
        <f t="shared" si="28"/>
        <v>1.1760414049745753</v>
      </c>
    </row>
    <row r="105" spans="3:60" ht="11.25" customHeight="1" x14ac:dyDescent="0.2">
      <c r="C105" s="485"/>
      <c r="D105" s="417"/>
      <c r="AE105" s="417"/>
      <c r="AV105" s="462" t="str">
        <f t="shared" si="19"/>
        <v/>
      </c>
      <c r="AW105" s="463" t="str">
        <f t="shared" si="20"/>
        <v/>
      </c>
      <c r="AX105" s="19" t="e">
        <f t="shared" si="21"/>
        <v>#N/A</v>
      </c>
      <c r="AY105" s="19" t="e">
        <f t="shared" si="22"/>
        <v>#N/A</v>
      </c>
      <c r="AZ105" s="19" t="str">
        <f t="shared" si="23"/>
        <v/>
      </c>
      <c r="BA105" s="19" t="e">
        <f>IF(AZ105="",NA(),COUNTIF(AZ105:$AZ$510,AZ105))</f>
        <v>#N/A</v>
      </c>
      <c r="BB105" s="19">
        <v>95</v>
      </c>
      <c r="BC105" s="19">
        <f t="shared" si="24"/>
        <v>4.198300205462953</v>
      </c>
      <c r="BD105" s="19">
        <v>53</v>
      </c>
      <c r="BE105" s="19" t="e">
        <f t="shared" si="25"/>
        <v>#N/A</v>
      </c>
      <c r="BF105" s="19">
        <f t="shared" si="26"/>
        <v>1.198300205462953</v>
      </c>
      <c r="BG105" s="19">
        <f t="shared" si="27"/>
        <v>3</v>
      </c>
      <c r="BH105" s="19">
        <f t="shared" si="28"/>
        <v>1.198300205462953</v>
      </c>
    </row>
    <row r="106" spans="3:60" ht="11.25" customHeight="1" x14ac:dyDescent="0.2">
      <c r="C106" s="485"/>
      <c r="D106" s="417"/>
      <c r="AE106" s="417"/>
      <c r="AV106" s="462" t="str">
        <f t="shared" si="19"/>
        <v/>
      </c>
      <c r="AW106" s="463" t="str">
        <f t="shared" si="20"/>
        <v/>
      </c>
      <c r="AX106" s="19" t="e">
        <f t="shared" si="21"/>
        <v>#N/A</v>
      </c>
      <c r="AY106" s="19" t="e">
        <f t="shared" si="22"/>
        <v>#N/A</v>
      </c>
      <c r="AZ106" s="19" t="str">
        <f t="shared" si="23"/>
        <v/>
      </c>
      <c r="BA106" s="19" t="e">
        <f>IF(AZ106="",NA(),COUNTIF(AZ106:$AZ$510,AZ106))</f>
        <v>#N/A</v>
      </c>
      <c r="BB106" s="19">
        <v>96</v>
      </c>
      <c r="BC106" s="19">
        <f t="shared" si="24"/>
        <v>4.2191501981822945</v>
      </c>
      <c r="BD106" s="19">
        <v>52.5</v>
      </c>
      <c r="BE106" s="19" t="e">
        <f t="shared" si="25"/>
        <v>#N/A</v>
      </c>
      <c r="BF106" s="19">
        <f t="shared" si="26"/>
        <v>1.2191501981822945</v>
      </c>
      <c r="BG106" s="19">
        <f t="shared" si="27"/>
        <v>3</v>
      </c>
      <c r="BH106" s="19">
        <f t="shared" si="28"/>
        <v>1.2191501981822945</v>
      </c>
    </row>
    <row r="107" spans="3:60" ht="11.25" customHeight="1" x14ac:dyDescent="0.2">
      <c r="C107" s="485"/>
      <c r="D107" s="417"/>
      <c r="AE107" s="417"/>
      <c r="AV107" s="462" t="str">
        <f t="shared" si="19"/>
        <v/>
      </c>
      <c r="AW107" s="463" t="str">
        <f t="shared" si="20"/>
        <v/>
      </c>
      <c r="AX107" s="19" t="e">
        <f t="shared" si="21"/>
        <v>#N/A</v>
      </c>
      <c r="AY107" s="19" t="e">
        <f t="shared" si="22"/>
        <v>#N/A</v>
      </c>
      <c r="AZ107" s="19" t="str">
        <f t="shared" si="23"/>
        <v/>
      </c>
      <c r="BA107" s="19" t="e">
        <f>IF(AZ107="",NA(),COUNTIF(AZ107:$AZ$510,AZ107))</f>
        <v>#N/A</v>
      </c>
      <c r="BB107" s="19">
        <v>97</v>
      </c>
      <c r="BC107" s="19">
        <f t="shared" si="24"/>
        <v>4.2385038235292019</v>
      </c>
      <c r="BD107" s="19">
        <v>52</v>
      </c>
      <c r="BE107" s="19" t="e">
        <f t="shared" si="25"/>
        <v>#N/A</v>
      </c>
      <c r="BF107" s="19">
        <f t="shared" si="26"/>
        <v>1.2385038235292019</v>
      </c>
      <c r="BG107" s="19">
        <f t="shared" si="27"/>
        <v>3</v>
      </c>
      <c r="BH107" s="19">
        <f t="shared" si="28"/>
        <v>1.2385038235292019</v>
      </c>
    </row>
    <row r="108" spans="3:60" ht="11.25" customHeight="1" x14ac:dyDescent="0.2">
      <c r="C108" s="485"/>
      <c r="D108" s="417"/>
      <c r="AE108" s="417"/>
      <c r="AV108" s="462" t="str">
        <f t="shared" si="19"/>
        <v/>
      </c>
      <c r="AW108" s="463" t="str">
        <f t="shared" si="20"/>
        <v/>
      </c>
      <c r="AX108" s="19" t="e">
        <f t="shared" si="21"/>
        <v>#N/A</v>
      </c>
      <c r="AY108" s="19" t="e">
        <f t="shared" si="22"/>
        <v>#N/A</v>
      </c>
      <c r="AZ108" s="19" t="str">
        <f t="shared" si="23"/>
        <v/>
      </c>
      <c r="BA108" s="19" t="e">
        <f>IF(AZ108="",NA(),COUNTIF(AZ108:$AZ$510,AZ108))</f>
        <v>#N/A</v>
      </c>
      <c r="BB108" s="19">
        <v>98</v>
      </c>
      <c r="BC108" s="19">
        <f t="shared" si="24"/>
        <v>4.2562788492872734</v>
      </c>
      <c r="BD108" s="19">
        <v>51.5</v>
      </c>
      <c r="BE108" s="19" t="e">
        <f t="shared" si="25"/>
        <v>#N/A</v>
      </c>
      <c r="BF108" s="19">
        <f t="shared" si="26"/>
        <v>1.2562788492872734</v>
      </c>
      <c r="BG108" s="19">
        <f t="shared" si="27"/>
        <v>3</v>
      </c>
      <c r="BH108" s="19">
        <f t="shared" si="28"/>
        <v>1.2562788492872734</v>
      </c>
    </row>
    <row r="109" spans="3:60" ht="11.25" customHeight="1" x14ac:dyDescent="0.2">
      <c r="C109" s="485"/>
      <c r="D109" s="417"/>
      <c r="AE109" s="417"/>
      <c r="AV109" s="462" t="str">
        <f t="shared" si="19"/>
        <v/>
      </c>
      <c r="AW109" s="463" t="str">
        <f t="shared" si="20"/>
        <v/>
      </c>
      <c r="AX109" s="19" t="e">
        <f t="shared" si="21"/>
        <v>#N/A</v>
      </c>
      <c r="AY109" s="19" t="e">
        <f t="shared" si="22"/>
        <v>#N/A</v>
      </c>
      <c r="AZ109" s="19" t="str">
        <f t="shared" si="23"/>
        <v/>
      </c>
      <c r="BA109" s="19" t="e">
        <f>IF(AZ109="",NA(),COUNTIF(AZ109:$AZ$510,AZ109))</f>
        <v>#N/A</v>
      </c>
      <c r="BB109" s="19">
        <v>99</v>
      </c>
      <c r="BC109" s="19">
        <f t="shared" si="24"/>
        <v>4.2723989518933765</v>
      </c>
      <c r="BD109" s="19">
        <v>51</v>
      </c>
      <c r="BE109" s="19" t="e">
        <f t="shared" si="25"/>
        <v>#N/A</v>
      </c>
      <c r="BF109" s="19">
        <f t="shared" si="26"/>
        <v>1.2723989518933765</v>
      </c>
      <c r="BG109" s="19">
        <f t="shared" si="27"/>
        <v>3</v>
      </c>
      <c r="BH109" s="19">
        <f t="shared" si="28"/>
        <v>1.2723989518933765</v>
      </c>
    </row>
    <row r="110" spans="3:60" ht="11.25" customHeight="1" x14ac:dyDescent="0.2">
      <c r="C110" s="485"/>
      <c r="D110" s="417"/>
      <c r="AE110" s="417"/>
      <c r="AV110" s="462" t="str">
        <f t="shared" si="19"/>
        <v/>
      </c>
      <c r="AW110" s="463" t="str">
        <f t="shared" si="20"/>
        <v/>
      </c>
      <c r="AX110" s="19" t="e">
        <f t="shared" si="21"/>
        <v>#N/A</v>
      </c>
      <c r="AY110" s="19" t="e">
        <f t="shared" si="22"/>
        <v>#N/A</v>
      </c>
      <c r="AZ110" s="19" t="str">
        <f t="shared" si="23"/>
        <v/>
      </c>
      <c r="BA110" s="19" t="e">
        <f>IF(AZ110="",NA(),COUNTIF(AZ110:$AZ$510,AZ110))</f>
        <v>#N/A</v>
      </c>
      <c r="BB110" s="19">
        <v>100</v>
      </c>
      <c r="BC110" s="19">
        <f t="shared" si="24"/>
        <v>4.2867942618957251</v>
      </c>
      <c r="BD110" s="19">
        <v>50.5</v>
      </c>
      <c r="BE110" s="19" t="e">
        <f t="shared" si="25"/>
        <v>#N/A</v>
      </c>
      <c r="BF110" s="19">
        <f t="shared" si="26"/>
        <v>1.2867942618957251</v>
      </c>
      <c r="BG110" s="19">
        <f t="shared" si="27"/>
        <v>3</v>
      </c>
      <c r="BH110" s="19">
        <f t="shared" si="28"/>
        <v>1.2867942618957251</v>
      </c>
    </row>
    <row r="111" spans="3:60" ht="11.25" customHeight="1" x14ac:dyDescent="0.2">
      <c r="C111" s="485"/>
      <c r="D111" s="417"/>
      <c r="AE111" s="417"/>
      <c r="AV111" s="462" t="str">
        <f t="shared" si="19"/>
        <v/>
      </c>
      <c r="AW111" s="463" t="str">
        <f t="shared" si="20"/>
        <v/>
      </c>
      <c r="AX111" s="19" t="e">
        <f t="shared" si="21"/>
        <v>#N/A</v>
      </c>
      <c r="AY111" s="19" t="e">
        <f t="shared" si="22"/>
        <v>#N/A</v>
      </c>
      <c r="AZ111" s="19" t="str">
        <f t="shared" si="23"/>
        <v/>
      </c>
      <c r="BA111" s="19" t="e">
        <f>IF(AZ111="",NA(),COUNTIF(AZ111:$AZ$510,AZ111))</f>
        <v>#N/A</v>
      </c>
      <c r="BB111" s="19">
        <v>101</v>
      </c>
      <c r="BC111" s="19">
        <f t="shared" si="24"/>
        <v>4.2994018681539954</v>
      </c>
      <c r="BD111" s="19">
        <v>50</v>
      </c>
      <c r="BE111" s="19" t="e">
        <f t="shared" si="25"/>
        <v>#N/A</v>
      </c>
      <c r="BF111" s="19">
        <f t="shared" si="26"/>
        <v>1.2994018681539954</v>
      </c>
      <c r="BG111" s="19">
        <f t="shared" si="27"/>
        <v>3</v>
      </c>
      <c r="BH111" s="19">
        <f t="shared" si="28"/>
        <v>1.2994018681539954</v>
      </c>
    </row>
    <row r="112" spans="3:60" ht="11.25" customHeight="1" x14ac:dyDescent="0.2">
      <c r="C112" s="485"/>
      <c r="D112" s="417"/>
      <c r="AE112" s="417"/>
      <c r="AV112" s="462" t="str">
        <f t="shared" si="19"/>
        <v/>
      </c>
      <c r="AW112" s="463" t="str">
        <f t="shared" si="20"/>
        <v/>
      </c>
      <c r="AX112" s="19" t="e">
        <f t="shared" si="21"/>
        <v>#N/A</v>
      </c>
      <c r="AY112" s="19" t="e">
        <f t="shared" si="22"/>
        <v>#N/A</v>
      </c>
      <c r="AZ112" s="19" t="str">
        <f t="shared" si="23"/>
        <v/>
      </c>
      <c r="BA112" s="19" t="e">
        <f>IF(AZ112="",NA(),COUNTIF(AZ112:$AZ$510,AZ112))</f>
        <v>#N/A</v>
      </c>
      <c r="BB112" s="19">
        <v>102</v>
      </c>
      <c r="BC112" s="19">
        <f t="shared" si="24"/>
        <v>4.3101662756930601</v>
      </c>
      <c r="BD112" s="19">
        <v>49.5</v>
      </c>
      <c r="BE112" s="19" t="e">
        <f t="shared" si="25"/>
        <v>#N/A</v>
      </c>
      <c r="BF112" s="19">
        <f t="shared" si="26"/>
        <v>1.3101662756930601</v>
      </c>
      <c r="BG112" s="19">
        <f t="shared" si="27"/>
        <v>3</v>
      </c>
      <c r="BH112" s="19">
        <f t="shared" si="28"/>
        <v>1.3101662756930601</v>
      </c>
    </row>
    <row r="113" spans="3:60" ht="11.25" customHeight="1" x14ac:dyDescent="0.2">
      <c r="C113" s="485"/>
      <c r="D113" s="417"/>
      <c r="AE113" s="417"/>
      <c r="AV113" s="462" t="str">
        <f t="shared" si="19"/>
        <v/>
      </c>
      <c r="AW113" s="463" t="str">
        <f t="shared" si="20"/>
        <v/>
      </c>
      <c r="AX113" s="19" t="e">
        <f t="shared" si="21"/>
        <v>#N/A</v>
      </c>
      <c r="AY113" s="19" t="e">
        <f t="shared" si="22"/>
        <v>#N/A</v>
      </c>
      <c r="AZ113" s="19" t="str">
        <f t="shared" si="23"/>
        <v/>
      </c>
      <c r="BA113" s="19" t="e">
        <f>IF(AZ113="",NA(),COUNTIF(AZ113:$AZ$510,AZ113))</f>
        <v>#N/A</v>
      </c>
      <c r="BB113" s="19">
        <v>103</v>
      </c>
      <c r="BC113" s="19">
        <f t="shared" si="24"/>
        <v>4.3190398125491924</v>
      </c>
      <c r="BD113" s="19">
        <v>49</v>
      </c>
      <c r="BE113" s="19" t="e">
        <f t="shared" si="25"/>
        <v>#N/A</v>
      </c>
      <c r="BF113" s="19">
        <f t="shared" si="26"/>
        <v>1.3190398125491924</v>
      </c>
      <c r="BG113" s="19">
        <f t="shared" si="27"/>
        <v>3</v>
      </c>
      <c r="BH113" s="19">
        <f t="shared" si="28"/>
        <v>1.3190398125491924</v>
      </c>
    </row>
    <row r="114" spans="3:60" ht="11.25" customHeight="1" x14ac:dyDescent="0.2">
      <c r="C114" s="485"/>
      <c r="D114" s="417"/>
      <c r="AE114" s="417"/>
      <c r="AV114" s="462" t="str">
        <f t="shared" si="19"/>
        <v/>
      </c>
      <c r="AW114" s="463" t="str">
        <f t="shared" si="20"/>
        <v/>
      </c>
      <c r="AX114" s="19" t="e">
        <f t="shared" si="21"/>
        <v>#N/A</v>
      </c>
      <c r="AY114" s="19" t="e">
        <f t="shared" si="22"/>
        <v>#N/A</v>
      </c>
      <c r="AZ114" s="19" t="str">
        <f t="shared" si="23"/>
        <v/>
      </c>
      <c r="BA114" s="19" t="e">
        <f>IF(AZ114="",NA(),COUNTIF(AZ114:$AZ$510,AZ114))</f>
        <v>#N/A</v>
      </c>
      <c r="BB114" s="19">
        <v>104</v>
      </c>
      <c r="BC114" s="19">
        <f t="shared" si="24"/>
        <v>4.3259829814358195</v>
      </c>
      <c r="BD114" s="19">
        <v>48.5</v>
      </c>
      <c r="BE114" s="19" t="e">
        <f t="shared" si="25"/>
        <v>#N/A</v>
      </c>
      <c r="BF114" s="19">
        <f t="shared" si="26"/>
        <v>1.3259829814358195</v>
      </c>
      <c r="BG114" s="19">
        <f t="shared" si="27"/>
        <v>3</v>
      </c>
      <c r="BH114" s="19">
        <f t="shared" si="28"/>
        <v>1.3259829814358195</v>
      </c>
    </row>
    <row r="115" spans="3:60" ht="11.25" customHeight="1" x14ac:dyDescent="0.2">
      <c r="C115" s="485"/>
      <c r="D115" s="417"/>
      <c r="AE115" s="417"/>
      <c r="AV115" s="462" t="str">
        <f t="shared" si="19"/>
        <v/>
      </c>
      <c r="AW115" s="463" t="str">
        <f t="shared" si="20"/>
        <v/>
      </c>
      <c r="AX115" s="19" t="e">
        <f t="shared" si="21"/>
        <v>#N/A</v>
      </c>
      <c r="AY115" s="19" t="e">
        <f t="shared" si="22"/>
        <v>#N/A</v>
      </c>
      <c r="AZ115" s="19" t="str">
        <f t="shared" si="23"/>
        <v/>
      </c>
      <c r="BA115" s="19" t="e">
        <f>IF(AZ115="",NA(),COUNTIF(AZ115:$AZ$510,AZ115))</f>
        <v>#N/A</v>
      </c>
      <c r="BB115" s="19">
        <v>105</v>
      </c>
      <c r="BC115" s="19">
        <f t="shared" si="24"/>
        <v>4.3309647525991233</v>
      </c>
      <c r="BD115" s="19">
        <v>48</v>
      </c>
      <c r="BE115" s="19" t="e">
        <f t="shared" si="25"/>
        <v>#N/A</v>
      </c>
      <c r="BF115" s="19">
        <f t="shared" si="26"/>
        <v>1.3309647525991233</v>
      </c>
      <c r="BG115" s="19">
        <f t="shared" si="27"/>
        <v>3</v>
      </c>
      <c r="BH115" s="19">
        <f t="shared" si="28"/>
        <v>1.3309647525991233</v>
      </c>
    </row>
    <row r="116" spans="3:60" ht="11.25" customHeight="1" x14ac:dyDescent="0.2">
      <c r="C116" s="485"/>
      <c r="D116" s="417"/>
      <c r="AE116" s="417"/>
      <c r="AV116" s="462" t="str">
        <f t="shared" si="19"/>
        <v/>
      </c>
      <c r="AW116" s="463" t="str">
        <f t="shared" si="20"/>
        <v/>
      </c>
      <c r="AX116" s="19" t="e">
        <f t="shared" si="21"/>
        <v>#N/A</v>
      </c>
      <c r="AY116" s="19" t="e">
        <f t="shared" si="22"/>
        <v>#N/A</v>
      </c>
      <c r="AZ116" s="19" t="str">
        <f t="shared" si="23"/>
        <v/>
      </c>
      <c r="BA116" s="19" t="e">
        <f>IF(AZ116="",NA(),COUNTIF(AZ116:$AZ$510,AZ116))</f>
        <v>#N/A</v>
      </c>
      <c r="BB116" s="19">
        <v>106</v>
      </c>
      <c r="BC116" s="19">
        <f t="shared" si="24"/>
        <v>4.3339627948251769</v>
      </c>
      <c r="BD116" s="19">
        <v>47.5</v>
      </c>
      <c r="BE116" s="19" t="e">
        <f t="shared" si="25"/>
        <v>#N/A</v>
      </c>
      <c r="BF116" s="19">
        <f t="shared" si="26"/>
        <v>1.3339627948251769</v>
      </c>
      <c r="BG116" s="19">
        <f t="shared" si="27"/>
        <v>3</v>
      </c>
      <c r="BH116" s="19">
        <f t="shared" si="28"/>
        <v>1.3339627948251769</v>
      </c>
    </row>
    <row r="117" spans="3:60" ht="11.25" customHeight="1" x14ac:dyDescent="0.2">
      <c r="C117" s="485"/>
      <c r="D117" s="417"/>
      <c r="AE117" s="417"/>
      <c r="AV117" s="462" t="str">
        <f t="shared" si="19"/>
        <v/>
      </c>
      <c r="AW117" s="463" t="str">
        <f t="shared" si="20"/>
        <v/>
      </c>
      <c r="AX117" s="19" t="e">
        <f t="shared" si="21"/>
        <v>#N/A</v>
      </c>
      <c r="AY117" s="19" t="e">
        <f t="shared" si="22"/>
        <v>#N/A</v>
      </c>
      <c r="AZ117" s="19" t="str">
        <f t="shared" si="23"/>
        <v/>
      </c>
      <c r="BA117" s="19" t="e">
        <f>IF(AZ117="",NA(),COUNTIF(AZ117:$AZ$510,AZ117))</f>
        <v>#N/A</v>
      </c>
      <c r="BB117" s="19">
        <v>107</v>
      </c>
      <c r="BC117" s="19">
        <f t="shared" si="24"/>
        <v>4.3349636421921431</v>
      </c>
      <c r="BD117" s="19">
        <v>47</v>
      </c>
      <c r="BE117" s="19" t="e">
        <f t="shared" si="25"/>
        <v>#N/A</v>
      </c>
      <c r="BF117" s="19">
        <f t="shared" si="26"/>
        <v>1.3349636421921431</v>
      </c>
      <c r="BG117" s="19">
        <f t="shared" si="27"/>
        <v>3</v>
      </c>
      <c r="BH117" s="19">
        <f t="shared" si="28"/>
        <v>1.3349636421921431</v>
      </c>
    </row>
    <row r="118" spans="3:60" ht="11.25" customHeight="1" x14ac:dyDescent="0.2">
      <c r="C118" s="485"/>
      <c r="D118" s="417"/>
      <c r="AE118" s="417"/>
      <c r="AV118" s="462" t="str">
        <f t="shared" si="19"/>
        <v/>
      </c>
      <c r="AW118" s="463" t="str">
        <f t="shared" si="20"/>
        <v/>
      </c>
      <c r="AX118" s="19" t="e">
        <f t="shared" si="21"/>
        <v>#N/A</v>
      </c>
      <c r="AY118" s="19" t="e">
        <f t="shared" si="22"/>
        <v>#N/A</v>
      </c>
      <c r="AZ118" s="19" t="str">
        <f t="shared" si="23"/>
        <v/>
      </c>
      <c r="BA118" s="19" t="e">
        <f>IF(AZ118="",NA(),COUNTIF(AZ118:$AZ$510,AZ118))</f>
        <v>#N/A</v>
      </c>
      <c r="BB118" s="19">
        <v>108</v>
      </c>
      <c r="BC118" s="19">
        <f t="shared" si="24"/>
        <v>4.3339627948251769</v>
      </c>
      <c r="BD118" s="19">
        <v>46.5</v>
      </c>
      <c r="BE118" s="19" t="e">
        <f t="shared" si="25"/>
        <v>#N/A</v>
      </c>
      <c r="BF118" s="19">
        <f t="shared" si="26"/>
        <v>1.3339627948251769</v>
      </c>
      <c r="BG118" s="19">
        <f t="shared" si="27"/>
        <v>3</v>
      </c>
      <c r="BH118" s="19">
        <f t="shared" si="28"/>
        <v>1.3339627948251769</v>
      </c>
    </row>
    <row r="119" spans="3:60" ht="11.25" customHeight="1" x14ac:dyDescent="0.2">
      <c r="C119" s="485"/>
      <c r="D119" s="417"/>
      <c r="AE119" s="417"/>
      <c r="AV119" s="462" t="str">
        <f t="shared" si="19"/>
        <v/>
      </c>
      <c r="AW119" s="463" t="str">
        <f t="shared" si="20"/>
        <v/>
      </c>
      <c r="AX119" s="19" t="e">
        <f t="shared" si="21"/>
        <v>#N/A</v>
      </c>
      <c r="AY119" s="19" t="e">
        <f t="shared" si="22"/>
        <v>#N/A</v>
      </c>
      <c r="AZ119" s="19" t="str">
        <f t="shared" si="23"/>
        <v/>
      </c>
      <c r="BA119" s="19" t="e">
        <f>IF(AZ119="",NA(),COUNTIF(AZ119:$AZ$510,AZ119))</f>
        <v>#N/A</v>
      </c>
      <c r="BB119" s="19">
        <v>109</v>
      </c>
      <c r="BC119" s="19">
        <f t="shared" si="24"/>
        <v>4.3309647525991233</v>
      </c>
      <c r="BD119" s="19">
        <v>46</v>
      </c>
      <c r="BE119" s="19" t="e">
        <f t="shared" si="25"/>
        <v>#N/A</v>
      </c>
      <c r="BF119" s="19">
        <f t="shared" si="26"/>
        <v>1.3309647525991233</v>
      </c>
      <c r="BG119" s="19">
        <f t="shared" si="27"/>
        <v>3</v>
      </c>
      <c r="BH119" s="19">
        <f t="shared" si="28"/>
        <v>1.3309647525991233</v>
      </c>
    </row>
    <row r="120" spans="3:60" ht="11.25" customHeight="1" x14ac:dyDescent="0.2">
      <c r="C120" s="485"/>
      <c r="D120" s="417"/>
      <c r="AE120" s="417"/>
      <c r="AV120" s="462" t="str">
        <f t="shared" si="19"/>
        <v/>
      </c>
      <c r="AW120" s="463" t="str">
        <f t="shared" si="20"/>
        <v/>
      </c>
      <c r="AX120" s="19" t="e">
        <f t="shared" si="21"/>
        <v>#N/A</v>
      </c>
      <c r="AY120" s="19" t="e">
        <f t="shared" si="22"/>
        <v>#N/A</v>
      </c>
      <c r="AZ120" s="19" t="str">
        <f t="shared" si="23"/>
        <v/>
      </c>
      <c r="BA120" s="19" t="e">
        <f>IF(AZ120="",NA(),COUNTIF(AZ120:$AZ$510,AZ120))</f>
        <v>#N/A</v>
      </c>
      <c r="BB120" s="19">
        <v>110</v>
      </c>
      <c r="BC120" s="19">
        <f t="shared" si="24"/>
        <v>4.3259829814358195</v>
      </c>
      <c r="BD120" s="19">
        <v>45.5</v>
      </c>
      <c r="BE120" s="19" t="e">
        <f t="shared" si="25"/>
        <v>#N/A</v>
      </c>
      <c r="BF120" s="19">
        <f t="shared" si="26"/>
        <v>1.3259829814358195</v>
      </c>
      <c r="BG120" s="19">
        <f t="shared" si="27"/>
        <v>3</v>
      </c>
      <c r="BH120" s="19">
        <f t="shared" si="28"/>
        <v>1.3259829814358195</v>
      </c>
    </row>
    <row r="121" spans="3:60" ht="11.25" customHeight="1" x14ac:dyDescent="0.2">
      <c r="C121" s="485"/>
      <c r="D121" s="417"/>
      <c r="AE121" s="417"/>
      <c r="AV121" s="462" t="str">
        <f t="shared" si="19"/>
        <v/>
      </c>
      <c r="AW121" s="463" t="str">
        <f t="shared" si="20"/>
        <v/>
      </c>
      <c r="AX121" s="19" t="e">
        <f t="shared" si="21"/>
        <v>#N/A</v>
      </c>
      <c r="AY121" s="19" t="e">
        <f t="shared" si="22"/>
        <v>#N/A</v>
      </c>
      <c r="AZ121" s="19" t="str">
        <f t="shared" si="23"/>
        <v/>
      </c>
      <c r="BA121" s="19" t="e">
        <f>IF(AZ121="",NA(),COUNTIF(AZ121:$AZ$510,AZ121))</f>
        <v>#N/A</v>
      </c>
      <c r="BB121" s="19">
        <v>111</v>
      </c>
      <c r="BC121" s="19">
        <f t="shared" si="24"/>
        <v>4.3190398125491924</v>
      </c>
      <c r="BD121" s="19">
        <v>45</v>
      </c>
      <c r="BE121" s="19" t="e">
        <f t="shared" si="25"/>
        <v>#N/A</v>
      </c>
      <c r="BF121" s="19">
        <f t="shared" si="26"/>
        <v>1.3190398125491924</v>
      </c>
      <c r="BG121" s="19">
        <f t="shared" si="27"/>
        <v>3</v>
      </c>
      <c r="BH121" s="19">
        <f t="shared" si="28"/>
        <v>1.3190398125491924</v>
      </c>
    </row>
    <row r="122" spans="3:60" ht="11.25" customHeight="1" x14ac:dyDescent="0.2">
      <c r="C122" s="485"/>
      <c r="D122" s="417"/>
      <c r="AE122" s="417"/>
      <c r="AV122" s="462" t="str">
        <f t="shared" si="19"/>
        <v/>
      </c>
      <c r="AW122" s="463" t="str">
        <f t="shared" si="20"/>
        <v/>
      </c>
      <c r="AX122" s="19" t="e">
        <f t="shared" si="21"/>
        <v>#N/A</v>
      </c>
      <c r="AY122" s="19" t="e">
        <f t="shared" si="22"/>
        <v>#N/A</v>
      </c>
      <c r="AZ122" s="19" t="str">
        <f t="shared" si="23"/>
        <v/>
      </c>
      <c r="BA122" s="19" t="e">
        <f>IF(AZ122="",NA(),COUNTIF(AZ122:$AZ$510,AZ122))</f>
        <v>#N/A</v>
      </c>
      <c r="BB122" s="19">
        <v>112</v>
      </c>
      <c r="BC122" s="19">
        <f t="shared" si="24"/>
        <v>4.3101662756930601</v>
      </c>
      <c r="BD122" s="19">
        <v>44.5</v>
      </c>
      <c r="BE122" s="19" t="e">
        <f t="shared" si="25"/>
        <v>#N/A</v>
      </c>
      <c r="BF122" s="19">
        <f t="shared" si="26"/>
        <v>1.3101662756930601</v>
      </c>
      <c r="BG122" s="19">
        <f t="shared" si="27"/>
        <v>3</v>
      </c>
      <c r="BH122" s="19">
        <f t="shared" si="28"/>
        <v>1.3101662756930601</v>
      </c>
    </row>
    <row r="123" spans="3:60" ht="11.25" customHeight="1" x14ac:dyDescent="0.2">
      <c r="C123" s="485"/>
      <c r="D123" s="417"/>
      <c r="AE123" s="417"/>
      <c r="AV123" s="462" t="str">
        <f t="shared" si="19"/>
        <v/>
      </c>
      <c r="AW123" s="463" t="str">
        <f t="shared" si="20"/>
        <v/>
      </c>
      <c r="AX123" s="19" t="e">
        <f t="shared" si="21"/>
        <v>#N/A</v>
      </c>
      <c r="AY123" s="19" t="e">
        <f t="shared" si="22"/>
        <v>#N/A</v>
      </c>
      <c r="AZ123" s="19" t="str">
        <f t="shared" si="23"/>
        <v/>
      </c>
      <c r="BA123" s="19" t="e">
        <f>IF(AZ123="",NA(),COUNTIF(AZ123:$AZ$510,AZ123))</f>
        <v>#N/A</v>
      </c>
      <c r="BB123" s="19">
        <v>113</v>
      </c>
      <c r="BC123" s="19">
        <f t="shared" si="24"/>
        <v>4.2994018681539954</v>
      </c>
      <c r="BD123" s="19">
        <v>44</v>
      </c>
      <c r="BE123" s="19" t="e">
        <f t="shared" si="25"/>
        <v>#N/A</v>
      </c>
      <c r="BF123" s="19">
        <f t="shared" si="26"/>
        <v>1.2994018681539954</v>
      </c>
      <c r="BG123" s="19">
        <f t="shared" si="27"/>
        <v>3</v>
      </c>
      <c r="BH123" s="19">
        <f t="shared" si="28"/>
        <v>1.2994018681539954</v>
      </c>
    </row>
    <row r="124" spans="3:60" ht="11.25" customHeight="1" x14ac:dyDescent="0.2">
      <c r="C124" s="485"/>
      <c r="D124" s="417"/>
      <c r="AE124" s="417"/>
      <c r="AV124" s="462" t="str">
        <f t="shared" si="19"/>
        <v/>
      </c>
      <c r="AW124" s="463" t="str">
        <f t="shared" si="20"/>
        <v/>
      </c>
      <c r="AX124" s="19" t="e">
        <f t="shared" si="21"/>
        <v>#N/A</v>
      </c>
      <c r="AY124" s="19" t="e">
        <f t="shared" si="22"/>
        <v>#N/A</v>
      </c>
      <c r="AZ124" s="19" t="str">
        <f t="shared" si="23"/>
        <v/>
      </c>
      <c r="BA124" s="19" t="e">
        <f>IF(AZ124="",NA(),COUNTIF(AZ124:$AZ$510,AZ124))</f>
        <v>#N/A</v>
      </c>
      <c r="BB124" s="19">
        <v>114</v>
      </c>
      <c r="BC124" s="19">
        <f t="shared" si="24"/>
        <v>4.2867942618957251</v>
      </c>
      <c r="BD124" s="19">
        <v>43.5</v>
      </c>
      <c r="BE124" s="19" t="e">
        <f t="shared" si="25"/>
        <v>#N/A</v>
      </c>
      <c r="BF124" s="19">
        <f t="shared" si="26"/>
        <v>1.2867942618957251</v>
      </c>
      <c r="BG124" s="19">
        <f t="shared" si="27"/>
        <v>3</v>
      </c>
      <c r="BH124" s="19">
        <f t="shared" si="28"/>
        <v>1.2867942618957251</v>
      </c>
    </row>
    <row r="125" spans="3:60" ht="11.25" customHeight="1" x14ac:dyDescent="0.2">
      <c r="C125" s="485"/>
      <c r="D125" s="417"/>
      <c r="AE125" s="417"/>
      <c r="AV125" s="462" t="str">
        <f t="shared" si="19"/>
        <v/>
      </c>
      <c r="AW125" s="463" t="str">
        <f t="shared" si="20"/>
        <v/>
      </c>
      <c r="AX125" s="19" t="e">
        <f t="shared" si="21"/>
        <v>#N/A</v>
      </c>
      <c r="AY125" s="19" t="e">
        <f t="shared" si="22"/>
        <v>#N/A</v>
      </c>
      <c r="AZ125" s="19" t="str">
        <f t="shared" si="23"/>
        <v/>
      </c>
      <c r="BA125" s="19" t="e">
        <f>IF(AZ125="",NA(),COUNTIF(AZ125:$AZ$510,AZ125))</f>
        <v>#N/A</v>
      </c>
      <c r="BB125" s="19">
        <v>115</v>
      </c>
      <c r="BC125" s="19">
        <f t="shared" si="24"/>
        <v>4.2723989518933765</v>
      </c>
      <c r="BD125" s="19">
        <v>43</v>
      </c>
      <c r="BE125" s="19" t="e">
        <f t="shared" si="25"/>
        <v>#N/A</v>
      </c>
      <c r="BF125" s="19">
        <f t="shared" si="26"/>
        <v>1.2723989518933765</v>
      </c>
      <c r="BG125" s="19">
        <f t="shared" si="27"/>
        <v>3</v>
      </c>
      <c r="BH125" s="19">
        <f t="shared" si="28"/>
        <v>1.2723989518933765</v>
      </c>
    </row>
    <row r="126" spans="3:60" ht="11.25" customHeight="1" x14ac:dyDescent="0.2">
      <c r="C126" s="485"/>
      <c r="D126" s="417"/>
      <c r="AE126" s="417"/>
      <c r="AV126" s="462" t="str">
        <f t="shared" si="19"/>
        <v/>
      </c>
      <c r="AW126" s="463" t="str">
        <f t="shared" si="20"/>
        <v/>
      </c>
      <c r="AX126" s="19" t="e">
        <f t="shared" si="21"/>
        <v>#N/A</v>
      </c>
      <c r="AY126" s="19" t="e">
        <f t="shared" si="22"/>
        <v>#N/A</v>
      </c>
      <c r="AZ126" s="19" t="str">
        <f t="shared" si="23"/>
        <v/>
      </c>
      <c r="BA126" s="19" t="e">
        <f>IF(AZ126="",NA(),COUNTIF(AZ126:$AZ$510,AZ126))</f>
        <v>#N/A</v>
      </c>
      <c r="BB126" s="19">
        <v>116</v>
      </c>
      <c r="BC126" s="19">
        <f t="shared" si="24"/>
        <v>4.2562788492872734</v>
      </c>
      <c r="BD126" s="19">
        <v>42.5</v>
      </c>
      <c r="BE126" s="19" t="e">
        <f t="shared" si="25"/>
        <v>#N/A</v>
      </c>
      <c r="BF126" s="19">
        <f t="shared" si="26"/>
        <v>1.2562788492872734</v>
      </c>
      <c r="BG126" s="19">
        <f t="shared" si="27"/>
        <v>3</v>
      </c>
      <c r="BH126" s="19">
        <f t="shared" si="28"/>
        <v>1.2562788492872734</v>
      </c>
    </row>
    <row r="127" spans="3:60" ht="11.25" customHeight="1" x14ac:dyDescent="0.2">
      <c r="C127" s="485"/>
      <c r="D127" s="417"/>
      <c r="AE127" s="417"/>
      <c r="AV127" s="462" t="str">
        <f t="shared" si="19"/>
        <v/>
      </c>
      <c r="AW127" s="463" t="str">
        <f t="shared" si="20"/>
        <v/>
      </c>
      <c r="AX127" s="19" t="e">
        <f t="shared" si="21"/>
        <v>#N/A</v>
      </c>
      <c r="AY127" s="19" t="e">
        <f t="shared" si="22"/>
        <v>#N/A</v>
      </c>
      <c r="AZ127" s="19" t="str">
        <f t="shared" si="23"/>
        <v/>
      </c>
      <c r="BA127" s="19" t="e">
        <f>IF(AZ127="",NA(),COUNTIF(AZ127:$AZ$510,AZ127))</f>
        <v>#N/A</v>
      </c>
      <c r="BB127" s="19">
        <v>117</v>
      </c>
      <c r="BC127" s="19">
        <f t="shared" si="24"/>
        <v>4.2385038235292019</v>
      </c>
      <c r="BD127" s="19">
        <v>42</v>
      </c>
      <c r="BE127" s="19" t="e">
        <f t="shared" si="25"/>
        <v>#N/A</v>
      </c>
      <c r="BF127" s="19">
        <f t="shared" si="26"/>
        <v>1.2385038235292019</v>
      </c>
      <c r="BG127" s="19">
        <f t="shared" si="27"/>
        <v>3</v>
      </c>
      <c r="BH127" s="19">
        <f t="shared" si="28"/>
        <v>1.2385038235292019</v>
      </c>
    </row>
    <row r="128" spans="3:60" ht="11.25" customHeight="1" x14ac:dyDescent="0.2">
      <c r="C128" s="485"/>
      <c r="D128" s="417"/>
      <c r="AE128" s="417"/>
      <c r="AV128" s="462" t="str">
        <f t="shared" si="19"/>
        <v/>
      </c>
      <c r="AW128" s="463" t="str">
        <f t="shared" si="20"/>
        <v/>
      </c>
      <c r="AX128" s="19" t="e">
        <f t="shared" si="21"/>
        <v>#N/A</v>
      </c>
      <c r="AY128" s="19" t="e">
        <f t="shared" si="22"/>
        <v>#N/A</v>
      </c>
      <c r="AZ128" s="19" t="str">
        <f t="shared" si="23"/>
        <v/>
      </c>
      <c r="BA128" s="19" t="e">
        <f>IF(AZ128="",NA(),COUNTIF(AZ128:$AZ$510,AZ128))</f>
        <v>#N/A</v>
      </c>
      <c r="BB128" s="19">
        <v>118</v>
      </c>
      <c r="BC128" s="19">
        <f t="shared" si="24"/>
        <v>4.2191501981822945</v>
      </c>
      <c r="BD128" s="19">
        <v>41.5</v>
      </c>
      <c r="BE128" s="19" t="e">
        <f t="shared" si="25"/>
        <v>#N/A</v>
      </c>
      <c r="BF128" s="19">
        <f t="shared" si="26"/>
        <v>1.2191501981822945</v>
      </c>
      <c r="BG128" s="19">
        <f t="shared" si="27"/>
        <v>3</v>
      </c>
      <c r="BH128" s="19">
        <f t="shared" si="28"/>
        <v>1.2191501981822945</v>
      </c>
    </row>
    <row r="129" spans="3:60" ht="11.25" customHeight="1" x14ac:dyDescent="0.2">
      <c r="C129" s="485"/>
      <c r="D129" s="417"/>
      <c r="AE129" s="417"/>
      <c r="AV129" s="462" t="str">
        <f t="shared" si="19"/>
        <v/>
      </c>
      <c r="AW129" s="463" t="str">
        <f t="shared" si="20"/>
        <v/>
      </c>
      <c r="AX129" s="19" t="e">
        <f t="shared" si="21"/>
        <v>#N/A</v>
      </c>
      <c r="AY129" s="19" t="e">
        <f t="shared" si="22"/>
        <v>#N/A</v>
      </c>
      <c r="AZ129" s="19" t="str">
        <f t="shared" si="23"/>
        <v/>
      </c>
      <c r="BA129" s="19" t="e">
        <f>IF(AZ129="",NA(),COUNTIF(AZ129:$AZ$510,AZ129))</f>
        <v>#N/A</v>
      </c>
      <c r="BB129" s="19">
        <v>119</v>
      </c>
      <c r="BC129" s="19">
        <f t="shared" si="24"/>
        <v>4.198300205462953</v>
      </c>
      <c r="BD129" s="19">
        <v>41</v>
      </c>
      <c r="BE129" s="19" t="e">
        <f t="shared" si="25"/>
        <v>#N/A</v>
      </c>
      <c r="BF129" s="19">
        <f t="shared" si="26"/>
        <v>1.198300205462953</v>
      </c>
      <c r="BG129" s="19">
        <f t="shared" si="27"/>
        <v>3</v>
      </c>
      <c r="BH129" s="19">
        <f t="shared" si="28"/>
        <v>1.198300205462953</v>
      </c>
    </row>
    <row r="130" spans="3:60" ht="11.25" customHeight="1" x14ac:dyDescent="0.2">
      <c r="C130" s="485"/>
      <c r="D130" s="417"/>
      <c r="AE130" s="417"/>
      <c r="AV130" s="462" t="str">
        <f t="shared" si="19"/>
        <v/>
      </c>
      <c r="AW130" s="463" t="str">
        <f t="shared" si="20"/>
        <v/>
      </c>
      <c r="AX130" s="19" t="e">
        <f t="shared" si="21"/>
        <v>#N/A</v>
      </c>
      <c r="AY130" s="19" t="e">
        <f t="shared" si="22"/>
        <v>#N/A</v>
      </c>
      <c r="AZ130" s="19" t="str">
        <f t="shared" si="23"/>
        <v/>
      </c>
      <c r="BA130" s="19" t="e">
        <f>IF(AZ130="",NA(),COUNTIF(AZ130:$AZ$510,AZ130))</f>
        <v>#N/A</v>
      </c>
      <c r="BB130" s="19">
        <v>120</v>
      </c>
      <c r="BC130" s="19">
        <f t="shared" si="24"/>
        <v>4.1760414049745753</v>
      </c>
      <c r="BD130" s="19">
        <v>40.5</v>
      </c>
      <c r="BE130" s="19" t="e">
        <f t="shared" si="25"/>
        <v>#N/A</v>
      </c>
      <c r="BF130" s="19">
        <f t="shared" si="26"/>
        <v>1.1760414049745753</v>
      </c>
      <c r="BG130" s="19">
        <f t="shared" si="27"/>
        <v>3</v>
      </c>
      <c r="BH130" s="19">
        <f t="shared" si="28"/>
        <v>1.1760414049745753</v>
      </c>
    </row>
    <row r="131" spans="3:60" ht="11.25" customHeight="1" x14ac:dyDescent="0.2">
      <c r="C131" s="485"/>
      <c r="D131" s="417"/>
      <c r="AE131" s="417"/>
      <c r="AV131" s="462" t="str">
        <f t="shared" si="19"/>
        <v/>
      </c>
      <c r="AW131" s="463" t="str">
        <f t="shared" si="20"/>
        <v/>
      </c>
      <c r="AX131" s="19" t="e">
        <f t="shared" si="21"/>
        <v>#N/A</v>
      </c>
      <c r="AY131" s="19" t="e">
        <f t="shared" si="22"/>
        <v>#N/A</v>
      </c>
      <c r="AZ131" s="19" t="str">
        <f t="shared" si="23"/>
        <v/>
      </c>
      <c r="BA131" s="19" t="e">
        <f>IF(AZ131="",NA(),COUNTIF(AZ131:$AZ$510,AZ131))</f>
        <v>#N/A</v>
      </c>
      <c r="BB131" s="19">
        <v>121</v>
      </c>
      <c r="BC131" s="19">
        <f t="shared" si="24"/>
        <v>4.1524660723742315</v>
      </c>
      <c r="BD131" s="19">
        <v>40</v>
      </c>
      <c r="BE131" s="19" t="e">
        <f t="shared" si="25"/>
        <v>#N/A</v>
      </c>
      <c r="BF131" s="19">
        <f t="shared" si="26"/>
        <v>1.1524660723742315</v>
      </c>
      <c r="BG131" s="19">
        <f t="shared" si="27"/>
        <v>3</v>
      </c>
      <c r="BH131" s="19">
        <f t="shared" si="28"/>
        <v>1.1524660723742315</v>
      </c>
    </row>
    <row r="132" spans="3:60" ht="11.25" customHeight="1" x14ac:dyDescent="0.2">
      <c r="C132" s="485"/>
      <c r="D132" s="417"/>
      <c r="AE132" s="417"/>
      <c r="AV132" s="462" t="str">
        <f t="shared" si="19"/>
        <v/>
      </c>
      <c r="AW132" s="463" t="str">
        <f t="shared" si="20"/>
        <v/>
      </c>
      <c r="AX132" s="19" t="e">
        <f t="shared" si="21"/>
        <v>#N/A</v>
      </c>
      <c r="AY132" s="19" t="e">
        <f t="shared" si="22"/>
        <v>#N/A</v>
      </c>
      <c r="AZ132" s="19" t="str">
        <f t="shared" si="23"/>
        <v/>
      </c>
      <c r="BA132" s="19" t="e">
        <f>IF(AZ132="",NA(),COUNTIF(AZ132:$AZ$510,AZ132))</f>
        <v>#N/A</v>
      </c>
      <c r="BB132" s="19">
        <v>122</v>
      </c>
      <c r="BC132" s="19">
        <f t="shared" si="24"/>
        <v>4.1276705639321278</v>
      </c>
      <c r="BD132" s="19">
        <v>39.5</v>
      </c>
      <c r="BE132" s="19" t="e">
        <f t="shared" si="25"/>
        <v>#N/A</v>
      </c>
      <c r="BF132" s="19">
        <f t="shared" si="26"/>
        <v>1.1276705639321278</v>
      </c>
      <c r="BG132" s="19">
        <f t="shared" si="27"/>
        <v>3</v>
      </c>
      <c r="BH132" s="19">
        <f t="shared" si="28"/>
        <v>1.1276705639321278</v>
      </c>
    </row>
    <row r="133" spans="3:60" ht="11.25" customHeight="1" x14ac:dyDescent="0.2">
      <c r="C133" s="485"/>
      <c r="D133" s="417"/>
      <c r="AE133" s="417"/>
      <c r="AV133" s="462" t="str">
        <f t="shared" si="19"/>
        <v/>
      </c>
      <c r="AW133" s="463" t="str">
        <f t="shared" si="20"/>
        <v/>
      </c>
      <c r="AX133" s="19" t="e">
        <f t="shared" si="21"/>
        <v>#N/A</v>
      </c>
      <c r="AY133" s="19" t="e">
        <f t="shared" si="22"/>
        <v>#N/A</v>
      </c>
      <c r="AZ133" s="19" t="str">
        <f t="shared" si="23"/>
        <v/>
      </c>
      <c r="BA133" s="19" t="e">
        <f>IF(AZ133="",NA(),COUNTIF(AZ133:$AZ$510,AZ133))</f>
        <v>#N/A</v>
      </c>
      <c r="BB133" s="19">
        <v>123</v>
      </c>
      <c r="BC133" s="19">
        <f t="shared" si="24"/>
        <v>4.1017546630878483</v>
      </c>
      <c r="BD133" s="19">
        <v>39</v>
      </c>
      <c r="BE133" s="19" t="e">
        <f t="shared" si="25"/>
        <v>#N/A</v>
      </c>
      <c r="BF133" s="19">
        <f t="shared" si="26"/>
        <v>1.1017546630878483</v>
      </c>
      <c r="BG133" s="19">
        <f t="shared" si="27"/>
        <v>3</v>
      </c>
      <c r="BH133" s="19">
        <f t="shared" si="28"/>
        <v>1.1017546630878483</v>
      </c>
    </row>
    <row r="134" spans="3:60" ht="11.25" customHeight="1" x14ac:dyDescent="0.2">
      <c r="C134" s="485"/>
      <c r="D134" s="417"/>
      <c r="AE134" s="417"/>
      <c r="AV134" s="462" t="str">
        <f t="shared" si="19"/>
        <v/>
      </c>
      <c r="AW134" s="463" t="str">
        <f t="shared" si="20"/>
        <v/>
      </c>
      <c r="AX134" s="19" t="e">
        <f t="shared" si="21"/>
        <v>#N/A</v>
      </c>
      <c r="AY134" s="19" t="e">
        <f t="shared" si="22"/>
        <v>#N/A</v>
      </c>
      <c r="AZ134" s="19" t="str">
        <f t="shared" si="23"/>
        <v/>
      </c>
      <c r="BA134" s="19" t="e">
        <f>IF(AZ134="",NA(),COUNTIF(AZ134:$AZ$510,AZ134))</f>
        <v>#N/A</v>
      </c>
      <c r="BB134" s="19">
        <v>124</v>
      </c>
      <c r="BC134" s="19">
        <f t="shared" si="24"/>
        <v>4.0748209151764545</v>
      </c>
      <c r="BD134" s="19">
        <v>38.5</v>
      </c>
      <c r="BE134" s="19" t="e">
        <f t="shared" si="25"/>
        <v>#N/A</v>
      </c>
      <c r="BF134" s="19">
        <f t="shared" si="26"/>
        <v>1.0748209151764545</v>
      </c>
      <c r="BG134" s="19">
        <f t="shared" si="27"/>
        <v>3</v>
      </c>
      <c r="BH134" s="19">
        <f t="shared" si="28"/>
        <v>1.0748209151764545</v>
      </c>
    </row>
    <row r="135" spans="3:60" ht="11.25" customHeight="1" x14ac:dyDescent="0.2">
      <c r="C135" s="485"/>
      <c r="D135" s="417"/>
      <c r="AE135" s="417"/>
      <c r="AV135" s="462" t="str">
        <f t="shared" si="19"/>
        <v/>
      </c>
      <c r="AW135" s="463" t="str">
        <f t="shared" si="20"/>
        <v/>
      </c>
      <c r="AX135" s="19" t="e">
        <f t="shared" si="21"/>
        <v>#N/A</v>
      </c>
      <c r="AY135" s="19" t="e">
        <f t="shared" si="22"/>
        <v>#N/A</v>
      </c>
      <c r="AZ135" s="19" t="str">
        <f t="shared" si="23"/>
        <v/>
      </c>
      <c r="BA135" s="19" t="e">
        <f>IF(AZ135="",NA(),COUNTIF(AZ135:$AZ$510,AZ135))</f>
        <v>#N/A</v>
      </c>
      <c r="BB135" s="19">
        <v>125</v>
      </c>
      <c r="BC135" s="19">
        <f t="shared" si="24"/>
        <v>4.0469739564920229</v>
      </c>
      <c r="BD135" s="19">
        <v>38</v>
      </c>
      <c r="BE135" s="19" t="e">
        <f t="shared" si="25"/>
        <v>#N/A</v>
      </c>
      <c r="BF135" s="19">
        <f t="shared" si="26"/>
        <v>1.0469739564920229</v>
      </c>
      <c r="BG135" s="19">
        <f t="shared" si="27"/>
        <v>3</v>
      </c>
      <c r="BH135" s="19">
        <f t="shared" si="28"/>
        <v>1.0469739564920229</v>
      </c>
    </row>
    <row r="136" spans="3:60" ht="11.25" customHeight="1" x14ac:dyDescent="0.2">
      <c r="C136" s="485"/>
      <c r="D136" s="417"/>
      <c r="AE136" s="417"/>
      <c r="AV136" s="462" t="str">
        <f t="shared" si="19"/>
        <v/>
      </c>
      <c r="AW136" s="463" t="str">
        <f t="shared" si="20"/>
        <v/>
      </c>
      <c r="AX136" s="19" t="e">
        <f t="shared" si="21"/>
        <v>#N/A</v>
      </c>
      <c r="AY136" s="19" t="e">
        <f t="shared" si="22"/>
        <v>#N/A</v>
      </c>
      <c r="AZ136" s="19" t="str">
        <f t="shared" si="23"/>
        <v/>
      </c>
      <c r="BA136" s="19" t="e">
        <f>IF(AZ136="",NA(),COUNTIF(AZ136:$AZ$510,AZ136))</f>
        <v>#N/A</v>
      </c>
      <c r="BB136" s="19">
        <v>126</v>
      </c>
      <c r="BC136" s="19">
        <f t="shared" si="24"/>
        <v>4.0183198437778191</v>
      </c>
      <c r="BD136" s="19">
        <v>37.5</v>
      </c>
      <c r="BE136" s="19" t="e">
        <f t="shared" si="25"/>
        <v>#N/A</v>
      </c>
      <c r="BF136" s="19">
        <f t="shared" si="26"/>
        <v>1.0183198437778191</v>
      </c>
      <c r="BG136" s="19">
        <f t="shared" si="27"/>
        <v>3</v>
      </c>
      <c r="BH136" s="19">
        <f t="shared" si="28"/>
        <v>1.0183198437778191</v>
      </c>
    </row>
    <row r="137" spans="3:60" ht="11.25" customHeight="1" x14ac:dyDescent="0.2">
      <c r="C137" s="485"/>
      <c r="D137" s="417"/>
      <c r="AE137" s="417"/>
      <c r="AV137" s="462" t="str">
        <f t="shared" ref="AV137:AV200" si="29">IF(ISBLANK(D137),"",IF($AP$17,$AP$20*$AP$21,D137*$AP$19))</f>
        <v/>
      </c>
      <c r="AW137" s="463" t="str">
        <f t="shared" ref="AW137:AW200" si="30">IF(ISBLANK(C137),"",(NORMDIST(C137+AV137,$I$6,$AP$21,TRUE)-NORMDIST(C137-AV137,$I$6,$AP$21,TRUE))*100)</f>
        <v/>
      </c>
      <c r="AX137" s="19" t="e">
        <f t="shared" si="21"/>
        <v>#N/A</v>
      </c>
      <c r="AY137" s="19" t="e">
        <f t="shared" si="22"/>
        <v>#N/A</v>
      </c>
      <c r="AZ137" s="19" t="str">
        <f t="shared" si="23"/>
        <v/>
      </c>
      <c r="BA137" s="19" t="e">
        <f>IF(AZ137="",NA(),COUNTIF(AZ137:$AZ$510,AZ137))</f>
        <v>#N/A</v>
      </c>
      <c r="BB137" s="19">
        <v>127</v>
      </c>
      <c r="BC137" s="19">
        <f t="shared" si="24"/>
        <v>3.9889653900835693</v>
      </c>
      <c r="BD137" s="19">
        <v>37</v>
      </c>
      <c r="BE137" s="19" t="e">
        <f t="shared" si="25"/>
        <v>#N/A</v>
      </c>
      <c r="BF137" s="19">
        <f t="shared" si="26"/>
        <v>0.98896539008356932</v>
      </c>
      <c r="BG137" s="19">
        <f t="shared" si="27"/>
        <v>3</v>
      </c>
      <c r="BH137" s="19">
        <f t="shared" si="28"/>
        <v>0.98896539008356932</v>
      </c>
    </row>
    <row r="138" spans="3:60" ht="11.25" customHeight="1" x14ac:dyDescent="0.2">
      <c r="C138" s="485"/>
      <c r="D138" s="417"/>
      <c r="AE138" s="417"/>
      <c r="AV138" s="462" t="str">
        <f t="shared" si="29"/>
        <v/>
      </c>
      <c r="AW138" s="463" t="str">
        <f t="shared" si="30"/>
        <v/>
      </c>
      <c r="AX138" s="19" t="e">
        <f t="shared" si="21"/>
        <v>#N/A</v>
      </c>
      <c r="AY138" s="19" t="e">
        <f t="shared" si="22"/>
        <v>#N/A</v>
      </c>
      <c r="AZ138" s="19" t="str">
        <f t="shared" si="23"/>
        <v/>
      </c>
      <c r="BA138" s="19" t="e">
        <f>IF(AZ138="",NA(),COUNTIF(AZ138:$AZ$510,AZ138))</f>
        <v>#N/A</v>
      </c>
      <c r="BB138" s="19">
        <v>128</v>
      </c>
      <c r="BC138" s="19">
        <f t="shared" si="24"/>
        <v>3.9590175127150022</v>
      </c>
      <c r="BD138" s="19">
        <v>36.5</v>
      </c>
      <c r="BE138" s="19" t="e">
        <f t="shared" si="25"/>
        <v>#N/A</v>
      </c>
      <c r="BF138" s="19">
        <f t="shared" si="26"/>
        <v>0.95901751271500224</v>
      </c>
      <c r="BG138" s="19">
        <f t="shared" si="27"/>
        <v>3</v>
      </c>
      <c r="BH138" s="19">
        <f t="shared" si="28"/>
        <v>0.95901751271500224</v>
      </c>
    </row>
    <row r="139" spans="3:60" ht="11.25" customHeight="1" x14ac:dyDescent="0.2">
      <c r="C139" s="485"/>
      <c r="D139" s="417"/>
      <c r="AE139" s="417"/>
      <c r="AV139" s="462" t="str">
        <f t="shared" si="29"/>
        <v/>
      </c>
      <c r="AW139" s="463" t="str">
        <f t="shared" si="30"/>
        <v/>
      </c>
      <c r="AX139" s="19" t="e">
        <f t="shared" ref="AX139:AX202" si="31">IF(OR(NOT(Repchange),AZ139=""),NA(),AZ139*$AO$12/100)</f>
        <v>#N/A</v>
      </c>
      <c r="AY139" s="19" t="e">
        <f t="shared" ref="AY139:AY202" si="32">$AO$11*(BA139-0.5)</f>
        <v>#N/A</v>
      </c>
      <c r="AZ139" s="19" t="str">
        <f t="shared" ref="AZ139:AZ202" si="33">IF(AW137="","",ROUND(AW137/$AO$12,0))</f>
        <v/>
      </c>
      <c r="BA139" s="19" t="e">
        <f>IF(AZ139="",NA(),COUNTIF(AZ139:$AZ$510,AZ139))</f>
        <v>#N/A</v>
      </c>
      <c r="BB139" s="19">
        <v>129</v>
      </c>
      <c r="BC139" s="19">
        <f t="shared" ref="BC139:BC202" si="34">IF(AND($AP$14,$AP$22),$AR$1+$BD$9*NORMDIST(BD139,$I$6,$AP$21,FALSE),NA())</f>
        <v>3.9285825987233949</v>
      </c>
      <c r="BD139" s="19">
        <v>36</v>
      </c>
      <c r="BE139" s="19" t="e">
        <f t="shared" ref="BE139:BE202" si="35">IF(AND($AP$18,$B$4,$AP$23),$AR$1,NA())</f>
        <v>#N/A</v>
      </c>
      <c r="BF139" s="19">
        <f t="shared" ref="BF139:BF202" si="36">IF(AND($AP$25&gt;=BD139,$AP$26&lt;=BD139),BC139-$AR$1,NA())</f>
        <v>0.92858259872339488</v>
      </c>
      <c r="BG139" s="19">
        <f t="shared" ref="BG139:BG202" si="37">IF(AND($AP$15,$AP$16),$AR$1,NA())</f>
        <v>3</v>
      </c>
      <c r="BH139" s="19">
        <f t="shared" ref="BH139:BH202" si="38">IF(AND($AT$3&gt;BD139,$AT$4&lt;=BD139),BC139-$AR$1,NA())</f>
        <v>0.92858259872339488</v>
      </c>
    </row>
    <row r="140" spans="3:60" ht="11.25" customHeight="1" x14ac:dyDescent="0.2">
      <c r="C140" s="485"/>
      <c r="D140" s="417"/>
      <c r="AE140" s="417"/>
      <c r="AV140" s="462" t="str">
        <f t="shared" si="29"/>
        <v/>
      </c>
      <c r="AW140" s="463" t="str">
        <f t="shared" si="30"/>
        <v/>
      </c>
      <c r="AX140" s="19" t="e">
        <f t="shared" si="31"/>
        <v>#N/A</v>
      </c>
      <c r="AY140" s="19" t="e">
        <f t="shared" si="32"/>
        <v>#N/A</v>
      </c>
      <c r="AZ140" s="19" t="str">
        <f t="shared" si="33"/>
        <v/>
      </c>
      <c r="BA140" s="19" t="e">
        <f>IF(AZ140="",NA(),COUNTIF(AZ140:$AZ$510,AZ140))</f>
        <v>#N/A</v>
      </c>
      <c r="BB140" s="19">
        <v>130</v>
      </c>
      <c r="BC140" s="19">
        <f t="shared" si="34"/>
        <v>3.8977658930486938</v>
      </c>
      <c r="BD140" s="19">
        <v>35.5</v>
      </c>
      <c r="BE140" s="19" t="e">
        <f t="shared" si="35"/>
        <v>#N/A</v>
      </c>
      <c r="BF140" s="19">
        <f t="shared" si="36"/>
        <v>0.89776589304869381</v>
      </c>
      <c r="BG140" s="19">
        <f t="shared" si="37"/>
        <v>3</v>
      </c>
      <c r="BH140" s="19">
        <f t="shared" si="38"/>
        <v>0.89776589304869381</v>
      </c>
    </row>
    <row r="141" spans="3:60" ht="11.25" customHeight="1" x14ac:dyDescent="0.2">
      <c r="C141" s="485"/>
      <c r="D141" s="417"/>
      <c r="AE141" s="417"/>
      <c r="AV141" s="462" t="str">
        <f t="shared" si="29"/>
        <v/>
      </c>
      <c r="AW141" s="463" t="str">
        <f t="shared" si="30"/>
        <v/>
      </c>
      <c r="AX141" s="19" t="e">
        <f t="shared" si="31"/>
        <v>#N/A</v>
      </c>
      <c r="AY141" s="19" t="e">
        <f t="shared" si="32"/>
        <v>#N/A</v>
      </c>
      <c r="AZ141" s="19" t="str">
        <f t="shared" si="33"/>
        <v/>
      </c>
      <c r="BA141" s="19" t="e">
        <f>IF(AZ141="",NA(),COUNTIF(AZ141:$AZ$510,AZ141))</f>
        <v>#N/A</v>
      </c>
      <c r="BB141" s="19">
        <v>131</v>
      </c>
      <c r="BC141" s="19">
        <f t="shared" si="34"/>
        <v>3.8666709140448954</v>
      </c>
      <c r="BD141" s="19">
        <v>35</v>
      </c>
      <c r="BE141" s="19" t="e">
        <f t="shared" si="35"/>
        <v>#N/A</v>
      </c>
      <c r="BF141" s="19">
        <f t="shared" si="36"/>
        <v>0.86667091404489538</v>
      </c>
      <c r="BG141" s="19">
        <f t="shared" si="37"/>
        <v>3</v>
      </c>
      <c r="BH141" s="19">
        <f t="shared" si="38"/>
        <v>0.86667091404489538</v>
      </c>
    </row>
    <row r="142" spans="3:60" ht="11.25" customHeight="1" x14ac:dyDescent="0.2">
      <c r="C142" s="485"/>
      <c r="D142" s="417"/>
      <c r="AE142" s="417"/>
      <c r="AV142" s="462" t="str">
        <f t="shared" si="29"/>
        <v/>
      </c>
      <c r="AW142" s="463" t="str">
        <f t="shared" si="30"/>
        <v/>
      </c>
      <c r="AX142" s="19" t="e">
        <f t="shared" si="31"/>
        <v>#N/A</v>
      </c>
      <c r="AY142" s="19" t="e">
        <f t="shared" si="32"/>
        <v>#N/A</v>
      </c>
      <c r="AZ142" s="19" t="str">
        <f t="shared" si="33"/>
        <v/>
      </c>
      <c r="BA142" s="19" t="e">
        <f>IF(AZ142="",NA(),COUNTIF(AZ142:$AZ$510,AZ142))</f>
        <v>#N/A</v>
      </c>
      <c r="BB142" s="19">
        <v>132</v>
      </c>
      <c r="BC142" s="19">
        <f t="shared" si="34"/>
        <v>3.8353989006873483</v>
      </c>
      <c r="BD142" s="19">
        <v>34.5</v>
      </c>
      <c r="BE142" s="19" t="e">
        <f t="shared" si="35"/>
        <v>#N/A</v>
      </c>
      <c r="BF142" s="19">
        <f t="shared" si="36"/>
        <v>0.83539890068734834</v>
      </c>
      <c r="BG142" s="19">
        <f t="shared" si="37"/>
        <v>3</v>
      </c>
      <c r="BH142" s="19">
        <f t="shared" si="38"/>
        <v>0.83539890068734834</v>
      </c>
    </row>
    <row r="143" spans="3:60" ht="11.25" customHeight="1" x14ac:dyDescent="0.2">
      <c r="C143" s="485"/>
      <c r="D143" s="417"/>
      <c r="AE143" s="417"/>
      <c r="AV143" s="462" t="str">
        <f t="shared" si="29"/>
        <v/>
      </c>
      <c r="AW143" s="463" t="str">
        <f t="shared" si="30"/>
        <v/>
      </c>
      <c r="AX143" s="19" t="e">
        <f t="shared" si="31"/>
        <v>#N/A</v>
      </c>
      <c r="AY143" s="19" t="e">
        <f t="shared" si="32"/>
        <v>#N/A</v>
      </c>
      <c r="AZ143" s="19" t="str">
        <f t="shared" si="33"/>
        <v/>
      </c>
      <c r="BA143" s="19" t="e">
        <f>IF(AZ143="",NA(),COUNTIF(AZ143:$AZ$510,AZ143))</f>
        <v>#N/A</v>
      </c>
      <c r="BB143" s="19">
        <v>133</v>
      </c>
      <c r="BC143" s="19">
        <f t="shared" si="34"/>
        <v>3.8040482952955648</v>
      </c>
      <c r="BD143" s="19">
        <v>34</v>
      </c>
      <c r="BE143" s="19" t="e">
        <f t="shared" si="35"/>
        <v>#N/A</v>
      </c>
      <c r="BF143" s="19">
        <f t="shared" si="36"/>
        <v>0.80404829529556476</v>
      </c>
      <c r="BG143" s="19">
        <f t="shared" si="37"/>
        <v>3</v>
      </c>
      <c r="BH143" s="19">
        <f t="shared" si="38"/>
        <v>0.80404829529556476</v>
      </c>
    </row>
    <row r="144" spans="3:60" ht="11.25" customHeight="1" x14ac:dyDescent="0.2">
      <c r="C144" s="485"/>
      <c r="D144" s="417"/>
      <c r="AE144" s="417"/>
      <c r="AV144" s="462" t="str">
        <f t="shared" si="29"/>
        <v/>
      </c>
      <c r="AW144" s="463" t="str">
        <f t="shared" si="30"/>
        <v/>
      </c>
      <c r="AX144" s="19" t="e">
        <f t="shared" si="31"/>
        <v>#N/A</v>
      </c>
      <c r="AY144" s="19" t="e">
        <f t="shared" si="32"/>
        <v>#N/A</v>
      </c>
      <c r="AZ144" s="19" t="str">
        <f t="shared" si="33"/>
        <v/>
      </c>
      <c r="BA144" s="19" t="e">
        <f>IF(AZ144="",NA(),COUNTIF(AZ144:$AZ$510,AZ144))</f>
        <v>#N/A</v>
      </c>
      <c r="BB144" s="19">
        <v>134</v>
      </c>
      <c r="BC144" s="19">
        <f t="shared" si="34"/>
        <v>3.7727142651093764</v>
      </c>
      <c r="BD144" s="19">
        <v>33.5</v>
      </c>
      <c r="BE144" s="19" t="e">
        <f t="shared" si="35"/>
        <v>#N/A</v>
      </c>
      <c r="BF144" s="19">
        <f t="shared" si="36"/>
        <v>0.77271426510937635</v>
      </c>
      <c r="BG144" s="19">
        <f t="shared" si="37"/>
        <v>3</v>
      </c>
      <c r="BH144" s="19">
        <f t="shared" si="38"/>
        <v>0.77271426510937635</v>
      </c>
    </row>
    <row r="145" spans="3:60" ht="11.25" customHeight="1" x14ac:dyDescent="0.2">
      <c r="C145" s="485"/>
      <c r="D145" s="417"/>
      <c r="AE145" s="417"/>
      <c r="AV145" s="462" t="str">
        <f t="shared" si="29"/>
        <v/>
      </c>
      <c r="AW145" s="463" t="str">
        <f t="shared" si="30"/>
        <v/>
      </c>
      <c r="AX145" s="19" t="e">
        <f t="shared" si="31"/>
        <v>#N/A</v>
      </c>
      <c r="AY145" s="19" t="e">
        <f t="shared" si="32"/>
        <v>#N/A</v>
      </c>
      <c r="AZ145" s="19" t="str">
        <f t="shared" si="33"/>
        <v/>
      </c>
      <c r="BA145" s="19" t="e">
        <f>IF(AZ145="",NA(),COUNTIF(AZ145:$AZ$510,AZ145))</f>
        <v>#N/A</v>
      </c>
      <c r="BB145" s="19">
        <v>135</v>
      </c>
      <c r="BC145" s="19">
        <f t="shared" si="34"/>
        <v>3.7414882655383614</v>
      </c>
      <c r="BD145" s="19">
        <v>33</v>
      </c>
      <c r="BE145" s="19" t="e">
        <f t="shared" si="35"/>
        <v>#N/A</v>
      </c>
      <c r="BF145" s="19">
        <f t="shared" si="36"/>
        <v>0.74148826553836145</v>
      </c>
      <c r="BG145" s="19">
        <f t="shared" si="37"/>
        <v>3</v>
      </c>
      <c r="BH145" s="19">
        <f t="shared" si="38"/>
        <v>0.74148826553836145</v>
      </c>
    </row>
    <row r="146" spans="3:60" ht="11.25" customHeight="1" x14ac:dyDescent="0.2">
      <c r="C146" s="485"/>
      <c r="D146" s="417"/>
      <c r="AE146" s="417"/>
      <c r="AV146" s="462" t="str">
        <f t="shared" si="29"/>
        <v/>
      </c>
      <c r="AW146" s="463" t="str">
        <f t="shared" si="30"/>
        <v/>
      </c>
      <c r="AX146" s="19" t="e">
        <f t="shared" si="31"/>
        <v>#N/A</v>
      </c>
      <c r="AY146" s="19" t="e">
        <f t="shared" si="32"/>
        <v>#N/A</v>
      </c>
      <c r="AZ146" s="19" t="str">
        <f t="shared" si="33"/>
        <v/>
      </c>
      <c r="BA146" s="19" t="e">
        <f>IF(AZ146="",NA(),COUNTIF(AZ146:$AZ$510,AZ146))</f>
        <v>#N/A</v>
      </c>
      <c r="BB146" s="19">
        <v>136</v>
      </c>
      <c r="BC146" s="19">
        <f t="shared" si="34"/>
        <v>3.7104576473721345</v>
      </c>
      <c r="BD146" s="19">
        <v>32.5</v>
      </c>
      <c r="BE146" s="19" t="e">
        <f t="shared" si="35"/>
        <v>#N/A</v>
      </c>
      <c r="BF146" s="19">
        <f t="shared" si="36"/>
        <v>0.71045764737213446</v>
      </c>
      <c r="BG146" s="19">
        <f t="shared" si="37"/>
        <v>3</v>
      </c>
      <c r="BH146" s="19">
        <f t="shared" si="38"/>
        <v>0.71045764737213446</v>
      </c>
    </row>
    <row r="147" spans="3:60" ht="11.25" customHeight="1" x14ac:dyDescent="0.2">
      <c r="C147" s="485"/>
      <c r="D147" s="417"/>
      <c r="AE147" s="417"/>
      <c r="AV147" s="462" t="str">
        <f t="shared" si="29"/>
        <v/>
      </c>
      <c r="AW147" s="463" t="str">
        <f t="shared" si="30"/>
        <v/>
      </c>
      <c r="AX147" s="19" t="e">
        <f t="shared" si="31"/>
        <v>#N/A</v>
      </c>
      <c r="AY147" s="19" t="e">
        <f t="shared" si="32"/>
        <v>#N/A</v>
      </c>
      <c r="AZ147" s="19" t="str">
        <f t="shared" si="33"/>
        <v/>
      </c>
      <c r="BA147" s="19" t="e">
        <f>IF(AZ147="",NA(),COUNTIF(AZ147:$AZ$510,AZ147))</f>
        <v>#N/A</v>
      </c>
      <c r="BB147" s="19">
        <v>137</v>
      </c>
      <c r="BC147" s="19">
        <f t="shared" si="34"/>
        <v>3.6797053096997687</v>
      </c>
      <c r="BD147" s="19">
        <v>32</v>
      </c>
      <c r="BE147" s="19" t="e">
        <f t="shared" si="35"/>
        <v>#N/A</v>
      </c>
      <c r="BF147" s="19">
        <f t="shared" si="36"/>
        <v>0.67970530969976872</v>
      </c>
      <c r="BG147" s="19">
        <f t="shared" si="37"/>
        <v>3</v>
      </c>
      <c r="BH147" s="19">
        <f t="shared" si="38"/>
        <v>0.67970530969976872</v>
      </c>
    </row>
    <row r="148" spans="3:60" ht="11.25" customHeight="1" x14ac:dyDescent="0.2">
      <c r="C148" s="485"/>
      <c r="D148" s="417"/>
      <c r="AE148" s="417"/>
      <c r="AV148" s="462" t="str">
        <f t="shared" si="29"/>
        <v/>
      </c>
      <c r="AW148" s="463" t="str">
        <f t="shared" si="30"/>
        <v/>
      </c>
      <c r="AX148" s="19" t="e">
        <f t="shared" si="31"/>
        <v>#N/A</v>
      </c>
      <c r="AY148" s="19" t="e">
        <f t="shared" si="32"/>
        <v>#N/A</v>
      </c>
      <c r="AZ148" s="19" t="str">
        <f t="shared" si="33"/>
        <v/>
      </c>
      <c r="BA148" s="19" t="e">
        <f>IF(AZ148="",NA(),COUNTIF(AZ148:$AZ$510,AZ148))</f>
        <v>#N/A</v>
      </c>
      <c r="BB148" s="19">
        <v>138</v>
      </c>
      <c r="BC148" s="19">
        <f t="shared" si="34"/>
        <v>3.6493093997478234</v>
      </c>
      <c r="BD148" s="19">
        <v>31.5</v>
      </c>
      <c r="BE148" s="19" t="e">
        <f t="shared" si="35"/>
        <v>#N/A</v>
      </c>
      <c r="BF148" s="19">
        <f t="shared" si="36"/>
        <v>0.64930939974782342</v>
      </c>
      <c r="BG148" s="19">
        <f t="shared" si="37"/>
        <v>3</v>
      </c>
      <c r="BH148" s="19">
        <f t="shared" si="38"/>
        <v>0.64930939974782342</v>
      </c>
    </row>
    <row r="149" spans="3:60" ht="11.25" customHeight="1" x14ac:dyDescent="0.2">
      <c r="C149" s="485"/>
      <c r="D149" s="417"/>
      <c r="AE149" s="417"/>
      <c r="AV149" s="462" t="str">
        <f t="shared" si="29"/>
        <v/>
      </c>
      <c r="AW149" s="463" t="str">
        <f t="shared" si="30"/>
        <v/>
      </c>
      <c r="AX149" s="19" t="e">
        <f t="shared" si="31"/>
        <v>#N/A</v>
      </c>
      <c r="AY149" s="19" t="e">
        <f t="shared" si="32"/>
        <v>#N/A</v>
      </c>
      <c r="AZ149" s="19" t="str">
        <f t="shared" si="33"/>
        <v/>
      </c>
      <c r="BA149" s="19" t="e">
        <f>IF(AZ149="",NA(),COUNTIF(AZ149:$AZ$510,AZ149))</f>
        <v>#N/A</v>
      </c>
      <c r="BB149" s="19">
        <v>139</v>
      </c>
      <c r="BC149" s="19">
        <f t="shared" si="34"/>
        <v>3.6193430603152046</v>
      </c>
      <c r="BD149" s="19">
        <v>31</v>
      </c>
      <c r="BE149" s="19" t="e">
        <f t="shared" si="35"/>
        <v>#N/A</v>
      </c>
      <c r="BF149" s="19">
        <f t="shared" si="36"/>
        <v>0.61934306031520459</v>
      </c>
      <c r="BG149" s="19">
        <f t="shared" si="37"/>
        <v>3</v>
      </c>
      <c r="BH149" s="19">
        <f t="shared" si="38"/>
        <v>0.61934306031520459</v>
      </c>
    </row>
    <row r="150" spans="3:60" ht="11.25" customHeight="1" x14ac:dyDescent="0.2">
      <c r="C150" s="485"/>
      <c r="D150" s="417"/>
      <c r="AE150" s="417"/>
      <c r="AV150" s="462" t="str">
        <f t="shared" si="29"/>
        <v/>
      </c>
      <c r="AW150" s="463" t="str">
        <f t="shared" si="30"/>
        <v/>
      </c>
      <c r="AX150" s="19" t="e">
        <f t="shared" si="31"/>
        <v>#N/A</v>
      </c>
      <c r="AY150" s="19" t="e">
        <f t="shared" si="32"/>
        <v>#N/A</v>
      </c>
      <c r="AZ150" s="19" t="str">
        <f t="shared" si="33"/>
        <v/>
      </c>
      <c r="BA150" s="19" t="e">
        <f>IF(AZ150="",NA(),COUNTIF(AZ150:$AZ$510,AZ150))</f>
        <v>#N/A</v>
      </c>
      <c r="BB150" s="19">
        <v>140</v>
      </c>
      <c r="BC150" s="19">
        <f t="shared" si="34"/>
        <v>3.5898742249660689</v>
      </c>
      <c r="BD150" s="19">
        <v>30.5</v>
      </c>
      <c r="BE150" s="19" t="e">
        <f t="shared" si="35"/>
        <v>#N/A</v>
      </c>
      <c r="BF150" s="19">
        <f t="shared" si="36"/>
        <v>0.58987422496606889</v>
      </c>
      <c r="BG150" s="19">
        <f t="shared" si="37"/>
        <v>3</v>
      </c>
      <c r="BH150" s="19">
        <f t="shared" si="38"/>
        <v>0.58987422496606889</v>
      </c>
    </row>
    <row r="151" spans="3:60" ht="11.25" customHeight="1" x14ac:dyDescent="0.2">
      <c r="C151" s="485"/>
      <c r="D151" s="417"/>
      <c r="AE151" s="417"/>
      <c r="AV151" s="462" t="str">
        <f t="shared" si="29"/>
        <v/>
      </c>
      <c r="AW151" s="463" t="str">
        <f t="shared" si="30"/>
        <v/>
      </c>
      <c r="AX151" s="19" t="e">
        <f t="shared" si="31"/>
        <v>#N/A</v>
      </c>
      <c r="AY151" s="19" t="e">
        <f t="shared" si="32"/>
        <v>#N/A</v>
      </c>
      <c r="AZ151" s="19" t="str">
        <f t="shared" si="33"/>
        <v/>
      </c>
      <c r="BA151" s="19" t="e">
        <f>IF(AZ151="",NA(),COUNTIF(AZ151:$AZ$510,AZ151))</f>
        <v>#N/A</v>
      </c>
      <c r="BB151" s="19">
        <v>141</v>
      </c>
      <c r="BC151" s="19">
        <f t="shared" si="34"/>
        <v>3.5609654606454852</v>
      </c>
      <c r="BD151" s="19">
        <v>30</v>
      </c>
      <c r="BE151" s="19" t="e">
        <f t="shared" si="35"/>
        <v>#N/A</v>
      </c>
      <c r="BF151" s="19">
        <f t="shared" si="36"/>
        <v>0.56096546064548525</v>
      </c>
      <c r="BG151" s="19">
        <f t="shared" si="37"/>
        <v>3</v>
      </c>
      <c r="BH151" s="19">
        <f t="shared" si="38"/>
        <v>0.56096546064548525</v>
      </c>
    </row>
    <row r="152" spans="3:60" ht="11.25" customHeight="1" x14ac:dyDescent="0.2">
      <c r="C152" s="485"/>
      <c r="D152" s="417"/>
      <c r="AE152" s="417"/>
      <c r="AV152" s="462" t="str">
        <f t="shared" si="29"/>
        <v/>
      </c>
      <c r="AW152" s="463" t="str">
        <f t="shared" si="30"/>
        <v/>
      </c>
      <c r="AX152" s="19" t="e">
        <f t="shared" si="31"/>
        <v>#N/A</v>
      </c>
      <c r="AY152" s="19" t="e">
        <f t="shared" si="32"/>
        <v>#N/A</v>
      </c>
      <c r="AZ152" s="19" t="str">
        <f t="shared" si="33"/>
        <v/>
      </c>
      <c r="BA152" s="19" t="e">
        <f>IF(AZ152="",NA(),COUNTIF(AZ152:$AZ$510,AZ152))</f>
        <v>#N/A</v>
      </c>
      <c r="BB152" s="19">
        <v>142</v>
      </c>
      <c r="BC152" s="19">
        <f t="shared" si="34"/>
        <v>3.532673856912135</v>
      </c>
      <c r="BD152" s="19">
        <v>29.5</v>
      </c>
      <c r="BE152" s="19" t="e">
        <f t="shared" si="35"/>
        <v>#N/A</v>
      </c>
      <c r="BF152" s="19">
        <f t="shared" si="36"/>
        <v>0.53267385691213498</v>
      </c>
      <c r="BG152" s="19">
        <f t="shared" si="37"/>
        <v>3</v>
      </c>
      <c r="BH152" s="19">
        <f t="shared" si="38"/>
        <v>0.53267385691213498</v>
      </c>
    </row>
    <row r="153" spans="3:60" ht="11.25" customHeight="1" x14ac:dyDescent="0.2">
      <c r="C153" s="485"/>
      <c r="D153" s="417"/>
      <c r="AE153" s="417"/>
      <c r="AV153" s="462" t="str">
        <f t="shared" si="29"/>
        <v/>
      </c>
      <c r="AW153" s="463" t="str">
        <f t="shared" si="30"/>
        <v/>
      </c>
      <c r="AX153" s="19" t="e">
        <f t="shared" si="31"/>
        <v>#N/A</v>
      </c>
      <c r="AY153" s="19" t="e">
        <f t="shared" si="32"/>
        <v>#N/A</v>
      </c>
      <c r="AZ153" s="19" t="str">
        <f t="shared" si="33"/>
        <v/>
      </c>
      <c r="BA153" s="19" t="e">
        <f>IF(AZ153="",NA(),COUNTIF(AZ153:$AZ$510,AZ153))</f>
        <v>#N/A</v>
      </c>
      <c r="BB153" s="19">
        <v>143</v>
      </c>
      <c r="BC153" s="19">
        <f t="shared" si="34"/>
        <v>3.5050509605430311</v>
      </c>
      <c r="BD153" s="19">
        <v>29</v>
      </c>
      <c r="BE153" s="19" t="e">
        <f t="shared" si="35"/>
        <v>#N/A</v>
      </c>
      <c r="BF153" s="19">
        <f t="shared" si="36"/>
        <v>0.50505096054303111</v>
      </c>
      <c r="BG153" s="19">
        <f t="shared" si="37"/>
        <v>3</v>
      </c>
      <c r="BH153" s="19">
        <f t="shared" si="38"/>
        <v>0.50505096054303111</v>
      </c>
    </row>
    <row r="154" spans="3:60" ht="11.25" customHeight="1" x14ac:dyDescent="0.2">
      <c r="C154" s="485"/>
      <c r="D154" s="417"/>
      <c r="AE154" s="417"/>
      <c r="AV154" s="462" t="str">
        <f t="shared" si="29"/>
        <v/>
      </c>
      <c r="AW154" s="463" t="str">
        <f t="shared" si="30"/>
        <v/>
      </c>
      <c r="AX154" s="19" t="e">
        <f t="shared" si="31"/>
        <v>#N/A</v>
      </c>
      <c r="AY154" s="19" t="e">
        <f t="shared" si="32"/>
        <v>#N/A</v>
      </c>
      <c r="AZ154" s="19" t="str">
        <f t="shared" si="33"/>
        <v/>
      </c>
      <c r="BA154" s="19" t="e">
        <f>IF(AZ154="",NA(),COUNTIF(AZ154:$AZ$510,AZ154))</f>
        <v>#N/A</v>
      </c>
      <c r="BB154" s="19">
        <v>144</v>
      </c>
      <c r="BC154" s="19">
        <f t="shared" si="34"/>
        <v>3.4781427538613694</v>
      </c>
      <c r="BD154" s="19">
        <v>28.5</v>
      </c>
      <c r="BE154" s="19" t="e">
        <f t="shared" si="35"/>
        <v>#N/A</v>
      </c>
      <c r="BF154" s="19">
        <f t="shared" si="36"/>
        <v>0.4781427538613694</v>
      </c>
      <c r="BG154" s="19">
        <f t="shared" si="37"/>
        <v>3</v>
      </c>
      <c r="BH154" s="19">
        <f t="shared" si="38"/>
        <v>0.4781427538613694</v>
      </c>
    </row>
    <row r="155" spans="3:60" ht="11.25" customHeight="1" x14ac:dyDescent="0.2">
      <c r="C155" s="485"/>
      <c r="D155" s="417"/>
      <c r="AE155" s="417"/>
      <c r="AV155" s="462" t="str">
        <f t="shared" si="29"/>
        <v/>
      </c>
      <c r="AW155" s="463" t="str">
        <f t="shared" si="30"/>
        <v/>
      </c>
      <c r="AX155" s="19" t="e">
        <f t="shared" si="31"/>
        <v>#N/A</v>
      </c>
      <c r="AY155" s="19" t="e">
        <f t="shared" si="32"/>
        <v>#N/A</v>
      </c>
      <c r="AZ155" s="19" t="str">
        <f t="shared" si="33"/>
        <v/>
      </c>
      <c r="BA155" s="19" t="e">
        <f>IF(AZ155="",NA(),COUNTIF(AZ155:$AZ$510,AZ155))</f>
        <v>#N/A</v>
      </c>
      <c r="BB155" s="19">
        <v>145</v>
      </c>
      <c r="BC155" s="19">
        <f t="shared" si="34"/>
        <v>3.4519896747737855</v>
      </c>
      <c r="BD155" s="19">
        <v>28</v>
      </c>
      <c r="BE155" s="19" t="e">
        <f t="shared" si="35"/>
        <v>#N/A</v>
      </c>
      <c r="BF155" s="19">
        <f t="shared" si="36"/>
        <v>0.45198967477378549</v>
      </c>
      <c r="BG155" s="19">
        <f t="shared" si="37"/>
        <v>3</v>
      </c>
      <c r="BH155" s="19">
        <f t="shared" si="38"/>
        <v>0.45198967477378549</v>
      </c>
    </row>
    <row r="156" spans="3:60" ht="11.25" customHeight="1" x14ac:dyDescent="0.2">
      <c r="C156" s="485"/>
      <c r="D156" s="417"/>
      <c r="AE156" s="417"/>
      <c r="AV156" s="462" t="str">
        <f t="shared" si="29"/>
        <v/>
      </c>
      <c r="AW156" s="463" t="str">
        <f t="shared" si="30"/>
        <v/>
      </c>
      <c r="AX156" s="19" t="e">
        <f t="shared" si="31"/>
        <v>#N/A</v>
      </c>
      <c r="AY156" s="19" t="e">
        <f t="shared" si="32"/>
        <v>#N/A</v>
      </c>
      <c r="AZ156" s="19" t="str">
        <f t="shared" si="33"/>
        <v/>
      </c>
      <c r="BA156" s="19" t="e">
        <f>IF(AZ156="",NA(),COUNTIF(AZ156:$AZ$510,AZ156))</f>
        <v>#N/A</v>
      </c>
      <c r="BB156" s="19">
        <v>146</v>
      </c>
      <c r="BC156" s="19">
        <f t="shared" si="34"/>
        <v>3.4266266761803306</v>
      </c>
      <c r="BD156" s="19">
        <v>27.5</v>
      </c>
      <c r="BE156" s="19" t="e">
        <f t="shared" si="35"/>
        <v>#N/A</v>
      </c>
      <c r="BF156" s="19">
        <f t="shared" si="36"/>
        <v>0.42662667618033057</v>
      </c>
      <c r="BG156" s="19">
        <f t="shared" si="37"/>
        <v>3</v>
      </c>
      <c r="BH156" s="19">
        <f t="shared" si="38"/>
        <v>0.42662667618033057</v>
      </c>
    </row>
    <row r="157" spans="3:60" ht="11.25" customHeight="1" x14ac:dyDescent="0.2">
      <c r="C157" s="485"/>
      <c r="D157" s="417"/>
      <c r="AE157" s="417"/>
      <c r="AV157" s="462" t="str">
        <f t="shared" si="29"/>
        <v/>
      </c>
      <c r="AW157" s="463" t="str">
        <f t="shared" si="30"/>
        <v/>
      </c>
      <c r="AX157" s="19" t="e">
        <f t="shared" si="31"/>
        <v>#N/A</v>
      </c>
      <c r="AY157" s="19" t="e">
        <f t="shared" si="32"/>
        <v>#N/A</v>
      </c>
      <c r="AZ157" s="19" t="str">
        <f t="shared" si="33"/>
        <v/>
      </c>
      <c r="BA157" s="19" t="e">
        <f>IF(AZ157="",NA(),COUNTIF(AZ157:$AZ$510,AZ157))</f>
        <v>#N/A</v>
      </c>
      <c r="BB157" s="19">
        <v>147</v>
      </c>
      <c r="BC157" s="19">
        <f t="shared" si="34"/>
        <v>3.4020833221415057</v>
      </c>
      <c r="BD157" s="19">
        <v>27</v>
      </c>
      <c r="BE157" s="19" t="e">
        <f t="shared" si="35"/>
        <v>#N/A</v>
      </c>
      <c r="BF157" s="19">
        <f t="shared" si="36"/>
        <v>0.40208332214150566</v>
      </c>
      <c r="BG157" s="19">
        <f t="shared" si="37"/>
        <v>3</v>
      </c>
      <c r="BH157" s="19">
        <f t="shared" si="38"/>
        <v>0.40208332214150566</v>
      </c>
    </row>
    <row r="158" spans="3:60" ht="11.25" customHeight="1" x14ac:dyDescent="0.2">
      <c r="C158" s="485"/>
      <c r="D158" s="417"/>
      <c r="AE158" s="417"/>
      <c r="AV158" s="462" t="str">
        <f t="shared" si="29"/>
        <v/>
      </c>
      <c r="AW158" s="463" t="str">
        <f t="shared" si="30"/>
        <v/>
      </c>
      <c r="AX158" s="19" t="e">
        <f t="shared" si="31"/>
        <v>#N/A</v>
      </c>
      <c r="AY158" s="19" t="e">
        <f t="shared" si="32"/>
        <v>#N/A</v>
      </c>
      <c r="AZ158" s="19" t="str">
        <f t="shared" si="33"/>
        <v/>
      </c>
      <c r="BA158" s="19" t="e">
        <f>IF(AZ158="",NA(),COUNTIF(AZ158:$AZ$510,AZ158))</f>
        <v>#N/A</v>
      </c>
      <c r="BB158" s="19">
        <v>148</v>
      </c>
      <c r="BC158" s="19">
        <f t="shared" si="34"/>
        <v>3.3783839179530482</v>
      </c>
      <c r="BD158" s="19">
        <v>26.5</v>
      </c>
      <c r="BE158" s="19" t="e">
        <f t="shared" si="35"/>
        <v>#N/A</v>
      </c>
      <c r="BF158" s="19">
        <f t="shared" si="36"/>
        <v>0.37838391795304815</v>
      </c>
      <c r="BG158" s="19">
        <f t="shared" si="37"/>
        <v>3</v>
      </c>
      <c r="BH158" s="19">
        <f t="shared" si="38"/>
        <v>0.37838391795304815</v>
      </c>
    </row>
    <row r="159" spans="3:60" ht="11.25" customHeight="1" x14ac:dyDescent="0.2">
      <c r="C159" s="485"/>
      <c r="D159" s="417"/>
      <c r="AE159" s="417"/>
      <c r="AV159" s="462" t="str">
        <f t="shared" si="29"/>
        <v/>
      </c>
      <c r="AW159" s="463" t="str">
        <f t="shared" si="30"/>
        <v/>
      </c>
      <c r="AX159" s="19" t="e">
        <f t="shared" si="31"/>
        <v>#N/A</v>
      </c>
      <c r="AY159" s="19" t="e">
        <f t="shared" si="32"/>
        <v>#N/A</v>
      </c>
      <c r="AZ159" s="19" t="str">
        <f t="shared" si="33"/>
        <v/>
      </c>
      <c r="BA159" s="19" t="e">
        <f>IF(AZ159="",NA(),COUNTIF(AZ159:$AZ$510,AZ159))</f>
        <v>#N/A</v>
      </c>
      <c r="BB159" s="19">
        <v>149</v>
      </c>
      <c r="BC159" s="19">
        <f t="shared" si="34"/>
        <v>3.35554767109147</v>
      </c>
      <c r="BD159" s="19">
        <v>26</v>
      </c>
      <c r="BE159" s="19" t="e">
        <f t="shared" si="35"/>
        <v>#N/A</v>
      </c>
      <c r="BF159" s="19">
        <f t="shared" si="36"/>
        <v>0.35554767109147001</v>
      </c>
      <c r="BG159" s="19">
        <f t="shared" si="37"/>
        <v>3</v>
      </c>
      <c r="BH159" s="19">
        <f t="shared" si="38"/>
        <v>0.35554767109147001</v>
      </c>
    </row>
    <row r="160" spans="3:60" ht="11.25" customHeight="1" x14ac:dyDescent="0.2">
      <c r="C160" s="485"/>
      <c r="D160" s="417"/>
      <c r="AE160" s="417"/>
      <c r="AV160" s="462" t="str">
        <f t="shared" si="29"/>
        <v/>
      </c>
      <c r="AW160" s="463" t="str">
        <f t="shared" si="30"/>
        <v/>
      </c>
      <c r="AX160" s="19" t="e">
        <f t="shared" si="31"/>
        <v>#N/A</v>
      </c>
      <c r="AY160" s="19" t="e">
        <f t="shared" si="32"/>
        <v>#N/A</v>
      </c>
      <c r="AZ160" s="19" t="str">
        <f t="shared" si="33"/>
        <v/>
      </c>
      <c r="BA160" s="19" t="e">
        <f>IF(AZ160="",NA(),COUNTIF(AZ160:$AZ$510,AZ160))</f>
        <v>#N/A</v>
      </c>
      <c r="BB160" s="19">
        <v>150</v>
      </c>
      <c r="BC160" s="19">
        <f t="shared" si="34"/>
        <v>3.3335888798514852</v>
      </c>
      <c r="BD160" s="19">
        <v>25.5</v>
      </c>
      <c r="BE160" s="19" t="e">
        <f t="shared" si="35"/>
        <v>#N/A</v>
      </c>
      <c r="BF160" s="19" t="e">
        <f t="shared" si="36"/>
        <v>#N/A</v>
      </c>
      <c r="BG160" s="19">
        <f t="shared" si="37"/>
        <v>3</v>
      </c>
      <c r="BH160" s="19">
        <f t="shared" si="38"/>
        <v>0.33358887985148522</v>
      </c>
    </row>
    <row r="161" spans="3:60" ht="11.25" customHeight="1" x14ac:dyDescent="0.2">
      <c r="C161" s="485"/>
      <c r="D161" s="417"/>
      <c r="AE161" s="417"/>
      <c r="AV161" s="462" t="str">
        <f t="shared" si="29"/>
        <v/>
      </c>
      <c r="AW161" s="463" t="str">
        <f t="shared" si="30"/>
        <v/>
      </c>
      <c r="AX161" s="19" t="e">
        <f t="shared" si="31"/>
        <v>#N/A</v>
      </c>
      <c r="AY161" s="19" t="e">
        <f t="shared" si="32"/>
        <v>#N/A</v>
      </c>
      <c r="AZ161" s="19" t="str">
        <f t="shared" si="33"/>
        <v/>
      </c>
      <c r="BA161" s="19" t="e">
        <f>IF(AZ161="",NA(),COUNTIF(AZ161:$AZ$510,AZ161))</f>
        <v>#N/A</v>
      </c>
      <c r="BB161" s="19">
        <v>151</v>
      </c>
      <c r="BC161" s="19">
        <f t="shared" si="34"/>
        <v>3.3125171463997658</v>
      </c>
      <c r="BD161" s="19">
        <v>25</v>
      </c>
      <c r="BE161" s="19" t="e">
        <f t="shared" si="35"/>
        <v>#N/A</v>
      </c>
      <c r="BF161" s="19" t="e">
        <f t="shared" si="36"/>
        <v>#N/A</v>
      </c>
      <c r="BG161" s="19">
        <f t="shared" si="37"/>
        <v>3</v>
      </c>
      <c r="BH161" s="19">
        <f t="shared" si="38"/>
        <v>0.3125171463997658</v>
      </c>
    </row>
    <row r="162" spans="3:60" ht="11.25" customHeight="1" x14ac:dyDescent="0.2">
      <c r="C162" s="485"/>
      <c r="D162" s="417"/>
      <c r="AE162" s="417"/>
      <c r="AV162" s="462" t="str">
        <f t="shared" si="29"/>
        <v/>
      </c>
      <c r="AW162" s="463" t="str">
        <f t="shared" si="30"/>
        <v/>
      </c>
      <c r="AX162" s="19" t="e">
        <f t="shared" si="31"/>
        <v>#N/A</v>
      </c>
      <c r="AY162" s="19" t="e">
        <f t="shared" si="32"/>
        <v>#N/A</v>
      </c>
      <c r="AZ162" s="19" t="str">
        <f t="shared" si="33"/>
        <v/>
      </c>
      <c r="BA162" s="19" t="e">
        <f>IF(AZ162="",NA(),COUNTIF(AZ162:$AZ$510,AZ162))</f>
        <v>#N/A</v>
      </c>
      <c r="BB162" s="19">
        <v>152</v>
      </c>
      <c r="BC162" s="19">
        <f t="shared" si="34"/>
        <v>3.2923376109164644</v>
      </c>
      <c r="BD162" s="19">
        <v>24.5</v>
      </c>
      <c r="BE162" s="19" t="e">
        <f t="shared" si="35"/>
        <v>#N/A</v>
      </c>
      <c r="BF162" s="19" t="e">
        <f t="shared" si="36"/>
        <v>#N/A</v>
      </c>
      <c r="BG162" s="19">
        <f t="shared" si="37"/>
        <v>3</v>
      </c>
      <c r="BH162" s="19">
        <f t="shared" si="38"/>
        <v>0.29233761091646437</v>
      </c>
    </row>
    <row r="163" spans="3:60" ht="11.25" customHeight="1" x14ac:dyDescent="0.2">
      <c r="C163" s="485"/>
      <c r="D163" s="417"/>
      <c r="AE163" s="417"/>
      <c r="AV163" s="462" t="str">
        <f t="shared" si="29"/>
        <v/>
      </c>
      <c r="AW163" s="463" t="str">
        <f t="shared" si="30"/>
        <v/>
      </c>
      <c r="AX163" s="19" t="e">
        <f t="shared" si="31"/>
        <v>#N/A</v>
      </c>
      <c r="AY163" s="19" t="e">
        <f t="shared" si="32"/>
        <v>#N/A</v>
      </c>
      <c r="AZ163" s="19" t="str">
        <f t="shared" si="33"/>
        <v/>
      </c>
      <c r="BA163" s="19" t="e">
        <f>IF(AZ163="",NA(),COUNTIF(AZ163:$AZ$510,AZ163))</f>
        <v>#N/A</v>
      </c>
      <c r="BB163" s="19">
        <v>153</v>
      </c>
      <c r="BC163" s="19">
        <f t="shared" si="34"/>
        <v>3.2730512034848145</v>
      </c>
      <c r="BD163" s="19">
        <v>24</v>
      </c>
      <c r="BE163" s="19" t="e">
        <f t="shared" si="35"/>
        <v>#N/A</v>
      </c>
      <c r="BF163" s="19" t="e">
        <f t="shared" si="36"/>
        <v>#N/A</v>
      </c>
      <c r="BG163" s="19">
        <f t="shared" si="37"/>
        <v>3</v>
      </c>
      <c r="BH163" s="19">
        <f t="shared" si="38"/>
        <v>0.27305120348481449</v>
      </c>
    </row>
    <row r="164" spans="3:60" ht="11.25" customHeight="1" x14ac:dyDescent="0.2">
      <c r="C164" s="485"/>
      <c r="D164" s="417"/>
      <c r="AE164" s="417"/>
      <c r="AV164" s="462" t="str">
        <f t="shared" si="29"/>
        <v/>
      </c>
      <c r="AW164" s="463" t="str">
        <f t="shared" si="30"/>
        <v/>
      </c>
      <c r="AX164" s="19" t="e">
        <f t="shared" si="31"/>
        <v>#N/A</v>
      </c>
      <c r="AY164" s="19" t="e">
        <f t="shared" si="32"/>
        <v>#N/A</v>
      </c>
      <c r="AZ164" s="19" t="str">
        <f t="shared" si="33"/>
        <v/>
      </c>
      <c r="BA164" s="19" t="e">
        <f>IF(AZ164="",NA(),COUNTIF(AZ164:$AZ$510,AZ164))</f>
        <v>#N/A</v>
      </c>
      <c r="BB164" s="19">
        <v>154</v>
      </c>
      <c r="BC164" s="19">
        <f t="shared" si="34"/>
        <v>3.2546549104174241</v>
      </c>
      <c r="BD164" s="19">
        <v>23.5</v>
      </c>
      <c r="BE164" s="19" t="e">
        <f t="shared" si="35"/>
        <v>#N/A</v>
      </c>
      <c r="BF164" s="19" t="e">
        <f t="shared" si="36"/>
        <v>#N/A</v>
      </c>
      <c r="BG164" s="19">
        <f t="shared" si="37"/>
        <v>3</v>
      </c>
      <c r="BH164" s="19">
        <f t="shared" si="38"/>
        <v>0.25465491041742405</v>
      </c>
    </row>
    <row r="165" spans="3:60" ht="11.25" customHeight="1" x14ac:dyDescent="0.2">
      <c r="C165" s="485"/>
      <c r="D165" s="417"/>
      <c r="AE165" s="417"/>
      <c r="AV165" s="462" t="str">
        <f t="shared" si="29"/>
        <v/>
      </c>
      <c r="AW165" s="463" t="str">
        <f t="shared" si="30"/>
        <v/>
      </c>
      <c r="AX165" s="19" t="e">
        <f t="shared" si="31"/>
        <v>#N/A</v>
      </c>
      <c r="AY165" s="19" t="e">
        <f t="shared" si="32"/>
        <v>#N/A</v>
      </c>
      <c r="AZ165" s="19" t="str">
        <f t="shared" si="33"/>
        <v/>
      </c>
      <c r="BA165" s="19" t="e">
        <f>IF(AZ165="",NA(),COUNTIF(AZ165:$AZ$510,AZ165))</f>
        <v>#N/A</v>
      </c>
      <c r="BB165" s="19">
        <v>155</v>
      </c>
      <c r="BC165" s="19">
        <f t="shared" si="34"/>
        <v>3.2371420517727465</v>
      </c>
      <c r="BD165" s="19">
        <v>23</v>
      </c>
      <c r="BE165" s="19" t="e">
        <f t="shared" si="35"/>
        <v>#N/A</v>
      </c>
      <c r="BF165" s="19" t="e">
        <f t="shared" si="36"/>
        <v>#N/A</v>
      </c>
      <c r="BG165" s="19">
        <f t="shared" si="37"/>
        <v>3</v>
      </c>
      <c r="BH165" s="19">
        <f t="shared" si="38"/>
        <v>0.2371420517727465</v>
      </c>
    </row>
    <row r="166" spans="3:60" ht="11.25" customHeight="1" x14ac:dyDescent="0.2">
      <c r="C166" s="485"/>
      <c r="D166" s="417"/>
      <c r="AE166" s="417"/>
      <c r="AV166" s="462" t="str">
        <f t="shared" si="29"/>
        <v/>
      </c>
      <c r="AW166" s="463" t="str">
        <f t="shared" si="30"/>
        <v/>
      </c>
      <c r="AX166" s="19" t="e">
        <f t="shared" si="31"/>
        <v>#N/A</v>
      </c>
      <c r="AY166" s="19" t="e">
        <f t="shared" si="32"/>
        <v>#N/A</v>
      </c>
      <c r="AZ166" s="19" t="str">
        <f t="shared" si="33"/>
        <v/>
      </c>
      <c r="BA166" s="19" t="e">
        <f>IF(AZ166="",NA(),COUNTIF(AZ166:$AZ$510,AZ166))</f>
        <v>#N/A</v>
      </c>
      <c r="BB166" s="19">
        <v>156</v>
      </c>
      <c r="BC166" s="19">
        <f t="shared" si="34"/>
        <v>3.2205025669135621</v>
      </c>
      <c r="BD166" s="19">
        <v>22.5</v>
      </c>
      <c r="BE166" s="19" t="e">
        <f t="shared" si="35"/>
        <v>#N/A</v>
      </c>
      <c r="BF166" s="19" t="e">
        <f t="shared" si="36"/>
        <v>#N/A</v>
      </c>
      <c r="BG166" s="19">
        <f t="shared" si="37"/>
        <v>3</v>
      </c>
      <c r="BH166" s="19">
        <f t="shared" si="38"/>
        <v>0.22050256691356207</v>
      </c>
    </row>
    <row r="167" spans="3:60" ht="11.25" customHeight="1" x14ac:dyDescent="0.2">
      <c r="C167" s="485"/>
      <c r="D167" s="417"/>
      <c r="AE167" s="417"/>
      <c r="AV167" s="462" t="str">
        <f t="shared" si="29"/>
        <v/>
      </c>
      <c r="AW167" s="463" t="str">
        <f t="shared" si="30"/>
        <v/>
      </c>
      <c r="AX167" s="19" t="e">
        <f t="shared" si="31"/>
        <v>#N/A</v>
      </c>
      <c r="AY167" s="19" t="e">
        <f t="shared" si="32"/>
        <v>#N/A</v>
      </c>
      <c r="AZ167" s="19" t="str">
        <f t="shared" si="33"/>
        <v/>
      </c>
      <c r="BA167" s="19" t="e">
        <f>IF(AZ167="",NA(),COUNTIF(AZ167:$AZ$510,AZ167))</f>
        <v>#N/A</v>
      </c>
      <c r="BB167" s="19">
        <v>157</v>
      </c>
      <c r="BC167" s="19">
        <f t="shared" si="34"/>
        <v>3.204723305087561</v>
      </c>
      <c r="BD167" s="19">
        <v>22</v>
      </c>
      <c r="BE167" s="19" t="e">
        <f t="shared" si="35"/>
        <v>#N/A</v>
      </c>
      <c r="BF167" s="19" t="e">
        <f t="shared" si="36"/>
        <v>#N/A</v>
      </c>
      <c r="BG167" s="19">
        <f t="shared" si="37"/>
        <v>3</v>
      </c>
      <c r="BH167" s="19">
        <f t="shared" si="38"/>
        <v>0.20472330508756098</v>
      </c>
    </row>
    <row r="168" spans="3:60" ht="11.25" customHeight="1" x14ac:dyDescent="0.2">
      <c r="C168" s="485"/>
      <c r="D168" s="417"/>
      <c r="AE168" s="417"/>
      <c r="AV168" s="462" t="str">
        <f t="shared" si="29"/>
        <v/>
      </c>
      <c r="AW168" s="463" t="str">
        <f t="shared" si="30"/>
        <v/>
      </c>
      <c r="AX168" s="19" t="e">
        <f t="shared" si="31"/>
        <v>#N/A</v>
      </c>
      <c r="AY168" s="19" t="e">
        <f t="shared" si="32"/>
        <v>#N/A</v>
      </c>
      <c r="AZ168" s="19" t="str">
        <f t="shared" si="33"/>
        <v/>
      </c>
      <c r="BA168" s="19" t="e">
        <f>IF(AZ168="",NA(),COUNTIF(AZ168:$AZ$510,AZ168))</f>
        <v>#N/A</v>
      </c>
      <c r="BB168" s="19">
        <v>158</v>
      </c>
      <c r="BC168" s="19">
        <f t="shared" si="34"/>
        <v>3.1897883181647027</v>
      </c>
      <c r="BD168" s="19">
        <v>21.5</v>
      </c>
      <c r="BE168" s="19" t="e">
        <f t="shared" si="35"/>
        <v>#N/A</v>
      </c>
      <c r="BF168" s="19" t="e">
        <f t="shared" si="36"/>
        <v>#N/A</v>
      </c>
      <c r="BG168" s="19">
        <f t="shared" si="37"/>
        <v>3</v>
      </c>
      <c r="BH168" s="19" t="e">
        <f t="shared" si="38"/>
        <v>#N/A</v>
      </c>
    </row>
    <row r="169" spans="3:60" ht="11.25" customHeight="1" x14ac:dyDescent="0.2">
      <c r="C169" s="485"/>
      <c r="D169" s="417"/>
      <c r="AE169" s="417"/>
      <c r="AV169" s="462" t="str">
        <f t="shared" si="29"/>
        <v/>
      </c>
      <c r="AW169" s="463" t="str">
        <f t="shared" si="30"/>
        <v/>
      </c>
      <c r="AX169" s="19" t="e">
        <f t="shared" si="31"/>
        <v>#N/A</v>
      </c>
      <c r="AY169" s="19" t="e">
        <f t="shared" si="32"/>
        <v>#N/A</v>
      </c>
      <c r="AZ169" s="19" t="str">
        <f t="shared" si="33"/>
        <v/>
      </c>
      <c r="BA169" s="19" t="e">
        <f>IF(AZ169="",NA(),COUNTIF(AZ169:$AZ$510,AZ169))</f>
        <v>#N/A</v>
      </c>
      <c r="BB169" s="19">
        <v>159</v>
      </c>
      <c r="BC169" s="19">
        <f t="shared" si="34"/>
        <v>3.1756791528430979</v>
      </c>
      <c r="BD169" s="19">
        <v>21</v>
      </c>
      <c r="BE169" s="19" t="e">
        <f t="shared" si="35"/>
        <v>#N/A</v>
      </c>
      <c r="BF169" s="19" t="e">
        <f t="shared" si="36"/>
        <v>#N/A</v>
      </c>
      <c r="BG169" s="19">
        <f t="shared" si="37"/>
        <v>3</v>
      </c>
      <c r="BH169" s="19" t="e">
        <f t="shared" si="38"/>
        <v>#N/A</v>
      </c>
    </row>
    <row r="170" spans="3:60" ht="11.25" customHeight="1" x14ac:dyDescent="0.2">
      <c r="C170" s="485"/>
      <c r="D170" s="417"/>
      <c r="AE170" s="417"/>
      <c r="AV170" s="462" t="str">
        <f t="shared" si="29"/>
        <v/>
      </c>
      <c r="AW170" s="463" t="str">
        <f t="shared" si="30"/>
        <v/>
      </c>
      <c r="AX170" s="19" t="e">
        <f t="shared" si="31"/>
        <v>#N/A</v>
      </c>
      <c r="AY170" s="19" t="e">
        <f t="shared" si="32"/>
        <v>#N/A</v>
      </c>
      <c r="AZ170" s="19" t="str">
        <f t="shared" si="33"/>
        <v/>
      </c>
      <c r="BA170" s="19" t="e">
        <f>IF(AZ170="",NA(),COUNTIF(AZ170:$AZ$510,AZ170))</f>
        <v>#N/A</v>
      </c>
      <c r="BB170" s="19">
        <v>160</v>
      </c>
      <c r="BC170" s="19">
        <f t="shared" si="34"/>
        <v>3.1623751398308704</v>
      </c>
      <c r="BD170" s="19">
        <v>20.5</v>
      </c>
      <c r="BE170" s="19" t="e">
        <f t="shared" si="35"/>
        <v>#N/A</v>
      </c>
      <c r="BF170" s="19" t="e">
        <f t="shared" si="36"/>
        <v>#N/A</v>
      </c>
      <c r="BG170" s="19">
        <f t="shared" si="37"/>
        <v>3</v>
      </c>
      <c r="BH170" s="19" t="e">
        <f t="shared" si="38"/>
        <v>#N/A</v>
      </c>
    </row>
    <row r="171" spans="3:60" ht="11.25" customHeight="1" x14ac:dyDescent="0.2">
      <c r="C171" s="485"/>
      <c r="D171" s="417"/>
      <c r="AE171" s="417"/>
      <c r="AV171" s="462" t="str">
        <f t="shared" si="29"/>
        <v/>
      </c>
      <c r="AW171" s="463" t="str">
        <f t="shared" si="30"/>
        <v/>
      </c>
      <c r="AX171" s="19" t="e">
        <f t="shared" si="31"/>
        <v>#N/A</v>
      </c>
      <c r="AY171" s="19" t="e">
        <f t="shared" si="32"/>
        <v>#N/A</v>
      </c>
      <c r="AZ171" s="19" t="str">
        <f t="shared" si="33"/>
        <v/>
      </c>
      <c r="BA171" s="19" t="e">
        <f>IF(AZ171="",NA(),COUNTIF(AZ171:$AZ$510,AZ171))</f>
        <v>#N/A</v>
      </c>
      <c r="BB171" s="19">
        <v>161</v>
      </c>
      <c r="BC171" s="19">
        <f t="shared" si="34"/>
        <v>3.1498536777219441</v>
      </c>
      <c r="BD171" s="19">
        <v>20</v>
      </c>
      <c r="BE171" s="19" t="e">
        <f t="shared" si="35"/>
        <v>#N/A</v>
      </c>
      <c r="BF171" s="19" t="e">
        <f t="shared" si="36"/>
        <v>#N/A</v>
      </c>
      <c r="BG171" s="19">
        <f t="shared" si="37"/>
        <v>3</v>
      </c>
      <c r="BH171" s="19" t="e">
        <f t="shared" si="38"/>
        <v>#N/A</v>
      </c>
    </row>
    <row r="172" spans="3:60" ht="11.25" customHeight="1" x14ac:dyDescent="0.2">
      <c r="C172" s="485"/>
      <c r="D172" s="417"/>
      <c r="AE172" s="417"/>
      <c r="AV172" s="462" t="str">
        <f t="shared" si="29"/>
        <v/>
      </c>
      <c r="AW172" s="463" t="str">
        <f t="shared" si="30"/>
        <v/>
      </c>
      <c r="AX172" s="19" t="e">
        <f t="shared" si="31"/>
        <v>#N/A</v>
      </c>
      <c r="AY172" s="19" t="e">
        <f t="shared" si="32"/>
        <v>#N/A</v>
      </c>
      <c r="AZ172" s="19" t="str">
        <f t="shared" si="33"/>
        <v/>
      </c>
      <c r="BA172" s="19" t="e">
        <f>IF(AZ172="",NA(),COUNTIF(AZ172:$AZ$510,AZ172))</f>
        <v>#N/A</v>
      </c>
      <c r="BB172" s="19">
        <v>162</v>
      </c>
      <c r="BC172" s="19">
        <f t="shared" si="34"/>
        <v>3.1380905095051541</v>
      </c>
      <c r="BD172" s="19">
        <v>19.5</v>
      </c>
      <c r="BE172" s="19" t="e">
        <f t="shared" si="35"/>
        <v>#N/A</v>
      </c>
      <c r="BF172" s="19" t="e">
        <f t="shared" si="36"/>
        <v>#N/A</v>
      </c>
      <c r="BG172" s="19">
        <f t="shared" si="37"/>
        <v>3</v>
      </c>
      <c r="BH172" s="19" t="e">
        <f t="shared" si="38"/>
        <v>#N/A</v>
      </c>
    </row>
    <row r="173" spans="3:60" ht="11.25" customHeight="1" x14ac:dyDescent="0.2">
      <c r="C173" s="485"/>
      <c r="D173" s="417"/>
      <c r="AE173" s="417"/>
      <c r="AV173" s="462" t="str">
        <f t="shared" si="29"/>
        <v/>
      </c>
      <c r="AW173" s="463" t="str">
        <f t="shared" si="30"/>
        <v/>
      </c>
      <c r="AX173" s="19" t="e">
        <f t="shared" si="31"/>
        <v>#N/A</v>
      </c>
      <c r="AY173" s="19" t="e">
        <f t="shared" si="32"/>
        <v>#N/A</v>
      </c>
      <c r="AZ173" s="19" t="str">
        <f t="shared" si="33"/>
        <v/>
      </c>
      <c r="BA173" s="19" t="e">
        <f>IF(AZ173="",NA(),COUNTIF(AZ173:$AZ$510,AZ173))</f>
        <v>#N/A</v>
      </c>
      <c r="BB173" s="19">
        <v>163</v>
      </c>
      <c r="BC173" s="19">
        <f t="shared" si="34"/>
        <v>3.1270599898748559</v>
      </c>
      <c r="BD173" s="19">
        <v>19</v>
      </c>
      <c r="BE173" s="19" t="e">
        <f t="shared" si="35"/>
        <v>#N/A</v>
      </c>
      <c r="BF173" s="19" t="e">
        <f t="shared" si="36"/>
        <v>#N/A</v>
      </c>
      <c r="BG173" s="19">
        <f t="shared" si="37"/>
        <v>3</v>
      </c>
      <c r="BH173" s="19" t="e">
        <f t="shared" si="38"/>
        <v>#N/A</v>
      </c>
    </row>
    <row r="174" spans="3:60" ht="11.25" customHeight="1" x14ac:dyDescent="0.2">
      <c r="C174" s="485"/>
      <c r="D174" s="417"/>
      <c r="AE174" s="417"/>
      <c r="AV174" s="462" t="str">
        <f t="shared" si="29"/>
        <v/>
      </c>
      <c r="AW174" s="463" t="str">
        <f t="shared" si="30"/>
        <v/>
      </c>
      <c r="AX174" s="19" t="e">
        <f t="shared" si="31"/>
        <v>#N/A</v>
      </c>
      <c r="AY174" s="19" t="e">
        <f t="shared" si="32"/>
        <v>#N/A</v>
      </c>
      <c r="AZ174" s="19" t="str">
        <f t="shared" si="33"/>
        <v/>
      </c>
      <c r="BA174" s="19" t="e">
        <f>IF(AZ174="",NA(),COUNTIF(AZ174:$AZ$510,AZ174))</f>
        <v>#N/A</v>
      </c>
      <c r="BB174" s="19">
        <v>164</v>
      </c>
      <c r="BC174" s="19">
        <f t="shared" si="34"/>
        <v>3.1167353417437407</v>
      </c>
      <c r="BD174" s="19">
        <v>18.5</v>
      </c>
      <c r="BE174" s="19" t="e">
        <f t="shared" si="35"/>
        <v>#N/A</v>
      </c>
      <c r="BF174" s="19" t="e">
        <f t="shared" si="36"/>
        <v>#N/A</v>
      </c>
      <c r="BG174" s="19">
        <f t="shared" si="37"/>
        <v>3</v>
      </c>
      <c r="BH174" s="19" t="e">
        <f t="shared" si="38"/>
        <v>#N/A</v>
      </c>
    </row>
    <row r="175" spans="3:60" ht="11.25" customHeight="1" x14ac:dyDescent="0.2">
      <c r="C175" s="485"/>
      <c r="D175" s="417"/>
      <c r="AE175" s="417"/>
      <c r="AV175" s="462" t="str">
        <f t="shared" si="29"/>
        <v/>
      </c>
      <c r="AW175" s="463" t="str">
        <f t="shared" si="30"/>
        <v/>
      </c>
      <c r="AX175" s="19" t="e">
        <f t="shared" si="31"/>
        <v>#N/A</v>
      </c>
      <c r="AY175" s="19" t="e">
        <f t="shared" si="32"/>
        <v>#N/A</v>
      </c>
      <c r="AZ175" s="19" t="str">
        <f t="shared" si="33"/>
        <v/>
      </c>
      <c r="BA175" s="19" t="e">
        <f>IF(AZ175="",NA(),COUNTIF(AZ175:$AZ$510,AZ175))</f>
        <v>#N/A</v>
      </c>
      <c r="BB175" s="19">
        <v>165</v>
      </c>
      <c r="BC175" s="19">
        <f t="shared" si="34"/>
        <v>3.1070889005916142</v>
      </c>
      <c r="BD175" s="19">
        <v>18</v>
      </c>
      <c r="BE175" s="19" t="e">
        <f t="shared" si="35"/>
        <v>#N/A</v>
      </c>
      <c r="BF175" s="19" t="e">
        <f t="shared" si="36"/>
        <v>#N/A</v>
      </c>
      <c r="BG175" s="19">
        <f t="shared" si="37"/>
        <v>3</v>
      </c>
      <c r="BH175" s="19" t="e">
        <f t="shared" si="38"/>
        <v>#N/A</v>
      </c>
    </row>
    <row r="176" spans="3:60" ht="11.25" customHeight="1" x14ac:dyDescent="0.2">
      <c r="C176" s="485"/>
      <c r="D176" s="417"/>
      <c r="AE176" s="417"/>
      <c r="AV176" s="462" t="str">
        <f t="shared" si="29"/>
        <v/>
      </c>
      <c r="AW176" s="463" t="str">
        <f t="shared" si="30"/>
        <v/>
      </c>
      <c r="AX176" s="19" t="e">
        <f t="shared" si="31"/>
        <v>#N/A</v>
      </c>
      <c r="AY176" s="19" t="e">
        <f t="shared" si="32"/>
        <v>#N/A</v>
      </c>
      <c r="AZ176" s="19" t="str">
        <f t="shared" si="33"/>
        <v/>
      </c>
      <c r="BA176" s="19" t="e">
        <f>IF(AZ176="",NA(),COUNTIF(AZ176:$AZ$510,AZ176))</f>
        <v>#N/A</v>
      </c>
      <c r="BB176" s="19">
        <v>166</v>
      </c>
      <c r="BC176" s="19">
        <f t="shared" si="34"/>
        <v>3.0980923455143619</v>
      </c>
      <c r="BD176" s="19">
        <v>17.5</v>
      </c>
      <c r="BE176" s="19" t="e">
        <f t="shared" si="35"/>
        <v>#N/A</v>
      </c>
      <c r="BF176" s="19" t="e">
        <f t="shared" si="36"/>
        <v>#N/A</v>
      </c>
      <c r="BG176" s="19">
        <f t="shared" si="37"/>
        <v>3</v>
      </c>
      <c r="BH176" s="19" t="e">
        <f t="shared" si="38"/>
        <v>#N/A</v>
      </c>
    </row>
    <row r="177" spans="3:60" ht="11.25" customHeight="1" x14ac:dyDescent="0.2">
      <c r="C177" s="485"/>
      <c r="D177" s="417"/>
      <c r="AE177" s="417"/>
      <c r="AV177" s="462" t="str">
        <f t="shared" si="29"/>
        <v/>
      </c>
      <c r="AW177" s="463" t="str">
        <f t="shared" si="30"/>
        <v/>
      </c>
      <c r="AX177" s="19" t="e">
        <f t="shared" si="31"/>
        <v>#N/A</v>
      </c>
      <c r="AY177" s="19" t="e">
        <f t="shared" si="32"/>
        <v>#N/A</v>
      </c>
      <c r="AZ177" s="19" t="str">
        <f t="shared" si="33"/>
        <v/>
      </c>
      <c r="BA177" s="19" t="e">
        <f>IF(AZ177="",NA(),COUNTIF(AZ177:$AZ$510,AZ177))</f>
        <v>#N/A</v>
      </c>
      <c r="BB177" s="19">
        <v>167</v>
      </c>
      <c r="BC177" s="19">
        <f t="shared" si="34"/>
        <v>3.0897169160624469</v>
      </c>
      <c r="BD177" s="19">
        <v>17</v>
      </c>
      <c r="BE177" s="19" t="e">
        <f t="shared" si="35"/>
        <v>#N/A</v>
      </c>
      <c r="BF177" s="19" t="e">
        <f t="shared" si="36"/>
        <v>#N/A</v>
      </c>
      <c r="BG177" s="19">
        <f t="shared" si="37"/>
        <v>3</v>
      </c>
      <c r="BH177" s="19" t="e">
        <f t="shared" si="38"/>
        <v>#N/A</v>
      </c>
    </row>
    <row r="178" spans="3:60" ht="11.25" customHeight="1" x14ac:dyDescent="0.2">
      <c r="C178" s="485"/>
      <c r="D178" s="417"/>
      <c r="AE178" s="417"/>
      <c r="AV178" s="462" t="str">
        <f t="shared" si="29"/>
        <v/>
      </c>
      <c r="AW178" s="463" t="str">
        <f t="shared" si="30"/>
        <v/>
      </c>
      <c r="AX178" s="19" t="e">
        <f t="shared" si="31"/>
        <v>#N/A</v>
      </c>
      <c r="AY178" s="19" t="e">
        <f t="shared" si="32"/>
        <v>#N/A</v>
      </c>
      <c r="AZ178" s="19" t="str">
        <f t="shared" si="33"/>
        <v/>
      </c>
      <c r="BA178" s="19" t="e">
        <f>IF(AZ178="",NA(),COUNTIF(AZ178:$AZ$510,AZ178))</f>
        <v>#N/A</v>
      </c>
      <c r="BB178" s="19">
        <v>168</v>
      </c>
      <c r="BC178" s="19">
        <f t="shared" si="34"/>
        <v>3.0819336141756084</v>
      </c>
      <c r="BD178" s="19">
        <v>16.5</v>
      </c>
      <c r="BE178" s="19" t="e">
        <f t="shared" si="35"/>
        <v>#N/A</v>
      </c>
      <c r="BF178" s="19" t="e">
        <f t="shared" si="36"/>
        <v>#N/A</v>
      </c>
      <c r="BG178" s="19">
        <f t="shared" si="37"/>
        <v>3</v>
      </c>
      <c r="BH178" s="19" t="e">
        <f t="shared" si="38"/>
        <v>#N/A</v>
      </c>
    </row>
    <row r="179" spans="3:60" ht="11.25" customHeight="1" x14ac:dyDescent="0.2">
      <c r="C179" s="485"/>
      <c r="D179" s="417"/>
      <c r="AE179" s="417"/>
      <c r="AV179" s="462" t="str">
        <f t="shared" si="29"/>
        <v/>
      </c>
      <c r="AW179" s="463" t="str">
        <f t="shared" si="30"/>
        <v/>
      </c>
      <c r="AX179" s="19" t="e">
        <f t="shared" si="31"/>
        <v>#N/A</v>
      </c>
      <c r="AY179" s="19" t="e">
        <f t="shared" si="32"/>
        <v>#N/A</v>
      </c>
      <c r="AZ179" s="19" t="str">
        <f t="shared" si="33"/>
        <v/>
      </c>
      <c r="BA179" s="19" t="e">
        <f>IF(AZ179="",NA(),COUNTIF(AZ179:$AZ$510,AZ179))</f>
        <v>#N/A</v>
      </c>
      <c r="BB179" s="19">
        <v>169</v>
      </c>
      <c r="BC179" s="19">
        <f t="shared" si="34"/>
        <v>3.0747133907277431</v>
      </c>
      <c r="BD179" s="19">
        <v>16</v>
      </c>
      <c r="BE179" s="19" t="e">
        <f t="shared" si="35"/>
        <v>#N/A</v>
      </c>
      <c r="BF179" s="19" t="e">
        <f t="shared" si="36"/>
        <v>#N/A</v>
      </c>
      <c r="BG179" s="19">
        <f t="shared" si="37"/>
        <v>3</v>
      </c>
      <c r="BH179" s="19" t="e">
        <f t="shared" si="38"/>
        <v>#N/A</v>
      </c>
    </row>
    <row r="180" spans="3:60" ht="11.25" customHeight="1" x14ac:dyDescent="0.2">
      <c r="C180" s="485"/>
      <c r="D180" s="417"/>
      <c r="AE180" s="417"/>
      <c r="AV180" s="462" t="str">
        <f t="shared" si="29"/>
        <v/>
      </c>
      <c r="AW180" s="463" t="str">
        <f t="shared" si="30"/>
        <v/>
      </c>
      <c r="AX180" s="19" t="e">
        <f t="shared" si="31"/>
        <v>#N/A</v>
      </c>
      <c r="AY180" s="19" t="e">
        <f t="shared" si="32"/>
        <v>#N/A</v>
      </c>
      <c r="AZ180" s="19" t="str">
        <f t="shared" si="33"/>
        <v/>
      </c>
      <c r="BA180" s="19" t="e">
        <f>IF(AZ180="",NA(),COUNTIF(AZ180:$AZ$510,AZ180))</f>
        <v>#N/A</v>
      </c>
      <c r="BB180" s="19">
        <v>170</v>
      </c>
      <c r="BC180" s="19">
        <f t="shared" si="34"/>
        <v>3.0680273163914453</v>
      </c>
      <c r="BD180" s="19">
        <v>15.5</v>
      </c>
      <c r="BE180" s="19" t="e">
        <f t="shared" si="35"/>
        <v>#N/A</v>
      </c>
      <c r="BF180" s="19" t="e">
        <f t="shared" si="36"/>
        <v>#N/A</v>
      </c>
      <c r="BG180" s="19">
        <f t="shared" si="37"/>
        <v>3</v>
      </c>
      <c r="BH180" s="19" t="e">
        <f t="shared" si="38"/>
        <v>#N/A</v>
      </c>
    </row>
    <row r="181" spans="3:60" ht="11.25" customHeight="1" x14ac:dyDescent="0.2">
      <c r="C181" s="485"/>
      <c r="D181" s="417"/>
      <c r="AE181" s="417"/>
      <c r="AV181" s="462" t="str">
        <f t="shared" si="29"/>
        <v/>
      </c>
      <c r="AW181" s="463" t="str">
        <f t="shared" si="30"/>
        <v/>
      </c>
      <c r="AX181" s="19" t="e">
        <f t="shared" si="31"/>
        <v>#N/A</v>
      </c>
      <c r="AY181" s="19" t="e">
        <f t="shared" si="32"/>
        <v>#N/A</v>
      </c>
      <c r="AZ181" s="19" t="str">
        <f t="shared" si="33"/>
        <v/>
      </c>
      <c r="BA181" s="19" t="e">
        <f>IF(AZ181="",NA(),COUNTIF(AZ181:$AZ$510,AZ181))</f>
        <v>#N/A</v>
      </c>
      <c r="BB181" s="19">
        <v>171</v>
      </c>
      <c r="BC181" s="19">
        <f t="shared" si="34"/>
        <v>3.0618467367138371</v>
      </c>
      <c r="BD181" s="19">
        <v>15</v>
      </c>
      <c r="BE181" s="19" t="e">
        <f t="shared" si="35"/>
        <v>#N/A</v>
      </c>
      <c r="BF181" s="19" t="e">
        <f t="shared" si="36"/>
        <v>#N/A</v>
      </c>
      <c r="BG181" s="19">
        <f t="shared" si="37"/>
        <v>3</v>
      </c>
      <c r="BH181" s="19" t="e">
        <f t="shared" si="38"/>
        <v>#N/A</v>
      </c>
    </row>
    <row r="182" spans="3:60" ht="11.25" customHeight="1" x14ac:dyDescent="0.2">
      <c r="C182" s="485"/>
      <c r="D182" s="417"/>
      <c r="AE182" s="417"/>
      <c r="AV182" s="462" t="str">
        <f t="shared" si="29"/>
        <v/>
      </c>
      <c r="AW182" s="463" t="str">
        <f t="shared" si="30"/>
        <v/>
      </c>
      <c r="AX182" s="19" t="e">
        <f t="shared" si="31"/>
        <v>#N/A</v>
      </c>
      <c r="AY182" s="19" t="e">
        <f t="shared" si="32"/>
        <v>#N/A</v>
      </c>
      <c r="AZ182" s="19" t="str">
        <f t="shared" si="33"/>
        <v/>
      </c>
      <c r="BA182" s="19" t="e">
        <f>IF(AZ182="",NA(),COUNTIF(AZ182:$AZ$510,AZ182))</f>
        <v>#N/A</v>
      </c>
      <c r="BB182" s="19">
        <v>172</v>
      </c>
      <c r="BC182" s="19">
        <f t="shared" si="34"/>
        <v>3.0561434114629167</v>
      </c>
      <c r="BD182" s="19">
        <v>14.5</v>
      </c>
      <c r="BE182" s="19" t="e">
        <f t="shared" si="35"/>
        <v>#N/A</v>
      </c>
      <c r="BF182" s="19" t="e">
        <f t="shared" si="36"/>
        <v>#N/A</v>
      </c>
      <c r="BG182" s="19">
        <f t="shared" si="37"/>
        <v>3</v>
      </c>
      <c r="BH182" s="19" t="e">
        <f t="shared" si="38"/>
        <v>#N/A</v>
      </c>
    </row>
    <row r="183" spans="3:60" ht="11.25" customHeight="1" x14ac:dyDescent="0.2">
      <c r="C183" s="485"/>
      <c r="D183" s="417"/>
      <c r="AE183" s="417"/>
      <c r="AV183" s="462" t="str">
        <f t="shared" si="29"/>
        <v/>
      </c>
      <c r="AW183" s="463" t="str">
        <f t="shared" si="30"/>
        <v/>
      </c>
      <c r="AX183" s="19" t="e">
        <f t="shared" si="31"/>
        <v>#N/A</v>
      </c>
      <c r="AY183" s="19" t="e">
        <f t="shared" si="32"/>
        <v>#N/A</v>
      </c>
      <c r="AZ183" s="19" t="str">
        <f t="shared" si="33"/>
        <v/>
      </c>
      <c r="BA183" s="19" t="e">
        <f>IF(AZ183="",NA(),COUNTIF(AZ183:$AZ$510,AZ183))</f>
        <v>#N/A</v>
      </c>
      <c r="BB183" s="19">
        <v>173</v>
      </c>
      <c r="BC183" s="19">
        <f t="shared" si="34"/>
        <v>3.0508896384558111</v>
      </c>
      <c r="BD183" s="19">
        <v>14</v>
      </c>
      <c r="BE183" s="19" t="e">
        <f t="shared" si="35"/>
        <v>#N/A</v>
      </c>
      <c r="BF183" s="19" t="e">
        <f t="shared" si="36"/>
        <v>#N/A</v>
      </c>
      <c r="BG183" s="19">
        <f t="shared" si="37"/>
        <v>3</v>
      </c>
      <c r="BH183" s="19" t="e">
        <f t="shared" si="38"/>
        <v>#N/A</v>
      </c>
    </row>
    <row r="184" spans="3:60" ht="11.25" customHeight="1" x14ac:dyDescent="0.2">
      <c r="C184" s="485"/>
      <c r="D184" s="417"/>
      <c r="AE184" s="417"/>
      <c r="AV184" s="462" t="str">
        <f t="shared" si="29"/>
        <v/>
      </c>
      <c r="AW184" s="463" t="str">
        <f t="shared" si="30"/>
        <v/>
      </c>
      <c r="AX184" s="19" t="e">
        <f t="shared" si="31"/>
        <v>#N/A</v>
      </c>
      <c r="AY184" s="19" t="e">
        <f t="shared" si="32"/>
        <v>#N/A</v>
      </c>
      <c r="AZ184" s="19" t="str">
        <f t="shared" si="33"/>
        <v/>
      </c>
      <c r="BA184" s="19" t="e">
        <f>IF(AZ184="",NA(),COUNTIF(AZ184:$AZ$510,AZ184))</f>
        <v>#N/A</v>
      </c>
      <c r="BB184" s="19">
        <v>174</v>
      </c>
      <c r="BC184" s="19">
        <f t="shared" si="34"/>
        <v>3.0460583622164896</v>
      </c>
      <c r="BD184" s="19">
        <v>13.5</v>
      </c>
      <c r="BE184" s="19" t="e">
        <f t="shared" si="35"/>
        <v>#N/A</v>
      </c>
      <c r="BF184" s="19" t="e">
        <f t="shared" si="36"/>
        <v>#N/A</v>
      </c>
      <c r="BG184" s="19">
        <f t="shared" si="37"/>
        <v>3</v>
      </c>
      <c r="BH184" s="19" t="e">
        <f t="shared" si="38"/>
        <v>#N/A</v>
      </c>
    </row>
    <row r="185" spans="3:60" ht="11.25" customHeight="1" x14ac:dyDescent="0.2">
      <c r="C185" s="485"/>
      <c r="D185" s="417"/>
      <c r="AE185" s="417"/>
      <c r="AV185" s="462" t="str">
        <f t="shared" si="29"/>
        <v/>
      </c>
      <c r="AW185" s="463" t="str">
        <f t="shared" si="30"/>
        <v/>
      </c>
      <c r="AX185" s="19" t="e">
        <f t="shared" si="31"/>
        <v>#N/A</v>
      </c>
      <c r="AY185" s="19" t="e">
        <f t="shared" si="32"/>
        <v>#N/A</v>
      </c>
      <c r="AZ185" s="19" t="str">
        <f t="shared" si="33"/>
        <v/>
      </c>
      <c r="BA185" s="19" t="e">
        <f>IF(AZ185="",NA(),COUNTIF(AZ185:$AZ$510,AZ185))</f>
        <v>#N/A</v>
      </c>
      <c r="BB185" s="19">
        <v>175</v>
      </c>
      <c r="BC185" s="19">
        <f t="shared" si="34"/>
        <v>3.041623267930289</v>
      </c>
      <c r="BD185" s="19">
        <v>13</v>
      </c>
      <c r="BE185" s="19" t="e">
        <f t="shared" si="35"/>
        <v>#N/A</v>
      </c>
      <c r="BF185" s="19" t="e">
        <f t="shared" si="36"/>
        <v>#N/A</v>
      </c>
      <c r="BG185" s="19">
        <f t="shared" si="37"/>
        <v>3</v>
      </c>
      <c r="BH185" s="19" t="e">
        <f t="shared" si="38"/>
        <v>#N/A</v>
      </c>
    </row>
    <row r="186" spans="3:60" ht="11.25" customHeight="1" x14ac:dyDescent="0.2">
      <c r="C186" s="485"/>
      <c r="D186" s="417"/>
      <c r="AE186" s="417"/>
      <c r="AV186" s="462" t="str">
        <f t="shared" si="29"/>
        <v/>
      </c>
      <c r="AW186" s="463" t="str">
        <f t="shared" si="30"/>
        <v/>
      </c>
      <c r="AX186" s="19" t="e">
        <f t="shared" si="31"/>
        <v>#N/A</v>
      </c>
      <c r="AY186" s="19" t="e">
        <f t="shared" si="32"/>
        <v>#N/A</v>
      </c>
      <c r="AZ186" s="19" t="str">
        <f t="shared" si="33"/>
        <v/>
      </c>
      <c r="BA186" s="19" t="e">
        <f>IF(AZ186="",NA(),COUNTIF(AZ186:$AZ$510,AZ186))</f>
        <v>#N/A</v>
      </c>
      <c r="BB186" s="19">
        <v>176</v>
      </c>
      <c r="BC186" s="19">
        <f t="shared" si="34"/>
        <v>3.0375588612660618</v>
      </c>
      <c r="BD186" s="19">
        <v>12.5</v>
      </c>
      <c r="BE186" s="19" t="e">
        <f t="shared" si="35"/>
        <v>#N/A</v>
      </c>
      <c r="BF186" s="19" t="e">
        <f t="shared" si="36"/>
        <v>#N/A</v>
      </c>
      <c r="BG186" s="19">
        <f t="shared" si="37"/>
        <v>3</v>
      </c>
      <c r="BH186" s="19" t="e">
        <f t="shared" si="38"/>
        <v>#N/A</v>
      </c>
    </row>
    <row r="187" spans="3:60" ht="11.25" customHeight="1" x14ac:dyDescent="0.2">
      <c r="C187" s="485"/>
      <c r="D187" s="417"/>
      <c r="AE187" s="417"/>
      <c r="AV187" s="462" t="str">
        <f t="shared" si="29"/>
        <v/>
      </c>
      <c r="AW187" s="463" t="str">
        <f t="shared" si="30"/>
        <v/>
      </c>
      <c r="AX187" s="19" t="e">
        <f t="shared" si="31"/>
        <v>#N/A</v>
      </c>
      <c r="AY187" s="19" t="e">
        <f t="shared" si="32"/>
        <v>#N/A</v>
      </c>
      <c r="AZ187" s="19" t="str">
        <f t="shared" si="33"/>
        <v/>
      </c>
      <c r="BA187" s="19" t="e">
        <f>IF(AZ187="",NA(),COUNTIF(AZ187:$AZ$510,AZ187))</f>
        <v>#N/A</v>
      </c>
      <c r="BB187" s="19">
        <v>177</v>
      </c>
      <c r="BC187" s="19">
        <f t="shared" si="34"/>
        <v>3.0338405347240225</v>
      </c>
      <c r="BD187" s="19">
        <v>12</v>
      </c>
      <c r="BE187" s="19" t="e">
        <f t="shared" si="35"/>
        <v>#N/A</v>
      </c>
      <c r="BF187" s="19" t="e">
        <f t="shared" si="36"/>
        <v>#N/A</v>
      </c>
      <c r="BG187" s="19">
        <f t="shared" si="37"/>
        <v>3</v>
      </c>
      <c r="BH187" s="19" t="e">
        <f t="shared" si="38"/>
        <v>#N/A</v>
      </c>
    </row>
    <row r="188" spans="3:60" ht="11.25" customHeight="1" x14ac:dyDescent="0.2">
      <c r="C188" s="485"/>
      <c r="D188" s="417"/>
      <c r="AE188" s="417"/>
      <c r="AV188" s="462" t="str">
        <f t="shared" si="29"/>
        <v/>
      </c>
      <c r="AW188" s="463" t="str">
        <f t="shared" si="30"/>
        <v/>
      </c>
      <c r="AX188" s="19" t="e">
        <f t="shared" si="31"/>
        <v>#N/A</v>
      </c>
      <c r="AY188" s="19" t="e">
        <f t="shared" si="32"/>
        <v>#N/A</v>
      </c>
      <c r="AZ188" s="19" t="str">
        <f t="shared" si="33"/>
        <v/>
      </c>
      <c r="BA188" s="19" t="e">
        <f>IF(AZ188="",NA(),COUNTIF(AZ188:$AZ$510,AZ188))</f>
        <v>#N/A</v>
      </c>
      <c r="BB188" s="19">
        <v>178</v>
      </c>
      <c r="BC188" s="19">
        <f t="shared" si="34"/>
        <v>3.0304446212388498</v>
      </c>
      <c r="BD188" s="19">
        <v>11.5</v>
      </c>
      <c r="BE188" s="19" t="e">
        <f t="shared" si="35"/>
        <v>#N/A</v>
      </c>
      <c r="BF188" s="19" t="e">
        <f t="shared" si="36"/>
        <v>#N/A</v>
      </c>
      <c r="BG188" s="19">
        <f t="shared" si="37"/>
        <v>3</v>
      </c>
      <c r="BH188" s="19" t="e">
        <f t="shared" si="38"/>
        <v>#N/A</v>
      </c>
    </row>
    <row r="189" spans="3:60" ht="11.25" customHeight="1" x14ac:dyDescent="0.2">
      <c r="C189" s="485"/>
      <c r="D189" s="417"/>
      <c r="AE189" s="417"/>
      <c r="AV189" s="462" t="str">
        <f t="shared" si="29"/>
        <v/>
      </c>
      <c r="AW189" s="463" t="str">
        <f t="shared" si="30"/>
        <v/>
      </c>
      <c r="AX189" s="19" t="e">
        <f t="shared" si="31"/>
        <v>#N/A</v>
      </c>
      <c r="AY189" s="19" t="e">
        <f t="shared" si="32"/>
        <v>#N/A</v>
      </c>
      <c r="AZ189" s="19" t="str">
        <f t="shared" si="33"/>
        <v/>
      </c>
      <c r="BA189" s="19" t="e">
        <f>IF(AZ189="",NA(),COUNTIF(AZ189:$AZ$510,AZ189))</f>
        <v>#N/A</v>
      </c>
      <c r="BB189" s="19">
        <v>179</v>
      </c>
      <c r="BC189" s="19">
        <f t="shared" si="34"/>
        <v>3.0273484358239067</v>
      </c>
      <c r="BD189" s="19">
        <v>11</v>
      </c>
      <c r="BE189" s="19" t="e">
        <f t="shared" si="35"/>
        <v>#N/A</v>
      </c>
      <c r="BF189" s="19" t="e">
        <f t="shared" si="36"/>
        <v>#N/A</v>
      </c>
      <c r="BG189" s="19">
        <f t="shared" si="37"/>
        <v>3</v>
      </c>
      <c r="BH189" s="19" t="e">
        <f t="shared" si="38"/>
        <v>#N/A</v>
      </c>
    </row>
    <row r="190" spans="3:60" ht="11.25" customHeight="1" x14ac:dyDescent="0.2">
      <c r="C190" s="485"/>
      <c r="D190" s="417"/>
      <c r="AE190" s="417"/>
      <c r="AV190" s="462" t="str">
        <f t="shared" si="29"/>
        <v/>
      </c>
      <c r="AW190" s="463" t="str">
        <f t="shared" si="30"/>
        <v/>
      </c>
      <c r="AX190" s="19" t="e">
        <f t="shared" si="31"/>
        <v>#N/A</v>
      </c>
      <c r="AY190" s="19" t="e">
        <f t="shared" si="32"/>
        <v>#N/A</v>
      </c>
      <c r="AZ190" s="19" t="str">
        <f t="shared" si="33"/>
        <v/>
      </c>
      <c r="BA190" s="19" t="e">
        <f>IF(AZ190="",NA(),COUNTIF(AZ190:$AZ$510,AZ190))</f>
        <v>#N/A</v>
      </c>
      <c r="BB190" s="19">
        <v>180</v>
      </c>
      <c r="BC190" s="19">
        <f t="shared" si="34"/>
        <v>3.0245303060843081</v>
      </c>
      <c r="BD190" s="19">
        <v>10.5</v>
      </c>
      <c r="BE190" s="19" t="e">
        <f t="shared" si="35"/>
        <v>#N/A</v>
      </c>
      <c r="BF190" s="19" t="e">
        <f t="shared" si="36"/>
        <v>#N/A</v>
      </c>
      <c r="BG190" s="19">
        <f t="shared" si="37"/>
        <v>3</v>
      </c>
      <c r="BH190" s="19" t="e">
        <f t="shared" si="38"/>
        <v>#N/A</v>
      </c>
    </row>
    <row r="191" spans="3:60" ht="11.25" customHeight="1" x14ac:dyDescent="0.2">
      <c r="C191" s="485"/>
      <c r="D191" s="417"/>
      <c r="AE191" s="417"/>
      <c r="AV191" s="462" t="str">
        <f t="shared" si="29"/>
        <v/>
      </c>
      <c r="AW191" s="463" t="str">
        <f t="shared" si="30"/>
        <v/>
      </c>
      <c r="AX191" s="19" t="e">
        <f t="shared" si="31"/>
        <v>#N/A</v>
      </c>
      <c r="AY191" s="19" t="e">
        <f t="shared" si="32"/>
        <v>#N/A</v>
      </c>
      <c r="AZ191" s="19" t="str">
        <f t="shared" si="33"/>
        <v/>
      </c>
      <c r="BA191" s="19" t="e">
        <f>IF(AZ191="",NA(),COUNTIF(AZ191:$AZ$510,AZ191))</f>
        <v>#N/A</v>
      </c>
      <c r="BB191" s="19">
        <v>181</v>
      </c>
      <c r="BC191" s="19">
        <f t="shared" si="34"/>
        <v>3.0219695924548748</v>
      </c>
      <c r="BD191" s="19">
        <v>10</v>
      </c>
      <c r="BE191" s="19" t="e">
        <f t="shared" si="35"/>
        <v>#N/A</v>
      </c>
      <c r="BF191" s="19" t="e">
        <f t="shared" si="36"/>
        <v>#N/A</v>
      </c>
      <c r="BG191" s="19">
        <f t="shared" si="37"/>
        <v>3</v>
      </c>
      <c r="BH191" s="19" t="e">
        <f t="shared" si="38"/>
        <v>#N/A</v>
      </c>
    </row>
    <row r="192" spans="3:60" ht="11.25" customHeight="1" x14ac:dyDescent="0.2">
      <c r="C192" s="485"/>
      <c r="D192" s="417"/>
      <c r="AE192" s="417"/>
      <c r="AV192" s="462" t="str">
        <f t="shared" si="29"/>
        <v/>
      </c>
      <c r="AW192" s="463" t="str">
        <f t="shared" si="30"/>
        <v/>
      </c>
      <c r="AX192" s="19" t="e">
        <f t="shared" si="31"/>
        <v>#N/A</v>
      </c>
      <c r="AY192" s="19" t="e">
        <f t="shared" si="32"/>
        <v>#N/A</v>
      </c>
      <c r="AZ192" s="19" t="str">
        <f t="shared" si="33"/>
        <v/>
      </c>
      <c r="BA192" s="19" t="e">
        <f>IF(AZ192="",NA(),COUNTIF(AZ192:$AZ$510,AZ192))</f>
        <v>#N/A</v>
      </c>
      <c r="BB192" s="19">
        <v>182</v>
      </c>
      <c r="BC192" s="19">
        <f t="shared" si="34"/>
        <v>3.0196466990347544</v>
      </c>
      <c r="BD192" s="19">
        <v>9.5</v>
      </c>
      <c r="BE192" s="19" t="e">
        <f t="shared" si="35"/>
        <v>#N/A</v>
      </c>
      <c r="BF192" s="19" t="e">
        <f t="shared" si="36"/>
        <v>#N/A</v>
      </c>
      <c r="BG192" s="19">
        <f t="shared" si="37"/>
        <v>3</v>
      </c>
      <c r="BH192" s="19" t="e">
        <f t="shared" si="38"/>
        <v>#N/A</v>
      </c>
    </row>
    <row r="193" spans="3:60" ht="11.25" customHeight="1" x14ac:dyDescent="0.2">
      <c r="C193" s="485"/>
      <c r="D193" s="417"/>
      <c r="AE193" s="417"/>
      <c r="AV193" s="462" t="str">
        <f t="shared" si="29"/>
        <v/>
      </c>
      <c r="AW193" s="463" t="str">
        <f t="shared" si="30"/>
        <v/>
      </c>
      <c r="AX193" s="19" t="e">
        <f t="shared" si="31"/>
        <v>#N/A</v>
      </c>
      <c r="AY193" s="19" t="e">
        <f t="shared" si="32"/>
        <v>#N/A</v>
      </c>
      <c r="AZ193" s="19" t="str">
        <f t="shared" si="33"/>
        <v/>
      </c>
      <c r="BA193" s="19" t="e">
        <f>IF(AZ193="",NA(),COUNTIF(AZ193:$AZ$510,AZ193))</f>
        <v>#N/A</v>
      </c>
      <c r="BB193" s="19">
        <v>183</v>
      </c>
      <c r="BC193" s="19">
        <f t="shared" si="34"/>
        <v>3.0175430758947512</v>
      </c>
      <c r="BD193" s="19">
        <v>9</v>
      </c>
      <c r="BE193" s="19" t="e">
        <f t="shared" si="35"/>
        <v>#N/A</v>
      </c>
      <c r="BF193" s="19" t="e">
        <f t="shared" si="36"/>
        <v>#N/A</v>
      </c>
      <c r="BG193" s="19">
        <f t="shared" si="37"/>
        <v>3</v>
      </c>
      <c r="BH193" s="19" t="e">
        <f t="shared" si="38"/>
        <v>#N/A</v>
      </c>
    </row>
    <row r="194" spans="3:60" ht="11.25" customHeight="1" x14ac:dyDescent="0.2">
      <c r="C194" s="485"/>
      <c r="D194" s="417"/>
      <c r="AE194" s="417"/>
      <c r="AV194" s="462" t="str">
        <f t="shared" si="29"/>
        <v/>
      </c>
      <c r="AW194" s="463" t="str">
        <f t="shared" si="30"/>
        <v/>
      </c>
      <c r="AX194" s="19" t="e">
        <f t="shared" si="31"/>
        <v>#N/A</v>
      </c>
      <c r="AY194" s="19" t="e">
        <f t="shared" si="32"/>
        <v>#N/A</v>
      </c>
      <c r="AZ194" s="19" t="str">
        <f t="shared" si="33"/>
        <v/>
      </c>
      <c r="BA194" s="19" t="e">
        <f>IF(AZ194="",NA(),COUNTIF(AZ194:$AZ$510,AZ194))</f>
        <v>#N/A</v>
      </c>
      <c r="BB194" s="19">
        <v>184</v>
      </c>
      <c r="BC194" s="19">
        <f t="shared" si="34"/>
        <v>3.0156412137272537</v>
      </c>
      <c r="BD194" s="19">
        <v>8.5</v>
      </c>
      <c r="BE194" s="19" t="e">
        <f t="shared" si="35"/>
        <v>#N/A</v>
      </c>
      <c r="BF194" s="19" t="e">
        <f t="shared" si="36"/>
        <v>#N/A</v>
      </c>
      <c r="BG194" s="19">
        <f t="shared" si="37"/>
        <v>3</v>
      </c>
      <c r="BH194" s="19" t="e">
        <f t="shared" si="38"/>
        <v>#N/A</v>
      </c>
    </row>
    <row r="195" spans="3:60" ht="11.25" customHeight="1" x14ac:dyDescent="0.2">
      <c r="C195" s="485"/>
      <c r="D195" s="417"/>
      <c r="AE195" s="417"/>
      <c r="AV195" s="462" t="str">
        <f t="shared" si="29"/>
        <v/>
      </c>
      <c r="AW195" s="463" t="str">
        <f t="shared" si="30"/>
        <v/>
      </c>
      <c r="AX195" s="19" t="e">
        <f t="shared" si="31"/>
        <v>#N/A</v>
      </c>
      <c r="AY195" s="19" t="e">
        <f t="shared" si="32"/>
        <v>#N/A</v>
      </c>
      <c r="AZ195" s="19" t="str">
        <f t="shared" si="33"/>
        <v/>
      </c>
      <c r="BA195" s="19" t="e">
        <f>IF(AZ195="",NA(),COUNTIF(AZ195:$AZ$510,AZ195))</f>
        <v>#N/A</v>
      </c>
      <c r="BB195" s="19">
        <v>185</v>
      </c>
      <c r="BC195" s="19">
        <f t="shared" si="34"/>
        <v>3.0139246316933153</v>
      </c>
      <c r="BD195" s="19">
        <v>8</v>
      </c>
      <c r="BE195" s="19" t="e">
        <f t="shared" si="35"/>
        <v>#N/A</v>
      </c>
      <c r="BF195" s="19" t="e">
        <f t="shared" si="36"/>
        <v>#N/A</v>
      </c>
      <c r="BG195" s="19">
        <f t="shared" si="37"/>
        <v>3</v>
      </c>
      <c r="BH195" s="19" t="e">
        <f t="shared" si="38"/>
        <v>#N/A</v>
      </c>
    </row>
    <row r="196" spans="3:60" ht="11.25" customHeight="1" x14ac:dyDescent="0.2">
      <c r="C196" s="485"/>
      <c r="D196" s="417"/>
      <c r="AE196" s="417"/>
      <c r="AV196" s="462" t="str">
        <f t="shared" si="29"/>
        <v/>
      </c>
      <c r="AW196" s="463" t="str">
        <f t="shared" si="30"/>
        <v/>
      </c>
      <c r="AX196" s="19" t="e">
        <f t="shared" si="31"/>
        <v>#N/A</v>
      </c>
      <c r="AY196" s="19" t="e">
        <f t="shared" si="32"/>
        <v>#N/A</v>
      </c>
      <c r="AZ196" s="19" t="str">
        <f t="shared" si="33"/>
        <v/>
      </c>
      <c r="BA196" s="19" t="e">
        <f>IF(AZ196="",NA(),COUNTIF(AZ196:$AZ$510,AZ196))</f>
        <v>#N/A</v>
      </c>
      <c r="BB196" s="19">
        <v>186</v>
      </c>
      <c r="BC196" s="19">
        <f t="shared" si="34"/>
        <v>3.0123778592980104</v>
      </c>
      <c r="BD196" s="19">
        <v>7.5</v>
      </c>
      <c r="BE196" s="19" t="e">
        <f t="shared" si="35"/>
        <v>#N/A</v>
      </c>
      <c r="BF196" s="19" t="e">
        <f t="shared" si="36"/>
        <v>#N/A</v>
      </c>
      <c r="BG196" s="19">
        <f t="shared" si="37"/>
        <v>3</v>
      </c>
      <c r="BH196" s="19" t="e">
        <f t="shared" si="38"/>
        <v>#N/A</v>
      </c>
    </row>
    <row r="197" spans="3:60" ht="11.25" customHeight="1" x14ac:dyDescent="0.2">
      <c r="C197" s="485"/>
      <c r="D197" s="417"/>
      <c r="AE197" s="417"/>
      <c r="AV197" s="462" t="str">
        <f t="shared" si="29"/>
        <v/>
      </c>
      <c r="AW197" s="463" t="str">
        <f t="shared" si="30"/>
        <v/>
      </c>
      <c r="AX197" s="19" t="e">
        <f t="shared" si="31"/>
        <v>#N/A</v>
      </c>
      <c r="AY197" s="19" t="e">
        <f t="shared" si="32"/>
        <v>#N/A</v>
      </c>
      <c r="AZ197" s="19" t="str">
        <f t="shared" si="33"/>
        <v/>
      </c>
      <c r="BA197" s="19" t="e">
        <f>IF(AZ197="",NA(),COUNTIF(AZ197:$AZ$510,AZ197))</f>
        <v>#N/A</v>
      </c>
      <c r="BB197" s="19">
        <v>187</v>
      </c>
      <c r="BC197" s="19">
        <f t="shared" si="34"/>
        <v>3.01098641309488</v>
      </c>
      <c r="BD197" s="19">
        <v>7</v>
      </c>
      <c r="BE197" s="19" t="e">
        <f t="shared" si="35"/>
        <v>#N/A</v>
      </c>
      <c r="BF197" s="19" t="e">
        <f t="shared" si="36"/>
        <v>#N/A</v>
      </c>
      <c r="BG197" s="19">
        <f t="shared" si="37"/>
        <v>3</v>
      </c>
      <c r="BH197" s="19" t="e">
        <f t="shared" si="38"/>
        <v>#N/A</v>
      </c>
    </row>
    <row r="198" spans="3:60" ht="11.25" customHeight="1" x14ac:dyDescent="0.2">
      <c r="C198" s="485"/>
      <c r="D198" s="417"/>
      <c r="AE198" s="417"/>
      <c r="AV198" s="462" t="str">
        <f t="shared" si="29"/>
        <v/>
      </c>
      <c r="AW198" s="463" t="str">
        <f t="shared" si="30"/>
        <v/>
      </c>
      <c r="AX198" s="19" t="e">
        <f t="shared" si="31"/>
        <v>#N/A</v>
      </c>
      <c r="AY198" s="19" t="e">
        <f t="shared" si="32"/>
        <v>#N/A</v>
      </c>
      <c r="AZ198" s="19" t="str">
        <f t="shared" si="33"/>
        <v/>
      </c>
      <c r="BA198" s="19" t="e">
        <f>IF(AZ198="",NA(),COUNTIF(AZ198:$AZ$510,AZ198))</f>
        <v>#N/A</v>
      </c>
      <c r="BB198" s="19">
        <v>188</v>
      </c>
      <c r="BC198" s="19">
        <f t="shared" si="34"/>
        <v>3.009736768984177</v>
      </c>
      <c r="BD198" s="19">
        <v>6.5</v>
      </c>
      <c r="BE198" s="19" t="e">
        <f t="shared" si="35"/>
        <v>#N/A</v>
      </c>
      <c r="BF198" s="19" t="e">
        <f t="shared" si="36"/>
        <v>#N/A</v>
      </c>
      <c r="BG198" s="19">
        <f t="shared" si="37"/>
        <v>3</v>
      </c>
      <c r="BH198" s="19" t="e">
        <f t="shared" si="38"/>
        <v>#N/A</v>
      </c>
    </row>
    <row r="199" spans="3:60" ht="11.25" customHeight="1" x14ac:dyDescent="0.2">
      <c r="C199" s="485"/>
      <c r="D199" s="417"/>
      <c r="AE199" s="417"/>
      <c r="AV199" s="462" t="str">
        <f t="shared" si="29"/>
        <v/>
      </c>
      <c r="AW199" s="463" t="str">
        <f t="shared" si="30"/>
        <v/>
      </c>
      <c r="AX199" s="19" t="e">
        <f t="shared" si="31"/>
        <v>#N/A</v>
      </c>
      <c r="AY199" s="19" t="e">
        <f t="shared" si="32"/>
        <v>#N/A</v>
      </c>
      <c r="AZ199" s="19" t="str">
        <f t="shared" si="33"/>
        <v/>
      </c>
      <c r="BA199" s="19" t="e">
        <f>IF(AZ199="",NA(),COUNTIF(AZ199:$AZ$510,AZ199))</f>
        <v>#N/A</v>
      </c>
      <c r="BB199" s="19">
        <v>189</v>
      </c>
      <c r="BC199" s="19">
        <f t="shared" si="34"/>
        <v>3.0086163308288412</v>
      </c>
      <c r="BD199" s="19">
        <v>6</v>
      </c>
      <c r="BE199" s="19" t="e">
        <f t="shared" si="35"/>
        <v>#N/A</v>
      </c>
      <c r="BF199" s="19" t="e">
        <f t="shared" si="36"/>
        <v>#N/A</v>
      </c>
      <c r="BG199" s="19">
        <f t="shared" si="37"/>
        <v>3</v>
      </c>
      <c r="BH199" s="19" t="e">
        <f t="shared" si="38"/>
        <v>#N/A</v>
      </c>
    </row>
    <row r="200" spans="3:60" ht="11.25" customHeight="1" x14ac:dyDescent="0.2">
      <c r="C200" s="485"/>
      <c r="D200" s="417"/>
      <c r="AE200" s="417"/>
      <c r="AV200" s="462" t="str">
        <f t="shared" si="29"/>
        <v/>
      </c>
      <c r="AW200" s="463" t="str">
        <f t="shared" si="30"/>
        <v/>
      </c>
      <c r="AX200" s="19" t="e">
        <f t="shared" si="31"/>
        <v>#N/A</v>
      </c>
      <c r="AY200" s="19" t="e">
        <f t="shared" si="32"/>
        <v>#N/A</v>
      </c>
      <c r="AZ200" s="19" t="str">
        <f t="shared" si="33"/>
        <v/>
      </c>
      <c r="BA200" s="19" t="e">
        <f>IF(AZ200="",NA(),COUNTIF(AZ200:$AZ$510,AZ200))</f>
        <v>#N/A</v>
      </c>
      <c r="BB200" s="19">
        <v>190</v>
      </c>
      <c r="BC200" s="19">
        <f t="shared" si="34"/>
        <v>3.007613396067693</v>
      </c>
      <c r="BD200" s="19">
        <v>5.5</v>
      </c>
      <c r="BE200" s="19" t="e">
        <f t="shared" si="35"/>
        <v>#N/A</v>
      </c>
      <c r="BF200" s="19" t="e">
        <f t="shared" si="36"/>
        <v>#N/A</v>
      </c>
      <c r="BG200" s="19">
        <f t="shared" si="37"/>
        <v>3</v>
      </c>
      <c r="BH200" s="19" t="e">
        <f t="shared" si="38"/>
        <v>#N/A</v>
      </c>
    </row>
    <row r="201" spans="3:60" ht="11.25" customHeight="1" x14ac:dyDescent="0.2">
      <c r="C201" s="485"/>
      <c r="D201" s="417"/>
      <c r="AE201" s="417"/>
      <c r="AV201" s="462" t="str">
        <f t="shared" ref="AV201:AV264" si="39">IF(ISBLANK(D201),"",IF($AP$17,$AP$20*$AP$21,D201*$AP$19))</f>
        <v/>
      </c>
      <c r="AW201" s="463" t="str">
        <f t="shared" ref="AW201:AW264" si="40">IF(ISBLANK(C201),"",(NORMDIST(C201+AV201,$I$6,$AP$21,TRUE)-NORMDIST(C201-AV201,$I$6,$AP$21,TRUE))*100)</f>
        <v/>
      </c>
      <c r="AX201" s="19" t="e">
        <f t="shared" si="31"/>
        <v>#N/A</v>
      </c>
      <c r="AY201" s="19" t="e">
        <f t="shared" si="32"/>
        <v>#N/A</v>
      </c>
      <c r="AZ201" s="19" t="str">
        <f t="shared" si="33"/>
        <v/>
      </c>
      <c r="BA201" s="19" t="e">
        <f>IF(AZ201="",NA(),COUNTIF(AZ201:$AZ$510,AZ201))</f>
        <v>#N/A</v>
      </c>
      <c r="BB201" s="19">
        <v>191</v>
      </c>
      <c r="BC201" s="19">
        <f t="shared" si="34"/>
        <v>3.0067171189582216</v>
      </c>
      <c r="BD201" s="19">
        <v>5</v>
      </c>
      <c r="BE201" s="19" t="e">
        <f t="shared" si="35"/>
        <v>#N/A</v>
      </c>
      <c r="BF201" s="19" t="e">
        <f t="shared" si="36"/>
        <v>#N/A</v>
      </c>
      <c r="BG201" s="19">
        <f t="shared" si="37"/>
        <v>3</v>
      </c>
      <c r="BH201" s="19" t="e">
        <f t="shared" si="38"/>
        <v>#N/A</v>
      </c>
    </row>
    <row r="202" spans="3:60" ht="11.25" customHeight="1" x14ac:dyDescent="0.2">
      <c r="C202" s="485"/>
      <c r="D202" s="417"/>
      <c r="AE202" s="417"/>
      <c r="AV202" s="462" t="str">
        <f t="shared" si="39"/>
        <v/>
      </c>
      <c r="AW202" s="463" t="str">
        <f t="shared" si="40"/>
        <v/>
      </c>
      <c r="AX202" s="19" t="e">
        <f t="shared" si="31"/>
        <v>#N/A</v>
      </c>
      <c r="AY202" s="19" t="e">
        <f t="shared" si="32"/>
        <v>#N/A</v>
      </c>
      <c r="AZ202" s="19" t="str">
        <f t="shared" si="33"/>
        <v/>
      </c>
      <c r="BA202" s="19" t="e">
        <f>IF(AZ202="",NA(),COUNTIF(AZ202:$AZ$510,AZ202))</f>
        <v>#N/A</v>
      </c>
      <c r="BB202" s="19">
        <v>192</v>
      </c>
      <c r="BC202" s="19">
        <f t="shared" si="34"/>
        <v>3.0059174720324493</v>
      </c>
      <c r="BD202" s="19">
        <v>4.5</v>
      </c>
      <c r="BE202" s="19" t="e">
        <f t="shared" si="35"/>
        <v>#N/A</v>
      </c>
      <c r="BF202" s="19" t="e">
        <f t="shared" si="36"/>
        <v>#N/A</v>
      </c>
      <c r="BG202" s="19">
        <f t="shared" si="37"/>
        <v>3</v>
      </c>
      <c r="BH202" s="19" t="e">
        <f t="shared" si="38"/>
        <v>#N/A</v>
      </c>
    </row>
    <row r="203" spans="3:60" ht="11.25" customHeight="1" x14ac:dyDescent="0.2">
      <c r="C203" s="485"/>
      <c r="D203" s="417"/>
      <c r="AE203" s="417"/>
      <c r="AV203" s="462" t="str">
        <f t="shared" si="39"/>
        <v/>
      </c>
      <c r="AW203" s="463" t="str">
        <f t="shared" si="40"/>
        <v/>
      </c>
      <c r="AX203" s="19" t="e">
        <f t="shared" ref="AX203:AX266" si="41">IF(OR(NOT(Repchange),AZ203=""),NA(),AZ203*$AO$12/100)</f>
        <v>#N/A</v>
      </c>
      <c r="AY203" s="19" t="e">
        <f t="shared" ref="AY203:AY266" si="42">$AO$11*(BA203-0.5)</f>
        <v>#N/A</v>
      </c>
      <c r="AZ203" s="19" t="str">
        <f t="shared" ref="AZ203:AZ266" si="43">IF(AW201="","",ROUND(AW201/$AO$12,0))</f>
        <v/>
      </c>
      <c r="BA203" s="19" t="e">
        <f>IF(AZ203="",NA(),COUNTIF(AZ203:$AZ$510,AZ203))</f>
        <v>#N/A</v>
      </c>
      <c r="BB203" s="19">
        <v>193</v>
      </c>
      <c r="BC203" s="19">
        <f t="shared" ref="BC203:BC211" si="44">IF(AND($AP$14,$AP$22),$AR$1+$BD$9*NORMDIST(BD203,$I$6,$AP$21,FALSE),NA())</f>
        <v>3.0052052062994932</v>
      </c>
      <c r="BD203" s="19">
        <v>4</v>
      </c>
      <c r="BE203" s="19" t="e">
        <f t="shared" ref="BE203:BE211" si="45">IF(AND($AP$18,$B$4,$AP$23),$AR$1,NA())</f>
        <v>#N/A</v>
      </c>
      <c r="BF203" s="19" t="e">
        <f t="shared" ref="BF203:BF211" si="46">IF(AND($AP$25&gt;=BD203,$AP$26&lt;=BD203),BC203-$AR$1,NA())</f>
        <v>#N/A</v>
      </c>
      <c r="BG203" s="19">
        <f t="shared" ref="BG203:BG211" si="47">IF(AND($AP$15,$AP$16),$AR$1,NA())</f>
        <v>3</v>
      </c>
      <c r="BH203" s="19" t="e">
        <f t="shared" ref="BH203:BH211" si="48">IF(AND($AT$3&gt;BD203,$AT$4&lt;=BD203),BC203-$AR$1,NA())</f>
        <v>#N/A</v>
      </c>
    </row>
    <row r="204" spans="3:60" ht="11.25" customHeight="1" x14ac:dyDescent="0.2">
      <c r="C204" s="485"/>
      <c r="D204" s="417"/>
      <c r="AE204" s="417"/>
      <c r="AV204" s="462" t="str">
        <f t="shared" si="39"/>
        <v/>
      </c>
      <c r="AW204" s="463" t="str">
        <f t="shared" si="40"/>
        <v/>
      </c>
      <c r="AX204" s="19" t="e">
        <f t="shared" si="41"/>
        <v>#N/A</v>
      </c>
      <c r="AY204" s="19" t="e">
        <f t="shared" si="42"/>
        <v>#N/A</v>
      </c>
      <c r="AZ204" s="19" t="str">
        <f t="shared" si="43"/>
        <v/>
      </c>
      <c r="BA204" s="19" t="e">
        <f>IF(AZ204="",NA(),COUNTIF(AZ204:$AZ$510,AZ204))</f>
        <v>#N/A</v>
      </c>
      <c r="BB204" s="19">
        <v>194</v>
      </c>
      <c r="BC204" s="19">
        <f t="shared" si="44"/>
        <v>3.0045718106783963</v>
      </c>
      <c r="BD204" s="19">
        <v>3.5</v>
      </c>
      <c r="BE204" s="19" t="e">
        <f t="shared" si="45"/>
        <v>#N/A</v>
      </c>
      <c r="BF204" s="19" t="e">
        <f t="shared" si="46"/>
        <v>#N/A</v>
      </c>
      <c r="BG204" s="19">
        <f t="shared" si="47"/>
        <v>3</v>
      </c>
      <c r="BH204" s="19" t="e">
        <f t="shared" si="48"/>
        <v>#N/A</v>
      </c>
    </row>
    <row r="205" spans="3:60" ht="11.25" customHeight="1" x14ac:dyDescent="0.2">
      <c r="C205" s="485"/>
      <c r="D205" s="417"/>
      <c r="AE205" s="417"/>
      <c r="AV205" s="462" t="str">
        <f t="shared" si="39"/>
        <v/>
      </c>
      <c r="AW205" s="463" t="str">
        <f t="shared" si="40"/>
        <v/>
      </c>
      <c r="AX205" s="19" t="e">
        <f t="shared" si="41"/>
        <v>#N/A</v>
      </c>
      <c r="AY205" s="19" t="e">
        <f t="shared" si="42"/>
        <v>#N/A</v>
      </c>
      <c r="AZ205" s="19" t="str">
        <f t="shared" si="43"/>
        <v/>
      </c>
      <c r="BA205" s="19" t="e">
        <f>IF(AZ205="",NA(),COUNTIF(AZ205:$AZ$510,AZ205))</f>
        <v>#N/A</v>
      </c>
      <c r="BB205" s="19">
        <v>195</v>
      </c>
      <c r="BC205" s="19">
        <f t="shared" si="44"/>
        <v>3.0040094710951597</v>
      </c>
      <c r="BD205" s="19">
        <v>3</v>
      </c>
      <c r="BE205" s="19" t="e">
        <f t="shared" si="45"/>
        <v>#N/A</v>
      </c>
      <c r="BF205" s="19" t="e">
        <f t="shared" si="46"/>
        <v>#N/A</v>
      </c>
      <c r="BG205" s="19">
        <f t="shared" si="47"/>
        <v>3</v>
      </c>
      <c r="BH205" s="19" t="e">
        <f t="shared" si="48"/>
        <v>#N/A</v>
      </c>
    </row>
    <row r="206" spans="3:60" ht="11.25" customHeight="1" x14ac:dyDescent="0.2">
      <c r="C206" s="485"/>
      <c r="D206" s="417"/>
      <c r="AE206" s="417"/>
      <c r="AV206" s="462" t="str">
        <f t="shared" si="39"/>
        <v/>
      </c>
      <c r="AW206" s="463" t="str">
        <f t="shared" si="40"/>
        <v/>
      </c>
      <c r="AX206" s="19" t="e">
        <f t="shared" si="41"/>
        <v>#N/A</v>
      </c>
      <c r="AY206" s="19" t="e">
        <f t="shared" si="42"/>
        <v>#N/A</v>
      </c>
      <c r="AZ206" s="19" t="str">
        <f t="shared" si="43"/>
        <v/>
      </c>
      <c r="BA206" s="19" t="e">
        <f>IF(AZ206="",NA(),COUNTIF(AZ206:$AZ$510,AZ206))</f>
        <v>#N/A</v>
      </c>
      <c r="BB206" s="19">
        <v>196</v>
      </c>
      <c r="BC206" s="19">
        <f t="shared" si="44"/>
        <v>3.0035110296293284</v>
      </c>
      <c r="BD206" s="19">
        <v>2.5</v>
      </c>
      <c r="BE206" s="19" t="e">
        <f t="shared" si="45"/>
        <v>#N/A</v>
      </c>
      <c r="BF206" s="19" t="e">
        <f t="shared" si="46"/>
        <v>#N/A</v>
      </c>
      <c r="BG206" s="19">
        <f t="shared" si="47"/>
        <v>3</v>
      </c>
      <c r="BH206" s="19" t="e">
        <f t="shared" si="48"/>
        <v>#N/A</v>
      </c>
    </row>
    <row r="207" spans="3:60" ht="11.25" customHeight="1" x14ac:dyDescent="0.2">
      <c r="C207" s="485"/>
      <c r="D207" s="417"/>
      <c r="AE207" s="417"/>
      <c r="AV207" s="462" t="str">
        <f t="shared" si="39"/>
        <v/>
      </c>
      <c r="AW207" s="463" t="str">
        <f t="shared" si="40"/>
        <v/>
      </c>
      <c r="AX207" s="19" t="e">
        <f t="shared" si="41"/>
        <v>#N/A</v>
      </c>
      <c r="AY207" s="19" t="e">
        <f t="shared" si="42"/>
        <v>#N/A</v>
      </c>
      <c r="AZ207" s="19" t="str">
        <f t="shared" si="43"/>
        <v/>
      </c>
      <c r="BA207" s="19" t="e">
        <f>IF(AZ207="",NA(),COUNTIF(AZ207:$AZ$510,AZ207))</f>
        <v>#N/A</v>
      </c>
      <c r="BB207" s="19">
        <v>197</v>
      </c>
      <c r="BC207" s="19">
        <f t="shared" si="44"/>
        <v>3.0030699440483826</v>
      </c>
      <c r="BD207" s="19">
        <v>2</v>
      </c>
      <c r="BE207" s="19" t="e">
        <f t="shared" si="45"/>
        <v>#N/A</v>
      </c>
      <c r="BF207" s="19" t="e">
        <f t="shared" si="46"/>
        <v>#N/A</v>
      </c>
      <c r="BG207" s="19">
        <f t="shared" si="47"/>
        <v>3</v>
      </c>
      <c r="BH207" s="19" t="e">
        <f t="shared" si="48"/>
        <v>#N/A</v>
      </c>
    </row>
    <row r="208" spans="3:60" ht="11.25" customHeight="1" x14ac:dyDescent="0.2">
      <c r="C208" s="485"/>
      <c r="D208" s="417"/>
      <c r="AE208" s="417"/>
      <c r="AV208" s="462" t="str">
        <f t="shared" si="39"/>
        <v/>
      </c>
      <c r="AW208" s="463" t="str">
        <f t="shared" si="40"/>
        <v/>
      </c>
      <c r="AX208" s="19" t="e">
        <f t="shared" si="41"/>
        <v>#N/A</v>
      </c>
      <c r="AY208" s="19" t="e">
        <f t="shared" si="42"/>
        <v>#N/A</v>
      </c>
      <c r="AZ208" s="19" t="str">
        <f t="shared" si="43"/>
        <v/>
      </c>
      <c r="BA208" s="19" t="e">
        <f>IF(AZ208="",NA(),COUNTIF(AZ208:$AZ$510,AZ208))</f>
        <v>#N/A</v>
      </c>
      <c r="BB208" s="19">
        <v>198</v>
      </c>
      <c r="BC208" s="19">
        <f t="shared" si="44"/>
        <v>3.0026802480230383</v>
      </c>
      <c r="BD208" s="19">
        <v>1.5</v>
      </c>
      <c r="BE208" s="19" t="e">
        <f t="shared" si="45"/>
        <v>#N/A</v>
      </c>
      <c r="BF208" s="19" t="e">
        <f t="shared" si="46"/>
        <v>#N/A</v>
      </c>
      <c r="BG208" s="19">
        <f t="shared" si="47"/>
        <v>3</v>
      </c>
      <c r="BH208" s="19" t="e">
        <f t="shared" si="48"/>
        <v>#N/A</v>
      </c>
    </row>
    <row r="209" spans="3:60" ht="11.25" customHeight="1" x14ac:dyDescent="0.2">
      <c r="C209" s="485"/>
      <c r="D209" s="417"/>
      <c r="AE209" s="417"/>
      <c r="AV209" s="462" t="str">
        <f t="shared" si="39"/>
        <v/>
      </c>
      <c r="AW209" s="463" t="str">
        <f t="shared" si="40"/>
        <v/>
      </c>
      <c r="AX209" s="19" t="e">
        <f t="shared" si="41"/>
        <v>#N/A</v>
      </c>
      <c r="AY209" s="19" t="e">
        <f t="shared" si="42"/>
        <v>#N/A</v>
      </c>
      <c r="AZ209" s="19" t="str">
        <f t="shared" si="43"/>
        <v/>
      </c>
      <c r="BA209" s="19" t="e">
        <f>IF(AZ209="",NA(),COUNTIF(AZ209:$AZ$510,AZ209))</f>
        <v>#N/A</v>
      </c>
      <c r="BB209" s="19">
        <v>199</v>
      </c>
      <c r="BC209" s="19">
        <f t="shared" si="44"/>
        <v>3.0023365122736485</v>
      </c>
      <c r="BD209" s="19">
        <v>1</v>
      </c>
      <c r="BE209" s="19" t="e">
        <f t="shared" si="45"/>
        <v>#N/A</v>
      </c>
      <c r="BF209" s="19" t="e">
        <f t="shared" si="46"/>
        <v>#N/A</v>
      </c>
      <c r="BG209" s="19">
        <f t="shared" si="47"/>
        <v>3</v>
      </c>
      <c r="BH209" s="19" t="e">
        <f t="shared" si="48"/>
        <v>#N/A</v>
      </c>
    </row>
    <row r="210" spans="3:60" ht="11.25" customHeight="1" x14ac:dyDescent="0.2">
      <c r="C210" s="485"/>
      <c r="D210" s="417"/>
      <c r="AE210" s="417"/>
      <c r="AV210" s="462" t="str">
        <f t="shared" si="39"/>
        <v/>
      </c>
      <c r="AW210" s="463" t="str">
        <f t="shared" si="40"/>
        <v/>
      </c>
      <c r="AX210" s="19" t="e">
        <f t="shared" si="41"/>
        <v>#N/A</v>
      </c>
      <c r="AY210" s="19" t="e">
        <f t="shared" si="42"/>
        <v>#N/A</v>
      </c>
      <c r="AZ210" s="19" t="str">
        <f t="shared" si="43"/>
        <v/>
      </c>
      <c r="BA210" s="19" t="e">
        <f>IF(AZ210="",NA(),COUNTIF(AZ210:$AZ$510,AZ210))</f>
        <v>#N/A</v>
      </c>
      <c r="BB210" s="19">
        <v>200</v>
      </c>
      <c r="BC210" s="19">
        <f t="shared" si="44"/>
        <v>3.0020338068575287</v>
      </c>
      <c r="BD210" s="19">
        <v>0.5</v>
      </c>
      <c r="BE210" s="19" t="e">
        <f t="shared" si="45"/>
        <v>#N/A</v>
      </c>
      <c r="BF210" s="19" t="e">
        <f t="shared" si="46"/>
        <v>#N/A</v>
      </c>
      <c r="BG210" s="19">
        <f t="shared" si="47"/>
        <v>3</v>
      </c>
      <c r="BH210" s="19" t="e">
        <f t="shared" si="48"/>
        <v>#N/A</v>
      </c>
    </row>
    <row r="211" spans="3:60" ht="11.25" customHeight="1" x14ac:dyDescent="0.2">
      <c r="C211" s="485"/>
      <c r="D211" s="417"/>
      <c r="AE211" s="417"/>
      <c r="AV211" s="462" t="str">
        <f t="shared" si="39"/>
        <v/>
      </c>
      <c r="AW211" s="463" t="str">
        <f t="shared" si="40"/>
        <v/>
      </c>
      <c r="AX211" s="19" t="e">
        <f t="shared" si="41"/>
        <v>#N/A</v>
      </c>
      <c r="AY211" s="19" t="e">
        <f t="shared" si="42"/>
        <v>#N/A</v>
      </c>
      <c r="AZ211" s="19" t="str">
        <f t="shared" si="43"/>
        <v/>
      </c>
      <c r="BA211" s="19" t="e">
        <f>IF(AZ211="",NA(),COUNTIF(AZ211:$AZ$510,AZ211))</f>
        <v>#N/A</v>
      </c>
      <c r="BC211" s="19">
        <f t="shared" si="44"/>
        <v>3.0017676647693667</v>
      </c>
      <c r="BD211" s="19">
        <v>0</v>
      </c>
      <c r="BE211" s="19" t="e">
        <f t="shared" si="45"/>
        <v>#N/A</v>
      </c>
      <c r="BF211" s="19" t="e">
        <f t="shared" si="46"/>
        <v>#N/A</v>
      </c>
      <c r="BG211" s="19">
        <f t="shared" si="47"/>
        <v>3</v>
      </c>
      <c r="BH211" s="19" t="e">
        <f t="shared" si="48"/>
        <v>#N/A</v>
      </c>
    </row>
    <row r="212" spans="3:60" ht="11.25" customHeight="1" x14ac:dyDescent="0.2">
      <c r="C212" s="485"/>
      <c r="D212" s="417"/>
      <c r="AE212" s="417"/>
      <c r="AV212" s="462" t="str">
        <f t="shared" si="39"/>
        <v/>
      </c>
      <c r="AW212" s="463" t="str">
        <f t="shared" si="40"/>
        <v/>
      </c>
      <c r="AX212" s="19" t="e">
        <f t="shared" si="41"/>
        <v>#N/A</v>
      </c>
      <c r="AY212" s="19" t="e">
        <f t="shared" si="42"/>
        <v>#N/A</v>
      </c>
      <c r="AZ212" s="19" t="str">
        <f t="shared" si="43"/>
        <v/>
      </c>
      <c r="BA212" s="19" t="e">
        <f>IF(AZ212="",NA(),COUNTIF(AZ212:$AZ$510,AZ212))</f>
        <v>#N/A</v>
      </c>
    </row>
    <row r="213" spans="3:60" ht="11.25" customHeight="1" x14ac:dyDescent="0.2">
      <c r="C213" s="485"/>
      <c r="D213" s="417"/>
      <c r="AE213" s="417"/>
      <c r="AV213" s="462" t="str">
        <f t="shared" si="39"/>
        <v/>
      </c>
      <c r="AW213" s="463" t="str">
        <f t="shared" si="40"/>
        <v/>
      </c>
      <c r="AX213" s="19" t="e">
        <f t="shared" si="41"/>
        <v>#N/A</v>
      </c>
      <c r="AY213" s="19" t="e">
        <f t="shared" si="42"/>
        <v>#N/A</v>
      </c>
      <c r="AZ213" s="19" t="str">
        <f t="shared" si="43"/>
        <v/>
      </c>
      <c r="BA213" s="19" t="e">
        <f>IF(AZ213="",NA(),COUNTIF(AZ213:$AZ$510,AZ213))</f>
        <v>#N/A</v>
      </c>
    </row>
    <row r="214" spans="3:60" ht="11.25" customHeight="1" x14ac:dyDescent="0.2">
      <c r="C214" s="485"/>
      <c r="D214" s="417"/>
      <c r="AE214" s="417"/>
      <c r="AV214" s="462" t="str">
        <f t="shared" si="39"/>
        <v/>
      </c>
      <c r="AW214" s="463" t="str">
        <f t="shared" si="40"/>
        <v/>
      </c>
      <c r="AX214" s="19" t="e">
        <f t="shared" si="41"/>
        <v>#N/A</v>
      </c>
      <c r="AY214" s="19" t="e">
        <f t="shared" si="42"/>
        <v>#N/A</v>
      </c>
      <c r="AZ214" s="19" t="str">
        <f t="shared" si="43"/>
        <v/>
      </c>
      <c r="BA214" s="19" t="e">
        <f>IF(AZ214="",NA(),COUNTIF(AZ214:$AZ$510,AZ214))</f>
        <v>#N/A</v>
      </c>
    </row>
    <row r="215" spans="3:60" ht="11.25" customHeight="1" x14ac:dyDescent="0.2">
      <c r="C215" s="485"/>
      <c r="D215" s="417"/>
      <c r="AE215" s="417"/>
      <c r="AV215" s="462" t="str">
        <f t="shared" si="39"/>
        <v/>
      </c>
      <c r="AW215" s="463" t="str">
        <f t="shared" si="40"/>
        <v/>
      </c>
      <c r="AX215" s="19" t="e">
        <f t="shared" si="41"/>
        <v>#N/A</v>
      </c>
      <c r="AY215" s="19" t="e">
        <f t="shared" si="42"/>
        <v>#N/A</v>
      </c>
      <c r="AZ215" s="19" t="str">
        <f t="shared" si="43"/>
        <v/>
      </c>
      <c r="BA215" s="19" t="e">
        <f>IF(AZ215="",NA(),COUNTIF(AZ215:$AZ$510,AZ215))</f>
        <v>#N/A</v>
      </c>
    </row>
    <row r="216" spans="3:60" ht="11.25" customHeight="1" x14ac:dyDescent="0.2">
      <c r="C216" s="485"/>
      <c r="D216" s="417"/>
      <c r="AE216" s="417"/>
      <c r="AV216" s="462" t="str">
        <f t="shared" si="39"/>
        <v/>
      </c>
      <c r="AW216" s="463" t="str">
        <f t="shared" si="40"/>
        <v/>
      </c>
      <c r="AX216" s="19" t="e">
        <f t="shared" si="41"/>
        <v>#N/A</v>
      </c>
      <c r="AY216" s="19" t="e">
        <f t="shared" si="42"/>
        <v>#N/A</v>
      </c>
      <c r="AZ216" s="19" t="str">
        <f t="shared" si="43"/>
        <v/>
      </c>
      <c r="BA216" s="19" t="e">
        <f>IF(AZ216="",NA(),COUNTIF(AZ216:$AZ$510,AZ216))</f>
        <v>#N/A</v>
      </c>
    </row>
    <row r="217" spans="3:60" ht="11.25" customHeight="1" x14ac:dyDescent="0.2">
      <c r="C217" s="485"/>
      <c r="D217" s="417"/>
      <c r="AE217" s="417"/>
      <c r="AV217" s="462" t="str">
        <f t="shared" si="39"/>
        <v/>
      </c>
      <c r="AW217" s="463" t="str">
        <f t="shared" si="40"/>
        <v/>
      </c>
      <c r="AX217" s="19" t="e">
        <f t="shared" si="41"/>
        <v>#N/A</v>
      </c>
      <c r="AY217" s="19" t="e">
        <f t="shared" si="42"/>
        <v>#N/A</v>
      </c>
      <c r="AZ217" s="19" t="str">
        <f t="shared" si="43"/>
        <v/>
      </c>
      <c r="BA217" s="19" t="e">
        <f>IF(AZ217="",NA(),COUNTIF(AZ217:$AZ$510,AZ217))</f>
        <v>#N/A</v>
      </c>
    </row>
    <row r="218" spans="3:60" ht="11.25" customHeight="1" x14ac:dyDescent="0.2">
      <c r="C218" s="485"/>
      <c r="D218" s="417"/>
      <c r="AE218" s="417"/>
      <c r="AV218" s="462" t="str">
        <f t="shared" si="39"/>
        <v/>
      </c>
      <c r="AW218" s="463" t="str">
        <f t="shared" si="40"/>
        <v/>
      </c>
      <c r="AX218" s="19" t="e">
        <f t="shared" si="41"/>
        <v>#N/A</v>
      </c>
      <c r="AY218" s="19" t="e">
        <f t="shared" si="42"/>
        <v>#N/A</v>
      </c>
      <c r="AZ218" s="19" t="str">
        <f t="shared" si="43"/>
        <v/>
      </c>
      <c r="BA218" s="19" t="e">
        <f>IF(AZ218="",NA(),COUNTIF(AZ218:$AZ$510,AZ218))</f>
        <v>#N/A</v>
      </c>
    </row>
    <row r="219" spans="3:60" ht="11.25" customHeight="1" x14ac:dyDescent="0.2">
      <c r="C219" s="485"/>
      <c r="D219" s="417"/>
      <c r="AE219" s="417"/>
      <c r="AV219" s="462" t="str">
        <f t="shared" si="39"/>
        <v/>
      </c>
      <c r="AW219" s="463" t="str">
        <f t="shared" si="40"/>
        <v/>
      </c>
      <c r="AX219" s="19" t="e">
        <f t="shared" si="41"/>
        <v>#N/A</v>
      </c>
      <c r="AY219" s="19" t="e">
        <f t="shared" si="42"/>
        <v>#N/A</v>
      </c>
      <c r="AZ219" s="19" t="str">
        <f t="shared" si="43"/>
        <v/>
      </c>
      <c r="BA219" s="19" t="e">
        <f>IF(AZ219="",NA(),COUNTIF(AZ219:$AZ$510,AZ219))</f>
        <v>#N/A</v>
      </c>
    </row>
    <row r="220" spans="3:60" ht="11.25" customHeight="1" x14ac:dyDescent="0.2">
      <c r="C220" s="485"/>
      <c r="D220" s="417"/>
      <c r="AE220" s="417"/>
      <c r="AV220" s="462" t="str">
        <f t="shared" si="39"/>
        <v/>
      </c>
      <c r="AW220" s="463" t="str">
        <f t="shared" si="40"/>
        <v/>
      </c>
      <c r="AX220" s="19" t="e">
        <f t="shared" si="41"/>
        <v>#N/A</v>
      </c>
      <c r="AY220" s="19" t="e">
        <f t="shared" si="42"/>
        <v>#N/A</v>
      </c>
      <c r="AZ220" s="19" t="str">
        <f t="shared" si="43"/>
        <v/>
      </c>
      <c r="BA220" s="19" t="e">
        <f>IF(AZ220="",NA(),COUNTIF(AZ220:$AZ$510,AZ220))</f>
        <v>#N/A</v>
      </c>
    </row>
    <row r="221" spans="3:60" ht="11.25" customHeight="1" x14ac:dyDescent="0.2">
      <c r="C221" s="485"/>
      <c r="D221" s="417"/>
      <c r="AE221" s="417"/>
      <c r="AV221" s="462" t="str">
        <f t="shared" si="39"/>
        <v/>
      </c>
      <c r="AW221" s="463" t="str">
        <f t="shared" si="40"/>
        <v/>
      </c>
      <c r="AX221" s="19" t="e">
        <f t="shared" si="41"/>
        <v>#N/A</v>
      </c>
      <c r="AY221" s="19" t="e">
        <f t="shared" si="42"/>
        <v>#N/A</v>
      </c>
      <c r="AZ221" s="19" t="str">
        <f t="shared" si="43"/>
        <v/>
      </c>
      <c r="BA221" s="19" t="e">
        <f>IF(AZ221="",NA(),COUNTIF(AZ221:$AZ$510,AZ221))</f>
        <v>#N/A</v>
      </c>
    </row>
    <row r="222" spans="3:60" ht="11.25" customHeight="1" x14ac:dyDescent="0.2">
      <c r="C222" s="485"/>
      <c r="D222" s="417"/>
      <c r="AE222" s="417"/>
      <c r="AV222" s="462" t="str">
        <f t="shared" si="39"/>
        <v/>
      </c>
      <c r="AW222" s="463" t="str">
        <f t="shared" si="40"/>
        <v/>
      </c>
      <c r="AX222" s="19" t="e">
        <f t="shared" si="41"/>
        <v>#N/A</v>
      </c>
      <c r="AY222" s="19" t="e">
        <f t="shared" si="42"/>
        <v>#N/A</v>
      </c>
      <c r="AZ222" s="19" t="str">
        <f t="shared" si="43"/>
        <v/>
      </c>
      <c r="BA222" s="19" t="e">
        <f>IF(AZ222="",NA(),COUNTIF(AZ222:$AZ$510,AZ222))</f>
        <v>#N/A</v>
      </c>
    </row>
    <row r="223" spans="3:60" ht="11.25" customHeight="1" x14ac:dyDescent="0.2">
      <c r="C223" s="485"/>
      <c r="D223" s="417"/>
      <c r="AE223" s="417"/>
      <c r="AV223" s="462" t="str">
        <f t="shared" si="39"/>
        <v/>
      </c>
      <c r="AW223" s="463" t="str">
        <f t="shared" si="40"/>
        <v/>
      </c>
      <c r="AX223" s="19" t="e">
        <f t="shared" si="41"/>
        <v>#N/A</v>
      </c>
      <c r="AY223" s="19" t="e">
        <f t="shared" si="42"/>
        <v>#N/A</v>
      </c>
      <c r="AZ223" s="19" t="str">
        <f t="shared" si="43"/>
        <v/>
      </c>
      <c r="BA223" s="19" t="e">
        <f>IF(AZ223="",NA(),COUNTIF(AZ223:$AZ$510,AZ223))</f>
        <v>#N/A</v>
      </c>
    </row>
    <row r="224" spans="3:60" ht="11.25" customHeight="1" x14ac:dyDescent="0.2">
      <c r="C224" s="485"/>
      <c r="D224" s="417"/>
      <c r="AE224" s="417"/>
      <c r="AV224" s="462" t="str">
        <f t="shared" si="39"/>
        <v/>
      </c>
      <c r="AW224" s="463" t="str">
        <f t="shared" si="40"/>
        <v/>
      </c>
      <c r="AX224" s="19" t="e">
        <f t="shared" si="41"/>
        <v>#N/A</v>
      </c>
      <c r="AY224" s="19" t="e">
        <f t="shared" si="42"/>
        <v>#N/A</v>
      </c>
      <c r="AZ224" s="19" t="str">
        <f t="shared" si="43"/>
        <v/>
      </c>
      <c r="BA224" s="19" t="e">
        <f>IF(AZ224="",NA(),COUNTIF(AZ224:$AZ$510,AZ224))</f>
        <v>#N/A</v>
      </c>
    </row>
    <row r="225" spans="3:53" ht="11.25" customHeight="1" x14ac:dyDescent="0.2">
      <c r="C225" s="485"/>
      <c r="D225" s="417"/>
      <c r="AE225" s="417"/>
      <c r="AV225" s="462" t="str">
        <f t="shared" si="39"/>
        <v/>
      </c>
      <c r="AW225" s="463" t="str">
        <f t="shared" si="40"/>
        <v/>
      </c>
      <c r="AX225" s="19" t="e">
        <f t="shared" si="41"/>
        <v>#N/A</v>
      </c>
      <c r="AY225" s="19" t="e">
        <f t="shared" si="42"/>
        <v>#N/A</v>
      </c>
      <c r="AZ225" s="19" t="str">
        <f t="shared" si="43"/>
        <v/>
      </c>
      <c r="BA225" s="19" t="e">
        <f>IF(AZ225="",NA(),COUNTIF(AZ225:$AZ$510,AZ225))</f>
        <v>#N/A</v>
      </c>
    </row>
    <row r="226" spans="3:53" ht="11.25" customHeight="1" x14ac:dyDescent="0.2">
      <c r="C226" s="485"/>
      <c r="D226" s="417"/>
      <c r="AE226" s="417"/>
      <c r="AV226" s="462" t="str">
        <f t="shared" si="39"/>
        <v/>
      </c>
      <c r="AW226" s="463" t="str">
        <f t="shared" si="40"/>
        <v/>
      </c>
      <c r="AX226" s="19" t="e">
        <f t="shared" si="41"/>
        <v>#N/A</v>
      </c>
      <c r="AY226" s="19" t="e">
        <f t="shared" si="42"/>
        <v>#N/A</v>
      </c>
      <c r="AZ226" s="19" t="str">
        <f t="shared" si="43"/>
        <v/>
      </c>
      <c r="BA226" s="19" t="e">
        <f>IF(AZ226="",NA(),COUNTIF(AZ226:$AZ$510,AZ226))</f>
        <v>#N/A</v>
      </c>
    </row>
    <row r="227" spans="3:53" ht="11.25" customHeight="1" x14ac:dyDescent="0.2">
      <c r="C227" s="485"/>
      <c r="D227" s="417"/>
      <c r="AE227" s="417"/>
      <c r="AV227" s="462" t="str">
        <f t="shared" si="39"/>
        <v/>
      </c>
      <c r="AW227" s="463" t="str">
        <f t="shared" si="40"/>
        <v/>
      </c>
      <c r="AX227" s="19" t="e">
        <f t="shared" si="41"/>
        <v>#N/A</v>
      </c>
      <c r="AY227" s="19" t="e">
        <f t="shared" si="42"/>
        <v>#N/A</v>
      </c>
      <c r="AZ227" s="19" t="str">
        <f t="shared" si="43"/>
        <v/>
      </c>
      <c r="BA227" s="19" t="e">
        <f>IF(AZ227="",NA(),COUNTIF(AZ227:$AZ$510,AZ227))</f>
        <v>#N/A</v>
      </c>
    </row>
    <row r="228" spans="3:53" ht="11.25" customHeight="1" x14ac:dyDescent="0.2">
      <c r="C228" s="485"/>
      <c r="D228" s="417"/>
      <c r="AE228" s="417"/>
      <c r="AV228" s="462" t="str">
        <f t="shared" si="39"/>
        <v/>
      </c>
      <c r="AW228" s="463" t="str">
        <f t="shared" si="40"/>
        <v/>
      </c>
      <c r="AX228" s="19" t="e">
        <f t="shared" si="41"/>
        <v>#N/A</v>
      </c>
      <c r="AY228" s="19" t="e">
        <f t="shared" si="42"/>
        <v>#N/A</v>
      </c>
      <c r="AZ228" s="19" t="str">
        <f t="shared" si="43"/>
        <v/>
      </c>
      <c r="BA228" s="19" t="e">
        <f>IF(AZ228="",NA(),COUNTIF(AZ228:$AZ$510,AZ228))</f>
        <v>#N/A</v>
      </c>
    </row>
    <row r="229" spans="3:53" ht="11.25" customHeight="1" x14ac:dyDescent="0.2">
      <c r="C229" s="485"/>
      <c r="D229" s="417"/>
      <c r="AE229" s="417"/>
      <c r="AV229" s="462" t="str">
        <f t="shared" si="39"/>
        <v/>
      </c>
      <c r="AW229" s="463" t="str">
        <f t="shared" si="40"/>
        <v/>
      </c>
      <c r="AX229" s="19" t="e">
        <f t="shared" si="41"/>
        <v>#N/A</v>
      </c>
      <c r="AY229" s="19" t="e">
        <f t="shared" si="42"/>
        <v>#N/A</v>
      </c>
      <c r="AZ229" s="19" t="str">
        <f t="shared" si="43"/>
        <v/>
      </c>
      <c r="BA229" s="19" t="e">
        <f>IF(AZ229="",NA(),COUNTIF(AZ229:$AZ$510,AZ229))</f>
        <v>#N/A</v>
      </c>
    </row>
    <row r="230" spans="3:53" ht="11.25" customHeight="1" x14ac:dyDescent="0.2">
      <c r="C230" s="485"/>
      <c r="D230" s="417"/>
      <c r="AE230" s="417"/>
      <c r="AV230" s="462" t="str">
        <f t="shared" si="39"/>
        <v/>
      </c>
      <c r="AW230" s="463" t="str">
        <f t="shared" si="40"/>
        <v/>
      </c>
      <c r="AX230" s="19" t="e">
        <f t="shared" si="41"/>
        <v>#N/A</v>
      </c>
      <c r="AY230" s="19" t="e">
        <f t="shared" si="42"/>
        <v>#N/A</v>
      </c>
      <c r="AZ230" s="19" t="str">
        <f t="shared" si="43"/>
        <v/>
      </c>
      <c r="BA230" s="19" t="e">
        <f>IF(AZ230="",NA(),COUNTIF(AZ230:$AZ$510,AZ230))</f>
        <v>#N/A</v>
      </c>
    </row>
    <row r="231" spans="3:53" ht="11.25" customHeight="1" x14ac:dyDescent="0.2">
      <c r="C231" s="485"/>
      <c r="D231" s="417"/>
      <c r="AE231" s="417"/>
      <c r="AV231" s="462" t="str">
        <f t="shared" si="39"/>
        <v/>
      </c>
      <c r="AW231" s="463" t="str">
        <f t="shared" si="40"/>
        <v/>
      </c>
      <c r="AX231" s="19" t="e">
        <f t="shared" si="41"/>
        <v>#N/A</v>
      </c>
      <c r="AY231" s="19" t="e">
        <f t="shared" si="42"/>
        <v>#N/A</v>
      </c>
      <c r="AZ231" s="19" t="str">
        <f t="shared" si="43"/>
        <v/>
      </c>
      <c r="BA231" s="19" t="e">
        <f>IF(AZ231="",NA(),COUNTIF(AZ231:$AZ$510,AZ231))</f>
        <v>#N/A</v>
      </c>
    </row>
    <row r="232" spans="3:53" ht="11.25" customHeight="1" x14ac:dyDescent="0.2">
      <c r="C232" s="485"/>
      <c r="D232" s="417"/>
      <c r="AE232" s="417"/>
      <c r="AV232" s="462" t="str">
        <f t="shared" si="39"/>
        <v/>
      </c>
      <c r="AW232" s="463" t="str">
        <f t="shared" si="40"/>
        <v/>
      </c>
      <c r="AX232" s="19" t="e">
        <f t="shared" si="41"/>
        <v>#N/A</v>
      </c>
      <c r="AY232" s="19" t="e">
        <f t="shared" si="42"/>
        <v>#N/A</v>
      </c>
      <c r="AZ232" s="19" t="str">
        <f t="shared" si="43"/>
        <v/>
      </c>
      <c r="BA232" s="19" t="e">
        <f>IF(AZ232="",NA(),COUNTIF(AZ232:$AZ$510,AZ232))</f>
        <v>#N/A</v>
      </c>
    </row>
    <row r="233" spans="3:53" ht="11.25" customHeight="1" x14ac:dyDescent="0.2">
      <c r="C233" s="485"/>
      <c r="D233" s="417"/>
      <c r="AE233" s="417"/>
      <c r="AV233" s="462" t="str">
        <f t="shared" si="39"/>
        <v/>
      </c>
      <c r="AW233" s="463" t="str">
        <f t="shared" si="40"/>
        <v/>
      </c>
      <c r="AX233" s="19" t="e">
        <f t="shared" si="41"/>
        <v>#N/A</v>
      </c>
      <c r="AY233" s="19" t="e">
        <f t="shared" si="42"/>
        <v>#N/A</v>
      </c>
      <c r="AZ233" s="19" t="str">
        <f t="shared" si="43"/>
        <v/>
      </c>
      <c r="BA233" s="19" t="e">
        <f>IF(AZ233="",NA(),COUNTIF(AZ233:$AZ$510,AZ233))</f>
        <v>#N/A</v>
      </c>
    </row>
    <row r="234" spans="3:53" ht="11.25" customHeight="1" x14ac:dyDescent="0.2">
      <c r="C234" s="485"/>
      <c r="D234" s="417"/>
      <c r="AE234" s="417"/>
      <c r="AV234" s="462" t="str">
        <f t="shared" si="39"/>
        <v/>
      </c>
      <c r="AW234" s="463" t="str">
        <f t="shared" si="40"/>
        <v/>
      </c>
      <c r="AX234" s="19" t="e">
        <f t="shared" si="41"/>
        <v>#N/A</v>
      </c>
      <c r="AY234" s="19" t="e">
        <f t="shared" si="42"/>
        <v>#N/A</v>
      </c>
      <c r="AZ234" s="19" t="str">
        <f t="shared" si="43"/>
        <v/>
      </c>
      <c r="BA234" s="19" t="e">
        <f>IF(AZ234="",NA(),COUNTIF(AZ234:$AZ$510,AZ234))</f>
        <v>#N/A</v>
      </c>
    </row>
    <row r="235" spans="3:53" ht="11.25" customHeight="1" x14ac:dyDescent="0.2">
      <c r="C235" s="485"/>
      <c r="D235" s="417"/>
      <c r="AE235" s="417"/>
      <c r="AV235" s="462" t="str">
        <f t="shared" si="39"/>
        <v/>
      </c>
      <c r="AW235" s="463" t="str">
        <f t="shared" si="40"/>
        <v/>
      </c>
      <c r="AX235" s="19" t="e">
        <f t="shared" si="41"/>
        <v>#N/A</v>
      </c>
      <c r="AY235" s="19" t="e">
        <f t="shared" si="42"/>
        <v>#N/A</v>
      </c>
      <c r="AZ235" s="19" t="str">
        <f t="shared" si="43"/>
        <v/>
      </c>
      <c r="BA235" s="19" t="e">
        <f>IF(AZ235="",NA(),COUNTIF(AZ235:$AZ$510,AZ235))</f>
        <v>#N/A</v>
      </c>
    </row>
    <row r="236" spans="3:53" ht="11.25" customHeight="1" x14ac:dyDescent="0.2">
      <c r="C236" s="485"/>
      <c r="D236" s="417"/>
      <c r="AE236" s="417"/>
      <c r="AV236" s="462" t="str">
        <f t="shared" si="39"/>
        <v/>
      </c>
      <c r="AW236" s="463" t="str">
        <f t="shared" si="40"/>
        <v/>
      </c>
      <c r="AX236" s="19" t="e">
        <f t="shared" si="41"/>
        <v>#N/A</v>
      </c>
      <c r="AY236" s="19" t="e">
        <f t="shared" si="42"/>
        <v>#N/A</v>
      </c>
      <c r="AZ236" s="19" t="str">
        <f t="shared" si="43"/>
        <v/>
      </c>
      <c r="BA236" s="19" t="e">
        <f>IF(AZ236="",NA(),COUNTIF(AZ236:$AZ$510,AZ236))</f>
        <v>#N/A</v>
      </c>
    </row>
    <row r="237" spans="3:53" ht="11.25" customHeight="1" x14ac:dyDescent="0.2">
      <c r="C237" s="485"/>
      <c r="D237" s="417"/>
      <c r="AE237" s="417"/>
      <c r="AV237" s="462" t="str">
        <f t="shared" si="39"/>
        <v/>
      </c>
      <c r="AW237" s="463" t="str">
        <f t="shared" si="40"/>
        <v/>
      </c>
      <c r="AX237" s="19" t="e">
        <f t="shared" si="41"/>
        <v>#N/A</v>
      </c>
      <c r="AY237" s="19" t="e">
        <f t="shared" si="42"/>
        <v>#N/A</v>
      </c>
      <c r="AZ237" s="19" t="str">
        <f t="shared" si="43"/>
        <v/>
      </c>
      <c r="BA237" s="19" t="e">
        <f>IF(AZ237="",NA(),COUNTIF(AZ237:$AZ$510,AZ237))</f>
        <v>#N/A</v>
      </c>
    </row>
    <row r="238" spans="3:53" ht="11.25" customHeight="1" x14ac:dyDescent="0.2">
      <c r="C238" s="485"/>
      <c r="D238" s="417"/>
      <c r="AE238" s="417"/>
      <c r="AV238" s="462" t="str">
        <f t="shared" si="39"/>
        <v/>
      </c>
      <c r="AW238" s="463" t="str">
        <f t="shared" si="40"/>
        <v/>
      </c>
      <c r="AX238" s="19" t="e">
        <f t="shared" si="41"/>
        <v>#N/A</v>
      </c>
      <c r="AY238" s="19" t="e">
        <f t="shared" si="42"/>
        <v>#N/A</v>
      </c>
      <c r="AZ238" s="19" t="str">
        <f t="shared" si="43"/>
        <v/>
      </c>
      <c r="BA238" s="19" t="e">
        <f>IF(AZ238="",NA(),COUNTIF(AZ238:$AZ$510,AZ238))</f>
        <v>#N/A</v>
      </c>
    </row>
    <row r="239" spans="3:53" ht="11.25" customHeight="1" x14ac:dyDescent="0.2">
      <c r="C239" s="485"/>
      <c r="D239" s="417"/>
      <c r="AE239" s="417"/>
      <c r="AV239" s="462" t="str">
        <f t="shared" si="39"/>
        <v/>
      </c>
      <c r="AW239" s="463" t="str">
        <f t="shared" si="40"/>
        <v/>
      </c>
      <c r="AX239" s="19" t="e">
        <f t="shared" si="41"/>
        <v>#N/A</v>
      </c>
      <c r="AY239" s="19" t="e">
        <f t="shared" si="42"/>
        <v>#N/A</v>
      </c>
      <c r="AZ239" s="19" t="str">
        <f t="shared" si="43"/>
        <v/>
      </c>
      <c r="BA239" s="19" t="e">
        <f>IF(AZ239="",NA(),COUNTIF(AZ239:$AZ$510,AZ239))</f>
        <v>#N/A</v>
      </c>
    </row>
    <row r="240" spans="3:53" ht="11.25" customHeight="1" x14ac:dyDescent="0.2">
      <c r="C240" s="485"/>
      <c r="D240" s="417"/>
      <c r="AE240" s="417"/>
      <c r="AV240" s="462" t="str">
        <f t="shared" si="39"/>
        <v/>
      </c>
      <c r="AW240" s="463" t="str">
        <f t="shared" si="40"/>
        <v/>
      </c>
      <c r="AX240" s="19" t="e">
        <f t="shared" si="41"/>
        <v>#N/A</v>
      </c>
      <c r="AY240" s="19" t="e">
        <f t="shared" si="42"/>
        <v>#N/A</v>
      </c>
      <c r="AZ240" s="19" t="str">
        <f t="shared" si="43"/>
        <v/>
      </c>
      <c r="BA240" s="19" t="e">
        <f>IF(AZ240="",NA(),COUNTIF(AZ240:$AZ$510,AZ240))</f>
        <v>#N/A</v>
      </c>
    </row>
    <row r="241" spans="3:53" ht="11.25" customHeight="1" x14ac:dyDescent="0.2">
      <c r="C241" s="485"/>
      <c r="D241" s="417"/>
      <c r="AE241" s="417"/>
      <c r="AV241" s="462" t="str">
        <f t="shared" si="39"/>
        <v/>
      </c>
      <c r="AW241" s="463" t="str">
        <f t="shared" si="40"/>
        <v/>
      </c>
      <c r="AX241" s="19" t="e">
        <f t="shared" si="41"/>
        <v>#N/A</v>
      </c>
      <c r="AY241" s="19" t="e">
        <f t="shared" si="42"/>
        <v>#N/A</v>
      </c>
      <c r="AZ241" s="19" t="str">
        <f t="shared" si="43"/>
        <v/>
      </c>
      <c r="BA241" s="19" t="e">
        <f>IF(AZ241="",NA(),COUNTIF(AZ241:$AZ$510,AZ241))</f>
        <v>#N/A</v>
      </c>
    </row>
    <row r="242" spans="3:53" ht="11.25" customHeight="1" x14ac:dyDescent="0.2">
      <c r="C242" s="485"/>
      <c r="D242" s="417"/>
      <c r="AE242" s="417"/>
      <c r="AV242" s="462" t="str">
        <f t="shared" si="39"/>
        <v/>
      </c>
      <c r="AW242" s="463" t="str">
        <f t="shared" si="40"/>
        <v/>
      </c>
      <c r="AX242" s="19" t="e">
        <f t="shared" si="41"/>
        <v>#N/A</v>
      </c>
      <c r="AY242" s="19" t="e">
        <f t="shared" si="42"/>
        <v>#N/A</v>
      </c>
      <c r="AZ242" s="19" t="str">
        <f t="shared" si="43"/>
        <v/>
      </c>
      <c r="BA242" s="19" t="e">
        <f>IF(AZ242="",NA(),COUNTIF(AZ242:$AZ$510,AZ242))</f>
        <v>#N/A</v>
      </c>
    </row>
    <row r="243" spans="3:53" ht="11.25" customHeight="1" x14ac:dyDescent="0.2">
      <c r="C243" s="485"/>
      <c r="D243" s="417"/>
      <c r="AE243" s="417"/>
      <c r="AV243" s="462" t="str">
        <f t="shared" si="39"/>
        <v/>
      </c>
      <c r="AW243" s="463" t="str">
        <f t="shared" si="40"/>
        <v/>
      </c>
      <c r="AX243" s="19" t="e">
        <f t="shared" si="41"/>
        <v>#N/A</v>
      </c>
      <c r="AY243" s="19" t="e">
        <f t="shared" si="42"/>
        <v>#N/A</v>
      </c>
      <c r="AZ243" s="19" t="str">
        <f t="shared" si="43"/>
        <v/>
      </c>
      <c r="BA243" s="19" t="e">
        <f>IF(AZ243="",NA(),COUNTIF(AZ243:$AZ$510,AZ243))</f>
        <v>#N/A</v>
      </c>
    </row>
    <row r="244" spans="3:53" ht="11.25" customHeight="1" x14ac:dyDescent="0.2">
      <c r="C244" s="485"/>
      <c r="D244" s="417"/>
      <c r="AE244" s="417"/>
      <c r="AV244" s="462" t="str">
        <f t="shared" si="39"/>
        <v/>
      </c>
      <c r="AW244" s="463" t="str">
        <f t="shared" si="40"/>
        <v/>
      </c>
      <c r="AX244" s="19" t="e">
        <f t="shared" si="41"/>
        <v>#N/A</v>
      </c>
      <c r="AY244" s="19" t="e">
        <f t="shared" si="42"/>
        <v>#N/A</v>
      </c>
      <c r="AZ244" s="19" t="str">
        <f t="shared" si="43"/>
        <v/>
      </c>
      <c r="BA244" s="19" t="e">
        <f>IF(AZ244="",NA(),COUNTIF(AZ244:$AZ$510,AZ244))</f>
        <v>#N/A</v>
      </c>
    </row>
    <row r="245" spans="3:53" ht="11.25" customHeight="1" x14ac:dyDescent="0.2">
      <c r="C245" s="485"/>
      <c r="D245" s="417"/>
      <c r="AE245" s="417"/>
      <c r="AV245" s="462" t="str">
        <f t="shared" si="39"/>
        <v/>
      </c>
      <c r="AW245" s="463" t="str">
        <f t="shared" si="40"/>
        <v/>
      </c>
      <c r="AX245" s="19" t="e">
        <f t="shared" si="41"/>
        <v>#N/A</v>
      </c>
      <c r="AY245" s="19" t="e">
        <f t="shared" si="42"/>
        <v>#N/A</v>
      </c>
      <c r="AZ245" s="19" t="str">
        <f t="shared" si="43"/>
        <v/>
      </c>
      <c r="BA245" s="19" t="e">
        <f>IF(AZ245="",NA(),COUNTIF(AZ245:$AZ$510,AZ245))</f>
        <v>#N/A</v>
      </c>
    </row>
    <row r="246" spans="3:53" ht="11.25" customHeight="1" x14ac:dyDescent="0.2">
      <c r="C246" s="485"/>
      <c r="D246" s="417"/>
      <c r="AE246" s="417"/>
      <c r="AV246" s="462" t="str">
        <f t="shared" si="39"/>
        <v/>
      </c>
      <c r="AW246" s="463" t="str">
        <f t="shared" si="40"/>
        <v/>
      </c>
      <c r="AX246" s="19" t="e">
        <f t="shared" si="41"/>
        <v>#N/A</v>
      </c>
      <c r="AY246" s="19" t="e">
        <f t="shared" si="42"/>
        <v>#N/A</v>
      </c>
      <c r="AZ246" s="19" t="str">
        <f t="shared" si="43"/>
        <v/>
      </c>
      <c r="BA246" s="19" t="e">
        <f>IF(AZ246="",NA(),COUNTIF(AZ246:$AZ$510,AZ246))</f>
        <v>#N/A</v>
      </c>
    </row>
    <row r="247" spans="3:53" ht="11.25" customHeight="1" x14ac:dyDescent="0.2">
      <c r="C247" s="485"/>
      <c r="D247" s="417"/>
      <c r="AE247" s="417"/>
      <c r="AV247" s="462" t="str">
        <f t="shared" si="39"/>
        <v/>
      </c>
      <c r="AW247" s="463" t="str">
        <f t="shared" si="40"/>
        <v/>
      </c>
      <c r="AX247" s="19" t="e">
        <f t="shared" si="41"/>
        <v>#N/A</v>
      </c>
      <c r="AY247" s="19" t="e">
        <f t="shared" si="42"/>
        <v>#N/A</v>
      </c>
      <c r="AZ247" s="19" t="str">
        <f t="shared" si="43"/>
        <v/>
      </c>
      <c r="BA247" s="19" t="e">
        <f>IF(AZ247="",NA(),COUNTIF(AZ247:$AZ$510,AZ247))</f>
        <v>#N/A</v>
      </c>
    </row>
    <row r="248" spans="3:53" ht="11.25" customHeight="1" x14ac:dyDescent="0.2">
      <c r="C248" s="485"/>
      <c r="D248" s="417"/>
      <c r="AE248" s="417"/>
      <c r="AV248" s="462" t="str">
        <f t="shared" si="39"/>
        <v/>
      </c>
      <c r="AW248" s="463" t="str">
        <f t="shared" si="40"/>
        <v/>
      </c>
      <c r="AX248" s="19" t="e">
        <f t="shared" si="41"/>
        <v>#N/A</v>
      </c>
      <c r="AY248" s="19" t="e">
        <f t="shared" si="42"/>
        <v>#N/A</v>
      </c>
      <c r="AZ248" s="19" t="str">
        <f t="shared" si="43"/>
        <v/>
      </c>
      <c r="BA248" s="19" t="e">
        <f>IF(AZ248="",NA(),COUNTIF(AZ248:$AZ$510,AZ248))</f>
        <v>#N/A</v>
      </c>
    </row>
    <row r="249" spans="3:53" ht="11.25" customHeight="1" x14ac:dyDescent="0.2">
      <c r="C249" s="485"/>
      <c r="D249" s="417"/>
      <c r="AE249" s="417"/>
      <c r="AV249" s="462" t="str">
        <f t="shared" si="39"/>
        <v/>
      </c>
      <c r="AW249" s="463" t="str">
        <f t="shared" si="40"/>
        <v/>
      </c>
      <c r="AX249" s="19" t="e">
        <f t="shared" si="41"/>
        <v>#N/A</v>
      </c>
      <c r="AY249" s="19" t="e">
        <f t="shared" si="42"/>
        <v>#N/A</v>
      </c>
      <c r="AZ249" s="19" t="str">
        <f t="shared" si="43"/>
        <v/>
      </c>
      <c r="BA249" s="19" t="e">
        <f>IF(AZ249="",NA(),COUNTIF(AZ249:$AZ$510,AZ249))</f>
        <v>#N/A</v>
      </c>
    </row>
    <row r="250" spans="3:53" ht="11.25" customHeight="1" x14ac:dyDescent="0.2">
      <c r="C250" s="485"/>
      <c r="D250" s="417"/>
      <c r="AE250" s="417"/>
      <c r="AV250" s="462" t="str">
        <f t="shared" si="39"/>
        <v/>
      </c>
      <c r="AW250" s="463" t="str">
        <f t="shared" si="40"/>
        <v/>
      </c>
      <c r="AX250" s="19" t="e">
        <f t="shared" si="41"/>
        <v>#N/A</v>
      </c>
      <c r="AY250" s="19" t="e">
        <f t="shared" si="42"/>
        <v>#N/A</v>
      </c>
      <c r="AZ250" s="19" t="str">
        <f t="shared" si="43"/>
        <v/>
      </c>
      <c r="BA250" s="19" t="e">
        <f>IF(AZ250="",NA(),COUNTIF(AZ250:$AZ$510,AZ250))</f>
        <v>#N/A</v>
      </c>
    </row>
    <row r="251" spans="3:53" ht="11.25" customHeight="1" x14ac:dyDescent="0.2">
      <c r="C251" s="485"/>
      <c r="D251" s="417"/>
      <c r="AE251" s="417"/>
      <c r="AV251" s="462" t="str">
        <f t="shared" si="39"/>
        <v/>
      </c>
      <c r="AW251" s="463" t="str">
        <f t="shared" si="40"/>
        <v/>
      </c>
      <c r="AX251" s="19" t="e">
        <f t="shared" si="41"/>
        <v>#N/A</v>
      </c>
      <c r="AY251" s="19" t="e">
        <f t="shared" si="42"/>
        <v>#N/A</v>
      </c>
      <c r="AZ251" s="19" t="str">
        <f t="shared" si="43"/>
        <v/>
      </c>
      <c r="BA251" s="19" t="e">
        <f>IF(AZ251="",NA(),COUNTIF(AZ251:$AZ$510,AZ251))</f>
        <v>#N/A</v>
      </c>
    </row>
    <row r="252" spans="3:53" ht="11.25" customHeight="1" x14ac:dyDescent="0.2">
      <c r="C252" s="485"/>
      <c r="D252" s="417"/>
      <c r="AE252" s="417"/>
      <c r="AV252" s="462" t="str">
        <f t="shared" si="39"/>
        <v/>
      </c>
      <c r="AW252" s="463" t="str">
        <f t="shared" si="40"/>
        <v/>
      </c>
      <c r="AX252" s="19" t="e">
        <f t="shared" si="41"/>
        <v>#N/A</v>
      </c>
      <c r="AY252" s="19" t="e">
        <f t="shared" si="42"/>
        <v>#N/A</v>
      </c>
      <c r="AZ252" s="19" t="str">
        <f t="shared" si="43"/>
        <v/>
      </c>
      <c r="BA252" s="19" t="e">
        <f>IF(AZ252="",NA(),COUNTIF(AZ252:$AZ$510,AZ252))</f>
        <v>#N/A</v>
      </c>
    </row>
    <row r="253" spans="3:53" ht="11.25" customHeight="1" x14ac:dyDescent="0.2">
      <c r="C253" s="485"/>
      <c r="D253" s="417"/>
      <c r="AE253" s="417"/>
      <c r="AV253" s="462" t="str">
        <f t="shared" si="39"/>
        <v/>
      </c>
      <c r="AW253" s="463" t="str">
        <f t="shared" si="40"/>
        <v/>
      </c>
      <c r="AX253" s="19" t="e">
        <f t="shared" si="41"/>
        <v>#N/A</v>
      </c>
      <c r="AY253" s="19" t="e">
        <f t="shared" si="42"/>
        <v>#N/A</v>
      </c>
      <c r="AZ253" s="19" t="str">
        <f t="shared" si="43"/>
        <v/>
      </c>
      <c r="BA253" s="19" t="e">
        <f>IF(AZ253="",NA(),COUNTIF(AZ253:$AZ$510,AZ253))</f>
        <v>#N/A</v>
      </c>
    </row>
    <row r="254" spans="3:53" ht="11.25" customHeight="1" x14ac:dyDescent="0.2">
      <c r="C254" s="485"/>
      <c r="D254" s="417"/>
      <c r="AE254" s="417"/>
      <c r="AV254" s="462" t="str">
        <f t="shared" si="39"/>
        <v/>
      </c>
      <c r="AW254" s="463" t="str">
        <f t="shared" si="40"/>
        <v/>
      </c>
      <c r="AX254" s="19" t="e">
        <f t="shared" si="41"/>
        <v>#N/A</v>
      </c>
      <c r="AY254" s="19" t="e">
        <f t="shared" si="42"/>
        <v>#N/A</v>
      </c>
      <c r="AZ254" s="19" t="str">
        <f t="shared" si="43"/>
        <v/>
      </c>
      <c r="BA254" s="19" t="e">
        <f>IF(AZ254="",NA(),COUNTIF(AZ254:$AZ$510,AZ254))</f>
        <v>#N/A</v>
      </c>
    </row>
    <row r="255" spans="3:53" ht="11.25" customHeight="1" x14ac:dyDescent="0.2">
      <c r="C255" s="485"/>
      <c r="D255" s="417"/>
      <c r="AE255" s="417"/>
      <c r="AV255" s="462" t="str">
        <f t="shared" si="39"/>
        <v/>
      </c>
      <c r="AW255" s="463" t="str">
        <f t="shared" si="40"/>
        <v/>
      </c>
      <c r="AX255" s="19" t="e">
        <f t="shared" si="41"/>
        <v>#N/A</v>
      </c>
      <c r="AY255" s="19" t="e">
        <f t="shared" si="42"/>
        <v>#N/A</v>
      </c>
      <c r="AZ255" s="19" t="str">
        <f t="shared" si="43"/>
        <v/>
      </c>
      <c r="BA255" s="19" t="e">
        <f>IF(AZ255="",NA(),COUNTIF(AZ255:$AZ$510,AZ255))</f>
        <v>#N/A</v>
      </c>
    </row>
    <row r="256" spans="3:53" ht="11.25" customHeight="1" x14ac:dyDescent="0.2">
      <c r="C256" s="485"/>
      <c r="D256" s="417"/>
      <c r="AE256" s="417"/>
      <c r="AV256" s="462" t="str">
        <f t="shared" si="39"/>
        <v/>
      </c>
      <c r="AW256" s="463" t="str">
        <f t="shared" si="40"/>
        <v/>
      </c>
      <c r="AX256" s="19" t="e">
        <f t="shared" si="41"/>
        <v>#N/A</v>
      </c>
      <c r="AY256" s="19" t="e">
        <f t="shared" si="42"/>
        <v>#N/A</v>
      </c>
      <c r="AZ256" s="19" t="str">
        <f t="shared" si="43"/>
        <v/>
      </c>
      <c r="BA256" s="19" t="e">
        <f>IF(AZ256="",NA(),COUNTIF(AZ256:$AZ$510,AZ256))</f>
        <v>#N/A</v>
      </c>
    </row>
    <row r="257" spans="3:53" ht="11.25" customHeight="1" x14ac:dyDescent="0.2">
      <c r="C257" s="485"/>
      <c r="D257" s="417"/>
      <c r="AE257" s="417"/>
      <c r="AV257" s="462" t="str">
        <f t="shared" si="39"/>
        <v/>
      </c>
      <c r="AW257" s="463" t="str">
        <f t="shared" si="40"/>
        <v/>
      </c>
      <c r="AX257" s="19" t="e">
        <f t="shared" si="41"/>
        <v>#N/A</v>
      </c>
      <c r="AY257" s="19" t="e">
        <f t="shared" si="42"/>
        <v>#N/A</v>
      </c>
      <c r="AZ257" s="19" t="str">
        <f t="shared" si="43"/>
        <v/>
      </c>
      <c r="BA257" s="19" t="e">
        <f>IF(AZ257="",NA(),COUNTIF(AZ257:$AZ$510,AZ257))</f>
        <v>#N/A</v>
      </c>
    </row>
    <row r="258" spans="3:53" ht="11.25" customHeight="1" x14ac:dyDescent="0.2">
      <c r="C258" s="485"/>
      <c r="D258" s="417"/>
      <c r="AE258" s="417"/>
      <c r="AV258" s="462" t="str">
        <f t="shared" si="39"/>
        <v/>
      </c>
      <c r="AW258" s="463" t="str">
        <f t="shared" si="40"/>
        <v/>
      </c>
      <c r="AX258" s="19" t="e">
        <f t="shared" si="41"/>
        <v>#N/A</v>
      </c>
      <c r="AY258" s="19" t="e">
        <f t="shared" si="42"/>
        <v>#N/A</v>
      </c>
      <c r="AZ258" s="19" t="str">
        <f t="shared" si="43"/>
        <v/>
      </c>
      <c r="BA258" s="19" t="e">
        <f>IF(AZ258="",NA(),COUNTIF(AZ258:$AZ$510,AZ258))</f>
        <v>#N/A</v>
      </c>
    </row>
    <row r="259" spans="3:53" ht="11.25" customHeight="1" x14ac:dyDescent="0.2">
      <c r="C259" s="485"/>
      <c r="D259" s="417"/>
      <c r="AE259" s="417"/>
      <c r="AV259" s="462" t="str">
        <f t="shared" si="39"/>
        <v/>
      </c>
      <c r="AW259" s="463" t="str">
        <f t="shared" si="40"/>
        <v/>
      </c>
      <c r="AX259" s="19" t="e">
        <f t="shared" si="41"/>
        <v>#N/A</v>
      </c>
      <c r="AY259" s="19" t="e">
        <f t="shared" si="42"/>
        <v>#N/A</v>
      </c>
      <c r="AZ259" s="19" t="str">
        <f t="shared" si="43"/>
        <v/>
      </c>
      <c r="BA259" s="19" t="e">
        <f>IF(AZ259="",NA(),COUNTIF(AZ259:$AZ$510,AZ259))</f>
        <v>#N/A</v>
      </c>
    </row>
    <row r="260" spans="3:53" ht="11.25" customHeight="1" x14ac:dyDescent="0.2">
      <c r="C260" s="485"/>
      <c r="D260" s="417"/>
      <c r="AE260" s="417"/>
      <c r="AV260" s="462" t="str">
        <f t="shared" si="39"/>
        <v/>
      </c>
      <c r="AW260" s="463" t="str">
        <f t="shared" si="40"/>
        <v/>
      </c>
      <c r="AX260" s="19" t="e">
        <f t="shared" si="41"/>
        <v>#N/A</v>
      </c>
      <c r="AY260" s="19" t="e">
        <f t="shared" si="42"/>
        <v>#N/A</v>
      </c>
      <c r="AZ260" s="19" t="str">
        <f t="shared" si="43"/>
        <v/>
      </c>
      <c r="BA260" s="19" t="e">
        <f>IF(AZ260="",NA(),COUNTIF(AZ260:$AZ$510,AZ260))</f>
        <v>#N/A</v>
      </c>
    </row>
    <row r="261" spans="3:53" ht="11.25" customHeight="1" x14ac:dyDescent="0.2">
      <c r="C261" s="485"/>
      <c r="D261" s="417"/>
      <c r="AE261" s="417"/>
      <c r="AV261" s="462" t="str">
        <f t="shared" si="39"/>
        <v/>
      </c>
      <c r="AW261" s="463" t="str">
        <f t="shared" si="40"/>
        <v/>
      </c>
      <c r="AX261" s="19" t="e">
        <f t="shared" si="41"/>
        <v>#N/A</v>
      </c>
      <c r="AY261" s="19" t="e">
        <f t="shared" si="42"/>
        <v>#N/A</v>
      </c>
      <c r="AZ261" s="19" t="str">
        <f t="shared" si="43"/>
        <v/>
      </c>
      <c r="BA261" s="19" t="e">
        <f>IF(AZ261="",NA(),COUNTIF(AZ261:$AZ$510,AZ261))</f>
        <v>#N/A</v>
      </c>
    </row>
    <row r="262" spans="3:53" ht="11.25" customHeight="1" x14ac:dyDescent="0.2">
      <c r="C262" s="485"/>
      <c r="D262" s="417"/>
      <c r="AE262" s="417"/>
      <c r="AV262" s="462" t="str">
        <f t="shared" si="39"/>
        <v/>
      </c>
      <c r="AW262" s="463" t="str">
        <f t="shared" si="40"/>
        <v/>
      </c>
      <c r="AX262" s="19" t="e">
        <f t="shared" si="41"/>
        <v>#N/A</v>
      </c>
      <c r="AY262" s="19" t="e">
        <f t="shared" si="42"/>
        <v>#N/A</v>
      </c>
      <c r="AZ262" s="19" t="str">
        <f t="shared" si="43"/>
        <v/>
      </c>
      <c r="BA262" s="19" t="e">
        <f>IF(AZ262="",NA(),COUNTIF(AZ262:$AZ$510,AZ262))</f>
        <v>#N/A</v>
      </c>
    </row>
    <row r="263" spans="3:53" ht="11.25" customHeight="1" x14ac:dyDescent="0.2">
      <c r="C263" s="485"/>
      <c r="D263" s="417"/>
      <c r="AE263" s="417"/>
      <c r="AV263" s="462" t="str">
        <f t="shared" si="39"/>
        <v/>
      </c>
      <c r="AW263" s="463" t="str">
        <f t="shared" si="40"/>
        <v/>
      </c>
      <c r="AX263" s="19" t="e">
        <f t="shared" si="41"/>
        <v>#N/A</v>
      </c>
      <c r="AY263" s="19" t="e">
        <f t="shared" si="42"/>
        <v>#N/A</v>
      </c>
      <c r="AZ263" s="19" t="str">
        <f t="shared" si="43"/>
        <v/>
      </c>
      <c r="BA263" s="19" t="e">
        <f>IF(AZ263="",NA(),COUNTIF(AZ263:$AZ$510,AZ263))</f>
        <v>#N/A</v>
      </c>
    </row>
    <row r="264" spans="3:53" ht="11.25" customHeight="1" x14ac:dyDescent="0.2">
      <c r="C264" s="485"/>
      <c r="D264" s="417"/>
      <c r="AE264" s="417"/>
      <c r="AV264" s="462" t="str">
        <f t="shared" si="39"/>
        <v/>
      </c>
      <c r="AW264" s="463" t="str">
        <f t="shared" si="40"/>
        <v/>
      </c>
      <c r="AX264" s="19" t="e">
        <f t="shared" si="41"/>
        <v>#N/A</v>
      </c>
      <c r="AY264" s="19" t="e">
        <f t="shared" si="42"/>
        <v>#N/A</v>
      </c>
      <c r="AZ264" s="19" t="str">
        <f t="shared" si="43"/>
        <v/>
      </c>
      <c r="BA264" s="19" t="e">
        <f>IF(AZ264="",NA(),COUNTIF(AZ264:$AZ$510,AZ264))</f>
        <v>#N/A</v>
      </c>
    </row>
    <row r="265" spans="3:53" ht="11.25" customHeight="1" x14ac:dyDescent="0.2">
      <c r="C265" s="485"/>
      <c r="D265" s="417"/>
      <c r="AE265" s="417"/>
      <c r="AV265" s="462" t="str">
        <f t="shared" ref="AV265:AV328" si="49">IF(ISBLANK(D265),"",IF($AP$17,$AP$20*$AP$21,D265*$AP$19))</f>
        <v/>
      </c>
      <c r="AW265" s="463" t="str">
        <f t="shared" ref="AW265:AW328" si="50">IF(ISBLANK(C265),"",(NORMDIST(C265+AV265,$I$6,$AP$21,TRUE)-NORMDIST(C265-AV265,$I$6,$AP$21,TRUE))*100)</f>
        <v/>
      </c>
      <c r="AX265" s="19" t="e">
        <f t="shared" si="41"/>
        <v>#N/A</v>
      </c>
      <c r="AY265" s="19" t="e">
        <f t="shared" si="42"/>
        <v>#N/A</v>
      </c>
      <c r="AZ265" s="19" t="str">
        <f t="shared" si="43"/>
        <v/>
      </c>
      <c r="BA265" s="19" t="e">
        <f>IF(AZ265="",NA(),COUNTIF(AZ265:$AZ$510,AZ265))</f>
        <v>#N/A</v>
      </c>
    </row>
    <row r="266" spans="3:53" ht="11.25" customHeight="1" x14ac:dyDescent="0.2">
      <c r="C266" s="485"/>
      <c r="D266" s="417"/>
      <c r="AE266" s="417"/>
      <c r="AV266" s="462" t="str">
        <f t="shared" si="49"/>
        <v/>
      </c>
      <c r="AW266" s="463" t="str">
        <f t="shared" si="50"/>
        <v/>
      </c>
      <c r="AX266" s="19" t="e">
        <f t="shared" si="41"/>
        <v>#N/A</v>
      </c>
      <c r="AY266" s="19" t="e">
        <f t="shared" si="42"/>
        <v>#N/A</v>
      </c>
      <c r="AZ266" s="19" t="str">
        <f t="shared" si="43"/>
        <v/>
      </c>
      <c r="BA266" s="19" t="e">
        <f>IF(AZ266="",NA(),COUNTIF(AZ266:$AZ$510,AZ266))</f>
        <v>#N/A</v>
      </c>
    </row>
    <row r="267" spans="3:53" ht="11.25" customHeight="1" x14ac:dyDescent="0.2">
      <c r="C267" s="485"/>
      <c r="D267" s="417"/>
      <c r="AE267" s="417"/>
      <c r="AV267" s="462" t="str">
        <f t="shared" si="49"/>
        <v/>
      </c>
      <c r="AW267" s="463" t="str">
        <f t="shared" si="50"/>
        <v/>
      </c>
      <c r="AX267" s="19" t="e">
        <f t="shared" ref="AX267:AX330" si="51">IF(OR(NOT(Repchange),AZ267=""),NA(),AZ267*$AO$12/100)</f>
        <v>#N/A</v>
      </c>
      <c r="AY267" s="19" t="e">
        <f t="shared" ref="AY267:AY330" si="52">$AO$11*(BA267-0.5)</f>
        <v>#N/A</v>
      </c>
      <c r="AZ267" s="19" t="str">
        <f t="shared" ref="AZ267:AZ330" si="53">IF(AW265="","",ROUND(AW265/$AO$12,0))</f>
        <v/>
      </c>
      <c r="BA267" s="19" t="e">
        <f>IF(AZ267="",NA(),COUNTIF(AZ267:$AZ$510,AZ267))</f>
        <v>#N/A</v>
      </c>
    </row>
    <row r="268" spans="3:53" ht="11.25" customHeight="1" x14ac:dyDescent="0.2">
      <c r="C268" s="485"/>
      <c r="D268" s="417"/>
      <c r="AE268" s="417"/>
      <c r="AV268" s="462" t="str">
        <f t="shared" si="49"/>
        <v/>
      </c>
      <c r="AW268" s="463" t="str">
        <f t="shared" si="50"/>
        <v/>
      </c>
      <c r="AX268" s="19" t="e">
        <f t="shared" si="51"/>
        <v>#N/A</v>
      </c>
      <c r="AY268" s="19" t="e">
        <f t="shared" si="52"/>
        <v>#N/A</v>
      </c>
      <c r="AZ268" s="19" t="str">
        <f t="shared" si="53"/>
        <v/>
      </c>
      <c r="BA268" s="19" t="e">
        <f>IF(AZ268="",NA(),COUNTIF(AZ268:$AZ$510,AZ268))</f>
        <v>#N/A</v>
      </c>
    </row>
    <row r="269" spans="3:53" ht="11.25" customHeight="1" x14ac:dyDescent="0.2">
      <c r="C269" s="485"/>
      <c r="D269" s="417"/>
      <c r="AE269" s="417"/>
      <c r="AV269" s="462" t="str">
        <f t="shared" si="49"/>
        <v/>
      </c>
      <c r="AW269" s="463" t="str">
        <f t="shared" si="50"/>
        <v/>
      </c>
      <c r="AX269" s="19" t="e">
        <f t="shared" si="51"/>
        <v>#N/A</v>
      </c>
      <c r="AY269" s="19" t="e">
        <f t="shared" si="52"/>
        <v>#N/A</v>
      </c>
      <c r="AZ269" s="19" t="str">
        <f t="shared" si="53"/>
        <v/>
      </c>
      <c r="BA269" s="19" t="e">
        <f>IF(AZ269="",NA(),COUNTIF(AZ269:$AZ$510,AZ269))</f>
        <v>#N/A</v>
      </c>
    </row>
    <row r="270" spans="3:53" ht="11.25" customHeight="1" x14ac:dyDescent="0.2">
      <c r="C270" s="485"/>
      <c r="D270" s="417"/>
      <c r="AE270" s="417"/>
      <c r="AV270" s="462" t="str">
        <f t="shared" si="49"/>
        <v/>
      </c>
      <c r="AW270" s="463" t="str">
        <f t="shared" si="50"/>
        <v/>
      </c>
      <c r="AX270" s="19" t="e">
        <f t="shared" si="51"/>
        <v>#N/A</v>
      </c>
      <c r="AY270" s="19" t="e">
        <f t="shared" si="52"/>
        <v>#N/A</v>
      </c>
      <c r="AZ270" s="19" t="str">
        <f t="shared" si="53"/>
        <v/>
      </c>
      <c r="BA270" s="19" t="e">
        <f>IF(AZ270="",NA(),COUNTIF(AZ270:$AZ$510,AZ270))</f>
        <v>#N/A</v>
      </c>
    </row>
    <row r="271" spans="3:53" ht="11.25" customHeight="1" x14ac:dyDescent="0.2">
      <c r="C271" s="485"/>
      <c r="D271" s="417"/>
      <c r="AE271" s="417"/>
      <c r="AV271" s="462" t="str">
        <f t="shared" si="49"/>
        <v/>
      </c>
      <c r="AW271" s="463" t="str">
        <f t="shared" si="50"/>
        <v/>
      </c>
      <c r="AX271" s="19" t="e">
        <f t="shared" si="51"/>
        <v>#N/A</v>
      </c>
      <c r="AY271" s="19" t="e">
        <f t="shared" si="52"/>
        <v>#N/A</v>
      </c>
      <c r="AZ271" s="19" t="str">
        <f t="shared" si="53"/>
        <v/>
      </c>
      <c r="BA271" s="19" t="e">
        <f>IF(AZ271="",NA(),COUNTIF(AZ271:$AZ$510,AZ271))</f>
        <v>#N/A</v>
      </c>
    </row>
    <row r="272" spans="3:53" ht="11.25" customHeight="1" x14ac:dyDescent="0.2">
      <c r="C272" s="485"/>
      <c r="D272" s="417"/>
      <c r="AE272" s="417"/>
      <c r="AV272" s="462" t="str">
        <f t="shared" si="49"/>
        <v/>
      </c>
      <c r="AW272" s="463" t="str">
        <f t="shared" si="50"/>
        <v/>
      </c>
      <c r="AX272" s="19" t="e">
        <f t="shared" si="51"/>
        <v>#N/A</v>
      </c>
      <c r="AY272" s="19" t="e">
        <f t="shared" si="52"/>
        <v>#N/A</v>
      </c>
      <c r="AZ272" s="19" t="str">
        <f t="shared" si="53"/>
        <v/>
      </c>
      <c r="BA272" s="19" t="e">
        <f>IF(AZ272="",NA(),COUNTIF(AZ272:$AZ$510,AZ272))</f>
        <v>#N/A</v>
      </c>
    </row>
    <row r="273" spans="3:53" ht="11.25" customHeight="1" x14ac:dyDescent="0.2">
      <c r="C273" s="485"/>
      <c r="D273" s="417"/>
      <c r="AE273" s="417"/>
      <c r="AV273" s="462" t="str">
        <f t="shared" si="49"/>
        <v/>
      </c>
      <c r="AW273" s="463" t="str">
        <f t="shared" si="50"/>
        <v/>
      </c>
      <c r="AX273" s="19" t="e">
        <f t="shared" si="51"/>
        <v>#N/A</v>
      </c>
      <c r="AY273" s="19" t="e">
        <f t="shared" si="52"/>
        <v>#N/A</v>
      </c>
      <c r="AZ273" s="19" t="str">
        <f t="shared" si="53"/>
        <v/>
      </c>
      <c r="BA273" s="19" t="e">
        <f>IF(AZ273="",NA(),COUNTIF(AZ273:$AZ$510,AZ273))</f>
        <v>#N/A</v>
      </c>
    </row>
    <row r="274" spans="3:53" ht="11.25" customHeight="1" x14ac:dyDescent="0.2">
      <c r="C274" s="485"/>
      <c r="D274" s="417"/>
      <c r="AE274" s="417"/>
      <c r="AV274" s="462" t="str">
        <f t="shared" si="49"/>
        <v/>
      </c>
      <c r="AW274" s="463" t="str">
        <f t="shared" si="50"/>
        <v/>
      </c>
      <c r="AX274" s="19" t="e">
        <f t="shared" si="51"/>
        <v>#N/A</v>
      </c>
      <c r="AY274" s="19" t="e">
        <f t="shared" si="52"/>
        <v>#N/A</v>
      </c>
      <c r="AZ274" s="19" t="str">
        <f t="shared" si="53"/>
        <v/>
      </c>
      <c r="BA274" s="19" t="e">
        <f>IF(AZ274="",NA(),COUNTIF(AZ274:$AZ$510,AZ274))</f>
        <v>#N/A</v>
      </c>
    </row>
    <row r="275" spans="3:53" ht="11.25" customHeight="1" x14ac:dyDescent="0.2">
      <c r="C275" s="485"/>
      <c r="D275" s="417"/>
      <c r="AE275" s="417"/>
      <c r="AV275" s="462" t="str">
        <f t="shared" si="49"/>
        <v/>
      </c>
      <c r="AW275" s="463" t="str">
        <f t="shared" si="50"/>
        <v/>
      </c>
      <c r="AX275" s="19" t="e">
        <f t="shared" si="51"/>
        <v>#N/A</v>
      </c>
      <c r="AY275" s="19" t="e">
        <f t="shared" si="52"/>
        <v>#N/A</v>
      </c>
      <c r="AZ275" s="19" t="str">
        <f t="shared" si="53"/>
        <v/>
      </c>
      <c r="BA275" s="19" t="e">
        <f>IF(AZ275="",NA(),COUNTIF(AZ275:$AZ$510,AZ275))</f>
        <v>#N/A</v>
      </c>
    </row>
    <row r="276" spans="3:53" ht="11.25" customHeight="1" x14ac:dyDescent="0.2">
      <c r="C276" s="485"/>
      <c r="D276" s="417"/>
      <c r="AE276" s="417"/>
      <c r="AV276" s="462" t="str">
        <f t="shared" si="49"/>
        <v/>
      </c>
      <c r="AW276" s="463" t="str">
        <f t="shared" si="50"/>
        <v/>
      </c>
      <c r="AX276" s="19" t="e">
        <f t="shared" si="51"/>
        <v>#N/A</v>
      </c>
      <c r="AY276" s="19" t="e">
        <f t="shared" si="52"/>
        <v>#N/A</v>
      </c>
      <c r="AZ276" s="19" t="str">
        <f t="shared" si="53"/>
        <v/>
      </c>
      <c r="BA276" s="19" t="e">
        <f>IF(AZ276="",NA(),COUNTIF(AZ276:$AZ$510,AZ276))</f>
        <v>#N/A</v>
      </c>
    </row>
    <row r="277" spans="3:53" ht="11.25" customHeight="1" x14ac:dyDescent="0.2">
      <c r="C277" s="485"/>
      <c r="D277" s="417"/>
      <c r="AE277" s="417"/>
      <c r="AV277" s="462" t="str">
        <f t="shared" si="49"/>
        <v/>
      </c>
      <c r="AW277" s="463" t="str">
        <f t="shared" si="50"/>
        <v/>
      </c>
      <c r="AX277" s="19" t="e">
        <f t="shared" si="51"/>
        <v>#N/A</v>
      </c>
      <c r="AY277" s="19" t="e">
        <f t="shared" si="52"/>
        <v>#N/A</v>
      </c>
      <c r="AZ277" s="19" t="str">
        <f t="shared" si="53"/>
        <v/>
      </c>
      <c r="BA277" s="19" t="e">
        <f>IF(AZ277="",NA(),COUNTIF(AZ277:$AZ$510,AZ277))</f>
        <v>#N/A</v>
      </c>
    </row>
    <row r="278" spans="3:53" ht="11.25" customHeight="1" x14ac:dyDescent="0.2">
      <c r="C278" s="485"/>
      <c r="D278" s="417"/>
      <c r="AE278" s="417"/>
      <c r="AV278" s="462" t="str">
        <f t="shared" si="49"/>
        <v/>
      </c>
      <c r="AW278" s="463" t="str">
        <f t="shared" si="50"/>
        <v/>
      </c>
      <c r="AX278" s="19" t="e">
        <f t="shared" si="51"/>
        <v>#N/A</v>
      </c>
      <c r="AY278" s="19" t="e">
        <f t="shared" si="52"/>
        <v>#N/A</v>
      </c>
      <c r="AZ278" s="19" t="str">
        <f t="shared" si="53"/>
        <v/>
      </c>
      <c r="BA278" s="19" t="e">
        <f>IF(AZ278="",NA(),COUNTIF(AZ278:$AZ$510,AZ278))</f>
        <v>#N/A</v>
      </c>
    </row>
    <row r="279" spans="3:53" ht="11.25" customHeight="1" x14ac:dyDescent="0.2">
      <c r="C279" s="485"/>
      <c r="D279" s="417"/>
      <c r="AE279" s="417"/>
      <c r="AV279" s="462" t="str">
        <f t="shared" si="49"/>
        <v/>
      </c>
      <c r="AW279" s="463" t="str">
        <f t="shared" si="50"/>
        <v/>
      </c>
      <c r="AX279" s="19" t="e">
        <f t="shared" si="51"/>
        <v>#N/A</v>
      </c>
      <c r="AY279" s="19" t="e">
        <f t="shared" si="52"/>
        <v>#N/A</v>
      </c>
      <c r="AZ279" s="19" t="str">
        <f t="shared" si="53"/>
        <v/>
      </c>
      <c r="BA279" s="19" t="e">
        <f>IF(AZ279="",NA(),COUNTIF(AZ279:$AZ$510,AZ279))</f>
        <v>#N/A</v>
      </c>
    </row>
    <row r="280" spans="3:53" ht="11.25" customHeight="1" x14ac:dyDescent="0.2">
      <c r="C280" s="485"/>
      <c r="D280" s="417"/>
      <c r="AE280" s="417"/>
      <c r="AV280" s="462" t="str">
        <f t="shared" si="49"/>
        <v/>
      </c>
      <c r="AW280" s="463" t="str">
        <f t="shared" si="50"/>
        <v/>
      </c>
      <c r="AX280" s="19" t="e">
        <f t="shared" si="51"/>
        <v>#N/A</v>
      </c>
      <c r="AY280" s="19" t="e">
        <f t="shared" si="52"/>
        <v>#N/A</v>
      </c>
      <c r="AZ280" s="19" t="str">
        <f t="shared" si="53"/>
        <v/>
      </c>
      <c r="BA280" s="19" t="e">
        <f>IF(AZ280="",NA(),COUNTIF(AZ280:$AZ$510,AZ280))</f>
        <v>#N/A</v>
      </c>
    </row>
    <row r="281" spans="3:53" ht="11.25" customHeight="1" x14ac:dyDescent="0.2">
      <c r="C281" s="485"/>
      <c r="D281" s="417"/>
      <c r="AE281" s="417"/>
      <c r="AV281" s="462" t="str">
        <f t="shared" si="49"/>
        <v/>
      </c>
      <c r="AW281" s="463" t="str">
        <f t="shared" si="50"/>
        <v/>
      </c>
      <c r="AX281" s="19" t="e">
        <f t="shared" si="51"/>
        <v>#N/A</v>
      </c>
      <c r="AY281" s="19" t="e">
        <f t="shared" si="52"/>
        <v>#N/A</v>
      </c>
      <c r="AZ281" s="19" t="str">
        <f t="shared" si="53"/>
        <v/>
      </c>
      <c r="BA281" s="19" t="e">
        <f>IF(AZ281="",NA(),COUNTIF(AZ281:$AZ$510,AZ281))</f>
        <v>#N/A</v>
      </c>
    </row>
    <row r="282" spans="3:53" ht="11.25" customHeight="1" x14ac:dyDescent="0.2">
      <c r="C282" s="485"/>
      <c r="D282" s="417"/>
      <c r="AE282" s="417"/>
      <c r="AV282" s="462" t="str">
        <f t="shared" si="49"/>
        <v/>
      </c>
      <c r="AW282" s="463" t="str">
        <f t="shared" si="50"/>
        <v/>
      </c>
      <c r="AX282" s="19" t="e">
        <f t="shared" si="51"/>
        <v>#N/A</v>
      </c>
      <c r="AY282" s="19" t="e">
        <f t="shared" si="52"/>
        <v>#N/A</v>
      </c>
      <c r="AZ282" s="19" t="str">
        <f t="shared" si="53"/>
        <v/>
      </c>
      <c r="BA282" s="19" t="e">
        <f>IF(AZ282="",NA(),COUNTIF(AZ282:$AZ$510,AZ282))</f>
        <v>#N/A</v>
      </c>
    </row>
    <row r="283" spans="3:53" ht="11.25" customHeight="1" x14ac:dyDescent="0.2">
      <c r="C283" s="485"/>
      <c r="D283" s="417"/>
      <c r="AE283" s="417"/>
      <c r="AV283" s="462" t="str">
        <f t="shared" si="49"/>
        <v/>
      </c>
      <c r="AW283" s="463" t="str">
        <f t="shared" si="50"/>
        <v/>
      </c>
      <c r="AX283" s="19" t="e">
        <f t="shared" si="51"/>
        <v>#N/A</v>
      </c>
      <c r="AY283" s="19" t="e">
        <f t="shared" si="52"/>
        <v>#N/A</v>
      </c>
      <c r="AZ283" s="19" t="str">
        <f t="shared" si="53"/>
        <v/>
      </c>
      <c r="BA283" s="19" t="e">
        <f>IF(AZ283="",NA(),COUNTIF(AZ283:$AZ$510,AZ283))</f>
        <v>#N/A</v>
      </c>
    </row>
    <row r="284" spans="3:53" ht="11.25" customHeight="1" x14ac:dyDescent="0.2">
      <c r="C284" s="485"/>
      <c r="D284" s="417"/>
      <c r="AE284" s="417"/>
      <c r="AV284" s="462" t="str">
        <f t="shared" si="49"/>
        <v/>
      </c>
      <c r="AW284" s="463" t="str">
        <f t="shared" si="50"/>
        <v/>
      </c>
      <c r="AX284" s="19" t="e">
        <f t="shared" si="51"/>
        <v>#N/A</v>
      </c>
      <c r="AY284" s="19" t="e">
        <f t="shared" si="52"/>
        <v>#N/A</v>
      </c>
      <c r="AZ284" s="19" t="str">
        <f t="shared" si="53"/>
        <v/>
      </c>
      <c r="BA284" s="19" t="e">
        <f>IF(AZ284="",NA(),COUNTIF(AZ284:$AZ$510,AZ284))</f>
        <v>#N/A</v>
      </c>
    </row>
    <row r="285" spans="3:53" ht="11.25" customHeight="1" x14ac:dyDescent="0.2">
      <c r="C285" s="485"/>
      <c r="D285" s="417"/>
      <c r="AE285" s="417"/>
      <c r="AV285" s="462" t="str">
        <f t="shared" si="49"/>
        <v/>
      </c>
      <c r="AW285" s="463" t="str">
        <f t="shared" si="50"/>
        <v/>
      </c>
      <c r="AX285" s="19" t="e">
        <f t="shared" si="51"/>
        <v>#N/A</v>
      </c>
      <c r="AY285" s="19" t="e">
        <f t="shared" si="52"/>
        <v>#N/A</v>
      </c>
      <c r="AZ285" s="19" t="str">
        <f t="shared" si="53"/>
        <v/>
      </c>
      <c r="BA285" s="19" t="e">
        <f>IF(AZ285="",NA(),COUNTIF(AZ285:$AZ$510,AZ285))</f>
        <v>#N/A</v>
      </c>
    </row>
    <row r="286" spans="3:53" ht="11.25" customHeight="1" x14ac:dyDescent="0.2">
      <c r="C286" s="485"/>
      <c r="D286" s="417"/>
      <c r="AE286" s="417"/>
      <c r="AV286" s="462" t="str">
        <f t="shared" si="49"/>
        <v/>
      </c>
      <c r="AW286" s="463" t="str">
        <f t="shared" si="50"/>
        <v/>
      </c>
      <c r="AX286" s="19" t="e">
        <f t="shared" si="51"/>
        <v>#N/A</v>
      </c>
      <c r="AY286" s="19" t="e">
        <f t="shared" si="52"/>
        <v>#N/A</v>
      </c>
      <c r="AZ286" s="19" t="str">
        <f t="shared" si="53"/>
        <v/>
      </c>
      <c r="BA286" s="19" t="e">
        <f>IF(AZ286="",NA(),COUNTIF(AZ286:$AZ$510,AZ286))</f>
        <v>#N/A</v>
      </c>
    </row>
    <row r="287" spans="3:53" ht="11.25" customHeight="1" x14ac:dyDescent="0.2">
      <c r="C287" s="485"/>
      <c r="D287" s="417"/>
      <c r="AE287" s="417"/>
      <c r="AV287" s="462" t="str">
        <f t="shared" si="49"/>
        <v/>
      </c>
      <c r="AW287" s="463" t="str">
        <f t="shared" si="50"/>
        <v/>
      </c>
      <c r="AX287" s="19" t="e">
        <f t="shared" si="51"/>
        <v>#N/A</v>
      </c>
      <c r="AY287" s="19" t="e">
        <f t="shared" si="52"/>
        <v>#N/A</v>
      </c>
      <c r="AZ287" s="19" t="str">
        <f t="shared" si="53"/>
        <v/>
      </c>
      <c r="BA287" s="19" t="e">
        <f>IF(AZ287="",NA(),COUNTIF(AZ287:$AZ$510,AZ287))</f>
        <v>#N/A</v>
      </c>
    </row>
    <row r="288" spans="3:53" ht="11.25" customHeight="1" x14ac:dyDescent="0.2">
      <c r="C288" s="485"/>
      <c r="D288" s="417"/>
      <c r="AE288" s="417"/>
      <c r="AV288" s="462" t="str">
        <f t="shared" si="49"/>
        <v/>
      </c>
      <c r="AW288" s="463" t="str">
        <f t="shared" si="50"/>
        <v/>
      </c>
      <c r="AX288" s="19" t="e">
        <f t="shared" si="51"/>
        <v>#N/A</v>
      </c>
      <c r="AY288" s="19" t="e">
        <f t="shared" si="52"/>
        <v>#N/A</v>
      </c>
      <c r="AZ288" s="19" t="str">
        <f t="shared" si="53"/>
        <v/>
      </c>
      <c r="BA288" s="19" t="e">
        <f>IF(AZ288="",NA(),COUNTIF(AZ288:$AZ$510,AZ288))</f>
        <v>#N/A</v>
      </c>
    </row>
    <row r="289" spans="3:53" ht="11.25" customHeight="1" x14ac:dyDescent="0.2">
      <c r="C289" s="485"/>
      <c r="D289" s="417"/>
      <c r="AE289" s="417"/>
      <c r="AV289" s="462" t="str">
        <f t="shared" si="49"/>
        <v/>
      </c>
      <c r="AW289" s="463" t="str">
        <f t="shared" si="50"/>
        <v/>
      </c>
      <c r="AX289" s="19" t="e">
        <f t="shared" si="51"/>
        <v>#N/A</v>
      </c>
      <c r="AY289" s="19" t="e">
        <f t="shared" si="52"/>
        <v>#N/A</v>
      </c>
      <c r="AZ289" s="19" t="str">
        <f t="shared" si="53"/>
        <v/>
      </c>
      <c r="BA289" s="19" t="e">
        <f>IF(AZ289="",NA(),COUNTIF(AZ289:$AZ$510,AZ289))</f>
        <v>#N/A</v>
      </c>
    </row>
    <row r="290" spans="3:53" ht="11.25" customHeight="1" x14ac:dyDescent="0.2">
      <c r="C290" s="485"/>
      <c r="D290" s="417"/>
      <c r="AE290" s="417"/>
      <c r="AV290" s="462" t="str">
        <f t="shared" si="49"/>
        <v/>
      </c>
      <c r="AW290" s="463" t="str">
        <f t="shared" si="50"/>
        <v/>
      </c>
      <c r="AX290" s="19" t="e">
        <f t="shared" si="51"/>
        <v>#N/A</v>
      </c>
      <c r="AY290" s="19" t="e">
        <f t="shared" si="52"/>
        <v>#N/A</v>
      </c>
      <c r="AZ290" s="19" t="str">
        <f t="shared" si="53"/>
        <v/>
      </c>
      <c r="BA290" s="19" t="e">
        <f>IF(AZ290="",NA(),COUNTIF(AZ290:$AZ$510,AZ290))</f>
        <v>#N/A</v>
      </c>
    </row>
    <row r="291" spans="3:53" ht="11.25" customHeight="1" x14ac:dyDescent="0.2">
      <c r="C291" s="485"/>
      <c r="D291" s="417"/>
      <c r="AE291" s="417"/>
      <c r="AV291" s="462" t="str">
        <f t="shared" si="49"/>
        <v/>
      </c>
      <c r="AW291" s="463" t="str">
        <f t="shared" si="50"/>
        <v/>
      </c>
      <c r="AX291" s="19" t="e">
        <f t="shared" si="51"/>
        <v>#N/A</v>
      </c>
      <c r="AY291" s="19" t="e">
        <f t="shared" si="52"/>
        <v>#N/A</v>
      </c>
      <c r="AZ291" s="19" t="str">
        <f t="shared" si="53"/>
        <v/>
      </c>
      <c r="BA291" s="19" t="e">
        <f>IF(AZ291="",NA(),COUNTIF(AZ291:$AZ$510,AZ291))</f>
        <v>#N/A</v>
      </c>
    </row>
    <row r="292" spans="3:53" ht="11.25" customHeight="1" x14ac:dyDescent="0.2">
      <c r="C292" s="485"/>
      <c r="D292" s="417"/>
      <c r="AE292" s="417"/>
      <c r="AV292" s="462" t="str">
        <f t="shared" si="49"/>
        <v/>
      </c>
      <c r="AW292" s="463" t="str">
        <f t="shared" si="50"/>
        <v/>
      </c>
      <c r="AX292" s="19" t="e">
        <f t="shared" si="51"/>
        <v>#N/A</v>
      </c>
      <c r="AY292" s="19" t="e">
        <f t="shared" si="52"/>
        <v>#N/A</v>
      </c>
      <c r="AZ292" s="19" t="str">
        <f t="shared" si="53"/>
        <v/>
      </c>
      <c r="BA292" s="19" t="e">
        <f>IF(AZ292="",NA(),COUNTIF(AZ292:$AZ$510,AZ292))</f>
        <v>#N/A</v>
      </c>
    </row>
    <row r="293" spans="3:53" ht="11.25" customHeight="1" x14ac:dyDescent="0.2">
      <c r="C293" s="485"/>
      <c r="D293" s="417"/>
      <c r="AE293" s="417"/>
      <c r="AV293" s="462" t="str">
        <f t="shared" si="49"/>
        <v/>
      </c>
      <c r="AW293" s="463" t="str">
        <f t="shared" si="50"/>
        <v/>
      </c>
      <c r="AX293" s="19" t="e">
        <f t="shared" si="51"/>
        <v>#N/A</v>
      </c>
      <c r="AY293" s="19" t="e">
        <f t="shared" si="52"/>
        <v>#N/A</v>
      </c>
      <c r="AZ293" s="19" t="str">
        <f t="shared" si="53"/>
        <v/>
      </c>
      <c r="BA293" s="19" t="e">
        <f>IF(AZ293="",NA(),COUNTIF(AZ293:$AZ$510,AZ293))</f>
        <v>#N/A</v>
      </c>
    </row>
    <row r="294" spans="3:53" ht="11.25" customHeight="1" x14ac:dyDescent="0.2">
      <c r="C294" s="485"/>
      <c r="D294" s="417"/>
      <c r="AE294" s="417"/>
      <c r="AV294" s="462" t="str">
        <f t="shared" si="49"/>
        <v/>
      </c>
      <c r="AW294" s="463" t="str">
        <f t="shared" si="50"/>
        <v/>
      </c>
      <c r="AX294" s="19" t="e">
        <f t="shared" si="51"/>
        <v>#N/A</v>
      </c>
      <c r="AY294" s="19" t="e">
        <f t="shared" si="52"/>
        <v>#N/A</v>
      </c>
      <c r="AZ294" s="19" t="str">
        <f t="shared" si="53"/>
        <v/>
      </c>
      <c r="BA294" s="19" t="e">
        <f>IF(AZ294="",NA(),COUNTIF(AZ294:$AZ$510,AZ294))</f>
        <v>#N/A</v>
      </c>
    </row>
    <row r="295" spans="3:53" ht="11.25" customHeight="1" x14ac:dyDescent="0.2">
      <c r="C295" s="485"/>
      <c r="D295" s="417"/>
      <c r="AE295" s="417"/>
      <c r="AV295" s="462" t="str">
        <f t="shared" si="49"/>
        <v/>
      </c>
      <c r="AW295" s="463" t="str">
        <f t="shared" si="50"/>
        <v/>
      </c>
      <c r="AX295" s="19" t="e">
        <f t="shared" si="51"/>
        <v>#N/A</v>
      </c>
      <c r="AY295" s="19" t="e">
        <f t="shared" si="52"/>
        <v>#N/A</v>
      </c>
      <c r="AZ295" s="19" t="str">
        <f t="shared" si="53"/>
        <v/>
      </c>
      <c r="BA295" s="19" t="e">
        <f>IF(AZ295="",NA(),COUNTIF(AZ295:$AZ$510,AZ295))</f>
        <v>#N/A</v>
      </c>
    </row>
    <row r="296" spans="3:53" ht="11.25" customHeight="1" x14ac:dyDescent="0.2">
      <c r="C296" s="485"/>
      <c r="D296" s="417"/>
      <c r="AE296" s="417"/>
      <c r="AV296" s="462" t="str">
        <f t="shared" si="49"/>
        <v/>
      </c>
      <c r="AW296" s="463" t="str">
        <f t="shared" si="50"/>
        <v/>
      </c>
      <c r="AX296" s="19" t="e">
        <f t="shared" si="51"/>
        <v>#N/A</v>
      </c>
      <c r="AY296" s="19" t="e">
        <f t="shared" si="52"/>
        <v>#N/A</v>
      </c>
      <c r="AZ296" s="19" t="str">
        <f t="shared" si="53"/>
        <v/>
      </c>
      <c r="BA296" s="19" t="e">
        <f>IF(AZ296="",NA(),COUNTIF(AZ296:$AZ$510,AZ296))</f>
        <v>#N/A</v>
      </c>
    </row>
    <row r="297" spans="3:53" ht="11.25" customHeight="1" x14ac:dyDescent="0.2">
      <c r="C297" s="485"/>
      <c r="D297" s="417"/>
      <c r="AE297" s="417"/>
      <c r="AV297" s="462" t="str">
        <f t="shared" si="49"/>
        <v/>
      </c>
      <c r="AW297" s="463" t="str">
        <f t="shared" si="50"/>
        <v/>
      </c>
      <c r="AX297" s="19" t="e">
        <f t="shared" si="51"/>
        <v>#N/A</v>
      </c>
      <c r="AY297" s="19" t="e">
        <f t="shared" si="52"/>
        <v>#N/A</v>
      </c>
      <c r="AZ297" s="19" t="str">
        <f t="shared" si="53"/>
        <v/>
      </c>
      <c r="BA297" s="19" t="e">
        <f>IF(AZ297="",NA(),COUNTIF(AZ297:$AZ$510,AZ297))</f>
        <v>#N/A</v>
      </c>
    </row>
    <row r="298" spans="3:53" ht="11.25" customHeight="1" x14ac:dyDescent="0.2">
      <c r="C298" s="485"/>
      <c r="D298" s="417"/>
      <c r="AE298" s="417"/>
      <c r="AV298" s="462" t="str">
        <f t="shared" si="49"/>
        <v/>
      </c>
      <c r="AW298" s="463" t="str">
        <f t="shared" si="50"/>
        <v/>
      </c>
      <c r="AX298" s="19" t="e">
        <f t="shared" si="51"/>
        <v>#N/A</v>
      </c>
      <c r="AY298" s="19" t="e">
        <f t="shared" si="52"/>
        <v>#N/A</v>
      </c>
      <c r="AZ298" s="19" t="str">
        <f t="shared" si="53"/>
        <v/>
      </c>
      <c r="BA298" s="19" t="e">
        <f>IF(AZ298="",NA(),COUNTIF(AZ298:$AZ$510,AZ298))</f>
        <v>#N/A</v>
      </c>
    </row>
    <row r="299" spans="3:53" ht="11.25" customHeight="1" x14ac:dyDescent="0.2">
      <c r="C299" s="485"/>
      <c r="D299" s="417"/>
      <c r="AE299" s="417"/>
      <c r="AV299" s="462" t="str">
        <f t="shared" si="49"/>
        <v/>
      </c>
      <c r="AW299" s="463" t="str">
        <f t="shared" si="50"/>
        <v/>
      </c>
      <c r="AX299" s="19" t="e">
        <f t="shared" si="51"/>
        <v>#N/A</v>
      </c>
      <c r="AY299" s="19" t="e">
        <f t="shared" si="52"/>
        <v>#N/A</v>
      </c>
      <c r="AZ299" s="19" t="str">
        <f t="shared" si="53"/>
        <v/>
      </c>
      <c r="BA299" s="19" t="e">
        <f>IF(AZ299="",NA(),COUNTIF(AZ299:$AZ$510,AZ299))</f>
        <v>#N/A</v>
      </c>
    </row>
    <row r="300" spans="3:53" ht="11.25" customHeight="1" x14ac:dyDescent="0.2">
      <c r="C300" s="485"/>
      <c r="D300" s="417"/>
      <c r="AE300" s="417"/>
      <c r="AV300" s="462" t="str">
        <f t="shared" si="49"/>
        <v/>
      </c>
      <c r="AW300" s="463" t="str">
        <f t="shared" si="50"/>
        <v/>
      </c>
      <c r="AX300" s="19" t="e">
        <f t="shared" si="51"/>
        <v>#N/A</v>
      </c>
      <c r="AY300" s="19" t="e">
        <f t="shared" si="52"/>
        <v>#N/A</v>
      </c>
      <c r="AZ300" s="19" t="str">
        <f t="shared" si="53"/>
        <v/>
      </c>
      <c r="BA300" s="19" t="e">
        <f>IF(AZ300="",NA(),COUNTIF(AZ300:$AZ$510,AZ300))</f>
        <v>#N/A</v>
      </c>
    </row>
    <row r="301" spans="3:53" ht="11.25" customHeight="1" x14ac:dyDescent="0.2">
      <c r="C301" s="485"/>
      <c r="D301" s="417"/>
      <c r="AE301" s="417"/>
      <c r="AV301" s="462" t="str">
        <f t="shared" si="49"/>
        <v/>
      </c>
      <c r="AW301" s="463" t="str">
        <f t="shared" si="50"/>
        <v/>
      </c>
      <c r="AX301" s="19" t="e">
        <f t="shared" si="51"/>
        <v>#N/A</v>
      </c>
      <c r="AY301" s="19" t="e">
        <f t="shared" si="52"/>
        <v>#N/A</v>
      </c>
      <c r="AZ301" s="19" t="str">
        <f t="shared" si="53"/>
        <v/>
      </c>
      <c r="BA301" s="19" t="e">
        <f>IF(AZ301="",NA(),COUNTIF(AZ301:$AZ$510,AZ301))</f>
        <v>#N/A</v>
      </c>
    </row>
    <row r="302" spans="3:53" ht="11.25" customHeight="1" x14ac:dyDescent="0.2">
      <c r="C302" s="485"/>
      <c r="D302" s="417"/>
      <c r="AE302" s="417"/>
      <c r="AV302" s="462" t="str">
        <f t="shared" si="49"/>
        <v/>
      </c>
      <c r="AW302" s="463" t="str">
        <f t="shared" si="50"/>
        <v/>
      </c>
      <c r="AX302" s="19" t="e">
        <f t="shared" si="51"/>
        <v>#N/A</v>
      </c>
      <c r="AY302" s="19" t="e">
        <f t="shared" si="52"/>
        <v>#N/A</v>
      </c>
      <c r="AZ302" s="19" t="str">
        <f t="shared" si="53"/>
        <v/>
      </c>
      <c r="BA302" s="19" t="e">
        <f>IF(AZ302="",NA(),COUNTIF(AZ302:$AZ$510,AZ302))</f>
        <v>#N/A</v>
      </c>
    </row>
    <row r="303" spans="3:53" ht="11.25" customHeight="1" x14ac:dyDescent="0.2">
      <c r="C303" s="485"/>
      <c r="D303" s="417"/>
      <c r="AE303" s="417"/>
      <c r="AV303" s="462" t="str">
        <f t="shared" si="49"/>
        <v/>
      </c>
      <c r="AW303" s="463" t="str">
        <f t="shared" si="50"/>
        <v/>
      </c>
      <c r="AX303" s="19" t="e">
        <f t="shared" si="51"/>
        <v>#N/A</v>
      </c>
      <c r="AY303" s="19" t="e">
        <f t="shared" si="52"/>
        <v>#N/A</v>
      </c>
      <c r="AZ303" s="19" t="str">
        <f t="shared" si="53"/>
        <v/>
      </c>
      <c r="BA303" s="19" t="e">
        <f>IF(AZ303="",NA(),COUNTIF(AZ303:$AZ$510,AZ303))</f>
        <v>#N/A</v>
      </c>
    </row>
    <row r="304" spans="3:53" ht="11.25" customHeight="1" x14ac:dyDescent="0.2">
      <c r="C304" s="485"/>
      <c r="D304" s="417"/>
      <c r="AE304" s="417"/>
      <c r="AV304" s="462" t="str">
        <f t="shared" si="49"/>
        <v/>
      </c>
      <c r="AW304" s="463" t="str">
        <f t="shared" si="50"/>
        <v/>
      </c>
      <c r="AX304" s="19" t="e">
        <f t="shared" si="51"/>
        <v>#N/A</v>
      </c>
      <c r="AY304" s="19" t="e">
        <f t="shared" si="52"/>
        <v>#N/A</v>
      </c>
      <c r="AZ304" s="19" t="str">
        <f t="shared" si="53"/>
        <v/>
      </c>
      <c r="BA304" s="19" t="e">
        <f>IF(AZ304="",NA(),COUNTIF(AZ304:$AZ$510,AZ304))</f>
        <v>#N/A</v>
      </c>
    </row>
    <row r="305" spans="3:53" ht="11.25" customHeight="1" x14ac:dyDescent="0.2">
      <c r="C305" s="485"/>
      <c r="D305" s="417"/>
      <c r="AV305" s="462" t="str">
        <f t="shared" si="49"/>
        <v/>
      </c>
      <c r="AW305" s="463" t="str">
        <f t="shared" si="50"/>
        <v/>
      </c>
      <c r="AX305" s="19" t="e">
        <f t="shared" si="51"/>
        <v>#N/A</v>
      </c>
      <c r="AY305" s="19" t="e">
        <f t="shared" si="52"/>
        <v>#N/A</v>
      </c>
      <c r="AZ305" s="19" t="str">
        <f t="shared" si="53"/>
        <v/>
      </c>
      <c r="BA305" s="19" t="e">
        <f>IF(AZ305="",NA(),COUNTIF(AZ305:$AZ$510,AZ305))</f>
        <v>#N/A</v>
      </c>
    </row>
    <row r="306" spans="3:53" ht="11.25" customHeight="1" x14ac:dyDescent="0.2">
      <c r="C306" s="485"/>
      <c r="D306" s="417"/>
      <c r="AV306" s="462" t="str">
        <f t="shared" si="49"/>
        <v/>
      </c>
      <c r="AW306" s="463" t="str">
        <f t="shared" si="50"/>
        <v/>
      </c>
      <c r="AX306" s="19" t="e">
        <f t="shared" si="51"/>
        <v>#N/A</v>
      </c>
      <c r="AY306" s="19" t="e">
        <f t="shared" si="52"/>
        <v>#N/A</v>
      </c>
      <c r="AZ306" s="19" t="str">
        <f t="shared" si="53"/>
        <v/>
      </c>
      <c r="BA306" s="19" t="e">
        <f>IF(AZ306="",NA(),COUNTIF(AZ306:$AZ$510,AZ306))</f>
        <v>#N/A</v>
      </c>
    </row>
    <row r="307" spans="3:53" ht="11.25" customHeight="1" x14ac:dyDescent="0.2">
      <c r="C307" s="485"/>
      <c r="D307" s="417"/>
      <c r="AV307" s="462" t="str">
        <f t="shared" si="49"/>
        <v/>
      </c>
      <c r="AW307" s="463" t="str">
        <f t="shared" si="50"/>
        <v/>
      </c>
      <c r="AX307" s="19" t="e">
        <f t="shared" si="51"/>
        <v>#N/A</v>
      </c>
      <c r="AY307" s="19" t="e">
        <f t="shared" si="52"/>
        <v>#N/A</v>
      </c>
      <c r="AZ307" s="19" t="str">
        <f t="shared" si="53"/>
        <v/>
      </c>
      <c r="BA307" s="19" t="e">
        <f>IF(AZ307="",NA(),COUNTIF(AZ307:$AZ$510,AZ307))</f>
        <v>#N/A</v>
      </c>
    </row>
    <row r="308" spans="3:53" ht="11.25" customHeight="1" x14ac:dyDescent="0.2">
      <c r="C308" s="485"/>
      <c r="D308" s="417"/>
      <c r="AV308" s="462" t="str">
        <f t="shared" si="49"/>
        <v/>
      </c>
      <c r="AW308" s="463" t="str">
        <f t="shared" si="50"/>
        <v/>
      </c>
      <c r="AX308" s="19" t="e">
        <f t="shared" si="51"/>
        <v>#N/A</v>
      </c>
      <c r="AY308" s="19" t="e">
        <f t="shared" si="52"/>
        <v>#N/A</v>
      </c>
      <c r="AZ308" s="19" t="str">
        <f t="shared" si="53"/>
        <v/>
      </c>
      <c r="BA308" s="19" t="e">
        <f>IF(AZ308="",NA(),COUNTIF(AZ308:$AZ$510,AZ308))</f>
        <v>#N/A</v>
      </c>
    </row>
    <row r="309" spans="3:53" ht="11.25" customHeight="1" x14ac:dyDescent="0.2">
      <c r="C309" s="485"/>
      <c r="D309" s="417"/>
      <c r="AV309" s="462" t="str">
        <f t="shared" si="49"/>
        <v/>
      </c>
      <c r="AW309" s="463" t="str">
        <f t="shared" si="50"/>
        <v/>
      </c>
      <c r="AX309" s="19" t="e">
        <f t="shared" si="51"/>
        <v>#N/A</v>
      </c>
      <c r="AY309" s="19" t="e">
        <f t="shared" si="52"/>
        <v>#N/A</v>
      </c>
      <c r="AZ309" s="19" t="str">
        <f t="shared" si="53"/>
        <v/>
      </c>
      <c r="BA309" s="19" t="e">
        <f>IF(AZ309="",NA(),COUNTIF(AZ309:$AZ$510,AZ309))</f>
        <v>#N/A</v>
      </c>
    </row>
    <row r="310" spans="3:53" ht="11.25" customHeight="1" x14ac:dyDescent="0.2">
      <c r="C310" s="485"/>
      <c r="D310" s="417"/>
      <c r="AV310" s="462" t="str">
        <f t="shared" si="49"/>
        <v/>
      </c>
      <c r="AW310" s="463" t="str">
        <f t="shared" si="50"/>
        <v/>
      </c>
      <c r="AX310" s="19" t="e">
        <f t="shared" si="51"/>
        <v>#N/A</v>
      </c>
      <c r="AY310" s="19" t="e">
        <f t="shared" si="52"/>
        <v>#N/A</v>
      </c>
      <c r="AZ310" s="19" t="str">
        <f t="shared" si="53"/>
        <v/>
      </c>
      <c r="BA310" s="19" t="e">
        <f>IF(AZ310="",NA(),COUNTIF(AZ310:$AZ$510,AZ310))</f>
        <v>#N/A</v>
      </c>
    </row>
    <row r="311" spans="3:53" ht="11.25" customHeight="1" x14ac:dyDescent="0.2">
      <c r="C311" s="485"/>
      <c r="D311" s="417"/>
      <c r="AV311" s="462" t="str">
        <f t="shared" si="49"/>
        <v/>
      </c>
      <c r="AW311" s="463" t="str">
        <f t="shared" si="50"/>
        <v/>
      </c>
      <c r="AX311" s="19" t="e">
        <f t="shared" si="51"/>
        <v>#N/A</v>
      </c>
      <c r="AY311" s="19" t="e">
        <f t="shared" si="52"/>
        <v>#N/A</v>
      </c>
      <c r="AZ311" s="19" t="str">
        <f t="shared" si="53"/>
        <v/>
      </c>
      <c r="BA311" s="19" t="e">
        <f>IF(AZ311="",NA(),COUNTIF(AZ311:$AZ$510,AZ311))</f>
        <v>#N/A</v>
      </c>
    </row>
    <row r="312" spans="3:53" ht="11.25" customHeight="1" x14ac:dyDescent="0.2">
      <c r="C312" s="485"/>
      <c r="D312" s="417"/>
      <c r="AV312" s="462" t="str">
        <f t="shared" si="49"/>
        <v/>
      </c>
      <c r="AW312" s="463" t="str">
        <f t="shared" si="50"/>
        <v/>
      </c>
      <c r="AX312" s="19" t="e">
        <f t="shared" si="51"/>
        <v>#N/A</v>
      </c>
      <c r="AY312" s="19" t="e">
        <f t="shared" si="52"/>
        <v>#N/A</v>
      </c>
      <c r="AZ312" s="19" t="str">
        <f t="shared" si="53"/>
        <v/>
      </c>
      <c r="BA312" s="19" t="e">
        <f>IF(AZ312="",NA(),COUNTIF(AZ312:$AZ$510,AZ312))</f>
        <v>#N/A</v>
      </c>
    </row>
    <row r="313" spans="3:53" ht="11.25" customHeight="1" x14ac:dyDescent="0.2">
      <c r="C313" s="485"/>
      <c r="D313" s="417"/>
      <c r="AV313" s="462" t="str">
        <f t="shared" si="49"/>
        <v/>
      </c>
      <c r="AW313" s="463" t="str">
        <f t="shared" si="50"/>
        <v/>
      </c>
      <c r="AX313" s="19" t="e">
        <f t="shared" si="51"/>
        <v>#N/A</v>
      </c>
      <c r="AY313" s="19" t="e">
        <f t="shared" si="52"/>
        <v>#N/A</v>
      </c>
      <c r="AZ313" s="19" t="str">
        <f t="shared" si="53"/>
        <v/>
      </c>
      <c r="BA313" s="19" t="e">
        <f>IF(AZ313="",NA(),COUNTIF(AZ313:$AZ$510,AZ313))</f>
        <v>#N/A</v>
      </c>
    </row>
    <row r="314" spans="3:53" ht="11.25" customHeight="1" x14ac:dyDescent="0.2">
      <c r="C314" s="485"/>
      <c r="D314" s="417"/>
      <c r="AV314" s="462" t="str">
        <f t="shared" si="49"/>
        <v/>
      </c>
      <c r="AW314" s="463" t="str">
        <f t="shared" si="50"/>
        <v/>
      </c>
      <c r="AX314" s="19" t="e">
        <f t="shared" si="51"/>
        <v>#N/A</v>
      </c>
      <c r="AY314" s="19" t="e">
        <f t="shared" si="52"/>
        <v>#N/A</v>
      </c>
      <c r="AZ314" s="19" t="str">
        <f t="shared" si="53"/>
        <v/>
      </c>
      <c r="BA314" s="19" t="e">
        <f>IF(AZ314="",NA(),COUNTIF(AZ314:$AZ$510,AZ314))</f>
        <v>#N/A</v>
      </c>
    </row>
    <row r="315" spans="3:53" ht="11.25" customHeight="1" x14ac:dyDescent="0.2">
      <c r="C315" s="485"/>
      <c r="D315" s="417"/>
      <c r="AV315" s="462" t="str">
        <f t="shared" si="49"/>
        <v/>
      </c>
      <c r="AW315" s="463" t="str">
        <f t="shared" si="50"/>
        <v/>
      </c>
      <c r="AX315" s="19" t="e">
        <f t="shared" si="51"/>
        <v>#N/A</v>
      </c>
      <c r="AY315" s="19" t="e">
        <f t="shared" si="52"/>
        <v>#N/A</v>
      </c>
      <c r="AZ315" s="19" t="str">
        <f t="shared" si="53"/>
        <v/>
      </c>
      <c r="BA315" s="19" t="e">
        <f>IF(AZ315="",NA(),COUNTIF(AZ315:$AZ$510,AZ315))</f>
        <v>#N/A</v>
      </c>
    </row>
    <row r="316" spans="3:53" ht="11.25" customHeight="1" x14ac:dyDescent="0.2">
      <c r="C316" s="485"/>
      <c r="D316" s="417"/>
      <c r="AV316" s="462" t="str">
        <f t="shared" si="49"/>
        <v/>
      </c>
      <c r="AW316" s="463" t="str">
        <f t="shared" si="50"/>
        <v/>
      </c>
      <c r="AX316" s="19" t="e">
        <f t="shared" si="51"/>
        <v>#N/A</v>
      </c>
      <c r="AY316" s="19" t="e">
        <f t="shared" si="52"/>
        <v>#N/A</v>
      </c>
      <c r="AZ316" s="19" t="str">
        <f t="shared" si="53"/>
        <v/>
      </c>
      <c r="BA316" s="19" t="e">
        <f>IF(AZ316="",NA(),COUNTIF(AZ316:$AZ$510,AZ316))</f>
        <v>#N/A</v>
      </c>
    </row>
    <row r="317" spans="3:53" ht="11.25" customHeight="1" x14ac:dyDescent="0.2">
      <c r="C317" s="485"/>
      <c r="D317" s="417"/>
      <c r="AV317" s="462" t="str">
        <f t="shared" si="49"/>
        <v/>
      </c>
      <c r="AW317" s="463" t="str">
        <f t="shared" si="50"/>
        <v/>
      </c>
      <c r="AX317" s="19" t="e">
        <f t="shared" si="51"/>
        <v>#N/A</v>
      </c>
      <c r="AY317" s="19" t="e">
        <f t="shared" si="52"/>
        <v>#N/A</v>
      </c>
      <c r="AZ317" s="19" t="str">
        <f t="shared" si="53"/>
        <v/>
      </c>
      <c r="BA317" s="19" t="e">
        <f>IF(AZ317="",NA(),COUNTIF(AZ317:$AZ$510,AZ317))</f>
        <v>#N/A</v>
      </c>
    </row>
    <row r="318" spans="3:53" ht="11.25" customHeight="1" x14ac:dyDescent="0.2">
      <c r="C318" s="485"/>
      <c r="D318" s="417"/>
      <c r="AV318" s="462" t="str">
        <f t="shared" si="49"/>
        <v/>
      </c>
      <c r="AW318" s="463" t="str">
        <f t="shared" si="50"/>
        <v/>
      </c>
      <c r="AX318" s="19" t="e">
        <f t="shared" si="51"/>
        <v>#N/A</v>
      </c>
      <c r="AY318" s="19" t="e">
        <f t="shared" si="52"/>
        <v>#N/A</v>
      </c>
      <c r="AZ318" s="19" t="str">
        <f t="shared" si="53"/>
        <v/>
      </c>
      <c r="BA318" s="19" t="e">
        <f>IF(AZ318="",NA(),COUNTIF(AZ318:$AZ$510,AZ318))</f>
        <v>#N/A</v>
      </c>
    </row>
    <row r="319" spans="3:53" ht="11.25" customHeight="1" x14ac:dyDescent="0.2">
      <c r="C319" s="485"/>
      <c r="D319" s="417"/>
      <c r="AV319" s="462" t="str">
        <f t="shared" si="49"/>
        <v/>
      </c>
      <c r="AW319" s="463" t="str">
        <f t="shared" si="50"/>
        <v/>
      </c>
      <c r="AX319" s="19" t="e">
        <f t="shared" si="51"/>
        <v>#N/A</v>
      </c>
      <c r="AY319" s="19" t="e">
        <f t="shared" si="52"/>
        <v>#N/A</v>
      </c>
      <c r="AZ319" s="19" t="str">
        <f t="shared" si="53"/>
        <v/>
      </c>
      <c r="BA319" s="19" t="e">
        <f>IF(AZ319="",NA(),COUNTIF(AZ319:$AZ$510,AZ319))</f>
        <v>#N/A</v>
      </c>
    </row>
    <row r="320" spans="3:53" ht="11.25" customHeight="1" x14ac:dyDescent="0.2">
      <c r="C320" s="485"/>
      <c r="D320" s="417"/>
      <c r="AV320" s="462" t="str">
        <f t="shared" si="49"/>
        <v/>
      </c>
      <c r="AW320" s="463" t="str">
        <f t="shared" si="50"/>
        <v/>
      </c>
      <c r="AX320" s="19" t="e">
        <f t="shared" si="51"/>
        <v>#N/A</v>
      </c>
      <c r="AY320" s="19" t="e">
        <f t="shared" si="52"/>
        <v>#N/A</v>
      </c>
      <c r="AZ320" s="19" t="str">
        <f t="shared" si="53"/>
        <v/>
      </c>
      <c r="BA320" s="19" t="e">
        <f>IF(AZ320="",NA(),COUNTIF(AZ320:$AZ$510,AZ320))</f>
        <v>#N/A</v>
      </c>
    </row>
    <row r="321" spans="3:53" ht="11.25" customHeight="1" x14ac:dyDescent="0.2">
      <c r="C321" s="485"/>
      <c r="D321" s="417"/>
      <c r="AV321" s="462" t="str">
        <f t="shared" si="49"/>
        <v/>
      </c>
      <c r="AW321" s="463" t="str">
        <f t="shared" si="50"/>
        <v/>
      </c>
      <c r="AX321" s="19" t="e">
        <f t="shared" si="51"/>
        <v>#N/A</v>
      </c>
      <c r="AY321" s="19" t="e">
        <f t="shared" si="52"/>
        <v>#N/A</v>
      </c>
      <c r="AZ321" s="19" t="str">
        <f t="shared" si="53"/>
        <v/>
      </c>
      <c r="BA321" s="19" t="e">
        <f>IF(AZ321="",NA(),COUNTIF(AZ321:$AZ$510,AZ321))</f>
        <v>#N/A</v>
      </c>
    </row>
    <row r="322" spans="3:53" ht="11.25" customHeight="1" x14ac:dyDescent="0.2">
      <c r="C322" s="485"/>
      <c r="D322" s="417"/>
      <c r="AV322" s="462" t="str">
        <f t="shared" si="49"/>
        <v/>
      </c>
      <c r="AW322" s="463" t="str">
        <f t="shared" si="50"/>
        <v/>
      </c>
      <c r="AX322" s="19" t="e">
        <f t="shared" si="51"/>
        <v>#N/A</v>
      </c>
      <c r="AY322" s="19" t="e">
        <f t="shared" si="52"/>
        <v>#N/A</v>
      </c>
      <c r="AZ322" s="19" t="str">
        <f t="shared" si="53"/>
        <v/>
      </c>
      <c r="BA322" s="19" t="e">
        <f>IF(AZ322="",NA(),COUNTIF(AZ322:$AZ$510,AZ322))</f>
        <v>#N/A</v>
      </c>
    </row>
    <row r="323" spans="3:53" ht="11.25" customHeight="1" x14ac:dyDescent="0.2">
      <c r="C323" s="485"/>
      <c r="D323" s="417"/>
      <c r="AV323" s="462" t="str">
        <f t="shared" si="49"/>
        <v/>
      </c>
      <c r="AW323" s="463" t="str">
        <f t="shared" si="50"/>
        <v/>
      </c>
      <c r="AX323" s="19" t="e">
        <f t="shared" si="51"/>
        <v>#N/A</v>
      </c>
      <c r="AY323" s="19" t="e">
        <f t="shared" si="52"/>
        <v>#N/A</v>
      </c>
      <c r="AZ323" s="19" t="str">
        <f t="shared" si="53"/>
        <v/>
      </c>
      <c r="BA323" s="19" t="e">
        <f>IF(AZ323="",NA(),COUNTIF(AZ323:$AZ$510,AZ323))</f>
        <v>#N/A</v>
      </c>
    </row>
    <row r="324" spans="3:53" ht="11.25" customHeight="1" x14ac:dyDescent="0.2">
      <c r="C324" s="485"/>
      <c r="D324" s="417"/>
      <c r="AV324" s="462" t="str">
        <f t="shared" si="49"/>
        <v/>
      </c>
      <c r="AW324" s="463" t="str">
        <f t="shared" si="50"/>
        <v/>
      </c>
      <c r="AX324" s="19" t="e">
        <f t="shared" si="51"/>
        <v>#N/A</v>
      </c>
      <c r="AY324" s="19" t="e">
        <f t="shared" si="52"/>
        <v>#N/A</v>
      </c>
      <c r="AZ324" s="19" t="str">
        <f t="shared" si="53"/>
        <v/>
      </c>
      <c r="BA324" s="19" t="e">
        <f>IF(AZ324="",NA(),COUNTIF(AZ324:$AZ$510,AZ324))</f>
        <v>#N/A</v>
      </c>
    </row>
    <row r="325" spans="3:53" ht="11.25" customHeight="1" x14ac:dyDescent="0.2">
      <c r="C325" s="485"/>
      <c r="D325" s="417"/>
      <c r="AV325" s="462" t="str">
        <f t="shared" si="49"/>
        <v/>
      </c>
      <c r="AW325" s="463" t="str">
        <f t="shared" si="50"/>
        <v/>
      </c>
      <c r="AX325" s="19" t="e">
        <f t="shared" si="51"/>
        <v>#N/A</v>
      </c>
      <c r="AY325" s="19" t="e">
        <f t="shared" si="52"/>
        <v>#N/A</v>
      </c>
      <c r="AZ325" s="19" t="str">
        <f t="shared" si="53"/>
        <v/>
      </c>
      <c r="BA325" s="19" t="e">
        <f>IF(AZ325="",NA(),COUNTIF(AZ325:$AZ$510,AZ325))</f>
        <v>#N/A</v>
      </c>
    </row>
    <row r="326" spans="3:53" ht="11.25" customHeight="1" x14ac:dyDescent="0.2">
      <c r="C326" s="485"/>
      <c r="D326" s="417"/>
      <c r="AV326" s="462" t="str">
        <f t="shared" si="49"/>
        <v/>
      </c>
      <c r="AW326" s="463" t="str">
        <f t="shared" si="50"/>
        <v/>
      </c>
      <c r="AX326" s="19" t="e">
        <f t="shared" si="51"/>
        <v>#N/A</v>
      </c>
      <c r="AY326" s="19" t="e">
        <f t="shared" si="52"/>
        <v>#N/A</v>
      </c>
      <c r="AZ326" s="19" t="str">
        <f t="shared" si="53"/>
        <v/>
      </c>
      <c r="BA326" s="19" t="e">
        <f>IF(AZ326="",NA(),COUNTIF(AZ326:$AZ$510,AZ326))</f>
        <v>#N/A</v>
      </c>
    </row>
    <row r="327" spans="3:53" ht="11.25" customHeight="1" x14ac:dyDescent="0.2">
      <c r="C327" s="485"/>
      <c r="D327" s="417"/>
      <c r="AV327" s="462" t="str">
        <f t="shared" si="49"/>
        <v/>
      </c>
      <c r="AW327" s="463" t="str">
        <f t="shared" si="50"/>
        <v/>
      </c>
      <c r="AX327" s="19" t="e">
        <f t="shared" si="51"/>
        <v>#N/A</v>
      </c>
      <c r="AY327" s="19" t="e">
        <f t="shared" si="52"/>
        <v>#N/A</v>
      </c>
      <c r="AZ327" s="19" t="str">
        <f t="shared" si="53"/>
        <v/>
      </c>
      <c r="BA327" s="19" t="e">
        <f>IF(AZ327="",NA(),COUNTIF(AZ327:$AZ$510,AZ327))</f>
        <v>#N/A</v>
      </c>
    </row>
    <row r="328" spans="3:53" ht="11.25" customHeight="1" x14ac:dyDescent="0.2">
      <c r="C328" s="485"/>
      <c r="D328" s="417"/>
      <c r="AV328" s="462" t="str">
        <f t="shared" si="49"/>
        <v/>
      </c>
      <c r="AW328" s="463" t="str">
        <f t="shared" si="50"/>
        <v/>
      </c>
      <c r="AX328" s="19" t="e">
        <f t="shared" si="51"/>
        <v>#N/A</v>
      </c>
      <c r="AY328" s="19" t="e">
        <f t="shared" si="52"/>
        <v>#N/A</v>
      </c>
      <c r="AZ328" s="19" t="str">
        <f t="shared" si="53"/>
        <v/>
      </c>
      <c r="BA328" s="19" t="e">
        <f>IF(AZ328="",NA(),COUNTIF(AZ328:$AZ$510,AZ328))</f>
        <v>#N/A</v>
      </c>
    </row>
    <row r="329" spans="3:53" ht="11.25" customHeight="1" x14ac:dyDescent="0.2">
      <c r="C329" s="485"/>
      <c r="D329" s="417"/>
      <c r="AV329" s="462" t="str">
        <f t="shared" ref="AV329:AV392" si="54">IF(ISBLANK(D329),"",IF($AP$17,$AP$20*$AP$21,D329*$AP$19))</f>
        <v/>
      </c>
      <c r="AW329" s="463" t="str">
        <f t="shared" ref="AW329:AW392" si="55">IF(ISBLANK(C329),"",(NORMDIST(C329+AV329,$I$6,$AP$21,TRUE)-NORMDIST(C329-AV329,$I$6,$AP$21,TRUE))*100)</f>
        <v/>
      </c>
      <c r="AX329" s="19" t="e">
        <f t="shared" si="51"/>
        <v>#N/A</v>
      </c>
      <c r="AY329" s="19" t="e">
        <f t="shared" si="52"/>
        <v>#N/A</v>
      </c>
      <c r="AZ329" s="19" t="str">
        <f t="shared" si="53"/>
        <v/>
      </c>
      <c r="BA329" s="19" t="e">
        <f>IF(AZ329="",NA(),COUNTIF(AZ329:$AZ$510,AZ329))</f>
        <v>#N/A</v>
      </c>
    </row>
    <row r="330" spans="3:53" ht="11.25" customHeight="1" x14ac:dyDescent="0.2">
      <c r="C330" s="485"/>
      <c r="D330" s="417"/>
      <c r="AV330" s="462" t="str">
        <f t="shared" si="54"/>
        <v/>
      </c>
      <c r="AW330" s="463" t="str">
        <f t="shared" si="55"/>
        <v/>
      </c>
      <c r="AX330" s="19" t="e">
        <f t="shared" si="51"/>
        <v>#N/A</v>
      </c>
      <c r="AY330" s="19" t="e">
        <f t="shared" si="52"/>
        <v>#N/A</v>
      </c>
      <c r="AZ330" s="19" t="str">
        <f t="shared" si="53"/>
        <v/>
      </c>
      <c r="BA330" s="19" t="e">
        <f>IF(AZ330="",NA(),COUNTIF(AZ330:$AZ$510,AZ330))</f>
        <v>#N/A</v>
      </c>
    </row>
    <row r="331" spans="3:53" ht="11.25" customHeight="1" x14ac:dyDescent="0.2">
      <c r="C331" s="485"/>
      <c r="D331" s="417"/>
      <c r="AV331" s="462" t="str">
        <f t="shared" si="54"/>
        <v/>
      </c>
      <c r="AW331" s="463" t="str">
        <f t="shared" si="55"/>
        <v/>
      </c>
      <c r="AX331" s="19" t="e">
        <f t="shared" ref="AX331:AX394" si="56">IF(OR(NOT(Repchange),AZ331=""),NA(),AZ331*$AO$12/100)</f>
        <v>#N/A</v>
      </c>
      <c r="AY331" s="19" t="e">
        <f t="shared" ref="AY331:AY394" si="57">$AO$11*(BA331-0.5)</f>
        <v>#N/A</v>
      </c>
      <c r="AZ331" s="19" t="str">
        <f t="shared" ref="AZ331:AZ394" si="58">IF(AW329="","",ROUND(AW329/$AO$12,0))</f>
        <v/>
      </c>
      <c r="BA331" s="19" t="e">
        <f>IF(AZ331="",NA(),COUNTIF(AZ331:$AZ$510,AZ331))</f>
        <v>#N/A</v>
      </c>
    </row>
    <row r="332" spans="3:53" ht="11.25" customHeight="1" x14ac:dyDescent="0.2">
      <c r="C332" s="485"/>
      <c r="D332" s="417"/>
      <c r="AV332" s="462" t="str">
        <f t="shared" si="54"/>
        <v/>
      </c>
      <c r="AW332" s="463" t="str">
        <f t="shared" si="55"/>
        <v/>
      </c>
      <c r="AX332" s="19" t="e">
        <f t="shared" si="56"/>
        <v>#N/A</v>
      </c>
      <c r="AY332" s="19" t="e">
        <f t="shared" si="57"/>
        <v>#N/A</v>
      </c>
      <c r="AZ332" s="19" t="str">
        <f t="shared" si="58"/>
        <v/>
      </c>
      <c r="BA332" s="19" t="e">
        <f>IF(AZ332="",NA(),COUNTIF(AZ332:$AZ$510,AZ332))</f>
        <v>#N/A</v>
      </c>
    </row>
    <row r="333" spans="3:53" ht="11.25" customHeight="1" x14ac:dyDescent="0.2">
      <c r="C333" s="485"/>
      <c r="D333" s="417"/>
      <c r="AV333" s="462" t="str">
        <f t="shared" si="54"/>
        <v/>
      </c>
      <c r="AW333" s="463" t="str">
        <f t="shared" si="55"/>
        <v/>
      </c>
      <c r="AX333" s="19" t="e">
        <f t="shared" si="56"/>
        <v>#N/A</v>
      </c>
      <c r="AY333" s="19" t="e">
        <f t="shared" si="57"/>
        <v>#N/A</v>
      </c>
      <c r="AZ333" s="19" t="str">
        <f t="shared" si="58"/>
        <v/>
      </c>
      <c r="BA333" s="19" t="e">
        <f>IF(AZ333="",NA(),COUNTIF(AZ333:$AZ$510,AZ333))</f>
        <v>#N/A</v>
      </c>
    </row>
    <row r="334" spans="3:53" ht="11.25" customHeight="1" x14ac:dyDescent="0.2">
      <c r="C334" s="485"/>
      <c r="D334" s="417"/>
      <c r="AV334" s="462" t="str">
        <f t="shared" si="54"/>
        <v/>
      </c>
      <c r="AW334" s="463" t="str">
        <f t="shared" si="55"/>
        <v/>
      </c>
      <c r="AX334" s="19" t="e">
        <f t="shared" si="56"/>
        <v>#N/A</v>
      </c>
      <c r="AY334" s="19" t="e">
        <f t="shared" si="57"/>
        <v>#N/A</v>
      </c>
      <c r="AZ334" s="19" t="str">
        <f t="shared" si="58"/>
        <v/>
      </c>
      <c r="BA334" s="19" t="e">
        <f>IF(AZ334="",NA(),COUNTIF(AZ334:$AZ$510,AZ334))</f>
        <v>#N/A</v>
      </c>
    </row>
    <row r="335" spans="3:53" ht="11.25" customHeight="1" x14ac:dyDescent="0.2">
      <c r="C335" s="485"/>
      <c r="D335" s="417"/>
      <c r="AV335" s="462" t="str">
        <f t="shared" si="54"/>
        <v/>
      </c>
      <c r="AW335" s="463" t="str">
        <f t="shared" si="55"/>
        <v/>
      </c>
      <c r="AX335" s="19" t="e">
        <f t="shared" si="56"/>
        <v>#N/A</v>
      </c>
      <c r="AY335" s="19" t="e">
        <f t="shared" si="57"/>
        <v>#N/A</v>
      </c>
      <c r="AZ335" s="19" t="str">
        <f t="shared" si="58"/>
        <v/>
      </c>
      <c r="BA335" s="19" t="e">
        <f>IF(AZ335="",NA(),COUNTIF(AZ335:$AZ$510,AZ335))</f>
        <v>#N/A</v>
      </c>
    </row>
    <row r="336" spans="3:53" ht="11.25" customHeight="1" x14ac:dyDescent="0.2">
      <c r="C336" s="485"/>
      <c r="D336" s="417"/>
      <c r="AV336" s="462" t="str">
        <f t="shared" si="54"/>
        <v/>
      </c>
      <c r="AW336" s="463" t="str">
        <f t="shared" si="55"/>
        <v/>
      </c>
      <c r="AX336" s="19" t="e">
        <f t="shared" si="56"/>
        <v>#N/A</v>
      </c>
      <c r="AY336" s="19" t="e">
        <f t="shared" si="57"/>
        <v>#N/A</v>
      </c>
      <c r="AZ336" s="19" t="str">
        <f t="shared" si="58"/>
        <v/>
      </c>
      <c r="BA336" s="19" t="e">
        <f>IF(AZ336="",NA(),COUNTIF(AZ336:$AZ$510,AZ336))</f>
        <v>#N/A</v>
      </c>
    </row>
    <row r="337" spans="3:53" ht="11.25" customHeight="1" x14ac:dyDescent="0.2">
      <c r="C337" s="485"/>
      <c r="D337" s="417"/>
      <c r="AV337" s="462" t="str">
        <f t="shared" si="54"/>
        <v/>
      </c>
      <c r="AW337" s="463" t="str">
        <f t="shared" si="55"/>
        <v/>
      </c>
      <c r="AX337" s="19" t="e">
        <f t="shared" si="56"/>
        <v>#N/A</v>
      </c>
      <c r="AY337" s="19" t="e">
        <f t="shared" si="57"/>
        <v>#N/A</v>
      </c>
      <c r="AZ337" s="19" t="str">
        <f t="shared" si="58"/>
        <v/>
      </c>
      <c r="BA337" s="19" t="e">
        <f>IF(AZ337="",NA(),COUNTIF(AZ337:$AZ$510,AZ337))</f>
        <v>#N/A</v>
      </c>
    </row>
    <row r="338" spans="3:53" ht="11.25" customHeight="1" x14ac:dyDescent="0.2">
      <c r="C338" s="485"/>
      <c r="D338" s="417"/>
      <c r="AV338" s="462" t="str">
        <f t="shared" si="54"/>
        <v/>
      </c>
      <c r="AW338" s="463" t="str">
        <f t="shared" si="55"/>
        <v/>
      </c>
      <c r="AX338" s="19" t="e">
        <f t="shared" si="56"/>
        <v>#N/A</v>
      </c>
      <c r="AY338" s="19" t="e">
        <f t="shared" si="57"/>
        <v>#N/A</v>
      </c>
      <c r="AZ338" s="19" t="str">
        <f t="shared" si="58"/>
        <v/>
      </c>
      <c r="BA338" s="19" t="e">
        <f>IF(AZ338="",NA(),COUNTIF(AZ338:$AZ$510,AZ338))</f>
        <v>#N/A</v>
      </c>
    </row>
    <row r="339" spans="3:53" ht="11.25" customHeight="1" x14ac:dyDescent="0.2">
      <c r="C339" s="485"/>
      <c r="D339" s="417"/>
      <c r="AV339" s="462" t="str">
        <f t="shared" si="54"/>
        <v/>
      </c>
      <c r="AW339" s="463" t="str">
        <f t="shared" si="55"/>
        <v/>
      </c>
      <c r="AX339" s="19" t="e">
        <f t="shared" si="56"/>
        <v>#N/A</v>
      </c>
      <c r="AY339" s="19" t="e">
        <f t="shared" si="57"/>
        <v>#N/A</v>
      </c>
      <c r="AZ339" s="19" t="str">
        <f t="shared" si="58"/>
        <v/>
      </c>
      <c r="BA339" s="19" t="e">
        <f>IF(AZ339="",NA(),COUNTIF(AZ339:$AZ$510,AZ339))</f>
        <v>#N/A</v>
      </c>
    </row>
    <row r="340" spans="3:53" ht="11.25" customHeight="1" x14ac:dyDescent="0.2">
      <c r="C340" s="485"/>
      <c r="D340" s="417"/>
      <c r="AV340" s="462" t="str">
        <f t="shared" si="54"/>
        <v/>
      </c>
      <c r="AW340" s="463" t="str">
        <f t="shared" si="55"/>
        <v/>
      </c>
      <c r="AX340" s="19" t="e">
        <f t="shared" si="56"/>
        <v>#N/A</v>
      </c>
      <c r="AY340" s="19" t="e">
        <f t="shared" si="57"/>
        <v>#N/A</v>
      </c>
      <c r="AZ340" s="19" t="str">
        <f t="shared" si="58"/>
        <v/>
      </c>
      <c r="BA340" s="19" t="e">
        <f>IF(AZ340="",NA(),COUNTIF(AZ340:$AZ$510,AZ340))</f>
        <v>#N/A</v>
      </c>
    </row>
    <row r="341" spans="3:53" ht="11.25" customHeight="1" x14ac:dyDescent="0.2">
      <c r="C341" s="485"/>
      <c r="D341" s="417"/>
      <c r="AV341" s="462" t="str">
        <f t="shared" si="54"/>
        <v/>
      </c>
      <c r="AW341" s="463" t="str">
        <f t="shared" si="55"/>
        <v/>
      </c>
      <c r="AX341" s="19" t="e">
        <f t="shared" si="56"/>
        <v>#N/A</v>
      </c>
      <c r="AY341" s="19" t="e">
        <f t="shared" si="57"/>
        <v>#N/A</v>
      </c>
      <c r="AZ341" s="19" t="str">
        <f t="shared" si="58"/>
        <v/>
      </c>
      <c r="BA341" s="19" t="e">
        <f>IF(AZ341="",NA(),COUNTIF(AZ341:$AZ$510,AZ341))</f>
        <v>#N/A</v>
      </c>
    </row>
    <row r="342" spans="3:53" ht="11.25" customHeight="1" x14ac:dyDescent="0.2">
      <c r="C342" s="485"/>
      <c r="D342" s="417"/>
      <c r="AV342" s="462" t="str">
        <f t="shared" si="54"/>
        <v/>
      </c>
      <c r="AW342" s="463" t="str">
        <f t="shared" si="55"/>
        <v/>
      </c>
      <c r="AX342" s="19" t="e">
        <f t="shared" si="56"/>
        <v>#N/A</v>
      </c>
      <c r="AY342" s="19" t="e">
        <f t="shared" si="57"/>
        <v>#N/A</v>
      </c>
      <c r="AZ342" s="19" t="str">
        <f t="shared" si="58"/>
        <v/>
      </c>
      <c r="BA342" s="19" t="e">
        <f>IF(AZ342="",NA(),COUNTIF(AZ342:$AZ$510,AZ342))</f>
        <v>#N/A</v>
      </c>
    </row>
    <row r="343" spans="3:53" ht="11.25" customHeight="1" x14ac:dyDescent="0.2">
      <c r="C343" s="485"/>
      <c r="D343" s="417"/>
      <c r="AV343" s="462" t="str">
        <f t="shared" si="54"/>
        <v/>
      </c>
      <c r="AW343" s="463" t="str">
        <f t="shared" si="55"/>
        <v/>
      </c>
      <c r="AX343" s="19" t="e">
        <f t="shared" si="56"/>
        <v>#N/A</v>
      </c>
      <c r="AY343" s="19" t="e">
        <f t="shared" si="57"/>
        <v>#N/A</v>
      </c>
      <c r="AZ343" s="19" t="str">
        <f t="shared" si="58"/>
        <v/>
      </c>
      <c r="BA343" s="19" t="e">
        <f>IF(AZ343="",NA(),COUNTIF(AZ343:$AZ$510,AZ343))</f>
        <v>#N/A</v>
      </c>
    </row>
    <row r="344" spans="3:53" ht="11.25" customHeight="1" x14ac:dyDescent="0.2">
      <c r="C344" s="485"/>
      <c r="D344" s="417"/>
      <c r="AV344" s="462" t="str">
        <f t="shared" si="54"/>
        <v/>
      </c>
      <c r="AW344" s="463" t="str">
        <f t="shared" si="55"/>
        <v/>
      </c>
      <c r="AX344" s="19" t="e">
        <f t="shared" si="56"/>
        <v>#N/A</v>
      </c>
      <c r="AY344" s="19" t="e">
        <f t="shared" si="57"/>
        <v>#N/A</v>
      </c>
      <c r="AZ344" s="19" t="str">
        <f t="shared" si="58"/>
        <v/>
      </c>
      <c r="BA344" s="19" t="e">
        <f>IF(AZ344="",NA(),COUNTIF(AZ344:$AZ$510,AZ344))</f>
        <v>#N/A</v>
      </c>
    </row>
    <row r="345" spans="3:53" ht="11.25" customHeight="1" x14ac:dyDescent="0.2">
      <c r="C345" s="485"/>
      <c r="D345" s="417"/>
      <c r="AV345" s="462" t="str">
        <f t="shared" si="54"/>
        <v/>
      </c>
      <c r="AW345" s="463" t="str">
        <f t="shared" si="55"/>
        <v/>
      </c>
      <c r="AX345" s="19" t="e">
        <f t="shared" si="56"/>
        <v>#N/A</v>
      </c>
      <c r="AY345" s="19" t="e">
        <f t="shared" si="57"/>
        <v>#N/A</v>
      </c>
      <c r="AZ345" s="19" t="str">
        <f t="shared" si="58"/>
        <v/>
      </c>
      <c r="BA345" s="19" t="e">
        <f>IF(AZ345="",NA(),COUNTIF(AZ345:$AZ$510,AZ345))</f>
        <v>#N/A</v>
      </c>
    </row>
    <row r="346" spans="3:53" ht="11.25" customHeight="1" x14ac:dyDescent="0.2">
      <c r="C346" s="485"/>
      <c r="D346" s="417"/>
      <c r="AV346" s="462" t="str">
        <f t="shared" si="54"/>
        <v/>
      </c>
      <c r="AW346" s="463" t="str">
        <f t="shared" si="55"/>
        <v/>
      </c>
      <c r="AX346" s="19" t="e">
        <f t="shared" si="56"/>
        <v>#N/A</v>
      </c>
      <c r="AY346" s="19" t="e">
        <f t="shared" si="57"/>
        <v>#N/A</v>
      </c>
      <c r="AZ346" s="19" t="str">
        <f t="shared" si="58"/>
        <v/>
      </c>
      <c r="BA346" s="19" t="e">
        <f>IF(AZ346="",NA(),COUNTIF(AZ346:$AZ$510,AZ346))</f>
        <v>#N/A</v>
      </c>
    </row>
    <row r="347" spans="3:53" ht="11.25" customHeight="1" x14ac:dyDescent="0.2">
      <c r="C347" s="485"/>
      <c r="D347" s="417"/>
      <c r="AV347" s="462" t="str">
        <f t="shared" si="54"/>
        <v/>
      </c>
      <c r="AW347" s="463" t="str">
        <f t="shared" si="55"/>
        <v/>
      </c>
      <c r="AX347" s="19" t="e">
        <f t="shared" si="56"/>
        <v>#N/A</v>
      </c>
      <c r="AY347" s="19" t="e">
        <f t="shared" si="57"/>
        <v>#N/A</v>
      </c>
      <c r="AZ347" s="19" t="str">
        <f t="shared" si="58"/>
        <v/>
      </c>
      <c r="BA347" s="19" t="e">
        <f>IF(AZ347="",NA(),COUNTIF(AZ347:$AZ$510,AZ347))</f>
        <v>#N/A</v>
      </c>
    </row>
    <row r="348" spans="3:53" ht="11.25" customHeight="1" x14ac:dyDescent="0.2">
      <c r="C348" s="485"/>
      <c r="D348" s="417"/>
      <c r="AV348" s="462" t="str">
        <f t="shared" si="54"/>
        <v/>
      </c>
      <c r="AW348" s="463" t="str">
        <f t="shared" si="55"/>
        <v/>
      </c>
      <c r="AX348" s="19" t="e">
        <f t="shared" si="56"/>
        <v>#N/A</v>
      </c>
      <c r="AY348" s="19" t="e">
        <f t="shared" si="57"/>
        <v>#N/A</v>
      </c>
      <c r="AZ348" s="19" t="str">
        <f t="shared" si="58"/>
        <v/>
      </c>
      <c r="BA348" s="19" t="e">
        <f>IF(AZ348="",NA(),COUNTIF(AZ348:$AZ$510,AZ348))</f>
        <v>#N/A</v>
      </c>
    </row>
    <row r="349" spans="3:53" ht="11.25" customHeight="1" x14ac:dyDescent="0.2">
      <c r="C349" s="485"/>
      <c r="D349" s="417"/>
      <c r="AV349" s="462" t="str">
        <f t="shared" si="54"/>
        <v/>
      </c>
      <c r="AW349" s="463" t="str">
        <f t="shared" si="55"/>
        <v/>
      </c>
      <c r="AX349" s="19" t="e">
        <f t="shared" si="56"/>
        <v>#N/A</v>
      </c>
      <c r="AY349" s="19" t="e">
        <f t="shared" si="57"/>
        <v>#N/A</v>
      </c>
      <c r="AZ349" s="19" t="str">
        <f t="shared" si="58"/>
        <v/>
      </c>
      <c r="BA349" s="19" t="e">
        <f>IF(AZ349="",NA(),COUNTIF(AZ349:$AZ$510,AZ349))</f>
        <v>#N/A</v>
      </c>
    </row>
    <row r="350" spans="3:53" ht="11.25" customHeight="1" x14ac:dyDescent="0.2">
      <c r="C350" s="485"/>
      <c r="D350" s="417"/>
      <c r="AV350" s="462" t="str">
        <f t="shared" si="54"/>
        <v/>
      </c>
      <c r="AW350" s="463" t="str">
        <f t="shared" si="55"/>
        <v/>
      </c>
      <c r="AX350" s="19" t="e">
        <f t="shared" si="56"/>
        <v>#N/A</v>
      </c>
      <c r="AY350" s="19" t="e">
        <f t="shared" si="57"/>
        <v>#N/A</v>
      </c>
      <c r="AZ350" s="19" t="str">
        <f t="shared" si="58"/>
        <v/>
      </c>
      <c r="BA350" s="19" t="e">
        <f>IF(AZ350="",NA(),COUNTIF(AZ350:$AZ$510,AZ350))</f>
        <v>#N/A</v>
      </c>
    </row>
    <row r="351" spans="3:53" ht="11.25" customHeight="1" x14ac:dyDescent="0.2">
      <c r="C351" s="485"/>
      <c r="D351" s="417"/>
      <c r="AV351" s="462" t="str">
        <f t="shared" si="54"/>
        <v/>
      </c>
      <c r="AW351" s="463" t="str">
        <f t="shared" si="55"/>
        <v/>
      </c>
      <c r="AX351" s="19" t="e">
        <f t="shared" si="56"/>
        <v>#N/A</v>
      </c>
      <c r="AY351" s="19" t="e">
        <f t="shared" si="57"/>
        <v>#N/A</v>
      </c>
      <c r="AZ351" s="19" t="str">
        <f t="shared" si="58"/>
        <v/>
      </c>
      <c r="BA351" s="19" t="e">
        <f>IF(AZ351="",NA(),COUNTIF(AZ351:$AZ$510,AZ351))</f>
        <v>#N/A</v>
      </c>
    </row>
    <row r="352" spans="3:53" ht="11.25" customHeight="1" x14ac:dyDescent="0.2">
      <c r="C352" s="485"/>
      <c r="D352" s="417"/>
      <c r="AV352" s="462" t="str">
        <f t="shared" si="54"/>
        <v/>
      </c>
      <c r="AW352" s="463" t="str">
        <f t="shared" si="55"/>
        <v/>
      </c>
      <c r="AX352" s="19" t="e">
        <f t="shared" si="56"/>
        <v>#N/A</v>
      </c>
      <c r="AY352" s="19" t="e">
        <f t="shared" si="57"/>
        <v>#N/A</v>
      </c>
      <c r="AZ352" s="19" t="str">
        <f t="shared" si="58"/>
        <v/>
      </c>
      <c r="BA352" s="19" t="e">
        <f>IF(AZ352="",NA(),COUNTIF(AZ352:$AZ$510,AZ352))</f>
        <v>#N/A</v>
      </c>
    </row>
    <row r="353" spans="3:53" ht="11.25" customHeight="1" x14ac:dyDescent="0.2">
      <c r="C353" s="485"/>
      <c r="D353" s="417"/>
      <c r="AV353" s="462" t="str">
        <f t="shared" si="54"/>
        <v/>
      </c>
      <c r="AW353" s="463" t="str">
        <f t="shared" si="55"/>
        <v/>
      </c>
      <c r="AX353" s="19" t="e">
        <f t="shared" si="56"/>
        <v>#N/A</v>
      </c>
      <c r="AY353" s="19" t="e">
        <f t="shared" si="57"/>
        <v>#N/A</v>
      </c>
      <c r="AZ353" s="19" t="str">
        <f t="shared" si="58"/>
        <v/>
      </c>
      <c r="BA353" s="19" t="e">
        <f>IF(AZ353="",NA(),COUNTIF(AZ353:$AZ$510,AZ353))</f>
        <v>#N/A</v>
      </c>
    </row>
    <row r="354" spans="3:53" ht="11.25" customHeight="1" x14ac:dyDescent="0.2">
      <c r="C354" s="485"/>
      <c r="D354" s="417"/>
      <c r="AV354" s="462" t="str">
        <f t="shared" si="54"/>
        <v/>
      </c>
      <c r="AW354" s="463" t="str">
        <f t="shared" si="55"/>
        <v/>
      </c>
      <c r="AX354" s="19" t="e">
        <f t="shared" si="56"/>
        <v>#N/A</v>
      </c>
      <c r="AY354" s="19" t="e">
        <f t="shared" si="57"/>
        <v>#N/A</v>
      </c>
      <c r="AZ354" s="19" t="str">
        <f t="shared" si="58"/>
        <v/>
      </c>
      <c r="BA354" s="19" t="e">
        <f>IF(AZ354="",NA(),COUNTIF(AZ354:$AZ$510,AZ354))</f>
        <v>#N/A</v>
      </c>
    </row>
    <row r="355" spans="3:53" ht="11.25" customHeight="1" x14ac:dyDescent="0.2">
      <c r="C355" s="485"/>
      <c r="D355" s="417"/>
      <c r="AV355" s="462" t="str">
        <f t="shared" si="54"/>
        <v/>
      </c>
      <c r="AW355" s="463" t="str">
        <f t="shared" si="55"/>
        <v/>
      </c>
      <c r="AX355" s="19" t="e">
        <f t="shared" si="56"/>
        <v>#N/A</v>
      </c>
      <c r="AY355" s="19" t="e">
        <f t="shared" si="57"/>
        <v>#N/A</v>
      </c>
      <c r="AZ355" s="19" t="str">
        <f t="shared" si="58"/>
        <v/>
      </c>
      <c r="BA355" s="19" t="e">
        <f>IF(AZ355="",NA(),COUNTIF(AZ355:$AZ$510,AZ355))</f>
        <v>#N/A</v>
      </c>
    </row>
    <row r="356" spans="3:53" ht="11.25" customHeight="1" x14ac:dyDescent="0.2">
      <c r="C356" s="485"/>
      <c r="D356" s="417"/>
      <c r="AV356" s="462" t="str">
        <f t="shared" si="54"/>
        <v/>
      </c>
      <c r="AW356" s="463" t="str">
        <f t="shared" si="55"/>
        <v/>
      </c>
      <c r="AX356" s="19" t="e">
        <f t="shared" si="56"/>
        <v>#N/A</v>
      </c>
      <c r="AY356" s="19" t="e">
        <f t="shared" si="57"/>
        <v>#N/A</v>
      </c>
      <c r="AZ356" s="19" t="str">
        <f t="shared" si="58"/>
        <v/>
      </c>
      <c r="BA356" s="19" t="e">
        <f>IF(AZ356="",NA(),COUNTIF(AZ356:$AZ$510,AZ356))</f>
        <v>#N/A</v>
      </c>
    </row>
    <row r="357" spans="3:53" ht="11.25" customHeight="1" x14ac:dyDescent="0.2">
      <c r="C357" s="485"/>
      <c r="D357" s="417"/>
      <c r="AV357" s="462" t="str">
        <f t="shared" si="54"/>
        <v/>
      </c>
      <c r="AW357" s="463" t="str">
        <f t="shared" si="55"/>
        <v/>
      </c>
      <c r="AX357" s="19" t="e">
        <f t="shared" si="56"/>
        <v>#N/A</v>
      </c>
      <c r="AY357" s="19" t="e">
        <f t="shared" si="57"/>
        <v>#N/A</v>
      </c>
      <c r="AZ357" s="19" t="str">
        <f t="shared" si="58"/>
        <v/>
      </c>
      <c r="BA357" s="19" t="e">
        <f>IF(AZ357="",NA(),COUNTIF(AZ357:$AZ$510,AZ357))</f>
        <v>#N/A</v>
      </c>
    </row>
    <row r="358" spans="3:53" ht="11.25" customHeight="1" x14ac:dyDescent="0.2">
      <c r="C358" s="485"/>
      <c r="D358" s="417"/>
      <c r="AV358" s="462" t="str">
        <f t="shared" si="54"/>
        <v/>
      </c>
      <c r="AW358" s="463" t="str">
        <f t="shared" si="55"/>
        <v/>
      </c>
      <c r="AX358" s="19" t="e">
        <f t="shared" si="56"/>
        <v>#N/A</v>
      </c>
      <c r="AY358" s="19" t="e">
        <f t="shared" si="57"/>
        <v>#N/A</v>
      </c>
      <c r="AZ358" s="19" t="str">
        <f t="shared" si="58"/>
        <v/>
      </c>
      <c r="BA358" s="19" t="e">
        <f>IF(AZ358="",NA(),COUNTIF(AZ358:$AZ$510,AZ358))</f>
        <v>#N/A</v>
      </c>
    </row>
    <row r="359" spans="3:53" ht="11.25" customHeight="1" x14ac:dyDescent="0.2">
      <c r="C359" s="485"/>
      <c r="D359" s="417"/>
      <c r="AV359" s="462" t="str">
        <f t="shared" si="54"/>
        <v/>
      </c>
      <c r="AW359" s="463" t="str">
        <f t="shared" si="55"/>
        <v/>
      </c>
      <c r="AX359" s="19" t="e">
        <f t="shared" si="56"/>
        <v>#N/A</v>
      </c>
      <c r="AY359" s="19" t="e">
        <f t="shared" si="57"/>
        <v>#N/A</v>
      </c>
      <c r="AZ359" s="19" t="str">
        <f t="shared" si="58"/>
        <v/>
      </c>
      <c r="BA359" s="19" t="e">
        <f>IF(AZ359="",NA(),COUNTIF(AZ359:$AZ$510,AZ359))</f>
        <v>#N/A</v>
      </c>
    </row>
    <row r="360" spans="3:53" ht="11.25" customHeight="1" x14ac:dyDescent="0.2">
      <c r="C360" s="485"/>
      <c r="D360" s="417"/>
      <c r="AV360" s="462" t="str">
        <f t="shared" si="54"/>
        <v/>
      </c>
      <c r="AW360" s="463" t="str">
        <f t="shared" si="55"/>
        <v/>
      </c>
      <c r="AX360" s="19" t="e">
        <f t="shared" si="56"/>
        <v>#N/A</v>
      </c>
      <c r="AY360" s="19" t="e">
        <f t="shared" si="57"/>
        <v>#N/A</v>
      </c>
      <c r="AZ360" s="19" t="str">
        <f t="shared" si="58"/>
        <v/>
      </c>
      <c r="BA360" s="19" t="e">
        <f>IF(AZ360="",NA(),COUNTIF(AZ360:$AZ$510,AZ360))</f>
        <v>#N/A</v>
      </c>
    </row>
    <row r="361" spans="3:53" ht="11.25" customHeight="1" x14ac:dyDescent="0.2">
      <c r="C361" s="485"/>
      <c r="D361" s="417"/>
      <c r="AV361" s="462" t="str">
        <f t="shared" si="54"/>
        <v/>
      </c>
      <c r="AW361" s="463" t="str">
        <f t="shared" si="55"/>
        <v/>
      </c>
      <c r="AX361" s="19" t="e">
        <f t="shared" si="56"/>
        <v>#N/A</v>
      </c>
      <c r="AY361" s="19" t="e">
        <f t="shared" si="57"/>
        <v>#N/A</v>
      </c>
      <c r="AZ361" s="19" t="str">
        <f t="shared" si="58"/>
        <v/>
      </c>
      <c r="BA361" s="19" t="e">
        <f>IF(AZ361="",NA(),COUNTIF(AZ361:$AZ$510,AZ361))</f>
        <v>#N/A</v>
      </c>
    </row>
    <row r="362" spans="3:53" ht="11.25" customHeight="1" x14ac:dyDescent="0.2">
      <c r="C362" s="485"/>
      <c r="D362" s="417"/>
      <c r="AV362" s="462" t="str">
        <f t="shared" si="54"/>
        <v/>
      </c>
      <c r="AW362" s="463" t="str">
        <f t="shared" si="55"/>
        <v/>
      </c>
      <c r="AX362" s="19" t="e">
        <f t="shared" si="56"/>
        <v>#N/A</v>
      </c>
      <c r="AY362" s="19" t="e">
        <f t="shared" si="57"/>
        <v>#N/A</v>
      </c>
      <c r="AZ362" s="19" t="str">
        <f t="shared" si="58"/>
        <v/>
      </c>
      <c r="BA362" s="19" t="e">
        <f>IF(AZ362="",NA(),COUNTIF(AZ362:$AZ$510,AZ362))</f>
        <v>#N/A</v>
      </c>
    </row>
    <row r="363" spans="3:53" ht="11.25" customHeight="1" x14ac:dyDescent="0.2">
      <c r="C363" s="485"/>
      <c r="D363" s="417"/>
      <c r="AV363" s="462" t="str">
        <f t="shared" si="54"/>
        <v/>
      </c>
      <c r="AW363" s="463" t="str">
        <f t="shared" si="55"/>
        <v/>
      </c>
      <c r="AX363" s="19" t="e">
        <f t="shared" si="56"/>
        <v>#N/A</v>
      </c>
      <c r="AY363" s="19" t="e">
        <f t="shared" si="57"/>
        <v>#N/A</v>
      </c>
      <c r="AZ363" s="19" t="str">
        <f t="shared" si="58"/>
        <v/>
      </c>
      <c r="BA363" s="19" t="e">
        <f>IF(AZ363="",NA(),COUNTIF(AZ363:$AZ$510,AZ363))</f>
        <v>#N/A</v>
      </c>
    </row>
    <row r="364" spans="3:53" ht="11.25" customHeight="1" x14ac:dyDescent="0.2">
      <c r="C364" s="485"/>
      <c r="D364" s="417"/>
      <c r="AV364" s="462" t="str">
        <f t="shared" si="54"/>
        <v/>
      </c>
      <c r="AW364" s="463" t="str">
        <f t="shared" si="55"/>
        <v/>
      </c>
      <c r="AX364" s="19" t="e">
        <f t="shared" si="56"/>
        <v>#N/A</v>
      </c>
      <c r="AY364" s="19" t="e">
        <f t="shared" si="57"/>
        <v>#N/A</v>
      </c>
      <c r="AZ364" s="19" t="str">
        <f t="shared" si="58"/>
        <v/>
      </c>
      <c r="BA364" s="19" t="e">
        <f>IF(AZ364="",NA(),COUNTIF(AZ364:$AZ$510,AZ364))</f>
        <v>#N/A</v>
      </c>
    </row>
    <row r="365" spans="3:53" ht="11.25" customHeight="1" x14ac:dyDescent="0.2">
      <c r="C365" s="485"/>
      <c r="D365" s="417"/>
      <c r="AV365" s="462" t="str">
        <f t="shared" si="54"/>
        <v/>
      </c>
      <c r="AW365" s="463" t="str">
        <f t="shared" si="55"/>
        <v/>
      </c>
      <c r="AX365" s="19" t="e">
        <f t="shared" si="56"/>
        <v>#N/A</v>
      </c>
      <c r="AY365" s="19" t="e">
        <f t="shared" si="57"/>
        <v>#N/A</v>
      </c>
      <c r="AZ365" s="19" t="str">
        <f t="shared" si="58"/>
        <v/>
      </c>
      <c r="BA365" s="19" t="e">
        <f>IF(AZ365="",NA(),COUNTIF(AZ365:$AZ$510,AZ365))</f>
        <v>#N/A</v>
      </c>
    </row>
    <row r="366" spans="3:53" ht="11.25" customHeight="1" x14ac:dyDescent="0.2">
      <c r="C366" s="485"/>
      <c r="D366" s="417"/>
      <c r="AV366" s="462" t="str">
        <f t="shared" si="54"/>
        <v/>
      </c>
      <c r="AW366" s="463" t="str">
        <f t="shared" si="55"/>
        <v/>
      </c>
      <c r="AX366" s="19" t="e">
        <f t="shared" si="56"/>
        <v>#N/A</v>
      </c>
      <c r="AY366" s="19" t="e">
        <f t="shared" si="57"/>
        <v>#N/A</v>
      </c>
      <c r="AZ366" s="19" t="str">
        <f t="shared" si="58"/>
        <v/>
      </c>
      <c r="BA366" s="19" t="e">
        <f>IF(AZ366="",NA(),COUNTIF(AZ366:$AZ$510,AZ366))</f>
        <v>#N/A</v>
      </c>
    </row>
    <row r="367" spans="3:53" ht="11.25" customHeight="1" x14ac:dyDescent="0.2">
      <c r="C367" s="485"/>
      <c r="D367" s="417"/>
      <c r="AV367" s="462" t="str">
        <f t="shared" si="54"/>
        <v/>
      </c>
      <c r="AW367" s="463" t="str">
        <f t="shared" si="55"/>
        <v/>
      </c>
      <c r="AX367" s="19" t="e">
        <f t="shared" si="56"/>
        <v>#N/A</v>
      </c>
      <c r="AY367" s="19" t="e">
        <f t="shared" si="57"/>
        <v>#N/A</v>
      </c>
      <c r="AZ367" s="19" t="str">
        <f t="shared" si="58"/>
        <v/>
      </c>
      <c r="BA367" s="19" t="e">
        <f>IF(AZ367="",NA(),COUNTIF(AZ367:$AZ$510,AZ367))</f>
        <v>#N/A</v>
      </c>
    </row>
    <row r="368" spans="3:53" ht="11.25" customHeight="1" x14ac:dyDescent="0.2">
      <c r="C368" s="485"/>
      <c r="D368" s="417"/>
      <c r="AV368" s="462" t="str">
        <f t="shared" si="54"/>
        <v/>
      </c>
      <c r="AW368" s="463" t="str">
        <f t="shared" si="55"/>
        <v/>
      </c>
      <c r="AX368" s="19" t="e">
        <f t="shared" si="56"/>
        <v>#N/A</v>
      </c>
      <c r="AY368" s="19" t="e">
        <f t="shared" si="57"/>
        <v>#N/A</v>
      </c>
      <c r="AZ368" s="19" t="str">
        <f t="shared" si="58"/>
        <v/>
      </c>
      <c r="BA368" s="19" t="e">
        <f>IF(AZ368="",NA(),COUNTIF(AZ368:$AZ$510,AZ368))</f>
        <v>#N/A</v>
      </c>
    </row>
    <row r="369" spans="3:53" ht="11.25" customHeight="1" x14ac:dyDescent="0.2">
      <c r="C369" s="485"/>
      <c r="D369" s="417"/>
      <c r="AV369" s="462" t="str">
        <f t="shared" si="54"/>
        <v/>
      </c>
      <c r="AW369" s="463" t="str">
        <f t="shared" si="55"/>
        <v/>
      </c>
      <c r="AX369" s="19" t="e">
        <f t="shared" si="56"/>
        <v>#N/A</v>
      </c>
      <c r="AY369" s="19" t="e">
        <f t="shared" si="57"/>
        <v>#N/A</v>
      </c>
      <c r="AZ369" s="19" t="str">
        <f t="shared" si="58"/>
        <v/>
      </c>
      <c r="BA369" s="19" t="e">
        <f>IF(AZ369="",NA(),COUNTIF(AZ369:$AZ$510,AZ369))</f>
        <v>#N/A</v>
      </c>
    </row>
    <row r="370" spans="3:53" ht="11.25" customHeight="1" x14ac:dyDescent="0.2">
      <c r="C370" s="485"/>
      <c r="D370" s="417"/>
      <c r="AV370" s="462" t="str">
        <f t="shared" si="54"/>
        <v/>
      </c>
      <c r="AW370" s="463" t="str">
        <f t="shared" si="55"/>
        <v/>
      </c>
      <c r="AX370" s="19" t="e">
        <f t="shared" si="56"/>
        <v>#N/A</v>
      </c>
      <c r="AY370" s="19" t="e">
        <f t="shared" si="57"/>
        <v>#N/A</v>
      </c>
      <c r="AZ370" s="19" t="str">
        <f t="shared" si="58"/>
        <v/>
      </c>
      <c r="BA370" s="19" t="e">
        <f>IF(AZ370="",NA(),COUNTIF(AZ370:$AZ$510,AZ370))</f>
        <v>#N/A</v>
      </c>
    </row>
    <row r="371" spans="3:53" ht="11.25" customHeight="1" x14ac:dyDescent="0.2">
      <c r="C371" s="485"/>
      <c r="D371" s="417"/>
      <c r="AV371" s="462" t="str">
        <f t="shared" si="54"/>
        <v/>
      </c>
      <c r="AW371" s="463" t="str">
        <f t="shared" si="55"/>
        <v/>
      </c>
      <c r="AX371" s="19" t="e">
        <f t="shared" si="56"/>
        <v>#N/A</v>
      </c>
      <c r="AY371" s="19" t="e">
        <f t="shared" si="57"/>
        <v>#N/A</v>
      </c>
      <c r="AZ371" s="19" t="str">
        <f t="shared" si="58"/>
        <v/>
      </c>
      <c r="BA371" s="19" t="e">
        <f>IF(AZ371="",NA(),COUNTIF(AZ371:$AZ$510,AZ371))</f>
        <v>#N/A</v>
      </c>
    </row>
    <row r="372" spans="3:53" ht="11.25" customHeight="1" x14ac:dyDescent="0.2">
      <c r="C372" s="485"/>
      <c r="D372" s="417"/>
      <c r="AV372" s="462" t="str">
        <f t="shared" si="54"/>
        <v/>
      </c>
      <c r="AW372" s="463" t="str">
        <f t="shared" si="55"/>
        <v/>
      </c>
      <c r="AX372" s="19" t="e">
        <f t="shared" si="56"/>
        <v>#N/A</v>
      </c>
      <c r="AY372" s="19" t="e">
        <f t="shared" si="57"/>
        <v>#N/A</v>
      </c>
      <c r="AZ372" s="19" t="str">
        <f t="shared" si="58"/>
        <v/>
      </c>
      <c r="BA372" s="19" t="e">
        <f>IF(AZ372="",NA(),COUNTIF(AZ372:$AZ$510,AZ372))</f>
        <v>#N/A</v>
      </c>
    </row>
    <row r="373" spans="3:53" ht="11.25" customHeight="1" x14ac:dyDescent="0.2">
      <c r="C373" s="485"/>
      <c r="D373" s="417"/>
      <c r="AV373" s="462" t="str">
        <f t="shared" si="54"/>
        <v/>
      </c>
      <c r="AW373" s="463" t="str">
        <f t="shared" si="55"/>
        <v/>
      </c>
      <c r="AX373" s="19" t="e">
        <f t="shared" si="56"/>
        <v>#N/A</v>
      </c>
      <c r="AY373" s="19" t="e">
        <f t="shared" si="57"/>
        <v>#N/A</v>
      </c>
      <c r="AZ373" s="19" t="str">
        <f t="shared" si="58"/>
        <v/>
      </c>
      <c r="BA373" s="19" t="e">
        <f>IF(AZ373="",NA(),COUNTIF(AZ373:$AZ$510,AZ373))</f>
        <v>#N/A</v>
      </c>
    </row>
    <row r="374" spans="3:53" ht="11.25" customHeight="1" x14ac:dyDescent="0.2">
      <c r="C374" s="485"/>
      <c r="D374" s="417"/>
      <c r="AV374" s="462" t="str">
        <f t="shared" si="54"/>
        <v/>
      </c>
      <c r="AW374" s="463" t="str">
        <f t="shared" si="55"/>
        <v/>
      </c>
      <c r="AX374" s="19" t="e">
        <f t="shared" si="56"/>
        <v>#N/A</v>
      </c>
      <c r="AY374" s="19" t="e">
        <f t="shared" si="57"/>
        <v>#N/A</v>
      </c>
      <c r="AZ374" s="19" t="str">
        <f t="shared" si="58"/>
        <v/>
      </c>
      <c r="BA374" s="19" t="e">
        <f>IF(AZ374="",NA(),COUNTIF(AZ374:$AZ$510,AZ374))</f>
        <v>#N/A</v>
      </c>
    </row>
    <row r="375" spans="3:53" ht="11.25" customHeight="1" x14ac:dyDescent="0.2">
      <c r="C375" s="485"/>
      <c r="D375" s="417"/>
      <c r="AV375" s="462" t="str">
        <f t="shared" si="54"/>
        <v/>
      </c>
      <c r="AW375" s="463" t="str">
        <f t="shared" si="55"/>
        <v/>
      </c>
      <c r="AX375" s="19" t="e">
        <f t="shared" si="56"/>
        <v>#N/A</v>
      </c>
      <c r="AY375" s="19" t="e">
        <f t="shared" si="57"/>
        <v>#N/A</v>
      </c>
      <c r="AZ375" s="19" t="str">
        <f t="shared" si="58"/>
        <v/>
      </c>
      <c r="BA375" s="19" t="e">
        <f>IF(AZ375="",NA(),COUNTIF(AZ375:$AZ$510,AZ375))</f>
        <v>#N/A</v>
      </c>
    </row>
    <row r="376" spans="3:53" ht="11.25" customHeight="1" x14ac:dyDescent="0.2">
      <c r="C376" s="485"/>
      <c r="D376" s="417"/>
      <c r="AV376" s="462" t="str">
        <f t="shared" si="54"/>
        <v/>
      </c>
      <c r="AW376" s="463" t="str">
        <f t="shared" si="55"/>
        <v/>
      </c>
      <c r="AX376" s="19" t="e">
        <f t="shared" si="56"/>
        <v>#N/A</v>
      </c>
      <c r="AY376" s="19" t="e">
        <f t="shared" si="57"/>
        <v>#N/A</v>
      </c>
      <c r="AZ376" s="19" t="str">
        <f t="shared" si="58"/>
        <v/>
      </c>
      <c r="BA376" s="19" t="e">
        <f>IF(AZ376="",NA(),COUNTIF(AZ376:$AZ$510,AZ376))</f>
        <v>#N/A</v>
      </c>
    </row>
    <row r="377" spans="3:53" ht="11.25" customHeight="1" x14ac:dyDescent="0.2">
      <c r="C377" s="485"/>
      <c r="D377" s="417"/>
      <c r="AV377" s="462" t="str">
        <f t="shared" si="54"/>
        <v/>
      </c>
      <c r="AW377" s="463" t="str">
        <f t="shared" si="55"/>
        <v/>
      </c>
      <c r="AX377" s="19" t="e">
        <f t="shared" si="56"/>
        <v>#N/A</v>
      </c>
      <c r="AY377" s="19" t="e">
        <f t="shared" si="57"/>
        <v>#N/A</v>
      </c>
      <c r="AZ377" s="19" t="str">
        <f t="shared" si="58"/>
        <v/>
      </c>
      <c r="BA377" s="19" t="e">
        <f>IF(AZ377="",NA(),COUNTIF(AZ377:$AZ$510,AZ377))</f>
        <v>#N/A</v>
      </c>
    </row>
    <row r="378" spans="3:53" ht="11.25" customHeight="1" x14ac:dyDescent="0.2">
      <c r="C378" s="485"/>
      <c r="D378" s="417"/>
      <c r="AV378" s="462" t="str">
        <f t="shared" si="54"/>
        <v/>
      </c>
      <c r="AW378" s="463" t="str">
        <f t="shared" si="55"/>
        <v/>
      </c>
      <c r="AX378" s="19" t="e">
        <f t="shared" si="56"/>
        <v>#N/A</v>
      </c>
      <c r="AY378" s="19" t="e">
        <f t="shared" si="57"/>
        <v>#N/A</v>
      </c>
      <c r="AZ378" s="19" t="str">
        <f t="shared" si="58"/>
        <v/>
      </c>
      <c r="BA378" s="19" t="e">
        <f>IF(AZ378="",NA(),COUNTIF(AZ378:$AZ$510,AZ378))</f>
        <v>#N/A</v>
      </c>
    </row>
    <row r="379" spans="3:53" ht="11.25" customHeight="1" x14ac:dyDescent="0.2">
      <c r="C379" s="485"/>
      <c r="D379" s="417"/>
      <c r="AV379" s="462" t="str">
        <f t="shared" si="54"/>
        <v/>
      </c>
      <c r="AW379" s="463" t="str">
        <f t="shared" si="55"/>
        <v/>
      </c>
      <c r="AX379" s="19" t="e">
        <f t="shared" si="56"/>
        <v>#N/A</v>
      </c>
      <c r="AY379" s="19" t="e">
        <f t="shared" si="57"/>
        <v>#N/A</v>
      </c>
      <c r="AZ379" s="19" t="str">
        <f t="shared" si="58"/>
        <v/>
      </c>
      <c r="BA379" s="19" t="e">
        <f>IF(AZ379="",NA(),COUNTIF(AZ379:$AZ$510,AZ379))</f>
        <v>#N/A</v>
      </c>
    </row>
    <row r="380" spans="3:53" ht="11.25" customHeight="1" x14ac:dyDescent="0.2">
      <c r="C380" s="485"/>
      <c r="D380" s="417"/>
      <c r="AV380" s="462" t="str">
        <f t="shared" si="54"/>
        <v/>
      </c>
      <c r="AW380" s="463" t="str">
        <f t="shared" si="55"/>
        <v/>
      </c>
      <c r="AX380" s="19" t="e">
        <f t="shared" si="56"/>
        <v>#N/A</v>
      </c>
      <c r="AY380" s="19" t="e">
        <f t="shared" si="57"/>
        <v>#N/A</v>
      </c>
      <c r="AZ380" s="19" t="str">
        <f t="shared" si="58"/>
        <v/>
      </c>
      <c r="BA380" s="19" t="e">
        <f>IF(AZ380="",NA(),COUNTIF(AZ380:$AZ$510,AZ380))</f>
        <v>#N/A</v>
      </c>
    </row>
    <row r="381" spans="3:53" ht="11.25" customHeight="1" x14ac:dyDescent="0.2">
      <c r="C381" s="485"/>
      <c r="D381" s="417"/>
      <c r="AV381" s="462" t="str">
        <f t="shared" si="54"/>
        <v/>
      </c>
      <c r="AW381" s="463" t="str">
        <f t="shared" si="55"/>
        <v/>
      </c>
      <c r="AX381" s="19" t="e">
        <f t="shared" si="56"/>
        <v>#N/A</v>
      </c>
      <c r="AY381" s="19" t="e">
        <f t="shared" si="57"/>
        <v>#N/A</v>
      </c>
      <c r="AZ381" s="19" t="str">
        <f t="shared" si="58"/>
        <v/>
      </c>
      <c r="BA381" s="19" t="e">
        <f>IF(AZ381="",NA(),COUNTIF(AZ381:$AZ$510,AZ381))</f>
        <v>#N/A</v>
      </c>
    </row>
    <row r="382" spans="3:53" ht="11.25" customHeight="1" x14ac:dyDescent="0.2">
      <c r="C382" s="485"/>
      <c r="D382" s="417"/>
      <c r="AV382" s="462" t="str">
        <f t="shared" si="54"/>
        <v/>
      </c>
      <c r="AW382" s="463" t="str">
        <f t="shared" si="55"/>
        <v/>
      </c>
      <c r="AX382" s="19" t="e">
        <f t="shared" si="56"/>
        <v>#N/A</v>
      </c>
      <c r="AY382" s="19" t="e">
        <f t="shared" si="57"/>
        <v>#N/A</v>
      </c>
      <c r="AZ382" s="19" t="str">
        <f t="shared" si="58"/>
        <v/>
      </c>
      <c r="BA382" s="19" t="e">
        <f>IF(AZ382="",NA(),COUNTIF(AZ382:$AZ$510,AZ382))</f>
        <v>#N/A</v>
      </c>
    </row>
    <row r="383" spans="3:53" ht="11.25" customHeight="1" x14ac:dyDescent="0.2">
      <c r="C383" s="485"/>
      <c r="D383" s="417"/>
      <c r="AV383" s="462" t="str">
        <f t="shared" si="54"/>
        <v/>
      </c>
      <c r="AW383" s="463" t="str">
        <f t="shared" si="55"/>
        <v/>
      </c>
      <c r="AX383" s="19" t="e">
        <f t="shared" si="56"/>
        <v>#N/A</v>
      </c>
      <c r="AY383" s="19" t="e">
        <f t="shared" si="57"/>
        <v>#N/A</v>
      </c>
      <c r="AZ383" s="19" t="str">
        <f t="shared" si="58"/>
        <v/>
      </c>
      <c r="BA383" s="19" t="e">
        <f>IF(AZ383="",NA(),COUNTIF(AZ383:$AZ$510,AZ383))</f>
        <v>#N/A</v>
      </c>
    </row>
    <row r="384" spans="3:53" ht="11.25" customHeight="1" x14ac:dyDescent="0.2">
      <c r="C384" s="485"/>
      <c r="D384" s="417"/>
      <c r="AV384" s="462" t="str">
        <f t="shared" si="54"/>
        <v/>
      </c>
      <c r="AW384" s="463" t="str">
        <f t="shared" si="55"/>
        <v/>
      </c>
      <c r="AX384" s="19" t="e">
        <f t="shared" si="56"/>
        <v>#N/A</v>
      </c>
      <c r="AY384" s="19" t="e">
        <f t="shared" si="57"/>
        <v>#N/A</v>
      </c>
      <c r="AZ384" s="19" t="str">
        <f t="shared" si="58"/>
        <v/>
      </c>
      <c r="BA384" s="19" t="e">
        <f>IF(AZ384="",NA(),COUNTIF(AZ384:$AZ$510,AZ384))</f>
        <v>#N/A</v>
      </c>
    </row>
    <row r="385" spans="3:53" ht="11.25" customHeight="1" x14ac:dyDescent="0.2">
      <c r="C385" s="485"/>
      <c r="D385" s="417"/>
      <c r="AV385" s="462" t="str">
        <f t="shared" si="54"/>
        <v/>
      </c>
      <c r="AW385" s="463" t="str">
        <f t="shared" si="55"/>
        <v/>
      </c>
      <c r="AX385" s="19" t="e">
        <f t="shared" si="56"/>
        <v>#N/A</v>
      </c>
      <c r="AY385" s="19" t="e">
        <f t="shared" si="57"/>
        <v>#N/A</v>
      </c>
      <c r="AZ385" s="19" t="str">
        <f t="shared" si="58"/>
        <v/>
      </c>
      <c r="BA385" s="19" t="e">
        <f>IF(AZ385="",NA(),COUNTIF(AZ385:$AZ$510,AZ385))</f>
        <v>#N/A</v>
      </c>
    </row>
    <row r="386" spans="3:53" ht="11.25" customHeight="1" x14ac:dyDescent="0.2">
      <c r="C386" s="485"/>
      <c r="D386" s="417"/>
      <c r="AV386" s="462" t="str">
        <f t="shared" si="54"/>
        <v/>
      </c>
      <c r="AW386" s="463" t="str">
        <f t="shared" si="55"/>
        <v/>
      </c>
      <c r="AX386" s="19" t="e">
        <f t="shared" si="56"/>
        <v>#N/A</v>
      </c>
      <c r="AY386" s="19" t="e">
        <f t="shared" si="57"/>
        <v>#N/A</v>
      </c>
      <c r="AZ386" s="19" t="str">
        <f t="shared" si="58"/>
        <v/>
      </c>
      <c r="BA386" s="19" t="e">
        <f>IF(AZ386="",NA(),COUNTIF(AZ386:$AZ$510,AZ386))</f>
        <v>#N/A</v>
      </c>
    </row>
    <row r="387" spans="3:53" ht="11.25" customHeight="1" x14ac:dyDescent="0.2">
      <c r="C387" s="485"/>
      <c r="D387" s="417"/>
      <c r="AV387" s="462" t="str">
        <f t="shared" si="54"/>
        <v/>
      </c>
      <c r="AW387" s="463" t="str">
        <f t="shared" si="55"/>
        <v/>
      </c>
      <c r="AX387" s="19" t="e">
        <f t="shared" si="56"/>
        <v>#N/A</v>
      </c>
      <c r="AY387" s="19" t="e">
        <f t="shared" si="57"/>
        <v>#N/A</v>
      </c>
      <c r="AZ387" s="19" t="str">
        <f t="shared" si="58"/>
        <v/>
      </c>
      <c r="BA387" s="19" t="e">
        <f>IF(AZ387="",NA(),COUNTIF(AZ387:$AZ$510,AZ387))</f>
        <v>#N/A</v>
      </c>
    </row>
    <row r="388" spans="3:53" ht="11.25" customHeight="1" x14ac:dyDescent="0.2">
      <c r="C388" s="485"/>
      <c r="D388" s="417"/>
      <c r="AV388" s="462" t="str">
        <f t="shared" si="54"/>
        <v/>
      </c>
      <c r="AW388" s="463" t="str">
        <f t="shared" si="55"/>
        <v/>
      </c>
      <c r="AX388" s="19" t="e">
        <f t="shared" si="56"/>
        <v>#N/A</v>
      </c>
      <c r="AY388" s="19" t="e">
        <f t="shared" si="57"/>
        <v>#N/A</v>
      </c>
      <c r="AZ388" s="19" t="str">
        <f t="shared" si="58"/>
        <v/>
      </c>
      <c r="BA388" s="19" t="e">
        <f>IF(AZ388="",NA(),COUNTIF(AZ388:$AZ$510,AZ388))</f>
        <v>#N/A</v>
      </c>
    </row>
    <row r="389" spans="3:53" ht="11.25" customHeight="1" x14ac:dyDescent="0.2">
      <c r="C389" s="485"/>
      <c r="D389" s="417"/>
      <c r="AV389" s="462" t="str">
        <f t="shared" si="54"/>
        <v/>
      </c>
      <c r="AW389" s="463" t="str">
        <f t="shared" si="55"/>
        <v/>
      </c>
      <c r="AX389" s="19" t="e">
        <f t="shared" si="56"/>
        <v>#N/A</v>
      </c>
      <c r="AY389" s="19" t="e">
        <f t="shared" si="57"/>
        <v>#N/A</v>
      </c>
      <c r="AZ389" s="19" t="str">
        <f t="shared" si="58"/>
        <v/>
      </c>
      <c r="BA389" s="19" t="e">
        <f>IF(AZ389="",NA(),COUNTIF(AZ389:$AZ$510,AZ389))</f>
        <v>#N/A</v>
      </c>
    </row>
    <row r="390" spans="3:53" ht="11.25" customHeight="1" x14ac:dyDescent="0.2">
      <c r="C390" s="485"/>
      <c r="D390" s="417"/>
      <c r="AV390" s="462" t="str">
        <f t="shared" si="54"/>
        <v/>
      </c>
      <c r="AW390" s="463" t="str">
        <f t="shared" si="55"/>
        <v/>
      </c>
      <c r="AX390" s="19" t="e">
        <f t="shared" si="56"/>
        <v>#N/A</v>
      </c>
      <c r="AY390" s="19" t="e">
        <f t="shared" si="57"/>
        <v>#N/A</v>
      </c>
      <c r="AZ390" s="19" t="str">
        <f t="shared" si="58"/>
        <v/>
      </c>
      <c r="BA390" s="19" t="e">
        <f>IF(AZ390="",NA(),COUNTIF(AZ390:$AZ$510,AZ390))</f>
        <v>#N/A</v>
      </c>
    </row>
    <row r="391" spans="3:53" ht="11.25" customHeight="1" x14ac:dyDescent="0.2">
      <c r="C391" s="485"/>
      <c r="D391" s="417"/>
      <c r="AV391" s="462" t="str">
        <f t="shared" si="54"/>
        <v/>
      </c>
      <c r="AW391" s="463" t="str">
        <f t="shared" si="55"/>
        <v/>
      </c>
      <c r="AX391" s="19" t="e">
        <f t="shared" si="56"/>
        <v>#N/A</v>
      </c>
      <c r="AY391" s="19" t="e">
        <f t="shared" si="57"/>
        <v>#N/A</v>
      </c>
      <c r="AZ391" s="19" t="str">
        <f t="shared" si="58"/>
        <v/>
      </c>
      <c r="BA391" s="19" t="e">
        <f>IF(AZ391="",NA(),COUNTIF(AZ391:$AZ$510,AZ391))</f>
        <v>#N/A</v>
      </c>
    </row>
    <row r="392" spans="3:53" ht="11.25" customHeight="1" x14ac:dyDescent="0.2">
      <c r="C392" s="485"/>
      <c r="D392" s="417"/>
      <c r="AV392" s="462" t="str">
        <f t="shared" si="54"/>
        <v/>
      </c>
      <c r="AW392" s="463" t="str">
        <f t="shared" si="55"/>
        <v/>
      </c>
      <c r="AX392" s="19" t="e">
        <f t="shared" si="56"/>
        <v>#N/A</v>
      </c>
      <c r="AY392" s="19" t="e">
        <f t="shared" si="57"/>
        <v>#N/A</v>
      </c>
      <c r="AZ392" s="19" t="str">
        <f t="shared" si="58"/>
        <v/>
      </c>
      <c r="BA392" s="19" t="e">
        <f>IF(AZ392="",NA(),COUNTIF(AZ392:$AZ$510,AZ392))</f>
        <v>#N/A</v>
      </c>
    </row>
    <row r="393" spans="3:53" ht="11.25" customHeight="1" x14ac:dyDescent="0.2">
      <c r="C393" s="485"/>
      <c r="D393" s="417"/>
      <c r="AV393" s="462" t="str">
        <f t="shared" ref="AV393:AV456" si="59">IF(ISBLANK(D393),"",IF($AP$17,$AP$20*$AP$21,D393*$AP$19))</f>
        <v/>
      </c>
      <c r="AW393" s="463" t="str">
        <f t="shared" ref="AW393:AW456" si="60">IF(ISBLANK(C393),"",(NORMDIST(C393+AV393,$I$6,$AP$21,TRUE)-NORMDIST(C393-AV393,$I$6,$AP$21,TRUE))*100)</f>
        <v/>
      </c>
      <c r="AX393" s="19" t="e">
        <f t="shared" si="56"/>
        <v>#N/A</v>
      </c>
      <c r="AY393" s="19" t="e">
        <f t="shared" si="57"/>
        <v>#N/A</v>
      </c>
      <c r="AZ393" s="19" t="str">
        <f t="shared" si="58"/>
        <v/>
      </c>
      <c r="BA393" s="19" t="e">
        <f>IF(AZ393="",NA(),COUNTIF(AZ393:$AZ$510,AZ393))</f>
        <v>#N/A</v>
      </c>
    </row>
    <row r="394" spans="3:53" ht="11.25" customHeight="1" x14ac:dyDescent="0.2">
      <c r="C394" s="485"/>
      <c r="D394" s="417"/>
      <c r="AV394" s="462" t="str">
        <f t="shared" si="59"/>
        <v/>
      </c>
      <c r="AW394" s="463" t="str">
        <f t="shared" si="60"/>
        <v/>
      </c>
      <c r="AX394" s="19" t="e">
        <f t="shared" si="56"/>
        <v>#N/A</v>
      </c>
      <c r="AY394" s="19" t="e">
        <f t="shared" si="57"/>
        <v>#N/A</v>
      </c>
      <c r="AZ394" s="19" t="str">
        <f t="shared" si="58"/>
        <v/>
      </c>
      <c r="BA394" s="19" t="e">
        <f>IF(AZ394="",NA(),COUNTIF(AZ394:$AZ$510,AZ394))</f>
        <v>#N/A</v>
      </c>
    </row>
    <row r="395" spans="3:53" ht="11.25" customHeight="1" x14ac:dyDescent="0.2">
      <c r="C395" s="485"/>
      <c r="D395" s="417"/>
      <c r="AV395" s="462" t="str">
        <f t="shared" si="59"/>
        <v/>
      </c>
      <c r="AW395" s="463" t="str">
        <f t="shared" si="60"/>
        <v/>
      </c>
      <c r="AX395" s="19" t="e">
        <f t="shared" ref="AX395:AX458" si="61">IF(OR(NOT(Repchange),AZ395=""),NA(),AZ395*$AO$12/100)</f>
        <v>#N/A</v>
      </c>
      <c r="AY395" s="19" t="e">
        <f t="shared" ref="AY395:AY458" si="62">$AO$11*(BA395-0.5)</f>
        <v>#N/A</v>
      </c>
      <c r="AZ395" s="19" t="str">
        <f t="shared" ref="AZ395:AZ458" si="63">IF(AW393="","",ROUND(AW393/$AO$12,0))</f>
        <v/>
      </c>
      <c r="BA395" s="19" t="e">
        <f>IF(AZ395="",NA(),COUNTIF(AZ395:$AZ$510,AZ395))</f>
        <v>#N/A</v>
      </c>
    </row>
    <row r="396" spans="3:53" ht="11.25" customHeight="1" x14ac:dyDescent="0.2">
      <c r="C396" s="485"/>
      <c r="D396" s="417"/>
      <c r="AV396" s="462" t="str">
        <f t="shared" si="59"/>
        <v/>
      </c>
      <c r="AW396" s="463" t="str">
        <f t="shared" si="60"/>
        <v/>
      </c>
      <c r="AX396" s="19" t="e">
        <f t="shared" si="61"/>
        <v>#N/A</v>
      </c>
      <c r="AY396" s="19" t="e">
        <f t="shared" si="62"/>
        <v>#N/A</v>
      </c>
      <c r="AZ396" s="19" t="str">
        <f t="shared" si="63"/>
        <v/>
      </c>
      <c r="BA396" s="19" t="e">
        <f>IF(AZ396="",NA(),COUNTIF(AZ396:$AZ$510,AZ396))</f>
        <v>#N/A</v>
      </c>
    </row>
    <row r="397" spans="3:53" ht="11.25" customHeight="1" x14ac:dyDescent="0.2">
      <c r="C397" s="485"/>
      <c r="D397" s="417"/>
      <c r="AV397" s="462" t="str">
        <f t="shared" si="59"/>
        <v/>
      </c>
      <c r="AW397" s="463" t="str">
        <f t="shared" si="60"/>
        <v/>
      </c>
      <c r="AX397" s="19" t="e">
        <f t="shared" si="61"/>
        <v>#N/A</v>
      </c>
      <c r="AY397" s="19" t="e">
        <f t="shared" si="62"/>
        <v>#N/A</v>
      </c>
      <c r="AZ397" s="19" t="str">
        <f t="shared" si="63"/>
        <v/>
      </c>
      <c r="BA397" s="19" t="e">
        <f>IF(AZ397="",NA(),COUNTIF(AZ397:$AZ$510,AZ397))</f>
        <v>#N/A</v>
      </c>
    </row>
    <row r="398" spans="3:53" ht="11.25" customHeight="1" x14ac:dyDescent="0.2">
      <c r="C398" s="485"/>
      <c r="D398" s="417"/>
      <c r="AV398" s="462" t="str">
        <f t="shared" si="59"/>
        <v/>
      </c>
      <c r="AW398" s="463" t="str">
        <f t="shared" si="60"/>
        <v/>
      </c>
      <c r="AX398" s="19" t="e">
        <f t="shared" si="61"/>
        <v>#N/A</v>
      </c>
      <c r="AY398" s="19" t="e">
        <f t="shared" si="62"/>
        <v>#N/A</v>
      </c>
      <c r="AZ398" s="19" t="str">
        <f t="shared" si="63"/>
        <v/>
      </c>
      <c r="BA398" s="19" t="e">
        <f>IF(AZ398="",NA(),COUNTIF(AZ398:$AZ$510,AZ398))</f>
        <v>#N/A</v>
      </c>
    </row>
    <row r="399" spans="3:53" ht="11.25" customHeight="1" x14ac:dyDescent="0.2">
      <c r="C399" s="485"/>
      <c r="D399" s="417"/>
      <c r="AV399" s="462" t="str">
        <f t="shared" si="59"/>
        <v/>
      </c>
      <c r="AW399" s="463" t="str">
        <f t="shared" si="60"/>
        <v/>
      </c>
      <c r="AX399" s="19" t="e">
        <f t="shared" si="61"/>
        <v>#N/A</v>
      </c>
      <c r="AY399" s="19" t="e">
        <f t="shared" si="62"/>
        <v>#N/A</v>
      </c>
      <c r="AZ399" s="19" t="str">
        <f t="shared" si="63"/>
        <v/>
      </c>
      <c r="BA399" s="19" t="e">
        <f>IF(AZ399="",NA(),COUNTIF(AZ399:$AZ$510,AZ399))</f>
        <v>#N/A</v>
      </c>
    </row>
    <row r="400" spans="3:53" ht="11.25" customHeight="1" x14ac:dyDescent="0.2">
      <c r="C400" s="485"/>
      <c r="D400" s="417"/>
      <c r="AV400" s="462" t="str">
        <f t="shared" si="59"/>
        <v/>
      </c>
      <c r="AW400" s="463" t="str">
        <f t="shared" si="60"/>
        <v/>
      </c>
      <c r="AX400" s="19" t="e">
        <f t="shared" si="61"/>
        <v>#N/A</v>
      </c>
      <c r="AY400" s="19" t="e">
        <f t="shared" si="62"/>
        <v>#N/A</v>
      </c>
      <c r="AZ400" s="19" t="str">
        <f t="shared" si="63"/>
        <v/>
      </c>
      <c r="BA400" s="19" t="e">
        <f>IF(AZ400="",NA(),COUNTIF(AZ400:$AZ$510,AZ400))</f>
        <v>#N/A</v>
      </c>
    </row>
    <row r="401" spans="3:53" ht="11.25" customHeight="1" x14ac:dyDescent="0.2">
      <c r="C401" s="485"/>
      <c r="D401" s="417"/>
      <c r="AV401" s="462" t="str">
        <f t="shared" si="59"/>
        <v/>
      </c>
      <c r="AW401" s="463" t="str">
        <f t="shared" si="60"/>
        <v/>
      </c>
      <c r="AX401" s="19" t="e">
        <f t="shared" si="61"/>
        <v>#N/A</v>
      </c>
      <c r="AY401" s="19" t="e">
        <f t="shared" si="62"/>
        <v>#N/A</v>
      </c>
      <c r="AZ401" s="19" t="str">
        <f t="shared" si="63"/>
        <v/>
      </c>
      <c r="BA401" s="19" t="e">
        <f>IF(AZ401="",NA(),COUNTIF(AZ401:$AZ$510,AZ401))</f>
        <v>#N/A</v>
      </c>
    </row>
    <row r="402" spans="3:53" ht="11.25" customHeight="1" x14ac:dyDescent="0.2">
      <c r="C402" s="485"/>
      <c r="D402" s="417"/>
      <c r="AV402" s="462" t="str">
        <f t="shared" si="59"/>
        <v/>
      </c>
      <c r="AW402" s="463" t="str">
        <f t="shared" si="60"/>
        <v/>
      </c>
      <c r="AX402" s="19" t="e">
        <f t="shared" si="61"/>
        <v>#N/A</v>
      </c>
      <c r="AY402" s="19" t="e">
        <f t="shared" si="62"/>
        <v>#N/A</v>
      </c>
      <c r="AZ402" s="19" t="str">
        <f t="shared" si="63"/>
        <v/>
      </c>
      <c r="BA402" s="19" t="e">
        <f>IF(AZ402="",NA(),COUNTIF(AZ402:$AZ$510,AZ402))</f>
        <v>#N/A</v>
      </c>
    </row>
    <row r="403" spans="3:53" ht="11.25" customHeight="1" x14ac:dyDescent="0.2">
      <c r="C403" s="485"/>
      <c r="D403" s="417"/>
      <c r="AV403" s="462" t="str">
        <f t="shared" si="59"/>
        <v/>
      </c>
      <c r="AW403" s="463" t="str">
        <f t="shared" si="60"/>
        <v/>
      </c>
      <c r="AX403" s="19" t="e">
        <f t="shared" si="61"/>
        <v>#N/A</v>
      </c>
      <c r="AY403" s="19" t="e">
        <f t="shared" si="62"/>
        <v>#N/A</v>
      </c>
      <c r="AZ403" s="19" t="str">
        <f t="shared" si="63"/>
        <v/>
      </c>
      <c r="BA403" s="19" t="e">
        <f>IF(AZ403="",NA(),COUNTIF(AZ403:$AZ$510,AZ403))</f>
        <v>#N/A</v>
      </c>
    </row>
    <row r="404" spans="3:53" ht="11.25" customHeight="1" x14ac:dyDescent="0.2">
      <c r="C404" s="485"/>
      <c r="D404" s="417"/>
      <c r="AV404" s="462" t="str">
        <f t="shared" si="59"/>
        <v/>
      </c>
      <c r="AW404" s="463" t="str">
        <f t="shared" si="60"/>
        <v/>
      </c>
      <c r="AX404" s="19" t="e">
        <f t="shared" si="61"/>
        <v>#N/A</v>
      </c>
      <c r="AY404" s="19" t="e">
        <f t="shared" si="62"/>
        <v>#N/A</v>
      </c>
      <c r="AZ404" s="19" t="str">
        <f t="shared" si="63"/>
        <v/>
      </c>
      <c r="BA404" s="19" t="e">
        <f>IF(AZ404="",NA(),COUNTIF(AZ404:$AZ$510,AZ404))</f>
        <v>#N/A</v>
      </c>
    </row>
    <row r="405" spans="3:53" ht="11.25" customHeight="1" x14ac:dyDescent="0.2">
      <c r="C405" s="485"/>
      <c r="D405" s="417"/>
      <c r="AV405" s="462" t="str">
        <f t="shared" si="59"/>
        <v/>
      </c>
      <c r="AW405" s="463" t="str">
        <f t="shared" si="60"/>
        <v/>
      </c>
      <c r="AX405" s="19" t="e">
        <f t="shared" si="61"/>
        <v>#N/A</v>
      </c>
      <c r="AY405" s="19" t="e">
        <f t="shared" si="62"/>
        <v>#N/A</v>
      </c>
      <c r="AZ405" s="19" t="str">
        <f t="shared" si="63"/>
        <v/>
      </c>
      <c r="BA405" s="19" t="e">
        <f>IF(AZ405="",NA(),COUNTIF(AZ405:$AZ$510,AZ405))</f>
        <v>#N/A</v>
      </c>
    </row>
    <row r="406" spans="3:53" ht="11.25" customHeight="1" x14ac:dyDescent="0.2">
      <c r="C406" s="485"/>
      <c r="D406" s="417"/>
      <c r="AV406" s="462" t="str">
        <f t="shared" si="59"/>
        <v/>
      </c>
      <c r="AW406" s="463" t="str">
        <f t="shared" si="60"/>
        <v/>
      </c>
      <c r="AX406" s="19" t="e">
        <f t="shared" si="61"/>
        <v>#N/A</v>
      </c>
      <c r="AY406" s="19" t="e">
        <f t="shared" si="62"/>
        <v>#N/A</v>
      </c>
      <c r="AZ406" s="19" t="str">
        <f t="shared" si="63"/>
        <v/>
      </c>
      <c r="BA406" s="19" t="e">
        <f>IF(AZ406="",NA(),COUNTIF(AZ406:$AZ$510,AZ406))</f>
        <v>#N/A</v>
      </c>
    </row>
    <row r="407" spans="3:53" ht="11.25" customHeight="1" x14ac:dyDescent="0.2">
      <c r="C407" s="485"/>
      <c r="D407" s="417"/>
      <c r="AV407" s="462" t="str">
        <f t="shared" si="59"/>
        <v/>
      </c>
      <c r="AW407" s="463" t="str">
        <f t="shared" si="60"/>
        <v/>
      </c>
      <c r="AX407" s="19" t="e">
        <f t="shared" si="61"/>
        <v>#N/A</v>
      </c>
      <c r="AY407" s="19" t="e">
        <f t="shared" si="62"/>
        <v>#N/A</v>
      </c>
      <c r="AZ407" s="19" t="str">
        <f t="shared" si="63"/>
        <v/>
      </c>
      <c r="BA407" s="19" t="e">
        <f>IF(AZ407="",NA(),COUNTIF(AZ407:$AZ$510,AZ407))</f>
        <v>#N/A</v>
      </c>
    </row>
    <row r="408" spans="3:53" ht="11.25" customHeight="1" x14ac:dyDescent="0.2">
      <c r="C408" s="485"/>
      <c r="D408" s="417"/>
      <c r="AV408" s="462" t="str">
        <f t="shared" si="59"/>
        <v/>
      </c>
      <c r="AW408" s="463" t="str">
        <f t="shared" si="60"/>
        <v/>
      </c>
      <c r="AX408" s="19" t="e">
        <f t="shared" si="61"/>
        <v>#N/A</v>
      </c>
      <c r="AY408" s="19" t="e">
        <f t="shared" si="62"/>
        <v>#N/A</v>
      </c>
      <c r="AZ408" s="19" t="str">
        <f t="shared" si="63"/>
        <v/>
      </c>
      <c r="BA408" s="19" t="e">
        <f>IF(AZ408="",NA(),COUNTIF(AZ408:$AZ$510,AZ408))</f>
        <v>#N/A</v>
      </c>
    </row>
    <row r="409" spans="3:53" ht="11.25" customHeight="1" x14ac:dyDescent="0.2">
      <c r="C409" s="485"/>
      <c r="D409" s="417"/>
      <c r="AV409" s="462" t="str">
        <f t="shared" si="59"/>
        <v/>
      </c>
      <c r="AW409" s="463" t="str">
        <f t="shared" si="60"/>
        <v/>
      </c>
      <c r="AX409" s="19" t="e">
        <f t="shared" si="61"/>
        <v>#N/A</v>
      </c>
      <c r="AY409" s="19" t="e">
        <f t="shared" si="62"/>
        <v>#N/A</v>
      </c>
      <c r="AZ409" s="19" t="str">
        <f t="shared" si="63"/>
        <v/>
      </c>
      <c r="BA409" s="19" t="e">
        <f>IF(AZ409="",NA(),COUNTIF(AZ409:$AZ$510,AZ409))</f>
        <v>#N/A</v>
      </c>
    </row>
    <row r="410" spans="3:53" ht="11.25" customHeight="1" x14ac:dyDescent="0.2">
      <c r="C410" s="485"/>
      <c r="D410" s="417"/>
      <c r="AV410" s="462" t="str">
        <f t="shared" si="59"/>
        <v/>
      </c>
      <c r="AW410" s="463" t="str">
        <f t="shared" si="60"/>
        <v/>
      </c>
      <c r="AX410" s="19" t="e">
        <f t="shared" si="61"/>
        <v>#N/A</v>
      </c>
      <c r="AY410" s="19" t="e">
        <f t="shared" si="62"/>
        <v>#N/A</v>
      </c>
      <c r="AZ410" s="19" t="str">
        <f t="shared" si="63"/>
        <v/>
      </c>
      <c r="BA410" s="19" t="e">
        <f>IF(AZ410="",NA(),COUNTIF(AZ410:$AZ$510,AZ410))</f>
        <v>#N/A</v>
      </c>
    </row>
    <row r="411" spans="3:53" ht="11.25" customHeight="1" x14ac:dyDescent="0.2">
      <c r="C411" s="485"/>
      <c r="D411" s="417"/>
      <c r="AV411" s="462" t="str">
        <f t="shared" si="59"/>
        <v/>
      </c>
      <c r="AW411" s="463" t="str">
        <f t="shared" si="60"/>
        <v/>
      </c>
      <c r="AX411" s="19" t="e">
        <f t="shared" si="61"/>
        <v>#N/A</v>
      </c>
      <c r="AY411" s="19" t="e">
        <f t="shared" si="62"/>
        <v>#N/A</v>
      </c>
      <c r="AZ411" s="19" t="str">
        <f t="shared" si="63"/>
        <v/>
      </c>
      <c r="BA411" s="19" t="e">
        <f>IF(AZ411="",NA(),COUNTIF(AZ411:$AZ$510,AZ411))</f>
        <v>#N/A</v>
      </c>
    </row>
    <row r="412" spans="3:53" ht="11.25" customHeight="1" x14ac:dyDescent="0.2">
      <c r="C412" s="485"/>
      <c r="D412" s="417"/>
      <c r="AV412" s="462" t="str">
        <f t="shared" si="59"/>
        <v/>
      </c>
      <c r="AW412" s="463" t="str">
        <f t="shared" si="60"/>
        <v/>
      </c>
      <c r="AX412" s="19" t="e">
        <f t="shared" si="61"/>
        <v>#N/A</v>
      </c>
      <c r="AY412" s="19" t="e">
        <f t="shared" si="62"/>
        <v>#N/A</v>
      </c>
      <c r="AZ412" s="19" t="str">
        <f t="shared" si="63"/>
        <v/>
      </c>
      <c r="BA412" s="19" t="e">
        <f>IF(AZ412="",NA(),COUNTIF(AZ412:$AZ$510,AZ412))</f>
        <v>#N/A</v>
      </c>
    </row>
    <row r="413" spans="3:53" ht="11.25" customHeight="1" x14ac:dyDescent="0.2">
      <c r="C413" s="485"/>
      <c r="D413" s="417"/>
      <c r="AV413" s="462" t="str">
        <f t="shared" si="59"/>
        <v/>
      </c>
      <c r="AW413" s="463" t="str">
        <f t="shared" si="60"/>
        <v/>
      </c>
      <c r="AX413" s="19" t="e">
        <f t="shared" si="61"/>
        <v>#N/A</v>
      </c>
      <c r="AY413" s="19" t="e">
        <f t="shared" si="62"/>
        <v>#N/A</v>
      </c>
      <c r="AZ413" s="19" t="str">
        <f t="shared" si="63"/>
        <v/>
      </c>
      <c r="BA413" s="19" t="e">
        <f>IF(AZ413="",NA(),COUNTIF(AZ413:$AZ$510,AZ413))</f>
        <v>#N/A</v>
      </c>
    </row>
    <row r="414" spans="3:53" ht="11.25" customHeight="1" x14ac:dyDescent="0.2">
      <c r="C414" s="485"/>
      <c r="D414" s="417"/>
      <c r="AV414" s="462" t="str">
        <f t="shared" si="59"/>
        <v/>
      </c>
      <c r="AW414" s="463" t="str">
        <f t="shared" si="60"/>
        <v/>
      </c>
      <c r="AX414" s="19" t="e">
        <f t="shared" si="61"/>
        <v>#N/A</v>
      </c>
      <c r="AY414" s="19" t="e">
        <f t="shared" si="62"/>
        <v>#N/A</v>
      </c>
      <c r="AZ414" s="19" t="str">
        <f t="shared" si="63"/>
        <v/>
      </c>
      <c r="BA414" s="19" t="e">
        <f>IF(AZ414="",NA(),COUNTIF(AZ414:$AZ$510,AZ414))</f>
        <v>#N/A</v>
      </c>
    </row>
    <row r="415" spans="3:53" ht="11.25" customHeight="1" x14ac:dyDescent="0.2">
      <c r="C415" s="485"/>
      <c r="D415" s="417"/>
      <c r="AV415" s="462" t="str">
        <f t="shared" si="59"/>
        <v/>
      </c>
      <c r="AW415" s="463" t="str">
        <f t="shared" si="60"/>
        <v/>
      </c>
      <c r="AX415" s="19" t="e">
        <f t="shared" si="61"/>
        <v>#N/A</v>
      </c>
      <c r="AY415" s="19" t="e">
        <f t="shared" si="62"/>
        <v>#N/A</v>
      </c>
      <c r="AZ415" s="19" t="str">
        <f t="shared" si="63"/>
        <v/>
      </c>
      <c r="BA415" s="19" t="e">
        <f>IF(AZ415="",NA(),COUNTIF(AZ415:$AZ$510,AZ415))</f>
        <v>#N/A</v>
      </c>
    </row>
    <row r="416" spans="3:53" ht="11.25" customHeight="1" x14ac:dyDescent="0.2">
      <c r="C416" s="485"/>
      <c r="D416" s="417"/>
      <c r="AV416" s="462" t="str">
        <f t="shared" si="59"/>
        <v/>
      </c>
      <c r="AW416" s="463" t="str">
        <f t="shared" si="60"/>
        <v/>
      </c>
      <c r="AX416" s="19" t="e">
        <f t="shared" si="61"/>
        <v>#N/A</v>
      </c>
      <c r="AY416" s="19" t="e">
        <f t="shared" si="62"/>
        <v>#N/A</v>
      </c>
      <c r="AZ416" s="19" t="str">
        <f t="shared" si="63"/>
        <v/>
      </c>
      <c r="BA416" s="19" t="e">
        <f>IF(AZ416="",NA(),COUNTIF(AZ416:$AZ$510,AZ416))</f>
        <v>#N/A</v>
      </c>
    </row>
    <row r="417" spans="3:53" ht="11.25" customHeight="1" x14ac:dyDescent="0.2">
      <c r="C417" s="485"/>
      <c r="D417" s="417"/>
      <c r="AV417" s="462" t="str">
        <f t="shared" si="59"/>
        <v/>
      </c>
      <c r="AW417" s="463" t="str">
        <f t="shared" si="60"/>
        <v/>
      </c>
      <c r="AX417" s="19" t="e">
        <f t="shared" si="61"/>
        <v>#N/A</v>
      </c>
      <c r="AY417" s="19" t="e">
        <f t="shared" si="62"/>
        <v>#N/A</v>
      </c>
      <c r="AZ417" s="19" t="str">
        <f t="shared" si="63"/>
        <v/>
      </c>
      <c r="BA417" s="19" t="e">
        <f>IF(AZ417="",NA(),COUNTIF(AZ417:$AZ$510,AZ417))</f>
        <v>#N/A</v>
      </c>
    </row>
    <row r="418" spans="3:53" ht="11.25" customHeight="1" x14ac:dyDescent="0.2">
      <c r="C418" s="485"/>
      <c r="D418" s="417"/>
      <c r="AV418" s="462" t="str">
        <f t="shared" si="59"/>
        <v/>
      </c>
      <c r="AW418" s="463" t="str">
        <f t="shared" si="60"/>
        <v/>
      </c>
      <c r="AX418" s="19" t="e">
        <f t="shared" si="61"/>
        <v>#N/A</v>
      </c>
      <c r="AY418" s="19" t="e">
        <f t="shared" si="62"/>
        <v>#N/A</v>
      </c>
      <c r="AZ418" s="19" t="str">
        <f t="shared" si="63"/>
        <v/>
      </c>
      <c r="BA418" s="19" t="e">
        <f>IF(AZ418="",NA(),COUNTIF(AZ418:$AZ$510,AZ418))</f>
        <v>#N/A</v>
      </c>
    </row>
    <row r="419" spans="3:53" ht="11.25" customHeight="1" x14ac:dyDescent="0.2">
      <c r="C419" s="485"/>
      <c r="D419" s="417"/>
      <c r="AV419" s="462" t="str">
        <f t="shared" si="59"/>
        <v/>
      </c>
      <c r="AW419" s="463" t="str">
        <f t="shared" si="60"/>
        <v/>
      </c>
      <c r="AX419" s="19" t="e">
        <f t="shared" si="61"/>
        <v>#N/A</v>
      </c>
      <c r="AY419" s="19" t="e">
        <f t="shared" si="62"/>
        <v>#N/A</v>
      </c>
      <c r="AZ419" s="19" t="str">
        <f t="shared" si="63"/>
        <v/>
      </c>
      <c r="BA419" s="19" t="e">
        <f>IF(AZ419="",NA(),COUNTIF(AZ419:$AZ$510,AZ419))</f>
        <v>#N/A</v>
      </c>
    </row>
    <row r="420" spans="3:53" ht="11.25" customHeight="1" x14ac:dyDescent="0.2">
      <c r="C420" s="485"/>
      <c r="D420" s="417"/>
      <c r="AV420" s="462" t="str">
        <f t="shared" si="59"/>
        <v/>
      </c>
      <c r="AW420" s="463" t="str">
        <f t="shared" si="60"/>
        <v/>
      </c>
      <c r="AX420" s="19" t="e">
        <f t="shared" si="61"/>
        <v>#N/A</v>
      </c>
      <c r="AY420" s="19" t="e">
        <f t="shared" si="62"/>
        <v>#N/A</v>
      </c>
      <c r="AZ420" s="19" t="str">
        <f t="shared" si="63"/>
        <v/>
      </c>
      <c r="BA420" s="19" t="e">
        <f>IF(AZ420="",NA(),COUNTIF(AZ420:$AZ$510,AZ420))</f>
        <v>#N/A</v>
      </c>
    </row>
    <row r="421" spans="3:53" ht="11.25" customHeight="1" x14ac:dyDescent="0.2">
      <c r="C421" s="485"/>
      <c r="D421" s="417"/>
      <c r="AV421" s="462" t="str">
        <f t="shared" si="59"/>
        <v/>
      </c>
      <c r="AW421" s="463" t="str">
        <f t="shared" si="60"/>
        <v/>
      </c>
      <c r="AX421" s="19" t="e">
        <f t="shared" si="61"/>
        <v>#N/A</v>
      </c>
      <c r="AY421" s="19" t="e">
        <f t="shared" si="62"/>
        <v>#N/A</v>
      </c>
      <c r="AZ421" s="19" t="str">
        <f t="shared" si="63"/>
        <v/>
      </c>
      <c r="BA421" s="19" t="e">
        <f>IF(AZ421="",NA(),COUNTIF(AZ421:$AZ$510,AZ421))</f>
        <v>#N/A</v>
      </c>
    </row>
    <row r="422" spans="3:53" ht="11.25" customHeight="1" x14ac:dyDescent="0.2">
      <c r="C422" s="485"/>
      <c r="D422" s="417"/>
      <c r="AV422" s="462" t="str">
        <f t="shared" si="59"/>
        <v/>
      </c>
      <c r="AW422" s="463" t="str">
        <f t="shared" si="60"/>
        <v/>
      </c>
      <c r="AX422" s="19" t="e">
        <f t="shared" si="61"/>
        <v>#N/A</v>
      </c>
      <c r="AY422" s="19" t="e">
        <f t="shared" si="62"/>
        <v>#N/A</v>
      </c>
      <c r="AZ422" s="19" t="str">
        <f t="shared" si="63"/>
        <v/>
      </c>
      <c r="BA422" s="19" t="e">
        <f>IF(AZ422="",NA(),COUNTIF(AZ422:$AZ$510,AZ422))</f>
        <v>#N/A</v>
      </c>
    </row>
    <row r="423" spans="3:53" ht="11.25" customHeight="1" x14ac:dyDescent="0.2">
      <c r="C423" s="485"/>
      <c r="D423" s="417"/>
      <c r="AV423" s="462" t="str">
        <f t="shared" si="59"/>
        <v/>
      </c>
      <c r="AW423" s="463" t="str">
        <f t="shared" si="60"/>
        <v/>
      </c>
      <c r="AX423" s="19" t="e">
        <f t="shared" si="61"/>
        <v>#N/A</v>
      </c>
      <c r="AY423" s="19" t="e">
        <f t="shared" si="62"/>
        <v>#N/A</v>
      </c>
      <c r="AZ423" s="19" t="str">
        <f t="shared" si="63"/>
        <v/>
      </c>
      <c r="BA423" s="19" t="e">
        <f>IF(AZ423="",NA(),COUNTIF(AZ423:$AZ$510,AZ423))</f>
        <v>#N/A</v>
      </c>
    </row>
    <row r="424" spans="3:53" ht="11.25" customHeight="1" x14ac:dyDescent="0.2">
      <c r="C424" s="485"/>
      <c r="D424" s="417"/>
      <c r="AV424" s="462" t="str">
        <f t="shared" si="59"/>
        <v/>
      </c>
      <c r="AW424" s="463" t="str">
        <f t="shared" si="60"/>
        <v/>
      </c>
      <c r="AX424" s="19" t="e">
        <f t="shared" si="61"/>
        <v>#N/A</v>
      </c>
      <c r="AY424" s="19" t="e">
        <f t="shared" si="62"/>
        <v>#N/A</v>
      </c>
      <c r="AZ424" s="19" t="str">
        <f t="shared" si="63"/>
        <v/>
      </c>
      <c r="BA424" s="19" t="e">
        <f>IF(AZ424="",NA(),COUNTIF(AZ424:$AZ$510,AZ424))</f>
        <v>#N/A</v>
      </c>
    </row>
    <row r="425" spans="3:53" ht="11.25" customHeight="1" x14ac:dyDescent="0.2">
      <c r="C425" s="485"/>
      <c r="D425" s="417"/>
      <c r="AV425" s="462" t="str">
        <f t="shared" si="59"/>
        <v/>
      </c>
      <c r="AW425" s="463" t="str">
        <f t="shared" si="60"/>
        <v/>
      </c>
      <c r="AX425" s="19" t="e">
        <f t="shared" si="61"/>
        <v>#N/A</v>
      </c>
      <c r="AY425" s="19" t="e">
        <f t="shared" si="62"/>
        <v>#N/A</v>
      </c>
      <c r="AZ425" s="19" t="str">
        <f t="shared" si="63"/>
        <v/>
      </c>
      <c r="BA425" s="19" t="e">
        <f>IF(AZ425="",NA(),COUNTIF(AZ425:$AZ$510,AZ425))</f>
        <v>#N/A</v>
      </c>
    </row>
    <row r="426" spans="3:53" ht="11.25" customHeight="1" x14ac:dyDescent="0.2">
      <c r="C426" s="485"/>
      <c r="D426" s="417"/>
      <c r="AV426" s="462" t="str">
        <f t="shared" si="59"/>
        <v/>
      </c>
      <c r="AW426" s="463" t="str">
        <f t="shared" si="60"/>
        <v/>
      </c>
      <c r="AX426" s="19" t="e">
        <f t="shared" si="61"/>
        <v>#N/A</v>
      </c>
      <c r="AY426" s="19" t="e">
        <f t="shared" si="62"/>
        <v>#N/A</v>
      </c>
      <c r="AZ426" s="19" t="str">
        <f t="shared" si="63"/>
        <v/>
      </c>
      <c r="BA426" s="19" t="e">
        <f>IF(AZ426="",NA(),COUNTIF(AZ426:$AZ$510,AZ426))</f>
        <v>#N/A</v>
      </c>
    </row>
    <row r="427" spans="3:53" ht="11.25" customHeight="1" x14ac:dyDescent="0.2">
      <c r="C427" s="485"/>
      <c r="D427" s="417"/>
      <c r="AV427" s="462" t="str">
        <f t="shared" si="59"/>
        <v/>
      </c>
      <c r="AW427" s="463" t="str">
        <f t="shared" si="60"/>
        <v/>
      </c>
      <c r="AX427" s="19" t="e">
        <f t="shared" si="61"/>
        <v>#N/A</v>
      </c>
      <c r="AY427" s="19" t="e">
        <f t="shared" si="62"/>
        <v>#N/A</v>
      </c>
      <c r="AZ427" s="19" t="str">
        <f t="shared" si="63"/>
        <v/>
      </c>
      <c r="BA427" s="19" t="e">
        <f>IF(AZ427="",NA(),COUNTIF(AZ427:$AZ$510,AZ427))</f>
        <v>#N/A</v>
      </c>
    </row>
    <row r="428" spans="3:53" ht="11.25" customHeight="1" x14ac:dyDescent="0.2">
      <c r="C428" s="485"/>
      <c r="D428" s="417"/>
      <c r="AV428" s="462" t="str">
        <f t="shared" si="59"/>
        <v/>
      </c>
      <c r="AW428" s="463" t="str">
        <f t="shared" si="60"/>
        <v/>
      </c>
      <c r="AX428" s="19" t="e">
        <f t="shared" si="61"/>
        <v>#N/A</v>
      </c>
      <c r="AY428" s="19" t="e">
        <f t="shared" si="62"/>
        <v>#N/A</v>
      </c>
      <c r="AZ428" s="19" t="str">
        <f t="shared" si="63"/>
        <v/>
      </c>
      <c r="BA428" s="19" t="e">
        <f>IF(AZ428="",NA(),COUNTIF(AZ428:$AZ$510,AZ428))</f>
        <v>#N/A</v>
      </c>
    </row>
    <row r="429" spans="3:53" ht="11.25" customHeight="1" x14ac:dyDescent="0.2">
      <c r="C429" s="485"/>
      <c r="D429" s="417"/>
      <c r="AV429" s="462" t="str">
        <f t="shared" si="59"/>
        <v/>
      </c>
      <c r="AW429" s="463" t="str">
        <f t="shared" si="60"/>
        <v/>
      </c>
      <c r="AX429" s="19" t="e">
        <f t="shared" si="61"/>
        <v>#N/A</v>
      </c>
      <c r="AY429" s="19" t="e">
        <f t="shared" si="62"/>
        <v>#N/A</v>
      </c>
      <c r="AZ429" s="19" t="str">
        <f t="shared" si="63"/>
        <v/>
      </c>
      <c r="BA429" s="19" t="e">
        <f>IF(AZ429="",NA(),COUNTIF(AZ429:$AZ$510,AZ429))</f>
        <v>#N/A</v>
      </c>
    </row>
    <row r="430" spans="3:53" ht="11.25" customHeight="1" x14ac:dyDescent="0.2">
      <c r="C430" s="485"/>
      <c r="D430" s="417"/>
      <c r="AV430" s="462" t="str">
        <f t="shared" si="59"/>
        <v/>
      </c>
      <c r="AW430" s="463" t="str">
        <f t="shared" si="60"/>
        <v/>
      </c>
      <c r="AX430" s="19" t="e">
        <f t="shared" si="61"/>
        <v>#N/A</v>
      </c>
      <c r="AY430" s="19" t="e">
        <f t="shared" si="62"/>
        <v>#N/A</v>
      </c>
      <c r="AZ430" s="19" t="str">
        <f t="shared" si="63"/>
        <v/>
      </c>
      <c r="BA430" s="19" t="e">
        <f>IF(AZ430="",NA(),COUNTIF(AZ430:$AZ$510,AZ430))</f>
        <v>#N/A</v>
      </c>
    </row>
    <row r="431" spans="3:53" ht="11.25" customHeight="1" x14ac:dyDescent="0.2">
      <c r="C431" s="485"/>
      <c r="D431" s="417"/>
      <c r="AV431" s="462" t="str">
        <f t="shared" si="59"/>
        <v/>
      </c>
      <c r="AW431" s="463" t="str">
        <f t="shared" si="60"/>
        <v/>
      </c>
      <c r="AX431" s="19" t="e">
        <f t="shared" si="61"/>
        <v>#N/A</v>
      </c>
      <c r="AY431" s="19" t="e">
        <f t="shared" si="62"/>
        <v>#N/A</v>
      </c>
      <c r="AZ431" s="19" t="str">
        <f t="shared" si="63"/>
        <v/>
      </c>
      <c r="BA431" s="19" t="e">
        <f>IF(AZ431="",NA(),COUNTIF(AZ431:$AZ$510,AZ431))</f>
        <v>#N/A</v>
      </c>
    </row>
    <row r="432" spans="3:53" ht="11.25" customHeight="1" x14ac:dyDescent="0.2">
      <c r="C432" s="485"/>
      <c r="D432" s="417"/>
      <c r="AV432" s="462" t="str">
        <f t="shared" si="59"/>
        <v/>
      </c>
      <c r="AW432" s="463" t="str">
        <f t="shared" si="60"/>
        <v/>
      </c>
      <c r="AX432" s="19" t="e">
        <f t="shared" si="61"/>
        <v>#N/A</v>
      </c>
      <c r="AY432" s="19" t="e">
        <f t="shared" si="62"/>
        <v>#N/A</v>
      </c>
      <c r="AZ432" s="19" t="str">
        <f t="shared" si="63"/>
        <v/>
      </c>
      <c r="BA432" s="19" t="e">
        <f>IF(AZ432="",NA(),COUNTIF(AZ432:$AZ$510,AZ432))</f>
        <v>#N/A</v>
      </c>
    </row>
    <row r="433" spans="3:53" ht="11.25" customHeight="1" x14ac:dyDescent="0.2">
      <c r="C433" s="485"/>
      <c r="D433" s="417"/>
      <c r="AV433" s="462" t="str">
        <f t="shared" si="59"/>
        <v/>
      </c>
      <c r="AW433" s="463" t="str">
        <f t="shared" si="60"/>
        <v/>
      </c>
      <c r="AX433" s="19" t="e">
        <f t="shared" si="61"/>
        <v>#N/A</v>
      </c>
      <c r="AY433" s="19" t="e">
        <f t="shared" si="62"/>
        <v>#N/A</v>
      </c>
      <c r="AZ433" s="19" t="str">
        <f t="shared" si="63"/>
        <v/>
      </c>
      <c r="BA433" s="19" t="e">
        <f>IF(AZ433="",NA(),COUNTIF(AZ433:$AZ$510,AZ433))</f>
        <v>#N/A</v>
      </c>
    </row>
    <row r="434" spans="3:53" ht="11.25" customHeight="1" x14ac:dyDescent="0.2">
      <c r="C434" s="485"/>
      <c r="D434" s="417"/>
      <c r="AV434" s="462" t="str">
        <f t="shared" si="59"/>
        <v/>
      </c>
      <c r="AW434" s="463" t="str">
        <f t="shared" si="60"/>
        <v/>
      </c>
      <c r="AX434" s="19" t="e">
        <f t="shared" si="61"/>
        <v>#N/A</v>
      </c>
      <c r="AY434" s="19" t="e">
        <f t="shared" si="62"/>
        <v>#N/A</v>
      </c>
      <c r="AZ434" s="19" t="str">
        <f t="shared" si="63"/>
        <v/>
      </c>
      <c r="BA434" s="19" t="e">
        <f>IF(AZ434="",NA(),COUNTIF(AZ434:$AZ$510,AZ434))</f>
        <v>#N/A</v>
      </c>
    </row>
    <row r="435" spans="3:53" ht="11.25" customHeight="1" x14ac:dyDescent="0.2">
      <c r="C435" s="485"/>
      <c r="D435" s="417"/>
      <c r="AV435" s="462" t="str">
        <f t="shared" si="59"/>
        <v/>
      </c>
      <c r="AW435" s="463" t="str">
        <f t="shared" si="60"/>
        <v/>
      </c>
      <c r="AX435" s="19" t="e">
        <f t="shared" si="61"/>
        <v>#N/A</v>
      </c>
      <c r="AY435" s="19" t="e">
        <f t="shared" si="62"/>
        <v>#N/A</v>
      </c>
      <c r="AZ435" s="19" t="str">
        <f t="shared" si="63"/>
        <v/>
      </c>
      <c r="BA435" s="19" t="e">
        <f>IF(AZ435="",NA(),COUNTIF(AZ435:$AZ$510,AZ435))</f>
        <v>#N/A</v>
      </c>
    </row>
    <row r="436" spans="3:53" ht="11.25" customHeight="1" x14ac:dyDescent="0.2">
      <c r="C436" s="485"/>
      <c r="D436" s="417"/>
      <c r="AV436" s="462" t="str">
        <f t="shared" si="59"/>
        <v/>
      </c>
      <c r="AW436" s="463" t="str">
        <f t="shared" si="60"/>
        <v/>
      </c>
      <c r="AX436" s="19" t="e">
        <f t="shared" si="61"/>
        <v>#N/A</v>
      </c>
      <c r="AY436" s="19" t="e">
        <f t="shared" si="62"/>
        <v>#N/A</v>
      </c>
      <c r="AZ436" s="19" t="str">
        <f t="shared" si="63"/>
        <v/>
      </c>
      <c r="BA436" s="19" t="e">
        <f>IF(AZ436="",NA(),COUNTIF(AZ436:$AZ$510,AZ436))</f>
        <v>#N/A</v>
      </c>
    </row>
    <row r="437" spans="3:53" ht="11.25" customHeight="1" x14ac:dyDescent="0.2">
      <c r="C437" s="485"/>
      <c r="D437" s="417"/>
      <c r="AV437" s="462" t="str">
        <f t="shared" si="59"/>
        <v/>
      </c>
      <c r="AW437" s="463" t="str">
        <f t="shared" si="60"/>
        <v/>
      </c>
      <c r="AX437" s="19" t="e">
        <f t="shared" si="61"/>
        <v>#N/A</v>
      </c>
      <c r="AY437" s="19" t="e">
        <f t="shared" si="62"/>
        <v>#N/A</v>
      </c>
      <c r="AZ437" s="19" t="str">
        <f t="shared" si="63"/>
        <v/>
      </c>
      <c r="BA437" s="19" t="e">
        <f>IF(AZ437="",NA(),COUNTIF(AZ437:$AZ$510,AZ437))</f>
        <v>#N/A</v>
      </c>
    </row>
    <row r="438" spans="3:53" ht="11.25" customHeight="1" x14ac:dyDescent="0.2">
      <c r="C438" s="485"/>
      <c r="D438" s="417"/>
      <c r="AV438" s="462" t="str">
        <f t="shared" si="59"/>
        <v/>
      </c>
      <c r="AW438" s="463" t="str">
        <f t="shared" si="60"/>
        <v/>
      </c>
      <c r="AX438" s="19" t="e">
        <f t="shared" si="61"/>
        <v>#N/A</v>
      </c>
      <c r="AY438" s="19" t="e">
        <f t="shared" si="62"/>
        <v>#N/A</v>
      </c>
      <c r="AZ438" s="19" t="str">
        <f t="shared" si="63"/>
        <v/>
      </c>
      <c r="BA438" s="19" t="e">
        <f>IF(AZ438="",NA(),COUNTIF(AZ438:$AZ$510,AZ438))</f>
        <v>#N/A</v>
      </c>
    </row>
    <row r="439" spans="3:53" ht="11.25" customHeight="1" x14ac:dyDescent="0.2">
      <c r="C439" s="485"/>
      <c r="D439" s="417"/>
      <c r="AV439" s="462" t="str">
        <f t="shared" si="59"/>
        <v/>
      </c>
      <c r="AW439" s="463" t="str">
        <f t="shared" si="60"/>
        <v/>
      </c>
      <c r="AX439" s="19" t="e">
        <f t="shared" si="61"/>
        <v>#N/A</v>
      </c>
      <c r="AY439" s="19" t="e">
        <f t="shared" si="62"/>
        <v>#N/A</v>
      </c>
      <c r="AZ439" s="19" t="str">
        <f t="shared" si="63"/>
        <v/>
      </c>
      <c r="BA439" s="19" t="e">
        <f>IF(AZ439="",NA(),COUNTIF(AZ439:$AZ$510,AZ439))</f>
        <v>#N/A</v>
      </c>
    </row>
    <row r="440" spans="3:53" ht="11.25" customHeight="1" x14ac:dyDescent="0.2">
      <c r="C440" s="485"/>
      <c r="D440" s="417"/>
      <c r="AV440" s="462" t="str">
        <f t="shared" si="59"/>
        <v/>
      </c>
      <c r="AW440" s="463" t="str">
        <f t="shared" si="60"/>
        <v/>
      </c>
      <c r="AX440" s="19" t="e">
        <f t="shared" si="61"/>
        <v>#N/A</v>
      </c>
      <c r="AY440" s="19" t="e">
        <f t="shared" si="62"/>
        <v>#N/A</v>
      </c>
      <c r="AZ440" s="19" t="str">
        <f t="shared" si="63"/>
        <v/>
      </c>
      <c r="BA440" s="19" t="e">
        <f>IF(AZ440="",NA(),COUNTIF(AZ440:$AZ$510,AZ440))</f>
        <v>#N/A</v>
      </c>
    </row>
    <row r="441" spans="3:53" ht="11.25" customHeight="1" x14ac:dyDescent="0.2">
      <c r="C441" s="485"/>
      <c r="D441" s="417"/>
      <c r="AV441" s="462" t="str">
        <f t="shared" si="59"/>
        <v/>
      </c>
      <c r="AW441" s="463" t="str">
        <f t="shared" si="60"/>
        <v/>
      </c>
      <c r="AX441" s="19" t="e">
        <f t="shared" si="61"/>
        <v>#N/A</v>
      </c>
      <c r="AY441" s="19" t="e">
        <f t="shared" si="62"/>
        <v>#N/A</v>
      </c>
      <c r="AZ441" s="19" t="str">
        <f t="shared" si="63"/>
        <v/>
      </c>
      <c r="BA441" s="19" t="e">
        <f>IF(AZ441="",NA(),COUNTIF(AZ441:$AZ$510,AZ441))</f>
        <v>#N/A</v>
      </c>
    </row>
    <row r="442" spans="3:53" ht="11.25" customHeight="1" x14ac:dyDescent="0.2">
      <c r="C442" s="485"/>
      <c r="D442" s="417"/>
      <c r="AV442" s="462" t="str">
        <f t="shared" si="59"/>
        <v/>
      </c>
      <c r="AW442" s="463" t="str">
        <f t="shared" si="60"/>
        <v/>
      </c>
      <c r="AX442" s="19" t="e">
        <f t="shared" si="61"/>
        <v>#N/A</v>
      </c>
      <c r="AY442" s="19" t="e">
        <f t="shared" si="62"/>
        <v>#N/A</v>
      </c>
      <c r="AZ442" s="19" t="str">
        <f t="shared" si="63"/>
        <v/>
      </c>
      <c r="BA442" s="19" t="e">
        <f>IF(AZ442="",NA(),COUNTIF(AZ442:$AZ$510,AZ442))</f>
        <v>#N/A</v>
      </c>
    </row>
    <row r="443" spans="3:53" ht="11.25" customHeight="1" x14ac:dyDescent="0.2">
      <c r="C443" s="485"/>
      <c r="D443" s="417"/>
      <c r="AV443" s="462" t="str">
        <f t="shared" si="59"/>
        <v/>
      </c>
      <c r="AW443" s="463" t="str">
        <f t="shared" si="60"/>
        <v/>
      </c>
      <c r="AX443" s="19" t="e">
        <f t="shared" si="61"/>
        <v>#N/A</v>
      </c>
      <c r="AY443" s="19" t="e">
        <f t="shared" si="62"/>
        <v>#N/A</v>
      </c>
      <c r="AZ443" s="19" t="str">
        <f t="shared" si="63"/>
        <v/>
      </c>
      <c r="BA443" s="19" t="e">
        <f>IF(AZ443="",NA(),COUNTIF(AZ443:$AZ$510,AZ443))</f>
        <v>#N/A</v>
      </c>
    </row>
    <row r="444" spans="3:53" ht="11.25" customHeight="1" x14ac:dyDescent="0.2">
      <c r="C444" s="485"/>
      <c r="D444" s="417"/>
      <c r="AV444" s="462" t="str">
        <f t="shared" si="59"/>
        <v/>
      </c>
      <c r="AW444" s="463" t="str">
        <f t="shared" si="60"/>
        <v/>
      </c>
      <c r="AX444" s="19" t="e">
        <f t="shared" si="61"/>
        <v>#N/A</v>
      </c>
      <c r="AY444" s="19" t="e">
        <f t="shared" si="62"/>
        <v>#N/A</v>
      </c>
      <c r="AZ444" s="19" t="str">
        <f t="shared" si="63"/>
        <v/>
      </c>
      <c r="BA444" s="19" t="e">
        <f>IF(AZ444="",NA(),COUNTIF(AZ444:$AZ$510,AZ444))</f>
        <v>#N/A</v>
      </c>
    </row>
    <row r="445" spans="3:53" ht="11.25" customHeight="1" x14ac:dyDescent="0.2">
      <c r="C445" s="485"/>
      <c r="D445" s="417"/>
      <c r="AV445" s="462" t="str">
        <f t="shared" si="59"/>
        <v/>
      </c>
      <c r="AW445" s="463" t="str">
        <f t="shared" si="60"/>
        <v/>
      </c>
      <c r="AX445" s="19" t="e">
        <f t="shared" si="61"/>
        <v>#N/A</v>
      </c>
      <c r="AY445" s="19" t="e">
        <f t="shared" si="62"/>
        <v>#N/A</v>
      </c>
      <c r="AZ445" s="19" t="str">
        <f t="shared" si="63"/>
        <v/>
      </c>
      <c r="BA445" s="19" t="e">
        <f>IF(AZ445="",NA(),COUNTIF(AZ445:$AZ$510,AZ445))</f>
        <v>#N/A</v>
      </c>
    </row>
    <row r="446" spans="3:53" ht="11.25" customHeight="1" x14ac:dyDescent="0.2">
      <c r="C446" s="485"/>
      <c r="D446" s="417"/>
      <c r="AV446" s="462" t="str">
        <f t="shared" si="59"/>
        <v/>
      </c>
      <c r="AW446" s="463" t="str">
        <f t="shared" si="60"/>
        <v/>
      </c>
      <c r="AX446" s="19" t="e">
        <f t="shared" si="61"/>
        <v>#N/A</v>
      </c>
      <c r="AY446" s="19" t="e">
        <f t="shared" si="62"/>
        <v>#N/A</v>
      </c>
      <c r="AZ446" s="19" t="str">
        <f t="shared" si="63"/>
        <v/>
      </c>
      <c r="BA446" s="19" t="e">
        <f>IF(AZ446="",NA(),COUNTIF(AZ446:$AZ$510,AZ446))</f>
        <v>#N/A</v>
      </c>
    </row>
    <row r="447" spans="3:53" ht="11.25" customHeight="1" x14ac:dyDescent="0.2">
      <c r="C447" s="485"/>
      <c r="D447" s="417"/>
      <c r="AV447" s="462" t="str">
        <f t="shared" si="59"/>
        <v/>
      </c>
      <c r="AW447" s="463" t="str">
        <f t="shared" si="60"/>
        <v/>
      </c>
      <c r="AX447" s="19" t="e">
        <f t="shared" si="61"/>
        <v>#N/A</v>
      </c>
      <c r="AY447" s="19" t="e">
        <f t="shared" si="62"/>
        <v>#N/A</v>
      </c>
      <c r="AZ447" s="19" t="str">
        <f t="shared" si="63"/>
        <v/>
      </c>
      <c r="BA447" s="19" t="e">
        <f>IF(AZ447="",NA(),COUNTIF(AZ447:$AZ$510,AZ447))</f>
        <v>#N/A</v>
      </c>
    </row>
    <row r="448" spans="3:53" ht="11.25" customHeight="1" x14ac:dyDescent="0.2">
      <c r="C448" s="485"/>
      <c r="D448" s="417"/>
      <c r="AV448" s="462" t="str">
        <f t="shared" si="59"/>
        <v/>
      </c>
      <c r="AW448" s="463" t="str">
        <f t="shared" si="60"/>
        <v/>
      </c>
      <c r="AX448" s="19" t="e">
        <f t="shared" si="61"/>
        <v>#N/A</v>
      </c>
      <c r="AY448" s="19" t="e">
        <f t="shared" si="62"/>
        <v>#N/A</v>
      </c>
      <c r="AZ448" s="19" t="str">
        <f t="shared" si="63"/>
        <v/>
      </c>
      <c r="BA448" s="19" t="e">
        <f>IF(AZ448="",NA(),COUNTIF(AZ448:$AZ$510,AZ448))</f>
        <v>#N/A</v>
      </c>
    </row>
    <row r="449" spans="3:53" ht="11.25" customHeight="1" x14ac:dyDescent="0.2">
      <c r="C449" s="485"/>
      <c r="D449" s="417"/>
      <c r="AV449" s="462" t="str">
        <f t="shared" si="59"/>
        <v/>
      </c>
      <c r="AW449" s="463" t="str">
        <f t="shared" si="60"/>
        <v/>
      </c>
      <c r="AX449" s="19" t="e">
        <f t="shared" si="61"/>
        <v>#N/A</v>
      </c>
      <c r="AY449" s="19" t="e">
        <f t="shared" si="62"/>
        <v>#N/A</v>
      </c>
      <c r="AZ449" s="19" t="str">
        <f t="shared" si="63"/>
        <v/>
      </c>
      <c r="BA449" s="19" t="e">
        <f>IF(AZ449="",NA(),COUNTIF(AZ449:$AZ$510,AZ449))</f>
        <v>#N/A</v>
      </c>
    </row>
    <row r="450" spans="3:53" ht="11.25" customHeight="1" x14ac:dyDescent="0.2">
      <c r="C450" s="485"/>
      <c r="D450" s="417"/>
      <c r="AV450" s="462" t="str">
        <f t="shared" si="59"/>
        <v/>
      </c>
      <c r="AW450" s="463" t="str">
        <f t="shared" si="60"/>
        <v/>
      </c>
      <c r="AX450" s="19" t="e">
        <f t="shared" si="61"/>
        <v>#N/A</v>
      </c>
      <c r="AY450" s="19" t="e">
        <f t="shared" si="62"/>
        <v>#N/A</v>
      </c>
      <c r="AZ450" s="19" t="str">
        <f t="shared" si="63"/>
        <v/>
      </c>
      <c r="BA450" s="19" t="e">
        <f>IF(AZ450="",NA(),COUNTIF(AZ450:$AZ$510,AZ450))</f>
        <v>#N/A</v>
      </c>
    </row>
    <row r="451" spans="3:53" ht="11.25" customHeight="1" x14ac:dyDescent="0.2">
      <c r="C451" s="485"/>
      <c r="D451" s="417"/>
      <c r="AV451" s="462" t="str">
        <f t="shared" si="59"/>
        <v/>
      </c>
      <c r="AW451" s="463" t="str">
        <f t="shared" si="60"/>
        <v/>
      </c>
      <c r="AX451" s="19" t="e">
        <f t="shared" si="61"/>
        <v>#N/A</v>
      </c>
      <c r="AY451" s="19" t="e">
        <f t="shared" si="62"/>
        <v>#N/A</v>
      </c>
      <c r="AZ451" s="19" t="str">
        <f t="shared" si="63"/>
        <v/>
      </c>
      <c r="BA451" s="19" t="e">
        <f>IF(AZ451="",NA(),COUNTIF(AZ451:$AZ$510,AZ451))</f>
        <v>#N/A</v>
      </c>
    </row>
    <row r="452" spans="3:53" ht="11.25" customHeight="1" x14ac:dyDescent="0.2">
      <c r="C452" s="485"/>
      <c r="D452" s="417"/>
      <c r="AV452" s="462" t="str">
        <f t="shared" si="59"/>
        <v/>
      </c>
      <c r="AW452" s="463" t="str">
        <f t="shared" si="60"/>
        <v/>
      </c>
      <c r="AX452" s="19" t="e">
        <f t="shared" si="61"/>
        <v>#N/A</v>
      </c>
      <c r="AY452" s="19" t="e">
        <f t="shared" si="62"/>
        <v>#N/A</v>
      </c>
      <c r="AZ452" s="19" t="str">
        <f t="shared" si="63"/>
        <v/>
      </c>
      <c r="BA452" s="19" t="e">
        <f>IF(AZ452="",NA(),COUNTIF(AZ452:$AZ$510,AZ452))</f>
        <v>#N/A</v>
      </c>
    </row>
    <row r="453" spans="3:53" ht="11.25" customHeight="1" x14ac:dyDescent="0.2">
      <c r="C453" s="485"/>
      <c r="D453" s="417"/>
      <c r="AV453" s="462" t="str">
        <f t="shared" si="59"/>
        <v/>
      </c>
      <c r="AW453" s="463" t="str">
        <f t="shared" si="60"/>
        <v/>
      </c>
      <c r="AX453" s="19" t="e">
        <f t="shared" si="61"/>
        <v>#N/A</v>
      </c>
      <c r="AY453" s="19" t="e">
        <f t="shared" si="62"/>
        <v>#N/A</v>
      </c>
      <c r="AZ453" s="19" t="str">
        <f t="shared" si="63"/>
        <v/>
      </c>
      <c r="BA453" s="19" t="e">
        <f>IF(AZ453="",NA(),COUNTIF(AZ453:$AZ$510,AZ453))</f>
        <v>#N/A</v>
      </c>
    </row>
    <row r="454" spans="3:53" ht="11.25" customHeight="1" x14ac:dyDescent="0.2">
      <c r="C454" s="485"/>
      <c r="D454" s="417"/>
      <c r="AV454" s="462" t="str">
        <f t="shared" si="59"/>
        <v/>
      </c>
      <c r="AW454" s="463" t="str">
        <f t="shared" si="60"/>
        <v/>
      </c>
      <c r="AX454" s="19" t="e">
        <f t="shared" si="61"/>
        <v>#N/A</v>
      </c>
      <c r="AY454" s="19" t="e">
        <f t="shared" si="62"/>
        <v>#N/A</v>
      </c>
      <c r="AZ454" s="19" t="str">
        <f t="shared" si="63"/>
        <v/>
      </c>
      <c r="BA454" s="19" t="e">
        <f>IF(AZ454="",NA(),COUNTIF(AZ454:$AZ$510,AZ454))</f>
        <v>#N/A</v>
      </c>
    </row>
    <row r="455" spans="3:53" ht="11.25" customHeight="1" x14ac:dyDescent="0.2">
      <c r="C455" s="485"/>
      <c r="D455" s="417"/>
      <c r="AV455" s="462" t="str">
        <f t="shared" si="59"/>
        <v/>
      </c>
      <c r="AW455" s="463" t="str">
        <f t="shared" si="60"/>
        <v/>
      </c>
      <c r="AX455" s="19" t="e">
        <f t="shared" si="61"/>
        <v>#N/A</v>
      </c>
      <c r="AY455" s="19" t="e">
        <f t="shared" si="62"/>
        <v>#N/A</v>
      </c>
      <c r="AZ455" s="19" t="str">
        <f t="shared" si="63"/>
        <v/>
      </c>
      <c r="BA455" s="19" t="e">
        <f>IF(AZ455="",NA(),COUNTIF(AZ455:$AZ$510,AZ455))</f>
        <v>#N/A</v>
      </c>
    </row>
    <row r="456" spans="3:53" ht="11.25" customHeight="1" x14ac:dyDescent="0.2">
      <c r="C456" s="485"/>
      <c r="D456" s="417"/>
      <c r="AV456" s="462" t="str">
        <f t="shared" si="59"/>
        <v/>
      </c>
      <c r="AW456" s="463" t="str">
        <f t="shared" si="60"/>
        <v/>
      </c>
      <c r="AX456" s="19" t="e">
        <f t="shared" si="61"/>
        <v>#N/A</v>
      </c>
      <c r="AY456" s="19" t="e">
        <f t="shared" si="62"/>
        <v>#N/A</v>
      </c>
      <c r="AZ456" s="19" t="str">
        <f t="shared" si="63"/>
        <v/>
      </c>
      <c r="BA456" s="19" t="e">
        <f>IF(AZ456="",NA(),COUNTIF(AZ456:$AZ$510,AZ456))</f>
        <v>#N/A</v>
      </c>
    </row>
    <row r="457" spans="3:53" ht="11.25" customHeight="1" x14ac:dyDescent="0.2">
      <c r="C457" s="485"/>
      <c r="D457" s="417"/>
      <c r="AV457" s="462" t="str">
        <f t="shared" ref="AV457:AV508" si="64">IF(ISBLANK(D457),"",IF($AP$17,$AP$20*$AP$21,D457*$AP$19))</f>
        <v/>
      </c>
      <c r="AW457" s="463" t="str">
        <f t="shared" ref="AW457:AW508" si="65">IF(ISBLANK(C457),"",(NORMDIST(C457+AV457,$I$6,$AP$21,TRUE)-NORMDIST(C457-AV457,$I$6,$AP$21,TRUE))*100)</f>
        <v/>
      </c>
      <c r="AX457" s="19" t="e">
        <f t="shared" si="61"/>
        <v>#N/A</v>
      </c>
      <c r="AY457" s="19" t="e">
        <f t="shared" si="62"/>
        <v>#N/A</v>
      </c>
      <c r="AZ457" s="19" t="str">
        <f t="shared" si="63"/>
        <v/>
      </c>
      <c r="BA457" s="19" t="e">
        <f>IF(AZ457="",NA(),COUNTIF(AZ457:$AZ$510,AZ457))</f>
        <v>#N/A</v>
      </c>
    </row>
    <row r="458" spans="3:53" ht="11.25" customHeight="1" x14ac:dyDescent="0.2">
      <c r="C458" s="485"/>
      <c r="D458" s="417"/>
      <c r="AV458" s="462" t="str">
        <f t="shared" si="64"/>
        <v/>
      </c>
      <c r="AW458" s="463" t="str">
        <f t="shared" si="65"/>
        <v/>
      </c>
      <c r="AX458" s="19" t="e">
        <f t="shared" si="61"/>
        <v>#N/A</v>
      </c>
      <c r="AY458" s="19" t="e">
        <f t="shared" si="62"/>
        <v>#N/A</v>
      </c>
      <c r="AZ458" s="19" t="str">
        <f t="shared" si="63"/>
        <v/>
      </c>
      <c r="BA458" s="19" t="e">
        <f>IF(AZ458="",NA(),COUNTIF(AZ458:$AZ$510,AZ458))</f>
        <v>#N/A</v>
      </c>
    </row>
    <row r="459" spans="3:53" ht="11.25" customHeight="1" x14ac:dyDescent="0.2">
      <c r="C459" s="485"/>
      <c r="D459" s="417"/>
      <c r="AV459" s="462" t="str">
        <f t="shared" si="64"/>
        <v/>
      </c>
      <c r="AW459" s="463" t="str">
        <f t="shared" si="65"/>
        <v/>
      </c>
      <c r="AX459" s="19" t="e">
        <f t="shared" ref="AX459:AX510" si="66">IF(OR(NOT(Repchange),AZ459=""),NA(),AZ459*$AO$12/100)</f>
        <v>#N/A</v>
      </c>
      <c r="AY459" s="19" t="e">
        <f t="shared" ref="AY459:AY510" si="67">$AO$11*(BA459-0.5)</f>
        <v>#N/A</v>
      </c>
      <c r="AZ459" s="19" t="str">
        <f t="shared" ref="AZ459:AZ510" si="68">IF(AW457="","",ROUND(AW457/$AO$12,0))</f>
        <v/>
      </c>
      <c r="BA459" s="19" t="e">
        <f>IF(AZ459="",NA(),COUNTIF(AZ459:$AZ$510,AZ459))</f>
        <v>#N/A</v>
      </c>
    </row>
    <row r="460" spans="3:53" ht="11.25" customHeight="1" x14ac:dyDescent="0.2">
      <c r="C460" s="485"/>
      <c r="D460" s="417"/>
      <c r="AV460" s="462" t="str">
        <f t="shared" si="64"/>
        <v/>
      </c>
      <c r="AW460" s="463" t="str">
        <f t="shared" si="65"/>
        <v/>
      </c>
      <c r="AX460" s="19" t="e">
        <f t="shared" si="66"/>
        <v>#N/A</v>
      </c>
      <c r="AY460" s="19" t="e">
        <f t="shared" si="67"/>
        <v>#N/A</v>
      </c>
      <c r="AZ460" s="19" t="str">
        <f t="shared" si="68"/>
        <v/>
      </c>
      <c r="BA460" s="19" t="e">
        <f>IF(AZ460="",NA(),COUNTIF(AZ460:$AZ$510,AZ460))</f>
        <v>#N/A</v>
      </c>
    </row>
    <row r="461" spans="3:53" ht="11.25" customHeight="1" x14ac:dyDescent="0.2">
      <c r="C461" s="485"/>
      <c r="D461" s="417"/>
      <c r="AV461" s="462" t="str">
        <f t="shared" si="64"/>
        <v/>
      </c>
      <c r="AW461" s="463" t="str">
        <f t="shared" si="65"/>
        <v/>
      </c>
      <c r="AX461" s="19" t="e">
        <f t="shared" si="66"/>
        <v>#N/A</v>
      </c>
      <c r="AY461" s="19" t="e">
        <f t="shared" si="67"/>
        <v>#N/A</v>
      </c>
      <c r="AZ461" s="19" t="str">
        <f t="shared" si="68"/>
        <v/>
      </c>
      <c r="BA461" s="19" t="e">
        <f>IF(AZ461="",NA(),COUNTIF(AZ461:$AZ$510,AZ461))</f>
        <v>#N/A</v>
      </c>
    </row>
    <row r="462" spans="3:53" ht="11.25" customHeight="1" x14ac:dyDescent="0.2">
      <c r="C462" s="485"/>
      <c r="D462" s="417"/>
      <c r="AV462" s="462" t="str">
        <f t="shared" si="64"/>
        <v/>
      </c>
      <c r="AW462" s="463" t="str">
        <f t="shared" si="65"/>
        <v/>
      </c>
      <c r="AX462" s="19" t="e">
        <f t="shared" si="66"/>
        <v>#N/A</v>
      </c>
      <c r="AY462" s="19" t="e">
        <f t="shared" si="67"/>
        <v>#N/A</v>
      </c>
      <c r="AZ462" s="19" t="str">
        <f t="shared" si="68"/>
        <v/>
      </c>
      <c r="BA462" s="19" t="e">
        <f>IF(AZ462="",NA(),COUNTIF(AZ462:$AZ$510,AZ462))</f>
        <v>#N/A</v>
      </c>
    </row>
    <row r="463" spans="3:53" ht="11.25" customHeight="1" x14ac:dyDescent="0.2">
      <c r="C463" s="485"/>
      <c r="D463" s="417"/>
      <c r="AV463" s="462" t="str">
        <f t="shared" si="64"/>
        <v/>
      </c>
      <c r="AW463" s="463" t="str">
        <f t="shared" si="65"/>
        <v/>
      </c>
      <c r="AX463" s="19" t="e">
        <f t="shared" si="66"/>
        <v>#N/A</v>
      </c>
      <c r="AY463" s="19" t="e">
        <f t="shared" si="67"/>
        <v>#N/A</v>
      </c>
      <c r="AZ463" s="19" t="str">
        <f t="shared" si="68"/>
        <v/>
      </c>
      <c r="BA463" s="19" t="e">
        <f>IF(AZ463="",NA(),COUNTIF(AZ463:$AZ$510,AZ463))</f>
        <v>#N/A</v>
      </c>
    </row>
    <row r="464" spans="3:53" ht="11.25" customHeight="1" x14ac:dyDescent="0.2">
      <c r="C464" s="485"/>
      <c r="D464" s="417"/>
      <c r="AV464" s="462" t="str">
        <f t="shared" si="64"/>
        <v/>
      </c>
      <c r="AW464" s="463" t="str">
        <f t="shared" si="65"/>
        <v/>
      </c>
      <c r="AX464" s="19" t="e">
        <f t="shared" si="66"/>
        <v>#N/A</v>
      </c>
      <c r="AY464" s="19" t="e">
        <f t="shared" si="67"/>
        <v>#N/A</v>
      </c>
      <c r="AZ464" s="19" t="str">
        <f t="shared" si="68"/>
        <v/>
      </c>
      <c r="BA464" s="19" t="e">
        <f>IF(AZ464="",NA(),COUNTIF(AZ464:$AZ$510,AZ464))</f>
        <v>#N/A</v>
      </c>
    </row>
    <row r="465" spans="3:53" ht="11.25" customHeight="1" x14ac:dyDescent="0.2">
      <c r="C465" s="485"/>
      <c r="D465" s="417"/>
      <c r="AV465" s="462" t="str">
        <f t="shared" si="64"/>
        <v/>
      </c>
      <c r="AW465" s="463" t="str">
        <f t="shared" si="65"/>
        <v/>
      </c>
      <c r="AX465" s="19" t="e">
        <f t="shared" si="66"/>
        <v>#N/A</v>
      </c>
      <c r="AY465" s="19" t="e">
        <f t="shared" si="67"/>
        <v>#N/A</v>
      </c>
      <c r="AZ465" s="19" t="str">
        <f t="shared" si="68"/>
        <v/>
      </c>
      <c r="BA465" s="19" t="e">
        <f>IF(AZ465="",NA(),COUNTIF(AZ465:$AZ$510,AZ465))</f>
        <v>#N/A</v>
      </c>
    </row>
    <row r="466" spans="3:53" ht="11.25" customHeight="1" x14ac:dyDescent="0.2">
      <c r="C466" s="485"/>
      <c r="D466" s="417"/>
      <c r="AV466" s="462" t="str">
        <f t="shared" si="64"/>
        <v/>
      </c>
      <c r="AW466" s="463" t="str">
        <f t="shared" si="65"/>
        <v/>
      </c>
      <c r="AX466" s="19" t="e">
        <f t="shared" si="66"/>
        <v>#N/A</v>
      </c>
      <c r="AY466" s="19" t="e">
        <f t="shared" si="67"/>
        <v>#N/A</v>
      </c>
      <c r="AZ466" s="19" t="str">
        <f t="shared" si="68"/>
        <v/>
      </c>
      <c r="BA466" s="19" t="e">
        <f>IF(AZ466="",NA(),COUNTIF(AZ466:$AZ$510,AZ466))</f>
        <v>#N/A</v>
      </c>
    </row>
    <row r="467" spans="3:53" ht="11.25" customHeight="1" x14ac:dyDescent="0.2">
      <c r="C467" s="485"/>
      <c r="D467" s="417"/>
      <c r="AV467" s="462" t="str">
        <f t="shared" si="64"/>
        <v/>
      </c>
      <c r="AW467" s="463" t="str">
        <f t="shared" si="65"/>
        <v/>
      </c>
      <c r="AX467" s="19" t="e">
        <f t="shared" si="66"/>
        <v>#N/A</v>
      </c>
      <c r="AY467" s="19" t="e">
        <f t="shared" si="67"/>
        <v>#N/A</v>
      </c>
      <c r="AZ467" s="19" t="str">
        <f t="shared" si="68"/>
        <v/>
      </c>
      <c r="BA467" s="19" t="e">
        <f>IF(AZ467="",NA(),COUNTIF(AZ467:$AZ$510,AZ467))</f>
        <v>#N/A</v>
      </c>
    </row>
    <row r="468" spans="3:53" ht="11.25" customHeight="1" x14ac:dyDescent="0.2">
      <c r="C468" s="485"/>
      <c r="D468" s="417"/>
      <c r="AV468" s="462" t="str">
        <f t="shared" si="64"/>
        <v/>
      </c>
      <c r="AW468" s="463" t="str">
        <f t="shared" si="65"/>
        <v/>
      </c>
      <c r="AX468" s="19" t="e">
        <f t="shared" si="66"/>
        <v>#N/A</v>
      </c>
      <c r="AY468" s="19" t="e">
        <f t="shared" si="67"/>
        <v>#N/A</v>
      </c>
      <c r="AZ468" s="19" t="str">
        <f t="shared" si="68"/>
        <v/>
      </c>
      <c r="BA468" s="19" t="e">
        <f>IF(AZ468="",NA(),COUNTIF(AZ468:$AZ$510,AZ468))</f>
        <v>#N/A</v>
      </c>
    </row>
    <row r="469" spans="3:53" ht="11.25" customHeight="1" x14ac:dyDescent="0.2">
      <c r="C469" s="485"/>
      <c r="D469" s="417"/>
      <c r="AV469" s="462" t="str">
        <f t="shared" si="64"/>
        <v/>
      </c>
      <c r="AW469" s="463" t="str">
        <f t="shared" si="65"/>
        <v/>
      </c>
      <c r="AX469" s="19" t="e">
        <f t="shared" si="66"/>
        <v>#N/A</v>
      </c>
      <c r="AY469" s="19" t="e">
        <f t="shared" si="67"/>
        <v>#N/A</v>
      </c>
      <c r="AZ469" s="19" t="str">
        <f t="shared" si="68"/>
        <v/>
      </c>
      <c r="BA469" s="19" t="e">
        <f>IF(AZ469="",NA(),COUNTIF(AZ469:$AZ$510,AZ469))</f>
        <v>#N/A</v>
      </c>
    </row>
    <row r="470" spans="3:53" ht="11.25" customHeight="1" x14ac:dyDescent="0.2">
      <c r="C470" s="485"/>
      <c r="D470" s="417"/>
      <c r="AV470" s="462" t="str">
        <f t="shared" si="64"/>
        <v/>
      </c>
      <c r="AW470" s="463" t="str">
        <f t="shared" si="65"/>
        <v/>
      </c>
      <c r="AX470" s="19" t="e">
        <f t="shared" si="66"/>
        <v>#N/A</v>
      </c>
      <c r="AY470" s="19" t="e">
        <f t="shared" si="67"/>
        <v>#N/A</v>
      </c>
      <c r="AZ470" s="19" t="str">
        <f t="shared" si="68"/>
        <v/>
      </c>
      <c r="BA470" s="19" t="e">
        <f>IF(AZ470="",NA(),COUNTIF(AZ470:$AZ$510,AZ470))</f>
        <v>#N/A</v>
      </c>
    </row>
    <row r="471" spans="3:53" ht="11.25" customHeight="1" x14ac:dyDescent="0.2">
      <c r="C471" s="485"/>
      <c r="D471" s="417"/>
      <c r="AV471" s="462" t="str">
        <f t="shared" si="64"/>
        <v/>
      </c>
      <c r="AW471" s="463" t="str">
        <f t="shared" si="65"/>
        <v/>
      </c>
      <c r="AX471" s="19" t="e">
        <f t="shared" si="66"/>
        <v>#N/A</v>
      </c>
      <c r="AY471" s="19" t="e">
        <f t="shared" si="67"/>
        <v>#N/A</v>
      </c>
      <c r="AZ471" s="19" t="str">
        <f t="shared" si="68"/>
        <v/>
      </c>
      <c r="BA471" s="19" t="e">
        <f>IF(AZ471="",NA(),COUNTIF(AZ471:$AZ$510,AZ471))</f>
        <v>#N/A</v>
      </c>
    </row>
    <row r="472" spans="3:53" ht="11.25" customHeight="1" x14ac:dyDescent="0.2">
      <c r="C472" s="485"/>
      <c r="D472" s="417"/>
      <c r="AV472" s="462" t="str">
        <f t="shared" si="64"/>
        <v/>
      </c>
      <c r="AW472" s="463" t="str">
        <f t="shared" si="65"/>
        <v/>
      </c>
      <c r="AX472" s="19" t="e">
        <f t="shared" si="66"/>
        <v>#N/A</v>
      </c>
      <c r="AY472" s="19" t="e">
        <f t="shared" si="67"/>
        <v>#N/A</v>
      </c>
      <c r="AZ472" s="19" t="str">
        <f t="shared" si="68"/>
        <v/>
      </c>
      <c r="BA472" s="19" t="e">
        <f>IF(AZ472="",NA(),COUNTIF(AZ472:$AZ$510,AZ472))</f>
        <v>#N/A</v>
      </c>
    </row>
    <row r="473" spans="3:53" ht="11.25" customHeight="1" x14ac:dyDescent="0.2">
      <c r="C473" s="485"/>
      <c r="D473" s="417"/>
      <c r="AV473" s="462" t="str">
        <f t="shared" si="64"/>
        <v/>
      </c>
      <c r="AW473" s="463" t="str">
        <f t="shared" si="65"/>
        <v/>
      </c>
      <c r="AX473" s="19" t="e">
        <f t="shared" si="66"/>
        <v>#N/A</v>
      </c>
      <c r="AY473" s="19" t="e">
        <f t="shared" si="67"/>
        <v>#N/A</v>
      </c>
      <c r="AZ473" s="19" t="str">
        <f t="shared" si="68"/>
        <v/>
      </c>
      <c r="BA473" s="19" t="e">
        <f>IF(AZ473="",NA(),COUNTIF(AZ473:$AZ$510,AZ473))</f>
        <v>#N/A</v>
      </c>
    </row>
    <row r="474" spans="3:53" ht="11.25" customHeight="1" x14ac:dyDescent="0.2">
      <c r="C474" s="485"/>
      <c r="D474" s="417"/>
      <c r="AV474" s="462" t="str">
        <f t="shared" si="64"/>
        <v/>
      </c>
      <c r="AW474" s="463" t="str">
        <f t="shared" si="65"/>
        <v/>
      </c>
      <c r="AX474" s="19" t="e">
        <f t="shared" si="66"/>
        <v>#N/A</v>
      </c>
      <c r="AY474" s="19" t="e">
        <f t="shared" si="67"/>
        <v>#N/A</v>
      </c>
      <c r="AZ474" s="19" t="str">
        <f t="shared" si="68"/>
        <v/>
      </c>
      <c r="BA474" s="19" t="e">
        <f>IF(AZ474="",NA(),COUNTIF(AZ474:$AZ$510,AZ474))</f>
        <v>#N/A</v>
      </c>
    </row>
    <row r="475" spans="3:53" ht="11.25" customHeight="1" x14ac:dyDescent="0.2">
      <c r="C475" s="485"/>
      <c r="D475" s="417"/>
      <c r="AV475" s="462" t="str">
        <f t="shared" si="64"/>
        <v/>
      </c>
      <c r="AW475" s="463" t="str">
        <f t="shared" si="65"/>
        <v/>
      </c>
      <c r="AX475" s="19" t="e">
        <f t="shared" si="66"/>
        <v>#N/A</v>
      </c>
      <c r="AY475" s="19" t="e">
        <f t="shared" si="67"/>
        <v>#N/A</v>
      </c>
      <c r="AZ475" s="19" t="str">
        <f t="shared" si="68"/>
        <v/>
      </c>
      <c r="BA475" s="19" t="e">
        <f>IF(AZ475="",NA(),COUNTIF(AZ475:$AZ$510,AZ475))</f>
        <v>#N/A</v>
      </c>
    </row>
    <row r="476" spans="3:53" ht="11.25" customHeight="1" x14ac:dyDescent="0.2">
      <c r="C476" s="485"/>
      <c r="D476" s="417"/>
      <c r="AV476" s="462" t="str">
        <f t="shared" si="64"/>
        <v/>
      </c>
      <c r="AW476" s="463" t="str">
        <f t="shared" si="65"/>
        <v/>
      </c>
      <c r="AX476" s="19" t="e">
        <f t="shared" si="66"/>
        <v>#N/A</v>
      </c>
      <c r="AY476" s="19" t="e">
        <f t="shared" si="67"/>
        <v>#N/A</v>
      </c>
      <c r="AZ476" s="19" t="str">
        <f t="shared" si="68"/>
        <v/>
      </c>
      <c r="BA476" s="19" t="e">
        <f>IF(AZ476="",NA(),COUNTIF(AZ476:$AZ$510,AZ476))</f>
        <v>#N/A</v>
      </c>
    </row>
    <row r="477" spans="3:53" ht="11.25" customHeight="1" x14ac:dyDescent="0.2">
      <c r="C477" s="485"/>
      <c r="D477" s="417"/>
      <c r="AV477" s="462" t="str">
        <f t="shared" si="64"/>
        <v/>
      </c>
      <c r="AW477" s="463" t="str">
        <f t="shared" si="65"/>
        <v/>
      </c>
      <c r="AX477" s="19" t="e">
        <f t="shared" si="66"/>
        <v>#N/A</v>
      </c>
      <c r="AY477" s="19" t="e">
        <f t="shared" si="67"/>
        <v>#N/A</v>
      </c>
      <c r="AZ477" s="19" t="str">
        <f t="shared" si="68"/>
        <v/>
      </c>
      <c r="BA477" s="19" t="e">
        <f>IF(AZ477="",NA(),COUNTIF(AZ477:$AZ$510,AZ477))</f>
        <v>#N/A</v>
      </c>
    </row>
    <row r="478" spans="3:53" ht="11.25" customHeight="1" x14ac:dyDescent="0.2">
      <c r="C478" s="485"/>
      <c r="D478" s="417"/>
      <c r="AV478" s="462" t="str">
        <f t="shared" si="64"/>
        <v/>
      </c>
      <c r="AW478" s="463" t="str">
        <f t="shared" si="65"/>
        <v/>
      </c>
      <c r="AX478" s="19" t="e">
        <f t="shared" si="66"/>
        <v>#N/A</v>
      </c>
      <c r="AY478" s="19" t="e">
        <f t="shared" si="67"/>
        <v>#N/A</v>
      </c>
      <c r="AZ478" s="19" t="str">
        <f t="shared" si="68"/>
        <v/>
      </c>
      <c r="BA478" s="19" t="e">
        <f>IF(AZ478="",NA(),COUNTIF(AZ478:$AZ$510,AZ478))</f>
        <v>#N/A</v>
      </c>
    </row>
    <row r="479" spans="3:53" ht="11.25" customHeight="1" x14ac:dyDescent="0.2">
      <c r="C479" s="485"/>
      <c r="D479" s="417"/>
      <c r="AV479" s="462" t="str">
        <f t="shared" si="64"/>
        <v/>
      </c>
      <c r="AW479" s="463" t="str">
        <f t="shared" si="65"/>
        <v/>
      </c>
      <c r="AX479" s="19" t="e">
        <f t="shared" si="66"/>
        <v>#N/A</v>
      </c>
      <c r="AY479" s="19" t="e">
        <f t="shared" si="67"/>
        <v>#N/A</v>
      </c>
      <c r="AZ479" s="19" t="str">
        <f t="shared" si="68"/>
        <v/>
      </c>
      <c r="BA479" s="19" t="e">
        <f>IF(AZ479="",NA(),COUNTIF(AZ479:$AZ$510,AZ479))</f>
        <v>#N/A</v>
      </c>
    </row>
    <row r="480" spans="3:53" ht="11.25" customHeight="1" x14ac:dyDescent="0.2">
      <c r="C480" s="485"/>
      <c r="D480" s="417"/>
      <c r="AV480" s="462" t="str">
        <f t="shared" si="64"/>
        <v/>
      </c>
      <c r="AW480" s="463" t="str">
        <f t="shared" si="65"/>
        <v/>
      </c>
      <c r="AX480" s="19" t="e">
        <f t="shared" si="66"/>
        <v>#N/A</v>
      </c>
      <c r="AY480" s="19" t="e">
        <f t="shared" si="67"/>
        <v>#N/A</v>
      </c>
      <c r="AZ480" s="19" t="str">
        <f t="shared" si="68"/>
        <v/>
      </c>
      <c r="BA480" s="19" t="e">
        <f>IF(AZ480="",NA(),COUNTIF(AZ480:$AZ$510,AZ480))</f>
        <v>#N/A</v>
      </c>
    </row>
    <row r="481" spans="3:53" ht="11.25" customHeight="1" x14ac:dyDescent="0.2">
      <c r="C481" s="485"/>
      <c r="D481" s="417"/>
      <c r="AV481" s="462" t="str">
        <f t="shared" si="64"/>
        <v/>
      </c>
      <c r="AW481" s="463" t="str">
        <f t="shared" si="65"/>
        <v/>
      </c>
      <c r="AX481" s="19" t="e">
        <f t="shared" si="66"/>
        <v>#N/A</v>
      </c>
      <c r="AY481" s="19" t="e">
        <f t="shared" si="67"/>
        <v>#N/A</v>
      </c>
      <c r="AZ481" s="19" t="str">
        <f t="shared" si="68"/>
        <v/>
      </c>
      <c r="BA481" s="19" t="e">
        <f>IF(AZ481="",NA(),COUNTIF(AZ481:$AZ$510,AZ481))</f>
        <v>#N/A</v>
      </c>
    </row>
    <row r="482" spans="3:53" ht="11.25" customHeight="1" x14ac:dyDescent="0.2">
      <c r="C482" s="485"/>
      <c r="D482" s="417"/>
      <c r="AV482" s="462" t="str">
        <f t="shared" si="64"/>
        <v/>
      </c>
      <c r="AW482" s="463" t="str">
        <f t="shared" si="65"/>
        <v/>
      </c>
      <c r="AX482" s="19" t="e">
        <f t="shared" si="66"/>
        <v>#N/A</v>
      </c>
      <c r="AY482" s="19" t="e">
        <f t="shared" si="67"/>
        <v>#N/A</v>
      </c>
      <c r="AZ482" s="19" t="str">
        <f t="shared" si="68"/>
        <v/>
      </c>
      <c r="BA482" s="19" t="e">
        <f>IF(AZ482="",NA(),COUNTIF(AZ482:$AZ$510,AZ482))</f>
        <v>#N/A</v>
      </c>
    </row>
    <row r="483" spans="3:53" ht="11.25" customHeight="1" x14ac:dyDescent="0.2">
      <c r="C483" s="485"/>
      <c r="D483" s="417"/>
      <c r="AV483" s="462" t="str">
        <f t="shared" si="64"/>
        <v/>
      </c>
      <c r="AW483" s="463" t="str">
        <f t="shared" si="65"/>
        <v/>
      </c>
      <c r="AX483" s="19" t="e">
        <f t="shared" si="66"/>
        <v>#N/A</v>
      </c>
      <c r="AY483" s="19" t="e">
        <f t="shared" si="67"/>
        <v>#N/A</v>
      </c>
      <c r="AZ483" s="19" t="str">
        <f t="shared" si="68"/>
        <v/>
      </c>
      <c r="BA483" s="19" t="e">
        <f>IF(AZ483="",NA(),COUNTIF(AZ483:$AZ$510,AZ483))</f>
        <v>#N/A</v>
      </c>
    </row>
    <row r="484" spans="3:53" ht="11.25" customHeight="1" x14ac:dyDescent="0.2">
      <c r="C484" s="485"/>
      <c r="D484" s="417"/>
      <c r="AV484" s="462" t="str">
        <f t="shared" si="64"/>
        <v/>
      </c>
      <c r="AW484" s="463" t="str">
        <f t="shared" si="65"/>
        <v/>
      </c>
      <c r="AX484" s="19" t="e">
        <f t="shared" si="66"/>
        <v>#N/A</v>
      </c>
      <c r="AY484" s="19" t="e">
        <f t="shared" si="67"/>
        <v>#N/A</v>
      </c>
      <c r="AZ484" s="19" t="str">
        <f t="shared" si="68"/>
        <v/>
      </c>
      <c r="BA484" s="19" t="e">
        <f>IF(AZ484="",NA(),COUNTIF(AZ484:$AZ$510,AZ484))</f>
        <v>#N/A</v>
      </c>
    </row>
    <row r="485" spans="3:53" ht="11.25" customHeight="1" x14ac:dyDescent="0.2">
      <c r="C485" s="485"/>
      <c r="D485" s="417"/>
      <c r="AV485" s="462" t="str">
        <f t="shared" si="64"/>
        <v/>
      </c>
      <c r="AW485" s="463" t="str">
        <f t="shared" si="65"/>
        <v/>
      </c>
      <c r="AX485" s="19" t="e">
        <f t="shared" si="66"/>
        <v>#N/A</v>
      </c>
      <c r="AY485" s="19" t="e">
        <f t="shared" si="67"/>
        <v>#N/A</v>
      </c>
      <c r="AZ485" s="19" t="str">
        <f t="shared" si="68"/>
        <v/>
      </c>
      <c r="BA485" s="19" t="e">
        <f>IF(AZ485="",NA(),COUNTIF(AZ485:$AZ$510,AZ485))</f>
        <v>#N/A</v>
      </c>
    </row>
    <row r="486" spans="3:53" ht="11.25" customHeight="1" x14ac:dyDescent="0.2">
      <c r="C486" s="485"/>
      <c r="D486" s="417"/>
      <c r="AV486" s="462" t="str">
        <f t="shared" si="64"/>
        <v/>
      </c>
      <c r="AW486" s="463" t="str">
        <f t="shared" si="65"/>
        <v/>
      </c>
      <c r="AX486" s="19" t="e">
        <f t="shared" si="66"/>
        <v>#N/A</v>
      </c>
      <c r="AY486" s="19" t="e">
        <f t="shared" si="67"/>
        <v>#N/A</v>
      </c>
      <c r="AZ486" s="19" t="str">
        <f t="shared" si="68"/>
        <v/>
      </c>
      <c r="BA486" s="19" t="e">
        <f>IF(AZ486="",NA(),COUNTIF(AZ486:$AZ$510,AZ486))</f>
        <v>#N/A</v>
      </c>
    </row>
    <row r="487" spans="3:53" ht="11.25" customHeight="1" x14ac:dyDescent="0.2">
      <c r="C487" s="485"/>
      <c r="D487" s="417"/>
      <c r="AV487" s="462" t="str">
        <f t="shared" si="64"/>
        <v/>
      </c>
      <c r="AW487" s="463" t="str">
        <f t="shared" si="65"/>
        <v/>
      </c>
      <c r="AX487" s="19" t="e">
        <f t="shared" si="66"/>
        <v>#N/A</v>
      </c>
      <c r="AY487" s="19" t="e">
        <f t="shared" si="67"/>
        <v>#N/A</v>
      </c>
      <c r="AZ487" s="19" t="str">
        <f t="shared" si="68"/>
        <v/>
      </c>
      <c r="BA487" s="19" t="e">
        <f>IF(AZ487="",NA(),COUNTIF(AZ487:$AZ$510,AZ487))</f>
        <v>#N/A</v>
      </c>
    </row>
    <row r="488" spans="3:53" ht="11.25" customHeight="1" x14ac:dyDescent="0.2">
      <c r="C488" s="485"/>
      <c r="D488" s="417"/>
      <c r="AV488" s="462" t="str">
        <f t="shared" si="64"/>
        <v/>
      </c>
      <c r="AW488" s="463" t="str">
        <f t="shared" si="65"/>
        <v/>
      </c>
      <c r="AX488" s="19" t="e">
        <f t="shared" si="66"/>
        <v>#N/A</v>
      </c>
      <c r="AY488" s="19" t="e">
        <f t="shared" si="67"/>
        <v>#N/A</v>
      </c>
      <c r="AZ488" s="19" t="str">
        <f t="shared" si="68"/>
        <v/>
      </c>
      <c r="BA488" s="19" t="e">
        <f>IF(AZ488="",NA(),COUNTIF(AZ488:$AZ$510,AZ488))</f>
        <v>#N/A</v>
      </c>
    </row>
    <row r="489" spans="3:53" ht="11.25" customHeight="1" x14ac:dyDescent="0.2">
      <c r="C489" s="485"/>
      <c r="D489" s="417"/>
      <c r="AV489" s="462" t="str">
        <f t="shared" si="64"/>
        <v/>
      </c>
      <c r="AW489" s="463" t="str">
        <f t="shared" si="65"/>
        <v/>
      </c>
      <c r="AX489" s="19" t="e">
        <f t="shared" si="66"/>
        <v>#N/A</v>
      </c>
      <c r="AY489" s="19" t="e">
        <f t="shared" si="67"/>
        <v>#N/A</v>
      </c>
      <c r="AZ489" s="19" t="str">
        <f t="shared" si="68"/>
        <v/>
      </c>
      <c r="BA489" s="19" t="e">
        <f>IF(AZ489="",NA(),COUNTIF(AZ489:$AZ$510,AZ489))</f>
        <v>#N/A</v>
      </c>
    </row>
    <row r="490" spans="3:53" ht="11.25" customHeight="1" x14ac:dyDescent="0.2">
      <c r="C490" s="485"/>
      <c r="D490" s="417"/>
      <c r="AV490" s="462" t="str">
        <f t="shared" si="64"/>
        <v/>
      </c>
      <c r="AW490" s="463" t="str">
        <f t="shared" si="65"/>
        <v/>
      </c>
      <c r="AX490" s="19" t="e">
        <f t="shared" si="66"/>
        <v>#N/A</v>
      </c>
      <c r="AY490" s="19" t="e">
        <f t="shared" si="67"/>
        <v>#N/A</v>
      </c>
      <c r="AZ490" s="19" t="str">
        <f t="shared" si="68"/>
        <v/>
      </c>
      <c r="BA490" s="19" t="e">
        <f>IF(AZ490="",NA(),COUNTIF(AZ490:$AZ$510,AZ490))</f>
        <v>#N/A</v>
      </c>
    </row>
    <row r="491" spans="3:53" ht="11.25" customHeight="1" x14ac:dyDescent="0.2">
      <c r="C491" s="485"/>
      <c r="D491" s="417"/>
      <c r="AV491" s="462" t="str">
        <f t="shared" si="64"/>
        <v/>
      </c>
      <c r="AW491" s="463" t="str">
        <f t="shared" si="65"/>
        <v/>
      </c>
      <c r="AX491" s="19" t="e">
        <f t="shared" si="66"/>
        <v>#N/A</v>
      </c>
      <c r="AY491" s="19" t="e">
        <f t="shared" si="67"/>
        <v>#N/A</v>
      </c>
      <c r="AZ491" s="19" t="str">
        <f t="shared" si="68"/>
        <v/>
      </c>
      <c r="BA491" s="19" t="e">
        <f>IF(AZ491="",NA(),COUNTIF(AZ491:$AZ$510,AZ491))</f>
        <v>#N/A</v>
      </c>
    </row>
    <row r="492" spans="3:53" ht="11.25" customHeight="1" x14ac:dyDescent="0.2">
      <c r="C492" s="485"/>
      <c r="D492" s="417"/>
      <c r="AV492" s="462" t="str">
        <f t="shared" si="64"/>
        <v/>
      </c>
      <c r="AW492" s="463" t="str">
        <f t="shared" si="65"/>
        <v/>
      </c>
      <c r="AX492" s="19" t="e">
        <f t="shared" si="66"/>
        <v>#N/A</v>
      </c>
      <c r="AY492" s="19" t="e">
        <f t="shared" si="67"/>
        <v>#N/A</v>
      </c>
      <c r="AZ492" s="19" t="str">
        <f t="shared" si="68"/>
        <v/>
      </c>
      <c r="BA492" s="19" t="e">
        <f>IF(AZ492="",NA(),COUNTIF(AZ492:$AZ$510,AZ492))</f>
        <v>#N/A</v>
      </c>
    </row>
    <row r="493" spans="3:53" ht="11.25" customHeight="1" x14ac:dyDescent="0.2">
      <c r="C493" s="485"/>
      <c r="D493" s="417"/>
      <c r="AV493" s="462" t="str">
        <f t="shared" si="64"/>
        <v/>
      </c>
      <c r="AW493" s="463" t="str">
        <f t="shared" si="65"/>
        <v/>
      </c>
      <c r="AX493" s="19" t="e">
        <f t="shared" si="66"/>
        <v>#N/A</v>
      </c>
      <c r="AY493" s="19" t="e">
        <f t="shared" si="67"/>
        <v>#N/A</v>
      </c>
      <c r="AZ493" s="19" t="str">
        <f t="shared" si="68"/>
        <v/>
      </c>
      <c r="BA493" s="19" t="e">
        <f>IF(AZ493="",NA(),COUNTIF(AZ493:$AZ$510,AZ493))</f>
        <v>#N/A</v>
      </c>
    </row>
    <row r="494" spans="3:53" ht="11.25" customHeight="1" x14ac:dyDescent="0.2">
      <c r="C494" s="485"/>
      <c r="D494" s="417"/>
      <c r="AV494" s="462" t="str">
        <f t="shared" si="64"/>
        <v/>
      </c>
      <c r="AW494" s="463" t="str">
        <f t="shared" si="65"/>
        <v/>
      </c>
      <c r="AX494" s="19" t="e">
        <f t="shared" si="66"/>
        <v>#N/A</v>
      </c>
      <c r="AY494" s="19" t="e">
        <f t="shared" si="67"/>
        <v>#N/A</v>
      </c>
      <c r="AZ494" s="19" t="str">
        <f t="shared" si="68"/>
        <v/>
      </c>
      <c r="BA494" s="19" t="e">
        <f>IF(AZ494="",NA(),COUNTIF(AZ494:$AZ$510,AZ494))</f>
        <v>#N/A</v>
      </c>
    </row>
    <row r="495" spans="3:53" ht="11.25" customHeight="1" x14ac:dyDescent="0.2">
      <c r="C495" s="485"/>
      <c r="D495" s="417"/>
      <c r="AV495" s="462" t="str">
        <f t="shared" si="64"/>
        <v/>
      </c>
      <c r="AW495" s="463" t="str">
        <f t="shared" si="65"/>
        <v/>
      </c>
      <c r="AX495" s="19" t="e">
        <f t="shared" si="66"/>
        <v>#N/A</v>
      </c>
      <c r="AY495" s="19" t="e">
        <f t="shared" si="67"/>
        <v>#N/A</v>
      </c>
      <c r="AZ495" s="19" t="str">
        <f t="shared" si="68"/>
        <v/>
      </c>
      <c r="BA495" s="19" t="e">
        <f>IF(AZ495="",NA(),COUNTIF(AZ495:$AZ$510,AZ495))</f>
        <v>#N/A</v>
      </c>
    </row>
    <row r="496" spans="3:53" ht="11.25" customHeight="1" x14ac:dyDescent="0.2">
      <c r="C496" s="485"/>
      <c r="D496" s="417"/>
      <c r="AV496" s="462" t="str">
        <f t="shared" si="64"/>
        <v/>
      </c>
      <c r="AW496" s="463" t="str">
        <f t="shared" si="65"/>
        <v/>
      </c>
      <c r="AX496" s="19" t="e">
        <f t="shared" si="66"/>
        <v>#N/A</v>
      </c>
      <c r="AY496" s="19" t="e">
        <f t="shared" si="67"/>
        <v>#N/A</v>
      </c>
      <c r="AZ496" s="19" t="str">
        <f t="shared" si="68"/>
        <v/>
      </c>
      <c r="BA496" s="19" t="e">
        <f>IF(AZ496="",NA(),COUNTIF(AZ496:$AZ$510,AZ496))</f>
        <v>#N/A</v>
      </c>
    </row>
    <row r="497" spans="3:53" ht="11.25" customHeight="1" x14ac:dyDescent="0.2">
      <c r="C497" s="485"/>
      <c r="D497" s="417"/>
      <c r="AV497" s="462" t="str">
        <f t="shared" si="64"/>
        <v/>
      </c>
      <c r="AW497" s="463" t="str">
        <f t="shared" si="65"/>
        <v/>
      </c>
      <c r="AX497" s="19" t="e">
        <f t="shared" si="66"/>
        <v>#N/A</v>
      </c>
      <c r="AY497" s="19" t="e">
        <f t="shared" si="67"/>
        <v>#N/A</v>
      </c>
      <c r="AZ497" s="19" t="str">
        <f t="shared" si="68"/>
        <v/>
      </c>
      <c r="BA497" s="19" t="e">
        <f>IF(AZ497="",NA(),COUNTIF(AZ497:$AZ$510,AZ497))</f>
        <v>#N/A</v>
      </c>
    </row>
    <row r="498" spans="3:53" ht="11.25" customHeight="1" x14ac:dyDescent="0.2">
      <c r="C498" s="485"/>
      <c r="D498" s="417"/>
      <c r="AV498" s="462" t="str">
        <f t="shared" si="64"/>
        <v/>
      </c>
      <c r="AW498" s="463" t="str">
        <f t="shared" si="65"/>
        <v/>
      </c>
      <c r="AX498" s="19" t="e">
        <f t="shared" si="66"/>
        <v>#N/A</v>
      </c>
      <c r="AY498" s="19" t="e">
        <f t="shared" si="67"/>
        <v>#N/A</v>
      </c>
      <c r="AZ498" s="19" t="str">
        <f t="shared" si="68"/>
        <v/>
      </c>
      <c r="BA498" s="19" t="e">
        <f>IF(AZ498="",NA(),COUNTIF(AZ498:$AZ$510,AZ498))</f>
        <v>#N/A</v>
      </c>
    </row>
    <row r="499" spans="3:53" ht="11.25" customHeight="1" x14ac:dyDescent="0.2">
      <c r="C499" s="485"/>
      <c r="D499" s="417"/>
      <c r="AV499" s="462" t="str">
        <f t="shared" si="64"/>
        <v/>
      </c>
      <c r="AW499" s="463" t="str">
        <f t="shared" si="65"/>
        <v/>
      </c>
      <c r="AX499" s="19" t="e">
        <f t="shared" si="66"/>
        <v>#N/A</v>
      </c>
      <c r="AY499" s="19" t="e">
        <f t="shared" si="67"/>
        <v>#N/A</v>
      </c>
      <c r="AZ499" s="19" t="str">
        <f t="shared" si="68"/>
        <v/>
      </c>
      <c r="BA499" s="19" t="e">
        <f>IF(AZ499="",NA(),COUNTIF(AZ499:$AZ$510,AZ499))</f>
        <v>#N/A</v>
      </c>
    </row>
    <row r="500" spans="3:53" ht="11.25" customHeight="1" x14ac:dyDescent="0.2">
      <c r="C500" s="485"/>
      <c r="D500" s="417"/>
      <c r="AV500" s="462" t="str">
        <f t="shared" si="64"/>
        <v/>
      </c>
      <c r="AW500" s="463" t="str">
        <f t="shared" si="65"/>
        <v/>
      </c>
      <c r="AX500" s="19" t="e">
        <f t="shared" si="66"/>
        <v>#N/A</v>
      </c>
      <c r="AY500" s="19" t="e">
        <f t="shared" si="67"/>
        <v>#N/A</v>
      </c>
      <c r="AZ500" s="19" t="str">
        <f t="shared" si="68"/>
        <v/>
      </c>
      <c r="BA500" s="19" t="e">
        <f>IF(AZ500="",NA(),COUNTIF(AZ500:$AZ$510,AZ500))</f>
        <v>#N/A</v>
      </c>
    </row>
    <row r="501" spans="3:53" ht="11.25" customHeight="1" x14ac:dyDescent="0.2">
      <c r="C501" s="485"/>
      <c r="D501" s="417"/>
      <c r="AV501" s="462" t="str">
        <f t="shared" si="64"/>
        <v/>
      </c>
      <c r="AW501" s="463" t="str">
        <f t="shared" si="65"/>
        <v/>
      </c>
      <c r="AX501" s="19" t="e">
        <f t="shared" si="66"/>
        <v>#N/A</v>
      </c>
      <c r="AY501" s="19" t="e">
        <f t="shared" si="67"/>
        <v>#N/A</v>
      </c>
      <c r="AZ501" s="19" t="str">
        <f t="shared" si="68"/>
        <v/>
      </c>
      <c r="BA501" s="19" t="e">
        <f>IF(AZ501="",NA(),COUNTIF(AZ501:$AZ$510,AZ501))</f>
        <v>#N/A</v>
      </c>
    </row>
    <row r="502" spans="3:53" ht="11.25" customHeight="1" x14ac:dyDescent="0.2">
      <c r="C502" s="485"/>
      <c r="D502" s="417"/>
      <c r="AV502" s="462" t="str">
        <f t="shared" si="64"/>
        <v/>
      </c>
      <c r="AW502" s="463" t="str">
        <f t="shared" si="65"/>
        <v/>
      </c>
      <c r="AX502" s="19" t="e">
        <f t="shared" si="66"/>
        <v>#N/A</v>
      </c>
      <c r="AY502" s="19" t="e">
        <f t="shared" si="67"/>
        <v>#N/A</v>
      </c>
      <c r="AZ502" s="19" t="str">
        <f t="shared" si="68"/>
        <v/>
      </c>
      <c r="BA502" s="19" t="e">
        <f>IF(AZ502="",NA(),COUNTIF(AZ502:$AZ$510,AZ502))</f>
        <v>#N/A</v>
      </c>
    </row>
    <row r="503" spans="3:53" ht="11.25" customHeight="1" x14ac:dyDescent="0.2">
      <c r="C503" s="485"/>
      <c r="D503" s="417"/>
      <c r="AV503" s="462" t="str">
        <f t="shared" si="64"/>
        <v/>
      </c>
      <c r="AW503" s="463" t="str">
        <f t="shared" si="65"/>
        <v/>
      </c>
      <c r="AX503" s="19" t="e">
        <f t="shared" si="66"/>
        <v>#N/A</v>
      </c>
      <c r="AY503" s="19" t="e">
        <f t="shared" si="67"/>
        <v>#N/A</v>
      </c>
      <c r="AZ503" s="19" t="str">
        <f t="shared" si="68"/>
        <v/>
      </c>
      <c r="BA503" s="19" t="e">
        <f>IF(AZ503="",NA(),COUNTIF(AZ503:$AZ$510,AZ503))</f>
        <v>#N/A</v>
      </c>
    </row>
    <row r="504" spans="3:53" ht="11.25" customHeight="1" x14ac:dyDescent="0.2">
      <c r="C504" s="485"/>
      <c r="D504" s="417"/>
      <c r="AV504" s="462" t="str">
        <f t="shared" si="64"/>
        <v/>
      </c>
      <c r="AW504" s="463" t="str">
        <f t="shared" si="65"/>
        <v/>
      </c>
      <c r="AX504" s="19" t="e">
        <f t="shared" si="66"/>
        <v>#N/A</v>
      </c>
      <c r="AY504" s="19" t="e">
        <f t="shared" si="67"/>
        <v>#N/A</v>
      </c>
      <c r="AZ504" s="19" t="str">
        <f t="shared" si="68"/>
        <v/>
      </c>
      <c r="BA504" s="19" t="e">
        <f>IF(AZ504="",NA(),COUNTIF(AZ504:$AZ$510,AZ504))</f>
        <v>#N/A</v>
      </c>
    </row>
    <row r="505" spans="3:53" ht="11.25" customHeight="1" x14ac:dyDescent="0.2">
      <c r="C505" s="485"/>
      <c r="D505" s="417"/>
      <c r="AV505" s="462" t="str">
        <f t="shared" si="64"/>
        <v/>
      </c>
      <c r="AW505" s="463" t="str">
        <f t="shared" si="65"/>
        <v/>
      </c>
      <c r="AX505" s="19" t="e">
        <f t="shared" si="66"/>
        <v>#N/A</v>
      </c>
      <c r="AY505" s="19" t="e">
        <f t="shared" si="67"/>
        <v>#N/A</v>
      </c>
      <c r="AZ505" s="19" t="str">
        <f t="shared" si="68"/>
        <v/>
      </c>
      <c r="BA505" s="19" t="e">
        <f>IF(AZ505="",NA(),COUNTIF(AZ505:$AZ$510,AZ505))</f>
        <v>#N/A</v>
      </c>
    </row>
    <row r="506" spans="3:53" ht="11.25" customHeight="1" x14ac:dyDescent="0.2">
      <c r="C506" s="485"/>
      <c r="D506" s="417"/>
      <c r="AV506" s="462" t="str">
        <f t="shared" si="64"/>
        <v/>
      </c>
      <c r="AW506" s="463" t="str">
        <f t="shared" si="65"/>
        <v/>
      </c>
      <c r="AX506" s="19" t="e">
        <f t="shared" si="66"/>
        <v>#N/A</v>
      </c>
      <c r="AY506" s="19" t="e">
        <f t="shared" si="67"/>
        <v>#N/A</v>
      </c>
      <c r="AZ506" s="19" t="str">
        <f t="shared" si="68"/>
        <v/>
      </c>
      <c r="BA506" s="19" t="e">
        <f>IF(AZ506="",NA(),COUNTIF(AZ506:$AZ$510,AZ506))</f>
        <v>#N/A</v>
      </c>
    </row>
    <row r="507" spans="3:53" ht="11.25" customHeight="1" x14ac:dyDescent="0.2">
      <c r="C507" s="485"/>
      <c r="D507" s="417"/>
      <c r="AV507" s="462" t="str">
        <f t="shared" si="64"/>
        <v/>
      </c>
      <c r="AW507" s="463" t="str">
        <f t="shared" si="65"/>
        <v/>
      </c>
      <c r="AX507" s="19" t="e">
        <f t="shared" si="66"/>
        <v>#N/A</v>
      </c>
      <c r="AY507" s="19" t="e">
        <f t="shared" si="67"/>
        <v>#N/A</v>
      </c>
      <c r="AZ507" s="19" t="str">
        <f t="shared" si="68"/>
        <v/>
      </c>
      <c r="BA507" s="19" t="e">
        <f>IF(AZ507="",NA(),COUNTIF(AZ507:$AZ$510,AZ507))</f>
        <v>#N/A</v>
      </c>
    </row>
    <row r="508" spans="3:53" ht="11.25" customHeight="1" x14ac:dyDescent="0.2">
      <c r="C508" s="485"/>
      <c r="D508" s="417"/>
      <c r="AV508" s="462" t="str">
        <f t="shared" si="64"/>
        <v/>
      </c>
      <c r="AW508" s="463" t="str">
        <f t="shared" si="65"/>
        <v/>
      </c>
      <c r="AX508" s="19" t="e">
        <f t="shared" si="66"/>
        <v>#N/A</v>
      </c>
      <c r="AY508" s="19" t="e">
        <f t="shared" si="67"/>
        <v>#N/A</v>
      </c>
      <c r="AZ508" s="19" t="str">
        <f t="shared" si="68"/>
        <v/>
      </c>
      <c r="BA508" s="19" t="e">
        <f>IF(AZ508="",NA(),COUNTIF(AZ508:$AZ$510,AZ508))</f>
        <v>#N/A</v>
      </c>
    </row>
    <row r="509" spans="3:53" ht="11.25" customHeight="1" x14ac:dyDescent="0.2">
      <c r="AX509" s="19" t="e">
        <f t="shared" si="66"/>
        <v>#N/A</v>
      </c>
      <c r="AY509" s="19" t="e">
        <f t="shared" si="67"/>
        <v>#N/A</v>
      </c>
      <c r="AZ509" s="19" t="str">
        <f t="shared" si="68"/>
        <v/>
      </c>
      <c r="BA509" s="19" t="e">
        <f>IF(AZ509="",NA(),COUNTIF(AZ509:$AZ$510,AZ509))</f>
        <v>#N/A</v>
      </c>
    </row>
    <row r="510" spans="3:53" ht="11.25" customHeight="1" x14ac:dyDescent="0.2">
      <c r="AX510" s="19" t="e">
        <f t="shared" si="66"/>
        <v>#N/A</v>
      </c>
      <c r="AY510" s="19" t="e">
        <f t="shared" si="67"/>
        <v>#N/A</v>
      </c>
      <c r="AZ510" s="19" t="str">
        <f t="shared" si="68"/>
        <v/>
      </c>
      <c r="BA510" s="19" t="e">
        <f>IF(AZ510="",NA(),COUNTIF(AZ510:$AZ$510,AZ510))</f>
        <v>#N/A</v>
      </c>
    </row>
  </sheetData>
  <sheetProtection sheet="1" objects="1" scenarios="1" selectLockedCells="1"/>
  <mergeCells count="1">
    <mergeCell ref="P8:Q8"/>
  </mergeCells>
  <phoneticPr fontId="0" type="noConversion"/>
  <dataValidations disablePrompts="1" count="4">
    <dataValidation type="decimal" allowBlank="1" showInputMessage="1" showErrorMessage="1" errorTitle="Confidence level" error="Min 0, max 99.9" sqref="I13">
      <formula1>0</formula1>
      <formula2>99.9</formula2>
    </dataValidation>
    <dataValidation type="whole" allowBlank="1" showInputMessage="1" showErrorMessage="1" errorTitle="Sample size" error="Min 2, max 200" sqref="H10">
      <formula1>2</formula1>
      <formula2>200</formula2>
    </dataValidation>
    <dataValidation type="decimal" allowBlank="1" showInputMessage="1" showErrorMessage="1" errorTitle="Population mean" error="Min 0, max 100" sqref="I6">
      <formula1>0</formula1>
      <formula2>100</formula2>
    </dataValidation>
    <dataValidation type="decimal" allowBlank="1" showInputMessage="1" showErrorMessage="1" errorTitle="Population SD" error="Min 0, max 50" sqref="N6">
      <formula1>0</formula1>
      <formula2>50</formula2>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Brush" shapeId="174120" r:id="rId4">
          <objectPr defaultSize="0" autoPict="0" r:id="rId5">
            <anchor moveWithCells="1" sizeWithCells="1">
              <from>
                <xdr:col>0</xdr:col>
                <xdr:colOff>0</xdr:colOff>
                <xdr:row>0</xdr:row>
                <xdr:rowOff>0</xdr:rowOff>
              </from>
              <to>
                <xdr:col>5</xdr:col>
                <xdr:colOff>0</xdr:colOff>
                <xdr:row>60</xdr:row>
                <xdr:rowOff>123825</xdr:rowOff>
              </to>
            </anchor>
          </objectPr>
        </oleObject>
      </mc:Choice>
      <mc:Fallback>
        <oleObject progId="PBrush" shapeId="174120" r:id="rId4"/>
      </mc:Fallback>
    </mc:AlternateContent>
  </oleObjects>
  <mc:AlternateContent xmlns:mc="http://schemas.openxmlformats.org/markup-compatibility/2006">
    <mc:Choice Requires="x14">
      <controls>
        <mc:AlternateContent xmlns:mc="http://schemas.openxmlformats.org/markup-compatibility/2006">
          <mc:Choice Requires="x14">
            <control shapeId="174081" r:id="rId6" name="Spinner 1">
              <controlPr defaultSize="0" autoPict="0">
                <anchor moveWithCells="1">
                  <from>
                    <xdr:col>8</xdr:col>
                    <xdr:colOff>9525</xdr:colOff>
                    <xdr:row>8</xdr:row>
                    <xdr:rowOff>95250</xdr:rowOff>
                  </from>
                  <to>
                    <xdr:col>8</xdr:col>
                    <xdr:colOff>152400</xdr:colOff>
                    <xdr:row>10</xdr:row>
                    <xdr:rowOff>47625</xdr:rowOff>
                  </to>
                </anchor>
              </controlPr>
            </control>
          </mc:Choice>
        </mc:AlternateContent>
        <mc:AlternateContent xmlns:mc="http://schemas.openxmlformats.org/markup-compatibility/2006">
          <mc:Choice Requires="x14">
            <control shapeId="174082" r:id="rId7" name="Button 2">
              <controlPr defaultSize="0" print="0" autoFill="0" autoPict="0" macro="[0]!ClearRep">
                <anchor moveWithCells="1">
                  <from>
                    <xdr:col>6</xdr:col>
                    <xdr:colOff>85725</xdr:colOff>
                    <xdr:row>14</xdr:row>
                    <xdr:rowOff>123825</xdr:rowOff>
                  </from>
                  <to>
                    <xdr:col>7</xdr:col>
                    <xdr:colOff>247650</xdr:colOff>
                    <xdr:row>17</xdr:row>
                    <xdr:rowOff>57150</xdr:rowOff>
                  </to>
                </anchor>
              </controlPr>
            </control>
          </mc:Choice>
        </mc:AlternateContent>
        <mc:AlternateContent xmlns:mc="http://schemas.openxmlformats.org/markup-compatibility/2006">
          <mc:Choice Requires="x14">
            <control shapeId="174083" r:id="rId8" name="Button 3">
              <controlPr defaultSize="0" print="0" autoFill="0" autoPict="0" macro="[0]!RepSingSample">
                <anchor moveWithCells="1">
                  <from>
                    <xdr:col>8</xdr:col>
                    <xdr:colOff>190500</xdr:colOff>
                    <xdr:row>14</xdr:row>
                    <xdr:rowOff>123825</xdr:rowOff>
                  </from>
                  <to>
                    <xdr:col>11</xdr:col>
                    <xdr:colOff>209550</xdr:colOff>
                    <xdr:row>17</xdr:row>
                    <xdr:rowOff>57150</xdr:rowOff>
                  </to>
                </anchor>
              </controlPr>
            </control>
          </mc:Choice>
        </mc:AlternateContent>
        <mc:AlternateContent xmlns:mc="http://schemas.openxmlformats.org/markup-compatibility/2006">
          <mc:Choice Requires="x14">
            <control shapeId="174085" r:id="rId9" name="Spinner 5">
              <controlPr defaultSize="0" autoPict="0">
                <anchor moveWithCells="1">
                  <from>
                    <xdr:col>9</xdr:col>
                    <xdr:colOff>9525</xdr:colOff>
                    <xdr:row>4</xdr:row>
                    <xdr:rowOff>95250</xdr:rowOff>
                  </from>
                  <to>
                    <xdr:col>10</xdr:col>
                    <xdr:colOff>47625</xdr:colOff>
                    <xdr:row>6</xdr:row>
                    <xdr:rowOff>47625</xdr:rowOff>
                  </to>
                </anchor>
              </controlPr>
            </control>
          </mc:Choice>
        </mc:AlternateContent>
        <mc:AlternateContent xmlns:mc="http://schemas.openxmlformats.org/markup-compatibility/2006">
          <mc:Choice Requires="x14">
            <control shapeId="174086" r:id="rId10" name="Spinner 6">
              <controlPr defaultSize="0" autoPict="0">
                <anchor moveWithCells="1" sizeWithCells="1">
                  <from>
                    <xdr:col>14</xdr:col>
                    <xdr:colOff>9525</xdr:colOff>
                    <xdr:row>4</xdr:row>
                    <xdr:rowOff>95250</xdr:rowOff>
                  </from>
                  <to>
                    <xdr:col>14</xdr:col>
                    <xdr:colOff>152400</xdr:colOff>
                    <xdr:row>6</xdr:row>
                    <xdr:rowOff>57150</xdr:rowOff>
                  </to>
                </anchor>
              </controlPr>
            </control>
          </mc:Choice>
        </mc:AlternateContent>
        <mc:AlternateContent xmlns:mc="http://schemas.openxmlformats.org/markup-compatibility/2006">
          <mc:Choice Requires="x14">
            <control shapeId="174087" r:id="rId11" name="Check Box 7">
              <controlPr defaultSize="0" autoFill="0" autoLine="0" autoPict="0">
                <anchor moveWithCells="1">
                  <from>
                    <xdr:col>8</xdr:col>
                    <xdr:colOff>276225</xdr:colOff>
                    <xdr:row>6</xdr:row>
                    <xdr:rowOff>95250</xdr:rowOff>
                  </from>
                  <to>
                    <xdr:col>10</xdr:col>
                    <xdr:colOff>57150</xdr:colOff>
                    <xdr:row>8</xdr:row>
                    <xdr:rowOff>9525</xdr:rowOff>
                  </to>
                </anchor>
              </controlPr>
            </control>
          </mc:Choice>
        </mc:AlternateContent>
        <mc:AlternateContent xmlns:mc="http://schemas.openxmlformats.org/markup-compatibility/2006">
          <mc:Choice Requires="x14">
            <control shapeId="174091" r:id="rId12" name="Spinner 11">
              <controlPr defaultSize="0" autoPict="0">
                <anchor moveWithCells="1">
                  <from>
                    <xdr:col>9</xdr:col>
                    <xdr:colOff>9525</xdr:colOff>
                    <xdr:row>11</xdr:row>
                    <xdr:rowOff>95250</xdr:rowOff>
                  </from>
                  <to>
                    <xdr:col>10</xdr:col>
                    <xdr:colOff>47625</xdr:colOff>
                    <xdr:row>13</xdr:row>
                    <xdr:rowOff>57150</xdr:rowOff>
                  </to>
                </anchor>
              </controlPr>
            </control>
          </mc:Choice>
        </mc:AlternateContent>
        <mc:AlternateContent xmlns:mc="http://schemas.openxmlformats.org/markup-compatibility/2006">
          <mc:Choice Requires="x14">
            <control shapeId="174092" r:id="rId13" name="Check Box 12">
              <controlPr defaultSize="0" autoFill="0" autoLine="0" autoPict="0">
                <anchor moveWithCells="1">
                  <from>
                    <xdr:col>11</xdr:col>
                    <xdr:colOff>76200</xdr:colOff>
                    <xdr:row>9</xdr:row>
                    <xdr:rowOff>104775</xdr:rowOff>
                  </from>
                  <to>
                    <xdr:col>12</xdr:col>
                    <xdr:colOff>47625</xdr:colOff>
                    <xdr:row>11</xdr:row>
                    <xdr:rowOff>19050</xdr:rowOff>
                  </to>
                </anchor>
              </controlPr>
            </control>
          </mc:Choice>
        </mc:AlternateContent>
        <mc:AlternateContent xmlns:mc="http://schemas.openxmlformats.org/markup-compatibility/2006">
          <mc:Choice Requires="x14">
            <control shapeId="174093" r:id="rId14" name="Check Box 13">
              <controlPr defaultSize="0" autoFill="0" autoLine="0" autoPict="0">
                <anchor moveWithCells="1">
                  <from>
                    <xdr:col>8</xdr:col>
                    <xdr:colOff>276225</xdr:colOff>
                    <xdr:row>8</xdr:row>
                    <xdr:rowOff>104775</xdr:rowOff>
                  </from>
                  <to>
                    <xdr:col>10</xdr:col>
                    <xdr:colOff>57150</xdr:colOff>
                    <xdr:row>10</xdr:row>
                    <xdr:rowOff>19050</xdr:rowOff>
                  </to>
                </anchor>
              </controlPr>
            </control>
          </mc:Choice>
        </mc:AlternateContent>
        <mc:AlternateContent xmlns:mc="http://schemas.openxmlformats.org/markup-compatibility/2006">
          <mc:Choice Requires="x14">
            <control shapeId="174094" r:id="rId15" name="Check Box 14">
              <controlPr defaultSize="0" autoFill="0" autoLine="0" autoPict="0">
                <anchor moveWithCells="1">
                  <from>
                    <xdr:col>8</xdr:col>
                    <xdr:colOff>0</xdr:colOff>
                    <xdr:row>18</xdr:row>
                    <xdr:rowOff>104775</xdr:rowOff>
                  </from>
                  <to>
                    <xdr:col>8</xdr:col>
                    <xdr:colOff>238125</xdr:colOff>
                    <xdr:row>20</xdr:row>
                    <xdr:rowOff>19050</xdr:rowOff>
                  </to>
                </anchor>
              </controlPr>
            </control>
          </mc:Choice>
        </mc:AlternateContent>
        <mc:AlternateContent xmlns:mc="http://schemas.openxmlformats.org/markup-compatibility/2006">
          <mc:Choice Requires="x14">
            <control shapeId="174106" r:id="rId16" name="Button 26">
              <controlPr defaultSize="0" print="0" autoFill="0" autoPict="0" macro="[0]!RepSingReset">
                <anchor moveWithCells="1">
                  <from>
                    <xdr:col>12</xdr:col>
                    <xdr:colOff>180975</xdr:colOff>
                    <xdr:row>14</xdr:row>
                    <xdr:rowOff>123825</xdr:rowOff>
                  </from>
                  <to>
                    <xdr:col>14</xdr:col>
                    <xdr:colOff>180975</xdr:colOff>
                    <xdr:row>17</xdr:row>
                    <xdr:rowOff>57150</xdr:rowOff>
                  </to>
                </anchor>
              </controlPr>
            </control>
          </mc:Choice>
        </mc:AlternateContent>
        <mc:AlternateContent xmlns:mc="http://schemas.openxmlformats.org/markup-compatibility/2006">
          <mc:Choice Requires="x14">
            <control shapeId="174107" r:id="rId17" name="Spinner 27">
              <controlPr defaultSize="0" autoPict="0">
                <anchor moveWithCells="1">
                  <from>
                    <xdr:col>15</xdr:col>
                    <xdr:colOff>85725</xdr:colOff>
                    <xdr:row>16</xdr:row>
                    <xdr:rowOff>9525</xdr:rowOff>
                  </from>
                  <to>
                    <xdr:col>16</xdr:col>
                    <xdr:colOff>57150</xdr:colOff>
                    <xdr:row>17</xdr:row>
                    <xdr:rowOff>28575</xdr:rowOff>
                  </to>
                </anchor>
              </controlPr>
            </control>
          </mc:Choice>
        </mc:AlternateContent>
        <mc:AlternateContent xmlns:mc="http://schemas.openxmlformats.org/markup-compatibility/2006">
          <mc:Choice Requires="x14">
            <control shapeId="174108" r:id="rId18" name="Check Box 28">
              <controlPr defaultSize="0" autoFill="0" autoLine="0" autoPict="0">
                <anchor moveWithCells="1">
                  <from>
                    <xdr:col>11</xdr:col>
                    <xdr:colOff>104775</xdr:colOff>
                    <xdr:row>12</xdr:row>
                    <xdr:rowOff>95250</xdr:rowOff>
                  </from>
                  <to>
                    <xdr:col>12</xdr:col>
                    <xdr:colOff>76200</xdr:colOff>
                    <xdr:row>14</xdr:row>
                    <xdr:rowOff>9525</xdr:rowOff>
                  </to>
                </anchor>
              </controlPr>
            </control>
          </mc:Choice>
        </mc:AlternateContent>
        <mc:AlternateContent xmlns:mc="http://schemas.openxmlformats.org/markup-compatibility/2006">
          <mc:Choice Requires="x14">
            <control shapeId="174112" r:id="rId19" name="Spinner 32">
              <controlPr defaultSize="0" autoPict="0">
                <anchor moveWithCells="1" sizeWithCells="1">
                  <from>
                    <xdr:col>39</xdr:col>
                    <xdr:colOff>9525</xdr:colOff>
                    <xdr:row>25</xdr:row>
                    <xdr:rowOff>28575</xdr:rowOff>
                  </from>
                  <to>
                    <xdr:col>39</xdr:col>
                    <xdr:colOff>152400</xdr:colOff>
                    <xdr:row>26</xdr:row>
                    <xdr:rowOff>114300</xdr:rowOff>
                  </to>
                </anchor>
              </controlPr>
            </control>
          </mc:Choice>
        </mc:AlternateContent>
        <mc:AlternateContent xmlns:mc="http://schemas.openxmlformats.org/markup-compatibility/2006">
          <mc:Choice Requires="x14">
            <control shapeId="174113" r:id="rId20" name="Spinner 33">
              <controlPr defaultSize="0" autoPict="0">
                <anchor moveWithCells="1" sizeWithCells="1">
                  <from>
                    <xdr:col>39</xdr:col>
                    <xdr:colOff>9525</xdr:colOff>
                    <xdr:row>23</xdr:row>
                    <xdr:rowOff>19050</xdr:rowOff>
                  </from>
                  <to>
                    <xdr:col>39</xdr:col>
                    <xdr:colOff>152400</xdr:colOff>
                    <xdr:row>24</xdr:row>
                    <xdr:rowOff>104775</xdr:rowOff>
                  </to>
                </anchor>
              </controlPr>
            </control>
          </mc:Choice>
        </mc:AlternateContent>
        <mc:AlternateContent xmlns:mc="http://schemas.openxmlformats.org/markup-compatibility/2006">
          <mc:Choice Requires="x14">
            <control shapeId="174122" r:id="rId21" name="Check Box 42">
              <controlPr defaultSize="0" autoFill="0" autoLine="0" autoPict="0">
                <anchor moveWithCells="1">
                  <from>
                    <xdr:col>13</xdr:col>
                    <xdr:colOff>9525</xdr:colOff>
                    <xdr:row>10</xdr:row>
                    <xdr:rowOff>114300</xdr:rowOff>
                  </from>
                  <to>
                    <xdr:col>13</xdr:col>
                    <xdr:colOff>247650</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AJ53"/>
  <sheetViews>
    <sheetView showGridLines="0" showRowColHeaders="0" workbookViewId="0">
      <selection activeCell="G7" sqref="G7"/>
    </sheetView>
  </sheetViews>
  <sheetFormatPr defaultRowHeight="12" x14ac:dyDescent="0.2"/>
  <cols>
    <col min="1" max="1" width="8.140625" style="310" customWidth="1"/>
    <col min="2" max="2" width="7.28515625" style="310" customWidth="1"/>
    <col min="3" max="3" width="5.7109375" style="310" customWidth="1"/>
    <col min="4" max="4" width="2.28515625" style="310" customWidth="1"/>
    <col min="5" max="5" width="1.42578125" style="310" customWidth="1"/>
    <col min="6" max="6" width="10" style="310" customWidth="1"/>
    <col min="7" max="7" width="5.7109375" style="310" customWidth="1"/>
    <col min="8" max="8" width="8.5703125" style="310" customWidth="1"/>
    <col min="9" max="9" width="10" style="310" customWidth="1"/>
    <col min="10" max="10" width="1.42578125" style="310" customWidth="1"/>
    <col min="11" max="11" width="5.7109375" style="310" customWidth="1"/>
    <col min="12" max="12" width="4.28515625" style="310" customWidth="1"/>
    <col min="13" max="38" width="8" style="310" customWidth="1"/>
    <col min="39" max="16384" width="9.140625" style="310"/>
  </cols>
  <sheetData>
    <row r="1" spans="2:32" x14ac:dyDescent="0.2">
      <c r="B1" s="502" t="s">
        <v>1001</v>
      </c>
    </row>
    <row r="2" spans="2:32" ht="15" customHeight="1" x14ac:dyDescent="0.3">
      <c r="B2" s="310" t="s">
        <v>1002</v>
      </c>
    </row>
    <row r="3" spans="2:32" x14ac:dyDescent="0.2">
      <c r="B3" s="310" t="s">
        <v>1003</v>
      </c>
    </row>
    <row r="4" spans="2:32" x14ac:dyDescent="0.2">
      <c r="C4" s="310" t="s">
        <v>1004</v>
      </c>
    </row>
    <row r="6" spans="2:32" x14ac:dyDescent="0.2">
      <c r="B6" s="703" t="s">
        <v>1036</v>
      </c>
      <c r="C6" s="704"/>
      <c r="D6" s="704"/>
      <c r="E6" s="704"/>
      <c r="F6" s="704"/>
      <c r="G6" s="704"/>
      <c r="H6" s="704"/>
      <c r="I6" s="704"/>
      <c r="J6" s="704"/>
      <c r="K6" s="704"/>
      <c r="L6" s="704"/>
      <c r="M6" s="705"/>
    </row>
    <row r="7" spans="2:32" x14ac:dyDescent="0.2">
      <c r="B7" s="706"/>
      <c r="C7" s="707"/>
      <c r="D7" s="707"/>
      <c r="E7" s="707"/>
      <c r="F7" s="707"/>
      <c r="G7" s="714">
        <v>80</v>
      </c>
      <c r="H7" s="708" t="s">
        <v>1035</v>
      </c>
      <c r="I7" s="707"/>
      <c r="J7" s="707"/>
      <c r="K7" s="707"/>
      <c r="L7" s="707"/>
      <c r="M7" s="709"/>
    </row>
    <row r="8" spans="2:32" x14ac:dyDescent="0.2">
      <c r="B8" s="710"/>
      <c r="C8" s="711"/>
      <c r="D8" s="711"/>
      <c r="E8" s="711"/>
      <c r="F8" s="711"/>
      <c r="G8" s="711"/>
      <c r="H8" s="711"/>
      <c r="I8" s="711"/>
      <c r="J8" s="711"/>
      <c r="K8" s="711"/>
      <c r="L8" s="711"/>
      <c r="M8" s="712"/>
    </row>
    <row r="9" spans="2:32" s="713" customFormat="1" x14ac:dyDescent="0.2">
      <c r="B9" s="510"/>
      <c r="C9" s="510"/>
      <c r="D9" s="510"/>
      <c r="E9" s="510"/>
      <c r="F9" s="510"/>
      <c r="G9" s="510"/>
      <c r="H9" s="510"/>
      <c r="I9" s="510"/>
      <c r="J9" s="510"/>
      <c r="K9" s="510"/>
      <c r="L9" s="510"/>
      <c r="M9" s="510"/>
    </row>
    <row r="11" spans="2:32" ht="14.25" x14ac:dyDescent="0.25">
      <c r="B11" s="503" t="s">
        <v>1005</v>
      </c>
      <c r="C11" s="504"/>
      <c r="D11" s="504"/>
      <c r="E11" s="504"/>
      <c r="F11" s="504"/>
      <c r="G11" s="504"/>
      <c r="H11" s="504"/>
      <c r="I11" s="504"/>
      <c r="J11" s="504"/>
      <c r="K11" s="504"/>
      <c r="L11" s="504"/>
      <c r="M11" s="505"/>
      <c r="AE11" s="310" t="s">
        <v>1152</v>
      </c>
    </row>
    <row r="12" spans="2:32" ht="15.75" customHeight="1" x14ac:dyDescent="0.2">
      <c r="B12" s="506"/>
      <c r="C12" s="984"/>
      <c r="D12" s="507"/>
      <c r="E12" s="507"/>
      <c r="F12" s="507"/>
      <c r="G12" s="507"/>
      <c r="H12" s="507"/>
      <c r="I12" s="507"/>
      <c r="J12" s="507"/>
      <c r="K12" s="507"/>
      <c r="L12" s="507"/>
      <c r="M12" s="508"/>
      <c r="AE12" s="983">
        <v>300</v>
      </c>
    </row>
    <row r="13" spans="2:32" ht="13.5" x14ac:dyDescent="0.25">
      <c r="B13" s="506"/>
      <c r="C13" s="507"/>
      <c r="D13" s="507"/>
      <c r="E13" s="507"/>
      <c r="F13" s="509" t="s">
        <v>1006</v>
      </c>
      <c r="G13" s="889">
        <f>AE12/1000</f>
        <v>0.3</v>
      </c>
      <c r="H13" s="507" t="s">
        <v>847</v>
      </c>
      <c r="I13" s="507"/>
      <c r="J13" s="507"/>
      <c r="K13" s="507"/>
      <c r="L13" s="507"/>
      <c r="M13" s="508"/>
      <c r="Q13" s="510"/>
      <c r="R13" s="510"/>
    </row>
    <row r="14" spans="2:32" ht="12.75" x14ac:dyDescent="0.2">
      <c r="B14" s="511"/>
      <c r="C14" s="512"/>
      <c r="D14" s="512"/>
      <c r="E14" s="513"/>
      <c r="F14" s="513"/>
      <c r="G14" s="513"/>
      <c r="H14" s="513"/>
      <c r="I14" s="513"/>
      <c r="J14" s="513"/>
      <c r="K14" s="513"/>
      <c r="L14" s="513"/>
      <c r="M14" s="514"/>
      <c r="AE14" s="515" t="s">
        <v>848</v>
      </c>
      <c r="AF14" s="516"/>
    </row>
    <row r="15" spans="2:32" x14ac:dyDescent="0.2">
      <c r="B15" s="510"/>
      <c r="C15" s="384"/>
      <c r="D15" s="517"/>
      <c r="E15" s="510"/>
      <c r="F15" s="510"/>
      <c r="G15" s="510"/>
      <c r="H15" s="510"/>
      <c r="I15" s="510"/>
      <c r="J15" s="510"/>
      <c r="K15" s="510"/>
      <c r="L15" s="510"/>
      <c r="M15" s="510"/>
      <c r="AE15" s="518"/>
      <c r="AF15" s="519">
        <f>MAX(ABS(fninezathree),ABS(fninezafour),ABS(fninezbthree),ABS(fninezbfour),ABS(fninezaone),ABS(fninezatwo))</f>
        <v>3.3850255931611173E-4</v>
      </c>
    </row>
    <row r="16" spans="2:32" x14ac:dyDescent="0.2">
      <c r="C16" s="363"/>
      <c r="D16" s="520"/>
    </row>
    <row r="17" spans="2:36" x14ac:dyDescent="0.2">
      <c r="B17" s="521" t="s">
        <v>1007</v>
      </c>
      <c r="C17" s="522"/>
      <c r="D17" s="522"/>
      <c r="E17" s="522"/>
      <c r="F17" s="522"/>
      <c r="G17" s="522"/>
      <c r="H17" s="522"/>
      <c r="I17" s="522"/>
      <c r="J17" s="522"/>
      <c r="K17" s="522"/>
      <c r="L17" s="522"/>
      <c r="M17" s="523"/>
      <c r="AE17" s="515" t="s">
        <v>849</v>
      </c>
      <c r="AF17" s="516"/>
      <c r="AG17" s="515" t="s">
        <v>849</v>
      </c>
      <c r="AH17" s="516"/>
      <c r="AI17" s="515" t="s">
        <v>849</v>
      </c>
      <c r="AJ17" s="516"/>
    </row>
    <row r="18" spans="2:36" x14ac:dyDescent="0.2">
      <c r="B18" s="524"/>
      <c r="C18" s="525"/>
      <c r="D18" s="525"/>
      <c r="E18" s="525"/>
      <c r="F18" s="525"/>
      <c r="G18" s="525"/>
      <c r="H18" s="525"/>
      <c r="I18" s="525"/>
      <c r="J18" s="525"/>
      <c r="K18" s="526"/>
      <c r="L18" s="526"/>
      <c r="M18" s="527"/>
      <c r="AE18" s="528">
        <f>G7</f>
        <v>80</v>
      </c>
      <c r="AF18" s="529"/>
      <c r="AG18" s="530">
        <f>(100-G7)/2</f>
        <v>10</v>
      </c>
      <c r="AH18" s="529"/>
      <c r="AI18" s="530">
        <f>100-AG18</f>
        <v>90</v>
      </c>
      <c r="AJ18" s="529"/>
    </row>
    <row r="19" spans="2:36" ht="12.75" x14ac:dyDescent="0.2">
      <c r="B19" s="531"/>
      <c r="C19" s="525"/>
      <c r="D19" s="532"/>
      <c r="E19" s="525" t="s">
        <v>850</v>
      </c>
      <c r="F19" s="525"/>
      <c r="G19" s="525"/>
      <c r="H19" s="525"/>
      <c r="I19" s="533"/>
      <c r="J19" s="526" t="s">
        <v>851</v>
      </c>
      <c r="K19" s="526"/>
      <c r="L19" s="526"/>
      <c r="M19" s="534"/>
      <c r="AE19" s="535" t="s">
        <v>852</v>
      </c>
      <c r="AF19" s="536" t="s">
        <v>853</v>
      </c>
      <c r="AG19" s="535" t="s">
        <v>852</v>
      </c>
      <c r="AH19" s="536" t="s">
        <v>853</v>
      </c>
      <c r="AI19" s="535" t="s">
        <v>852</v>
      </c>
      <c r="AJ19" s="536" t="s">
        <v>853</v>
      </c>
    </row>
    <row r="20" spans="2:36" ht="12.75" x14ac:dyDescent="0.2">
      <c r="B20" s="531"/>
      <c r="C20" s="537" t="s">
        <v>854</v>
      </c>
      <c r="D20" s="510">
        <v>0</v>
      </c>
      <c r="E20" s="538" t="s">
        <v>572</v>
      </c>
      <c r="F20" s="890">
        <v>0.56111579949491142</v>
      </c>
      <c r="G20" s="539" t="s">
        <v>855</v>
      </c>
      <c r="H20" s="537" t="s">
        <v>854</v>
      </c>
      <c r="I20" s="890">
        <v>2.1940781045144998E-3</v>
      </c>
      <c r="J20" s="538" t="s">
        <v>572</v>
      </c>
      <c r="K20" s="999">
        <v>0.78111199018439936</v>
      </c>
      <c r="L20" s="999"/>
      <c r="M20" s="540" t="s">
        <v>855</v>
      </c>
      <c r="AE20" s="541">
        <f>100*(NORMSDIST((NORMSINV(1-G13/2)-NORMSINV(1-F20))/SQRT(2)))</f>
        <v>80</v>
      </c>
      <c r="AF20" s="542">
        <f>1000000*(AE20-$AE$18)</f>
        <v>0</v>
      </c>
      <c r="AG20" s="541">
        <f>100*(NORMSDIST((NORMSINV(1-G13/2)-NORMSINV(1-I20))/SQRT(2)))</f>
        <v>9.9999999852769914</v>
      </c>
      <c r="AH20" s="542">
        <f>1000*($AG20-AG$18)</f>
        <v>-1.4723008590067366E-5</v>
      </c>
      <c r="AI20" s="541">
        <f>100*(NORMSDIST((NORMSINV(1-G13/2)-NORMSINV(1-K20))/SQRT(2)))</f>
        <v>89.999999999999986</v>
      </c>
      <c r="AJ20" s="542">
        <f>1000000*($AI20-AI$18)</f>
        <v>-1.4210854715202004E-8</v>
      </c>
    </row>
    <row r="21" spans="2:36" x14ac:dyDescent="0.2">
      <c r="B21" s="543"/>
      <c r="C21" s="544"/>
      <c r="D21" s="544"/>
      <c r="E21" s="544"/>
      <c r="F21" s="544"/>
      <c r="G21" s="544"/>
      <c r="H21" s="544"/>
      <c r="I21" s="544"/>
      <c r="J21" s="544"/>
      <c r="K21" s="544"/>
      <c r="L21" s="544"/>
      <c r="M21" s="545"/>
      <c r="AE21" s="541"/>
      <c r="AF21" s="529"/>
      <c r="AG21" s="541"/>
      <c r="AH21" s="529"/>
      <c r="AI21" s="541"/>
      <c r="AJ21" s="529"/>
    </row>
    <row r="22" spans="2:36" x14ac:dyDescent="0.2">
      <c r="AE22" s="541"/>
      <c r="AF22" s="529"/>
      <c r="AG22" s="541"/>
      <c r="AH22" s="529"/>
      <c r="AI22" s="541"/>
      <c r="AJ22" s="529"/>
    </row>
    <row r="23" spans="2:36" x14ac:dyDescent="0.2">
      <c r="AE23" s="541"/>
      <c r="AF23" s="529"/>
      <c r="AG23" s="541"/>
      <c r="AH23" s="529"/>
      <c r="AI23" s="541"/>
      <c r="AJ23" s="529"/>
    </row>
    <row r="24" spans="2:36" x14ac:dyDescent="0.2">
      <c r="B24" s="546" t="s">
        <v>1008</v>
      </c>
      <c r="C24" s="547"/>
      <c r="D24" s="547"/>
      <c r="E24" s="547"/>
      <c r="F24" s="547"/>
      <c r="G24" s="547"/>
      <c r="H24" s="547"/>
      <c r="I24" s="547"/>
      <c r="J24" s="547"/>
      <c r="K24" s="547"/>
      <c r="L24" s="547"/>
      <c r="M24" s="548"/>
      <c r="AE24" s="541"/>
      <c r="AF24" s="529"/>
      <c r="AG24" s="541"/>
      <c r="AH24" s="529"/>
      <c r="AI24" s="541"/>
      <c r="AJ24" s="529"/>
    </row>
    <row r="25" spans="2:36" x14ac:dyDescent="0.2">
      <c r="B25" s="549"/>
      <c r="C25" s="550"/>
      <c r="D25" s="550"/>
      <c r="E25" s="550"/>
      <c r="F25" s="550"/>
      <c r="G25" s="550"/>
      <c r="H25" s="550"/>
      <c r="I25" s="550"/>
      <c r="J25" s="550"/>
      <c r="K25" s="551"/>
      <c r="L25" s="551"/>
      <c r="M25" s="552"/>
      <c r="AE25" s="541"/>
      <c r="AF25" s="529"/>
      <c r="AG25" s="541"/>
      <c r="AH25" s="529"/>
      <c r="AI25" s="541"/>
      <c r="AJ25" s="529"/>
    </row>
    <row r="26" spans="2:36" ht="12.75" x14ac:dyDescent="0.2">
      <c r="B26" s="553"/>
      <c r="C26" s="550"/>
      <c r="D26" s="302"/>
      <c r="E26" s="550" t="s">
        <v>850</v>
      </c>
      <c r="F26" s="550"/>
      <c r="G26" s="550"/>
      <c r="H26" s="550"/>
      <c r="I26" s="554"/>
      <c r="J26" s="551" t="s">
        <v>851</v>
      </c>
      <c r="K26" s="551"/>
      <c r="L26" s="551"/>
      <c r="M26" s="555"/>
      <c r="AE26" s="535" t="s">
        <v>852</v>
      </c>
      <c r="AF26" s="536" t="s">
        <v>853</v>
      </c>
      <c r="AG26" s="535" t="s">
        <v>852</v>
      </c>
      <c r="AH26" s="536" t="s">
        <v>853</v>
      </c>
      <c r="AI26" s="535" t="s">
        <v>852</v>
      </c>
      <c r="AJ26" s="536" t="s">
        <v>853</v>
      </c>
    </row>
    <row r="27" spans="2:36" ht="12.75" x14ac:dyDescent="0.2">
      <c r="B27" s="553"/>
      <c r="C27" s="556" t="s">
        <v>854</v>
      </c>
      <c r="D27" s="510">
        <v>0</v>
      </c>
      <c r="E27" s="557" t="s">
        <v>572</v>
      </c>
      <c r="F27" s="890">
        <v>0.6400434586547683</v>
      </c>
      <c r="G27" s="558" t="s">
        <v>855</v>
      </c>
      <c r="H27" s="556" t="s">
        <v>854</v>
      </c>
      <c r="I27" s="890">
        <v>4.0776791919872974E-3</v>
      </c>
      <c r="J27" s="557" t="s">
        <v>572</v>
      </c>
      <c r="K27" s="999">
        <v>0.81628011287409541</v>
      </c>
      <c r="L27" s="999"/>
      <c r="M27" s="559" t="s">
        <v>855</v>
      </c>
      <c r="N27"/>
      <c r="O27"/>
      <c r="P27"/>
      <c r="Q27"/>
      <c r="R27"/>
      <c r="AE27" s="541">
        <f>100*(1-NORMSDIST((NORMSINV(1-G13/2)+NORMSINV(1-F27/2))/SQRT(2))+NORMSDIST((NORMSINV(1-G13/2)-NORMSINV(1-F27/2))/SQRT(2)))</f>
        <v>79.999999999903707</v>
      </c>
      <c r="AF27" s="542">
        <f>1000000*(AE27-$AE$18)</f>
        <v>-9.6292751550208777E-5</v>
      </c>
      <c r="AG27" s="541">
        <f>100*(1-NORMSDIST((NORMSINV(1-G13/2)+NORMSINV(1-I27/2))/SQRT(2))+NORMSDIST((NORMSINV(1-G13/2)-NORMSINV(1-I27/2))/SQRT(2)))</f>
        <v>9.999999940575977</v>
      </c>
      <c r="AH27" s="542">
        <f>1000*($AG27-AG$18)</f>
        <v>-5.9424023035603568E-5</v>
      </c>
      <c r="AI27" s="541">
        <f>100*(1-NORMSDIST((NORMSINV(1-G13/2)+NORMSINV(1-K27/2))/SQRT(2))+NORMSDIST((NORMSINV(1-G13/2)-NORMSINV(1-K27/2))/SQRT(2)))</f>
        <v>89.999999999661497</v>
      </c>
      <c r="AJ27" s="542">
        <f>1000000*($AI27-AI$18)</f>
        <v>-3.3850255931611173E-4</v>
      </c>
    </row>
    <row r="28" spans="2:36" ht="12.75" x14ac:dyDescent="0.2">
      <c r="B28" s="560"/>
      <c r="C28" s="561"/>
      <c r="D28" s="561"/>
      <c r="E28" s="561"/>
      <c r="F28" s="561"/>
      <c r="G28" s="561"/>
      <c r="H28" s="561"/>
      <c r="I28" s="561"/>
      <c r="J28" s="561"/>
      <c r="K28" s="561"/>
      <c r="L28" s="561"/>
      <c r="M28" s="562"/>
      <c r="N28"/>
      <c r="O28"/>
      <c r="P28"/>
      <c r="Q28"/>
      <c r="R28"/>
      <c r="AE28" s="518"/>
      <c r="AF28" s="563"/>
      <c r="AG28" s="518"/>
      <c r="AH28" s="563"/>
      <c r="AI28" s="518"/>
      <c r="AJ28" s="563"/>
    </row>
    <row r="53" spans="22:22" x14ac:dyDescent="0.2">
      <c r="V53" s="310">
        <v>171</v>
      </c>
    </row>
  </sheetData>
  <sheetProtection sheet="1" objects="1" scenarios="1" selectLockedCells="1" selectUnlockedCells="1"/>
  <mergeCells count="2">
    <mergeCell ref="K20:L20"/>
    <mergeCell ref="K27:L27"/>
  </mergeCells>
  <phoneticPr fontId="2" type="noConversion"/>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croll Bar 1">
              <controlPr defaultSize="0" autoPict="0" macro="[0]!calcpintervals">
                <anchor moveWithCells="1">
                  <from>
                    <xdr:col>2</xdr:col>
                    <xdr:colOff>19050</xdr:colOff>
                    <xdr:row>11</xdr:row>
                    <xdr:rowOff>28575</xdr:rowOff>
                  </from>
                  <to>
                    <xdr:col>10</xdr:col>
                    <xdr:colOff>28575</xdr:colOff>
                    <xdr:row>11</xdr:row>
                    <xdr:rowOff>190500</xdr:rowOff>
                  </to>
                </anchor>
              </controlPr>
            </control>
          </mc:Choice>
        </mc:AlternateContent>
        <mc:AlternateContent xmlns:mc="http://schemas.openxmlformats.org/markup-compatibility/2006">
          <mc:Choice Requires="x14">
            <control shapeId="176143" r:id="rId5" name="Spinner 15">
              <controlPr defaultSize="0" autoPict="0" macro="[0]!calcpintervals">
                <anchor moveWithCells="1" sizeWithCells="1">
                  <from>
                    <xdr:col>7</xdr:col>
                    <xdr:colOff>142875</xdr:colOff>
                    <xdr:row>5</xdr:row>
                    <xdr:rowOff>95250</xdr:rowOff>
                  </from>
                  <to>
                    <xdr:col>7</xdr:col>
                    <xdr:colOff>314325</xdr:colOff>
                    <xdr:row>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V10091"/>
  <sheetViews>
    <sheetView showGridLines="0" showRowColHeaders="0" tabSelected="1" topLeftCell="M1" zoomScale="130" zoomScaleNormal="130" workbookViewId="0">
      <selection activeCell="A4" sqref="A4:I28"/>
    </sheetView>
  </sheetViews>
  <sheetFormatPr defaultColWidth="8.85546875" defaultRowHeight="11.25" customHeight="1" x14ac:dyDescent="0.2"/>
  <cols>
    <col min="1" max="12" width="2.85546875" style="19" hidden="1" customWidth="1"/>
    <col min="13" max="13" width="0.5703125" style="19" customWidth="1"/>
    <col min="14" max="14" width="2.85546875" style="19" customWidth="1"/>
    <col min="15" max="15" width="6.5703125" style="19" customWidth="1"/>
    <col min="16" max="16" width="2.140625" style="19" customWidth="1"/>
    <col min="17" max="17" width="2.42578125" style="19" customWidth="1"/>
    <col min="18" max="18" width="1.42578125" style="19" customWidth="1"/>
    <col min="19" max="19" width="2" style="19" customWidth="1"/>
    <col min="20" max="21" width="5.7109375" style="19" customWidth="1"/>
    <col min="22" max="22" width="1.42578125" style="19" customWidth="1"/>
    <col min="23" max="23" width="0.85546875" style="19" customWidth="1"/>
    <col min="24" max="24" width="1.42578125" style="19" customWidth="1"/>
    <col min="25" max="25" width="1.7109375" style="19" customWidth="1"/>
    <col min="26" max="26" width="2.42578125" style="19" customWidth="1"/>
    <col min="27" max="27" width="6" style="19" customWidth="1"/>
    <col min="28" max="28" width="5.7109375" style="19" customWidth="1"/>
    <col min="29" max="29" width="1.42578125" style="19" customWidth="1"/>
    <col min="30" max="30" width="4.7109375" style="19" customWidth="1"/>
    <col min="31" max="31" width="6.85546875" style="19" customWidth="1"/>
    <col min="32" max="32" width="4.7109375" style="19" customWidth="1"/>
    <col min="33" max="33" width="6.140625" style="410" customWidth="1"/>
    <col min="34" max="37" width="6.140625" style="19" customWidth="1"/>
    <col min="38" max="40" width="5.7109375" style="19" customWidth="1"/>
    <col min="41" max="42" width="5" style="19" customWidth="1"/>
    <col min="43" max="43" width="5.7109375" style="19" customWidth="1"/>
    <col min="44" max="44" width="4.5703125" style="19" customWidth="1"/>
    <col min="45" max="45" width="6" style="19" customWidth="1"/>
    <col min="46" max="47" width="2.140625" style="19" customWidth="1"/>
    <col min="48" max="48" width="2.85546875" style="19" customWidth="1"/>
    <col min="49" max="49" width="7.5703125" style="19" customWidth="1"/>
    <col min="50" max="66" width="8.85546875" style="19" customWidth="1"/>
    <col min="67" max="67" width="14.28515625" style="19" customWidth="1"/>
    <col min="68" max="68" width="12.140625" style="19" customWidth="1"/>
    <col min="69" max="69" width="10.5703125" style="19" customWidth="1"/>
    <col min="70" max="70" width="8" style="19" customWidth="1"/>
    <col min="71" max="71" width="10.85546875" style="19" customWidth="1"/>
    <col min="72" max="73" width="8.5703125" style="19" customWidth="1"/>
    <col min="74" max="74" width="7.42578125" style="19" customWidth="1"/>
    <col min="75" max="75" width="6.42578125" style="19" customWidth="1"/>
    <col min="76" max="95" width="7.140625" style="19" customWidth="1"/>
    <col min="96" max="16384" width="8.85546875" style="19"/>
  </cols>
  <sheetData>
    <row r="1" spans="1:256" ht="11.25" customHeight="1" x14ac:dyDescent="0.2">
      <c r="P1" s="564" t="s">
        <v>1009</v>
      </c>
      <c r="S1" s="565"/>
      <c r="T1" s="565"/>
      <c r="U1" s="565"/>
      <c r="V1" s="565"/>
      <c r="W1" s="565"/>
      <c r="Y1" s="566"/>
      <c r="AG1" s="409">
        <f>($AB$3+$AB$5+$AB$7+$U$10+$AA$86+$AA$89+$AA$92+$L$16)/10000</f>
        <v>0.41726999999999997</v>
      </c>
      <c r="AH1" s="19">
        <f t="shared" ref="AH1:AW1" si="0">$AG$1</f>
        <v>0.41726999999999997</v>
      </c>
      <c r="AI1" s="19">
        <f t="shared" si="0"/>
        <v>0.41726999999999997</v>
      </c>
      <c r="AJ1" s="19">
        <f t="shared" si="0"/>
        <v>0.41726999999999997</v>
      </c>
      <c r="AK1" s="19">
        <f t="shared" si="0"/>
        <v>0.41726999999999997</v>
      </c>
      <c r="AL1" s="19">
        <f t="shared" si="0"/>
        <v>0.41726999999999997</v>
      </c>
      <c r="AM1" s="19">
        <f t="shared" si="0"/>
        <v>0.41726999999999997</v>
      </c>
      <c r="AN1" s="19">
        <f t="shared" si="0"/>
        <v>0.41726999999999997</v>
      </c>
      <c r="AO1" s="19">
        <f t="shared" si="0"/>
        <v>0.41726999999999997</v>
      </c>
      <c r="AP1" s="19">
        <f t="shared" si="0"/>
        <v>0.41726999999999997</v>
      </c>
      <c r="AQ1" s="19">
        <f t="shared" si="0"/>
        <v>0.41726999999999997</v>
      </c>
      <c r="AR1" s="19">
        <f t="shared" si="0"/>
        <v>0.41726999999999997</v>
      </c>
      <c r="AS1" s="19">
        <f t="shared" si="0"/>
        <v>0.41726999999999997</v>
      </c>
      <c r="AT1" s="19">
        <f t="shared" si="0"/>
        <v>0.41726999999999997</v>
      </c>
      <c r="AU1" s="392">
        <f t="shared" si="0"/>
        <v>0.41726999999999997</v>
      </c>
      <c r="AV1" s="392">
        <f t="shared" si="0"/>
        <v>0.41726999999999997</v>
      </c>
      <c r="AW1" s="411">
        <f t="shared" si="0"/>
        <v>0.41726999999999997</v>
      </c>
      <c r="AX1" s="157"/>
      <c r="BA1" s="157"/>
      <c r="BB1" s="157"/>
      <c r="BC1" s="157"/>
      <c r="BD1" s="157"/>
      <c r="BE1" s="157"/>
      <c r="BF1" s="157"/>
      <c r="BG1" s="157"/>
      <c r="BH1" s="157"/>
      <c r="BI1" s="157"/>
      <c r="BJ1" s="157"/>
      <c r="BK1"/>
      <c r="BL1"/>
      <c r="BM1"/>
      <c r="BN1"/>
      <c r="BO1" s="426" t="s">
        <v>856</v>
      </c>
      <c r="BP1" s="399">
        <v>0.5</v>
      </c>
      <c r="BQ1" s="157" t="s">
        <v>1010</v>
      </c>
      <c r="BR1" s="417" t="b">
        <v>0</v>
      </c>
      <c r="BS1" s="157" t="s">
        <v>857</v>
      </c>
      <c r="BT1" s="417" t="b">
        <v>1</v>
      </c>
      <c r="BU1" s="157"/>
      <c r="BV1" s="417"/>
    </row>
    <row r="2" spans="1:256" ht="11.25" customHeight="1" x14ac:dyDescent="0.2">
      <c r="A2" s="417"/>
      <c r="B2" s="296" t="s">
        <v>858</v>
      </c>
      <c r="C2" s="296" t="s">
        <v>859</v>
      </c>
      <c r="D2" s="296" t="s">
        <v>860</v>
      </c>
      <c r="E2" s="296" t="s">
        <v>861</v>
      </c>
      <c r="F2" s="296" t="s">
        <v>862</v>
      </c>
      <c r="G2" s="296" t="s">
        <v>551</v>
      </c>
      <c r="H2" s="567" t="s">
        <v>1011</v>
      </c>
      <c r="I2" s="144" t="s">
        <v>863</v>
      </c>
      <c r="J2" s="568" t="b">
        <v>0</v>
      </c>
      <c r="K2" s="72" t="b">
        <f>AND(BR1,BR5)</f>
        <v>0</v>
      </c>
      <c r="P2" s="19" t="s">
        <v>1012</v>
      </c>
      <c r="S2" s="393"/>
      <c r="T2" s="393"/>
      <c r="U2" s="393"/>
      <c r="V2" s="393"/>
      <c r="W2" s="393"/>
      <c r="AD2" s="474"/>
      <c r="AE2" s="474"/>
      <c r="AF2" s="569" t="s">
        <v>864</v>
      </c>
      <c r="AG2" s="409">
        <f t="shared" ref="AG2:AG40" si="1">$AG$1</f>
        <v>0.41726999999999997</v>
      </c>
      <c r="AT2" s="157"/>
      <c r="AU2" s="417"/>
      <c r="AW2" s="411">
        <f t="shared" ref="AW2:AW40" si="2">$AG$1</f>
        <v>0.41726999999999997</v>
      </c>
      <c r="BA2" s="417"/>
      <c r="BB2" s="417"/>
      <c r="BC2" s="417"/>
      <c r="BD2" s="417"/>
      <c r="BE2" s="417"/>
      <c r="BF2" s="417"/>
      <c r="BG2" s="417"/>
      <c r="BH2" s="417"/>
      <c r="BI2" s="417"/>
      <c r="BJ2" s="417"/>
      <c r="BK2" s="417"/>
      <c r="BL2" s="417"/>
      <c r="BM2" s="417"/>
      <c r="BN2" s="417"/>
      <c r="BO2" s="157" t="s">
        <v>865</v>
      </c>
      <c r="BP2" s="19">
        <f>NORMDIST(0,0,$AB$7,FALSE)</f>
        <v>1.9947114020071637E-2</v>
      </c>
      <c r="BQ2" s="157" t="s">
        <v>866</v>
      </c>
      <c r="BR2" s="395" t="b">
        <v>1</v>
      </c>
      <c r="BS2" s="157" t="s">
        <v>867</v>
      </c>
      <c r="BT2" s="417" t="b">
        <v>0</v>
      </c>
    </row>
    <row r="3" spans="1:256" ht="11.25" customHeight="1" x14ac:dyDescent="0.3">
      <c r="A3" s="570">
        <f>A4+IF(OR(F4-F6=2,E4-E6=2,D4-D6=2,C4-C6=2,B4-B6=2),1,0)</f>
        <v>3</v>
      </c>
      <c r="B3" s="570">
        <f>B4+IF(H3&lt;0.001,1,0)</f>
        <v>6</v>
      </c>
      <c r="C3" s="570">
        <f>C4+IF(AND(H3&gt;=0.001,H3&lt;0.01),1,0)</f>
        <v>6</v>
      </c>
      <c r="D3" s="570">
        <f>D4+IF(AND(H3&gt;=0.01,H3&lt;0.05),1,0)</f>
        <v>7</v>
      </c>
      <c r="E3" s="570">
        <f>E4+IF(AND(H3&gt;=0.05,H3&lt;0.1),1,0)</f>
        <v>3</v>
      </c>
      <c r="F3" s="19">
        <f>F4+IF(H3&gt;=0.1,1,0)</f>
        <v>8</v>
      </c>
      <c r="G3" s="571">
        <f>BR14</f>
        <v>12.610679354604194</v>
      </c>
      <c r="H3" s="571">
        <f>BS14</f>
        <v>1.1664464415122922E-2</v>
      </c>
      <c r="I3" s="19">
        <f>I4+1</f>
        <v>30</v>
      </c>
      <c r="J3" s="428"/>
      <c r="K3" s="72"/>
      <c r="L3" s="296"/>
      <c r="P3" s="572">
        <v>1</v>
      </c>
      <c r="Q3" s="439"/>
      <c r="R3" s="439"/>
      <c r="S3" s="439"/>
      <c r="T3" s="439"/>
      <c r="U3" s="573" t="s">
        <v>868</v>
      </c>
      <c r="V3" s="439"/>
      <c r="W3" s="439"/>
      <c r="X3" s="439"/>
      <c r="Y3" s="439"/>
      <c r="Z3" s="439"/>
      <c r="AA3" s="574" t="s">
        <v>1013</v>
      </c>
      <c r="AB3" s="575">
        <f>BY8/10</f>
        <v>50</v>
      </c>
      <c r="AC3" s="441"/>
      <c r="AD3" s="474"/>
      <c r="AE3" s="474"/>
      <c r="AF3" s="474"/>
      <c r="AG3" s="409">
        <f t="shared" si="1"/>
        <v>0.41726999999999997</v>
      </c>
      <c r="AV3" s="417"/>
      <c r="AW3" s="411">
        <f t="shared" si="2"/>
        <v>0.41726999999999997</v>
      </c>
      <c r="AY3" s="399"/>
      <c r="BA3" s="399"/>
      <c r="BB3" s="399"/>
      <c r="BC3" s="399"/>
      <c r="BD3" s="399"/>
      <c r="BE3" s="399"/>
      <c r="BF3" s="399"/>
      <c r="BG3" s="399"/>
      <c r="BH3" s="399"/>
      <c r="BI3" s="399"/>
      <c r="BJ3" s="399"/>
      <c r="BK3" s="399"/>
      <c r="BL3" s="399"/>
      <c r="BM3" s="399"/>
      <c r="BN3" s="399"/>
      <c r="BO3" s="394" t="s">
        <v>481</v>
      </c>
      <c r="BP3" s="576">
        <v>95</v>
      </c>
      <c r="BQ3" s="157" t="s">
        <v>869</v>
      </c>
      <c r="BR3" s="571" t="b">
        <f>BR2</f>
        <v>1</v>
      </c>
      <c r="BS3" s="157" t="s">
        <v>870</v>
      </c>
      <c r="BT3" s="417" t="b">
        <v>1</v>
      </c>
      <c r="BV3" s="417" t="s">
        <v>871</v>
      </c>
      <c r="CG3" s="577"/>
      <c r="CI3" s="577"/>
      <c r="CK3" s="577"/>
    </row>
    <row r="4" spans="1:256" ht="11.25" customHeight="1" x14ac:dyDescent="0.2">
      <c r="A4" s="417">
        <v>3</v>
      </c>
      <c r="B4" s="417">
        <v>6</v>
      </c>
      <c r="C4" s="417">
        <v>6</v>
      </c>
      <c r="D4" s="417">
        <v>6</v>
      </c>
      <c r="E4" s="417">
        <v>3</v>
      </c>
      <c r="F4" s="417">
        <v>8</v>
      </c>
      <c r="G4" s="417">
        <v>12.610679354604194</v>
      </c>
      <c r="H4" s="417">
        <v>1.1664464415122922E-2</v>
      </c>
      <c r="I4" s="417">
        <v>29</v>
      </c>
      <c r="J4" s="428">
        <v>50</v>
      </c>
      <c r="K4" s="72">
        <f>AB3</f>
        <v>50</v>
      </c>
      <c r="L4" s="578" t="s">
        <v>1014</v>
      </c>
      <c r="N4" s="399"/>
      <c r="P4" s="579" t="s">
        <v>872</v>
      </c>
      <c r="Q4" s="443"/>
      <c r="R4" s="443"/>
      <c r="S4" s="443"/>
      <c r="T4" s="443"/>
      <c r="U4" s="444"/>
      <c r="V4" s="443"/>
      <c r="W4" s="443"/>
      <c r="X4" s="443"/>
      <c r="Y4" s="443"/>
      <c r="Z4" s="443"/>
      <c r="AA4" s="443"/>
      <c r="AB4" s="443"/>
      <c r="AC4" s="445"/>
      <c r="AD4" s="474"/>
      <c r="AE4" s="474"/>
      <c r="AF4" s="580"/>
      <c r="AG4" s="409">
        <f t="shared" si="1"/>
        <v>0.41726999999999997</v>
      </c>
      <c r="AW4" s="411">
        <f t="shared" si="2"/>
        <v>0.41726999999999997</v>
      </c>
      <c r="BA4" s="399"/>
      <c r="BB4" s="399"/>
      <c r="BC4" s="399"/>
      <c r="BD4" s="399"/>
      <c r="BE4" s="399"/>
      <c r="BF4" s="399"/>
      <c r="BG4" s="399"/>
      <c r="BH4" s="399"/>
      <c r="BI4" s="399"/>
      <c r="BJ4" s="399"/>
      <c r="BK4" s="399"/>
      <c r="BL4" s="399"/>
      <c r="BM4" s="399"/>
      <c r="BN4" s="399"/>
      <c r="BO4" s="157" t="s">
        <v>1015</v>
      </c>
      <c r="BP4" s="417" t="b">
        <v>0</v>
      </c>
      <c r="BQ4" s="157" t="s">
        <v>873</v>
      </c>
      <c r="BR4" s="417" t="b">
        <v>0</v>
      </c>
      <c r="BS4" s="157" t="s">
        <v>1079</v>
      </c>
      <c r="BT4" s="417" t="b">
        <v>1</v>
      </c>
      <c r="BV4" s="296" t="s">
        <v>633</v>
      </c>
      <c r="BW4" s="296" t="s">
        <v>632</v>
      </c>
    </row>
    <row r="5" spans="1:256" ht="11.25" customHeight="1" x14ac:dyDescent="0.3">
      <c r="A5" s="417">
        <v>3</v>
      </c>
      <c r="B5" s="417">
        <v>6</v>
      </c>
      <c r="C5" s="417">
        <v>6</v>
      </c>
      <c r="D5" s="417">
        <v>5</v>
      </c>
      <c r="E5" s="417">
        <v>3</v>
      </c>
      <c r="F5" s="417">
        <v>8</v>
      </c>
      <c r="G5" s="417">
        <v>0.56618759334425306</v>
      </c>
      <c r="H5" s="417">
        <v>0.90984225135264873</v>
      </c>
      <c r="I5" s="417">
        <v>28</v>
      </c>
      <c r="J5" s="428">
        <v>20</v>
      </c>
      <c r="K5" s="72">
        <f>AB7</f>
        <v>20</v>
      </c>
      <c r="L5" s="581" t="s">
        <v>874</v>
      </c>
      <c r="P5" s="442"/>
      <c r="Q5" s="443"/>
      <c r="R5" s="443"/>
      <c r="S5" s="443"/>
      <c r="T5" s="443"/>
      <c r="U5" s="582" t="s">
        <v>875</v>
      </c>
      <c r="V5" s="443"/>
      <c r="W5" s="443"/>
      <c r="X5" s="443"/>
      <c r="Y5" s="443"/>
      <c r="Z5" s="443"/>
      <c r="AA5" s="583" t="s">
        <v>1016</v>
      </c>
      <c r="AB5" s="584">
        <f>BY9/10</f>
        <v>60.7</v>
      </c>
      <c r="AC5" s="585"/>
      <c r="AD5" s="586"/>
      <c r="AE5" s="586"/>
      <c r="AF5" s="586"/>
      <c r="AG5" s="587">
        <f t="shared" si="1"/>
        <v>0.41726999999999997</v>
      </c>
      <c r="AW5" s="411">
        <f t="shared" si="2"/>
        <v>0.41726999999999997</v>
      </c>
      <c r="BA5" s="399"/>
      <c r="BB5" s="399"/>
      <c r="BC5" s="399"/>
      <c r="BD5" s="399"/>
      <c r="BE5" s="399"/>
      <c r="BF5" s="399"/>
      <c r="BG5" s="399"/>
      <c r="BH5" s="399"/>
      <c r="BI5" s="399"/>
      <c r="BJ5" s="399"/>
      <c r="BK5" s="399"/>
      <c r="BL5" s="399"/>
      <c r="BM5" s="399"/>
      <c r="BN5" s="399"/>
      <c r="BO5" s="588" t="s">
        <v>876</v>
      </c>
      <c r="BP5" s="589" t="b">
        <f>BR2</f>
        <v>1</v>
      </c>
      <c r="BQ5" s="588" t="s">
        <v>877</v>
      </c>
      <c r="BR5" s="590" t="b">
        <f>AND(BT5,BR7)</f>
        <v>1</v>
      </c>
      <c r="BS5" s="588" t="s">
        <v>878</v>
      </c>
      <c r="BT5" s="576" t="b">
        <v>1</v>
      </c>
      <c r="BU5" s="588" t="s">
        <v>858</v>
      </c>
      <c r="BV5" s="576" t="e">
        <f>IF(OR(NOT(BT2),ISNA(BX15)),NA(),IF(BY15="*** ",1,NA()))</f>
        <v>#N/A</v>
      </c>
      <c r="BW5" s="19">
        <v>1</v>
      </c>
    </row>
    <row r="6" spans="1:256" ht="11.25" customHeight="1" x14ac:dyDescent="0.2">
      <c r="A6" s="417">
        <v>3</v>
      </c>
      <c r="B6" s="417">
        <v>6</v>
      </c>
      <c r="C6" s="417">
        <v>6</v>
      </c>
      <c r="D6" s="417">
        <v>5</v>
      </c>
      <c r="E6" s="417">
        <v>3</v>
      </c>
      <c r="F6" s="417">
        <v>7</v>
      </c>
      <c r="G6" s="417">
        <v>21.103784979081212</v>
      </c>
      <c r="H6" s="417">
        <v>2.4348329743073549E-5</v>
      </c>
      <c r="I6" s="417">
        <v>27</v>
      </c>
      <c r="J6" s="428">
        <v>60.7</v>
      </c>
      <c r="K6" s="443">
        <f>AB5</f>
        <v>60.7</v>
      </c>
      <c r="L6" s="578" t="s">
        <v>1017</v>
      </c>
      <c r="N6" s="474"/>
      <c r="O6" s="474"/>
      <c r="P6" s="442" t="s">
        <v>879</v>
      </c>
      <c r="Q6" s="443"/>
      <c r="R6" s="443"/>
      <c r="S6" s="443"/>
      <c r="T6" s="443"/>
      <c r="U6" s="443"/>
      <c r="V6" s="443"/>
      <c r="W6" s="443"/>
      <c r="X6" s="443"/>
      <c r="Y6" s="443"/>
      <c r="Z6" s="443"/>
      <c r="AA6" s="443"/>
      <c r="AB6" s="443"/>
      <c r="AC6" s="445"/>
      <c r="AD6" s="591" t="s">
        <v>545</v>
      </c>
      <c r="AE6" s="474"/>
      <c r="AF6" s="474"/>
      <c r="AG6" s="587">
        <f t="shared" si="1"/>
        <v>0.41726999999999997</v>
      </c>
      <c r="AV6" s="399"/>
      <c r="AW6" s="411">
        <f t="shared" si="2"/>
        <v>0.41726999999999997</v>
      </c>
      <c r="AZ6" s="399"/>
      <c r="BA6" s="399"/>
      <c r="BB6" s="399"/>
      <c r="BC6" s="399"/>
      <c r="BD6" s="399"/>
      <c r="BE6" s="399"/>
      <c r="BF6" s="399"/>
      <c r="BG6" s="399"/>
      <c r="BH6" s="399"/>
      <c r="BI6" s="399"/>
      <c r="BJ6" s="399"/>
      <c r="BK6" s="399"/>
      <c r="BL6" s="399"/>
      <c r="BM6" s="399"/>
      <c r="BN6" s="399"/>
      <c r="BO6" s="157" t="s">
        <v>880</v>
      </c>
      <c r="BP6" s="571" t="b">
        <f>AND(BT3,BP4,BR5)</f>
        <v>0</v>
      </c>
      <c r="BQ6" s="588" t="s">
        <v>881</v>
      </c>
      <c r="BR6" s="589" t="b">
        <f>AND(J2=K2,J3=K3,J4=K4,J5=K5,J6=K6,J7=K7,J10=K10,J11=K11,J12=K12)</f>
        <v>1</v>
      </c>
      <c r="BU6" s="157" t="s">
        <v>859</v>
      </c>
      <c r="BV6" s="19" t="e">
        <f>IF(OR(NOT(BT2),ISNA(BX15)),NA(),IF(BY15="** ",1,NA()))</f>
        <v>#N/A</v>
      </c>
      <c r="BW6" s="19">
        <f>BW5</f>
        <v>1</v>
      </c>
    </row>
    <row r="7" spans="1:256" ht="11.25" customHeight="1" x14ac:dyDescent="0.2">
      <c r="A7" s="417">
        <v>3</v>
      </c>
      <c r="B7" s="417">
        <v>5</v>
      </c>
      <c r="C7" s="417">
        <v>6</v>
      </c>
      <c r="D7" s="417">
        <v>5</v>
      </c>
      <c r="E7" s="417">
        <v>3</v>
      </c>
      <c r="F7" s="417">
        <v>7</v>
      </c>
      <c r="G7" s="417">
        <v>11.885662577099829</v>
      </c>
      <c r="H7" s="417">
        <v>1.7447818695804918E-2</v>
      </c>
      <c r="I7" s="417">
        <v>26</v>
      </c>
      <c r="J7" s="428">
        <v>32</v>
      </c>
      <c r="K7" s="72">
        <f>U10</f>
        <v>32</v>
      </c>
      <c r="L7" s="592" t="s">
        <v>882</v>
      </c>
      <c r="N7" s="474"/>
      <c r="P7" s="442"/>
      <c r="Q7" s="443"/>
      <c r="R7" s="443"/>
      <c r="S7" s="443"/>
      <c r="T7" s="443"/>
      <c r="U7" s="443"/>
      <c r="V7" s="443"/>
      <c r="W7" s="443"/>
      <c r="X7" s="443"/>
      <c r="Y7" s="443"/>
      <c r="Z7" s="443"/>
      <c r="AA7" s="583" t="s">
        <v>874</v>
      </c>
      <c r="AB7" s="584">
        <f>BY10/10</f>
        <v>20</v>
      </c>
      <c r="AC7" s="593"/>
      <c r="AD7" s="160"/>
      <c r="AE7" s="395"/>
      <c r="AF7" s="594"/>
      <c r="AG7" s="587">
        <f t="shared" si="1"/>
        <v>0.41726999999999997</v>
      </c>
      <c r="AW7" s="411">
        <f t="shared" si="2"/>
        <v>0.41726999999999997</v>
      </c>
      <c r="AZ7" s="399"/>
      <c r="BA7" s="399"/>
      <c r="BB7" s="399"/>
      <c r="BC7" s="399"/>
      <c r="BD7" s="399"/>
      <c r="BE7" s="399"/>
      <c r="BF7" s="399"/>
      <c r="BG7" s="399"/>
      <c r="BH7" s="399"/>
      <c r="BI7" s="399"/>
      <c r="BJ7" s="399"/>
      <c r="BK7" s="399"/>
      <c r="BL7" s="399"/>
      <c r="BM7" s="399"/>
      <c r="BN7" s="399"/>
      <c r="BO7" s="157" t="s">
        <v>883</v>
      </c>
      <c r="BP7" s="417" t="b">
        <v>1</v>
      </c>
      <c r="BQ7" s="157" t="s">
        <v>884</v>
      </c>
      <c r="BR7" s="19" t="b">
        <f>AND(J4=K4,J5=K5,J6=K6,J7=K7)</f>
        <v>1</v>
      </c>
      <c r="BS7" s="19" t="s">
        <v>885</v>
      </c>
      <c r="BT7" s="19">
        <f>4*(20-BT8)</f>
        <v>0</v>
      </c>
      <c r="BU7" s="157" t="s">
        <v>860</v>
      </c>
      <c r="BV7" s="19" t="e">
        <f>IF(OR(NOT(BT2),ISNA(BX15)),NA(),IF(BY15="* ",1,NA()))</f>
        <v>#N/A</v>
      </c>
      <c r="BW7" s="19">
        <f>BW6</f>
        <v>1</v>
      </c>
      <c r="BY7" s="19" t="s">
        <v>1153</v>
      </c>
    </row>
    <row r="8" spans="1:256" ht="12.75" customHeight="1" x14ac:dyDescent="0.2">
      <c r="A8" s="417">
        <v>3</v>
      </c>
      <c r="B8" s="417">
        <v>5</v>
      </c>
      <c r="C8" s="417">
        <v>6</v>
      </c>
      <c r="D8" s="417">
        <v>4</v>
      </c>
      <c r="E8" s="417">
        <v>3</v>
      </c>
      <c r="F8" s="417">
        <v>7</v>
      </c>
      <c r="G8" s="417">
        <v>8.3092540982974867</v>
      </c>
      <c r="H8" s="417">
        <v>9.6542689676747395E-2</v>
      </c>
      <c r="I8" s="417">
        <v>25</v>
      </c>
      <c r="J8" s="417">
        <v>4.3462400828907399E-2</v>
      </c>
      <c r="K8" s="19">
        <f ca="1">RAND()</f>
        <v>0.83021164520424029</v>
      </c>
      <c r="L8" s="399" t="s">
        <v>886</v>
      </c>
      <c r="N8" s="474"/>
      <c r="O8" s="474"/>
      <c r="P8" s="449"/>
      <c r="Q8" s="450"/>
      <c r="R8" s="451"/>
      <c r="S8" s="451" t="s">
        <v>1018</v>
      </c>
      <c r="T8" s="745">
        <f>(AB5-AB3)/AB7</f>
        <v>0.53500000000000014</v>
      </c>
      <c r="U8" s="450"/>
      <c r="V8" s="595"/>
      <c r="W8" s="595"/>
      <c r="X8" s="595"/>
      <c r="Y8" s="595"/>
      <c r="Z8" s="450"/>
      <c r="AA8" s="450"/>
      <c r="AB8" s="450"/>
      <c r="AC8" s="452"/>
      <c r="AD8" s="596">
        <f>BT8</f>
        <v>20</v>
      </c>
      <c r="AF8" s="399"/>
      <c r="AG8" s="587">
        <f t="shared" si="1"/>
        <v>0.41726999999999997</v>
      </c>
      <c r="AV8" s="143"/>
      <c r="AW8" s="411">
        <f t="shared" si="2"/>
        <v>0.41726999999999997</v>
      </c>
      <c r="AY8" s="399"/>
      <c r="AZ8" s="399"/>
      <c r="BA8" s="399"/>
      <c r="BB8" s="399"/>
      <c r="BC8" s="399"/>
      <c r="BD8" s="399"/>
      <c r="BE8" s="399"/>
      <c r="BF8" s="399"/>
      <c r="BG8" s="399"/>
      <c r="BH8" s="399"/>
      <c r="BI8" s="399"/>
      <c r="BJ8" s="399"/>
      <c r="BK8" s="399"/>
      <c r="BL8" s="399"/>
      <c r="BM8" s="399"/>
      <c r="BN8" s="399"/>
      <c r="BO8" s="588" t="s">
        <v>887</v>
      </c>
      <c r="BP8" s="417" t="b">
        <v>0</v>
      </c>
      <c r="BQ8" s="415"/>
      <c r="BR8" s="416" t="s">
        <v>888</v>
      </c>
      <c r="BS8" s="157" t="s">
        <v>889</v>
      </c>
      <c r="BT8" s="417">
        <v>20</v>
      </c>
      <c r="BU8" s="394" t="s">
        <v>861</v>
      </c>
      <c r="BV8" s="19" t="e">
        <f>IF(OR(NOT(BT2),ISNA(BX15)),NA(),IF(BY15="? ",1,NA()))</f>
        <v>#N/A</v>
      </c>
      <c r="BW8" s="19">
        <f>BW7</f>
        <v>1</v>
      </c>
      <c r="BY8" s="985">
        <v>500</v>
      </c>
    </row>
    <row r="9" spans="1:256" ht="11.25" customHeight="1" x14ac:dyDescent="0.2">
      <c r="A9" s="417">
        <v>3</v>
      </c>
      <c r="B9" s="417">
        <v>5</v>
      </c>
      <c r="C9" s="417">
        <v>6</v>
      </c>
      <c r="D9" s="417">
        <v>4</v>
      </c>
      <c r="E9" s="417">
        <v>2</v>
      </c>
      <c r="F9" s="417">
        <v>7</v>
      </c>
      <c r="G9" s="417">
        <v>10.734013004064707</v>
      </c>
      <c r="H9" s="417">
        <v>3.1809000205018201E-2</v>
      </c>
      <c r="I9" s="417">
        <v>24</v>
      </c>
      <c r="J9" s="417">
        <v>0.44207468773870362</v>
      </c>
      <c r="K9" s="19">
        <f ca="1">RAND()</f>
        <v>0.93196340193463278</v>
      </c>
      <c r="L9" s="399" t="s">
        <v>890</v>
      </c>
      <c r="N9" s="597">
        <v>3</v>
      </c>
      <c r="O9" s="598" t="s">
        <v>891</v>
      </c>
      <c r="P9" s="599"/>
      <c r="Q9" s="600"/>
      <c r="R9" s="600"/>
      <c r="S9" s="600"/>
      <c r="T9" s="600"/>
      <c r="U9" s="600"/>
      <c r="V9" s="600"/>
      <c r="W9" s="600"/>
      <c r="X9" s="600"/>
      <c r="Y9" s="600"/>
      <c r="Z9" s="599"/>
      <c r="AA9" s="599"/>
      <c r="AB9" s="600"/>
      <c r="AC9" s="601"/>
      <c r="AD9" s="570"/>
      <c r="AE9" s="570"/>
      <c r="AF9" s="602"/>
      <c r="AG9" s="587">
        <f t="shared" si="1"/>
        <v>0.41726999999999997</v>
      </c>
      <c r="AW9" s="411">
        <f t="shared" si="2"/>
        <v>0.41726999999999997</v>
      </c>
      <c r="BO9" s="157" t="s">
        <v>892</v>
      </c>
      <c r="BP9" s="571" t="b">
        <v>1</v>
      </c>
      <c r="BQ9" s="603" t="s">
        <v>893</v>
      </c>
      <c r="BR9" s="423">
        <v>0.05</v>
      </c>
      <c r="BS9" s="157" t="s">
        <v>894</v>
      </c>
      <c r="BT9" s="417" t="b">
        <v>0</v>
      </c>
      <c r="BU9" s="157" t="s">
        <v>862</v>
      </c>
      <c r="BV9" s="417" t="e">
        <f>IF(OR(NOT(BT2),ISNA(BX15)),NA(),IF(BY15="",1,NA()))</f>
        <v>#N/A</v>
      </c>
      <c r="BW9" s="19">
        <f>BW8</f>
        <v>1</v>
      </c>
      <c r="BY9" s="986">
        <v>607</v>
      </c>
    </row>
    <row r="10" spans="1:256" ht="12.75" customHeight="1" x14ac:dyDescent="0.2">
      <c r="A10" s="604">
        <v>3</v>
      </c>
      <c r="B10" s="604">
        <v>5</v>
      </c>
      <c r="C10" s="604">
        <v>6</v>
      </c>
      <c r="D10" s="604">
        <v>3</v>
      </c>
      <c r="E10" s="604">
        <v>2</v>
      </c>
      <c r="F10" s="417">
        <v>7</v>
      </c>
      <c r="G10" s="605">
        <v>20.184132558385997</v>
      </c>
      <c r="H10" s="417">
        <v>5.4179103288420905E-5</v>
      </c>
      <c r="I10" s="417">
        <v>23</v>
      </c>
      <c r="J10" s="428"/>
      <c r="K10" s="72"/>
      <c r="L10" s="606" t="s">
        <v>1019</v>
      </c>
      <c r="N10" s="607"/>
      <c r="O10" s="608" t="s">
        <v>895</v>
      </c>
      <c r="P10" s="609"/>
      <c r="Q10" s="609"/>
      <c r="R10" s="609"/>
      <c r="S10" s="609"/>
      <c r="T10" s="610" t="s">
        <v>780</v>
      </c>
      <c r="U10" s="611">
        <v>32</v>
      </c>
      <c r="V10" s="609"/>
      <c r="W10" s="609"/>
      <c r="X10" s="609"/>
      <c r="Y10" s="609"/>
      <c r="Z10" s="609"/>
      <c r="AA10" s="612" t="s">
        <v>896</v>
      </c>
      <c r="AB10" s="891">
        <f>1-NORMSDIST(BR11+BR10)+NORMSDIST(BR11-BR10)</f>
        <v>0.57145851377893131</v>
      </c>
      <c r="AC10" s="613"/>
      <c r="AD10" s="570"/>
      <c r="AE10" s="474"/>
      <c r="AF10" s="425"/>
      <c r="AG10" s="587">
        <f t="shared" si="1"/>
        <v>0.41726999999999997</v>
      </c>
      <c r="AW10" s="411">
        <f t="shared" si="2"/>
        <v>0.41726999999999997</v>
      </c>
      <c r="AZ10"/>
      <c r="BI10" s="824"/>
      <c r="BJ10" s="825"/>
      <c r="BK10" s="826"/>
      <c r="BO10" s="157" t="s">
        <v>897</v>
      </c>
      <c r="BP10" s="19" t="b">
        <f>AND($I$4&gt;0,$BR$7,BP11)</f>
        <v>1</v>
      </c>
      <c r="BQ10" s="424" t="s">
        <v>1020</v>
      </c>
      <c r="BR10" s="423">
        <f>NORMSINV(1-BR9/2)</f>
        <v>1.9599639845400536</v>
      </c>
      <c r="BS10" s="588" t="s">
        <v>898</v>
      </c>
      <c r="BT10" s="474">
        <f>IF(BT9,IF(ISNA(BX15),"",IF(BZ15&lt;0.001,1,IF(BZ15&lt;0.01,2,IF(BZ15&lt;0.05,3,IF(BZ15&lt;0.1,4,5))))),0)</f>
        <v>0</v>
      </c>
      <c r="BU10" s="588"/>
      <c r="BV10" s="417"/>
      <c r="BY10" s="986">
        <v>200</v>
      </c>
    </row>
    <row r="11" spans="1:256" ht="11.25" customHeight="1" x14ac:dyDescent="0.2">
      <c r="A11" s="417">
        <v>3</v>
      </c>
      <c r="B11" s="417">
        <v>4</v>
      </c>
      <c r="C11" s="417">
        <v>6</v>
      </c>
      <c r="D11" s="417">
        <v>3</v>
      </c>
      <c r="E11" s="417">
        <v>2</v>
      </c>
      <c r="F11" s="417">
        <v>7</v>
      </c>
      <c r="G11" s="417">
        <v>5.7418904789774032</v>
      </c>
      <c r="H11" s="417">
        <v>0.25081251215872991</v>
      </c>
      <c r="I11" s="417">
        <v>22</v>
      </c>
      <c r="J11" s="428" t="s">
        <v>871</v>
      </c>
      <c r="K11" s="72" t="str">
        <f>BV3</f>
        <v>Casino display</v>
      </c>
      <c r="L11" s="399"/>
      <c r="N11" s="614"/>
      <c r="O11" s="615" t="s">
        <v>899</v>
      </c>
      <c r="P11" s="615"/>
      <c r="Q11" s="615"/>
      <c r="R11" s="616"/>
      <c r="S11" s="615"/>
      <c r="T11" s="615"/>
      <c r="U11" s="615"/>
      <c r="V11" s="615"/>
      <c r="W11" s="615"/>
      <c r="X11" s="615"/>
      <c r="Y11" s="615"/>
      <c r="Z11" s="616" t="s">
        <v>900</v>
      </c>
      <c r="AA11" s="617">
        <f>IF(AND($BR$7,I4&lt;&gt;""),I4,"")</f>
        <v>29</v>
      </c>
      <c r="AB11" s="615"/>
      <c r="AC11" s="618"/>
      <c r="AD11" s="474"/>
      <c r="AE11" s="474"/>
      <c r="AF11" s="425"/>
      <c r="AG11" s="619">
        <f t="shared" si="1"/>
        <v>0.41726999999999997</v>
      </c>
      <c r="AW11" s="411">
        <f t="shared" si="2"/>
        <v>0.41726999999999997</v>
      </c>
      <c r="BI11" s="827" t="s">
        <v>1080</v>
      </c>
      <c r="BJ11" s="294"/>
      <c r="BK11" s="328"/>
      <c r="BO11" s="157" t="s">
        <v>901</v>
      </c>
      <c r="BP11" s="417" t="b">
        <v>1</v>
      </c>
      <c r="BQ11" s="433" t="s">
        <v>1021</v>
      </c>
      <c r="BR11" s="432">
        <f>T8*SQRT(K7/2)</f>
        <v>2.1400000000000006</v>
      </c>
      <c r="BU11" s="157"/>
      <c r="BV11" s="157"/>
      <c r="BY11" s="19" t="s">
        <v>902</v>
      </c>
      <c r="CK11" s="620" t="s">
        <v>903</v>
      </c>
    </row>
    <row r="12" spans="1:256" ht="11.25" customHeight="1" x14ac:dyDescent="0.2">
      <c r="A12" s="417">
        <v>3</v>
      </c>
      <c r="B12" s="417">
        <v>4</v>
      </c>
      <c r="C12" s="417">
        <v>6</v>
      </c>
      <c r="D12" s="417">
        <v>3</v>
      </c>
      <c r="E12" s="417">
        <v>2</v>
      </c>
      <c r="F12" s="417">
        <v>6</v>
      </c>
      <c r="G12" s="417">
        <v>24.601626271460525</v>
      </c>
      <c r="H12" s="417">
        <v>8.6400510412865117E-7</v>
      </c>
      <c r="I12" s="417">
        <v>21</v>
      </c>
      <c r="J12" s="428">
        <v>0</v>
      </c>
      <c r="K12" s="72">
        <f>BW11</f>
        <v>0</v>
      </c>
      <c r="L12" s="399"/>
      <c r="N12" s="621">
        <v>4</v>
      </c>
      <c r="O12" s="622" t="s">
        <v>1022</v>
      </c>
      <c r="P12" s="458"/>
      <c r="Q12" s="458"/>
      <c r="R12" s="458"/>
      <c r="S12" s="458"/>
      <c r="T12" s="623" t="s">
        <v>1023</v>
      </c>
      <c r="U12" s="469"/>
      <c r="V12" s="469"/>
      <c r="W12" s="469"/>
      <c r="X12" s="469"/>
      <c r="Y12" s="469"/>
      <c r="Z12" s="469"/>
      <c r="AA12" s="458"/>
      <c r="AB12" s="458"/>
      <c r="AC12" s="459"/>
      <c r="AD12" s="474"/>
      <c r="AE12" s="624" t="str">
        <f>IF(BY12="","",BY12)</f>
        <v/>
      </c>
      <c r="AF12" s="474"/>
      <c r="AG12" s="625">
        <f t="shared" si="1"/>
        <v>0.41726999999999997</v>
      </c>
      <c r="AW12" s="411">
        <f t="shared" si="2"/>
        <v>0.41726999999999997</v>
      </c>
      <c r="BI12" s="827" t="s">
        <v>1081</v>
      </c>
      <c r="BJ12" s="294"/>
      <c r="BK12" s="328"/>
      <c r="BO12" s="157" t="s">
        <v>904</v>
      </c>
      <c r="BP12" s="19" t="b">
        <f>NOT(BP10)</f>
        <v>0</v>
      </c>
      <c r="BQ12" s="157" t="s">
        <v>905</v>
      </c>
      <c r="BR12" s="19">
        <f>IF(BP5,BU48,K4)</f>
        <v>50.132995426615409</v>
      </c>
      <c r="BS12" s="626"/>
      <c r="BY12" s="19" t="str">
        <f>IF(OR(NOT(BT2),ISNA(BX15)),"",IF(BZ15&lt;0.001,"*** ",IF(BZ15&lt;0.01,"** ",IF(BZ15&lt;0.05,"* ",IF(BZ15&lt;0.1,"? ","&gt;.10")))))</f>
        <v/>
      </c>
      <c r="CE12" s="19">
        <f>CA13-7.2</f>
        <v>2.8999999999999995</v>
      </c>
      <c r="CL12" s="401">
        <v>9</v>
      </c>
    </row>
    <row r="13" spans="1:256" ht="11.25" customHeight="1" x14ac:dyDescent="0.3">
      <c r="A13" s="417">
        <v>2</v>
      </c>
      <c r="B13" s="417">
        <v>3</v>
      </c>
      <c r="C13" s="417">
        <v>6</v>
      </c>
      <c r="D13" s="417">
        <v>3</v>
      </c>
      <c r="E13" s="417">
        <v>2</v>
      </c>
      <c r="F13" s="417">
        <v>6</v>
      </c>
      <c r="G13" s="417">
        <v>4.0137228708527033</v>
      </c>
      <c r="H13" s="417">
        <v>0.42212238370135458</v>
      </c>
      <c r="I13" s="417">
        <v>20</v>
      </c>
      <c r="J13" s="296"/>
      <c r="L13" s="399"/>
      <c r="N13" s="467"/>
      <c r="O13" s="623" t="s">
        <v>906</v>
      </c>
      <c r="P13" s="627"/>
      <c r="Q13" s="469"/>
      <c r="R13" s="469"/>
      <c r="S13" s="469"/>
      <c r="T13" s="469"/>
      <c r="U13" s="470"/>
      <c r="V13" s="623" t="s">
        <v>1024</v>
      </c>
      <c r="W13" s="470"/>
      <c r="X13" s="470"/>
      <c r="Y13" s="470"/>
      <c r="Z13" s="470"/>
      <c r="AA13" s="469"/>
      <c r="AB13" s="469"/>
      <c r="AC13" s="471"/>
      <c r="AD13" s="474"/>
      <c r="AE13" s="474"/>
      <c r="AF13" s="474"/>
      <c r="AG13" s="625">
        <f t="shared" si="1"/>
        <v>0.41726999999999997</v>
      </c>
      <c r="AR13" s="417"/>
      <c r="AW13" s="411">
        <f t="shared" si="2"/>
        <v>0.41726999999999997</v>
      </c>
      <c r="AX13" s="399"/>
      <c r="AY13" s="399"/>
      <c r="BA13" s="399"/>
      <c r="BB13" s="399"/>
      <c r="BC13" s="399"/>
      <c r="BD13" s="399"/>
      <c r="BE13" s="399"/>
      <c r="BF13" s="399"/>
      <c r="BG13" s="399"/>
      <c r="BH13" s="399"/>
      <c r="BI13" s="828"/>
      <c r="BJ13" s="829"/>
      <c r="BK13" s="830"/>
      <c r="BL13" s="399"/>
      <c r="BM13" s="399"/>
      <c r="BN13" s="399"/>
      <c r="BO13" s="464"/>
      <c r="BP13" s="464" t="s">
        <v>907</v>
      </c>
      <c r="BQ13" s="464"/>
      <c r="BR13" s="628" t="s">
        <v>908</v>
      </c>
      <c r="BS13" s="629"/>
      <c r="BT13" s="19">
        <v>13</v>
      </c>
      <c r="BU13"/>
      <c r="BV13" s="628" t="s">
        <v>908</v>
      </c>
      <c r="CA13" s="19">
        <v>10.1</v>
      </c>
      <c r="CB13" s="401">
        <v>8</v>
      </c>
      <c r="CC13" s="19">
        <v>14.8</v>
      </c>
      <c r="CD13" s="401"/>
      <c r="CE13" s="474" t="s">
        <v>909</v>
      </c>
      <c r="CF13" s="401"/>
      <c r="CG13" s="401"/>
      <c r="CH13" s="401"/>
      <c r="CI13" s="401"/>
      <c r="CJ13" s="401"/>
      <c r="CK13" s="296">
        <v>900</v>
      </c>
      <c r="CL13" s="19">
        <v>1.1000000000000001</v>
      </c>
      <c r="CM13" s="401">
        <v>700</v>
      </c>
      <c r="CN13" s="401"/>
      <c r="CO13" s="401">
        <v>500</v>
      </c>
      <c r="CP13" s="401"/>
      <c r="CQ13" s="401">
        <v>300</v>
      </c>
      <c r="CR13" s="401"/>
      <c r="CS13" s="401">
        <v>100</v>
      </c>
      <c r="CT13" s="401"/>
      <c r="CU13" s="401"/>
      <c r="CV13" s="401"/>
      <c r="CW13" s="401"/>
      <c r="CX13" s="401"/>
      <c r="CY13" s="401"/>
      <c r="CZ13" s="401"/>
      <c r="DA13" s="401"/>
      <c r="DB13" s="401"/>
      <c r="DC13" s="401"/>
      <c r="DD13" s="401"/>
      <c r="DE13" s="401"/>
      <c r="DF13" s="401"/>
      <c r="DG13" s="401"/>
      <c r="DH13" s="401"/>
      <c r="DI13" s="401"/>
      <c r="DJ13" s="401"/>
      <c r="DK13" s="401"/>
      <c r="DL13" s="401"/>
      <c r="DM13" s="401"/>
      <c r="DN13" s="401"/>
      <c r="DO13" s="401"/>
      <c r="DP13" s="401"/>
      <c r="DQ13" s="401"/>
      <c r="DR13" s="401"/>
      <c r="DS13" s="401"/>
      <c r="DT13" s="401"/>
      <c r="DU13" s="401"/>
      <c r="DV13" s="401"/>
      <c r="DW13" s="401"/>
      <c r="DX13" s="401"/>
      <c r="DY13" s="401"/>
      <c r="DZ13" s="401"/>
      <c r="EA13" s="401"/>
      <c r="EB13" s="401"/>
      <c r="EC13" s="401"/>
      <c r="ED13" s="401"/>
      <c r="EE13" s="401"/>
      <c r="EF13" s="401"/>
      <c r="EG13" s="401"/>
      <c r="EH13" s="401"/>
      <c r="EI13" s="401"/>
      <c r="EJ13" s="401"/>
      <c r="EK13" s="401"/>
      <c r="EL13" s="401"/>
      <c r="EM13" s="401"/>
      <c r="EN13" s="401"/>
      <c r="EO13" s="401"/>
      <c r="EP13" s="401"/>
      <c r="EQ13" s="401"/>
      <c r="ER13" s="401"/>
      <c r="ES13" s="401"/>
      <c r="ET13" s="401"/>
      <c r="EU13" s="401"/>
      <c r="EV13" s="401"/>
      <c r="EW13" s="401"/>
      <c r="EX13" s="401"/>
      <c r="EY13" s="401"/>
      <c r="EZ13" s="401"/>
      <c r="FA13" s="401"/>
      <c r="FB13" s="401"/>
      <c r="FC13" s="401"/>
      <c r="FD13" s="401"/>
      <c r="FE13" s="401"/>
      <c r="FF13" s="401"/>
      <c r="FG13" s="401"/>
      <c r="FH13" s="401"/>
      <c r="FI13" s="401"/>
      <c r="FJ13" s="401"/>
      <c r="FK13" s="401"/>
      <c r="FL13" s="401"/>
      <c r="FM13" s="401"/>
      <c r="FN13" s="401"/>
      <c r="FO13" s="401"/>
      <c r="FP13" s="401"/>
      <c r="FQ13" s="401"/>
      <c r="FR13" s="399"/>
      <c r="FS13" s="399"/>
      <c r="FT13" s="399"/>
      <c r="FU13" s="399"/>
      <c r="FV13" s="399"/>
      <c r="FW13" s="399"/>
      <c r="FX13" s="399"/>
      <c r="FY13" s="399"/>
      <c r="FZ13" s="399"/>
      <c r="GA13" s="399"/>
      <c r="GB13" s="399"/>
      <c r="GC13" s="399"/>
      <c r="GD13" s="399"/>
      <c r="GE13" s="399"/>
      <c r="GF13" s="399"/>
      <c r="GG13" s="399"/>
      <c r="GH13" s="399"/>
      <c r="GI13" s="399"/>
      <c r="GJ13" s="399"/>
      <c r="GK13" s="399"/>
      <c r="GL13" s="399"/>
      <c r="GM13" s="399"/>
      <c r="GN13" s="399"/>
      <c r="GO13" s="399"/>
      <c r="GP13" s="399"/>
      <c r="GQ13" s="399"/>
      <c r="GR13" s="399"/>
      <c r="GS13" s="399"/>
      <c r="GT13" s="399"/>
      <c r="GU13" s="399"/>
      <c r="GV13" s="399"/>
      <c r="GW13" s="399"/>
      <c r="GX13" s="399"/>
      <c r="GY13" s="399"/>
      <c r="GZ13" s="399"/>
      <c r="HA13" s="399"/>
      <c r="HB13" s="399"/>
      <c r="HC13" s="399"/>
      <c r="HD13" s="399"/>
      <c r="HE13" s="399"/>
      <c r="HF13" s="399"/>
      <c r="HG13" s="399"/>
      <c r="HH13" s="399"/>
      <c r="HI13" s="399"/>
      <c r="HJ13" s="399"/>
      <c r="HK13" s="399"/>
      <c r="HL13" s="399"/>
      <c r="HM13" s="399"/>
      <c r="HN13" s="399"/>
      <c r="HO13" s="399"/>
      <c r="HP13" s="399"/>
      <c r="HQ13" s="399"/>
      <c r="HR13" s="399"/>
      <c r="HS13" s="399"/>
      <c r="HT13" s="399"/>
      <c r="HU13" s="399"/>
      <c r="HV13" s="399"/>
      <c r="HW13" s="399"/>
      <c r="HX13" s="399"/>
      <c r="HY13" s="399"/>
      <c r="HZ13" s="399"/>
      <c r="IA13" s="399"/>
      <c r="IB13" s="399"/>
      <c r="IC13" s="399"/>
      <c r="ID13" s="399"/>
      <c r="IE13" s="399"/>
      <c r="IF13" s="399"/>
      <c r="IG13" s="399"/>
      <c r="IH13" s="399"/>
      <c r="II13" s="399"/>
      <c r="IJ13" s="399"/>
      <c r="IK13" s="399"/>
      <c r="IL13" s="399"/>
      <c r="IM13" s="399"/>
      <c r="IN13" s="399"/>
      <c r="IO13" s="399"/>
      <c r="IP13" s="399"/>
      <c r="IQ13" s="399"/>
      <c r="IR13" s="399"/>
      <c r="IS13" s="399"/>
      <c r="IT13" s="399"/>
      <c r="IU13" s="399"/>
      <c r="IV13" s="399"/>
    </row>
    <row r="14" spans="1:256" ht="11.25" customHeight="1" x14ac:dyDescent="0.2">
      <c r="A14" s="604">
        <v>1</v>
      </c>
      <c r="B14" s="604">
        <v>3</v>
      </c>
      <c r="C14" s="604">
        <v>6</v>
      </c>
      <c r="D14" s="604">
        <v>3</v>
      </c>
      <c r="E14" s="604">
        <v>2</v>
      </c>
      <c r="F14" s="417">
        <v>5</v>
      </c>
      <c r="G14" s="417">
        <v>8.216918759943006</v>
      </c>
      <c r="H14" s="417">
        <v>0.10030355969658911</v>
      </c>
      <c r="I14" s="417">
        <v>19</v>
      </c>
      <c r="J14" s="630" t="s">
        <v>910</v>
      </c>
      <c r="K14" s="417" t="b">
        <v>0</v>
      </c>
      <c r="L14" s="399"/>
      <c r="N14" s="481"/>
      <c r="O14" s="631" t="s">
        <v>911</v>
      </c>
      <c r="P14" s="469"/>
      <c r="Q14" s="482"/>
      <c r="R14" s="482"/>
      <c r="S14" s="482"/>
      <c r="T14" s="482"/>
      <c r="U14" s="482"/>
      <c r="V14" s="482"/>
      <c r="W14" s="482"/>
      <c r="X14" s="482"/>
      <c r="Y14" s="482" t="s">
        <v>1025</v>
      </c>
      <c r="Z14" s="470"/>
      <c r="AA14" s="470"/>
      <c r="AB14" s="470"/>
      <c r="AC14" s="484"/>
      <c r="AD14" s="474"/>
      <c r="AE14" s="474"/>
      <c r="AF14" s="474"/>
      <c r="AG14" s="632">
        <f t="shared" si="1"/>
        <v>0.41726999999999997</v>
      </c>
      <c r="AW14" s="411">
        <f t="shared" si="2"/>
        <v>0.41726999999999997</v>
      </c>
      <c r="AX14" s="399"/>
      <c r="AY14" s="399"/>
      <c r="BO14" s="19">
        <v>-100</v>
      </c>
      <c r="BP14" s="19">
        <f t="shared" ref="BP14:BP34" si="3">IF($BR$5,$BR$12+BO14,NA())</f>
        <v>-49.867004573384591</v>
      </c>
      <c r="BQ14" s="19">
        <v>4.5</v>
      </c>
      <c r="BR14" s="19">
        <f>IF($BR$7,BP48-BU48,-999)</f>
        <v>12.610679354604194</v>
      </c>
      <c r="BS14" s="19">
        <f>2*(1-NORMSDIST(ABS(BR14/$BT$46)))</f>
        <v>1.1664464415122922E-2</v>
      </c>
      <c r="BT14" s="415" t="s">
        <v>912</v>
      </c>
      <c r="BU14" s="413"/>
      <c r="BV14" s="399"/>
      <c r="BX14" s="567" t="s">
        <v>792</v>
      </c>
      <c r="BY14" s="19" t="s">
        <v>913</v>
      </c>
      <c r="BZ14" s="567" t="s">
        <v>1026</v>
      </c>
      <c r="CA14" s="19" t="s">
        <v>914</v>
      </c>
      <c r="CC14" s="396" t="s">
        <v>1027</v>
      </c>
      <c r="CD14" s="399"/>
      <c r="CE14" s="19" t="s">
        <v>858</v>
      </c>
      <c r="CF14" s="19" t="s">
        <v>859</v>
      </c>
      <c r="CG14" s="19" t="s">
        <v>860</v>
      </c>
      <c r="CH14" s="19" t="s">
        <v>861</v>
      </c>
      <c r="CI14" s="19" t="s">
        <v>862</v>
      </c>
      <c r="CK14" s="19" t="s">
        <v>858</v>
      </c>
      <c r="CM14" s="19" t="s">
        <v>859</v>
      </c>
      <c r="CO14" s="19" t="s">
        <v>860</v>
      </c>
      <c r="CQ14" s="19" t="s">
        <v>861</v>
      </c>
      <c r="CS14" s="19" t="s">
        <v>862</v>
      </c>
      <c r="CT14" s="633"/>
      <c r="CU14" s="633"/>
      <c r="CV14" s="633"/>
      <c r="CW14" s="633"/>
      <c r="CX14" s="633"/>
      <c r="CY14" s="633"/>
      <c r="CZ14" s="633"/>
      <c r="DA14" s="633"/>
      <c r="DB14" s="633"/>
      <c r="DC14" s="633"/>
      <c r="DD14" s="633"/>
      <c r="DE14" s="633"/>
      <c r="DF14" s="633"/>
      <c r="DG14" s="633"/>
      <c r="DH14" s="633"/>
      <c r="DI14" s="633"/>
      <c r="DJ14" s="633"/>
      <c r="DK14" s="633"/>
      <c r="DL14" s="633"/>
      <c r="DM14" s="633"/>
      <c r="DN14" s="633"/>
      <c r="DO14" s="633"/>
      <c r="DP14" s="633"/>
      <c r="DQ14" s="633"/>
      <c r="DR14" s="633"/>
      <c r="DS14" s="633"/>
      <c r="DT14" s="633"/>
      <c r="DU14" s="633"/>
      <c r="DV14" s="633"/>
      <c r="DW14" s="633"/>
      <c r="DX14" s="633"/>
      <c r="DY14" s="633"/>
      <c r="DZ14" s="633"/>
      <c r="EA14" s="633"/>
      <c r="EB14" s="633"/>
      <c r="EC14" s="633"/>
      <c r="ED14" s="633"/>
      <c r="EE14" s="633"/>
      <c r="EF14" s="633"/>
      <c r="EG14" s="633"/>
      <c r="EH14" s="633"/>
      <c r="EI14" s="633"/>
      <c r="EJ14" s="633"/>
      <c r="EK14" s="633"/>
      <c r="EL14" s="633"/>
      <c r="EM14" s="633"/>
      <c r="EN14" s="633"/>
      <c r="EO14" s="633"/>
      <c r="EP14" s="633"/>
      <c r="EQ14" s="633"/>
      <c r="ER14" s="633"/>
      <c r="ES14" s="633"/>
      <c r="ET14" s="633"/>
      <c r="EU14" s="633"/>
      <c r="EV14" s="633"/>
      <c r="EW14" s="633"/>
      <c r="EX14" s="633"/>
      <c r="EY14" s="633"/>
      <c r="EZ14" s="633"/>
      <c r="FA14" s="633"/>
      <c r="FB14" s="633"/>
      <c r="FC14" s="633"/>
      <c r="FD14" s="633"/>
      <c r="FE14" s="633"/>
      <c r="FF14" s="633"/>
      <c r="FG14" s="633"/>
      <c r="FH14" s="633"/>
      <c r="FI14" s="633"/>
      <c r="FJ14" s="633"/>
      <c r="FK14" s="633"/>
      <c r="FL14" s="633"/>
      <c r="FM14" s="633"/>
      <c r="FN14" s="633"/>
      <c r="FO14" s="633"/>
      <c r="FP14" s="633"/>
      <c r="FQ14" s="633"/>
      <c r="FR14" s="399"/>
      <c r="FS14" s="399"/>
      <c r="FT14" s="399"/>
      <c r="FU14" s="399"/>
      <c r="FV14" s="399"/>
      <c r="FW14" s="399"/>
      <c r="FX14" s="399"/>
      <c r="FY14" s="399"/>
      <c r="FZ14" s="399"/>
      <c r="GA14" s="399"/>
      <c r="GB14" s="399"/>
      <c r="GC14" s="399"/>
      <c r="GD14" s="399"/>
      <c r="GE14" s="399"/>
      <c r="GF14" s="399"/>
      <c r="GG14" s="399"/>
      <c r="GH14" s="399"/>
      <c r="GI14" s="399"/>
      <c r="GJ14" s="399"/>
      <c r="GK14" s="399"/>
      <c r="GL14" s="399"/>
      <c r="GM14" s="399"/>
      <c r="GN14" s="399"/>
      <c r="GO14" s="399"/>
      <c r="GP14" s="399"/>
      <c r="GQ14" s="399"/>
      <c r="GR14" s="399"/>
      <c r="GS14" s="399"/>
      <c r="GT14" s="399"/>
      <c r="GU14" s="399"/>
      <c r="GV14" s="399"/>
      <c r="GW14" s="399"/>
      <c r="GX14" s="399"/>
      <c r="GY14" s="399"/>
      <c r="GZ14" s="399"/>
      <c r="HA14" s="399"/>
      <c r="HB14" s="399"/>
      <c r="HC14" s="399"/>
      <c r="HD14" s="399"/>
      <c r="HE14" s="399"/>
      <c r="HF14" s="399"/>
      <c r="HG14" s="399"/>
      <c r="HH14" s="399"/>
      <c r="HI14" s="399"/>
      <c r="HJ14" s="399"/>
      <c r="HK14" s="399"/>
      <c r="HL14" s="399"/>
      <c r="HM14" s="399"/>
      <c r="HN14" s="399"/>
      <c r="HO14" s="399"/>
      <c r="HP14" s="399"/>
      <c r="HQ14" s="399"/>
      <c r="HR14" s="399"/>
      <c r="HS14" s="399"/>
      <c r="HT14" s="399"/>
      <c r="HU14" s="399"/>
      <c r="HV14" s="399"/>
      <c r="HW14" s="399"/>
      <c r="HX14" s="399"/>
      <c r="HY14" s="399"/>
      <c r="HZ14" s="399"/>
      <c r="IA14" s="399"/>
      <c r="IB14" s="399"/>
      <c r="IC14" s="399"/>
      <c r="ID14" s="399"/>
      <c r="IE14" s="399"/>
      <c r="IF14" s="399"/>
      <c r="IG14" s="399"/>
      <c r="IH14" s="399"/>
      <c r="II14" s="399"/>
      <c r="IJ14" s="399"/>
      <c r="IK14" s="399"/>
      <c r="IL14" s="399"/>
      <c r="IM14" s="399"/>
      <c r="IN14" s="399"/>
      <c r="IO14" s="399"/>
      <c r="IP14" s="399"/>
      <c r="IQ14" s="399"/>
      <c r="IR14" s="399"/>
      <c r="IS14" s="399"/>
      <c r="IT14" s="399"/>
      <c r="IU14" s="399"/>
      <c r="IV14" s="399"/>
    </row>
    <row r="15" spans="1:256" ht="11.25" customHeight="1" x14ac:dyDescent="0.2">
      <c r="A15" s="365">
        <v>1</v>
      </c>
      <c r="B15" s="365">
        <v>3</v>
      </c>
      <c r="C15" s="365">
        <v>6</v>
      </c>
      <c r="D15" s="365">
        <v>3</v>
      </c>
      <c r="E15" s="365">
        <v>2</v>
      </c>
      <c r="F15" s="417">
        <v>4</v>
      </c>
      <c r="G15" s="417">
        <v>6.2599518485592327</v>
      </c>
      <c r="H15" s="417">
        <v>0.21057337312012159</v>
      </c>
      <c r="I15" s="417">
        <v>18</v>
      </c>
      <c r="J15" s="634"/>
      <c r="L15" s="399"/>
      <c r="N15" s="635"/>
      <c r="O15" s="441"/>
      <c r="P15" s="587">
        <f t="shared" ref="P15:AF15" si="4">$AG$1</f>
        <v>0.41726999999999997</v>
      </c>
      <c r="Q15" s="587">
        <f t="shared" si="4"/>
        <v>0.41726999999999997</v>
      </c>
      <c r="R15" s="587">
        <f t="shared" si="4"/>
        <v>0.41726999999999997</v>
      </c>
      <c r="S15" s="587">
        <f t="shared" si="4"/>
        <v>0.41726999999999997</v>
      </c>
      <c r="T15" s="587">
        <f t="shared" si="4"/>
        <v>0.41726999999999997</v>
      </c>
      <c r="U15" s="587">
        <f t="shared" si="4"/>
        <v>0.41726999999999997</v>
      </c>
      <c r="V15" s="587">
        <f t="shared" si="4"/>
        <v>0.41726999999999997</v>
      </c>
      <c r="W15" s="587">
        <f t="shared" si="4"/>
        <v>0.41726999999999997</v>
      </c>
      <c r="X15" s="587">
        <f t="shared" si="4"/>
        <v>0.41726999999999997</v>
      </c>
      <c r="Y15" s="587">
        <f t="shared" si="4"/>
        <v>0.41726999999999997</v>
      </c>
      <c r="Z15" s="587">
        <f t="shared" si="4"/>
        <v>0.41726999999999997</v>
      </c>
      <c r="AA15" s="587">
        <f t="shared" si="4"/>
        <v>0.41726999999999997</v>
      </c>
      <c r="AB15" s="587">
        <f t="shared" si="4"/>
        <v>0.41726999999999997</v>
      </c>
      <c r="AC15" s="587">
        <f t="shared" si="4"/>
        <v>0.41726999999999997</v>
      </c>
      <c r="AD15" s="587">
        <f t="shared" si="4"/>
        <v>0.41726999999999997</v>
      </c>
      <c r="AE15" s="587">
        <f t="shared" si="4"/>
        <v>0.41726999999999997</v>
      </c>
      <c r="AF15" s="587">
        <f t="shared" si="4"/>
        <v>0.41726999999999997</v>
      </c>
      <c r="AG15" s="636">
        <f t="shared" si="1"/>
        <v>0.41726999999999997</v>
      </c>
      <c r="AW15" s="411">
        <f t="shared" si="2"/>
        <v>0.41726999999999997</v>
      </c>
      <c r="BA15"/>
      <c r="BB15"/>
      <c r="BC15"/>
      <c r="BD15"/>
      <c r="BE15"/>
      <c r="BF15"/>
      <c r="BG15"/>
      <c r="BH15"/>
      <c r="BI15"/>
      <c r="BJ15"/>
      <c r="BK15"/>
      <c r="BL15"/>
      <c r="BM15"/>
      <c r="BN15"/>
      <c r="BO15" s="19">
        <v>-90</v>
      </c>
      <c r="BP15" s="19">
        <f t="shared" si="3"/>
        <v>-39.867004573384591</v>
      </c>
      <c r="BQ15" s="19">
        <f t="shared" ref="BQ15:BQ34" si="5">$BQ$14</f>
        <v>4.5</v>
      </c>
      <c r="BR15" s="19">
        <f t="shared" ref="BR15:BR39" si="6">IF(AND($BR$5,$BR$7,$BT$3,G4&lt;&gt;""),G4+$BR$12,NA())</f>
        <v>62.743674781219603</v>
      </c>
      <c r="BT15" s="422">
        <f>BT13</f>
        <v>13</v>
      </c>
      <c r="BU15" s="423">
        <f t="shared" ref="BU15:BU39" si="7">CB15</f>
        <v>8</v>
      </c>
      <c r="BV15" s="399">
        <f t="shared" ref="BV15:BV39" si="8">IF(AND($BR$7,G4&lt;&gt;""),G4+$BR$12,NA())</f>
        <v>62.743674781219603</v>
      </c>
      <c r="BW15" s="19">
        <v>1</v>
      </c>
      <c r="BX15" s="19">
        <f t="shared" ref="BX15:BX39" si="9">IF(ISNA(BV15),NA(),G4/$BT$46)</f>
        <v>2.522135870920839</v>
      </c>
      <c r="BY15" s="19" t="str">
        <f t="shared" ref="BY15:BY39" si="10">IF(ISNA(BX15),"",IF(BZ15&lt;0.001,"*** ",IF(BZ15&lt;0.01,"** ",IF(BZ15&lt;0.05,"* ",IF(BZ15&lt;0.1,"? ","")))))</f>
        <v xml:space="preserve">* </v>
      </c>
      <c r="BZ15" s="637">
        <f t="shared" ref="BZ15:BZ39" si="11">IF(ISNA(BX15),"",2*(1-NORMSDIST(ABS(BX15))))</f>
        <v>1.1664464415122922E-2</v>
      </c>
      <c r="CA15" s="19" t="e">
        <f>IF($BP$4,CA13,NA())</f>
        <v>#N/A</v>
      </c>
      <c r="CB15" s="19">
        <f>CB13</f>
        <v>8</v>
      </c>
      <c r="CC15" s="399" t="e">
        <f>IF($BP$4,CC13,NA())</f>
        <v>#N/A</v>
      </c>
      <c r="CD15" s="19">
        <f t="shared" ref="CD15:CD39" si="12">CB15</f>
        <v>8</v>
      </c>
      <c r="CE15" s="19" t="e">
        <f t="shared" ref="CE15:CE39" si="13">IF(ISNA(BX15),NA(),IF($BP$4,IF(BY15="*** ",$CE$12,NA()),NA()))</f>
        <v>#N/A</v>
      </c>
      <c r="CF15" s="19" t="e">
        <f t="shared" ref="CF15:CF39" si="14">IF(ISNA(BX15),NA(),IF($BP$4,IF(BY15="** ",$CE$12,NA()),NA()))</f>
        <v>#N/A</v>
      </c>
      <c r="CG15" s="19" t="e">
        <f t="shared" ref="CG15:CG39" si="15">IF(ISNA(BX15),NA(),IF($BP$4,IF(BY15="* ",$CE$12,NA()),NA()))</f>
        <v>#N/A</v>
      </c>
      <c r="CH15" s="19" t="e">
        <f t="shared" ref="CH15:CH39" si="16">IF(ISNA(BX15),NA(),IF($BP$4,IF(BY15="? ",$CE$12,NA()),NA()))</f>
        <v>#N/A</v>
      </c>
      <c r="CI15" s="19" t="e">
        <f t="shared" ref="CI15:CI39" si="17">IF(ISNA(BX15),NA(),IF($BP$4,IF(BY15="",$CE$12,NA()),NA()))</f>
        <v>#N/A</v>
      </c>
      <c r="CJ15" s="19">
        <f t="shared" ref="CJ15:CJ39" si="18">CD15</f>
        <v>8</v>
      </c>
      <c r="CK15" s="19" t="e">
        <f t="shared" ref="CK15:CK39" si="19">IF(ISNA(BX15),NA(),IF(AND($BR$4,$BR$7,BY15="*** "),$CK$13,NA()))</f>
        <v>#N/A</v>
      </c>
      <c r="CL15" s="399">
        <f>$CL$12-$CL$13</f>
        <v>7.9</v>
      </c>
      <c r="CM15" s="19" t="e">
        <f t="shared" ref="CM15:CM39" si="20">IF(ISNA(BX15),NA(),IF(AND($BR$4,$BR$7,BY15="** "),$CM$13,NA()))</f>
        <v>#N/A</v>
      </c>
      <c r="CN15" s="399">
        <f>$CL$12-$CL$13</f>
        <v>7.9</v>
      </c>
      <c r="CO15" s="19" t="e">
        <f t="shared" ref="CO15:CO39" si="21">IF(ISNA(BX15),NA(),IF(AND($BR$4,$BR$7,BY15="* "),$CO$13,NA()))</f>
        <v>#N/A</v>
      </c>
      <c r="CP15" s="399">
        <f>$CL$12-$CL$13</f>
        <v>7.9</v>
      </c>
      <c r="CQ15" s="19" t="e">
        <f t="shared" ref="CQ15:CQ39" si="22">IF(ISNA(BX15),NA(),IF(AND($BR$4,$BR$7,BY15="? "),$CQ$13,NA()))</f>
        <v>#N/A</v>
      </c>
      <c r="CR15" s="399">
        <f>$CL$12-$CL$13</f>
        <v>7.9</v>
      </c>
      <c r="CS15" s="19" t="e">
        <f t="shared" ref="CS15:CS39" si="23">IF(ISNA(BX15),NA(),IF(AND($BR$4,$BR$7,BY15=""),$CS$13,NA()))</f>
        <v>#N/A</v>
      </c>
      <c r="CT15" s="399">
        <f>$CL$12-$CL$13</f>
        <v>7.9</v>
      </c>
      <c r="CU15" s="399"/>
      <c r="CV15" s="399"/>
      <c r="CW15" s="399"/>
      <c r="CX15" s="399"/>
      <c r="CY15" s="399"/>
      <c r="CZ15" s="399"/>
      <c r="DA15" s="399"/>
      <c r="DB15" s="399"/>
      <c r="DC15" s="399"/>
      <c r="DD15" s="399"/>
      <c r="DE15" s="399"/>
      <c r="DF15" s="399"/>
      <c r="DG15" s="399"/>
      <c r="DH15" s="399"/>
      <c r="DI15" s="399"/>
      <c r="DJ15" s="399"/>
      <c r="DK15" s="399"/>
      <c r="DL15" s="399"/>
      <c r="DM15" s="399"/>
      <c r="DN15" s="399"/>
      <c r="DO15" s="399"/>
      <c r="DP15" s="399"/>
      <c r="DQ15" s="399"/>
      <c r="DR15" s="399"/>
      <c r="DS15" s="399"/>
      <c r="DT15" s="399"/>
      <c r="DU15" s="399"/>
      <c r="DV15" s="399"/>
      <c r="DW15" s="399"/>
      <c r="DX15" s="399"/>
      <c r="DY15" s="399"/>
      <c r="DZ15" s="399"/>
      <c r="EA15" s="399"/>
      <c r="EB15" s="399"/>
      <c r="EC15" s="399"/>
      <c r="ED15" s="399"/>
      <c r="EE15" s="399"/>
      <c r="EF15" s="399"/>
      <c r="EG15" s="399"/>
      <c r="EH15" s="399"/>
      <c r="EI15" s="399"/>
      <c r="EJ15" s="399"/>
      <c r="EK15" s="399"/>
      <c r="EL15" s="399"/>
      <c r="EM15" s="399"/>
      <c r="EN15" s="399"/>
      <c r="EO15" s="399"/>
      <c r="EP15" s="399"/>
      <c r="EQ15" s="399"/>
      <c r="ER15" s="399"/>
      <c r="ES15" s="399"/>
      <c r="ET15" s="399"/>
      <c r="EU15" s="399"/>
      <c r="EV15" s="399"/>
      <c r="EW15" s="399"/>
      <c r="EX15" s="399"/>
      <c r="EY15" s="399"/>
      <c r="EZ15" s="399"/>
      <c r="FA15" s="399"/>
      <c r="FB15" s="399"/>
      <c r="FC15" s="399"/>
      <c r="FD15" s="399"/>
      <c r="FE15" s="399"/>
      <c r="FF15" s="399"/>
      <c r="FG15" s="399"/>
      <c r="FH15" s="399"/>
      <c r="FI15" s="399"/>
      <c r="FJ15" s="399"/>
      <c r="FK15" s="399"/>
      <c r="FL15" s="399"/>
      <c r="FM15" s="399"/>
      <c r="FN15" s="399"/>
      <c r="FO15" s="399"/>
      <c r="FP15" s="399"/>
      <c r="FQ15" s="399"/>
      <c r="FR15" s="399"/>
      <c r="FS15" s="399"/>
      <c r="FT15" s="399"/>
      <c r="FU15" s="399"/>
      <c r="FV15" s="399"/>
      <c r="FW15" s="399"/>
      <c r="FX15" s="399"/>
      <c r="FY15" s="399"/>
      <c r="FZ15" s="399"/>
      <c r="GA15" s="399"/>
      <c r="GB15" s="399"/>
      <c r="GC15" s="399"/>
      <c r="GD15" s="399"/>
      <c r="GE15" s="399"/>
      <c r="GF15" s="399"/>
      <c r="GG15" s="399"/>
      <c r="GH15" s="399"/>
      <c r="GI15" s="399"/>
      <c r="GJ15" s="399"/>
      <c r="GK15" s="399"/>
      <c r="GL15" s="399"/>
      <c r="GM15" s="399"/>
      <c r="GN15" s="399"/>
      <c r="GO15" s="399"/>
      <c r="GP15" s="399"/>
      <c r="GQ15" s="399"/>
      <c r="GR15" s="399"/>
      <c r="GS15" s="399"/>
      <c r="GT15" s="399"/>
      <c r="GU15" s="399"/>
      <c r="GV15" s="399"/>
      <c r="GW15" s="399"/>
      <c r="GX15" s="399"/>
      <c r="GY15" s="399"/>
      <c r="GZ15" s="399"/>
      <c r="HA15" s="399"/>
      <c r="HB15" s="399"/>
      <c r="HC15" s="399"/>
      <c r="HD15" s="399"/>
      <c r="HE15" s="399"/>
      <c r="HF15" s="399"/>
      <c r="HG15" s="399"/>
      <c r="HH15" s="399"/>
      <c r="HI15" s="399"/>
      <c r="HJ15" s="399"/>
      <c r="HK15" s="399"/>
      <c r="HL15" s="399"/>
      <c r="HM15" s="399"/>
      <c r="HN15" s="399"/>
      <c r="HO15" s="399"/>
      <c r="HP15" s="399"/>
      <c r="HQ15" s="399"/>
      <c r="HR15" s="399"/>
      <c r="HS15" s="399"/>
      <c r="HT15" s="399"/>
      <c r="HU15" s="399"/>
      <c r="HV15" s="399"/>
      <c r="HW15" s="399"/>
      <c r="HX15" s="399"/>
      <c r="HY15" s="399"/>
      <c r="HZ15" s="399"/>
      <c r="IA15" s="399"/>
      <c r="IB15" s="399"/>
      <c r="IC15" s="399"/>
      <c r="ID15" s="399"/>
      <c r="IE15" s="399"/>
      <c r="IF15" s="399"/>
      <c r="IG15" s="399"/>
      <c r="IH15" s="399"/>
      <c r="II15" s="399"/>
      <c r="IJ15" s="399"/>
      <c r="IK15" s="399"/>
      <c r="IL15" s="399"/>
      <c r="IM15" s="399"/>
      <c r="IN15" s="399"/>
      <c r="IO15" s="399"/>
      <c r="IP15" s="399"/>
      <c r="IQ15" s="399"/>
      <c r="IR15" s="399"/>
      <c r="IS15" s="399"/>
      <c r="IT15" s="399"/>
      <c r="IU15" s="399"/>
      <c r="IV15" s="399"/>
    </row>
    <row r="16" spans="1:256" ht="11.25" customHeight="1" x14ac:dyDescent="0.2">
      <c r="A16" s="604">
        <v>1</v>
      </c>
      <c r="B16" s="604">
        <v>3</v>
      </c>
      <c r="C16" s="604">
        <v>6</v>
      </c>
      <c r="D16" s="604">
        <v>3</v>
      </c>
      <c r="E16" s="604">
        <v>2</v>
      </c>
      <c r="F16" s="417">
        <v>3</v>
      </c>
      <c r="G16" s="417">
        <v>16.989159193033061</v>
      </c>
      <c r="H16" s="417">
        <v>6.7922157041966358E-4</v>
      </c>
      <c r="I16" s="417">
        <v>17</v>
      </c>
      <c r="J16" s="630"/>
      <c r="K16" s="426" t="s">
        <v>915</v>
      </c>
      <c r="L16" s="638">
        <v>2987</v>
      </c>
      <c r="N16" s="442"/>
      <c r="O16" s="445"/>
      <c r="P16" s="587">
        <f t="shared" ref="P16:P41" si="24">$AG$1</f>
        <v>0.41726999999999997</v>
      </c>
      <c r="AG16" s="636">
        <f t="shared" si="1"/>
        <v>0.41726999999999997</v>
      </c>
      <c r="AW16" s="411">
        <f t="shared" si="2"/>
        <v>0.41726999999999997</v>
      </c>
      <c r="BA16"/>
      <c r="BB16"/>
      <c r="BC16"/>
      <c r="BD16"/>
      <c r="BE16"/>
      <c r="BF16"/>
      <c r="BG16"/>
      <c r="BH16"/>
      <c r="BI16"/>
      <c r="BJ16"/>
      <c r="BK16"/>
      <c r="BL16"/>
      <c r="BM16"/>
      <c r="BN16"/>
      <c r="BO16" s="19">
        <v>-80</v>
      </c>
      <c r="BP16" s="19">
        <f t="shared" si="3"/>
        <v>-29.867004573384591</v>
      </c>
      <c r="BQ16" s="19">
        <f t="shared" si="5"/>
        <v>4.5</v>
      </c>
      <c r="BR16" s="19">
        <f t="shared" si="6"/>
        <v>50.699183019959662</v>
      </c>
      <c r="BT16" s="422">
        <f t="shared" ref="BT16:BT39" si="25">$BT$15</f>
        <v>13</v>
      </c>
      <c r="BU16" s="423">
        <f t="shared" si="7"/>
        <v>9</v>
      </c>
      <c r="BV16" s="399">
        <f t="shared" si="8"/>
        <v>50.699183019959662</v>
      </c>
      <c r="BW16" s="19">
        <v>2</v>
      </c>
      <c r="BX16" s="19">
        <f t="shared" si="9"/>
        <v>0.11323751866885061</v>
      </c>
      <c r="BY16" s="19" t="str">
        <f t="shared" si="10"/>
        <v/>
      </c>
      <c r="BZ16" s="637">
        <f t="shared" si="11"/>
        <v>0.90984225135264873</v>
      </c>
      <c r="CA16" s="19" t="e">
        <f t="shared" ref="CA16:CA39" si="26">$CA$15</f>
        <v>#N/A</v>
      </c>
      <c r="CB16" s="19">
        <f t="shared" ref="CB16:CB39" si="27">CB15+1</f>
        <v>9</v>
      </c>
      <c r="CC16" s="19" t="e">
        <f t="shared" ref="CC16:CC39" si="28">$CC$15</f>
        <v>#N/A</v>
      </c>
      <c r="CD16" s="19">
        <f t="shared" si="12"/>
        <v>9</v>
      </c>
      <c r="CE16" s="19" t="e">
        <f t="shared" si="13"/>
        <v>#N/A</v>
      </c>
      <c r="CF16" s="19" t="e">
        <f t="shared" si="14"/>
        <v>#N/A</v>
      </c>
      <c r="CG16" s="19" t="e">
        <f t="shared" si="15"/>
        <v>#N/A</v>
      </c>
      <c r="CH16" s="19" t="e">
        <f t="shared" si="16"/>
        <v>#N/A</v>
      </c>
      <c r="CI16" s="19" t="e">
        <f t="shared" si="17"/>
        <v>#N/A</v>
      </c>
      <c r="CJ16" s="19">
        <f t="shared" si="18"/>
        <v>9</v>
      </c>
      <c r="CK16" s="19" t="e">
        <f t="shared" si="19"/>
        <v>#N/A</v>
      </c>
      <c r="CL16" s="19">
        <f>$CL$12</f>
        <v>9</v>
      </c>
      <c r="CM16" s="19" t="e">
        <f t="shared" si="20"/>
        <v>#N/A</v>
      </c>
      <c r="CN16" s="19">
        <f>$CL$12</f>
        <v>9</v>
      </c>
      <c r="CO16" s="19" t="e">
        <f t="shared" si="21"/>
        <v>#N/A</v>
      </c>
      <c r="CP16" s="19">
        <f>$CL$12</f>
        <v>9</v>
      </c>
      <c r="CQ16" s="19" t="e">
        <f t="shared" si="22"/>
        <v>#N/A</v>
      </c>
      <c r="CR16" s="19">
        <f>$CL$12</f>
        <v>9</v>
      </c>
      <c r="CS16" s="19" t="e">
        <f t="shared" si="23"/>
        <v>#N/A</v>
      </c>
      <c r="CT16" s="19">
        <f>$CL$12</f>
        <v>9</v>
      </c>
    </row>
    <row r="17" spans="1:98" ht="11.25" customHeight="1" x14ac:dyDescent="0.2">
      <c r="A17" s="604">
        <v>1</v>
      </c>
      <c r="B17" s="604">
        <v>2</v>
      </c>
      <c r="C17" s="604">
        <v>6</v>
      </c>
      <c r="D17" s="604">
        <v>3</v>
      </c>
      <c r="E17" s="604">
        <v>2</v>
      </c>
      <c r="F17" s="417">
        <v>3</v>
      </c>
      <c r="G17" s="417">
        <v>13.294822874905478</v>
      </c>
      <c r="H17" s="417">
        <v>7.8381203972914815E-3</v>
      </c>
      <c r="I17" s="417">
        <v>16</v>
      </c>
      <c r="J17" s="417"/>
      <c r="K17" s="426" t="s">
        <v>915</v>
      </c>
      <c r="L17" s="399">
        <f>3000-I4</f>
        <v>2971</v>
      </c>
      <c r="N17" s="442"/>
      <c r="O17" s="639" t="s">
        <v>916</v>
      </c>
      <c r="P17" s="587">
        <f t="shared" si="24"/>
        <v>0.41726999999999997</v>
      </c>
      <c r="AG17" s="636">
        <f t="shared" si="1"/>
        <v>0.41726999999999997</v>
      </c>
      <c r="AW17" s="411">
        <f t="shared" si="2"/>
        <v>0.41726999999999997</v>
      </c>
      <c r="BA17"/>
      <c r="BB17"/>
      <c r="BC17"/>
      <c r="BD17"/>
      <c r="BE17"/>
      <c r="BF17"/>
      <c r="BG17"/>
      <c r="BH17"/>
      <c r="BI17"/>
      <c r="BJ17"/>
      <c r="BK17"/>
      <c r="BL17"/>
      <c r="BM17"/>
      <c r="BN17"/>
      <c r="BO17" s="19">
        <v>-70</v>
      </c>
      <c r="BP17" s="19">
        <f t="shared" si="3"/>
        <v>-19.867004573384591</v>
      </c>
      <c r="BQ17" s="19">
        <f t="shared" si="5"/>
        <v>4.5</v>
      </c>
      <c r="BR17" s="19">
        <f t="shared" si="6"/>
        <v>71.236780405696621</v>
      </c>
      <c r="BT17" s="422">
        <f t="shared" si="25"/>
        <v>13</v>
      </c>
      <c r="BU17" s="423">
        <f t="shared" si="7"/>
        <v>10</v>
      </c>
      <c r="BV17" s="399">
        <f t="shared" si="8"/>
        <v>71.236780405696621</v>
      </c>
      <c r="BW17" s="19">
        <v>3</v>
      </c>
      <c r="BX17" s="19">
        <f t="shared" si="9"/>
        <v>4.2207569958162425</v>
      </c>
      <c r="BY17" s="19" t="str">
        <f t="shared" si="10"/>
        <v xml:space="preserve">*** </v>
      </c>
      <c r="BZ17" s="637">
        <f t="shared" si="11"/>
        <v>2.4348329743073549E-5</v>
      </c>
      <c r="CA17" s="19" t="e">
        <f t="shared" si="26"/>
        <v>#N/A</v>
      </c>
      <c r="CB17" s="19">
        <f t="shared" si="27"/>
        <v>10</v>
      </c>
      <c r="CC17" s="19" t="e">
        <f t="shared" si="28"/>
        <v>#N/A</v>
      </c>
      <c r="CD17" s="19">
        <f t="shared" si="12"/>
        <v>10</v>
      </c>
      <c r="CE17" s="19" t="e">
        <f t="shared" si="13"/>
        <v>#N/A</v>
      </c>
      <c r="CF17" s="19" t="e">
        <f t="shared" si="14"/>
        <v>#N/A</v>
      </c>
      <c r="CG17" s="19" t="e">
        <f t="shared" si="15"/>
        <v>#N/A</v>
      </c>
      <c r="CH17" s="19" t="e">
        <f t="shared" si="16"/>
        <v>#N/A</v>
      </c>
      <c r="CI17" s="19" t="e">
        <f t="shared" si="17"/>
        <v>#N/A</v>
      </c>
      <c r="CJ17" s="19">
        <f t="shared" si="18"/>
        <v>10</v>
      </c>
      <c r="CK17" s="19" t="e">
        <f t="shared" si="19"/>
        <v>#N/A</v>
      </c>
      <c r="CL17" s="19">
        <f t="shared" ref="CL17:CL39" si="29">CL16+1</f>
        <v>10</v>
      </c>
      <c r="CM17" s="19" t="e">
        <f t="shared" si="20"/>
        <v>#N/A</v>
      </c>
      <c r="CN17" s="19">
        <f t="shared" ref="CN17:CN39" si="30">CN16+1</f>
        <v>10</v>
      </c>
      <c r="CO17" s="19" t="e">
        <f t="shared" si="21"/>
        <v>#N/A</v>
      </c>
      <c r="CP17" s="19">
        <f t="shared" ref="CP17:CP39" si="31">CP16+1</f>
        <v>10</v>
      </c>
      <c r="CQ17" s="19" t="e">
        <f t="shared" si="22"/>
        <v>#N/A</v>
      </c>
      <c r="CR17" s="19">
        <f t="shared" ref="CR17:CR39" si="32">CR16+1</f>
        <v>10</v>
      </c>
      <c r="CS17" s="19" t="e">
        <f t="shared" si="23"/>
        <v>#N/A</v>
      </c>
      <c r="CT17" s="19">
        <f t="shared" ref="CT17:CT39" si="33">CT16+1</f>
        <v>10</v>
      </c>
    </row>
    <row r="18" spans="1:98" ht="11.25" customHeight="1" x14ac:dyDescent="0.2">
      <c r="A18" s="417">
        <v>1</v>
      </c>
      <c r="B18" s="417">
        <v>2</v>
      </c>
      <c r="C18" s="417">
        <v>5</v>
      </c>
      <c r="D18" s="417">
        <v>3</v>
      </c>
      <c r="E18" s="417">
        <v>2</v>
      </c>
      <c r="F18" s="417">
        <v>3</v>
      </c>
      <c r="G18" s="417">
        <v>11.736432671231171</v>
      </c>
      <c r="H18" s="417">
        <v>1.8910705728084176E-2</v>
      </c>
      <c r="I18" s="417">
        <v>15</v>
      </c>
      <c r="K18" s="426" t="s">
        <v>915</v>
      </c>
      <c r="L18" s="399">
        <f>3000-L16</f>
        <v>13</v>
      </c>
      <c r="N18" s="531"/>
      <c r="O18" s="640" t="s">
        <v>917</v>
      </c>
      <c r="P18" s="587">
        <f t="shared" si="24"/>
        <v>0.41726999999999997</v>
      </c>
      <c r="AG18" s="641">
        <f t="shared" si="1"/>
        <v>0.41726999999999997</v>
      </c>
      <c r="AW18" s="411">
        <f t="shared" si="2"/>
        <v>0.41726999999999997</v>
      </c>
      <c r="BA18"/>
      <c r="BB18"/>
      <c r="BC18"/>
      <c r="BD18"/>
      <c r="BE18"/>
      <c r="BF18"/>
      <c r="BG18"/>
      <c r="BH18"/>
      <c r="BI18"/>
      <c r="BJ18"/>
      <c r="BK18"/>
      <c r="BL18"/>
      <c r="BM18"/>
      <c r="BN18"/>
      <c r="BO18" s="19">
        <v>-60</v>
      </c>
      <c r="BP18" s="19">
        <f t="shared" si="3"/>
        <v>-9.867004573384591</v>
      </c>
      <c r="BQ18" s="19">
        <f t="shared" si="5"/>
        <v>4.5</v>
      </c>
      <c r="BR18" s="19">
        <f t="shared" si="6"/>
        <v>62.018658003715238</v>
      </c>
      <c r="BT18" s="422">
        <f t="shared" si="25"/>
        <v>13</v>
      </c>
      <c r="BU18" s="423">
        <f t="shared" si="7"/>
        <v>11</v>
      </c>
      <c r="BV18" s="399">
        <f t="shared" si="8"/>
        <v>62.018658003715238</v>
      </c>
      <c r="BW18" s="19">
        <v>4</v>
      </c>
      <c r="BX18" s="19">
        <f t="shared" si="9"/>
        <v>2.3771325154199658</v>
      </c>
      <c r="BY18" s="19" t="str">
        <f t="shared" si="10"/>
        <v xml:space="preserve">* </v>
      </c>
      <c r="BZ18" s="637">
        <f t="shared" si="11"/>
        <v>1.7447818695804918E-2</v>
      </c>
      <c r="CA18" s="19" t="e">
        <f t="shared" si="26"/>
        <v>#N/A</v>
      </c>
      <c r="CB18" s="19">
        <f t="shared" si="27"/>
        <v>11</v>
      </c>
      <c r="CC18" s="19" t="e">
        <f t="shared" si="28"/>
        <v>#N/A</v>
      </c>
      <c r="CD18" s="19">
        <f t="shared" si="12"/>
        <v>11</v>
      </c>
      <c r="CE18" s="19" t="e">
        <f t="shared" si="13"/>
        <v>#N/A</v>
      </c>
      <c r="CF18" s="19" t="e">
        <f t="shared" si="14"/>
        <v>#N/A</v>
      </c>
      <c r="CG18" s="19" t="e">
        <f t="shared" si="15"/>
        <v>#N/A</v>
      </c>
      <c r="CH18" s="19" t="e">
        <f t="shared" si="16"/>
        <v>#N/A</v>
      </c>
      <c r="CI18" s="19" t="e">
        <f t="shared" si="17"/>
        <v>#N/A</v>
      </c>
      <c r="CJ18" s="19">
        <f t="shared" si="18"/>
        <v>11</v>
      </c>
      <c r="CK18" s="19" t="e">
        <f t="shared" si="19"/>
        <v>#N/A</v>
      </c>
      <c r="CL18" s="19">
        <f t="shared" si="29"/>
        <v>11</v>
      </c>
      <c r="CM18" s="19" t="e">
        <f t="shared" si="20"/>
        <v>#N/A</v>
      </c>
      <c r="CN18" s="19">
        <f t="shared" si="30"/>
        <v>11</v>
      </c>
      <c r="CO18" s="19" t="e">
        <f t="shared" si="21"/>
        <v>#N/A</v>
      </c>
      <c r="CP18" s="19">
        <f t="shared" si="31"/>
        <v>11</v>
      </c>
      <c r="CQ18" s="19" t="e">
        <f t="shared" si="22"/>
        <v>#N/A</v>
      </c>
      <c r="CR18" s="19">
        <f t="shared" si="32"/>
        <v>11</v>
      </c>
      <c r="CS18" s="19" t="e">
        <f t="shared" si="23"/>
        <v>#N/A</v>
      </c>
      <c r="CT18" s="19">
        <f t="shared" si="33"/>
        <v>11</v>
      </c>
    </row>
    <row r="19" spans="1:98" ht="11.25" customHeight="1" x14ac:dyDescent="0.2">
      <c r="A19" s="417">
        <v>0</v>
      </c>
      <c r="B19" s="417">
        <v>2</v>
      </c>
      <c r="C19" s="417">
        <v>5</v>
      </c>
      <c r="D19" s="417">
        <v>2</v>
      </c>
      <c r="E19" s="417">
        <v>2</v>
      </c>
      <c r="F19" s="417">
        <v>3</v>
      </c>
      <c r="G19" s="417">
        <v>13.682175547412918</v>
      </c>
      <c r="H19" s="417">
        <v>6.2108843029407002E-3</v>
      </c>
      <c r="I19" s="417">
        <v>14</v>
      </c>
      <c r="L19" s="399"/>
      <c r="N19" s="531"/>
      <c r="O19" s="642" t="s">
        <v>918</v>
      </c>
      <c r="P19" s="587">
        <f t="shared" si="24"/>
        <v>0.41726999999999997</v>
      </c>
      <c r="Q19" s="409"/>
      <c r="R19" s="409"/>
      <c r="S19" s="409"/>
      <c r="T19" s="409"/>
      <c r="U19" s="409"/>
      <c r="V19" s="409"/>
      <c r="W19" s="409"/>
      <c r="X19" s="409"/>
      <c r="Y19" s="409"/>
      <c r="Z19" s="409"/>
      <c r="AA19" s="409"/>
      <c r="AB19" s="409"/>
      <c r="AC19" s="409"/>
      <c r="AD19" s="409"/>
      <c r="AE19" s="409"/>
      <c r="AF19" s="409"/>
      <c r="AG19" s="410">
        <f t="shared" si="1"/>
        <v>0.41726999999999997</v>
      </c>
      <c r="AW19" s="411">
        <f t="shared" si="2"/>
        <v>0.41726999999999997</v>
      </c>
      <c r="BA19"/>
      <c r="BB19"/>
      <c r="BC19"/>
      <c r="BD19"/>
      <c r="BE19"/>
      <c r="BF19"/>
      <c r="BG19"/>
      <c r="BH19"/>
      <c r="BI19"/>
      <c r="BJ19"/>
      <c r="BK19"/>
      <c r="BL19"/>
      <c r="BM19"/>
      <c r="BN19"/>
      <c r="BO19" s="19">
        <v>-50</v>
      </c>
      <c r="BP19" s="19">
        <f t="shared" si="3"/>
        <v>0.13299542661540897</v>
      </c>
      <c r="BQ19" s="19">
        <f t="shared" si="5"/>
        <v>4.5</v>
      </c>
      <c r="BR19" s="19">
        <f t="shared" si="6"/>
        <v>58.442249524912896</v>
      </c>
      <c r="BT19" s="422">
        <f t="shared" si="25"/>
        <v>13</v>
      </c>
      <c r="BU19" s="423">
        <f t="shared" si="7"/>
        <v>12</v>
      </c>
      <c r="BV19" s="399">
        <f t="shared" si="8"/>
        <v>58.442249524912896</v>
      </c>
      <c r="BW19" s="19">
        <v>5</v>
      </c>
      <c r="BX19" s="19">
        <f t="shared" si="9"/>
        <v>1.6618508196594974</v>
      </c>
      <c r="BY19" s="19" t="str">
        <f t="shared" si="10"/>
        <v xml:space="preserve">? </v>
      </c>
      <c r="BZ19" s="637">
        <f t="shared" si="11"/>
        <v>9.6542689676747395E-2</v>
      </c>
      <c r="CA19" s="19" t="e">
        <f t="shared" si="26"/>
        <v>#N/A</v>
      </c>
      <c r="CB19" s="19">
        <f t="shared" si="27"/>
        <v>12</v>
      </c>
      <c r="CC19" s="19" t="e">
        <f t="shared" si="28"/>
        <v>#N/A</v>
      </c>
      <c r="CD19" s="19">
        <f t="shared" si="12"/>
        <v>12</v>
      </c>
      <c r="CE19" s="19" t="e">
        <f t="shared" si="13"/>
        <v>#N/A</v>
      </c>
      <c r="CF19" s="19" t="e">
        <f t="shared" si="14"/>
        <v>#N/A</v>
      </c>
      <c r="CG19" s="19" t="e">
        <f t="shared" si="15"/>
        <v>#N/A</v>
      </c>
      <c r="CH19" s="19" t="e">
        <f t="shared" si="16"/>
        <v>#N/A</v>
      </c>
      <c r="CI19" s="19" t="e">
        <f t="shared" si="17"/>
        <v>#N/A</v>
      </c>
      <c r="CJ19" s="19">
        <f t="shared" si="18"/>
        <v>12</v>
      </c>
      <c r="CK19" s="19" t="e">
        <f t="shared" si="19"/>
        <v>#N/A</v>
      </c>
      <c r="CL19" s="19">
        <f t="shared" si="29"/>
        <v>12</v>
      </c>
      <c r="CM19" s="19" t="e">
        <f t="shared" si="20"/>
        <v>#N/A</v>
      </c>
      <c r="CN19" s="19">
        <f t="shared" si="30"/>
        <v>12</v>
      </c>
      <c r="CO19" s="19" t="e">
        <f t="shared" si="21"/>
        <v>#N/A</v>
      </c>
      <c r="CP19" s="19">
        <f t="shared" si="31"/>
        <v>12</v>
      </c>
      <c r="CQ19" s="19" t="e">
        <f t="shared" si="22"/>
        <v>#N/A</v>
      </c>
      <c r="CR19" s="19">
        <f t="shared" si="32"/>
        <v>12</v>
      </c>
      <c r="CS19" s="19" t="e">
        <f t="shared" si="23"/>
        <v>#N/A</v>
      </c>
      <c r="CT19" s="19">
        <f t="shared" si="33"/>
        <v>12</v>
      </c>
    </row>
    <row r="20" spans="1:98" ht="11.25" customHeight="1" x14ac:dyDescent="0.2">
      <c r="A20" s="417">
        <v>0</v>
      </c>
      <c r="B20" s="417">
        <v>2</v>
      </c>
      <c r="C20" s="417">
        <v>4</v>
      </c>
      <c r="D20" s="417">
        <v>2</v>
      </c>
      <c r="E20" s="417">
        <v>2</v>
      </c>
      <c r="F20" s="417">
        <v>3</v>
      </c>
      <c r="G20" s="417">
        <v>16.243653813670193</v>
      </c>
      <c r="H20" s="417">
        <v>1.1592114081799831E-3</v>
      </c>
      <c r="I20" s="417">
        <v>13</v>
      </c>
      <c r="L20" s="399">
        <f>3000-L16</f>
        <v>13</v>
      </c>
      <c r="N20" s="442"/>
      <c r="O20" s="643"/>
      <c r="P20" s="587">
        <f t="shared" si="24"/>
        <v>0.41726999999999997</v>
      </c>
      <c r="AG20" s="410">
        <f t="shared" si="1"/>
        <v>0.41726999999999997</v>
      </c>
      <c r="AW20" s="411">
        <f t="shared" si="2"/>
        <v>0.41726999999999997</v>
      </c>
      <c r="BA20"/>
      <c r="BB20"/>
      <c r="BC20"/>
      <c r="BD20"/>
      <c r="BE20"/>
      <c r="BF20"/>
      <c r="BG20"/>
      <c r="BH20"/>
      <c r="BI20"/>
      <c r="BJ20"/>
      <c r="BK20"/>
      <c r="BL20"/>
      <c r="BM20"/>
      <c r="BN20"/>
      <c r="BO20" s="19">
        <v>-40</v>
      </c>
      <c r="BP20" s="19">
        <f t="shared" si="3"/>
        <v>10.132995426615409</v>
      </c>
      <c r="BQ20" s="19">
        <f t="shared" si="5"/>
        <v>4.5</v>
      </c>
      <c r="BR20" s="19">
        <f t="shared" si="6"/>
        <v>60.867008430680116</v>
      </c>
      <c r="BT20" s="422">
        <f t="shared" si="25"/>
        <v>13</v>
      </c>
      <c r="BU20" s="423">
        <f t="shared" si="7"/>
        <v>13</v>
      </c>
      <c r="BV20" s="399">
        <f t="shared" si="8"/>
        <v>60.867008430680116</v>
      </c>
      <c r="BW20" s="19">
        <v>6</v>
      </c>
      <c r="BX20" s="19">
        <f t="shared" si="9"/>
        <v>2.1468026008129413</v>
      </c>
      <c r="BY20" s="19" t="str">
        <f t="shared" si="10"/>
        <v xml:space="preserve">* </v>
      </c>
      <c r="BZ20" s="637">
        <f t="shared" si="11"/>
        <v>3.1809000205018201E-2</v>
      </c>
      <c r="CA20" s="19" t="e">
        <f t="shared" si="26"/>
        <v>#N/A</v>
      </c>
      <c r="CB20" s="19">
        <f t="shared" si="27"/>
        <v>13</v>
      </c>
      <c r="CC20" s="19" t="e">
        <f t="shared" si="28"/>
        <v>#N/A</v>
      </c>
      <c r="CD20" s="19">
        <f t="shared" si="12"/>
        <v>13</v>
      </c>
      <c r="CE20" s="19" t="e">
        <f t="shared" si="13"/>
        <v>#N/A</v>
      </c>
      <c r="CF20" s="19" t="e">
        <f t="shared" si="14"/>
        <v>#N/A</v>
      </c>
      <c r="CG20" s="19" t="e">
        <f t="shared" si="15"/>
        <v>#N/A</v>
      </c>
      <c r="CH20" s="19" t="e">
        <f t="shared" si="16"/>
        <v>#N/A</v>
      </c>
      <c r="CI20" s="19" t="e">
        <f t="shared" si="17"/>
        <v>#N/A</v>
      </c>
      <c r="CJ20" s="19">
        <f t="shared" si="18"/>
        <v>13</v>
      </c>
      <c r="CK20" s="19" t="e">
        <f t="shared" si="19"/>
        <v>#N/A</v>
      </c>
      <c r="CL20" s="19">
        <f t="shared" si="29"/>
        <v>13</v>
      </c>
      <c r="CM20" s="19" t="e">
        <f t="shared" si="20"/>
        <v>#N/A</v>
      </c>
      <c r="CN20" s="19">
        <f t="shared" si="30"/>
        <v>13</v>
      </c>
      <c r="CO20" s="19" t="e">
        <f t="shared" si="21"/>
        <v>#N/A</v>
      </c>
      <c r="CP20" s="19">
        <f t="shared" si="31"/>
        <v>13</v>
      </c>
      <c r="CQ20" s="19" t="e">
        <f t="shared" si="22"/>
        <v>#N/A</v>
      </c>
      <c r="CR20" s="19">
        <f t="shared" si="32"/>
        <v>13</v>
      </c>
      <c r="CS20" s="19" t="e">
        <f t="shared" si="23"/>
        <v>#N/A</v>
      </c>
      <c r="CT20" s="19">
        <f t="shared" si="33"/>
        <v>13</v>
      </c>
    </row>
    <row r="21" spans="1:98" ht="11.25" customHeight="1" x14ac:dyDescent="0.2">
      <c r="A21" s="417">
        <v>0</v>
      </c>
      <c r="B21" s="417">
        <v>2</v>
      </c>
      <c r="C21" s="417">
        <v>3</v>
      </c>
      <c r="D21" s="417">
        <v>2</v>
      </c>
      <c r="E21" s="417">
        <v>2</v>
      </c>
      <c r="F21" s="417">
        <v>3</v>
      </c>
      <c r="G21" s="417">
        <v>18.426000064762732</v>
      </c>
      <c r="H21" s="417">
        <v>2.285231063028359E-4</v>
      </c>
      <c r="I21" s="417">
        <v>12</v>
      </c>
      <c r="L21" s="399"/>
      <c r="N21" s="644"/>
      <c r="O21" s="645"/>
      <c r="P21" s="587">
        <f t="shared" si="24"/>
        <v>0.41726999999999997</v>
      </c>
      <c r="AG21" s="410">
        <f t="shared" si="1"/>
        <v>0.41726999999999997</v>
      </c>
      <c r="AW21" s="411">
        <f t="shared" si="2"/>
        <v>0.41726999999999997</v>
      </c>
      <c r="BA21"/>
      <c r="BB21"/>
      <c r="BC21"/>
      <c r="BD21"/>
      <c r="BE21"/>
      <c r="BF21"/>
      <c r="BG21"/>
      <c r="BH21"/>
      <c r="BI21"/>
      <c r="BJ21"/>
      <c r="BK21"/>
      <c r="BL21"/>
      <c r="BM21"/>
      <c r="BN21"/>
      <c r="BO21" s="19">
        <v>-30</v>
      </c>
      <c r="BP21" s="19">
        <f t="shared" si="3"/>
        <v>20.132995426615409</v>
      </c>
      <c r="BQ21" s="19">
        <f t="shared" si="5"/>
        <v>4.5</v>
      </c>
      <c r="BR21" s="19">
        <f t="shared" si="6"/>
        <v>70.317127985001406</v>
      </c>
      <c r="BT21" s="422">
        <f t="shared" si="25"/>
        <v>13</v>
      </c>
      <c r="BU21" s="423">
        <f t="shared" si="7"/>
        <v>14</v>
      </c>
      <c r="BV21" s="399">
        <f t="shared" si="8"/>
        <v>70.317127985001406</v>
      </c>
      <c r="BW21" s="19">
        <v>7</v>
      </c>
      <c r="BX21" s="19">
        <f t="shared" si="9"/>
        <v>4.0368265116771997</v>
      </c>
      <c r="BY21" s="19" t="str">
        <f t="shared" si="10"/>
        <v xml:space="preserve">*** </v>
      </c>
      <c r="BZ21" s="637">
        <f t="shared" si="11"/>
        <v>5.4179103288420905E-5</v>
      </c>
      <c r="CA21" s="19" t="e">
        <f t="shared" si="26"/>
        <v>#N/A</v>
      </c>
      <c r="CB21" s="19">
        <f t="shared" si="27"/>
        <v>14</v>
      </c>
      <c r="CC21" s="19" t="e">
        <f t="shared" si="28"/>
        <v>#N/A</v>
      </c>
      <c r="CD21" s="19">
        <f t="shared" si="12"/>
        <v>14</v>
      </c>
      <c r="CE21" s="19" t="e">
        <f t="shared" si="13"/>
        <v>#N/A</v>
      </c>
      <c r="CF21" s="19" t="e">
        <f t="shared" si="14"/>
        <v>#N/A</v>
      </c>
      <c r="CG21" s="19" t="e">
        <f t="shared" si="15"/>
        <v>#N/A</v>
      </c>
      <c r="CH21" s="19" t="e">
        <f t="shared" si="16"/>
        <v>#N/A</v>
      </c>
      <c r="CI21" s="19" t="e">
        <f t="shared" si="17"/>
        <v>#N/A</v>
      </c>
      <c r="CJ21" s="19">
        <f t="shared" si="18"/>
        <v>14</v>
      </c>
      <c r="CK21" s="19" t="e">
        <f t="shared" si="19"/>
        <v>#N/A</v>
      </c>
      <c r="CL21" s="19">
        <f t="shared" si="29"/>
        <v>14</v>
      </c>
      <c r="CM21" s="19" t="e">
        <f t="shared" si="20"/>
        <v>#N/A</v>
      </c>
      <c r="CN21" s="19">
        <f t="shared" si="30"/>
        <v>14</v>
      </c>
      <c r="CO21" s="19" t="e">
        <f t="shared" si="21"/>
        <v>#N/A</v>
      </c>
      <c r="CP21" s="19">
        <f t="shared" si="31"/>
        <v>14</v>
      </c>
      <c r="CQ21" s="19" t="e">
        <f t="shared" si="22"/>
        <v>#N/A</v>
      </c>
      <c r="CR21" s="19">
        <f t="shared" si="32"/>
        <v>14</v>
      </c>
      <c r="CS21" s="19" t="e">
        <f t="shared" si="23"/>
        <v>#N/A</v>
      </c>
      <c r="CT21" s="19">
        <f t="shared" si="33"/>
        <v>14</v>
      </c>
    </row>
    <row r="22" spans="1:98" ht="11.25" customHeight="1" x14ac:dyDescent="0.2">
      <c r="A22" s="365">
        <v>0</v>
      </c>
      <c r="B22" s="365">
        <v>1</v>
      </c>
      <c r="C22" s="365">
        <v>3</v>
      </c>
      <c r="D22" s="365">
        <v>2</v>
      </c>
      <c r="E22" s="365">
        <v>2</v>
      </c>
      <c r="F22" s="417">
        <v>3</v>
      </c>
      <c r="G22" s="417">
        <v>9.0154305962401793</v>
      </c>
      <c r="H22" s="417">
        <v>7.1374690764212101E-2</v>
      </c>
      <c r="I22" s="417">
        <v>11</v>
      </c>
      <c r="J22"/>
      <c r="L22" s="399"/>
      <c r="N22" s="644">
        <v>5</v>
      </c>
      <c r="O22" s="445"/>
      <c r="P22" s="587">
        <f t="shared" si="24"/>
        <v>0.41726999999999997</v>
      </c>
      <c r="Q22"/>
      <c r="R22"/>
      <c r="S22"/>
      <c r="T22"/>
      <c r="U22"/>
      <c r="V22"/>
      <c r="W22"/>
      <c r="X22"/>
      <c r="Y22"/>
      <c r="Z22"/>
      <c r="AA22"/>
      <c r="AB22"/>
      <c r="AC22"/>
      <c r="AD22"/>
      <c r="AE22"/>
      <c r="AF22"/>
      <c r="AG22" s="410">
        <f t="shared" si="1"/>
        <v>0.41726999999999997</v>
      </c>
      <c r="AR22"/>
      <c r="AW22" s="411">
        <f t="shared" si="2"/>
        <v>0.41726999999999997</v>
      </c>
      <c r="BA22"/>
      <c r="BB22"/>
      <c r="BC22"/>
      <c r="BD22"/>
      <c r="BE22"/>
      <c r="BF22"/>
      <c r="BG22"/>
      <c r="BH22"/>
      <c r="BI22"/>
      <c r="BJ22"/>
      <c r="BK22"/>
      <c r="BL22"/>
      <c r="BM22"/>
      <c r="BN22"/>
      <c r="BO22" s="19">
        <v>-20</v>
      </c>
      <c r="BP22" s="19">
        <f t="shared" si="3"/>
        <v>30.132995426615409</v>
      </c>
      <c r="BQ22" s="19">
        <f t="shared" si="5"/>
        <v>4.5</v>
      </c>
      <c r="BR22" s="19">
        <f t="shared" si="6"/>
        <v>55.874885905592812</v>
      </c>
      <c r="BT22" s="422">
        <f t="shared" si="25"/>
        <v>13</v>
      </c>
      <c r="BU22" s="423">
        <f t="shared" si="7"/>
        <v>15</v>
      </c>
      <c r="BV22" s="399">
        <f t="shared" si="8"/>
        <v>55.874885905592812</v>
      </c>
      <c r="BW22" s="19">
        <v>8</v>
      </c>
      <c r="BX22" s="19">
        <f t="shared" si="9"/>
        <v>1.1483780957954806</v>
      </c>
      <c r="BY22" s="19" t="str">
        <f t="shared" si="10"/>
        <v/>
      </c>
      <c r="BZ22" s="637">
        <f t="shared" si="11"/>
        <v>0.25081251215872991</v>
      </c>
      <c r="CA22" s="19" t="e">
        <f t="shared" si="26"/>
        <v>#N/A</v>
      </c>
      <c r="CB22" s="19">
        <f t="shared" si="27"/>
        <v>15</v>
      </c>
      <c r="CC22" s="19" t="e">
        <f t="shared" si="28"/>
        <v>#N/A</v>
      </c>
      <c r="CD22" s="19">
        <f t="shared" si="12"/>
        <v>15</v>
      </c>
      <c r="CE22" s="19" t="e">
        <f t="shared" si="13"/>
        <v>#N/A</v>
      </c>
      <c r="CF22" s="19" t="e">
        <f t="shared" si="14"/>
        <v>#N/A</v>
      </c>
      <c r="CG22" s="19" t="e">
        <f t="shared" si="15"/>
        <v>#N/A</v>
      </c>
      <c r="CH22" s="19" t="e">
        <f t="shared" si="16"/>
        <v>#N/A</v>
      </c>
      <c r="CI22" s="19" t="e">
        <f t="shared" si="17"/>
        <v>#N/A</v>
      </c>
      <c r="CJ22" s="19">
        <f t="shared" si="18"/>
        <v>15</v>
      </c>
      <c r="CK22" s="19" t="e">
        <f t="shared" si="19"/>
        <v>#N/A</v>
      </c>
      <c r="CL22" s="19">
        <f t="shared" si="29"/>
        <v>15</v>
      </c>
      <c r="CM22" s="19" t="e">
        <f t="shared" si="20"/>
        <v>#N/A</v>
      </c>
      <c r="CN22" s="19">
        <f t="shared" si="30"/>
        <v>15</v>
      </c>
      <c r="CO22" s="19" t="e">
        <f t="shared" si="21"/>
        <v>#N/A</v>
      </c>
      <c r="CP22" s="19">
        <f t="shared" si="31"/>
        <v>15</v>
      </c>
      <c r="CQ22" s="19" t="e">
        <f t="shared" si="22"/>
        <v>#N/A</v>
      </c>
      <c r="CR22" s="19">
        <f t="shared" si="32"/>
        <v>15</v>
      </c>
      <c r="CS22" s="19" t="e">
        <f t="shared" si="23"/>
        <v>#N/A</v>
      </c>
      <c r="CT22" s="19">
        <f t="shared" si="33"/>
        <v>15</v>
      </c>
    </row>
    <row r="23" spans="1:98" ht="11.25" customHeight="1" x14ac:dyDescent="0.2">
      <c r="A23" s="417">
        <v>0</v>
      </c>
      <c r="B23" s="417">
        <v>1</v>
      </c>
      <c r="C23" s="417">
        <v>3</v>
      </c>
      <c r="D23" s="417">
        <v>2</v>
      </c>
      <c r="E23" s="417">
        <v>1</v>
      </c>
      <c r="F23" s="417">
        <v>3</v>
      </c>
      <c r="G23" s="605">
        <v>17.745340513832112</v>
      </c>
      <c r="H23" s="417">
        <v>3.8659708141475235E-4</v>
      </c>
      <c r="I23" s="417">
        <v>10</v>
      </c>
      <c r="L23" s="399"/>
      <c r="N23" s="531"/>
      <c r="O23" s="445" t="s">
        <v>919</v>
      </c>
      <c r="P23" s="587">
        <f t="shared" si="24"/>
        <v>0.41726999999999997</v>
      </c>
      <c r="Q23"/>
      <c r="R23"/>
      <c r="S23"/>
      <c r="T23"/>
      <c r="U23"/>
      <c r="V23"/>
      <c r="W23"/>
      <c r="X23"/>
      <c r="Y23"/>
      <c r="Z23"/>
      <c r="AA23"/>
      <c r="AB23"/>
      <c r="AC23"/>
      <c r="AD23"/>
      <c r="AE23"/>
      <c r="AF23"/>
      <c r="AG23" s="410">
        <f t="shared" si="1"/>
        <v>0.41726999999999997</v>
      </c>
      <c r="AQ23"/>
      <c r="AR23"/>
      <c r="AW23" s="411">
        <f t="shared" si="2"/>
        <v>0.41726999999999997</v>
      </c>
      <c r="BA23"/>
      <c r="BB23"/>
      <c r="BC23"/>
      <c r="BD23"/>
      <c r="BE23"/>
      <c r="BF23"/>
      <c r="BG23"/>
      <c r="BH23"/>
      <c r="BI23"/>
      <c r="BJ23"/>
      <c r="BK23"/>
      <c r="BL23"/>
      <c r="BM23"/>
      <c r="BN23"/>
      <c r="BO23" s="19">
        <v>-10</v>
      </c>
      <c r="BP23" s="19">
        <f t="shared" si="3"/>
        <v>40.132995426615409</v>
      </c>
      <c r="BQ23" s="19">
        <f t="shared" si="5"/>
        <v>4.5</v>
      </c>
      <c r="BR23" s="19">
        <f t="shared" si="6"/>
        <v>74.734621698075927</v>
      </c>
      <c r="BT23" s="422">
        <f t="shared" si="25"/>
        <v>13</v>
      </c>
      <c r="BU23" s="423">
        <f t="shared" si="7"/>
        <v>16</v>
      </c>
      <c r="BV23" s="399">
        <f t="shared" si="8"/>
        <v>74.734621698075927</v>
      </c>
      <c r="BW23" s="19">
        <v>9</v>
      </c>
      <c r="BX23" s="19">
        <f t="shared" si="9"/>
        <v>4.9203252542921048</v>
      </c>
      <c r="BY23" s="19" t="str">
        <f t="shared" si="10"/>
        <v xml:space="preserve">*** </v>
      </c>
      <c r="BZ23" s="637">
        <f t="shared" si="11"/>
        <v>8.6400510412865117E-7</v>
      </c>
      <c r="CA23" s="19" t="e">
        <f t="shared" si="26"/>
        <v>#N/A</v>
      </c>
      <c r="CB23" s="19">
        <f t="shared" si="27"/>
        <v>16</v>
      </c>
      <c r="CC23" s="19" t="e">
        <f t="shared" si="28"/>
        <v>#N/A</v>
      </c>
      <c r="CD23" s="19">
        <f t="shared" si="12"/>
        <v>16</v>
      </c>
      <c r="CE23" s="19" t="e">
        <f t="shared" si="13"/>
        <v>#N/A</v>
      </c>
      <c r="CF23" s="19" t="e">
        <f t="shared" si="14"/>
        <v>#N/A</v>
      </c>
      <c r="CG23" s="19" t="e">
        <f t="shared" si="15"/>
        <v>#N/A</v>
      </c>
      <c r="CH23" s="19" t="e">
        <f t="shared" si="16"/>
        <v>#N/A</v>
      </c>
      <c r="CI23" s="19" t="e">
        <f t="shared" si="17"/>
        <v>#N/A</v>
      </c>
      <c r="CJ23" s="19">
        <f t="shared" si="18"/>
        <v>16</v>
      </c>
      <c r="CK23" s="19" t="e">
        <f t="shared" si="19"/>
        <v>#N/A</v>
      </c>
      <c r="CL23" s="19">
        <f t="shared" si="29"/>
        <v>16</v>
      </c>
      <c r="CM23" s="19" t="e">
        <f t="shared" si="20"/>
        <v>#N/A</v>
      </c>
      <c r="CN23" s="19">
        <f t="shared" si="30"/>
        <v>16</v>
      </c>
      <c r="CO23" s="19" t="e">
        <f t="shared" si="21"/>
        <v>#N/A</v>
      </c>
      <c r="CP23" s="19">
        <f t="shared" si="31"/>
        <v>16</v>
      </c>
      <c r="CQ23" s="19" t="e">
        <f t="shared" si="22"/>
        <v>#N/A</v>
      </c>
      <c r="CR23" s="19">
        <f t="shared" si="32"/>
        <v>16</v>
      </c>
      <c r="CS23" s="19" t="e">
        <f t="shared" si="23"/>
        <v>#N/A</v>
      </c>
      <c r="CT23" s="19">
        <f t="shared" si="33"/>
        <v>16</v>
      </c>
    </row>
    <row r="24" spans="1:98" ht="11.25" customHeight="1" x14ac:dyDescent="0.2">
      <c r="A24" s="417">
        <v>0</v>
      </c>
      <c r="B24" s="417">
        <v>0</v>
      </c>
      <c r="C24" s="417">
        <v>3</v>
      </c>
      <c r="D24" s="417">
        <v>2</v>
      </c>
      <c r="E24" s="417">
        <v>1</v>
      </c>
      <c r="F24" s="417">
        <v>3</v>
      </c>
      <c r="G24" s="417">
        <v>13.301043229911286</v>
      </c>
      <c r="H24" s="417">
        <v>7.8092258495963129E-3</v>
      </c>
      <c r="I24" s="417">
        <v>9</v>
      </c>
      <c r="N24" s="442"/>
      <c r="O24" s="445"/>
      <c r="P24" s="587">
        <f t="shared" si="24"/>
        <v>0.41726999999999997</v>
      </c>
      <c r="Q24"/>
      <c r="R24"/>
      <c r="S24"/>
      <c r="T24"/>
      <c r="U24"/>
      <c r="V24"/>
      <c r="W24"/>
      <c r="X24"/>
      <c r="Y24"/>
      <c r="Z24"/>
      <c r="AA24"/>
      <c r="AB24"/>
      <c r="AC24"/>
      <c r="AD24"/>
      <c r="AE24"/>
      <c r="AF24"/>
      <c r="AG24" s="410">
        <f t="shared" si="1"/>
        <v>0.41726999999999997</v>
      </c>
      <c r="AQ24"/>
      <c r="AR24"/>
      <c r="AW24" s="411">
        <f t="shared" si="2"/>
        <v>0.41726999999999997</v>
      </c>
      <c r="BA24"/>
      <c r="BB24"/>
      <c r="BC24"/>
      <c r="BD24"/>
      <c r="BE24"/>
      <c r="BF24"/>
      <c r="BG24"/>
      <c r="BH24"/>
      <c r="BI24"/>
      <c r="BJ24"/>
      <c r="BK24"/>
      <c r="BL24"/>
      <c r="BM24"/>
      <c r="BN24"/>
      <c r="BO24" s="19">
        <v>0</v>
      </c>
      <c r="BP24" s="19">
        <f t="shared" si="3"/>
        <v>50.132995426615409</v>
      </c>
      <c r="BQ24" s="19">
        <f t="shared" si="5"/>
        <v>4.5</v>
      </c>
      <c r="BR24" s="19">
        <f t="shared" si="6"/>
        <v>54.146718297468112</v>
      </c>
      <c r="BT24" s="422">
        <f t="shared" si="25"/>
        <v>13</v>
      </c>
      <c r="BU24" s="423">
        <f t="shared" si="7"/>
        <v>17</v>
      </c>
      <c r="BV24" s="399">
        <f t="shared" si="8"/>
        <v>54.146718297468112</v>
      </c>
      <c r="BW24" s="19">
        <v>10</v>
      </c>
      <c r="BX24" s="19">
        <f t="shared" si="9"/>
        <v>0.80274457417054068</v>
      </c>
      <c r="BY24" s="19" t="str">
        <f t="shared" si="10"/>
        <v/>
      </c>
      <c r="BZ24" s="637">
        <f t="shared" si="11"/>
        <v>0.42212238370135458</v>
      </c>
      <c r="CA24" s="19" t="e">
        <f t="shared" si="26"/>
        <v>#N/A</v>
      </c>
      <c r="CB24" s="19">
        <f t="shared" si="27"/>
        <v>17</v>
      </c>
      <c r="CC24" s="19" t="e">
        <f t="shared" si="28"/>
        <v>#N/A</v>
      </c>
      <c r="CD24" s="19">
        <f t="shared" si="12"/>
        <v>17</v>
      </c>
      <c r="CE24" s="19" t="e">
        <f t="shared" si="13"/>
        <v>#N/A</v>
      </c>
      <c r="CF24" s="19" t="e">
        <f t="shared" si="14"/>
        <v>#N/A</v>
      </c>
      <c r="CG24" s="19" t="e">
        <f t="shared" si="15"/>
        <v>#N/A</v>
      </c>
      <c r="CH24" s="19" t="e">
        <f t="shared" si="16"/>
        <v>#N/A</v>
      </c>
      <c r="CI24" s="19" t="e">
        <f t="shared" si="17"/>
        <v>#N/A</v>
      </c>
      <c r="CJ24" s="19">
        <f t="shared" si="18"/>
        <v>17</v>
      </c>
      <c r="CK24" s="19" t="e">
        <f t="shared" si="19"/>
        <v>#N/A</v>
      </c>
      <c r="CL24" s="19">
        <f t="shared" si="29"/>
        <v>17</v>
      </c>
      <c r="CM24" s="19" t="e">
        <f t="shared" si="20"/>
        <v>#N/A</v>
      </c>
      <c r="CN24" s="19">
        <f t="shared" si="30"/>
        <v>17</v>
      </c>
      <c r="CO24" s="19" t="e">
        <f t="shared" si="21"/>
        <v>#N/A</v>
      </c>
      <c r="CP24" s="19">
        <f t="shared" si="31"/>
        <v>17</v>
      </c>
      <c r="CQ24" s="19" t="e">
        <f t="shared" si="22"/>
        <v>#N/A</v>
      </c>
      <c r="CR24" s="19">
        <f t="shared" si="32"/>
        <v>17</v>
      </c>
      <c r="CS24" s="19" t="e">
        <f t="shared" si="23"/>
        <v>#N/A</v>
      </c>
      <c r="CT24" s="19">
        <f t="shared" si="33"/>
        <v>17</v>
      </c>
    </row>
    <row r="25" spans="1:98" ht="11.25" customHeight="1" x14ac:dyDescent="0.2">
      <c r="A25" s="417">
        <v>0</v>
      </c>
      <c r="B25" s="417">
        <v>0</v>
      </c>
      <c r="C25" s="417">
        <v>2</v>
      </c>
      <c r="D25" s="417">
        <v>2</v>
      </c>
      <c r="E25" s="417">
        <v>1</v>
      </c>
      <c r="F25" s="417">
        <v>3</v>
      </c>
      <c r="G25" s="417">
        <v>3.6367213097144528</v>
      </c>
      <c r="H25" s="417">
        <v>0.46701508996484886</v>
      </c>
      <c r="I25" s="417">
        <v>8</v>
      </c>
      <c r="N25" s="442"/>
      <c r="O25" s="445"/>
      <c r="P25" s="587">
        <f t="shared" si="24"/>
        <v>0.41726999999999997</v>
      </c>
      <c r="Q25"/>
      <c r="R25"/>
      <c r="S25"/>
      <c r="T25"/>
      <c r="U25"/>
      <c r="V25"/>
      <c r="W25"/>
      <c r="X25"/>
      <c r="Y25"/>
      <c r="Z25"/>
      <c r="AA25"/>
      <c r="AB25"/>
      <c r="AC25"/>
      <c r="AD25"/>
      <c r="AE25"/>
      <c r="AF25"/>
      <c r="AG25" s="410">
        <f t="shared" si="1"/>
        <v>0.41726999999999997</v>
      </c>
      <c r="AW25" s="411">
        <f t="shared" si="2"/>
        <v>0.41726999999999997</v>
      </c>
      <c r="BA25"/>
      <c r="BB25"/>
      <c r="BC25"/>
      <c r="BD25"/>
      <c r="BE25"/>
      <c r="BF25"/>
      <c r="BG25"/>
      <c r="BH25"/>
      <c r="BI25"/>
      <c r="BJ25"/>
      <c r="BK25"/>
      <c r="BL25"/>
      <c r="BM25"/>
      <c r="BN25"/>
      <c r="BO25" s="19">
        <v>10</v>
      </c>
      <c r="BP25" s="19">
        <f t="shared" si="3"/>
        <v>60.132995426615409</v>
      </c>
      <c r="BQ25" s="19">
        <f t="shared" si="5"/>
        <v>4.5</v>
      </c>
      <c r="BR25" s="19">
        <f t="shared" si="6"/>
        <v>58.349914186558415</v>
      </c>
      <c r="BT25" s="422">
        <f t="shared" si="25"/>
        <v>13</v>
      </c>
      <c r="BU25" s="423">
        <f t="shared" si="7"/>
        <v>18</v>
      </c>
      <c r="BV25" s="399">
        <f t="shared" si="8"/>
        <v>58.349914186558415</v>
      </c>
      <c r="BW25" s="19">
        <v>11</v>
      </c>
      <c r="BX25" s="19">
        <f t="shared" si="9"/>
        <v>1.6433837519886012</v>
      </c>
      <c r="BY25" s="19" t="str">
        <f t="shared" si="10"/>
        <v/>
      </c>
      <c r="BZ25" s="637">
        <f t="shared" si="11"/>
        <v>0.10030355969658911</v>
      </c>
      <c r="CA25" s="19" t="e">
        <f t="shared" si="26"/>
        <v>#N/A</v>
      </c>
      <c r="CB25" s="19">
        <f t="shared" si="27"/>
        <v>18</v>
      </c>
      <c r="CC25" s="19" t="e">
        <f t="shared" si="28"/>
        <v>#N/A</v>
      </c>
      <c r="CD25" s="19">
        <f t="shared" si="12"/>
        <v>18</v>
      </c>
      <c r="CE25" s="19" t="e">
        <f t="shared" si="13"/>
        <v>#N/A</v>
      </c>
      <c r="CF25" s="19" t="e">
        <f t="shared" si="14"/>
        <v>#N/A</v>
      </c>
      <c r="CG25" s="19" t="e">
        <f t="shared" si="15"/>
        <v>#N/A</v>
      </c>
      <c r="CH25" s="19" t="e">
        <f t="shared" si="16"/>
        <v>#N/A</v>
      </c>
      <c r="CI25" s="19" t="e">
        <f t="shared" si="17"/>
        <v>#N/A</v>
      </c>
      <c r="CJ25" s="19">
        <f t="shared" si="18"/>
        <v>18</v>
      </c>
      <c r="CK25" s="19" t="e">
        <f t="shared" si="19"/>
        <v>#N/A</v>
      </c>
      <c r="CL25" s="19">
        <f t="shared" si="29"/>
        <v>18</v>
      </c>
      <c r="CM25" s="19" t="e">
        <f t="shared" si="20"/>
        <v>#N/A</v>
      </c>
      <c r="CN25" s="19">
        <f t="shared" si="30"/>
        <v>18</v>
      </c>
      <c r="CO25" s="19" t="e">
        <f t="shared" si="21"/>
        <v>#N/A</v>
      </c>
      <c r="CP25" s="19">
        <f t="shared" si="31"/>
        <v>18</v>
      </c>
      <c r="CQ25" s="19" t="e">
        <f t="shared" si="22"/>
        <v>#N/A</v>
      </c>
      <c r="CR25" s="19">
        <f t="shared" si="32"/>
        <v>18</v>
      </c>
      <c r="CS25" s="19" t="e">
        <f t="shared" si="23"/>
        <v>#N/A</v>
      </c>
      <c r="CT25" s="19">
        <f t="shared" si="33"/>
        <v>18</v>
      </c>
    </row>
    <row r="26" spans="1:98" ht="11.25" customHeight="1" x14ac:dyDescent="0.2">
      <c r="A26" s="417">
        <v>0</v>
      </c>
      <c r="B26" s="417">
        <v>0</v>
      </c>
      <c r="C26" s="417">
        <v>2</v>
      </c>
      <c r="D26" s="417">
        <v>2</v>
      </c>
      <c r="E26" s="417">
        <v>1</v>
      </c>
      <c r="F26" s="417">
        <v>2</v>
      </c>
      <c r="G26" s="417">
        <v>14.01619661875408</v>
      </c>
      <c r="H26" s="417">
        <v>5.0592111917480143E-3</v>
      </c>
      <c r="I26" s="417">
        <v>7</v>
      </c>
      <c r="N26" s="644">
        <v>6</v>
      </c>
      <c r="O26" s="445"/>
      <c r="P26" s="587">
        <f t="shared" si="24"/>
        <v>0.41726999999999997</v>
      </c>
      <c r="Q26"/>
      <c r="R26"/>
      <c r="S26"/>
      <c r="T26"/>
      <c r="U26"/>
      <c r="V26"/>
      <c r="W26"/>
      <c r="X26"/>
      <c r="Y26"/>
      <c r="Z26"/>
      <c r="AA26"/>
      <c r="AB26"/>
      <c r="AC26"/>
      <c r="AD26"/>
      <c r="AE26"/>
      <c r="AF26"/>
      <c r="AG26" s="410">
        <f t="shared" si="1"/>
        <v>0.41726999999999997</v>
      </c>
      <c r="AQ26" s="417"/>
      <c r="AW26" s="411">
        <f t="shared" si="2"/>
        <v>0.41726999999999997</v>
      </c>
      <c r="BA26"/>
      <c r="BB26"/>
      <c r="BC26"/>
      <c r="BD26"/>
      <c r="BE26"/>
      <c r="BF26"/>
      <c r="BG26"/>
      <c r="BH26"/>
      <c r="BI26"/>
      <c r="BJ26"/>
      <c r="BK26"/>
      <c r="BL26"/>
      <c r="BM26"/>
      <c r="BN26"/>
      <c r="BO26" s="19">
        <v>20</v>
      </c>
      <c r="BP26" s="19">
        <f t="shared" si="3"/>
        <v>70.132995426615409</v>
      </c>
      <c r="BQ26" s="19">
        <f t="shared" si="5"/>
        <v>4.5</v>
      </c>
      <c r="BR26" s="19">
        <f t="shared" si="6"/>
        <v>56.392947275174642</v>
      </c>
      <c r="BT26" s="422">
        <f t="shared" si="25"/>
        <v>13</v>
      </c>
      <c r="BU26" s="423">
        <f t="shared" si="7"/>
        <v>19</v>
      </c>
      <c r="BV26" s="399">
        <f t="shared" si="8"/>
        <v>56.392947275174642</v>
      </c>
      <c r="BW26" s="19">
        <v>12</v>
      </c>
      <c r="BX26" s="19">
        <f t="shared" si="9"/>
        <v>1.2519903697118466</v>
      </c>
      <c r="BY26" s="19" t="str">
        <f t="shared" si="10"/>
        <v/>
      </c>
      <c r="BZ26" s="637">
        <f t="shared" si="11"/>
        <v>0.21057337312012159</v>
      </c>
      <c r="CA26" s="19" t="e">
        <f t="shared" si="26"/>
        <v>#N/A</v>
      </c>
      <c r="CB26" s="19">
        <f t="shared" si="27"/>
        <v>19</v>
      </c>
      <c r="CC26" s="19" t="e">
        <f t="shared" si="28"/>
        <v>#N/A</v>
      </c>
      <c r="CD26" s="19">
        <f t="shared" si="12"/>
        <v>19</v>
      </c>
      <c r="CE26" s="19" t="e">
        <f t="shared" si="13"/>
        <v>#N/A</v>
      </c>
      <c r="CF26" s="19" t="e">
        <f t="shared" si="14"/>
        <v>#N/A</v>
      </c>
      <c r="CG26" s="19" t="e">
        <f t="shared" si="15"/>
        <v>#N/A</v>
      </c>
      <c r="CH26" s="19" t="e">
        <f t="shared" si="16"/>
        <v>#N/A</v>
      </c>
      <c r="CI26" s="19" t="e">
        <f t="shared" si="17"/>
        <v>#N/A</v>
      </c>
      <c r="CJ26" s="19">
        <f t="shared" si="18"/>
        <v>19</v>
      </c>
      <c r="CK26" s="19" t="e">
        <f t="shared" si="19"/>
        <v>#N/A</v>
      </c>
      <c r="CL26" s="19">
        <f t="shared" si="29"/>
        <v>19</v>
      </c>
      <c r="CM26" s="19" t="e">
        <f t="shared" si="20"/>
        <v>#N/A</v>
      </c>
      <c r="CN26" s="19">
        <f t="shared" si="30"/>
        <v>19</v>
      </c>
      <c r="CO26" s="19" t="e">
        <f t="shared" si="21"/>
        <v>#N/A</v>
      </c>
      <c r="CP26" s="19">
        <f t="shared" si="31"/>
        <v>19</v>
      </c>
      <c r="CQ26" s="19" t="e">
        <f t="shared" si="22"/>
        <v>#N/A</v>
      </c>
      <c r="CR26" s="19">
        <f t="shared" si="32"/>
        <v>19</v>
      </c>
      <c r="CS26" s="19" t="e">
        <f t="shared" si="23"/>
        <v>#N/A</v>
      </c>
      <c r="CT26" s="19">
        <f t="shared" si="33"/>
        <v>19</v>
      </c>
    </row>
    <row r="27" spans="1:98" ht="11.25" customHeight="1" x14ac:dyDescent="0.2">
      <c r="A27" s="417">
        <v>0</v>
      </c>
      <c r="B27" s="417">
        <v>0</v>
      </c>
      <c r="C27" s="417">
        <v>1</v>
      </c>
      <c r="D27" s="417">
        <v>2</v>
      </c>
      <c r="E27" s="417">
        <v>1</v>
      </c>
      <c r="F27" s="417">
        <v>2</v>
      </c>
      <c r="G27" s="417">
        <v>8.658913457356725</v>
      </c>
      <c r="H27" s="417">
        <v>8.3312261022662204E-2</v>
      </c>
      <c r="I27" s="417">
        <v>6</v>
      </c>
      <c r="N27" s="442" t="s">
        <v>1028</v>
      </c>
      <c r="O27" s="646"/>
      <c r="P27" s="587">
        <f t="shared" si="24"/>
        <v>0.41726999999999997</v>
      </c>
      <c r="Q27"/>
      <c r="R27"/>
      <c r="S27"/>
      <c r="T27"/>
      <c r="U27"/>
      <c r="V27"/>
      <c r="W27"/>
      <c r="X27"/>
      <c r="Y27"/>
      <c r="Z27"/>
      <c r="AA27"/>
      <c r="AB27"/>
      <c r="AC27"/>
      <c r="AD27"/>
      <c r="AE27"/>
      <c r="AF27"/>
      <c r="AG27" s="410">
        <f t="shared" si="1"/>
        <v>0.41726999999999997</v>
      </c>
      <c r="AW27" s="411">
        <f t="shared" si="2"/>
        <v>0.41726999999999997</v>
      </c>
      <c r="BA27"/>
      <c r="BB27"/>
      <c r="BC27"/>
      <c r="BD27"/>
      <c r="BE27"/>
      <c r="BF27"/>
      <c r="BG27"/>
      <c r="BH27"/>
      <c r="BI27"/>
      <c r="BJ27"/>
      <c r="BK27"/>
      <c r="BL27"/>
      <c r="BM27"/>
      <c r="BN27"/>
      <c r="BO27" s="19">
        <v>30</v>
      </c>
      <c r="BP27" s="19">
        <f t="shared" si="3"/>
        <v>80.132995426615409</v>
      </c>
      <c r="BQ27" s="19">
        <f t="shared" si="5"/>
        <v>4.5</v>
      </c>
      <c r="BR27" s="19">
        <f t="shared" si="6"/>
        <v>67.12215461964847</v>
      </c>
      <c r="BT27" s="422">
        <f t="shared" si="25"/>
        <v>13</v>
      </c>
      <c r="BU27" s="423">
        <f t="shared" si="7"/>
        <v>20</v>
      </c>
      <c r="BV27" s="399">
        <f t="shared" si="8"/>
        <v>67.12215461964847</v>
      </c>
      <c r="BW27" s="19">
        <v>13</v>
      </c>
      <c r="BX27" s="19">
        <f t="shared" si="9"/>
        <v>3.3978318386066122</v>
      </c>
      <c r="BY27" s="19" t="str">
        <f t="shared" si="10"/>
        <v xml:space="preserve">*** </v>
      </c>
      <c r="BZ27" s="637">
        <f t="shared" si="11"/>
        <v>6.7922157041966358E-4</v>
      </c>
      <c r="CA27" s="19" t="e">
        <f t="shared" si="26"/>
        <v>#N/A</v>
      </c>
      <c r="CB27" s="19">
        <f t="shared" si="27"/>
        <v>20</v>
      </c>
      <c r="CC27" s="19" t="e">
        <f t="shared" si="28"/>
        <v>#N/A</v>
      </c>
      <c r="CD27" s="19">
        <f t="shared" si="12"/>
        <v>20</v>
      </c>
      <c r="CE27" s="19" t="e">
        <f t="shared" si="13"/>
        <v>#N/A</v>
      </c>
      <c r="CF27" s="19" t="e">
        <f t="shared" si="14"/>
        <v>#N/A</v>
      </c>
      <c r="CG27" s="19" t="e">
        <f t="shared" si="15"/>
        <v>#N/A</v>
      </c>
      <c r="CH27" s="19" t="e">
        <f t="shared" si="16"/>
        <v>#N/A</v>
      </c>
      <c r="CI27" s="19" t="e">
        <f t="shared" si="17"/>
        <v>#N/A</v>
      </c>
      <c r="CJ27" s="19">
        <f t="shared" si="18"/>
        <v>20</v>
      </c>
      <c r="CK27" s="19" t="e">
        <f t="shared" si="19"/>
        <v>#N/A</v>
      </c>
      <c r="CL27" s="19">
        <f t="shared" si="29"/>
        <v>20</v>
      </c>
      <c r="CM27" s="19" t="e">
        <f t="shared" si="20"/>
        <v>#N/A</v>
      </c>
      <c r="CN27" s="19">
        <f t="shared" si="30"/>
        <v>20</v>
      </c>
      <c r="CO27" s="19" t="e">
        <f t="shared" si="21"/>
        <v>#N/A</v>
      </c>
      <c r="CP27" s="19">
        <f t="shared" si="31"/>
        <v>20</v>
      </c>
      <c r="CQ27" s="19" t="e">
        <f t="shared" si="22"/>
        <v>#N/A</v>
      </c>
      <c r="CR27" s="19">
        <f t="shared" si="32"/>
        <v>20</v>
      </c>
      <c r="CS27" s="19" t="e">
        <f t="shared" si="23"/>
        <v>#N/A</v>
      </c>
      <c r="CT27" s="19">
        <f t="shared" si="33"/>
        <v>20</v>
      </c>
    </row>
    <row r="28" spans="1:98" ht="11.25" customHeight="1" x14ac:dyDescent="0.2">
      <c r="A28" s="365">
        <v>0</v>
      </c>
      <c r="B28" s="365">
        <v>0</v>
      </c>
      <c r="C28" s="365">
        <v>1</v>
      </c>
      <c r="D28" s="365">
        <v>2</v>
      </c>
      <c r="E28" s="365">
        <v>0</v>
      </c>
      <c r="F28" s="417">
        <v>2</v>
      </c>
      <c r="G28" s="417">
        <v>-1.0251097303161671</v>
      </c>
      <c r="H28" s="417">
        <v>0.83755497873774409</v>
      </c>
      <c r="I28" s="417">
        <v>5</v>
      </c>
      <c r="N28" s="442" t="s">
        <v>920</v>
      </c>
      <c r="O28" s="445"/>
      <c r="P28" s="587">
        <f t="shared" si="24"/>
        <v>0.41726999999999997</v>
      </c>
      <c r="Q28"/>
      <c r="R28"/>
      <c r="S28"/>
      <c r="T28"/>
      <c r="U28"/>
      <c r="V28"/>
      <c r="W28"/>
      <c r="X28"/>
      <c r="Y28"/>
      <c r="Z28"/>
      <c r="AA28"/>
      <c r="AB28"/>
      <c r="AC28"/>
      <c r="AD28"/>
      <c r="AE28"/>
      <c r="AF28"/>
      <c r="AG28" s="410">
        <f t="shared" si="1"/>
        <v>0.41726999999999997</v>
      </c>
      <c r="AW28" s="411">
        <f t="shared" si="2"/>
        <v>0.41726999999999997</v>
      </c>
      <c r="BA28"/>
      <c r="BB28"/>
      <c r="BC28"/>
      <c r="BD28"/>
      <c r="BE28"/>
      <c r="BF28"/>
      <c r="BG28"/>
      <c r="BH28"/>
      <c r="BI28"/>
      <c r="BJ28"/>
      <c r="BK28"/>
      <c r="BL28"/>
      <c r="BM28"/>
      <c r="BN28"/>
      <c r="BO28" s="19">
        <v>40</v>
      </c>
      <c r="BP28" s="19">
        <f t="shared" si="3"/>
        <v>90.132995426615409</v>
      </c>
      <c r="BQ28" s="19">
        <f t="shared" si="5"/>
        <v>4.5</v>
      </c>
      <c r="BR28" s="19">
        <f t="shared" si="6"/>
        <v>63.427818301520887</v>
      </c>
      <c r="BT28" s="422">
        <f t="shared" si="25"/>
        <v>13</v>
      </c>
      <c r="BU28" s="423">
        <f t="shared" si="7"/>
        <v>21</v>
      </c>
      <c r="BV28" s="399">
        <f t="shared" si="8"/>
        <v>63.427818301520887</v>
      </c>
      <c r="BW28" s="19">
        <v>14</v>
      </c>
      <c r="BX28" s="19">
        <f t="shared" si="9"/>
        <v>2.6589645749810957</v>
      </c>
      <c r="BY28" s="19" t="str">
        <f t="shared" si="10"/>
        <v xml:space="preserve">** </v>
      </c>
      <c r="BZ28" s="637">
        <f t="shared" si="11"/>
        <v>7.8381203972914815E-3</v>
      </c>
      <c r="CA28" s="19" t="e">
        <f t="shared" si="26"/>
        <v>#N/A</v>
      </c>
      <c r="CB28" s="19">
        <f t="shared" si="27"/>
        <v>21</v>
      </c>
      <c r="CC28" s="19" t="e">
        <f t="shared" si="28"/>
        <v>#N/A</v>
      </c>
      <c r="CD28" s="19">
        <f t="shared" si="12"/>
        <v>21</v>
      </c>
      <c r="CE28" s="19" t="e">
        <f t="shared" si="13"/>
        <v>#N/A</v>
      </c>
      <c r="CF28" s="19" t="e">
        <f t="shared" si="14"/>
        <v>#N/A</v>
      </c>
      <c r="CG28" s="19" t="e">
        <f t="shared" si="15"/>
        <v>#N/A</v>
      </c>
      <c r="CH28" s="19" t="e">
        <f t="shared" si="16"/>
        <v>#N/A</v>
      </c>
      <c r="CI28" s="19" t="e">
        <f t="shared" si="17"/>
        <v>#N/A</v>
      </c>
      <c r="CJ28" s="19">
        <f t="shared" si="18"/>
        <v>21</v>
      </c>
      <c r="CK28" s="19" t="e">
        <f t="shared" si="19"/>
        <v>#N/A</v>
      </c>
      <c r="CL28" s="19">
        <f t="shared" si="29"/>
        <v>21</v>
      </c>
      <c r="CM28" s="19" t="e">
        <f t="shared" si="20"/>
        <v>#N/A</v>
      </c>
      <c r="CN28" s="19">
        <f t="shared" si="30"/>
        <v>21</v>
      </c>
      <c r="CO28" s="19" t="e">
        <f t="shared" si="21"/>
        <v>#N/A</v>
      </c>
      <c r="CP28" s="19">
        <f t="shared" si="31"/>
        <v>21</v>
      </c>
      <c r="CQ28" s="19" t="e">
        <f t="shared" si="22"/>
        <v>#N/A</v>
      </c>
      <c r="CR28" s="19">
        <f t="shared" si="32"/>
        <v>21</v>
      </c>
      <c r="CS28" s="19" t="e">
        <f t="shared" si="23"/>
        <v>#N/A</v>
      </c>
      <c r="CT28" s="19">
        <f t="shared" si="33"/>
        <v>21</v>
      </c>
    </row>
    <row r="29" spans="1:98" ht="11.25" customHeight="1" x14ac:dyDescent="0.2">
      <c r="G29" s="417"/>
      <c r="H29" s="417"/>
      <c r="I29" s="417"/>
      <c r="N29" s="442"/>
      <c r="O29" s="445"/>
      <c r="P29" s="587">
        <f t="shared" si="24"/>
        <v>0.41726999999999997</v>
      </c>
      <c r="Q29"/>
      <c r="R29"/>
      <c r="S29"/>
      <c r="T29"/>
      <c r="U29"/>
      <c r="V29"/>
      <c r="W29"/>
      <c r="X29"/>
      <c r="Y29"/>
      <c r="Z29"/>
      <c r="AA29"/>
      <c r="AB29"/>
      <c r="AC29"/>
      <c r="AD29"/>
      <c r="AE29"/>
      <c r="AF29"/>
      <c r="AG29" s="410">
        <f t="shared" si="1"/>
        <v>0.41726999999999997</v>
      </c>
      <c r="AW29" s="411">
        <f t="shared" si="2"/>
        <v>0.41726999999999997</v>
      </c>
      <c r="BA29"/>
      <c r="BB29"/>
      <c r="BC29"/>
      <c r="BD29"/>
      <c r="BE29"/>
      <c r="BF29"/>
      <c r="BG29"/>
      <c r="BH29"/>
      <c r="BI29"/>
      <c r="BJ29"/>
      <c r="BK29"/>
      <c r="BL29"/>
      <c r="BM29"/>
      <c r="BN29"/>
      <c r="BO29" s="19">
        <v>50</v>
      </c>
      <c r="BP29" s="19">
        <f t="shared" si="3"/>
        <v>100.13299542661541</v>
      </c>
      <c r="BQ29" s="19">
        <f t="shared" si="5"/>
        <v>4.5</v>
      </c>
      <c r="BR29" s="19">
        <f t="shared" si="6"/>
        <v>61.86942809784658</v>
      </c>
      <c r="BT29" s="422">
        <f t="shared" si="25"/>
        <v>13</v>
      </c>
      <c r="BU29" s="423">
        <f t="shared" si="7"/>
        <v>22</v>
      </c>
      <c r="BV29" s="399">
        <f t="shared" si="8"/>
        <v>61.86942809784658</v>
      </c>
      <c r="BW29" s="19">
        <v>15</v>
      </c>
      <c r="BX29" s="19">
        <f t="shared" si="9"/>
        <v>2.3472865342462343</v>
      </c>
      <c r="BY29" s="19" t="str">
        <f t="shared" si="10"/>
        <v xml:space="preserve">* </v>
      </c>
      <c r="BZ29" s="637">
        <f t="shared" si="11"/>
        <v>1.8910705728084176E-2</v>
      </c>
      <c r="CA29" s="19" t="e">
        <f t="shared" si="26"/>
        <v>#N/A</v>
      </c>
      <c r="CB29" s="19">
        <f t="shared" si="27"/>
        <v>22</v>
      </c>
      <c r="CC29" s="19" t="e">
        <f t="shared" si="28"/>
        <v>#N/A</v>
      </c>
      <c r="CD29" s="19">
        <f t="shared" si="12"/>
        <v>22</v>
      </c>
      <c r="CE29" s="19" t="e">
        <f t="shared" si="13"/>
        <v>#N/A</v>
      </c>
      <c r="CF29" s="19" t="e">
        <f t="shared" si="14"/>
        <v>#N/A</v>
      </c>
      <c r="CG29" s="19" t="e">
        <f t="shared" si="15"/>
        <v>#N/A</v>
      </c>
      <c r="CH29" s="19" t="e">
        <f t="shared" si="16"/>
        <v>#N/A</v>
      </c>
      <c r="CI29" s="19" t="e">
        <f t="shared" si="17"/>
        <v>#N/A</v>
      </c>
      <c r="CJ29" s="19">
        <f t="shared" si="18"/>
        <v>22</v>
      </c>
      <c r="CK29" s="19" t="e">
        <f t="shared" si="19"/>
        <v>#N/A</v>
      </c>
      <c r="CL29" s="19">
        <f t="shared" si="29"/>
        <v>22</v>
      </c>
      <c r="CM29" s="19" t="e">
        <f t="shared" si="20"/>
        <v>#N/A</v>
      </c>
      <c r="CN29" s="19">
        <f t="shared" si="30"/>
        <v>22</v>
      </c>
      <c r="CO29" s="19" t="e">
        <f t="shared" si="21"/>
        <v>#N/A</v>
      </c>
      <c r="CP29" s="19">
        <f t="shared" si="31"/>
        <v>22</v>
      </c>
      <c r="CQ29" s="19" t="e">
        <f t="shared" si="22"/>
        <v>#N/A</v>
      </c>
      <c r="CR29" s="19">
        <f t="shared" si="32"/>
        <v>22</v>
      </c>
      <c r="CS29" s="19" t="e">
        <f t="shared" si="23"/>
        <v>#N/A</v>
      </c>
      <c r="CT29" s="19">
        <f t="shared" si="33"/>
        <v>22</v>
      </c>
    </row>
    <row r="30" spans="1:98" ht="11.25" customHeight="1" x14ac:dyDescent="0.2">
      <c r="N30" s="644">
        <v>7</v>
      </c>
      <c r="O30" s="646"/>
      <c r="P30" s="587">
        <f t="shared" si="24"/>
        <v>0.41726999999999997</v>
      </c>
      <c r="Q30"/>
      <c r="R30"/>
      <c r="S30"/>
      <c r="T30"/>
      <c r="U30"/>
      <c r="V30"/>
      <c r="W30"/>
      <c r="X30"/>
      <c r="Y30"/>
      <c r="Z30"/>
      <c r="AA30"/>
      <c r="AB30"/>
      <c r="AC30"/>
      <c r="AD30"/>
      <c r="AE30"/>
      <c r="AF30"/>
      <c r="AG30" s="410">
        <f t="shared" si="1"/>
        <v>0.41726999999999997</v>
      </c>
      <c r="AN30" s="417"/>
      <c r="AO30" s="417"/>
      <c r="AP30" s="417"/>
      <c r="AW30" s="411">
        <f t="shared" si="2"/>
        <v>0.41726999999999997</v>
      </c>
      <c r="BA30"/>
      <c r="BB30"/>
      <c r="BC30"/>
      <c r="BD30"/>
      <c r="BE30"/>
      <c r="BF30"/>
      <c r="BG30"/>
      <c r="BH30"/>
      <c r="BI30"/>
      <c r="BJ30"/>
      <c r="BL30"/>
      <c r="BM30"/>
      <c r="BN30"/>
      <c r="BO30" s="19">
        <v>60</v>
      </c>
      <c r="BP30" s="19">
        <f t="shared" si="3"/>
        <v>110.13299542661541</v>
      </c>
      <c r="BQ30" s="19">
        <f t="shared" si="5"/>
        <v>4.5</v>
      </c>
      <c r="BR30" s="19">
        <f t="shared" si="6"/>
        <v>63.815170974028327</v>
      </c>
      <c r="BT30" s="422">
        <f t="shared" si="25"/>
        <v>13</v>
      </c>
      <c r="BU30" s="423">
        <f t="shared" si="7"/>
        <v>23</v>
      </c>
      <c r="BV30" s="399">
        <f t="shared" si="8"/>
        <v>63.815170974028327</v>
      </c>
      <c r="BW30" s="19">
        <v>16</v>
      </c>
      <c r="BX30" s="19">
        <f t="shared" si="9"/>
        <v>2.7364351094825836</v>
      </c>
      <c r="BY30" s="19" t="str">
        <f t="shared" si="10"/>
        <v xml:space="preserve">** </v>
      </c>
      <c r="BZ30" s="637">
        <f t="shared" si="11"/>
        <v>6.2108843029407002E-3</v>
      </c>
      <c r="CA30" s="19" t="e">
        <f t="shared" si="26"/>
        <v>#N/A</v>
      </c>
      <c r="CB30" s="19">
        <f t="shared" si="27"/>
        <v>23</v>
      </c>
      <c r="CC30" s="19" t="e">
        <f t="shared" si="28"/>
        <v>#N/A</v>
      </c>
      <c r="CD30" s="19">
        <f t="shared" si="12"/>
        <v>23</v>
      </c>
      <c r="CE30" s="19" t="e">
        <f t="shared" si="13"/>
        <v>#N/A</v>
      </c>
      <c r="CF30" s="19" t="e">
        <f t="shared" si="14"/>
        <v>#N/A</v>
      </c>
      <c r="CG30" s="19" t="e">
        <f t="shared" si="15"/>
        <v>#N/A</v>
      </c>
      <c r="CH30" s="19" t="e">
        <f t="shared" si="16"/>
        <v>#N/A</v>
      </c>
      <c r="CI30" s="19" t="e">
        <f t="shared" si="17"/>
        <v>#N/A</v>
      </c>
      <c r="CJ30" s="19">
        <f t="shared" si="18"/>
        <v>23</v>
      </c>
      <c r="CK30" s="19" t="e">
        <f t="shared" si="19"/>
        <v>#N/A</v>
      </c>
      <c r="CL30" s="19">
        <f t="shared" si="29"/>
        <v>23</v>
      </c>
      <c r="CM30" s="19" t="e">
        <f t="shared" si="20"/>
        <v>#N/A</v>
      </c>
      <c r="CN30" s="19">
        <f t="shared" si="30"/>
        <v>23</v>
      </c>
      <c r="CO30" s="19" t="e">
        <f t="shared" si="21"/>
        <v>#N/A</v>
      </c>
      <c r="CP30" s="19">
        <f t="shared" si="31"/>
        <v>23</v>
      </c>
      <c r="CQ30" s="19" t="e">
        <f t="shared" si="22"/>
        <v>#N/A</v>
      </c>
      <c r="CR30" s="19">
        <f t="shared" si="32"/>
        <v>23</v>
      </c>
      <c r="CS30" s="19" t="e">
        <f t="shared" si="23"/>
        <v>#N/A</v>
      </c>
      <c r="CT30" s="19">
        <f t="shared" si="33"/>
        <v>23</v>
      </c>
    </row>
    <row r="31" spans="1:98" ht="11.25" customHeight="1" x14ac:dyDescent="0.2">
      <c r="N31" s="442"/>
      <c r="O31" s="646"/>
      <c r="P31" s="587">
        <f t="shared" si="24"/>
        <v>0.41726999999999997</v>
      </c>
      <c r="Q31"/>
      <c r="R31"/>
      <c r="S31"/>
      <c r="T31"/>
      <c r="U31"/>
      <c r="V31"/>
      <c r="W31"/>
      <c r="X31"/>
      <c r="Y31"/>
      <c r="Z31"/>
      <c r="AA31"/>
      <c r="AB31"/>
      <c r="AC31"/>
      <c r="AD31"/>
      <c r="AE31"/>
      <c r="AF31"/>
      <c r="AG31" s="410">
        <f t="shared" si="1"/>
        <v>0.41726999999999997</v>
      </c>
      <c r="AN31" s="417"/>
      <c r="AO31" s="417"/>
      <c r="AP31" s="417"/>
      <c r="AW31" s="411">
        <f t="shared" si="2"/>
        <v>0.41726999999999997</v>
      </c>
      <c r="BA31"/>
      <c r="BB31"/>
      <c r="BC31"/>
      <c r="BD31"/>
      <c r="BE31"/>
      <c r="BF31"/>
      <c r="BG31"/>
      <c r="BH31"/>
      <c r="BI31"/>
      <c r="BJ31"/>
      <c r="BL31"/>
      <c r="BM31"/>
      <c r="BN31"/>
      <c r="BO31" s="19">
        <v>70</v>
      </c>
      <c r="BP31" s="19">
        <f t="shared" si="3"/>
        <v>120.13299542661541</v>
      </c>
      <c r="BQ31" s="19">
        <f t="shared" si="5"/>
        <v>4.5</v>
      </c>
      <c r="BR31" s="19">
        <f t="shared" si="6"/>
        <v>66.376649240285602</v>
      </c>
      <c r="BT31" s="422">
        <f t="shared" si="25"/>
        <v>13</v>
      </c>
      <c r="BU31" s="423">
        <f t="shared" si="7"/>
        <v>24</v>
      </c>
      <c r="BV31" s="399">
        <f t="shared" si="8"/>
        <v>66.376649240285602</v>
      </c>
      <c r="BW31" s="19">
        <v>17</v>
      </c>
      <c r="BX31" s="19">
        <f t="shared" si="9"/>
        <v>3.2487307627340387</v>
      </c>
      <c r="BY31" s="19" t="str">
        <f t="shared" si="10"/>
        <v xml:space="preserve">** </v>
      </c>
      <c r="BZ31" s="637">
        <f t="shared" si="11"/>
        <v>1.1592114081799831E-3</v>
      </c>
      <c r="CA31" s="19" t="e">
        <f t="shared" si="26"/>
        <v>#N/A</v>
      </c>
      <c r="CB31" s="19">
        <f t="shared" si="27"/>
        <v>24</v>
      </c>
      <c r="CC31" s="19" t="e">
        <f t="shared" si="28"/>
        <v>#N/A</v>
      </c>
      <c r="CD31" s="19">
        <f t="shared" si="12"/>
        <v>24</v>
      </c>
      <c r="CE31" s="19" t="e">
        <f t="shared" si="13"/>
        <v>#N/A</v>
      </c>
      <c r="CF31" s="19" t="e">
        <f t="shared" si="14"/>
        <v>#N/A</v>
      </c>
      <c r="CG31" s="19" t="e">
        <f t="shared" si="15"/>
        <v>#N/A</v>
      </c>
      <c r="CH31" s="19" t="e">
        <f t="shared" si="16"/>
        <v>#N/A</v>
      </c>
      <c r="CI31" s="19" t="e">
        <f t="shared" si="17"/>
        <v>#N/A</v>
      </c>
      <c r="CJ31" s="19">
        <f t="shared" si="18"/>
        <v>24</v>
      </c>
      <c r="CK31" s="19" t="e">
        <f t="shared" si="19"/>
        <v>#N/A</v>
      </c>
      <c r="CL31" s="19">
        <f t="shared" si="29"/>
        <v>24</v>
      </c>
      <c r="CM31" s="19" t="e">
        <f t="shared" si="20"/>
        <v>#N/A</v>
      </c>
      <c r="CN31" s="19">
        <f t="shared" si="30"/>
        <v>24</v>
      </c>
      <c r="CO31" s="19" t="e">
        <f t="shared" si="21"/>
        <v>#N/A</v>
      </c>
      <c r="CP31" s="19">
        <f t="shared" si="31"/>
        <v>24</v>
      </c>
      <c r="CQ31" s="19" t="e">
        <f t="shared" si="22"/>
        <v>#N/A</v>
      </c>
      <c r="CR31" s="19">
        <f t="shared" si="32"/>
        <v>24</v>
      </c>
      <c r="CS31" s="19" t="e">
        <f t="shared" si="23"/>
        <v>#N/A</v>
      </c>
      <c r="CT31" s="19">
        <f t="shared" si="33"/>
        <v>24</v>
      </c>
    </row>
    <row r="32" spans="1:98" ht="11.25" customHeight="1" x14ac:dyDescent="0.2">
      <c r="N32" s="531"/>
      <c r="O32" s="646"/>
      <c r="P32" s="587">
        <f t="shared" si="24"/>
        <v>0.41726999999999997</v>
      </c>
      <c r="Q32"/>
      <c r="R32"/>
      <c r="S32"/>
      <c r="T32"/>
      <c r="U32"/>
      <c r="V32"/>
      <c r="W32"/>
      <c r="X32"/>
      <c r="Y32"/>
      <c r="Z32"/>
      <c r="AA32"/>
      <c r="AB32"/>
      <c r="AC32"/>
      <c r="AD32"/>
      <c r="AE32"/>
      <c r="AF32"/>
      <c r="AG32" s="410">
        <f t="shared" si="1"/>
        <v>0.41726999999999997</v>
      </c>
      <c r="AN32" s="417"/>
      <c r="AO32" s="417"/>
      <c r="AP32" s="417"/>
      <c r="AW32" s="411">
        <f t="shared" si="2"/>
        <v>0.41726999999999997</v>
      </c>
      <c r="BA32"/>
      <c r="BB32"/>
      <c r="BC32"/>
      <c r="BD32"/>
      <c r="BE32"/>
      <c r="BF32"/>
      <c r="BG32"/>
      <c r="BH32"/>
      <c r="BI32"/>
      <c r="BJ32"/>
      <c r="BL32"/>
      <c r="BM32"/>
      <c r="BN32"/>
      <c r="BO32" s="19">
        <v>80</v>
      </c>
      <c r="BP32" s="19">
        <f t="shared" si="3"/>
        <v>130.13299542661542</v>
      </c>
      <c r="BQ32" s="19">
        <f t="shared" si="5"/>
        <v>4.5</v>
      </c>
      <c r="BR32" s="19">
        <f t="shared" si="6"/>
        <v>68.558995491378141</v>
      </c>
      <c r="BT32" s="422">
        <f t="shared" si="25"/>
        <v>13</v>
      </c>
      <c r="BU32" s="423">
        <f t="shared" si="7"/>
        <v>25</v>
      </c>
      <c r="BV32" s="399">
        <f t="shared" si="8"/>
        <v>68.558995491378141</v>
      </c>
      <c r="BW32" s="19">
        <v>18</v>
      </c>
      <c r="BX32" s="19">
        <f t="shared" si="9"/>
        <v>3.6852000129525466</v>
      </c>
      <c r="BY32" s="19" t="str">
        <f t="shared" si="10"/>
        <v xml:space="preserve">*** </v>
      </c>
      <c r="BZ32" s="637">
        <f t="shared" si="11"/>
        <v>2.285231063028359E-4</v>
      </c>
      <c r="CA32" s="19" t="e">
        <f t="shared" si="26"/>
        <v>#N/A</v>
      </c>
      <c r="CB32" s="19">
        <f t="shared" si="27"/>
        <v>25</v>
      </c>
      <c r="CC32" s="19" t="e">
        <f t="shared" si="28"/>
        <v>#N/A</v>
      </c>
      <c r="CD32" s="19">
        <f t="shared" si="12"/>
        <v>25</v>
      </c>
      <c r="CE32" s="19" t="e">
        <f t="shared" si="13"/>
        <v>#N/A</v>
      </c>
      <c r="CF32" s="19" t="e">
        <f t="shared" si="14"/>
        <v>#N/A</v>
      </c>
      <c r="CG32" s="19" t="e">
        <f t="shared" si="15"/>
        <v>#N/A</v>
      </c>
      <c r="CH32" s="19" t="e">
        <f t="shared" si="16"/>
        <v>#N/A</v>
      </c>
      <c r="CI32" s="19" t="e">
        <f t="shared" si="17"/>
        <v>#N/A</v>
      </c>
      <c r="CJ32" s="19">
        <f t="shared" si="18"/>
        <v>25</v>
      </c>
      <c r="CK32" s="19" t="e">
        <f t="shared" si="19"/>
        <v>#N/A</v>
      </c>
      <c r="CL32" s="19">
        <f t="shared" si="29"/>
        <v>25</v>
      </c>
      <c r="CM32" s="19" t="e">
        <f t="shared" si="20"/>
        <v>#N/A</v>
      </c>
      <c r="CN32" s="19">
        <f t="shared" si="30"/>
        <v>25</v>
      </c>
      <c r="CO32" s="19" t="e">
        <f t="shared" si="21"/>
        <v>#N/A</v>
      </c>
      <c r="CP32" s="19">
        <f t="shared" si="31"/>
        <v>25</v>
      </c>
      <c r="CQ32" s="19" t="e">
        <f t="shared" si="22"/>
        <v>#N/A</v>
      </c>
      <c r="CR32" s="19">
        <f t="shared" si="32"/>
        <v>25</v>
      </c>
      <c r="CS32" s="19" t="e">
        <f t="shared" si="23"/>
        <v>#N/A</v>
      </c>
      <c r="CT32" s="19">
        <f t="shared" si="33"/>
        <v>25</v>
      </c>
    </row>
    <row r="33" spans="14:98" ht="11.25" customHeight="1" x14ac:dyDescent="0.2">
      <c r="N33" s="531"/>
      <c r="O33" s="646"/>
      <c r="P33" s="587">
        <f t="shared" si="24"/>
        <v>0.41726999999999997</v>
      </c>
      <c r="Q33"/>
      <c r="R33"/>
      <c r="S33"/>
      <c r="T33"/>
      <c r="U33"/>
      <c r="V33"/>
      <c r="W33"/>
      <c r="X33"/>
      <c r="Y33"/>
      <c r="Z33"/>
      <c r="AA33"/>
      <c r="AB33"/>
      <c r="AC33"/>
      <c r="AD33"/>
      <c r="AE33"/>
      <c r="AF33"/>
      <c r="AG33" s="410">
        <f t="shared" si="1"/>
        <v>0.41726999999999997</v>
      </c>
      <c r="AN33" s="417"/>
      <c r="AO33" s="417"/>
      <c r="AP33" s="417"/>
      <c r="AW33" s="411">
        <f t="shared" si="2"/>
        <v>0.41726999999999997</v>
      </c>
      <c r="BO33" s="19">
        <v>90</v>
      </c>
      <c r="BP33" s="19">
        <f t="shared" si="3"/>
        <v>140.13299542661542</v>
      </c>
      <c r="BQ33" s="19">
        <f t="shared" si="5"/>
        <v>4.5</v>
      </c>
      <c r="BR33" s="19">
        <f t="shared" si="6"/>
        <v>59.148426022855588</v>
      </c>
      <c r="BT33" s="422">
        <f t="shared" si="25"/>
        <v>13</v>
      </c>
      <c r="BU33" s="423">
        <f t="shared" si="7"/>
        <v>26</v>
      </c>
      <c r="BV33" s="399">
        <f t="shared" si="8"/>
        <v>59.148426022855588</v>
      </c>
      <c r="BW33" s="19">
        <v>19</v>
      </c>
      <c r="BX33" s="19">
        <f t="shared" si="9"/>
        <v>1.8030861192480359</v>
      </c>
      <c r="BY33" s="19" t="str">
        <f t="shared" si="10"/>
        <v xml:space="preserve">? </v>
      </c>
      <c r="BZ33" s="637">
        <f t="shared" si="11"/>
        <v>7.1374690764212101E-2</v>
      </c>
      <c r="CA33" s="19" t="e">
        <f t="shared" si="26"/>
        <v>#N/A</v>
      </c>
      <c r="CB33" s="19">
        <f t="shared" si="27"/>
        <v>26</v>
      </c>
      <c r="CC33" s="19" t="e">
        <f t="shared" si="28"/>
        <v>#N/A</v>
      </c>
      <c r="CD33" s="19">
        <f t="shared" si="12"/>
        <v>26</v>
      </c>
      <c r="CE33" s="19" t="e">
        <f t="shared" si="13"/>
        <v>#N/A</v>
      </c>
      <c r="CF33" s="19" t="e">
        <f t="shared" si="14"/>
        <v>#N/A</v>
      </c>
      <c r="CG33" s="19" t="e">
        <f t="shared" si="15"/>
        <v>#N/A</v>
      </c>
      <c r="CH33" s="19" t="e">
        <f t="shared" si="16"/>
        <v>#N/A</v>
      </c>
      <c r="CI33" s="19" t="e">
        <f t="shared" si="17"/>
        <v>#N/A</v>
      </c>
      <c r="CJ33" s="19">
        <f t="shared" si="18"/>
        <v>26</v>
      </c>
      <c r="CK33" s="19" t="e">
        <f t="shared" si="19"/>
        <v>#N/A</v>
      </c>
      <c r="CL33" s="19">
        <f t="shared" si="29"/>
        <v>26</v>
      </c>
      <c r="CM33" s="19" t="e">
        <f t="shared" si="20"/>
        <v>#N/A</v>
      </c>
      <c r="CN33" s="19">
        <f t="shared" si="30"/>
        <v>26</v>
      </c>
      <c r="CO33" s="19" t="e">
        <f t="shared" si="21"/>
        <v>#N/A</v>
      </c>
      <c r="CP33" s="19">
        <f t="shared" si="31"/>
        <v>26</v>
      </c>
      <c r="CQ33" s="19" t="e">
        <f t="shared" si="22"/>
        <v>#N/A</v>
      </c>
      <c r="CR33" s="19">
        <f t="shared" si="32"/>
        <v>26</v>
      </c>
      <c r="CS33" s="19" t="e">
        <f t="shared" si="23"/>
        <v>#N/A</v>
      </c>
      <c r="CT33" s="19">
        <f t="shared" si="33"/>
        <v>26</v>
      </c>
    </row>
    <row r="34" spans="14:98" ht="11.25" customHeight="1" x14ac:dyDescent="0.2">
      <c r="N34" s="531"/>
      <c r="O34" s="646"/>
      <c r="P34" s="587">
        <f t="shared" si="24"/>
        <v>0.41726999999999997</v>
      </c>
      <c r="Q34"/>
      <c r="R34"/>
      <c r="S34"/>
      <c r="T34"/>
      <c r="U34"/>
      <c r="V34"/>
      <c r="W34"/>
      <c r="X34"/>
      <c r="Y34"/>
      <c r="Z34"/>
      <c r="AA34"/>
      <c r="AB34"/>
      <c r="AC34"/>
      <c r="AD34"/>
      <c r="AE34"/>
      <c r="AF34"/>
      <c r="AG34" s="410">
        <f t="shared" si="1"/>
        <v>0.41726999999999997</v>
      </c>
      <c r="AN34" s="417"/>
      <c r="AO34" s="417"/>
      <c r="AP34" s="417"/>
      <c r="AU34" s="392"/>
      <c r="AW34" s="411">
        <f t="shared" si="2"/>
        <v>0.41726999999999997</v>
      </c>
      <c r="BO34" s="19">
        <v>100</v>
      </c>
      <c r="BP34" s="19">
        <f t="shared" si="3"/>
        <v>150.13299542661542</v>
      </c>
      <c r="BQ34" s="19">
        <f t="shared" si="5"/>
        <v>4.5</v>
      </c>
      <c r="BR34" s="19">
        <f t="shared" si="6"/>
        <v>67.878335940447528</v>
      </c>
      <c r="BT34" s="422">
        <f t="shared" si="25"/>
        <v>13</v>
      </c>
      <c r="BU34" s="423">
        <f t="shared" si="7"/>
        <v>27</v>
      </c>
      <c r="BV34" s="399">
        <f t="shared" si="8"/>
        <v>67.878335940447528</v>
      </c>
      <c r="BW34" s="19">
        <v>20</v>
      </c>
      <c r="BX34" s="19">
        <f t="shared" si="9"/>
        <v>3.5490681027664222</v>
      </c>
      <c r="BY34" s="19" t="str">
        <f t="shared" si="10"/>
        <v xml:space="preserve">*** </v>
      </c>
      <c r="BZ34" s="637">
        <f t="shared" si="11"/>
        <v>3.8659708141475235E-4</v>
      </c>
      <c r="CA34" s="19" t="e">
        <f t="shared" si="26"/>
        <v>#N/A</v>
      </c>
      <c r="CB34" s="19">
        <f t="shared" si="27"/>
        <v>27</v>
      </c>
      <c r="CC34" s="19" t="e">
        <f t="shared" si="28"/>
        <v>#N/A</v>
      </c>
      <c r="CD34" s="19">
        <f t="shared" si="12"/>
        <v>27</v>
      </c>
      <c r="CE34" s="19" t="e">
        <f t="shared" si="13"/>
        <v>#N/A</v>
      </c>
      <c r="CF34" s="19" t="e">
        <f t="shared" si="14"/>
        <v>#N/A</v>
      </c>
      <c r="CG34" s="19" t="e">
        <f t="shared" si="15"/>
        <v>#N/A</v>
      </c>
      <c r="CH34" s="19" t="e">
        <f t="shared" si="16"/>
        <v>#N/A</v>
      </c>
      <c r="CI34" s="19" t="e">
        <f t="shared" si="17"/>
        <v>#N/A</v>
      </c>
      <c r="CJ34" s="19">
        <f t="shared" si="18"/>
        <v>27</v>
      </c>
      <c r="CK34" s="19" t="e">
        <f t="shared" si="19"/>
        <v>#N/A</v>
      </c>
      <c r="CL34" s="19">
        <f t="shared" si="29"/>
        <v>27</v>
      </c>
      <c r="CM34" s="19" t="e">
        <f t="shared" si="20"/>
        <v>#N/A</v>
      </c>
      <c r="CN34" s="19">
        <f t="shared" si="30"/>
        <v>27</v>
      </c>
      <c r="CO34" s="19" t="e">
        <f t="shared" si="21"/>
        <v>#N/A</v>
      </c>
      <c r="CP34" s="19">
        <f t="shared" si="31"/>
        <v>27</v>
      </c>
      <c r="CQ34" s="19" t="e">
        <f t="shared" si="22"/>
        <v>#N/A</v>
      </c>
      <c r="CR34" s="19">
        <f t="shared" si="32"/>
        <v>27</v>
      </c>
      <c r="CS34" s="19" t="e">
        <f t="shared" si="23"/>
        <v>#N/A</v>
      </c>
      <c r="CT34" s="19">
        <f t="shared" si="33"/>
        <v>27</v>
      </c>
    </row>
    <row r="35" spans="14:98" ht="11.25" customHeight="1" x14ac:dyDescent="0.2">
      <c r="N35" s="531"/>
      <c r="O35" s="646"/>
      <c r="P35" s="587">
        <f t="shared" si="24"/>
        <v>0.41726999999999997</v>
      </c>
      <c r="Q35"/>
      <c r="R35"/>
      <c r="S35"/>
      <c r="T35"/>
      <c r="U35"/>
      <c r="V35"/>
      <c r="W35"/>
      <c r="X35"/>
      <c r="Y35"/>
      <c r="Z35"/>
      <c r="AA35"/>
      <c r="AB35"/>
      <c r="AC35"/>
      <c r="AD35"/>
      <c r="AE35"/>
      <c r="AF35"/>
      <c r="AG35" s="410">
        <f t="shared" si="1"/>
        <v>0.41726999999999997</v>
      </c>
      <c r="AI35" s="570"/>
      <c r="AJ35" s="570"/>
      <c r="AK35" s="570"/>
      <c r="AL35" s="570"/>
      <c r="AN35" s="417"/>
      <c r="AO35" s="417"/>
      <c r="AP35" s="417"/>
      <c r="AU35" s="392"/>
      <c r="AW35" s="411">
        <f t="shared" si="2"/>
        <v>0.41726999999999997</v>
      </c>
      <c r="BO35" s="657" t="s">
        <v>1040</v>
      </c>
      <c r="BP35" s="404">
        <f>IF($BR$5,BR12+2,NA())</f>
        <v>52.132995426615409</v>
      </c>
      <c r="BQ35" s="406">
        <v>33</v>
      </c>
      <c r="BR35" s="19">
        <f t="shared" si="6"/>
        <v>63.434038656526695</v>
      </c>
      <c r="BT35" s="422">
        <f t="shared" si="25"/>
        <v>13</v>
      </c>
      <c r="BU35" s="423">
        <f t="shared" si="7"/>
        <v>28</v>
      </c>
      <c r="BV35" s="399">
        <f t="shared" si="8"/>
        <v>63.434038656526695</v>
      </c>
      <c r="BW35" s="19">
        <v>21</v>
      </c>
      <c r="BX35" s="19">
        <f t="shared" si="9"/>
        <v>2.6602086459822574</v>
      </c>
      <c r="BY35" s="19" t="str">
        <f t="shared" si="10"/>
        <v xml:space="preserve">** </v>
      </c>
      <c r="BZ35" s="637">
        <f t="shared" si="11"/>
        <v>7.8092258495963129E-3</v>
      </c>
      <c r="CA35" s="19" t="e">
        <f t="shared" si="26"/>
        <v>#N/A</v>
      </c>
      <c r="CB35" s="19">
        <f t="shared" si="27"/>
        <v>28</v>
      </c>
      <c r="CC35" s="19" t="e">
        <f t="shared" si="28"/>
        <v>#N/A</v>
      </c>
      <c r="CD35" s="19">
        <f t="shared" si="12"/>
        <v>28</v>
      </c>
      <c r="CE35" s="19" t="e">
        <f t="shared" si="13"/>
        <v>#N/A</v>
      </c>
      <c r="CF35" s="19" t="e">
        <f t="shared" si="14"/>
        <v>#N/A</v>
      </c>
      <c r="CG35" s="19" t="e">
        <f t="shared" si="15"/>
        <v>#N/A</v>
      </c>
      <c r="CH35" s="19" t="e">
        <f t="shared" si="16"/>
        <v>#N/A</v>
      </c>
      <c r="CI35" s="19" t="e">
        <f t="shared" si="17"/>
        <v>#N/A</v>
      </c>
      <c r="CJ35" s="19">
        <f t="shared" si="18"/>
        <v>28</v>
      </c>
      <c r="CK35" s="19" t="e">
        <f t="shared" si="19"/>
        <v>#N/A</v>
      </c>
      <c r="CL35" s="19">
        <f t="shared" si="29"/>
        <v>28</v>
      </c>
      <c r="CM35" s="19" t="e">
        <f t="shared" si="20"/>
        <v>#N/A</v>
      </c>
      <c r="CN35" s="19">
        <f t="shared" si="30"/>
        <v>28</v>
      </c>
      <c r="CO35" s="19" t="e">
        <f t="shared" si="21"/>
        <v>#N/A</v>
      </c>
      <c r="CP35" s="19">
        <f t="shared" si="31"/>
        <v>28</v>
      </c>
      <c r="CQ35" s="19" t="e">
        <f t="shared" si="22"/>
        <v>#N/A</v>
      </c>
      <c r="CR35" s="19">
        <f t="shared" si="32"/>
        <v>28</v>
      </c>
      <c r="CS35" s="19" t="e">
        <f t="shared" si="23"/>
        <v>#N/A</v>
      </c>
      <c r="CT35" s="19">
        <f t="shared" si="33"/>
        <v>28</v>
      </c>
    </row>
    <row r="36" spans="14:98" ht="11.25" customHeight="1" x14ac:dyDescent="0.2">
      <c r="N36" s="531"/>
      <c r="O36" s="646"/>
      <c r="P36" s="587">
        <f t="shared" si="24"/>
        <v>0.41726999999999997</v>
      </c>
      <c r="Q36"/>
      <c r="R36"/>
      <c r="S36"/>
      <c r="T36"/>
      <c r="U36"/>
      <c r="V36"/>
      <c r="W36"/>
      <c r="X36"/>
      <c r="Y36"/>
      <c r="Z36"/>
      <c r="AA36"/>
      <c r="AB36"/>
      <c r="AC36"/>
      <c r="AD36"/>
      <c r="AE36"/>
      <c r="AF36"/>
      <c r="AG36" s="410">
        <f t="shared" si="1"/>
        <v>0.41726999999999997</v>
      </c>
      <c r="AI36" s="570"/>
      <c r="AJ36" s="570"/>
      <c r="AK36" s="570"/>
      <c r="AL36" s="570"/>
      <c r="AN36" s="417"/>
      <c r="AO36" s="417"/>
      <c r="AP36" s="417"/>
      <c r="AW36" s="411">
        <f t="shared" si="2"/>
        <v>0.41726999999999997</v>
      </c>
      <c r="BO36" s="405" t="s">
        <v>921</v>
      </c>
      <c r="BP36" s="404">
        <f>IF($BR$5,BR12,NA())</f>
        <v>50.132995426615409</v>
      </c>
      <c r="BQ36" s="406">
        <f>BQ14</f>
        <v>4.5</v>
      </c>
      <c r="BR36" s="19">
        <f t="shared" si="6"/>
        <v>53.769716736329862</v>
      </c>
      <c r="BT36" s="422">
        <f t="shared" si="25"/>
        <v>13</v>
      </c>
      <c r="BU36" s="423">
        <f t="shared" si="7"/>
        <v>29</v>
      </c>
      <c r="BV36" s="399">
        <f t="shared" si="8"/>
        <v>53.769716736329862</v>
      </c>
      <c r="BW36" s="19">
        <v>22</v>
      </c>
      <c r="BX36" s="19">
        <f t="shared" si="9"/>
        <v>0.72734426194289059</v>
      </c>
      <c r="BY36" s="19" t="str">
        <f t="shared" si="10"/>
        <v/>
      </c>
      <c r="BZ36" s="637">
        <f t="shared" si="11"/>
        <v>0.46701508996484886</v>
      </c>
      <c r="CA36" s="19" t="e">
        <f t="shared" si="26"/>
        <v>#N/A</v>
      </c>
      <c r="CB36" s="19">
        <f t="shared" si="27"/>
        <v>29</v>
      </c>
      <c r="CC36" s="19" t="e">
        <f t="shared" si="28"/>
        <v>#N/A</v>
      </c>
      <c r="CD36" s="19">
        <f t="shared" si="12"/>
        <v>29</v>
      </c>
      <c r="CE36" s="19" t="e">
        <f t="shared" si="13"/>
        <v>#N/A</v>
      </c>
      <c r="CF36" s="19" t="e">
        <f t="shared" si="14"/>
        <v>#N/A</v>
      </c>
      <c r="CG36" s="19" t="e">
        <f t="shared" si="15"/>
        <v>#N/A</v>
      </c>
      <c r="CH36" s="19" t="e">
        <f t="shared" si="16"/>
        <v>#N/A</v>
      </c>
      <c r="CI36" s="19" t="e">
        <f t="shared" si="17"/>
        <v>#N/A</v>
      </c>
      <c r="CJ36" s="19">
        <f t="shared" si="18"/>
        <v>29</v>
      </c>
      <c r="CK36" s="19" t="e">
        <f t="shared" si="19"/>
        <v>#N/A</v>
      </c>
      <c r="CL36" s="19">
        <f t="shared" si="29"/>
        <v>29</v>
      </c>
      <c r="CM36" s="19" t="e">
        <f t="shared" si="20"/>
        <v>#N/A</v>
      </c>
      <c r="CN36" s="19">
        <f t="shared" si="30"/>
        <v>29</v>
      </c>
      <c r="CO36" s="19" t="e">
        <f t="shared" si="21"/>
        <v>#N/A</v>
      </c>
      <c r="CP36" s="19">
        <f t="shared" si="31"/>
        <v>29</v>
      </c>
      <c r="CQ36" s="19" t="e">
        <f t="shared" si="22"/>
        <v>#N/A</v>
      </c>
      <c r="CR36" s="19">
        <f t="shared" si="32"/>
        <v>29</v>
      </c>
      <c r="CS36" s="19" t="e">
        <f t="shared" si="23"/>
        <v>#N/A</v>
      </c>
      <c r="CT36" s="19">
        <f t="shared" si="33"/>
        <v>29</v>
      </c>
    </row>
    <row r="37" spans="14:98" ht="11.25" customHeight="1" x14ac:dyDescent="0.2">
      <c r="N37" s="531"/>
      <c r="O37" s="646"/>
      <c r="P37" s="587">
        <f t="shared" si="24"/>
        <v>0.41726999999999997</v>
      </c>
      <c r="AG37" s="410">
        <f t="shared" si="1"/>
        <v>0.41726999999999997</v>
      </c>
      <c r="AN37" s="417"/>
      <c r="AO37" s="417"/>
      <c r="AP37" s="417"/>
      <c r="AW37" s="411">
        <f t="shared" si="2"/>
        <v>0.41726999999999997</v>
      </c>
      <c r="BO37" s="414" t="s">
        <v>922</v>
      </c>
      <c r="BP37" s="413">
        <v>15</v>
      </c>
      <c r="BR37" s="19">
        <f t="shared" si="6"/>
        <v>64.149192045369489</v>
      </c>
      <c r="BT37" s="422">
        <f t="shared" si="25"/>
        <v>13</v>
      </c>
      <c r="BU37" s="423">
        <f t="shared" si="7"/>
        <v>30</v>
      </c>
      <c r="BV37" s="399">
        <f t="shared" si="8"/>
        <v>64.149192045369489</v>
      </c>
      <c r="BW37" s="19">
        <v>23</v>
      </c>
      <c r="BX37" s="19">
        <f t="shared" si="9"/>
        <v>2.803239323750816</v>
      </c>
      <c r="BY37" s="19" t="str">
        <f t="shared" si="10"/>
        <v xml:space="preserve">** </v>
      </c>
      <c r="BZ37" s="637">
        <f t="shared" si="11"/>
        <v>5.0592111917480143E-3</v>
      </c>
      <c r="CA37" s="19" t="e">
        <f t="shared" si="26"/>
        <v>#N/A</v>
      </c>
      <c r="CB37" s="19">
        <f t="shared" si="27"/>
        <v>30</v>
      </c>
      <c r="CC37" s="19" t="e">
        <f t="shared" si="28"/>
        <v>#N/A</v>
      </c>
      <c r="CD37" s="19">
        <f t="shared" si="12"/>
        <v>30</v>
      </c>
      <c r="CE37" s="19" t="e">
        <f t="shared" si="13"/>
        <v>#N/A</v>
      </c>
      <c r="CF37" s="19" t="e">
        <f t="shared" si="14"/>
        <v>#N/A</v>
      </c>
      <c r="CG37" s="19" t="e">
        <f t="shared" si="15"/>
        <v>#N/A</v>
      </c>
      <c r="CH37" s="19" t="e">
        <f t="shared" si="16"/>
        <v>#N/A</v>
      </c>
      <c r="CI37" s="19" t="e">
        <f t="shared" si="17"/>
        <v>#N/A</v>
      </c>
      <c r="CJ37" s="19">
        <f t="shared" si="18"/>
        <v>30</v>
      </c>
      <c r="CK37" s="19" t="e">
        <f t="shared" si="19"/>
        <v>#N/A</v>
      </c>
      <c r="CL37" s="19">
        <f t="shared" si="29"/>
        <v>30</v>
      </c>
      <c r="CM37" s="19" t="e">
        <f t="shared" si="20"/>
        <v>#N/A</v>
      </c>
      <c r="CN37" s="19">
        <f t="shared" si="30"/>
        <v>30</v>
      </c>
      <c r="CO37" s="19" t="e">
        <f t="shared" si="21"/>
        <v>#N/A</v>
      </c>
      <c r="CP37" s="19">
        <f t="shared" si="31"/>
        <v>30</v>
      </c>
      <c r="CQ37" s="19" t="e">
        <f t="shared" si="22"/>
        <v>#N/A</v>
      </c>
      <c r="CR37" s="19">
        <f t="shared" si="32"/>
        <v>30</v>
      </c>
      <c r="CS37" s="19" t="e">
        <f t="shared" si="23"/>
        <v>#N/A</v>
      </c>
      <c r="CT37" s="19">
        <f t="shared" si="33"/>
        <v>30</v>
      </c>
    </row>
    <row r="38" spans="14:98" ht="11.25" customHeight="1" x14ac:dyDescent="0.2">
      <c r="N38" s="531"/>
      <c r="O38" s="445"/>
      <c r="P38" s="587">
        <f t="shared" si="24"/>
        <v>0.41726999999999997</v>
      </c>
      <c r="T38" s="570"/>
      <c r="U38" s="570"/>
      <c r="V38" s="570"/>
      <c r="W38" s="570"/>
      <c r="X38" s="570"/>
      <c r="Y38" s="570"/>
      <c r="Z38" s="570"/>
      <c r="AG38" s="410">
        <f t="shared" si="1"/>
        <v>0.41726999999999997</v>
      </c>
      <c r="AN38" s="417"/>
      <c r="AO38" s="417"/>
      <c r="AP38" s="417"/>
      <c r="AW38" s="411">
        <f t="shared" si="2"/>
        <v>0.41726999999999997</v>
      </c>
      <c r="BO38" s="422">
        <f>IF(BT1,AB3-BP37,NA())</f>
        <v>35</v>
      </c>
      <c r="BP38" s="423">
        <v>1</v>
      </c>
      <c r="BR38" s="19">
        <f t="shared" si="6"/>
        <v>58.791908883972134</v>
      </c>
      <c r="BT38" s="422">
        <f t="shared" si="25"/>
        <v>13</v>
      </c>
      <c r="BU38" s="423">
        <f t="shared" si="7"/>
        <v>31</v>
      </c>
      <c r="BV38" s="399">
        <f t="shared" si="8"/>
        <v>58.791908883972134</v>
      </c>
      <c r="BW38" s="19">
        <v>24</v>
      </c>
      <c r="BX38" s="19">
        <f t="shared" si="9"/>
        <v>1.731782691471345</v>
      </c>
      <c r="BY38" s="19" t="str">
        <f t="shared" si="10"/>
        <v xml:space="preserve">? </v>
      </c>
      <c r="BZ38" s="637">
        <f t="shared" si="11"/>
        <v>8.3312261022662204E-2</v>
      </c>
      <c r="CA38" s="19" t="e">
        <f t="shared" si="26"/>
        <v>#N/A</v>
      </c>
      <c r="CB38" s="19">
        <f t="shared" si="27"/>
        <v>31</v>
      </c>
      <c r="CC38" s="19" t="e">
        <f t="shared" si="28"/>
        <v>#N/A</v>
      </c>
      <c r="CD38" s="19">
        <f t="shared" si="12"/>
        <v>31</v>
      </c>
      <c r="CE38" s="19" t="e">
        <f t="shared" si="13"/>
        <v>#N/A</v>
      </c>
      <c r="CF38" s="19" t="e">
        <f t="shared" si="14"/>
        <v>#N/A</v>
      </c>
      <c r="CG38" s="19" t="e">
        <f t="shared" si="15"/>
        <v>#N/A</v>
      </c>
      <c r="CH38" s="19" t="e">
        <f t="shared" si="16"/>
        <v>#N/A</v>
      </c>
      <c r="CI38" s="19" t="e">
        <f t="shared" si="17"/>
        <v>#N/A</v>
      </c>
      <c r="CJ38" s="19">
        <f t="shared" si="18"/>
        <v>31</v>
      </c>
      <c r="CK38" s="19" t="e">
        <f t="shared" si="19"/>
        <v>#N/A</v>
      </c>
      <c r="CL38" s="19">
        <f t="shared" si="29"/>
        <v>31</v>
      </c>
      <c r="CM38" s="19" t="e">
        <f t="shared" si="20"/>
        <v>#N/A</v>
      </c>
      <c r="CN38" s="19">
        <f t="shared" si="30"/>
        <v>31</v>
      </c>
      <c r="CO38" s="19" t="e">
        <f t="shared" si="21"/>
        <v>#N/A</v>
      </c>
      <c r="CP38" s="19">
        <f t="shared" si="31"/>
        <v>31</v>
      </c>
      <c r="CQ38" s="19" t="e">
        <f t="shared" si="22"/>
        <v>#N/A</v>
      </c>
      <c r="CR38" s="19">
        <f t="shared" si="32"/>
        <v>31</v>
      </c>
      <c r="CS38" s="19" t="e">
        <f t="shared" si="23"/>
        <v>#N/A</v>
      </c>
      <c r="CT38" s="19">
        <f t="shared" si="33"/>
        <v>31</v>
      </c>
    </row>
    <row r="39" spans="14:98" ht="11.25" customHeight="1" x14ac:dyDescent="0.2">
      <c r="N39" s="531"/>
      <c r="O39" s="646"/>
      <c r="P39" s="587">
        <f t="shared" si="24"/>
        <v>0.41726999999999997</v>
      </c>
      <c r="Q39"/>
      <c r="R39"/>
      <c r="S39"/>
      <c r="T39"/>
      <c r="U39"/>
      <c r="V39"/>
      <c r="W39"/>
      <c r="X39"/>
      <c r="Y39"/>
      <c r="Z39"/>
      <c r="AA39"/>
      <c r="AB39"/>
      <c r="AC39"/>
      <c r="AD39"/>
      <c r="AE39"/>
      <c r="AF39"/>
      <c r="AG39" s="410">
        <f t="shared" si="1"/>
        <v>0.41726999999999997</v>
      </c>
      <c r="AN39" s="417"/>
      <c r="AO39" s="417"/>
      <c r="AP39" s="417"/>
      <c r="AW39" s="411">
        <f t="shared" si="2"/>
        <v>0.41726999999999997</v>
      </c>
      <c r="BO39" s="431">
        <f>IF(BT1,AB5+BP37+2,NA())</f>
        <v>77.7</v>
      </c>
      <c r="BP39" s="432">
        <v>1</v>
      </c>
      <c r="BR39" s="19">
        <f t="shared" si="6"/>
        <v>49.107885696299242</v>
      </c>
      <c r="BT39" s="431">
        <f t="shared" si="25"/>
        <v>13</v>
      </c>
      <c r="BU39" s="432">
        <f t="shared" si="7"/>
        <v>32</v>
      </c>
      <c r="BV39" s="399">
        <f t="shared" si="8"/>
        <v>49.107885696299242</v>
      </c>
      <c r="BW39" s="400"/>
      <c r="BX39" s="19">
        <f t="shared" si="9"/>
        <v>-0.20502194606323343</v>
      </c>
      <c r="BY39" s="400" t="str">
        <f t="shared" si="10"/>
        <v/>
      </c>
      <c r="BZ39" s="647">
        <f t="shared" si="11"/>
        <v>0.83755497873774409</v>
      </c>
      <c r="CA39" s="400" t="e">
        <f t="shared" si="26"/>
        <v>#N/A</v>
      </c>
      <c r="CB39" s="400">
        <f t="shared" si="27"/>
        <v>32</v>
      </c>
      <c r="CC39" s="400" t="e">
        <f t="shared" si="28"/>
        <v>#N/A</v>
      </c>
      <c r="CD39" s="400">
        <f t="shared" si="12"/>
        <v>32</v>
      </c>
      <c r="CE39" s="19" t="e">
        <f t="shared" si="13"/>
        <v>#N/A</v>
      </c>
      <c r="CF39" s="19" t="e">
        <f t="shared" si="14"/>
        <v>#N/A</v>
      </c>
      <c r="CG39" s="19" t="e">
        <f t="shared" si="15"/>
        <v>#N/A</v>
      </c>
      <c r="CH39" s="19" t="e">
        <f t="shared" si="16"/>
        <v>#N/A</v>
      </c>
      <c r="CI39" s="19" t="e">
        <f t="shared" si="17"/>
        <v>#N/A</v>
      </c>
      <c r="CJ39" s="19">
        <f t="shared" si="18"/>
        <v>32</v>
      </c>
      <c r="CK39" s="19" t="e">
        <f t="shared" si="19"/>
        <v>#N/A</v>
      </c>
      <c r="CL39" s="19">
        <f t="shared" si="29"/>
        <v>32</v>
      </c>
      <c r="CM39" s="19" t="e">
        <f t="shared" si="20"/>
        <v>#N/A</v>
      </c>
      <c r="CN39" s="19">
        <f t="shared" si="30"/>
        <v>32</v>
      </c>
      <c r="CO39" s="19" t="e">
        <f t="shared" si="21"/>
        <v>#N/A</v>
      </c>
      <c r="CP39" s="19">
        <f t="shared" si="31"/>
        <v>32</v>
      </c>
      <c r="CQ39" s="19" t="e">
        <f t="shared" si="22"/>
        <v>#N/A</v>
      </c>
      <c r="CR39" s="19">
        <f t="shared" si="32"/>
        <v>32</v>
      </c>
      <c r="CS39" s="19" t="e">
        <f t="shared" si="23"/>
        <v>#N/A</v>
      </c>
      <c r="CT39" s="19">
        <f t="shared" si="33"/>
        <v>32</v>
      </c>
    </row>
    <row r="40" spans="14:98" ht="11.25" customHeight="1" x14ac:dyDescent="0.2">
      <c r="N40" s="531"/>
      <c r="O40" s="648" t="s">
        <v>494</v>
      </c>
      <c r="P40" s="587">
        <f t="shared" si="24"/>
        <v>0.41726999999999997</v>
      </c>
      <c r="Q40"/>
      <c r="R40"/>
      <c r="S40"/>
      <c r="T40"/>
      <c r="U40"/>
      <c r="V40"/>
      <c r="W40"/>
      <c r="X40"/>
      <c r="Y40"/>
      <c r="Z40"/>
      <c r="AA40"/>
      <c r="AB40"/>
      <c r="AC40"/>
      <c r="AD40"/>
      <c r="AE40"/>
      <c r="AF40"/>
      <c r="AG40" s="410">
        <f t="shared" si="1"/>
        <v>0.41726999999999997</v>
      </c>
      <c r="AN40" s="417"/>
      <c r="AO40" s="417"/>
      <c r="AP40" s="417"/>
      <c r="AW40" s="411">
        <f t="shared" si="2"/>
        <v>0.41726999999999997</v>
      </c>
      <c r="BO40" s="414" t="s">
        <v>923</v>
      </c>
      <c r="BP40" s="398"/>
      <c r="BQ40" s="413" t="s">
        <v>791</v>
      </c>
      <c r="BR40" s="414" t="s">
        <v>1029</v>
      </c>
      <c r="BS40" s="413"/>
      <c r="BT40" s="415" t="s">
        <v>924</v>
      </c>
      <c r="BU40" s="413"/>
      <c r="BZ40" s="649" t="s">
        <v>495</v>
      </c>
      <c r="CA40" s="650" t="s">
        <v>925</v>
      </c>
    </row>
    <row r="41" spans="14:98" ht="10.5" customHeight="1" thickBot="1" x14ac:dyDescent="0.25">
      <c r="N41" s="651"/>
      <c r="O41" s="652"/>
      <c r="P41" s="587">
        <f t="shared" si="24"/>
        <v>0.41726999999999997</v>
      </c>
      <c r="Q41"/>
      <c r="R41"/>
      <c r="S41"/>
      <c r="T41"/>
      <c r="U41"/>
      <c r="V41"/>
      <c r="W41"/>
      <c r="X41"/>
      <c r="Y41"/>
      <c r="Z41"/>
      <c r="AA41"/>
      <c r="AB41"/>
      <c r="AC41"/>
      <c r="AD41"/>
      <c r="AE41"/>
      <c r="AF41"/>
      <c r="AH41"/>
      <c r="AI41"/>
      <c r="AJ41"/>
      <c r="AK41"/>
      <c r="AN41" s="417"/>
      <c r="AO41" s="417"/>
      <c r="AP41" s="417"/>
      <c r="AW41" s="411"/>
      <c r="BO41" s="422">
        <f>IF(BT1,AB3,NA())</f>
        <v>50</v>
      </c>
      <c r="BP41" s="399">
        <v>0</v>
      </c>
      <c r="BQ41" s="423">
        <v>1.1000000000000001</v>
      </c>
      <c r="BR41" s="415">
        <f>BO41</f>
        <v>50</v>
      </c>
      <c r="BS41" s="413">
        <f>BP38/2</f>
        <v>0.5</v>
      </c>
      <c r="BT41" s="431">
        <f>IF(AND(BR5,BP7),BR12+AB5-AB3,NA())</f>
        <v>60.832995426615412</v>
      </c>
      <c r="BU41" s="653">
        <v>4.5</v>
      </c>
      <c r="BX41"/>
      <c r="BY41" s="654" t="s">
        <v>633</v>
      </c>
      <c r="BZ41" s="655" t="s">
        <v>807</v>
      </c>
      <c r="CA41" s="656" t="s">
        <v>807</v>
      </c>
      <c r="CO41" s="296"/>
    </row>
    <row r="42" spans="14:98" ht="11.25" customHeight="1" x14ac:dyDescent="0.2">
      <c r="N42" s="385">
        <v>9</v>
      </c>
      <c r="O42"/>
      <c r="P42"/>
      <c r="Q42"/>
      <c r="R42"/>
      <c r="S42"/>
      <c r="T42"/>
      <c r="U42"/>
      <c r="V42"/>
      <c r="W42"/>
      <c r="X42"/>
      <c r="Y42"/>
      <c r="Z42"/>
      <c r="AA42"/>
      <c r="AB42"/>
      <c r="AC42"/>
      <c r="AD42"/>
      <c r="AE42"/>
      <c r="AF42"/>
      <c r="AH42"/>
      <c r="AI42"/>
      <c r="AJ42"/>
      <c r="AK42"/>
      <c r="AN42" s="417"/>
      <c r="AO42" s="417"/>
      <c r="AP42" s="417"/>
      <c r="AW42" s="411"/>
      <c r="BO42" s="431">
        <f>IF(BT1,AB5,NA())</f>
        <v>60.7</v>
      </c>
      <c r="BP42" s="400">
        <v>0</v>
      </c>
      <c r="BQ42" s="432"/>
      <c r="BR42" s="431">
        <f>BO42</f>
        <v>60.7</v>
      </c>
      <c r="BS42" s="432">
        <f>BS41</f>
        <v>0.5</v>
      </c>
      <c r="BT42" s="19">
        <f>IF(AND(BR5,BP7),BR12+AB5-AB3+3.5,NA())</f>
        <v>64.332995426615412</v>
      </c>
      <c r="BU42" s="19">
        <f>BQ35</f>
        <v>33</v>
      </c>
      <c r="BY42" s="19">
        <v>0</v>
      </c>
      <c r="BZ42" s="19">
        <f t="shared" ref="BZ42:BZ105" si="34">IF($BT$1,NORMDIST(BY42,$AB$3,$AB$7,FALSE)/$BP$2,NA())</f>
        <v>4.393693362340742E-2</v>
      </c>
      <c r="CA42" s="19">
        <f t="shared" ref="CA42:CA105" si="35">IF($BT$1,NORMDIST(BY42,$AB$5,$AB$7,FALSE)/$BP$2,NA())</f>
        <v>9.995577837945125E-3</v>
      </c>
    </row>
    <row r="43" spans="14:98" ht="11.25" customHeight="1" x14ac:dyDescent="0.2">
      <c r="N43" s="399"/>
      <c r="O43" s="474" t="s">
        <v>926</v>
      </c>
      <c r="P43"/>
      <c r="Q43"/>
      <c r="R43"/>
      <c r="S43"/>
      <c r="T43"/>
      <c r="U43"/>
      <c r="V43"/>
      <c r="W43"/>
      <c r="X43"/>
      <c r="Y43"/>
      <c r="Z43"/>
      <c r="AA43"/>
      <c r="AB43"/>
      <c r="AC43"/>
      <c r="AD43"/>
      <c r="AE43"/>
      <c r="AF43"/>
      <c r="AH43"/>
      <c r="AI43"/>
      <c r="AJ43"/>
      <c r="AK43"/>
      <c r="AN43" s="417"/>
      <c r="AO43" s="417"/>
      <c r="AP43" s="417"/>
      <c r="AW43" s="411"/>
      <c r="BO43" s="657"/>
      <c r="BP43" s="404"/>
      <c r="BQ43" s="406"/>
      <c r="BR43" s="431">
        <f>AVERAGE(BR41:BR42)-BU43</f>
        <v>53.85</v>
      </c>
      <c r="BS43" s="432">
        <v>0.31</v>
      </c>
      <c r="BT43" s="743" t="s">
        <v>1038</v>
      </c>
      <c r="BU43" s="19">
        <v>1.5</v>
      </c>
      <c r="BY43" s="19">
        <f t="shared" ref="BY43:BY74" si="36">BY42+$BP$1</f>
        <v>0.5</v>
      </c>
      <c r="BZ43" s="19">
        <f t="shared" si="34"/>
        <v>4.6756008847947908E-2</v>
      </c>
      <c r="CA43" s="19">
        <f t="shared" si="35"/>
        <v>1.0780137052415055E-2</v>
      </c>
    </row>
    <row r="44" spans="14:98" ht="11.25" customHeight="1" x14ac:dyDescent="0.2">
      <c r="N44" s="658"/>
      <c r="O44" s="474" t="s">
        <v>927</v>
      </c>
      <c r="P44"/>
      <c r="Q44"/>
      <c r="R44"/>
      <c r="S44"/>
      <c r="T44"/>
      <c r="U44"/>
      <c r="V44"/>
      <c r="W44"/>
      <c r="X44"/>
      <c r="Y44"/>
      <c r="Z44"/>
      <c r="AA44"/>
      <c r="AB44"/>
      <c r="AC44"/>
      <c r="AD44"/>
      <c r="AE44"/>
      <c r="AF44"/>
      <c r="AH44"/>
      <c r="AN44" s="417"/>
      <c r="AO44" s="417"/>
      <c r="AP44" s="417"/>
      <c r="AW44" s="411"/>
      <c r="BO44" s="414" t="s">
        <v>928</v>
      </c>
      <c r="BP44" s="398">
        <f>IF(AND($BR$5,$BT$5,$BR$7,$G$4&lt;&gt;""),BR12,NA())</f>
        <v>50.132995426615409</v>
      </c>
      <c r="BQ44" s="413">
        <v>7</v>
      </c>
      <c r="BR44" s="19">
        <f>BR43</f>
        <v>53.85</v>
      </c>
      <c r="BS44" s="432">
        <f>0.3</f>
        <v>0.3</v>
      </c>
      <c r="BT44" s="19" t="s">
        <v>1039</v>
      </c>
      <c r="BY44" s="19">
        <f t="shared" si="36"/>
        <v>1</v>
      </c>
      <c r="BZ44" s="19">
        <f t="shared" si="34"/>
        <v>4.9724873412349574E-2</v>
      </c>
      <c r="CA44" s="19">
        <f t="shared" si="35"/>
        <v>1.1619012662177113E-2</v>
      </c>
    </row>
    <row r="45" spans="14:98" ht="11.25" customHeight="1" x14ac:dyDescent="0.2">
      <c r="N45" s="338"/>
      <c r="O45"/>
      <c r="P45"/>
      <c r="Q45"/>
      <c r="R45"/>
      <c r="S45"/>
      <c r="T45"/>
      <c r="U45"/>
      <c r="V45"/>
      <c r="W45"/>
      <c r="X45"/>
      <c r="Y45"/>
      <c r="Z45"/>
      <c r="AA45"/>
      <c r="AB45"/>
      <c r="AC45"/>
      <c r="AD45"/>
      <c r="AE45"/>
      <c r="AF45"/>
      <c r="AH45"/>
      <c r="AN45" s="417"/>
      <c r="AO45" s="417"/>
      <c r="AP45" s="417"/>
      <c r="AW45" s="411"/>
      <c r="BO45" s="431"/>
      <c r="BP45" s="400">
        <f>IF(AND($BR$5,$BT$5,$BR$7,$G$4&lt;&gt;""),G4+$BR$12,NA())</f>
        <v>62.743674781219603</v>
      </c>
      <c r="BQ45" s="432">
        <f>BQ44</f>
        <v>7</v>
      </c>
      <c r="BY45" s="19">
        <f t="shared" si="36"/>
        <v>1.5</v>
      </c>
      <c r="BZ45" s="19">
        <f t="shared" si="34"/>
        <v>5.2849210779185175E-2</v>
      </c>
      <c r="CA45" s="19">
        <f t="shared" si="35"/>
        <v>1.2515342341223668E-2</v>
      </c>
    </row>
    <row r="46" spans="14:98" ht="11.25" customHeight="1" x14ac:dyDescent="0.2">
      <c r="N46"/>
      <c r="O46"/>
      <c r="P46"/>
      <c r="Q46"/>
      <c r="R46"/>
      <c r="S46"/>
      <c r="T46"/>
      <c r="U46"/>
      <c r="V46"/>
      <c r="W46"/>
      <c r="X46"/>
      <c r="Y46"/>
      <c r="Z46"/>
      <c r="AA46"/>
      <c r="AB46"/>
      <c r="AC46"/>
      <c r="AN46" s="417"/>
      <c r="AO46" s="417"/>
      <c r="AP46" s="417"/>
      <c r="AW46" s="411"/>
      <c r="BO46" s="657" t="s">
        <v>929</v>
      </c>
      <c r="BP46" s="406">
        <f>NORMSINV(0.5+$BP$3/200)*$J$5/SQRT($J$7)</f>
        <v>6.9295191217483865</v>
      </c>
      <c r="BQ46" s="414" t="s">
        <v>930</v>
      </c>
      <c r="BR46" s="413">
        <f>BP46*SQRT(2)</f>
        <v>9.7998199227002676</v>
      </c>
      <c r="BS46" s="657" t="s">
        <v>931</v>
      </c>
      <c r="BT46" s="406">
        <f>SQRT(2)*$J$5/SQRT($J$7)</f>
        <v>5</v>
      </c>
      <c r="BY46" s="19">
        <f t="shared" si="36"/>
        <v>2</v>
      </c>
      <c r="BZ46" s="19">
        <f t="shared" si="34"/>
        <v>5.6134762834133725E-2</v>
      </c>
      <c r="CA46" s="19">
        <f t="shared" si="35"/>
        <v>1.347239502479906E-2</v>
      </c>
    </row>
    <row r="47" spans="14:98" ht="11.25" customHeight="1" x14ac:dyDescent="0.2">
      <c r="N47"/>
      <c r="O47"/>
      <c r="P47"/>
      <c r="Q47"/>
      <c r="R47"/>
      <c r="S47"/>
      <c r="T47"/>
      <c r="U47"/>
      <c r="V47"/>
      <c r="W47"/>
      <c r="X47"/>
      <c r="Y47"/>
      <c r="Z47"/>
      <c r="AA47"/>
      <c r="AB47"/>
      <c r="AC47"/>
      <c r="AN47" s="417"/>
      <c r="AO47" s="417"/>
      <c r="AP47" s="417"/>
      <c r="AW47" s="411"/>
      <c r="BO47" s="657" t="s">
        <v>932</v>
      </c>
      <c r="BP47" s="406">
        <f>IF(AND($BR$7,$U$10&gt;1),STDEV(BP50:BP249),-999)</f>
        <v>21.934831292343535</v>
      </c>
      <c r="BQ47" s="405">
        <f>NORMSINV(0.5+$BP$3/200)*BP47/SQRT($J$7)</f>
        <v>7.5998916436309711</v>
      </c>
      <c r="BR47" s="659" t="s">
        <v>933</v>
      </c>
      <c r="BT47" s="433" t="s">
        <v>934</v>
      </c>
      <c r="BU47" s="406">
        <f>IF(AND($BR$7,$U$10&gt;1),STDEV(BU50:BU249),-999)</f>
        <v>20.602081518119693</v>
      </c>
      <c r="BV47" s="405">
        <f>NORMSINV(0.5+$BP$3/200)*BU47/SQRT($J$7)</f>
        <v>7.1381258913814731</v>
      </c>
      <c r="BW47" s="406" t="s">
        <v>933</v>
      </c>
      <c r="BY47" s="19">
        <f t="shared" si="36"/>
        <v>2.5</v>
      </c>
      <c r="BZ47" s="19">
        <f t="shared" si="34"/>
        <v>5.9587318761986086E-2</v>
      </c>
      <c r="CA47" s="19">
        <f t="shared" si="35"/>
        <v>1.4493572553531498E-2</v>
      </c>
    </row>
    <row r="48" spans="14:98" ht="11.25" customHeight="1" x14ac:dyDescent="0.2">
      <c r="N48"/>
      <c r="O48"/>
      <c r="P48"/>
      <c r="Q48"/>
      <c r="R48"/>
      <c r="S48"/>
      <c r="T48"/>
      <c r="U48"/>
      <c r="V48"/>
      <c r="W48"/>
      <c r="X48"/>
      <c r="Y48"/>
      <c r="Z48"/>
      <c r="AA48"/>
      <c r="AB48"/>
      <c r="AC48"/>
      <c r="AN48" s="417"/>
      <c r="AO48" s="417"/>
      <c r="AP48" s="417"/>
      <c r="AW48" s="411"/>
      <c r="BO48" s="657" t="s">
        <v>935</v>
      </c>
      <c r="BP48" s="404">
        <f>IF($BR$7,AVERAGE(BP50:BP249),-999)</f>
        <v>62.743674781219603</v>
      </c>
      <c r="BQ48" s="404">
        <f>IF(AND($BR$2,$BR$7,$G$4&lt;&gt;"",BT4),AVERAGE(BP50:BP249),-999)</f>
        <v>62.743674781219603</v>
      </c>
      <c r="BR48" s="406">
        <v>2.8</v>
      </c>
      <c r="BT48" s="657" t="s">
        <v>936</v>
      </c>
      <c r="BU48" s="404">
        <f>IF($BR$7,AVERAGE(BU50:BU249),-999)</f>
        <v>50.132995426615409</v>
      </c>
      <c r="BV48" s="404">
        <f>IF(AND($BR$2,$BR$7,$G$4&lt;&gt;"",BT4),AVERAGE(BU50:BU249),-999)</f>
        <v>50.132995426615409</v>
      </c>
      <c r="BW48" s="406">
        <v>0.8</v>
      </c>
      <c r="BY48" s="19">
        <f t="shared" si="36"/>
        <v>3</v>
      </c>
      <c r="BZ48" s="19">
        <f t="shared" si="34"/>
        <v>6.3212703075288826E-2</v>
      </c>
      <c r="CA48" s="19">
        <f t="shared" si="35"/>
        <v>1.5582411012979448E-2</v>
      </c>
    </row>
    <row r="49" spans="40:79" ht="11.25" customHeight="1" thickBot="1" x14ac:dyDescent="0.25">
      <c r="AN49" s="417"/>
      <c r="AO49" s="417"/>
      <c r="AP49" s="417"/>
      <c r="AW49" s="410"/>
      <c r="BO49" s="660" t="s">
        <v>937</v>
      </c>
      <c r="BP49" s="661" t="s">
        <v>938</v>
      </c>
      <c r="BQ49" s="661"/>
      <c r="BR49" s="662" t="s">
        <v>939</v>
      </c>
      <c r="BT49" s="660" t="s">
        <v>937</v>
      </c>
      <c r="BU49" s="661" t="s">
        <v>938</v>
      </c>
      <c r="BV49" s="661"/>
      <c r="BW49" s="662" t="s">
        <v>940</v>
      </c>
      <c r="BY49" s="19">
        <f t="shared" si="36"/>
        <v>3.5</v>
      </c>
      <c r="BZ49" s="19">
        <f t="shared" si="34"/>
        <v>6.7016762789207263E-2</v>
      </c>
      <c r="CA49" s="19">
        <f t="shared" si="35"/>
        <v>1.6742581740099318E-2</v>
      </c>
    </row>
    <row r="50" spans="40:79" ht="11.25" customHeight="1" x14ac:dyDescent="0.2">
      <c r="AN50" s="417"/>
      <c r="AO50" s="417"/>
      <c r="AP50" s="417"/>
      <c r="AW50" s="410"/>
      <c r="BO50" s="72">
        <f>$J$9</f>
        <v>0.44207468773870362</v>
      </c>
      <c r="BP50" s="399">
        <f t="shared" ref="BP50:BP81" si="37">IF(AND($BR$7,$BS50&lt;=$U$10),$J$6+$J$5*NORMSINV(BO50),"")</f>
        <v>57.785775900118324</v>
      </c>
      <c r="BQ50" s="19">
        <f t="shared" ref="BQ50:BQ81" si="38">IF(AND($BR$2,BP50&lt;&gt;"",$G$4&lt;&gt;""),BP50,-999)</f>
        <v>57.785775900118324</v>
      </c>
      <c r="BR50" s="19">
        <f t="shared" ref="BR50:BR81" si="39">IF(BQ50=-999,-999,2)</f>
        <v>2</v>
      </c>
      <c r="BS50" s="401">
        <v>1</v>
      </c>
      <c r="BT50" s="72">
        <f>$J$8</f>
        <v>4.3462400828907399E-2</v>
      </c>
      <c r="BU50" s="399">
        <f t="shared" ref="BU50:BU81" si="40">IF(AND($BR$7,$BS50&lt;=$U$10),$J$4+$J$5*NORMSINV(BT50),"")</f>
        <v>15.763052802329369</v>
      </c>
      <c r="BV50" s="19">
        <f t="shared" ref="BV50:BV81" si="41">IF(AND($BR$2,BU50&lt;&gt;"",$G$4&lt;&gt;""),BU50,-999)</f>
        <v>15.763052802329369</v>
      </c>
      <c r="BW50" s="19">
        <f t="shared" ref="BW50:BW81" si="42">IF(BV50=-999,-999,0)</f>
        <v>0</v>
      </c>
      <c r="BY50" s="19">
        <f t="shared" si="36"/>
        <v>4</v>
      </c>
      <c r="BZ50" s="19">
        <f t="shared" si="34"/>
        <v>7.1005353739636998E-2</v>
      </c>
      <c r="CA50" s="19">
        <f t="shared" si="35"/>
        <v>1.7977891967483044E-2</v>
      </c>
    </row>
    <row r="51" spans="40:79" ht="11.25" customHeight="1" x14ac:dyDescent="0.2">
      <c r="AN51" s="417"/>
      <c r="AO51" s="417"/>
      <c r="AP51" s="417"/>
      <c r="AW51" s="410"/>
      <c r="BO51" s="72">
        <f t="shared" ref="BO51:BO82" si="43">MOD(BO50*10000013,1)</f>
        <v>0.62435797695070505</v>
      </c>
      <c r="BP51" s="399">
        <f t="shared" si="37"/>
        <v>67.03893399409877</v>
      </c>
      <c r="BQ51" s="19">
        <f t="shared" si="38"/>
        <v>67.03893399409877</v>
      </c>
      <c r="BR51" s="19">
        <f t="shared" si="39"/>
        <v>2</v>
      </c>
      <c r="BS51" s="401">
        <v>2</v>
      </c>
      <c r="BT51" s="72">
        <f t="shared" ref="BT51:BT82" si="44">MOD(BT50*10000013,1)</f>
        <v>0.57330028474098071</v>
      </c>
      <c r="BU51" s="399">
        <f t="shared" si="40"/>
        <v>53.695655200087806</v>
      </c>
      <c r="BV51" s="19">
        <f t="shared" si="41"/>
        <v>53.695655200087806</v>
      </c>
      <c r="BW51" s="19">
        <f t="shared" si="42"/>
        <v>0</v>
      </c>
      <c r="BY51" s="19">
        <f t="shared" si="36"/>
        <v>4.5</v>
      </c>
      <c r="BZ51" s="19">
        <f t="shared" si="34"/>
        <v>7.5184326045271158E-2</v>
      </c>
      <c r="CA51" s="19">
        <f t="shared" si="35"/>
        <v>1.9292285075657476E-2</v>
      </c>
    </row>
    <row r="52" spans="40:79" ht="11.25" customHeight="1" x14ac:dyDescent="0.2">
      <c r="AN52" s="417"/>
      <c r="AO52" s="417"/>
      <c r="AP52" s="417"/>
      <c r="AW52" s="410"/>
      <c r="BO52" s="72">
        <f t="shared" si="43"/>
        <v>0.88616075087338686</v>
      </c>
      <c r="BP52" s="399">
        <f t="shared" si="37"/>
        <v>84.827211099430031</v>
      </c>
      <c r="BQ52" s="19">
        <f t="shared" si="38"/>
        <v>84.827211099430031</v>
      </c>
      <c r="BR52" s="19">
        <f t="shared" si="39"/>
        <v>2</v>
      </c>
      <c r="BS52" s="401">
        <v>3</v>
      </c>
      <c r="BT52" s="72">
        <f t="shared" si="44"/>
        <v>0.30031350906938314</v>
      </c>
      <c r="BU52" s="399">
        <f t="shared" si="40"/>
        <v>39.530019177697511</v>
      </c>
      <c r="BV52" s="19">
        <f t="shared" si="41"/>
        <v>39.530019177697511</v>
      </c>
      <c r="BW52" s="19">
        <f t="shared" si="42"/>
        <v>0</v>
      </c>
      <c r="BY52" s="19">
        <f t="shared" si="36"/>
        <v>5</v>
      </c>
      <c r="BZ52" s="19">
        <f t="shared" si="34"/>
        <v>7.9559508718227673E-2</v>
      </c>
      <c r="CA52" s="19">
        <f t="shared" si="35"/>
        <v>2.0689840423294126E-2</v>
      </c>
    </row>
    <row r="53" spans="40:79" ht="11.25" customHeight="1" x14ac:dyDescent="0.2">
      <c r="AN53" s="417"/>
      <c r="AO53" s="417"/>
      <c r="AP53" s="417"/>
      <c r="AW53" s="410"/>
      <c r="BO53" s="72">
        <f t="shared" si="43"/>
        <v>2.8823629021644592E-2</v>
      </c>
      <c r="BP53" s="399">
        <f t="shared" si="37"/>
        <v>22.732584711453669</v>
      </c>
      <c r="BQ53" s="19">
        <f t="shared" si="38"/>
        <v>22.732584711453669</v>
      </c>
      <c r="BR53" s="19">
        <f t="shared" si="39"/>
        <v>2</v>
      </c>
      <c r="BS53" s="401">
        <v>4</v>
      </c>
      <c r="BT53" s="72">
        <f t="shared" si="44"/>
        <v>0.9947694493457675</v>
      </c>
      <c r="BU53" s="399">
        <f t="shared" si="40"/>
        <v>101.2040615964209</v>
      </c>
      <c r="BV53" s="19">
        <f t="shared" si="41"/>
        <v>101.2040615964209</v>
      </c>
      <c r="BW53" s="19">
        <f t="shared" si="42"/>
        <v>0</v>
      </c>
      <c r="BY53" s="19">
        <f t="shared" si="36"/>
        <v>5.5</v>
      </c>
      <c r="BZ53" s="19">
        <f t="shared" si="34"/>
        <v>8.4136693431947907E-2</v>
      </c>
      <c r="CA53" s="19">
        <f t="shared" si="35"/>
        <v>2.2174772724855182E-2</v>
      </c>
    </row>
    <row r="54" spans="40:79" ht="11.25" customHeight="1" x14ac:dyDescent="0.2">
      <c r="AN54" s="417"/>
      <c r="AO54" s="417"/>
      <c r="AP54" s="417"/>
      <c r="AW54" s="410"/>
      <c r="BO54" s="72">
        <f t="shared" si="43"/>
        <v>0.66492362320423126</v>
      </c>
      <c r="BP54" s="399">
        <f t="shared" si="37"/>
        <v>69.218767431916859</v>
      </c>
      <c r="BQ54" s="19">
        <f t="shared" si="38"/>
        <v>69.218767431916859</v>
      </c>
      <c r="BR54" s="19">
        <f t="shared" si="39"/>
        <v>2</v>
      </c>
      <c r="BS54" s="401">
        <v>5</v>
      </c>
      <c r="BT54" s="72">
        <f t="shared" si="44"/>
        <v>0.42546051740646362</v>
      </c>
      <c r="BU54" s="399">
        <f t="shared" si="40"/>
        <v>46.241132362086411</v>
      </c>
      <c r="BV54" s="19">
        <f t="shared" si="41"/>
        <v>46.241132362086411</v>
      </c>
      <c r="BW54" s="19">
        <f t="shared" si="42"/>
        <v>0</v>
      </c>
      <c r="BY54" s="19">
        <f t="shared" si="36"/>
        <v>6</v>
      </c>
      <c r="BZ54" s="19">
        <f t="shared" si="34"/>
        <v>8.8921617459386287E-2</v>
      </c>
      <c r="CA54" s="19">
        <f t="shared" si="35"/>
        <v>2.3751430945016003E-2</v>
      </c>
    </row>
    <row r="55" spans="40:79" ht="11.25" customHeight="1" x14ac:dyDescent="0.2">
      <c r="AN55" s="417"/>
      <c r="AO55" s="417"/>
      <c r="AP55" s="417"/>
      <c r="AW55" s="410"/>
      <c r="BO55" s="72">
        <f t="shared" si="43"/>
        <v>0.87604941427707672</v>
      </c>
      <c r="BP55" s="399">
        <f t="shared" si="37"/>
        <v>83.809245558367749</v>
      </c>
      <c r="BQ55" s="19">
        <f t="shared" si="38"/>
        <v>83.809245558367749</v>
      </c>
      <c r="BR55" s="19">
        <f t="shared" si="39"/>
        <v>2</v>
      </c>
      <c r="BS55" s="401">
        <v>6</v>
      </c>
      <c r="BT55" s="72">
        <f t="shared" si="44"/>
        <v>0.70505136251449585</v>
      </c>
      <c r="BU55" s="399">
        <f t="shared" si="40"/>
        <v>60.779697963744681</v>
      </c>
      <c r="BV55" s="19">
        <f t="shared" si="41"/>
        <v>60.779697963744681</v>
      </c>
      <c r="BW55" s="19">
        <f t="shared" si="42"/>
        <v>0</v>
      </c>
      <c r="BY55" s="19">
        <f t="shared" si="36"/>
        <v>6.5</v>
      </c>
      <c r="BZ55" s="19">
        <f t="shared" si="34"/>
        <v>9.3919945799004451E-2</v>
      </c>
      <c r="CA55" s="19">
        <f t="shared" si="35"/>
        <v>2.5424296679161039E-2</v>
      </c>
    </row>
    <row r="56" spans="40:79" ht="11.25" customHeight="1" x14ac:dyDescent="0.2">
      <c r="AN56" s="417"/>
      <c r="AO56" s="417"/>
      <c r="AP56" s="417"/>
      <c r="AW56" s="410"/>
      <c r="BO56" s="72">
        <f t="shared" si="43"/>
        <v>0.53141315281391144</v>
      </c>
      <c r="BP56" s="399">
        <f t="shared" si="37"/>
        <v>62.276452839813878</v>
      </c>
      <c r="BQ56" s="19">
        <f t="shared" si="38"/>
        <v>62.276452839813878</v>
      </c>
      <c r="BR56" s="19">
        <f t="shared" si="39"/>
        <v>2</v>
      </c>
      <c r="BS56" s="401">
        <v>7</v>
      </c>
      <c r="BT56" s="72">
        <f t="shared" si="44"/>
        <v>0.79081267118453979</v>
      </c>
      <c r="BU56" s="399">
        <f t="shared" si="40"/>
        <v>66.184885317642198</v>
      </c>
      <c r="BV56" s="19">
        <f t="shared" si="41"/>
        <v>66.184885317642198</v>
      </c>
      <c r="BW56" s="19">
        <f t="shared" si="42"/>
        <v>0</v>
      </c>
      <c r="BY56" s="19">
        <f t="shared" si="36"/>
        <v>7</v>
      </c>
      <c r="BZ56" s="19">
        <f t="shared" si="34"/>
        <v>9.913725251074737E-2</v>
      </c>
      <c r="CA56" s="19">
        <f t="shared" si="35"/>
        <v>2.7197981989364434E-2</v>
      </c>
    </row>
    <row r="57" spans="40:79" ht="11.25" customHeight="1" x14ac:dyDescent="0.2">
      <c r="AN57" s="417"/>
      <c r="AO57" s="417"/>
      <c r="AP57" s="417"/>
      <c r="AW57" s="410"/>
      <c r="BO57" s="72">
        <f t="shared" si="43"/>
        <v>0.43651010096073151</v>
      </c>
      <c r="BP57" s="399">
        <f t="shared" si="37"/>
        <v>57.503532290299972</v>
      </c>
      <c r="BQ57" s="19">
        <f t="shared" si="38"/>
        <v>57.503532290299972</v>
      </c>
      <c r="BR57" s="19">
        <f t="shared" si="39"/>
        <v>2</v>
      </c>
      <c r="BS57" s="401">
        <v>8</v>
      </c>
      <c r="BT57" s="72">
        <f t="shared" si="44"/>
        <v>0.99241012334823608</v>
      </c>
      <c r="BU57" s="399">
        <f t="shared" si="40"/>
        <v>98.561237486630318</v>
      </c>
      <c r="BV57" s="19">
        <f t="shared" si="41"/>
        <v>98.561237486630318</v>
      </c>
      <c r="BW57" s="19">
        <f t="shared" si="42"/>
        <v>0</v>
      </c>
      <c r="BY57" s="19">
        <f t="shared" si="36"/>
        <v>7.5</v>
      </c>
      <c r="BZ57" s="19">
        <f t="shared" si="34"/>
        <v>0.10457900128900144</v>
      </c>
      <c r="CA57" s="19">
        <f t="shared" si="35"/>
        <v>2.9077226665546727E-2</v>
      </c>
    </row>
    <row r="58" spans="40:79" ht="11.25" customHeight="1" x14ac:dyDescent="0.2">
      <c r="AN58" s="417"/>
      <c r="AO58" s="417"/>
      <c r="AP58" s="417"/>
      <c r="AW58" s="410"/>
      <c r="BO58" s="72">
        <f t="shared" si="43"/>
        <v>0.68423862755298615</v>
      </c>
      <c r="BP58" s="399">
        <f t="shared" si="37"/>
        <v>70.291693518669717</v>
      </c>
      <c r="BQ58" s="19">
        <f t="shared" si="38"/>
        <v>70.291693518669717</v>
      </c>
      <c r="BR58" s="19">
        <f t="shared" si="39"/>
        <v>2</v>
      </c>
      <c r="BS58" s="401">
        <v>9</v>
      </c>
      <c r="BT58" s="72">
        <f t="shared" si="44"/>
        <v>0.13481396436691284</v>
      </c>
      <c r="BU58" s="399">
        <f t="shared" si="40"/>
        <v>27.921603986477336</v>
      </c>
      <c r="BV58" s="19">
        <f t="shared" si="41"/>
        <v>27.921603986477336</v>
      </c>
      <c r="BW58" s="19">
        <f t="shared" si="42"/>
        <v>0</v>
      </c>
      <c r="BY58" s="19">
        <f t="shared" si="36"/>
        <v>8</v>
      </c>
      <c r="BZ58" s="19">
        <f t="shared" si="34"/>
        <v>0.11025052530448522</v>
      </c>
      <c r="CA58" s="19">
        <f t="shared" si="35"/>
        <v>3.1066894881955198E-2</v>
      </c>
    </row>
    <row r="59" spans="40:79" ht="11.25" customHeight="1" x14ac:dyDescent="0.2">
      <c r="AN59" s="417"/>
      <c r="AO59" s="417"/>
      <c r="AP59" s="417"/>
      <c r="AW59" s="410"/>
      <c r="BO59" s="72">
        <f t="shared" si="43"/>
        <v>0.1706320196390152</v>
      </c>
      <c r="BP59" s="399">
        <f t="shared" si="37"/>
        <v>41.66658701995425</v>
      </c>
      <c r="BQ59" s="19">
        <f t="shared" si="38"/>
        <v>41.66658701995425</v>
      </c>
      <c r="BR59" s="19">
        <f t="shared" si="39"/>
        <v>2</v>
      </c>
      <c r="BS59" s="401">
        <v>10</v>
      </c>
      <c r="BT59" s="72">
        <f t="shared" si="44"/>
        <v>0.39625066518783569</v>
      </c>
      <c r="BU59" s="399">
        <f t="shared" si="40"/>
        <v>44.738722065607384</v>
      </c>
      <c r="BV59" s="19">
        <f t="shared" si="41"/>
        <v>44.738722065607384</v>
      </c>
      <c r="BW59" s="19">
        <f t="shared" si="42"/>
        <v>0</v>
      </c>
      <c r="BY59" s="19">
        <f t="shared" si="36"/>
        <v>8.5</v>
      </c>
      <c r="BZ59" s="19">
        <f t="shared" si="34"/>
        <v>0.11615700635209682</v>
      </c>
      <c r="CA59" s="19">
        <f t="shared" si="35"/>
        <v>3.3171971219759011E-2</v>
      </c>
    </row>
    <row r="60" spans="40:79" ht="11.25" customHeight="1" x14ac:dyDescent="0.2">
      <c r="AN60" s="417"/>
      <c r="AO60" s="417"/>
      <c r="AP60" s="417"/>
      <c r="AW60" s="410"/>
      <c r="BO60" s="72">
        <f t="shared" si="43"/>
        <v>0.41460640728473663</v>
      </c>
      <c r="BP60" s="399">
        <f t="shared" si="37"/>
        <v>56.385774567341116</v>
      </c>
      <c r="BQ60" s="19">
        <f t="shared" si="38"/>
        <v>56.385774567341116</v>
      </c>
      <c r="BR60" s="19">
        <f t="shared" si="39"/>
        <v>2</v>
      </c>
      <c r="BS60" s="401">
        <v>11</v>
      </c>
      <c r="BT60" s="72">
        <f t="shared" si="44"/>
        <v>0.80313700437545776</v>
      </c>
      <c r="BU60" s="399">
        <f t="shared" si="40"/>
        <v>67.057595042392222</v>
      </c>
      <c r="BV60" s="19">
        <f t="shared" si="41"/>
        <v>67.057595042392222</v>
      </c>
      <c r="BW60" s="19">
        <f t="shared" si="42"/>
        <v>0</v>
      </c>
      <c r="BY60" s="19">
        <f t="shared" si="36"/>
        <v>9</v>
      </c>
      <c r="BZ60" s="19">
        <f t="shared" si="34"/>
        <v>0.12230345334690058</v>
      </c>
      <c r="CA60" s="19">
        <f t="shared" si="35"/>
        <v>3.5397556027389566E-2</v>
      </c>
    </row>
    <row r="61" spans="40:79" ht="11.25" customHeight="1" x14ac:dyDescent="0.2">
      <c r="AN61" s="417"/>
      <c r="AO61" s="417"/>
      <c r="AP61" s="417"/>
      <c r="AW61" s="410"/>
      <c r="BO61" s="72">
        <f t="shared" si="43"/>
        <v>0.46273066103458405</v>
      </c>
      <c r="BP61" s="399">
        <f t="shared" si="37"/>
        <v>58.828866377393418</v>
      </c>
      <c r="BQ61" s="19">
        <f t="shared" si="38"/>
        <v>58.828866377393418</v>
      </c>
      <c r="BR61" s="19">
        <f t="shared" si="39"/>
        <v>2</v>
      </c>
      <c r="BS61" s="401">
        <v>12</v>
      </c>
      <c r="BT61" s="72">
        <f t="shared" si="44"/>
        <v>0.48453563451766968</v>
      </c>
      <c r="BU61" s="399">
        <f t="shared" si="40"/>
        <v>49.224537429142792</v>
      </c>
      <c r="BV61" s="19">
        <f t="shared" si="41"/>
        <v>49.224537429142792</v>
      </c>
      <c r="BW61" s="19">
        <f t="shared" si="42"/>
        <v>0</v>
      </c>
      <c r="BY61" s="19">
        <f t="shared" si="36"/>
        <v>9.5</v>
      </c>
      <c r="BZ61" s="19">
        <f t="shared" si="34"/>
        <v>0.12869468021566227</v>
      </c>
      <c r="CA61" s="19">
        <f t="shared" si="35"/>
        <v>3.7748860091298971E-2</v>
      </c>
    </row>
    <row r="62" spans="40:79" ht="11.25" customHeight="1" x14ac:dyDescent="0.2">
      <c r="AN62" s="417"/>
      <c r="AO62" s="417"/>
      <c r="AP62" s="417"/>
      <c r="AW62" s="410"/>
      <c r="BO62" s="72">
        <f t="shared" si="43"/>
        <v>0.62584443390369415</v>
      </c>
      <c r="BP62" s="399">
        <f t="shared" si="37"/>
        <v>67.117341337321221</v>
      </c>
      <c r="BQ62" s="19">
        <f t="shared" si="38"/>
        <v>67.117341337321221</v>
      </c>
      <c r="BR62" s="19">
        <f t="shared" si="39"/>
        <v>2</v>
      </c>
      <c r="BS62" s="401">
        <v>13</v>
      </c>
      <c r="BT62" s="72">
        <f t="shared" si="44"/>
        <v>0.64413994550704956</v>
      </c>
      <c r="BU62" s="399">
        <f t="shared" si="40"/>
        <v>57.390938348597473</v>
      </c>
      <c r="BV62" s="19">
        <f t="shared" si="41"/>
        <v>57.390938348597473</v>
      </c>
      <c r="BW62" s="19">
        <f t="shared" si="42"/>
        <v>0</v>
      </c>
      <c r="BY62" s="19">
        <f t="shared" si="36"/>
        <v>10</v>
      </c>
      <c r="BZ62" s="19">
        <f t="shared" si="34"/>
        <v>0.1353352832366127</v>
      </c>
      <c r="CA62" s="19">
        <f t="shared" si="35"/>
        <v>4.0231198591067024E-2</v>
      </c>
    </row>
    <row r="63" spans="40:79" ht="11.25" customHeight="1" x14ac:dyDescent="0.2">
      <c r="AN63" s="417"/>
      <c r="AO63" s="417"/>
      <c r="AP63" s="417"/>
      <c r="AW63" s="410"/>
      <c r="BO63" s="72">
        <f t="shared" si="43"/>
        <v>0.4750145822763443</v>
      </c>
      <c r="BP63" s="399">
        <f t="shared" si="37"/>
        <v>59.446596925921902</v>
      </c>
      <c r="BQ63" s="19">
        <f t="shared" si="38"/>
        <v>59.446596925921902</v>
      </c>
      <c r="BR63" s="19">
        <f t="shared" si="39"/>
        <v>2</v>
      </c>
      <c r="BS63" s="401">
        <v>14</v>
      </c>
      <c r="BT63" s="72">
        <f t="shared" si="44"/>
        <v>0.82888978719711304</v>
      </c>
      <c r="BU63" s="399">
        <f t="shared" si="40"/>
        <v>68.995742641341636</v>
      </c>
      <c r="BV63" s="19">
        <f t="shared" si="41"/>
        <v>68.995742641341636</v>
      </c>
      <c r="BW63" s="19">
        <f t="shared" si="42"/>
        <v>0</v>
      </c>
      <c r="BY63" s="19">
        <f t="shared" si="36"/>
        <v>10.5</v>
      </c>
      <c r="BZ63" s="19">
        <f t="shared" si="34"/>
        <v>0.14222961788539534</v>
      </c>
      <c r="CA63" s="19">
        <f t="shared" si="35"/>
        <v>4.2849984314261062E-2</v>
      </c>
    </row>
    <row r="64" spans="40:79" ht="11.25" customHeight="1" x14ac:dyDescent="0.2">
      <c r="AN64" s="417"/>
      <c r="AO64" s="417"/>
      <c r="AP64" s="417"/>
      <c r="AW64" s="410"/>
      <c r="BO64" s="72">
        <f t="shared" si="43"/>
        <v>0.99795301258563995</v>
      </c>
      <c r="BP64" s="399">
        <f t="shared" si="37"/>
        <v>118.11657137157782</v>
      </c>
      <c r="BQ64" s="19">
        <f t="shared" si="38"/>
        <v>118.11657137157782</v>
      </c>
      <c r="BR64" s="19">
        <f t="shared" si="39"/>
        <v>2</v>
      </c>
      <c r="BS64" s="401">
        <v>15</v>
      </c>
      <c r="BT64" s="72">
        <f t="shared" si="44"/>
        <v>0.64753836393356323</v>
      </c>
      <c r="BU64" s="399">
        <f t="shared" si="40"/>
        <v>57.573660181096145</v>
      </c>
      <c r="BV64" s="19">
        <f t="shared" si="41"/>
        <v>57.573660181096145</v>
      </c>
      <c r="BW64" s="19">
        <f t="shared" si="42"/>
        <v>0</v>
      </c>
      <c r="BY64" s="19">
        <f t="shared" si="36"/>
        <v>11</v>
      </c>
      <c r="BZ64" s="19">
        <f t="shared" si="34"/>
        <v>0.14938177525041801</v>
      </c>
      <c r="CA64" s="19">
        <f t="shared" si="35"/>
        <v>4.5610720108156019E-2</v>
      </c>
    </row>
    <row r="65" spans="15:79" ht="11.25" customHeight="1" x14ac:dyDescent="0.2">
      <c r="AN65" s="417"/>
      <c r="AO65" s="417"/>
      <c r="AP65" s="417"/>
      <c r="AW65" s="410"/>
      <c r="BO65" s="72">
        <f t="shared" si="43"/>
        <v>9.9245563149452209E-2</v>
      </c>
      <c r="BP65" s="399">
        <f t="shared" si="37"/>
        <v>34.9827541921061</v>
      </c>
      <c r="BQ65" s="19">
        <f t="shared" si="38"/>
        <v>34.9827541921061</v>
      </c>
      <c r="BR65" s="19">
        <f t="shared" si="39"/>
        <v>2</v>
      </c>
      <c r="BS65" s="401">
        <v>16</v>
      </c>
      <c r="BT65" s="72">
        <f t="shared" si="44"/>
        <v>5.7334363460540771E-2</v>
      </c>
      <c r="BU65" s="399">
        <f t="shared" si="40"/>
        <v>18.448973912377337</v>
      </c>
      <c r="BV65" s="19">
        <f t="shared" si="41"/>
        <v>18.448973912377337</v>
      </c>
      <c r="BW65" s="19">
        <f t="shared" si="42"/>
        <v>0</v>
      </c>
      <c r="BY65" s="19">
        <f t="shared" si="36"/>
        <v>11.5</v>
      </c>
      <c r="BZ65" s="19">
        <f t="shared" si="34"/>
        <v>0.15679555808603965</v>
      </c>
      <c r="CA65" s="19">
        <f t="shared" si="35"/>
        <v>4.8518990547353993E-2</v>
      </c>
    </row>
    <row r="66" spans="15:79" ht="11.25" customHeight="1" x14ac:dyDescent="0.2">
      <c r="AN66" s="417"/>
      <c r="AO66" s="417"/>
      <c r="AP66" s="417"/>
      <c r="AW66" s="410"/>
      <c r="BO66" s="72">
        <f t="shared" si="43"/>
        <v>0.92168684303760529</v>
      </c>
      <c r="BP66" s="399">
        <f t="shared" si="37"/>
        <v>89.030194838173855</v>
      </c>
      <c r="BQ66" s="19">
        <f t="shared" si="38"/>
        <v>89.030194838173855</v>
      </c>
      <c r="BR66" s="19">
        <f t="shared" si="39"/>
        <v>2</v>
      </c>
      <c r="BS66" s="401">
        <v>17</v>
      </c>
      <c r="BT66" s="72">
        <f t="shared" si="44"/>
        <v>0.37995213270187378</v>
      </c>
      <c r="BU66" s="399">
        <f t="shared" si="40"/>
        <v>43.887869857267042</v>
      </c>
      <c r="BV66" s="19">
        <f t="shared" si="41"/>
        <v>43.887869857267042</v>
      </c>
      <c r="BW66" s="19">
        <f t="shared" si="42"/>
        <v>0</v>
      </c>
      <c r="BY66" s="19">
        <f t="shared" si="36"/>
        <v>12</v>
      </c>
      <c r="BZ66" s="19">
        <f t="shared" si="34"/>
        <v>0.1644744565771549</v>
      </c>
      <c r="CA66" s="19">
        <f t="shared" si="35"/>
        <v>5.1580452798510069E-2</v>
      </c>
    </row>
    <row r="67" spans="15:79" ht="11.25" customHeight="1" x14ac:dyDescent="0.2">
      <c r="AN67" s="417"/>
      <c r="AO67" s="417"/>
      <c r="AP67" s="417"/>
      <c r="AW67" s="410"/>
      <c r="BD67" s="570"/>
      <c r="BE67" s="570"/>
      <c r="BF67" s="570"/>
      <c r="BG67" s="570"/>
      <c r="BH67" s="570"/>
      <c r="BI67" s="570"/>
      <c r="BJ67" s="570"/>
      <c r="BK67" s="570"/>
      <c r="BL67" s="570"/>
      <c r="BM67" s="570"/>
      <c r="BN67" s="570"/>
      <c r="BO67" s="72">
        <f t="shared" si="43"/>
        <v>0.41230501234531403</v>
      </c>
      <c r="BP67" s="399">
        <f t="shared" si="37"/>
        <v>56.267608035960265</v>
      </c>
      <c r="BQ67" s="19">
        <f t="shared" si="38"/>
        <v>56.267608035960265</v>
      </c>
      <c r="BR67" s="19">
        <f t="shared" si="39"/>
        <v>2</v>
      </c>
      <c r="BS67" s="401">
        <v>18</v>
      </c>
      <c r="BT67" s="72">
        <f t="shared" si="44"/>
        <v>0.26639646291732788</v>
      </c>
      <c r="BU67" s="399">
        <f t="shared" si="40"/>
        <v>37.525034863457286</v>
      </c>
      <c r="BV67" s="19">
        <f t="shared" si="41"/>
        <v>37.525034863457286</v>
      </c>
      <c r="BW67" s="19">
        <f t="shared" si="42"/>
        <v>0</v>
      </c>
      <c r="BY67" s="19">
        <f t="shared" si="36"/>
        <v>12.5</v>
      </c>
      <c r="BZ67" s="19">
        <f t="shared" si="34"/>
        <v>0.17242162389375279</v>
      </c>
      <c r="CA67" s="19">
        <f t="shared" si="35"/>
        <v>5.4800826665778672E-2</v>
      </c>
    </row>
    <row r="68" spans="15:79" ht="11.25" customHeight="1" x14ac:dyDescent="0.2">
      <c r="AN68" s="417"/>
      <c r="AO68" s="417"/>
      <c r="AP68" s="417"/>
      <c r="AW68" s="410"/>
      <c r="BO68" s="72">
        <f t="shared" si="43"/>
        <v>0.4834183007478714</v>
      </c>
      <c r="BP68" s="399">
        <f t="shared" si="37"/>
        <v>59.868477380209001</v>
      </c>
      <c r="BQ68" s="19">
        <f t="shared" si="38"/>
        <v>59.868477380209001</v>
      </c>
      <c r="BR68" s="19">
        <f t="shared" si="39"/>
        <v>2</v>
      </c>
      <c r="BS68" s="401">
        <v>19</v>
      </c>
      <c r="BT68" s="72">
        <f t="shared" si="44"/>
        <v>9.2327296733856201E-2</v>
      </c>
      <c r="BU68" s="399">
        <f t="shared" si="40"/>
        <v>23.468819240710772</v>
      </c>
      <c r="BV68" s="19">
        <f t="shared" si="41"/>
        <v>23.468819240710772</v>
      </c>
      <c r="BW68" s="19">
        <f t="shared" si="42"/>
        <v>0</v>
      </c>
      <c r="BY68" s="19">
        <f t="shared" si="36"/>
        <v>13</v>
      </c>
      <c r="BZ68" s="19">
        <f t="shared" si="34"/>
        <v>0.18063985161889395</v>
      </c>
      <c r="CA68" s="19">
        <f t="shared" si="35"/>
        <v>5.8185883803236887E-2</v>
      </c>
    </row>
    <row r="69" spans="15:79" ht="11.25" customHeight="1" x14ac:dyDescent="0.2">
      <c r="AN69" s="417"/>
      <c r="AO69" s="417"/>
      <c r="AP69" s="417"/>
      <c r="AW69" s="410"/>
      <c r="BO69" s="72">
        <f t="shared" si="43"/>
        <v>0.291916623711586</v>
      </c>
      <c r="BP69" s="399">
        <f t="shared" si="37"/>
        <v>49.744116753029687</v>
      </c>
      <c r="BQ69" s="19">
        <f t="shared" si="38"/>
        <v>49.744116753029687</v>
      </c>
      <c r="BR69" s="19">
        <f t="shared" si="39"/>
        <v>2</v>
      </c>
      <c r="BS69" s="401">
        <v>20</v>
      </c>
      <c r="BT69" s="72">
        <f t="shared" si="44"/>
        <v>0.16759341955184937</v>
      </c>
      <c r="BU69" s="399">
        <f t="shared" si="40"/>
        <v>30.72562052583525</v>
      </c>
      <c r="BV69" s="19">
        <f t="shared" si="41"/>
        <v>30.72562052583525</v>
      </c>
      <c r="BW69" s="19">
        <f t="shared" si="42"/>
        <v>0</v>
      </c>
      <c r="BY69" s="19">
        <f t="shared" si="36"/>
        <v>13.5</v>
      </c>
      <c r="BZ69" s="19">
        <f t="shared" si="34"/>
        <v>0.18913154513822555</v>
      </c>
      <c r="CA69" s="19">
        <f t="shared" si="35"/>
        <v>6.1741436083429045E-2</v>
      </c>
    </row>
    <row r="70" spans="15:79" ht="11.25" customHeight="1" x14ac:dyDescent="0.2">
      <c r="AN70" s="417"/>
      <c r="AO70" s="417"/>
      <c r="AP70" s="417"/>
      <c r="AW70" s="410"/>
      <c r="BO70" s="72">
        <f t="shared" si="43"/>
        <v>3.2031968235969543E-2</v>
      </c>
      <c r="BP70" s="399">
        <f t="shared" si="37"/>
        <v>23.665307096276962</v>
      </c>
      <c r="BQ70" s="19">
        <f t="shared" si="38"/>
        <v>23.665307096276962</v>
      </c>
      <c r="BR70" s="19">
        <f t="shared" si="39"/>
        <v>2</v>
      </c>
      <c r="BS70" s="401">
        <v>21</v>
      </c>
      <c r="BT70" s="72">
        <f t="shared" si="44"/>
        <v>0.3742329478263855</v>
      </c>
      <c r="BU70" s="399">
        <f t="shared" si="40"/>
        <v>43.586742803240796</v>
      </c>
      <c r="BV70" s="19">
        <f t="shared" si="41"/>
        <v>43.586742803240796</v>
      </c>
      <c r="BW70" s="19">
        <f t="shared" si="42"/>
        <v>0</v>
      </c>
      <c r="BY70" s="19">
        <f t="shared" si="36"/>
        <v>14</v>
      </c>
      <c r="BZ70" s="19">
        <f t="shared" si="34"/>
        <v>0.1978986990836146</v>
      </c>
      <c r="CA70" s="19">
        <f t="shared" si="35"/>
        <v>6.547332311429678E-2</v>
      </c>
    </row>
    <row r="71" spans="15:79" ht="11.25" customHeight="1" x14ac:dyDescent="0.2">
      <c r="AN71" s="417"/>
      <c r="AO71" s="417"/>
      <c r="AP71" s="417"/>
      <c r="AW71" s="410"/>
      <c r="BO71" s="72">
        <f t="shared" si="43"/>
        <v>9.8775282502174377E-2</v>
      </c>
      <c r="BP71" s="399">
        <f t="shared" si="37"/>
        <v>34.92876940874136</v>
      </c>
      <c r="BQ71" s="19">
        <f t="shared" si="38"/>
        <v>34.92876940874136</v>
      </c>
      <c r="BR71" s="19">
        <f t="shared" si="39"/>
        <v>2</v>
      </c>
      <c r="BS71" s="401">
        <v>22</v>
      </c>
      <c r="BT71" s="72">
        <f t="shared" si="44"/>
        <v>0.34329217672348022</v>
      </c>
      <c r="BU71" s="399">
        <f t="shared" si="40"/>
        <v>41.930106558192598</v>
      </c>
      <c r="BV71" s="19">
        <f t="shared" si="41"/>
        <v>41.930106558192598</v>
      </c>
      <c r="BW71" s="19">
        <f t="shared" si="42"/>
        <v>0</v>
      </c>
      <c r="BY71" s="19">
        <f t="shared" si="36"/>
        <v>14.5</v>
      </c>
      <c r="BZ71" s="19">
        <f t="shared" si="34"/>
        <v>0.20694287292767763</v>
      </c>
      <c r="CA71" s="19">
        <f t="shared" si="35"/>
        <v>6.9387398900117067E-2</v>
      </c>
    </row>
    <row r="72" spans="15:79" ht="11.25" customHeight="1" x14ac:dyDescent="0.2">
      <c r="AN72" s="417"/>
      <c r="AO72" s="417"/>
      <c r="AP72" s="417"/>
      <c r="AW72" s="410"/>
      <c r="BO72" s="72">
        <f t="shared" si="43"/>
        <v>0.10910041630268097</v>
      </c>
      <c r="BP72" s="399">
        <f t="shared" si="37"/>
        <v>36.073473111194048</v>
      </c>
      <c r="BQ72" s="19">
        <f t="shared" si="38"/>
        <v>36.073473111194048</v>
      </c>
      <c r="BR72" s="19">
        <f t="shared" si="39"/>
        <v>2</v>
      </c>
      <c r="BS72" s="401">
        <v>23</v>
      </c>
      <c r="BT72" s="72">
        <f t="shared" si="44"/>
        <v>0.23003309965133667</v>
      </c>
      <c r="BU72" s="399">
        <f t="shared" si="40"/>
        <v>35.225243060913535</v>
      </c>
      <c r="BV72" s="19">
        <f t="shared" si="41"/>
        <v>35.225243060913535</v>
      </c>
      <c r="BW72" s="19">
        <f t="shared" si="42"/>
        <v>0</v>
      </c>
      <c r="BY72" s="19">
        <f t="shared" si="36"/>
        <v>15</v>
      </c>
      <c r="BZ72" s="19">
        <f t="shared" si="34"/>
        <v>0.21626516682988725</v>
      </c>
      <c r="CA72" s="19">
        <f t="shared" si="35"/>
        <v>7.3489517645658295E-2</v>
      </c>
    </row>
    <row r="73" spans="15:79" ht="11.25" customHeight="1" x14ac:dyDescent="0.2">
      <c r="AN73" s="417"/>
      <c r="AO73" s="417"/>
      <c r="AP73" s="417"/>
      <c r="AW73" s="410"/>
      <c r="BO73" s="72">
        <f t="shared" si="43"/>
        <v>0.58133222162723541</v>
      </c>
      <c r="BP73" s="399">
        <f t="shared" si="37"/>
        <v>64.806055995506469</v>
      </c>
      <c r="BQ73" s="19">
        <f t="shared" si="38"/>
        <v>64.806055995506469</v>
      </c>
      <c r="BR73" s="19">
        <f t="shared" si="39"/>
        <v>2</v>
      </c>
      <c r="BS73" s="401">
        <v>24</v>
      </c>
      <c r="BT73" s="72">
        <f t="shared" si="44"/>
        <v>0.98694366216659546</v>
      </c>
      <c r="BU73" s="399">
        <f t="shared" si="40"/>
        <v>94.490638905633787</v>
      </c>
      <c r="BV73" s="19">
        <f t="shared" si="41"/>
        <v>94.490638905633787</v>
      </c>
      <c r="BW73" s="19">
        <f t="shared" si="42"/>
        <v>0</v>
      </c>
      <c r="BY73" s="19">
        <f t="shared" si="36"/>
        <v>15.5</v>
      </c>
      <c r="BZ73" s="19">
        <f t="shared" si="34"/>
        <v>0.22586619783851439</v>
      </c>
      <c r="CA73" s="19">
        <f t="shared" si="35"/>
        <v>7.7785518706572229E-2</v>
      </c>
    </row>
    <row r="74" spans="15:79" ht="11.25" customHeight="1" x14ac:dyDescent="0.2">
      <c r="AN74" s="417"/>
      <c r="AO74" s="417"/>
      <c r="AP74" s="417"/>
      <c r="AW74" s="410"/>
      <c r="BO74" s="72">
        <f t="shared" si="43"/>
        <v>0.77359123528003693</v>
      </c>
      <c r="BP74" s="399">
        <f t="shared" si="37"/>
        <v>75.714521422745179</v>
      </c>
      <c r="BQ74" s="19">
        <f t="shared" si="38"/>
        <v>75.714521422745179</v>
      </c>
      <c r="BR74" s="19">
        <f t="shared" si="39"/>
        <v>2</v>
      </c>
      <c r="BS74" s="401">
        <v>25</v>
      </c>
      <c r="BT74" s="72">
        <f t="shared" si="44"/>
        <v>0.45193356275558472</v>
      </c>
      <c r="BU74" s="399">
        <f t="shared" si="40"/>
        <v>47.584446300619263</v>
      </c>
      <c r="BV74" s="19">
        <f t="shared" si="41"/>
        <v>47.584446300619263</v>
      </c>
      <c r="BW74" s="19">
        <f t="shared" si="42"/>
        <v>0</v>
      </c>
      <c r="BY74" s="19">
        <f t="shared" si="36"/>
        <v>16</v>
      </c>
      <c r="BZ74" s="19">
        <f t="shared" si="34"/>
        <v>0.23574607655586352</v>
      </c>
      <c r="CA74" s="19">
        <f t="shared" si="35"/>
        <v>8.2281210693067569E-2</v>
      </c>
    </row>
    <row r="75" spans="15:79" ht="11.25" customHeight="1" x14ac:dyDescent="0.2">
      <c r="AN75" s="417"/>
      <c r="AO75" s="417"/>
      <c r="AP75" s="417"/>
      <c r="AW75" s="410"/>
      <c r="BO75" s="72">
        <f t="shared" si="43"/>
        <v>0.40948642790317535</v>
      </c>
      <c r="BP75" s="399">
        <f t="shared" si="37"/>
        <v>56.122674558385633</v>
      </c>
      <c r="BQ75" s="19">
        <f t="shared" si="38"/>
        <v>56.122674558385633</v>
      </c>
      <c r="BR75" s="19">
        <f t="shared" si="39"/>
        <v>2</v>
      </c>
      <c r="BS75" s="401">
        <v>26</v>
      </c>
      <c r="BT75" s="72">
        <f t="shared" si="44"/>
        <v>0.50269216299057007</v>
      </c>
      <c r="BU75" s="399">
        <f t="shared" si="40"/>
        <v>50.134966061817856</v>
      </c>
      <c r="BV75" s="19">
        <f t="shared" si="41"/>
        <v>50.134966061817856</v>
      </c>
      <c r="BW75" s="19">
        <f t="shared" si="42"/>
        <v>0</v>
      </c>
      <c r="BY75" s="19">
        <f t="shared" ref="BY75:BY106" si="45">BY74+$BP$1</f>
        <v>16.5</v>
      </c>
      <c r="BZ75" s="19">
        <f t="shared" si="34"/>
        <v>0.24590438437706763</v>
      </c>
      <c r="CA75" s="19">
        <f t="shared" si="35"/>
        <v>8.6982354738137188E-2</v>
      </c>
    </row>
    <row r="76" spans="15:79" ht="11.25" customHeight="1" x14ac:dyDescent="0.2">
      <c r="AI76" s="157"/>
      <c r="AJ76" s="663"/>
      <c r="AK76"/>
      <c r="AN76" s="417"/>
      <c r="AO76" s="417"/>
      <c r="AP76" s="417"/>
      <c r="AW76" s="410"/>
      <c r="BO76" s="72">
        <f t="shared" si="43"/>
        <v>0.60235531628131866</v>
      </c>
      <c r="BP76" s="399">
        <f t="shared" si="37"/>
        <v>65.888965991972739</v>
      </c>
      <c r="BQ76" s="19">
        <f t="shared" si="38"/>
        <v>65.888965991972739</v>
      </c>
      <c r="BR76" s="19">
        <f t="shared" si="39"/>
        <v>2</v>
      </c>
      <c r="BS76" s="401">
        <v>27</v>
      </c>
      <c r="BT76" s="72">
        <f t="shared" si="44"/>
        <v>0.16490381956100464</v>
      </c>
      <c r="BU76" s="399">
        <f t="shared" si="40"/>
        <v>30.509971789361163</v>
      </c>
      <c r="BV76" s="19">
        <f t="shared" si="41"/>
        <v>30.509971789361163</v>
      </c>
      <c r="BW76" s="19">
        <f t="shared" si="42"/>
        <v>0</v>
      </c>
      <c r="BY76" s="19">
        <f t="shared" si="45"/>
        <v>17</v>
      </c>
      <c r="BZ76" s="19">
        <f t="shared" si="34"/>
        <v>0.25634015141507366</v>
      </c>
      <c r="CA76" s="19">
        <f t="shared" si="35"/>
        <v>9.1894646946033748E-2</v>
      </c>
    </row>
    <row r="77" spans="15:79" ht="11.25" customHeight="1" x14ac:dyDescent="0.2">
      <c r="AG77" s="664"/>
      <c r="AH77" s="664"/>
      <c r="AI77" s="665"/>
      <c r="AJ77" s="666"/>
      <c r="AK77" s="664"/>
      <c r="AL77" s="664"/>
      <c r="AN77" s="417"/>
      <c r="AO77" s="417"/>
      <c r="AP77" s="417"/>
      <c r="AW77" s="410"/>
      <c r="AZ77" s="401"/>
      <c r="BO77" s="72">
        <f t="shared" si="43"/>
        <v>0.99343229830265045</v>
      </c>
      <c r="BP77" s="399">
        <f t="shared" si="37"/>
        <v>110.30153889110338</v>
      </c>
      <c r="BQ77" s="19">
        <f t="shared" si="38"/>
        <v>110.30153889110338</v>
      </c>
      <c r="BR77" s="19">
        <f t="shared" si="39"/>
        <v>2</v>
      </c>
      <c r="BS77" s="401">
        <v>28</v>
      </c>
      <c r="BT77" s="72">
        <f t="shared" si="44"/>
        <v>0.33935970067977905</v>
      </c>
      <c r="BU77" s="399">
        <f t="shared" si="40"/>
        <v>41.715774941012221</v>
      </c>
      <c r="BV77" s="19">
        <f t="shared" si="41"/>
        <v>41.715774941012221</v>
      </c>
      <c r="BW77" s="19">
        <f t="shared" si="42"/>
        <v>0</v>
      </c>
      <c r="BY77" s="19">
        <f t="shared" si="45"/>
        <v>17.5</v>
      </c>
      <c r="BZ77" s="19">
        <f t="shared" si="34"/>
        <v>0.26705183522634335</v>
      </c>
      <c r="CA77" s="19">
        <f t="shared" si="35"/>
        <v>9.7023700041286964E-2</v>
      </c>
    </row>
    <row r="78" spans="15:79" ht="11.25" customHeight="1" x14ac:dyDescent="0.2">
      <c r="AN78" s="417"/>
      <c r="AO78" s="417"/>
      <c r="AP78" s="417"/>
      <c r="AW78" s="410"/>
      <c r="BO78" s="72">
        <f t="shared" si="43"/>
        <v>0.89764638245105743</v>
      </c>
      <c r="BP78" s="399">
        <f t="shared" si="37"/>
        <v>86.065081310975899</v>
      </c>
      <c r="BQ78" s="19">
        <f t="shared" si="38"/>
        <v>86.065081310975899</v>
      </c>
      <c r="BR78" s="19">
        <f t="shared" si="39"/>
        <v>2</v>
      </c>
      <c r="BS78" s="401">
        <v>29</v>
      </c>
      <c r="BT78" s="72">
        <f t="shared" si="44"/>
        <v>0.41847389936447144</v>
      </c>
      <c r="BU78" s="399">
        <f t="shared" si="40"/>
        <v>45.884016834557734</v>
      </c>
      <c r="BV78" s="19">
        <f t="shared" si="41"/>
        <v>45.884016834557734</v>
      </c>
      <c r="BW78" s="19">
        <f t="shared" si="42"/>
        <v>0</v>
      </c>
      <c r="BY78" s="19">
        <f t="shared" si="45"/>
        <v>18</v>
      </c>
      <c r="BZ78" s="19">
        <f t="shared" si="34"/>
        <v>0.27803730045319408</v>
      </c>
      <c r="CA78" s="19">
        <f t="shared" si="35"/>
        <v>0.10237502424331432</v>
      </c>
    </row>
    <row r="79" spans="15:79" ht="11.25" customHeight="1" x14ac:dyDescent="0.2">
      <c r="AW79" s="410"/>
      <c r="AX79" s="157" t="s">
        <v>941</v>
      </c>
      <c r="AY79" s="19">
        <v>105</v>
      </c>
      <c r="BO79" s="72">
        <f t="shared" si="43"/>
        <v>0.49391354620456696</v>
      </c>
      <c r="BP79" s="399">
        <f t="shared" si="37"/>
        <v>60.394858618521276</v>
      </c>
      <c r="BQ79" s="19">
        <f t="shared" si="38"/>
        <v>60.394858618521276</v>
      </c>
      <c r="BR79" s="19">
        <f t="shared" si="39"/>
        <v>2</v>
      </c>
      <c r="BS79" s="401">
        <v>30</v>
      </c>
      <c r="BT79" s="72">
        <f t="shared" si="44"/>
        <v>0.43380540609359741</v>
      </c>
      <c r="BU79" s="399">
        <f t="shared" si="40"/>
        <v>46.66611962885689</v>
      </c>
      <c r="BV79" s="19">
        <f t="shared" si="41"/>
        <v>46.66611962885689</v>
      </c>
      <c r="BW79" s="19">
        <f t="shared" si="42"/>
        <v>0</v>
      </c>
      <c r="BY79" s="19">
        <f t="shared" si="45"/>
        <v>18.5</v>
      </c>
      <c r="BZ79" s="19">
        <f t="shared" si="34"/>
        <v>0.28929379949956169</v>
      </c>
      <c r="CA79" s="19">
        <f t="shared" si="35"/>
        <v>0.10795400739658235</v>
      </c>
    </row>
    <row r="80" spans="15:79" ht="11.25" customHeight="1" x14ac:dyDescent="0.2">
      <c r="O80"/>
      <c r="P80"/>
      <c r="Q80"/>
      <c r="V80"/>
      <c r="W80"/>
      <c r="X80"/>
      <c r="Y80"/>
      <c r="Z80"/>
      <c r="AD80" s="667" t="s">
        <v>780</v>
      </c>
      <c r="AE80" s="668">
        <f>AA11</f>
        <v>29</v>
      </c>
      <c r="AF80" s="669" t="s">
        <v>792</v>
      </c>
      <c r="AG80" s="670">
        <f>AG81/SQRT(AG86*(1-AG86)/$AE$80)</f>
        <v>1.3342994163056225</v>
      </c>
      <c r="AH80" s="670">
        <f>AH81/SQRT(AH86*(1-AH86)/$AE$80)</f>
        <v>5.0362844821105748E-3</v>
      </c>
      <c r="AI80" s="670">
        <f>AI81/SQRT(AI86*(1-AI86)/$AE$80)</f>
        <v>-0.41713098562707757</v>
      </c>
      <c r="AJ80" s="670">
        <f>AJ81/SQRT(AJ86*(1-AJ86)/$AE$80)</f>
        <v>-0.24874455637137785</v>
      </c>
      <c r="AK80" s="670">
        <f>AK81/SQRT(AK86*(1-AK86)/$AE$80)</f>
        <v>-0.39943031246842475</v>
      </c>
      <c r="AL80" s="671" t="s">
        <v>1030</v>
      </c>
      <c r="AM80" s="672">
        <f>CHITEST(AG83:AK83,AG84:AK84)</f>
        <v>0.76245240167570649</v>
      </c>
      <c r="AN80" s="415" t="s">
        <v>942</v>
      </c>
      <c r="AO80" s="398"/>
      <c r="AP80" s="398" t="s">
        <v>943</v>
      </c>
      <c r="AQ80" s="673" t="s">
        <v>944</v>
      </c>
      <c r="AW80" s="410"/>
      <c r="AX80" s="296" t="s">
        <v>945</v>
      </c>
      <c r="AY80" s="296" t="s">
        <v>946</v>
      </c>
      <c r="AZ80" s="401"/>
      <c r="BO80" s="72">
        <f t="shared" si="43"/>
        <v>0.88292177021503448</v>
      </c>
      <c r="BP80" s="399">
        <f t="shared" si="37"/>
        <v>84.494400116530386</v>
      </c>
      <c r="BQ80" s="19">
        <f t="shared" si="38"/>
        <v>84.494400116530386</v>
      </c>
      <c r="BR80" s="19">
        <f t="shared" si="39"/>
        <v>2</v>
      </c>
      <c r="BS80" s="401">
        <v>31</v>
      </c>
      <c r="BT80" s="72">
        <f t="shared" si="44"/>
        <v>0.70040625333786011</v>
      </c>
      <c r="BU80" s="399">
        <f t="shared" si="40"/>
        <v>60.511385955867468</v>
      </c>
      <c r="BV80" s="19">
        <f t="shared" si="41"/>
        <v>60.511385955867468</v>
      </c>
      <c r="BW80" s="19">
        <f t="shared" si="42"/>
        <v>0</v>
      </c>
      <c r="BY80" s="19">
        <f t="shared" si="45"/>
        <v>19</v>
      </c>
      <c r="BZ80" s="19">
        <f t="shared" si="34"/>
        <v>0.30081795435727543</v>
      </c>
      <c r="CA80" s="19">
        <f t="shared" si="35"/>
        <v>0.1137658943913005</v>
      </c>
    </row>
    <row r="81" spans="14:79" ht="11.25" customHeight="1" x14ac:dyDescent="0.2">
      <c r="N81" s="19" t="s">
        <v>947</v>
      </c>
      <c r="Z81" s="157" t="s">
        <v>948</v>
      </c>
      <c r="AA81" s="157" t="s">
        <v>949</v>
      </c>
      <c r="AB81" s="19">
        <v>0</v>
      </c>
      <c r="AF81" s="157" t="s">
        <v>950</v>
      </c>
      <c r="AG81" s="674">
        <f>AG85-AG86</f>
        <v>8.1933028259370808E-2</v>
      </c>
      <c r="AH81" s="674">
        <f>AH85-AH86</f>
        <v>3.785809242478344E-4</v>
      </c>
      <c r="AI81" s="674">
        <f>AI85-AI86</f>
        <v>-3.3080467790136153E-2</v>
      </c>
      <c r="AJ81" s="674">
        <f>AJ85-AJ86</f>
        <v>-1.4921708991975521E-2</v>
      </c>
      <c r="AK81" s="674">
        <f>AK85-AK86</f>
        <v>-3.4309432401506967E-2</v>
      </c>
      <c r="AL81" s="431" t="s">
        <v>951</v>
      </c>
      <c r="AM81" s="432"/>
      <c r="AN81" s="424">
        <v>100</v>
      </c>
      <c r="AO81" s="399">
        <f>IF($I$4&gt;0,86.4,NA())</f>
        <v>86.4</v>
      </c>
      <c r="AP81" s="399">
        <f>IF($I$4&gt;0,87,NA())</f>
        <v>87</v>
      </c>
      <c r="AQ81" s="423">
        <f>IF($BP$9,87.5,NA())</f>
        <v>87.5</v>
      </c>
      <c r="AR81" s="398"/>
      <c r="AS81" s="398"/>
      <c r="AT81" s="398"/>
      <c r="AU81" s="398"/>
      <c r="AV81" s="398"/>
      <c r="AW81" s="416" t="s">
        <v>952</v>
      </c>
      <c r="AX81" s="19">
        <f>IF(TRUE,AM87-$AY$79,NA())</f>
        <v>795</v>
      </c>
      <c r="AY81" s="19">
        <f>IF($BP$9,IF(NOT($BP$12),AS87*$I$4*$AB$87/$AB$94,AS87*L18*$AB$87/$AB$94),NA())</f>
        <v>0.48621224254749812</v>
      </c>
      <c r="AZ81" s="392" t="s">
        <v>858</v>
      </c>
      <c r="BO81" s="72">
        <f t="shared" si="43"/>
        <v>0.18013335764408112</v>
      </c>
      <c r="BP81" s="399">
        <f t="shared" si="37"/>
        <v>42.402860333916152</v>
      </c>
      <c r="BQ81" s="19">
        <f t="shared" si="38"/>
        <v>42.402860333916152</v>
      </c>
      <c r="BR81" s="19">
        <f t="shared" si="39"/>
        <v>2</v>
      </c>
      <c r="BS81" s="401">
        <v>32</v>
      </c>
      <c r="BT81" s="72">
        <f t="shared" si="44"/>
        <v>0.63865989446640015</v>
      </c>
      <c r="BU81" s="399">
        <f t="shared" si="40"/>
        <v>57.097580810678288</v>
      </c>
      <c r="BV81" s="19">
        <f t="shared" si="41"/>
        <v>57.097580810678288</v>
      </c>
      <c r="BW81" s="19">
        <f t="shared" si="42"/>
        <v>0</v>
      </c>
      <c r="BY81" s="19">
        <f t="shared" si="45"/>
        <v>19.5</v>
      </c>
      <c r="BZ81" s="19">
        <f t="shared" si="34"/>
        <v>0.31260573969965544</v>
      </c>
      <c r="CA81" s="19">
        <f t="shared" si="35"/>
        <v>0.11981576591475604</v>
      </c>
    </row>
    <row r="82" spans="14:79" ht="11.25" customHeight="1" x14ac:dyDescent="0.2">
      <c r="O82" s="157" t="s">
        <v>953</v>
      </c>
      <c r="P82" s="19">
        <v>83</v>
      </c>
      <c r="AA82" s="157" t="s">
        <v>954</v>
      </c>
      <c r="AB82" s="19">
        <v>1000</v>
      </c>
      <c r="AF82" s="399"/>
      <c r="AG82" s="401" t="s">
        <v>858</v>
      </c>
      <c r="AH82" s="401" t="s">
        <v>859</v>
      </c>
      <c r="AI82" s="401" t="s">
        <v>860</v>
      </c>
      <c r="AJ82" s="401" t="s">
        <v>861</v>
      </c>
      <c r="AK82" s="675" t="s">
        <v>1031</v>
      </c>
      <c r="AL82" s="676" t="s">
        <v>955</v>
      </c>
      <c r="AM82" s="672">
        <f>2*(1-NORMSDIST(AH87))</f>
        <v>0.11440389141456975</v>
      </c>
      <c r="AN82" s="424">
        <v>300</v>
      </c>
      <c r="AO82" s="399">
        <f t="shared" ref="AO82:AQ85" si="46">AO81</f>
        <v>86.4</v>
      </c>
      <c r="AP82" s="399">
        <f t="shared" si="46"/>
        <v>87</v>
      </c>
      <c r="AQ82" s="423">
        <f t="shared" si="46"/>
        <v>87.5</v>
      </c>
      <c r="AR82" s="399"/>
      <c r="AS82" s="426" t="s">
        <v>956</v>
      </c>
      <c r="AT82" s="399"/>
      <c r="AU82" s="399"/>
      <c r="AV82" s="677" t="s">
        <v>957</v>
      </c>
      <c r="AW82" s="423">
        <f>1-NORMSDIST(NORMSINV(0.95)+$T$8*SQRT($U$10/2))+NORMSDIST($T$8*SQRT($U$10/2)-NORMSINV(0.95))</f>
        <v>0.6898284986329758</v>
      </c>
      <c r="AX82" s="19">
        <f>IF(TRUE,AM87+$AY$79,NA())</f>
        <v>1005</v>
      </c>
      <c r="AY82" s="19">
        <f>AY81</f>
        <v>0.48621224254749812</v>
      </c>
      <c r="AZ82" s="392" t="s">
        <v>858</v>
      </c>
      <c r="BO82" s="72">
        <f t="shared" si="43"/>
        <v>0.91817446053028107</v>
      </c>
      <c r="BP82" s="399" t="str">
        <f t="shared" ref="BP82:BP113" si="47">IF(AND($BR$7,$BS82&lt;=$U$10),$J$6+$J$5*NORMSINV(BO82),"")</f>
        <v/>
      </c>
      <c r="BQ82" s="19">
        <f t="shared" ref="BQ82:BQ113" si="48">IF(AND($BR$2,BP82&lt;&gt;"",$G$4&lt;&gt;""),BP82,-999)</f>
        <v>-999</v>
      </c>
      <c r="BR82" s="19">
        <f t="shared" ref="BR82:BR113" si="49">IF(BQ82=-999,-999,2)</f>
        <v>-999</v>
      </c>
      <c r="BS82" s="401">
        <v>33</v>
      </c>
      <c r="BT82" s="72">
        <f t="shared" si="44"/>
        <v>0.24724262952804565</v>
      </c>
      <c r="BU82" s="399" t="str">
        <f t="shared" ref="BU82:BU113" si="50">IF(AND($BR$7,$BS82&lt;=$U$10),$J$4+$J$5*NORMSINV(BT82),"")</f>
        <v/>
      </c>
      <c r="BV82" s="19">
        <f t="shared" ref="BV82:BV113" si="51">IF(AND($BR$2,BU82&lt;&gt;"",$G$4&lt;&gt;""),BU82,-999)</f>
        <v>-999</v>
      </c>
      <c r="BW82" s="19">
        <f t="shared" ref="BW82:BW113" si="52">IF(BV82=-999,-999,0)</f>
        <v>-999</v>
      </c>
      <c r="BY82" s="19">
        <f t="shared" si="45"/>
        <v>20</v>
      </c>
      <c r="BZ82" s="19">
        <f t="shared" si="34"/>
        <v>0.32465246735834968</v>
      </c>
      <c r="CA82" s="19">
        <f t="shared" si="35"/>
        <v>0.12610851657860489</v>
      </c>
    </row>
    <row r="83" spans="14:79" ht="11.25" customHeight="1" x14ac:dyDescent="0.2">
      <c r="O83" s="157" t="s">
        <v>958</v>
      </c>
      <c r="P83" s="19">
        <v>0.2</v>
      </c>
      <c r="AA83" s="157" t="s">
        <v>959</v>
      </c>
      <c r="AE83" s="157"/>
      <c r="AF83" s="426" t="s">
        <v>960</v>
      </c>
      <c r="AG83" s="399">
        <f>B4</f>
        <v>6</v>
      </c>
      <c r="AH83" s="399">
        <f>C4</f>
        <v>6</v>
      </c>
      <c r="AI83" s="399">
        <f>D4</f>
        <v>6</v>
      </c>
      <c r="AJ83" s="399">
        <f>E4</f>
        <v>3</v>
      </c>
      <c r="AK83" s="399">
        <f>F4</f>
        <v>8</v>
      </c>
      <c r="AL83" s="431" t="s">
        <v>961</v>
      </c>
      <c r="AM83" s="432"/>
      <c r="AN83" s="424">
        <f>AO87</f>
        <v>500</v>
      </c>
      <c r="AO83" s="399">
        <f t="shared" si="46"/>
        <v>86.4</v>
      </c>
      <c r="AP83" s="399">
        <f t="shared" si="46"/>
        <v>87</v>
      </c>
      <c r="AQ83" s="423">
        <f t="shared" si="46"/>
        <v>87.5</v>
      </c>
      <c r="AR83" s="678" t="s">
        <v>1031</v>
      </c>
      <c r="AS83" s="679">
        <f>1-AW82</f>
        <v>0.3101715013670242</v>
      </c>
      <c r="AT83" s="399"/>
      <c r="AU83" s="399"/>
      <c r="AV83" s="677" t="s">
        <v>962</v>
      </c>
      <c r="AW83" s="423">
        <f>1-NORMSDIST(NORMSINV(0.975)+$T$8*SQRT($U$10/2))+NORMSDIST($T$8*SQRT($U$10/2)-NORMSINV(0.975))</f>
        <v>0.57145851377893131</v>
      </c>
      <c r="AX83" s="19">
        <f>IF(TRUE,AN87-$AY$79,NA())</f>
        <v>595</v>
      </c>
      <c r="AY83" s="19">
        <f>IF($BP$9,IF(NOT($BP$12),AS86*$I$4*$AB$87/$AB$94,AS86*L18*$AB$87/$AB$94),NA())</f>
        <v>0.80352700472057237</v>
      </c>
      <c r="AZ83" s="392" t="s">
        <v>859</v>
      </c>
      <c r="BO83" s="72">
        <f t="shared" ref="BO83:BO114" si="53">MOD(BO82*10000013,1)</f>
        <v>0.54157079756259918</v>
      </c>
      <c r="BP83" s="399" t="str">
        <f t="shared" si="47"/>
        <v/>
      </c>
      <c r="BQ83" s="19">
        <f t="shared" si="48"/>
        <v>-999</v>
      </c>
      <c r="BR83" s="19">
        <f t="shared" si="49"/>
        <v>-999</v>
      </c>
      <c r="BS83" s="401">
        <v>34</v>
      </c>
      <c r="BT83" s="72">
        <f t="shared" ref="BT83:BT114" si="54">MOD(BT82*10000013,1)</f>
        <v>0.50943464040756226</v>
      </c>
      <c r="BU83" s="399" t="str">
        <f t="shared" si="50"/>
        <v/>
      </c>
      <c r="BV83" s="19">
        <f t="shared" si="51"/>
        <v>-999</v>
      </c>
      <c r="BW83" s="19">
        <f t="shared" si="52"/>
        <v>-999</v>
      </c>
      <c r="BY83" s="19">
        <f t="shared" si="45"/>
        <v>20.5</v>
      </c>
      <c r="BZ83" s="19">
        <f t="shared" si="34"/>
        <v>0.33695277229782511</v>
      </c>
      <c r="CA83" s="19">
        <f t="shared" si="35"/>
        <v>0.13264883247268422</v>
      </c>
    </row>
    <row r="84" spans="14:79" ht="11.25" customHeight="1" x14ac:dyDescent="0.2">
      <c r="N84" s="680" t="s">
        <v>858</v>
      </c>
      <c r="O84" s="398">
        <f>AM87-$P$82</f>
        <v>817</v>
      </c>
      <c r="P84" s="413" t="e">
        <f>IF($BP$12,0,NA())</f>
        <v>#N/A</v>
      </c>
      <c r="AA84" s="157" t="s">
        <v>963</v>
      </c>
      <c r="AF84" s="681" t="s">
        <v>964</v>
      </c>
      <c r="AG84" s="682">
        <f>AG86*$AG$90</f>
        <v>3.6239421804782466</v>
      </c>
      <c r="AH84" s="682">
        <f>AH86*$AG$90</f>
        <v>5.9890211531968127</v>
      </c>
      <c r="AI84" s="682">
        <f>AI86*$AG$90</f>
        <v>6.9593335659139486</v>
      </c>
      <c r="AJ84" s="682">
        <f>AJ86*$AG$90</f>
        <v>3.4327295607672901</v>
      </c>
      <c r="AK84" s="682">
        <f>AK86*$AG$90</f>
        <v>8.9949735396437021</v>
      </c>
      <c r="AN84" s="424">
        <v>700</v>
      </c>
      <c r="AO84" s="399">
        <f t="shared" si="46"/>
        <v>86.4</v>
      </c>
      <c r="AP84" s="399">
        <f t="shared" si="46"/>
        <v>87</v>
      </c>
      <c r="AQ84" s="423">
        <f t="shared" si="46"/>
        <v>87.5</v>
      </c>
      <c r="AR84" s="426" t="s">
        <v>861</v>
      </c>
      <c r="AS84" s="679">
        <f>AW82-AW83</f>
        <v>0.11836998485404449</v>
      </c>
      <c r="AT84" s="399"/>
      <c r="AU84" s="399"/>
      <c r="AV84" s="677" t="s">
        <v>965</v>
      </c>
      <c r="AW84" s="423">
        <f>1-NORMSDIST(NORMSINV(0.995)+$T$8*SQRT($U$10/2))+NORMSDIST($T$8*SQRT($U$10/2)-NORMSINV(0.995))</f>
        <v>0.33148149426465723</v>
      </c>
      <c r="AX84" s="19">
        <f>IF(TRUE,AN87+$AY$79,NA())</f>
        <v>805</v>
      </c>
      <c r="AY84" s="19">
        <f>AY83</f>
        <v>0.80352700472057237</v>
      </c>
      <c r="AZ84" s="392" t="s">
        <v>859</v>
      </c>
      <c r="BO84" s="72">
        <f t="shared" si="53"/>
        <v>1.604636013507843E-2</v>
      </c>
      <c r="BP84" s="399" t="str">
        <f t="shared" si="47"/>
        <v/>
      </c>
      <c r="BQ84" s="19">
        <f t="shared" si="48"/>
        <v>-999</v>
      </c>
      <c r="BR84" s="19">
        <f t="shared" si="49"/>
        <v>-999</v>
      </c>
      <c r="BS84" s="401">
        <v>35</v>
      </c>
      <c r="BT84" s="72">
        <f t="shared" si="54"/>
        <v>2.6725947856903076E-2</v>
      </c>
      <c r="BU84" s="399" t="str">
        <f t="shared" si="50"/>
        <v/>
      </c>
      <c r="BV84" s="19">
        <f t="shared" si="51"/>
        <v>-999</v>
      </c>
      <c r="BW84" s="19">
        <f t="shared" si="52"/>
        <v>-999</v>
      </c>
      <c r="BY84" s="19">
        <f t="shared" si="45"/>
        <v>21</v>
      </c>
      <c r="BZ84" s="19">
        <f t="shared" si="34"/>
        <v>0.34950060019975648</v>
      </c>
      <c r="CA84" s="19">
        <f t="shared" si="35"/>
        <v>0.13944116820119401</v>
      </c>
    </row>
    <row r="85" spans="14:79" ht="11.25" customHeight="1" x14ac:dyDescent="0.2">
      <c r="N85" s="422"/>
      <c r="O85" s="399">
        <f>O84</f>
        <v>817</v>
      </c>
      <c r="P85" s="423" t="e">
        <f>IF($BP$12,AY81,NA())</f>
        <v>#N/A</v>
      </c>
      <c r="AA85" s="157" t="s">
        <v>632</v>
      </c>
      <c r="AB85" s="392"/>
      <c r="AE85" s="399"/>
      <c r="AF85" s="157" t="s">
        <v>966</v>
      </c>
      <c r="AG85" s="683">
        <f>IF($AG$90=0,"",AG83/$AG$90)</f>
        <v>0.20689655172413793</v>
      </c>
      <c r="AH85" s="683">
        <f>IF($AG$90=0,"",AH83/$AG$90)</f>
        <v>0.20689655172413793</v>
      </c>
      <c r="AI85" s="683">
        <f>IF($AG$90=0,"",AI83/$AG$90)</f>
        <v>0.20689655172413793</v>
      </c>
      <c r="AJ85" s="683">
        <f>IF($AG$90=0,"",AJ83/$AG$90)</f>
        <v>0.10344827586206896</v>
      </c>
      <c r="AK85" s="683">
        <f>IF($AG$90=0,"",AK83/$AG$90)</f>
        <v>0.27586206896551724</v>
      </c>
      <c r="AN85" s="433">
        <v>900</v>
      </c>
      <c r="AO85" s="400">
        <f t="shared" si="46"/>
        <v>86.4</v>
      </c>
      <c r="AP85" s="400">
        <f t="shared" si="46"/>
        <v>87</v>
      </c>
      <c r="AQ85" s="432">
        <f t="shared" si="46"/>
        <v>87.5</v>
      </c>
      <c r="AR85" s="426" t="s">
        <v>860</v>
      </c>
      <c r="AS85" s="679">
        <f>AW83-AW84</f>
        <v>0.23997701951427408</v>
      </c>
      <c r="AT85" s="399"/>
      <c r="AU85" s="399"/>
      <c r="AV85" s="677" t="s">
        <v>967</v>
      </c>
      <c r="AW85" s="423">
        <f>1-NORMSDIST(NORMSINV(0.9995)+$T$8*SQRT($U$10/2))+NORMSDIST($T$8*SQRT($U$10/2)-NORMSINV(0.9995))</f>
        <v>0.12496352346476712</v>
      </c>
      <c r="AX85" s="19">
        <f>IF(TRUE,AO87-$AY$79,NA())</f>
        <v>395</v>
      </c>
      <c r="AY85" s="19">
        <f>IF($BP$9,IF(NOT($BP$12),AS85*$I$4*$AB$87/$AB$94,AS85*L18*$AB$87/$AB$94),NA())</f>
        <v>0.93371058676012142</v>
      </c>
      <c r="AZ85" s="392" t="s">
        <v>860</v>
      </c>
      <c r="BO85" s="72">
        <f t="shared" si="53"/>
        <v>0.8099534660577774</v>
      </c>
      <c r="BP85" s="399" t="str">
        <f t="shared" si="47"/>
        <v/>
      </c>
      <c r="BQ85" s="19">
        <f t="shared" si="48"/>
        <v>-999</v>
      </c>
      <c r="BR85" s="19">
        <f t="shared" si="49"/>
        <v>-999</v>
      </c>
      <c r="BS85" s="401">
        <v>36</v>
      </c>
      <c r="BT85" s="72">
        <f t="shared" si="54"/>
        <v>0.82600635290145874</v>
      </c>
      <c r="BU85" s="399" t="str">
        <f t="shared" si="50"/>
        <v/>
      </c>
      <c r="BV85" s="19">
        <f t="shared" si="51"/>
        <v>-999</v>
      </c>
      <c r="BW85" s="19">
        <f t="shared" si="52"/>
        <v>-999</v>
      </c>
      <c r="BY85" s="19">
        <f t="shared" si="45"/>
        <v>21.5</v>
      </c>
      <c r="BZ85" s="19">
        <f t="shared" si="34"/>
        <v>0.36228919676675564</v>
      </c>
      <c r="CA85" s="19">
        <f t="shared" si="35"/>
        <v>0.14648972346236572</v>
      </c>
    </row>
    <row r="86" spans="14:79" ht="11.25" customHeight="1" x14ac:dyDescent="0.2">
      <c r="N86" s="422"/>
      <c r="O86" s="399">
        <f>AM87+$P$82</f>
        <v>983</v>
      </c>
      <c r="P86" s="423" t="e">
        <f>P85</f>
        <v>#N/A</v>
      </c>
      <c r="AA86" s="684">
        <v>161</v>
      </c>
      <c r="AB86" s="392"/>
      <c r="AE86" s="399"/>
      <c r="AF86" s="681" t="s">
        <v>968</v>
      </c>
      <c r="AG86" s="685">
        <f>AS87</f>
        <v>0.12496352346476712</v>
      </c>
      <c r="AH86" s="685">
        <f>AS86</f>
        <v>0.20651797079989009</v>
      </c>
      <c r="AI86" s="685">
        <f>AS85</f>
        <v>0.23997701951427408</v>
      </c>
      <c r="AJ86" s="685">
        <f>AS84</f>
        <v>0.11836998485404449</v>
      </c>
      <c r="AK86" s="685">
        <f>AS83</f>
        <v>0.3101715013670242</v>
      </c>
      <c r="AL86" s="414" t="s">
        <v>969</v>
      </c>
      <c r="AM86" s="398">
        <v>1</v>
      </c>
      <c r="AN86" s="398">
        <v>2</v>
      </c>
      <c r="AO86" s="398">
        <v>3</v>
      </c>
      <c r="AP86" s="398">
        <v>4</v>
      </c>
      <c r="AQ86" s="673">
        <v>5</v>
      </c>
      <c r="AR86" s="424" t="s">
        <v>859</v>
      </c>
      <c r="AS86" s="679">
        <f>AW84-AW85</f>
        <v>0.20651797079989009</v>
      </c>
      <c r="AT86" s="399"/>
      <c r="AU86" s="399"/>
      <c r="AV86" s="399"/>
      <c r="AW86" s="423"/>
      <c r="AX86" s="19">
        <f>IF(TRUE,AO87+$AY$79,NA())</f>
        <v>605</v>
      </c>
      <c r="AY86" s="19">
        <f>AY85</f>
        <v>0.93371058676012142</v>
      </c>
      <c r="AZ86" s="392" t="s">
        <v>860</v>
      </c>
      <c r="BO86" s="72">
        <f t="shared" si="53"/>
        <v>0.18997283279895782</v>
      </c>
      <c r="BP86" s="399" t="str">
        <f t="shared" si="47"/>
        <v/>
      </c>
      <c r="BQ86" s="19">
        <f t="shared" si="48"/>
        <v>-999</v>
      </c>
      <c r="BR86" s="19">
        <f t="shared" si="49"/>
        <v>-999</v>
      </c>
      <c r="BS86" s="401">
        <v>37</v>
      </c>
      <c r="BT86" s="72">
        <f t="shared" si="54"/>
        <v>0.26709717512130737</v>
      </c>
      <c r="BU86" s="399" t="str">
        <f t="shared" si="50"/>
        <v/>
      </c>
      <c r="BV86" s="19">
        <f t="shared" si="51"/>
        <v>-999</v>
      </c>
      <c r="BW86" s="19">
        <f t="shared" si="52"/>
        <v>-999</v>
      </c>
      <c r="BY86" s="19">
        <f t="shared" si="45"/>
        <v>22</v>
      </c>
      <c r="BZ86" s="19">
        <f t="shared" si="34"/>
        <v>0.37531109885139952</v>
      </c>
      <c r="CA86" s="19">
        <f t="shared" si="35"/>
        <v>0.15379841923797288</v>
      </c>
    </row>
    <row r="87" spans="14:79" ht="11.25" customHeight="1" x14ac:dyDescent="0.2">
      <c r="N87" s="422"/>
      <c r="O87" s="399">
        <f>O86</f>
        <v>983</v>
      </c>
      <c r="P87" s="423" t="e">
        <f>P84</f>
        <v>#N/A</v>
      </c>
      <c r="AA87" s="157" t="s">
        <v>970</v>
      </c>
      <c r="AB87" s="19">
        <f>AA86/100</f>
        <v>1.61</v>
      </c>
      <c r="AC87" s="405"/>
      <c r="AD87" s="404"/>
      <c r="AE87" s="404"/>
      <c r="AF87" s="686" t="s">
        <v>971</v>
      </c>
      <c r="AG87" s="687">
        <f>AG86^2+AH86^2+AI86^2+AJ86^2+AK86^2</f>
        <v>0.22607233792960857</v>
      </c>
      <c r="AH87" s="405">
        <f>ABS(AG87-AF89/AA11)/SQRT(AG87*(1-AG87)/AA11)</f>
        <v>1.5787043290046683</v>
      </c>
      <c r="AI87" s="688" t="s">
        <v>792</v>
      </c>
      <c r="AK87" s="399"/>
      <c r="AL87" s="424" t="s">
        <v>972</v>
      </c>
      <c r="AM87" s="399">
        <v>900</v>
      </c>
      <c r="AN87" s="399">
        <v>700</v>
      </c>
      <c r="AO87" s="399">
        <f>$AB$81+(($AB$82-$AB$81)/10)*(2*AO86-1)</f>
        <v>500</v>
      </c>
      <c r="AP87" s="399">
        <v>300</v>
      </c>
      <c r="AQ87" s="423">
        <v>100</v>
      </c>
      <c r="AR87" s="424" t="s">
        <v>858</v>
      </c>
      <c r="AS87" s="679">
        <f>AW85</f>
        <v>0.12496352346476712</v>
      </c>
      <c r="AT87" s="400"/>
      <c r="AU87" s="400"/>
      <c r="AV87" s="400"/>
      <c r="AW87" s="432"/>
      <c r="AX87" s="19">
        <f>IF(TRUE,AP87-$AY$79,NA())</f>
        <v>195</v>
      </c>
      <c r="AY87" s="19">
        <f>IF($BP$9,IF(NOT($BP$12),AS84*$I$4*$AB$87/$AB$94,AS84*L18*$AB$87/$AB$94),NA())</f>
        <v>0.46055788273627812</v>
      </c>
      <c r="AZ87" s="392" t="s">
        <v>861</v>
      </c>
      <c r="BO87" s="72">
        <f t="shared" si="53"/>
        <v>0.79763640463352203</v>
      </c>
      <c r="BP87" s="399" t="str">
        <f t="shared" si="47"/>
        <v/>
      </c>
      <c r="BQ87" s="19">
        <f t="shared" si="48"/>
        <v>-999</v>
      </c>
      <c r="BR87" s="19">
        <f t="shared" si="49"/>
        <v>-999</v>
      </c>
      <c r="BS87" s="401">
        <v>38</v>
      </c>
      <c r="BT87" s="72">
        <f t="shared" si="54"/>
        <v>0.2234763503074646</v>
      </c>
      <c r="BU87" s="399" t="str">
        <f t="shared" si="50"/>
        <v/>
      </c>
      <c r="BV87" s="19">
        <f t="shared" si="51"/>
        <v>-999</v>
      </c>
      <c r="BW87" s="19">
        <f t="shared" si="52"/>
        <v>-999</v>
      </c>
      <c r="BY87" s="19">
        <f t="shared" si="45"/>
        <v>22.5</v>
      </c>
      <c r="BZ87" s="19">
        <f t="shared" si="34"/>
        <v>0.38855812751236407</v>
      </c>
      <c r="CA87" s="19">
        <f t="shared" si="35"/>
        <v>0.16137087366420474</v>
      </c>
    </row>
    <row r="88" spans="14:79" ht="11.25" customHeight="1" x14ac:dyDescent="0.2">
      <c r="N88" s="680" t="s">
        <v>859</v>
      </c>
      <c r="O88" s="398">
        <f>AN87-$P$82</f>
        <v>617</v>
      </c>
      <c r="P88" s="413" t="e">
        <f>IF($BP$12,0,NA())</f>
        <v>#N/A</v>
      </c>
      <c r="AA88" s="157" t="s">
        <v>633</v>
      </c>
      <c r="AB88" s="392"/>
      <c r="AC88" s="415"/>
      <c r="AD88" s="398"/>
      <c r="AE88" s="689" t="s">
        <v>973</v>
      </c>
      <c r="AF88" s="413">
        <f>AG87*AA11</f>
        <v>6.5560977999586481</v>
      </c>
      <c r="AG88" s="690"/>
      <c r="AH88" s="398"/>
      <c r="AI88" s="689" t="s">
        <v>974</v>
      </c>
      <c r="AJ88" s="398"/>
      <c r="AK88" s="398" t="b">
        <f>H4&lt;0.001</f>
        <v>0</v>
      </c>
      <c r="AL88" s="689"/>
      <c r="AM88" s="398" t="b">
        <f>AND(H4&gt;=0.001,H4&lt;0.01)</f>
        <v>0</v>
      </c>
      <c r="AN88" s="398"/>
      <c r="AO88" s="398" t="b">
        <f>AND(H4&gt;=0.01,H4&lt;0.05)</f>
        <v>1</v>
      </c>
      <c r="AP88" s="398"/>
      <c r="AQ88" s="398" t="b">
        <f>AND(H4&gt;=0.05,H4&lt;0.1)</f>
        <v>0</v>
      </c>
      <c r="AR88" s="689"/>
      <c r="AS88" s="413" t="b">
        <f>H4&gt;=0.1</f>
        <v>0</v>
      </c>
      <c r="AX88" s="19">
        <f>IF(TRUE,AP87+$AY$79,NA())</f>
        <v>405</v>
      </c>
      <c r="AY88" s="19">
        <f>AY87</f>
        <v>0.46055788273627812</v>
      </c>
      <c r="AZ88" s="392" t="s">
        <v>861</v>
      </c>
      <c r="BO88" s="72">
        <f t="shared" si="53"/>
        <v>0.4156084805727005</v>
      </c>
      <c r="BP88" s="399" t="str">
        <f t="shared" si="47"/>
        <v/>
      </c>
      <c r="BQ88" s="19">
        <f t="shared" si="48"/>
        <v>-999</v>
      </c>
      <c r="BR88" s="19">
        <f t="shared" si="49"/>
        <v>-999</v>
      </c>
      <c r="BS88" s="401">
        <v>39</v>
      </c>
      <c r="BT88" s="72">
        <f t="shared" si="54"/>
        <v>0.40826719999313354</v>
      </c>
      <c r="BU88" s="399" t="str">
        <f t="shared" si="50"/>
        <v/>
      </c>
      <c r="BV88" s="19">
        <f t="shared" si="51"/>
        <v>-999</v>
      </c>
      <c r="BW88" s="19">
        <f t="shared" si="52"/>
        <v>-999</v>
      </c>
      <c r="BY88" s="19">
        <f t="shared" si="45"/>
        <v>23</v>
      </c>
      <c r="BZ88" s="19">
        <f t="shared" si="34"/>
        <v>0.40202138309465479</v>
      </c>
      <c r="CA88" s="19">
        <f t="shared" si="35"/>
        <v>0.16921037766049141</v>
      </c>
    </row>
    <row r="89" spans="14:79" ht="11.25" customHeight="1" x14ac:dyDescent="0.2">
      <c r="N89" s="422"/>
      <c r="O89" s="399">
        <f>O88</f>
        <v>617</v>
      </c>
      <c r="P89" s="423" t="e">
        <f>IF($BP$12,AY83,NA())</f>
        <v>#N/A</v>
      </c>
      <c r="AA89" s="144">
        <v>772</v>
      </c>
      <c r="AC89" s="431"/>
      <c r="AD89" s="400"/>
      <c r="AE89" s="435" t="s">
        <v>975</v>
      </c>
      <c r="AF89" s="432">
        <f>A3</f>
        <v>3</v>
      </c>
      <c r="AG89" s="691"/>
      <c r="AH89" s="400"/>
      <c r="AI89" s="400"/>
      <c r="AJ89" s="400" t="e">
        <f>IF(AND($AK$88,$B$4&gt;0,$B$4&lt;1001),INDEX(AJ92:AJ1091,$B$4),NA())</f>
        <v>#N/A</v>
      </c>
      <c r="AK89" s="400" t="e">
        <f>IF(AND($AK$88,$B$4&gt;0,$B$4&lt;1001),INDEX(AK92:AK1091,$B$4),NA())</f>
        <v>#N/A</v>
      </c>
      <c r="AL89" s="400" t="e">
        <f>IF(AND($AM$88,$C$4&gt;0,$C$4&lt;1001),INDEX(AL92:AL1091,$C$4),NA())</f>
        <v>#N/A</v>
      </c>
      <c r="AM89" s="400" t="e">
        <f>IF(AND($AM$88,$C$4&gt;0,$C$4&lt;1001),INDEX(AM92:AM1091,$C$4),NA())</f>
        <v>#N/A</v>
      </c>
      <c r="AN89" s="400">
        <f>IF(AND($AO$88,$D$4&gt;0,$D$4&lt;1001),INDEX(AN92:AN1091,$D$4),NA())</f>
        <v>538.6</v>
      </c>
      <c r="AO89" s="400">
        <f>IF(AND($AO$88,$D$4&gt;0,$D$4&lt;1001),INDEX(AO92:AO1091,$D$4),NA())</f>
        <v>0.80500000000000005</v>
      </c>
      <c r="AP89" s="400" t="e">
        <f>IF(AND($AQ$88,$E$4&gt;0,$E$4&lt;1001),INDEX(AP92:AP1091,$E$4),NA())</f>
        <v>#N/A</v>
      </c>
      <c r="AQ89" s="400" t="e">
        <f>IF(AND($AQ$88,$E$4&gt;0,$E$4&lt;1001),INDEX(AQ92:AQ1091,$E$4),NA())</f>
        <v>#N/A</v>
      </c>
      <c r="AR89" s="400" t="e">
        <f>IF(AND($AS$88,$F$4&gt;0,$F$4&lt;1001),INDEX(AR92:AR1091,$F$4),NA())</f>
        <v>#N/A</v>
      </c>
      <c r="AS89" s="432" t="e">
        <f>IF(AND($AS$88,$F$4&gt;0,$F$4&lt;1001),INDEX(AS92:AS1091,$F$4),NA())</f>
        <v>#N/A</v>
      </c>
      <c r="AX89" s="19">
        <f>IF(TRUE,AQ87-$AY$79,NA())</f>
        <v>-5</v>
      </c>
      <c r="AY89" s="19">
        <f>IF($BP$9,IF(NOT($BP$12),AS83*$I$4*$AB$87/$AB$94,AS83*L18*$AB$87/$AB$94),NA())</f>
        <v>1.2068256165688636</v>
      </c>
      <c r="AZ89" s="692" t="s">
        <v>1031</v>
      </c>
      <c r="BO89" s="72">
        <f t="shared" si="53"/>
        <v>0.20863725244998932</v>
      </c>
      <c r="BP89" s="399" t="str">
        <f t="shared" si="47"/>
        <v/>
      </c>
      <c r="BQ89" s="19">
        <f t="shared" si="48"/>
        <v>-999</v>
      </c>
      <c r="BR89" s="19">
        <f t="shared" si="49"/>
        <v>-999</v>
      </c>
      <c r="BS89" s="401">
        <v>40</v>
      </c>
      <c r="BT89" s="72">
        <f t="shared" si="54"/>
        <v>0.30740493535995483</v>
      </c>
      <c r="BU89" s="399" t="str">
        <f t="shared" si="50"/>
        <v/>
      </c>
      <c r="BV89" s="19">
        <f t="shared" si="51"/>
        <v>-999</v>
      </c>
      <c r="BW89" s="19">
        <f t="shared" si="52"/>
        <v>-999</v>
      </c>
      <c r="BY89" s="19">
        <f t="shared" si="45"/>
        <v>23.5</v>
      </c>
      <c r="BZ89" s="19">
        <f t="shared" si="34"/>
        <v>0.41569124242542715</v>
      </c>
      <c r="CA89" s="19">
        <f t="shared" si="35"/>
        <v>0.17731987039779634</v>
      </c>
    </row>
    <row r="90" spans="14:79" ht="11.25" customHeight="1" x14ac:dyDescent="0.2">
      <c r="N90" s="422"/>
      <c r="O90" s="399">
        <f>AN87+$P$82</f>
        <v>783</v>
      </c>
      <c r="P90" s="423" t="e">
        <f>P89</f>
        <v>#N/A</v>
      </c>
      <c r="AA90" s="157" t="s">
        <v>976</v>
      </c>
      <c r="AB90" s="19">
        <f>AA89/100</f>
        <v>7.72</v>
      </c>
      <c r="AE90" s="405"/>
      <c r="AF90" s="657" t="s">
        <v>977</v>
      </c>
      <c r="AG90" s="693">
        <f>SUM($AG$83:$AK$83)</f>
        <v>29</v>
      </c>
      <c r="AJ90" s="694" t="s">
        <v>858</v>
      </c>
      <c r="AK90" s="423"/>
      <c r="AL90" s="694" t="s">
        <v>859</v>
      </c>
      <c r="AM90" s="427"/>
      <c r="AN90" s="694" t="s">
        <v>860</v>
      </c>
      <c r="AO90" s="427"/>
      <c r="AP90" s="694" t="s">
        <v>861</v>
      </c>
      <c r="AQ90" s="427"/>
      <c r="AR90" s="694" t="s">
        <v>862</v>
      </c>
      <c r="AS90" s="427"/>
      <c r="AX90" s="19">
        <f>IF(TRUE,AQ87+$AY$79,NA())</f>
        <v>205</v>
      </c>
      <c r="AY90" s="19">
        <f>AY89</f>
        <v>1.2068256165688636</v>
      </c>
      <c r="AZ90" s="692" t="s">
        <v>1031</v>
      </c>
      <c r="BO90" s="72">
        <f t="shared" si="53"/>
        <v>0.23678417503833771</v>
      </c>
      <c r="BP90" s="399" t="str">
        <f t="shared" si="47"/>
        <v/>
      </c>
      <c r="BQ90" s="19">
        <f t="shared" si="48"/>
        <v>-999</v>
      </c>
      <c r="BR90" s="19">
        <f t="shared" si="49"/>
        <v>-999</v>
      </c>
      <c r="BS90" s="401">
        <v>41</v>
      </c>
      <c r="BT90" s="72">
        <f t="shared" si="54"/>
        <v>0.34986370801925659</v>
      </c>
      <c r="BU90" s="399" t="str">
        <f t="shared" si="50"/>
        <v/>
      </c>
      <c r="BV90" s="19">
        <f t="shared" si="51"/>
        <v>-999</v>
      </c>
      <c r="BW90" s="19">
        <f t="shared" si="52"/>
        <v>-999</v>
      </c>
      <c r="BY90" s="19">
        <f t="shared" si="45"/>
        <v>24</v>
      </c>
      <c r="BZ90" s="19">
        <f t="shared" si="34"/>
        <v>0.42955735821073904</v>
      </c>
      <c r="CA90" s="19">
        <f t="shared" si="35"/>
        <v>0.18570191469265038</v>
      </c>
    </row>
    <row r="91" spans="14:79" ht="11.25" customHeight="1" x14ac:dyDescent="0.2">
      <c r="N91" s="431"/>
      <c r="O91" s="400">
        <f>O90</f>
        <v>783</v>
      </c>
      <c r="P91" s="432" t="e">
        <f>P88</f>
        <v>#N/A</v>
      </c>
      <c r="AA91" s="157" t="s">
        <v>978</v>
      </c>
      <c r="AB91" s="392"/>
      <c r="AG91" s="296" t="s">
        <v>979</v>
      </c>
      <c r="AH91" s="296" t="s">
        <v>980</v>
      </c>
      <c r="AI91" s="296" t="s">
        <v>632</v>
      </c>
      <c r="AJ91" s="695" t="s">
        <v>633</v>
      </c>
      <c r="AK91" s="696" t="s">
        <v>632</v>
      </c>
      <c r="AL91" s="695" t="s">
        <v>633</v>
      </c>
      <c r="AM91" s="696" t="s">
        <v>632</v>
      </c>
      <c r="AN91" s="695" t="s">
        <v>633</v>
      </c>
      <c r="AO91" s="696" t="s">
        <v>632</v>
      </c>
      <c r="AP91" s="695" t="s">
        <v>633</v>
      </c>
      <c r="AQ91" s="696" t="s">
        <v>632</v>
      </c>
      <c r="AR91" s="695" t="s">
        <v>633</v>
      </c>
      <c r="AS91" s="696" t="s">
        <v>632</v>
      </c>
      <c r="AW91" s="697" t="s">
        <v>981</v>
      </c>
      <c r="AY91" s="464" t="s">
        <v>982</v>
      </c>
      <c r="AZ91" s="397"/>
      <c r="BA91" s="464"/>
      <c r="BB91" s="570"/>
      <c r="BC91" s="570"/>
      <c r="BO91" s="72">
        <f t="shared" si="53"/>
        <v>0.82857765257358551</v>
      </c>
      <c r="BP91" s="399" t="str">
        <f t="shared" si="47"/>
        <v/>
      </c>
      <c r="BQ91" s="19">
        <f t="shared" si="48"/>
        <v>-999</v>
      </c>
      <c r="BR91" s="19">
        <f t="shared" si="49"/>
        <v>-999</v>
      </c>
      <c r="BS91" s="401">
        <v>42</v>
      </c>
      <c r="BT91" s="72">
        <f t="shared" si="54"/>
        <v>0.62842077016830444</v>
      </c>
      <c r="BU91" s="399" t="str">
        <f t="shared" si="50"/>
        <v/>
      </c>
      <c r="BV91" s="19">
        <f t="shared" si="51"/>
        <v>-999</v>
      </c>
      <c r="BW91" s="19">
        <f t="shared" si="52"/>
        <v>-999</v>
      </c>
      <c r="BY91" s="19">
        <f t="shared" si="45"/>
        <v>24.5</v>
      </c>
      <c r="BZ91" s="19">
        <f t="shared" si="34"/>
        <v>0.44360866071177185</v>
      </c>
      <c r="CA91" s="19">
        <f t="shared" si="35"/>
        <v>0.1943586724177544</v>
      </c>
    </row>
    <row r="92" spans="14:79" ht="11.25" customHeight="1" x14ac:dyDescent="0.2">
      <c r="N92" s="422"/>
      <c r="O92" s="399"/>
      <c r="P92" s="427" t="s">
        <v>860</v>
      </c>
      <c r="AA92" s="144">
        <v>90</v>
      </c>
      <c r="AE92" s="19">
        <v>1</v>
      </c>
      <c r="AG92" s="19">
        <f t="shared" ref="AG92:AG155" si="55">2*ROUNDUP((MOD(AE92-1,$AB$94)+1)/2,0)-1</f>
        <v>1</v>
      </c>
      <c r="AH92" s="19">
        <f t="shared" ref="AH92:AH155" si="56">IF(AG92=AG93,-1,1)</f>
        <v>-1</v>
      </c>
      <c r="AI92" s="19">
        <f t="shared" ref="AI92:AI155" si="57">IF($BR$7,$AB$87*(0.5+INT((AE92-0.5)/$AB$94)),NA())</f>
        <v>0.80500000000000005</v>
      </c>
      <c r="AJ92" s="410">
        <f t="shared" ref="AJ92:AJ155" si="58">IF($BP$11,$AM$87+$AB$90*AH92*AG92,NA())</f>
        <v>892.28</v>
      </c>
      <c r="AK92" s="19">
        <f t="shared" ref="AK92:AK155" si="59">IF($AG$83&lt;AE92,NA(),AI92)</f>
        <v>0.80500000000000005</v>
      </c>
      <c r="AL92" s="19">
        <f t="shared" ref="AL92:AL155" si="60">IF($BP$11,$AN$87+$AB$90*AH92*AG92,NA())</f>
        <v>692.28</v>
      </c>
      <c r="AM92" s="19">
        <f t="shared" ref="AM92:AM155" si="61">IF($AH$83&lt;AE92,NA(),AI92)</f>
        <v>0.80500000000000005</v>
      </c>
      <c r="AN92" s="19">
        <f t="shared" ref="AN92:AN155" si="62">IF($BP$11,$AO$87+$AB$90*AH92*AG92,NA())</f>
        <v>492.28</v>
      </c>
      <c r="AO92" s="19">
        <f t="shared" ref="AO92:AO155" si="63">IF($AI$83&lt;AE92,NA(),AI92)</f>
        <v>0.80500000000000005</v>
      </c>
      <c r="AP92" s="19">
        <f t="shared" ref="AP92:AP155" si="64">IF($BP$11,$AP$87+$AB$90*AH92*AG92,NA())</f>
        <v>292.27999999999997</v>
      </c>
      <c r="AQ92" s="19">
        <f t="shared" ref="AQ92:AQ155" si="65">IF($AJ$83&lt;AE92,NA(),AI92)</f>
        <v>0.80500000000000005</v>
      </c>
      <c r="AR92" s="19">
        <f t="shared" ref="AR92:AR155" si="66">IF($BP$11,$AQ$87+$AB$90*AH92*AG92,NA())</f>
        <v>92.28</v>
      </c>
      <c r="AS92" s="19">
        <f t="shared" ref="AS92:AS155" si="67">IF($AK$83&lt;AE92,NA(),AI92)</f>
        <v>0.80500000000000005</v>
      </c>
      <c r="AW92" s="19">
        <v>30</v>
      </c>
      <c r="AX92" s="19">
        <f>IF(BP9,80,NA())</f>
        <v>80</v>
      </c>
      <c r="AY92" s="401">
        <v>-100</v>
      </c>
      <c r="AZ92" s="19">
        <f t="shared" ref="AZ92:AZ123" si="68">IF($BR$5,$BR$12+AY92,NA())</f>
        <v>-49.867004573384591</v>
      </c>
      <c r="BA92" s="19">
        <f t="shared" ref="BA92:BA123" si="69">$BQ$14</f>
        <v>4.5</v>
      </c>
      <c r="BO92" s="72">
        <f t="shared" si="53"/>
        <v>0.2972453385591507</v>
      </c>
      <c r="BP92" s="399" t="str">
        <f t="shared" si="47"/>
        <v/>
      </c>
      <c r="BQ92" s="19">
        <f t="shared" si="48"/>
        <v>-999</v>
      </c>
      <c r="BR92" s="19">
        <f t="shared" si="49"/>
        <v>-999</v>
      </c>
      <c r="BS92" s="401">
        <v>43</v>
      </c>
      <c r="BT92" s="72">
        <f t="shared" si="54"/>
        <v>0.87115305662155151</v>
      </c>
      <c r="BU92" s="399" t="str">
        <f t="shared" si="50"/>
        <v/>
      </c>
      <c r="BV92" s="19">
        <f t="shared" si="51"/>
        <v>-999</v>
      </c>
      <c r="BW92" s="19">
        <f t="shared" si="52"/>
        <v>-999</v>
      </c>
      <c r="BY92" s="19">
        <f t="shared" si="45"/>
        <v>25</v>
      </c>
      <c r="BZ92" s="19">
        <f t="shared" si="34"/>
        <v>0.45783336177161416</v>
      </c>
      <c r="CA92" s="19">
        <f t="shared" si="35"/>
        <v>0.20329188002427875</v>
      </c>
    </row>
    <row r="93" spans="14:79" ht="11.25" customHeight="1" x14ac:dyDescent="0.2">
      <c r="N93" s="422"/>
      <c r="O93" s="399">
        <f>AO87-$P$82</f>
        <v>417</v>
      </c>
      <c r="P93" s="423" t="e">
        <f>IF($BP$12,0,NA())</f>
        <v>#N/A</v>
      </c>
      <c r="AA93" s="157" t="s">
        <v>983</v>
      </c>
      <c r="AB93" s="19">
        <f>AA92/10</f>
        <v>9</v>
      </c>
      <c r="AE93" s="19">
        <v>2</v>
      </c>
      <c r="AG93" s="19">
        <f t="shared" si="55"/>
        <v>1</v>
      </c>
      <c r="AH93" s="19">
        <f t="shared" si="56"/>
        <v>1</v>
      </c>
      <c r="AI93" s="19">
        <f t="shared" si="57"/>
        <v>0.80500000000000005</v>
      </c>
      <c r="AJ93" s="410">
        <f t="shared" si="58"/>
        <v>907.72</v>
      </c>
      <c r="AK93" s="19">
        <f t="shared" si="59"/>
        <v>0.80500000000000005</v>
      </c>
      <c r="AL93" s="19">
        <f t="shared" si="60"/>
        <v>707.72</v>
      </c>
      <c r="AM93" s="19">
        <f t="shared" si="61"/>
        <v>0.80500000000000005</v>
      </c>
      <c r="AN93" s="19">
        <f t="shared" si="62"/>
        <v>507.72</v>
      </c>
      <c r="AO93" s="19">
        <f t="shared" si="63"/>
        <v>0.80500000000000005</v>
      </c>
      <c r="AP93" s="19">
        <f t="shared" si="64"/>
        <v>307.72000000000003</v>
      </c>
      <c r="AQ93" s="19">
        <f t="shared" si="65"/>
        <v>0.80500000000000005</v>
      </c>
      <c r="AR93" s="19">
        <f t="shared" si="66"/>
        <v>107.72</v>
      </c>
      <c r="AS93" s="19">
        <f t="shared" si="67"/>
        <v>0.80500000000000005</v>
      </c>
      <c r="AW93" s="157" t="s">
        <v>487</v>
      </c>
      <c r="AX93" s="698">
        <f>IF(BP9,AB10,"")</f>
        <v>0.57145851377893131</v>
      </c>
      <c r="AY93" s="401">
        <v>-98</v>
      </c>
      <c r="AZ93" s="19">
        <f t="shared" si="68"/>
        <v>-47.867004573384591</v>
      </c>
      <c r="BA93" s="19">
        <f t="shared" si="69"/>
        <v>4.5</v>
      </c>
      <c r="BO93" s="72">
        <f t="shared" si="53"/>
        <v>0.24978090822696686</v>
      </c>
      <c r="BP93" s="399" t="str">
        <f t="shared" si="47"/>
        <v/>
      </c>
      <c r="BQ93" s="19">
        <f t="shared" si="48"/>
        <v>-999</v>
      </c>
      <c r="BR93" s="19">
        <f t="shared" si="49"/>
        <v>-999</v>
      </c>
      <c r="BS93" s="401">
        <v>44</v>
      </c>
      <c r="BT93" s="72">
        <f t="shared" si="54"/>
        <v>0.89120525121688843</v>
      </c>
      <c r="BU93" s="399" t="str">
        <f t="shared" si="50"/>
        <v/>
      </c>
      <c r="BV93" s="19">
        <f t="shared" si="51"/>
        <v>-999</v>
      </c>
      <c r="BW93" s="19">
        <f t="shared" si="52"/>
        <v>-999</v>
      </c>
      <c r="BY93" s="19">
        <f t="shared" si="45"/>
        <v>25.5</v>
      </c>
      <c r="BZ93" s="19">
        <f t="shared" si="34"/>
        <v>0.47221896125565366</v>
      </c>
      <c r="CA93" s="19">
        <f t="shared" si="35"/>
        <v>0.21250282427502196</v>
      </c>
    </row>
    <row r="94" spans="14:79" ht="11.25" customHeight="1" x14ac:dyDescent="0.2">
      <c r="N94" s="422"/>
      <c r="O94" s="399">
        <f>O93</f>
        <v>417</v>
      </c>
      <c r="P94" s="423" t="e">
        <f>IF($BP$12,AY85,NA())</f>
        <v>#N/A</v>
      </c>
      <c r="AA94" s="157" t="s">
        <v>984</v>
      </c>
      <c r="AB94" s="19">
        <f>EVEN(((AB82-AB81)/10-2*AB93)/AB90)</f>
        <v>12</v>
      </c>
      <c r="AE94" s="19">
        <v>3</v>
      </c>
      <c r="AG94" s="19">
        <f t="shared" si="55"/>
        <v>3</v>
      </c>
      <c r="AH94" s="19">
        <f t="shared" si="56"/>
        <v>-1</v>
      </c>
      <c r="AI94" s="19">
        <f t="shared" si="57"/>
        <v>0.80500000000000005</v>
      </c>
      <c r="AJ94" s="410">
        <f t="shared" si="58"/>
        <v>876.84</v>
      </c>
      <c r="AK94" s="19">
        <f t="shared" si="59"/>
        <v>0.80500000000000005</v>
      </c>
      <c r="AL94" s="19">
        <f t="shared" si="60"/>
        <v>676.84</v>
      </c>
      <c r="AM94" s="19">
        <f t="shared" si="61"/>
        <v>0.80500000000000005</v>
      </c>
      <c r="AN94" s="19">
        <f t="shared" si="62"/>
        <v>476.84</v>
      </c>
      <c r="AO94" s="19">
        <f t="shared" si="63"/>
        <v>0.80500000000000005</v>
      </c>
      <c r="AP94" s="19">
        <f t="shared" si="64"/>
        <v>276.83999999999997</v>
      </c>
      <c r="AQ94" s="19">
        <f t="shared" si="65"/>
        <v>0.80500000000000005</v>
      </c>
      <c r="AR94" s="19">
        <f t="shared" si="66"/>
        <v>76.84</v>
      </c>
      <c r="AS94" s="19">
        <f t="shared" si="67"/>
        <v>0.80500000000000005</v>
      </c>
      <c r="AY94" s="401">
        <v>-96</v>
      </c>
      <c r="AZ94" s="19">
        <f t="shared" si="68"/>
        <v>-45.867004573384591</v>
      </c>
      <c r="BA94" s="19">
        <f t="shared" si="69"/>
        <v>4.5</v>
      </c>
      <c r="BO94" s="72">
        <f t="shared" si="53"/>
        <v>0.32942147552967072</v>
      </c>
      <c r="BP94" s="399" t="str">
        <f t="shared" si="47"/>
        <v/>
      </c>
      <c r="BQ94" s="19">
        <f t="shared" si="48"/>
        <v>-999</v>
      </c>
      <c r="BR94" s="19">
        <f t="shared" si="49"/>
        <v>-999</v>
      </c>
      <c r="BS94" s="401">
        <v>45</v>
      </c>
      <c r="BT94" s="72">
        <f t="shared" si="54"/>
        <v>9.7837150096893311E-2</v>
      </c>
      <c r="BU94" s="399" t="str">
        <f t="shared" si="50"/>
        <v/>
      </c>
      <c r="BV94" s="19">
        <f t="shared" si="51"/>
        <v>-999</v>
      </c>
      <c r="BW94" s="19">
        <f t="shared" si="52"/>
        <v>-999</v>
      </c>
      <c r="BY94" s="19">
        <f t="shared" si="45"/>
        <v>26</v>
      </c>
      <c r="BZ94" s="19">
        <f t="shared" si="34"/>
        <v>0.48675225595997162</v>
      </c>
      <c r="CA94" s="19">
        <f t="shared" si="35"/>
        <v>0.22199231829129376</v>
      </c>
    </row>
    <row r="95" spans="14:79" ht="11.25" customHeight="1" x14ac:dyDescent="0.2">
      <c r="N95" s="422"/>
      <c r="O95" s="399">
        <f>AO87+$P$82</f>
        <v>583</v>
      </c>
      <c r="P95" s="423" t="e">
        <f>P94</f>
        <v>#N/A</v>
      </c>
      <c r="Y95" s="415"/>
      <c r="Z95" s="398"/>
      <c r="AA95" s="398"/>
      <c r="AB95" s="689" t="s">
        <v>974</v>
      </c>
      <c r="AC95" s="413"/>
      <c r="AE95" s="19">
        <v>4</v>
      </c>
      <c r="AG95" s="19">
        <f t="shared" si="55"/>
        <v>3</v>
      </c>
      <c r="AH95" s="19">
        <f t="shared" si="56"/>
        <v>1</v>
      </c>
      <c r="AI95" s="19">
        <f t="shared" si="57"/>
        <v>0.80500000000000005</v>
      </c>
      <c r="AJ95" s="410">
        <f t="shared" si="58"/>
        <v>923.16</v>
      </c>
      <c r="AK95" s="19">
        <f t="shared" si="59"/>
        <v>0.80500000000000005</v>
      </c>
      <c r="AL95" s="19">
        <f t="shared" si="60"/>
        <v>723.16</v>
      </c>
      <c r="AM95" s="19">
        <f t="shared" si="61"/>
        <v>0.80500000000000005</v>
      </c>
      <c r="AN95" s="19">
        <f t="shared" si="62"/>
        <v>523.16</v>
      </c>
      <c r="AO95" s="19">
        <f t="shared" si="63"/>
        <v>0.80500000000000005</v>
      </c>
      <c r="AP95" s="19">
        <f t="shared" si="64"/>
        <v>323.16000000000003</v>
      </c>
      <c r="AQ95" s="19" t="e">
        <f t="shared" si="65"/>
        <v>#N/A</v>
      </c>
      <c r="AR95" s="19">
        <f t="shared" si="66"/>
        <v>123.16</v>
      </c>
      <c r="AS95" s="19">
        <f t="shared" si="67"/>
        <v>0.80500000000000005</v>
      </c>
      <c r="AY95" s="401">
        <v>-94</v>
      </c>
      <c r="AZ95" s="19">
        <f t="shared" si="68"/>
        <v>-43.867004573384591</v>
      </c>
      <c r="BA95" s="19">
        <f t="shared" si="69"/>
        <v>4.5</v>
      </c>
      <c r="BO95" s="72">
        <f t="shared" si="53"/>
        <v>3.7775889039039612E-2</v>
      </c>
      <c r="BP95" s="399" t="str">
        <f t="shared" si="47"/>
        <v/>
      </c>
      <c r="BQ95" s="19">
        <f t="shared" si="48"/>
        <v>-999</v>
      </c>
      <c r="BR95" s="19">
        <f t="shared" si="49"/>
        <v>-999</v>
      </c>
      <c r="BS95" s="401">
        <v>46</v>
      </c>
      <c r="BT95" s="72">
        <f t="shared" si="54"/>
        <v>0.77285188436508179</v>
      </c>
      <c r="BU95" s="399" t="str">
        <f t="shared" si="50"/>
        <v/>
      </c>
      <c r="BV95" s="19">
        <f t="shared" si="51"/>
        <v>-999</v>
      </c>
      <c r="BW95" s="19">
        <f t="shared" si="52"/>
        <v>-999</v>
      </c>
      <c r="BY95" s="19">
        <f t="shared" si="45"/>
        <v>26.5</v>
      </c>
      <c r="BZ95" s="19">
        <f t="shared" si="34"/>
        <v>0.50141935103294033</v>
      </c>
      <c r="CA95" s="19">
        <f t="shared" si="35"/>
        <v>0.2317606780197484</v>
      </c>
    </row>
    <row r="96" spans="14:79" ht="11.25" customHeight="1" x14ac:dyDescent="0.2">
      <c r="N96" s="431"/>
      <c r="O96" s="400">
        <f>O95</f>
        <v>583</v>
      </c>
      <c r="P96" s="432" t="e">
        <f>P93</f>
        <v>#N/A</v>
      </c>
      <c r="Y96" s="422"/>
      <c r="Z96" s="399"/>
      <c r="AA96" s="399" t="e">
        <f>AJ89</f>
        <v>#N/A</v>
      </c>
      <c r="AB96" s="399" t="e">
        <f>AK89</f>
        <v>#N/A</v>
      </c>
      <c r="AC96" s="423"/>
      <c r="AE96" s="19">
        <v>5</v>
      </c>
      <c r="AG96" s="19">
        <f t="shared" si="55"/>
        <v>5</v>
      </c>
      <c r="AH96" s="19">
        <f t="shared" si="56"/>
        <v>-1</v>
      </c>
      <c r="AI96" s="19">
        <f t="shared" si="57"/>
        <v>0.80500000000000005</v>
      </c>
      <c r="AJ96" s="410">
        <f t="shared" si="58"/>
        <v>861.4</v>
      </c>
      <c r="AK96" s="19">
        <f t="shared" si="59"/>
        <v>0.80500000000000005</v>
      </c>
      <c r="AL96" s="19">
        <f t="shared" si="60"/>
        <v>661.4</v>
      </c>
      <c r="AM96" s="19">
        <f t="shared" si="61"/>
        <v>0.80500000000000005</v>
      </c>
      <c r="AN96" s="19">
        <f t="shared" si="62"/>
        <v>461.4</v>
      </c>
      <c r="AO96" s="19">
        <f t="shared" si="63"/>
        <v>0.80500000000000005</v>
      </c>
      <c r="AP96" s="19">
        <f t="shared" si="64"/>
        <v>261.39999999999998</v>
      </c>
      <c r="AQ96" s="19" t="e">
        <f t="shared" si="65"/>
        <v>#N/A</v>
      </c>
      <c r="AR96" s="19">
        <f t="shared" si="66"/>
        <v>61.4</v>
      </c>
      <c r="AS96" s="19">
        <f t="shared" si="67"/>
        <v>0.80500000000000005</v>
      </c>
      <c r="AY96" s="401">
        <v>-92</v>
      </c>
      <c r="AZ96" s="19">
        <f t="shared" si="68"/>
        <v>-41.867004573384591</v>
      </c>
      <c r="BA96" s="19">
        <f t="shared" si="69"/>
        <v>4.5</v>
      </c>
      <c r="BO96" s="72">
        <f t="shared" si="53"/>
        <v>0.38147695362567902</v>
      </c>
      <c r="BP96" s="399" t="str">
        <f t="shared" si="47"/>
        <v/>
      </c>
      <c r="BQ96" s="19">
        <f t="shared" si="48"/>
        <v>-999</v>
      </c>
      <c r="BR96" s="19">
        <f t="shared" si="49"/>
        <v>-999</v>
      </c>
      <c r="BS96" s="401">
        <v>47</v>
      </c>
      <c r="BT96" s="72">
        <f t="shared" si="54"/>
        <v>0.89072531461715698</v>
      </c>
      <c r="BU96" s="399" t="str">
        <f t="shared" si="50"/>
        <v/>
      </c>
      <c r="BV96" s="19">
        <f t="shared" si="51"/>
        <v>-999</v>
      </c>
      <c r="BW96" s="19">
        <f t="shared" si="52"/>
        <v>-999</v>
      </c>
      <c r="BY96" s="19">
        <f t="shared" si="45"/>
        <v>27</v>
      </c>
      <c r="BZ96" s="19">
        <f t="shared" si="34"/>
        <v>0.51620567394549632</v>
      </c>
      <c r="CA96" s="19">
        <f t="shared" si="35"/>
        <v>0.24180769922836343</v>
      </c>
    </row>
    <row r="97" spans="14:79" ht="11.25" customHeight="1" x14ac:dyDescent="0.2">
      <c r="N97" s="415"/>
      <c r="O97" s="398"/>
      <c r="P97" s="673" t="s">
        <v>861</v>
      </c>
      <c r="Y97" s="422"/>
      <c r="Z97" s="399"/>
      <c r="AA97" s="399" t="e">
        <f>AL89</f>
        <v>#N/A</v>
      </c>
      <c r="AB97" s="399" t="e">
        <f>AM89</f>
        <v>#N/A</v>
      </c>
      <c r="AC97" s="423"/>
      <c r="AE97" s="19">
        <v>6</v>
      </c>
      <c r="AG97" s="19">
        <f t="shared" si="55"/>
        <v>5</v>
      </c>
      <c r="AH97" s="19">
        <f t="shared" si="56"/>
        <v>1</v>
      </c>
      <c r="AI97" s="19">
        <f t="shared" si="57"/>
        <v>0.80500000000000005</v>
      </c>
      <c r="AJ97" s="410">
        <f t="shared" si="58"/>
        <v>938.6</v>
      </c>
      <c r="AK97" s="19">
        <f t="shared" si="59"/>
        <v>0.80500000000000005</v>
      </c>
      <c r="AL97" s="19">
        <f t="shared" si="60"/>
        <v>738.6</v>
      </c>
      <c r="AM97" s="19">
        <f t="shared" si="61"/>
        <v>0.80500000000000005</v>
      </c>
      <c r="AN97" s="19">
        <f t="shared" si="62"/>
        <v>538.6</v>
      </c>
      <c r="AO97" s="19">
        <f t="shared" si="63"/>
        <v>0.80500000000000005</v>
      </c>
      <c r="AP97" s="19">
        <f t="shared" si="64"/>
        <v>338.6</v>
      </c>
      <c r="AQ97" s="19" t="e">
        <f t="shared" si="65"/>
        <v>#N/A</v>
      </c>
      <c r="AR97" s="19">
        <f t="shared" si="66"/>
        <v>138.6</v>
      </c>
      <c r="AS97" s="19">
        <f t="shared" si="67"/>
        <v>0.80500000000000005</v>
      </c>
      <c r="AY97" s="401">
        <v>-90</v>
      </c>
      <c r="AZ97" s="19">
        <f t="shared" si="68"/>
        <v>-39.867004573384591</v>
      </c>
      <c r="BA97" s="19">
        <f t="shared" si="69"/>
        <v>4.5</v>
      </c>
      <c r="BO97" s="72">
        <f t="shared" si="53"/>
        <v>0.49545718729496002</v>
      </c>
      <c r="BP97" s="399" t="str">
        <f t="shared" si="47"/>
        <v/>
      </c>
      <c r="BQ97" s="19">
        <f t="shared" si="48"/>
        <v>-999</v>
      </c>
      <c r="BR97" s="19">
        <f t="shared" si="49"/>
        <v>-999</v>
      </c>
      <c r="BS97" s="401">
        <v>48</v>
      </c>
      <c r="BT97" s="72">
        <f t="shared" si="54"/>
        <v>0.72560065984725952</v>
      </c>
      <c r="BU97" s="399" t="str">
        <f t="shared" si="50"/>
        <v/>
      </c>
      <c r="BV97" s="19">
        <f t="shared" si="51"/>
        <v>-999</v>
      </c>
      <c r="BW97" s="19">
        <f t="shared" si="52"/>
        <v>-999</v>
      </c>
      <c r="BY97" s="19">
        <f t="shared" si="45"/>
        <v>27.5</v>
      </c>
      <c r="BZ97" s="19">
        <f t="shared" si="34"/>
        <v>0.53109599103534522</v>
      </c>
      <c r="CA97" s="19">
        <f t="shared" si="35"/>
        <v>0.25213263514330009</v>
      </c>
    </row>
    <row r="98" spans="14:79" ht="11.25" customHeight="1" x14ac:dyDescent="0.2">
      <c r="N98" s="422"/>
      <c r="O98" s="399">
        <f>AP87-$P$82</f>
        <v>217</v>
      </c>
      <c r="P98" s="423" t="e">
        <f>IF($BP$12,0,NA())</f>
        <v>#N/A</v>
      </c>
      <c r="Y98" s="422"/>
      <c r="Z98" s="399"/>
      <c r="AA98" s="399">
        <f>AN89</f>
        <v>538.6</v>
      </c>
      <c r="AB98" s="399">
        <f>AO89</f>
        <v>0.80500000000000005</v>
      </c>
      <c r="AC98" s="423"/>
      <c r="AE98" s="19">
        <v>7</v>
      </c>
      <c r="AG98" s="19">
        <f t="shared" si="55"/>
        <v>7</v>
      </c>
      <c r="AH98" s="19">
        <f t="shared" si="56"/>
        <v>-1</v>
      </c>
      <c r="AI98" s="19">
        <f t="shared" si="57"/>
        <v>0.80500000000000005</v>
      </c>
      <c r="AJ98" s="410">
        <f t="shared" si="58"/>
        <v>845.96</v>
      </c>
      <c r="AK98" s="19" t="e">
        <f t="shared" si="59"/>
        <v>#N/A</v>
      </c>
      <c r="AL98" s="19">
        <f t="shared" si="60"/>
        <v>645.96</v>
      </c>
      <c r="AM98" s="19" t="e">
        <f t="shared" si="61"/>
        <v>#N/A</v>
      </c>
      <c r="AN98" s="19">
        <f t="shared" si="62"/>
        <v>445.96</v>
      </c>
      <c r="AO98" s="19" t="e">
        <f t="shared" si="63"/>
        <v>#N/A</v>
      </c>
      <c r="AP98" s="19">
        <f t="shared" si="64"/>
        <v>245.96</v>
      </c>
      <c r="AQ98" s="19" t="e">
        <f t="shared" si="65"/>
        <v>#N/A</v>
      </c>
      <c r="AR98" s="19">
        <f t="shared" si="66"/>
        <v>45.96</v>
      </c>
      <c r="AS98" s="19">
        <f t="shared" si="67"/>
        <v>0.80500000000000005</v>
      </c>
      <c r="AY98" s="401">
        <v>-88</v>
      </c>
      <c r="AZ98" s="19">
        <f t="shared" si="68"/>
        <v>-37.867004573384591</v>
      </c>
      <c r="BA98" s="19">
        <f t="shared" si="69"/>
        <v>4.5</v>
      </c>
      <c r="BO98" s="72">
        <f t="shared" si="53"/>
        <v>0.31389303505420685</v>
      </c>
      <c r="BP98" s="399" t="str">
        <f t="shared" si="47"/>
        <v/>
      </c>
      <c r="BQ98" s="19">
        <f t="shared" si="48"/>
        <v>-999</v>
      </c>
      <c r="BR98" s="19">
        <f t="shared" si="49"/>
        <v>-999</v>
      </c>
      <c r="BS98" s="401">
        <v>49</v>
      </c>
      <c r="BT98" s="72">
        <f t="shared" si="54"/>
        <v>3.1281173229217529E-2</v>
      </c>
      <c r="BU98" s="399" t="str">
        <f t="shared" si="50"/>
        <v/>
      </c>
      <c r="BV98" s="19">
        <f t="shared" si="51"/>
        <v>-999</v>
      </c>
      <c r="BW98" s="19">
        <f t="shared" si="52"/>
        <v>-999</v>
      </c>
      <c r="BY98" s="19">
        <f t="shared" si="45"/>
        <v>28</v>
      </c>
      <c r="BZ98" s="19">
        <f t="shared" si="34"/>
        <v>0.5460744266397094</v>
      </c>
      <c r="CA98" s="19">
        <f t="shared" si="35"/>
        <v>0.26273417484047434</v>
      </c>
    </row>
    <row r="99" spans="14:79" ht="11.25" customHeight="1" x14ac:dyDescent="0.2">
      <c r="N99" s="422"/>
      <c r="O99" s="399">
        <f>O98</f>
        <v>217</v>
      </c>
      <c r="P99" s="423" t="e">
        <f>IF($BP$12,AY87,NA())</f>
        <v>#N/A</v>
      </c>
      <c r="Y99" s="422"/>
      <c r="Z99" s="399"/>
      <c r="AA99" s="399" t="e">
        <f>AP89</f>
        <v>#N/A</v>
      </c>
      <c r="AB99" s="399" t="e">
        <f>AQ89</f>
        <v>#N/A</v>
      </c>
      <c r="AC99" s="423"/>
      <c r="AE99" s="19">
        <v>8</v>
      </c>
      <c r="AG99" s="19">
        <f t="shared" si="55"/>
        <v>7</v>
      </c>
      <c r="AH99" s="19">
        <f t="shared" si="56"/>
        <v>1</v>
      </c>
      <c r="AI99" s="19">
        <f t="shared" si="57"/>
        <v>0.80500000000000005</v>
      </c>
      <c r="AJ99" s="410">
        <f t="shared" si="58"/>
        <v>954.04</v>
      </c>
      <c r="AK99" s="19" t="e">
        <f t="shared" si="59"/>
        <v>#N/A</v>
      </c>
      <c r="AL99" s="19">
        <f t="shared" si="60"/>
        <v>754.04</v>
      </c>
      <c r="AM99" s="19" t="e">
        <f t="shared" si="61"/>
        <v>#N/A</v>
      </c>
      <c r="AN99" s="19">
        <f t="shared" si="62"/>
        <v>554.04</v>
      </c>
      <c r="AO99" s="19" t="e">
        <f t="shared" si="63"/>
        <v>#N/A</v>
      </c>
      <c r="AP99" s="19">
        <f t="shared" si="64"/>
        <v>354.04</v>
      </c>
      <c r="AQ99" s="19" t="e">
        <f t="shared" si="65"/>
        <v>#N/A</v>
      </c>
      <c r="AR99" s="19">
        <f t="shared" si="66"/>
        <v>154.04</v>
      </c>
      <c r="AS99" s="19">
        <f t="shared" si="67"/>
        <v>0.80500000000000005</v>
      </c>
      <c r="AY99" s="401">
        <v>-86</v>
      </c>
      <c r="AZ99" s="19">
        <f t="shared" si="68"/>
        <v>-35.867004573384591</v>
      </c>
      <c r="BA99" s="19">
        <f t="shared" si="69"/>
        <v>4.5</v>
      </c>
      <c r="BO99" s="72">
        <f t="shared" si="53"/>
        <v>0.43115152418613434</v>
      </c>
      <c r="BP99" s="399" t="str">
        <f t="shared" si="47"/>
        <v/>
      </c>
      <c r="BQ99" s="19">
        <f t="shared" si="48"/>
        <v>-999</v>
      </c>
      <c r="BR99" s="19">
        <f t="shared" si="49"/>
        <v>-999</v>
      </c>
      <c r="BS99" s="401">
        <v>50</v>
      </c>
      <c r="BT99" s="72">
        <f t="shared" si="54"/>
        <v>0.13894742727279663</v>
      </c>
      <c r="BU99" s="399" t="str">
        <f t="shared" si="50"/>
        <v/>
      </c>
      <c r="BV99" s="19">
        <f t="shared" si="51"/>
        <v>-999</v>
      </c>
      <c r="BW99" s="19">
        <f t="shared" si="52"/>
        <v>-999</v>
      </c>
      <c r="BY99" s="19">
        <f t="shared" si="45"/>
        <v>28.5</v>
      </c>
      <c r="BZ99" s="19">
        <f t="shared" si="34"/>
        <v>0.5611244848201743</v>
      </c>
      <c r="CA99" s="19">
        <f t="shared" si="35"/>
        <v>0.27361042250726392</v>
      </c>
    </row>
    <row r="100" spans="14:79" ht="11.25" customHeight="1" x14ac:dyDescent="0.2">
      <c r="N100" s="422"/>
      <c r="O100" s="399">
        <f>AP87+$P$82</f>
        <v>383</v>
      </c>
      <c r="P100" s="423" t="e">
        <f>P99</f>
        <v>#N/A</v>
      </c>
      <c r="Y100" s="422"/>
      <c r="Z100" s="399"/>
      <c r="AA100" s="399" t="e">
        <f>AR89</f>
        <v>#N/A</v>
      </c>
      <c r="AB100" s="399" t="e">
        <f>AS89</f>
        <v>#N/A</v>
      </c>
      <c r="AC100" s="423"/>
      <c r="AE100" s="19">
        <v>9</v>
      </c>
      <c r="AG100" s="19">
        <f t="shared" si="55"/>
        <v>9</v>
      </c>
      <c r="AH100" s="19">
        <f t="shared" si="56"/>
        <v>-1</v>
      </c>
      <c r="AI100" s="19">
        <f t="shared" si="57"/>
        <v>0.80500000000000005</v>
      </c>
      <c r="AJ100" s="410">
        <f t="shared" si="58"/>
        <v>830.52</v>
      </c>
      <c r="AK100" s="19" t="e">
        <f t="shared" si="59"/>
        <v>#N/A</v>
      </c>
      <c r="AL100" s="19">
        <f t="shared" si="60"/>
        <v>630.52</v>
      </c>
      <c r="AM100" s="19" t="e">
        <f t="shared" si="61"/>
        <v>#N/A</v>
      </c>
      <c r="AN100" s="19">
        <f t="shared" si="62"/>
        <v>430.52</v>
      </c>
      <c r="AO100" s="19" t="e">
        <f t="shared" si="63"/>
        <v>#N/A</v>
      </c>
      <c r="AP100" s="19">
        <f t="shared" si="64"/>
        <v>230.51999999999998</v>
      </c>
      <c r="AQ100" s="19" t="e">
        <f t="shared" si="65"/>
        <v>#N/A</v>
      </c>
      <c r="AR100" s="19">
        <f t="shared" si="66"/>
        <v>30.519999999999996</v>
      </c>
      <c r="AS100" s="19" t="e">
        <f t="shared" si="67"/>
        <v>#N/A</v>
      </c>
      <c r="AY100" s="401">
        <v>-84</v>
      </c>
      <c r="AZ100" s="19">
        <f t="shared" si="68"/>
        <v>-33.867004573384591</v>
      </c>
      <c r="BA100" s="19">
        <f t="shared" si="69"/>
        <v>4.5</v>
      </c>
      <c r="BO100" s="72">
        <f t="shared" si="53"/>
        <v>0.84683115780353546</v>
      </c>
      <c r="BP100" s="399" t="str">
        <f t="shared" si="47"/>
        <v/>
      </c>
      <c r="BQ100" s="19">
        <f t="shared" si="48"/>
        <v>-999</v>
      </c>
      <c r="BR100" s="19">
        <f t="shared" si="49"/>
        <v>-999</v>
      </c>
      <c r="BS100" s="401">
        <v>51</v>
      </c>
      <c r="BT100" s="72">
        <f t="shared" si="54"/>
        <v>7.9044520854949951E-2</v>
      </c>
      <c r="BU100" s="399" t="str">
        <f t="shared" si="50"/>
        <v/>
      </c>
      <c r="BV100" s="19">
        <f t="shared" si="51"/>
        <v>-999</v>
      </c>
      <c r="BW100" s="19">
        <f t="shared" si="52"/>
        <v>-999</v>
      </c>
      <c r="BY100" s="19">
        <f t="shared" si="45"/>
        <v>29</v>
      </c>
      <c r="BZ100" s="19">
        <f t="shared" si="34"/>
        <v>0.57622907367179987</v>
      </c>
      <c r="CA100" s="19">
        <f t="shared" si="35"/>
        <v>0.28475887769085484</v>
      </c>
    </row>
    <row r="101" spans="14:79" ht="11.25" customHeight="1" x14ac:dyDescent="0.2">
      <c r="N101" s="431"/>
      <c r="O101" s="400">
        <f>O100</f>
        <v>383</v>
      </c>
      <c r="P101" s="432" t="e">
        <f>P98</f>
        <v>#N/A</v>
      </c>
      <c r="Y101" s="415"/>
      <c r="Z101" s="398" t="s">
        <v>985</v>
      </c>
      <c r="AA101" s="398"/>
      <c r="AB101" s="398"/>
      <c r="AC101" s="398"/>
      <c r="AD101" s="413"/>
      <c r="AE101" s="19">
        <v>10</v>
      </c>
      <c r="AG101" s="19">
        <f t="shared" si="55"/>
        <v>9</v>
      </c>
      <c r="AH101" s="19">
        <f t="shared" si="56"/>
        <v>1</v>
      </c>
      <c r="AI101" s="19">
        <f t="shared" si="57"/>
        <v>0.80500000000000005</v>
      </c>
      <c r="AJ101" s="410">
        <f t="shared" si="58"/>
        <v>969.48</v>
      </c>
      <c r="AK101" s="19" t="e">
        <f t="shared" si="59"/>
        <v>#N/A</v>
      </c>
      <c r="AL101" s="19">
        <f t="shared" si="60"/>
        <v>769.48</v>
      </c>
      <c r="AM101" s="19" t="e">
        <f t="shared" si="61"/>
        <v>#N/A</v>
      </c>
      <c r="AN101" s="19">
        <f t="shared" si="62"/>
        <v>569.48</v>
      </c>
      <c r="AO101" s="19" t="e">
        <f t="shared" si="63"/>
        <v>#N/A</v>
      </c>
      <c r="AP101" s="19">
        <f t="shared" si="64"/>
        <v>369.48</v>
      </c>
      <c r="AQ101" s="19" t="e">
        <f t="shared" si="65"/>
        <v>#N/A</v>
      </c>
      <c r="AR101" s="19">
        <f t="shared" si="66"/>
        <v>169.48000000000002</v>
      </c>
      <c r="AS101" s="19" t="e">
        <f t="shared" si="67"/>
        <v>#N/A</v>
      </c>
      <c r="AY101" s="401">
        <v>-82</v>
      </c>
      <c r="AZ101" s="19">
        <f t="shared" si="68"/>
        <v>-31.867004573384591</v>
      </c>
      <c r="BA101" s="19">
        <f t="shared" si="69"/>
        <v>4.5</v>
      </c>
      <c r="BO101" s="72">
        <f t="shared" si="53"/>
        <v>0.58684040606021881</v>
      </c>
      <c r="BP101" s="399" t="str">
        <f t="shared" si="47"/>
        <v/>
      </c>
      <c r="BQ101" s="19">
        <f t="shared" si="48"/>
        <v>-999</v>
      </c>
      <c r="BR101" s="19">
        <f t="shared" si="49"/>
        <v>-999</v>
      </c>
      <c r="BS101" s="401">
        <v>52</v>
      </c>
      <c r="BT101" s="72">
        <f t="shared" si="54"/>
        <v>0.23612827062606812</v>
      </c>
      <c r="BU101" s="399" t="str">
        <f t="shared" si="50"/>
        <v/>
      </c>
      <c r="BV101" s="19">
        <f t="shared" si="51"/>
        <v>-999</v>
      </c>
      <c r="BW101" s="19">
        <f t="shared" si="52"/>
        <v>-999</v>
      </c>
      <c r="BY101" s="19">
        <f t="shared" si="45"/>
        <v>29.5</v>
      </c>
      <c r="BZ101" s="19">
        <f t="shared" si="34"/>
        <v>0.59137053219698121</v>
      </c>
      <c r="CA101" s="19">
        <f t="shared" si="35"/>
        <v>0.29617641665026673</v>
      </c>
    </row>
    <row r="102" spans="14:79" ht="11.25" customHeight="1" x14ac:dyDescent="0.2">
      <c r="N102" s="415"/>
      <c r="O102" s="398"/>
      <c r="P102" s="699" t="s">
        <v>1031</v>
      </c>
      <c r="Y102" s="422"/>
      <c r="Z102" s="399">
        <v>1</v>
      </c>
      <c r="AA102" s="399" t="e">
        <f>IF(figonedisp,Z102,NA())</f>
        <v>#N/A</v>
      </c>
      <c r="AB102" s="399">
        <v>1</v>
      </c>
      <c r="AC102" s="399"/>
      <c r="AD102" s="700" t="b">
        <v>0</v>
      </c>
      <c r="AE102" s="19">
        <v>11</v>
      </c>
      <c r="AG102" s="19">
        <f t="shared" si="55"/>
        <v>11</v>
      </c>
      <c r="AH102" s="19">
        <f t="shared" si="56"/>
        <v>-1</v>
      </c>
      <c r="AI102" s="19">
        <f t="shared" si="57"/>
        <v>0.80500000000000005</v>
      </c>
      <c r="AJ102" s="410">
        <f t="shared" si="58"/>
        <v>815.08</v>
      </c>
      <c r="AK102" s="19" t="e">
        <f t="shared" si="59"/>
        <v>#N/A</v>
      </c>
      <c r="AL102" s="19">
        <f t="shared" si="60"/>
        <v>615.08000000000004</v>
      </c>
      <c r="AM102" s="19" t="e">
        <f t="shared" si="61"/>
        <v>#N/A</v>
      </c>
      <c r="AN102" s="19">
        <f t="shared" si="62"/>
        <v>415.08</v>
      </c>
      <c r="AO102" s="19" t="e">
        <f t="shared" si="63"/>
        <v>#N/A</v>
      </c>
      <c r="AP102" s="19">
        <f t="shared" si="64"/>
        <v>215.07999999999998</v>
      </c>
      <c r="AQ102" s="19" t="e">
        <f t="shared" si="65"/>
        <v>#N/A</v>
      </c>
      <c r="AR102" s="19">
        <f t="shared" si="66"/>
        <v>15.079999999999998</v>
      </c>
      <c r="AS102" s="19" t="e">
        <f t="shared" si="67"/>
        <v>#N/A</v>
      </c>
      <c r="AY102" s="401">
        <v>-80</v>
      </c>
      <c r="AZ102" s="19">
        <f t="shared" si="68"/>
        <v>-29.867004573384591</v>
      </c>
      <c r="BA102" s="19">
        <f t="shared" si="69"/>
        <v>4.5</v>
      </c>
      <c r="BO102" s="72">
        <f t="shared" si="53"/>
        <v>0.68952746689319611</v>
      </c>
      <c r="BP102" s="399" t="str">
        <f t="shared" si="47"/>
        <v/>
      </c>
      <c r="BQ102" s="19">
        <f t="shared" si="48"/>
        <v>-999</v>
      </c>
      <c r="BR102" s="19">
        <f t="shared" si="49"/>
        <v>-999</v>
      </c>
      <c r="BS102" s="401">
        <v>53</v>
      </c>
      <c r="BT102" s="72">
        <f t="shared" si="54"/>
        <v>0.77592819929122925</v>
      </c>
      <c r="BU102" s="399" t="str">
        <f t="shared" si="50"/>
        <v/>
      </c>
      <c r="BV102" s="19">
        <f t="shared" si="51"/>
        <v>-999</v>
      </c>
      <c r="BW102" s="19">
        <f t="shared" si="52"/>
        <v>-999</v>
      </c>
      <c r="BY102" s="19">
        <f t="shared" si="45"/>
        <v>30</v>
      </c>
      <c r="BZ102" s="19">
        <f t="shared" si="34"/>
        <v>0.60653065971263331</v>
      </c>
      <c r="CA102" s="19">
        <f t="shared" si="35"/>
        <v>0.30785927492904602</v>
      </c>
    </row>
    <row r="103" spans="14:79" ht="11.25" customHeight="1" x14ac:dyDescent="0.2">
      <c r="N103" s="422"/>
      <c r="O103" s="399">
        <f>AQ87-$P$82</f>
        <v>17</v>
      </c>
      <c r="P103" s="423" t="e">
        <f>IF($BP$12,0,NA())</f>
        <v>#N/A</v>
      </c>
      <c r="Y103" s="422"/>
      <c r="Z103" s="399">
        <v>2</v>
      </c>
      <c r="AA103" s="399" t="e">
        <f>IF(figtwodisp,Z103,NA())</f>
        <v>#N/A</v>
      </c>
      <c r="AB103" s="399">
        <v>1</v>
      </c>
      <c r="AC103" s="399"/>
      <c r="AD103" s="700" t="b">
        <v>0</v>
      </c>
      <c r="AE103" s="19">
        <v>12</v>
      </c>
      <c r="AG103" s="19">
        <f t="shared" si="55"/>
        <v>11</v>
      </c>
      <c r="AH103" s="19">
        <f t="shared" si="56"/>
        <v>1</v>
      </c>
      <c r="AI103" s="19">
        <f t="shared" si="57"/>
        <v>0.80500000000000005</v>
      </c>
      <c r="AJ103" s="410">
        <f t="shared" si="58"/>
        <v>984.92</v>
      </c>
      <c r="AK103" s="19" t="e">
        <f t="shared" si="59"/>
        <v>#N/A</v>
      </c>
      <c r="AL103" s="19">
        <f t="shared" si="60"/>
        <v>784.92</v>
      </c>
      <c r="AM103" s="19" t="e">
        <f t="shared" si="61"/>
        <v>#N/A</v>
      </c>
      <c r="AN103" s="19">
        <f t="shared" si="62"/>
        <v>584.91999999999996</v>
      </c>
      <c r="AO103" s="19" t="e">
        <f t="shared" si="63"/>
        <v>#N/A</v>
      </c>
      <c r="AP103" s="19">
        <f t="shared" si="64"/>
        <v>384.92</v>
      </c>
      <c r="AQ103" s="19" t="e">
        <f t="shared" si="65"/>
        <v>#N/A</v>
      </c>
      <c r="AR103" s="19">
        <f t="shared" si="66"/>
        <v>184.92000000000002</v>
      </c>
      <c r="AS103" s="19" t="e">
        <f t="shared" si="67"/>
        <v>#N/A</v>
      </c>
      <c r="AY103" s="401">
        <v>-78</v>
      </c>
      <c r="AZ103" s="19">
        <f t="shared" si="68"/>
        <v>-27.867004573384591</v>
      </c>
      <c r="BA103" s="19">
        <f t="shared" si="69"/>
        <v>4.5</v>
      </c>
      <c r="BO103" s="72">
        <f t="shared" si="53"/>
        <v>0.63278903067111969</v>
      </c>
      <c r="BP103" s="399" t="str">
        <f t="shared" si="47"/>
        <v/>
      </c>
      <c r="BQ103" s="19">
        <f t="shared" si="48"/>
        <v>-999</v>
      </c>
      <c r="BR103" s="19">
        <f t="shared" si="49"/>
        <v>-999</v>
      </c>
      <c r="BS103" s="401">
        <v>54</v>
      </c>
      <c r="BT103" s="72">
        <f t="shared" si="54"/>
        <v>7.9978883266448975E-2</v>
      </c>
      <c r="BU103" s="399" t="str">
        <f t="shared" si="50"/>
        <v/>
      </c>
      <c r="BV103" s="19">
        <f t="shared" si="51"/>
        <v>-999</v>
      </c>
      <c r="BW103" s="19">
        <f t="shared" si="52"/>
        <v>-999</v>
      </c>
      <c r="BY103" s="19">
        <f t="shared" si="45"/>
        <v>30.5</v>
      </c>
      <c r="BZ103" s="19">
        <f t="shared" si="34"/>
        <v>0.62169074774719313</v>
      </c>
      <c r="CA103" s="19">
        <f t="shared" si="35"/>
        <v>0.31980303126498005</v>
      </c>
    </row>
    <row r="104" spans="14:79" ht="11.25" customHeight="1" x14ac:dyDescent="0.2">
      <c r="N104" s="422"/>
      <c r="O104" s="399">
        <f>O103</f>
        <v>17</v>
      </c>
      <c r="P104" s="423" t="e">
        <f>IF($BP$12,AY89,NA())</f>
        <v>#N/A</v>
      </c>
      <c r="Y104" s="422"/>
      <c r="Z104" s="399">
        <v>3</v>
      </c>
      <c r="AA104" s="399" t="e">
        <f>IF(figthreedisp,Z104,NA())</f>
        <v>#N/A</v>
      </c>
      <c r="AB104" s="399">
        <v>1</v>
      </c>
      <c r="AC104" s="399"/>
      <c r="AD104" s="700" t="b">
        <v>0</v>
      </c>
      <c r="AE104" s="19">
        <v>13</v>
      </c>
      <c r="AG104" s="19">
        <f t="shared" si="55"/>
        <v>1</v>
      </c>
      <c r="AH104" s="19">
        <f t="shared" si="56"/>
        <v>-1</v>
      </c>
      <c r="AI104" s="19">
        <f t="shared" si="57"/>
        <v>2.415</v>
      </c>
      <c r="AJ104" s="410">
        <f t="shared" si="58"/>
        <v>892.28</v>
      </c>
      <c r="AK104" s="19" t="e">
        <f t="shared" si="59"/>
        <v>#N/A</v>
      </c>
      <c r="AL104" s="19">
        <f t="shared" si="60"/>
        <v>692.28</v>
      </c>
      <c r="AM104" s="19" t="e">
        <f t="shared" si="61"/>
        <v>#N/A</v>
      </c>
      <c r="AN104" s="19">
        <f t="shared" si="62"/>
        <v>492.28</v>
      </c>
      <c r="AO104" s="19" t="e">
        <f t="shared" si="63"/>
        <v>#N/A</v>
      </c>
      <c r="AP104" s="19">
        <f t="shared" si="64"/>
        <v>292.27999999999997</v>
      </c>
      <c r="AQ104" s="19" t="e">
        <f t="shared" si="65"/>
        <v>#N/A</v>
      </c>
      <c r="AR104" s="19">
        <f t="shared" si="66"/>
        <v>92.28</v>
      </c>
      <c r="AS104" s="19" t="e">
        <f t="shared" si="67"/>
        <v>#N/A</v>
      </c>
      <c r="AY104" s="401">
        <v>-76</v>
      </c>
      <c r="AZ104" s="19">
        <f t="shared" si="68"/>
        <v>-25.867004573384591</v>
      </c>
      <c r="BA104" s="19">
        <f t="shared" si="69"/>
        <v>4.5</v>
      </c>
      <c r="BO104" s="72">
        <f t="shared" si="53"/>
        <v>0.53296859562397003</v>
      </c>
      <c r="BP104" s="399" t="str">
        <f t="shared" si="47"/>
        <v/>
      </c>
      <c r="BQ104" s="19">
        <f t="shared" si="48"/>
        <v>-999</v>
      </c>
      <c r="BR104" s="19">
        <f t="shared" si="49"/>
        <v>-999</v>
      </c>
      <c r="BS104" s="401">
        <v>55</v>
      </c>
      <c r="BT104" s="72">
        <f t="shared" si="54"/>
        <v>0.87238997220993042</v>
      </c>
      <c r="BU104" s="399" t="str">
        <f t="shared" si="50"/>
        <v/>
      </c>
      <c r="BV104" s="19">
        <f t="shared" si="51"/>
        <v>-999</v>
      </c>
      <c r="BW104" s="19">
        <f t="shared" si="52"/>
        <v>-999</v>
      </c>
      <c r="BY104" s="19">
        <f t="shared" si="45"/>
        <v>31</v>
      </c>
      <c r="BZ104" s="19">
        <f t="shared" si="34"/>
        <v>0.63683161437174307</v>
      </c>
      <c r="CA104" s="19">
        <f t="shared" si="35"/>
        <v>0.33200259295192075</v>
      </c>
    </row>
    <row r="105" spans="14:79" ht="11.25" customHeight="1" x14ac:dyDescent="0.2">
      <c r="N105" s="422"/>
      <c r="O105" s="399">
        <f>AQ87+$P$82</f>
        <v>183</v>
      </c>
      <c r="P105" s="423" t="e">
        <f>P104</f>
        <v>#N/A</v>
      </c>
      <c r="Y105" s="422"/>
      <c r="Z105" s="399">
        <v>4</v>
      </c>
      <c r="AA105" s="399" t="e">
        <f>IF(figfourdisp,Z105,NA())</f>
        <v>#N/A</v>
      </c>
      <c r="AB105" s="399">
        <v>1</v>
      </c>
      <c r="AC105" s="399"/>
      <c r="AD105" s="700" t="b">
        <v>0</v>
      </c>
      <c r="AE105" s="19">
        <v>14</v>
      </c>
      <c r="AG105" s="19">
        <f t="shared" si="55"/>
        <v>1</v>
      </c>
      <c r="AH105" s="19">
        <f t="shared" si="56"/>
        <v>1</v>
      </c>
      <c r="AI105" s="19">
        <f t="shared" si="57"/>
        <v>2.415</v>
      </c>
      <c r="AJ105" s="410">
        <f t="shared" si="58"/>
        <v>907.72</v>
      </c>
      <c r="AK105" s="19" t="e">
        <f t="shared" si="59"/>
        <v>#N/A</v>
      </c>
      <c r="AL105" s="19">
        <f t="shared" si="60"/>
        <v>707.72</v>
      </c>
      <c r="AM105" s="19" t="e">
        <f t="shared" si="61"/>
        <v>#N/A</v>
      </c>
      <c r="AN105" s="19">
        <f t="shared" si="62"/>
        <v>507.72</v>
      </c>
      <c r="AO105" s="19" t="e">
        <f t="shared" si="63"/>
        <v>#N/A</v>
      </c>
      <c r="AP105" s="19">
        <f t="shared" si="64"/>
        <v>307.72000000000003</v>
      </c>
      <c r="AQ105" s="19" t="e">
        <f t="shared" si="65"/>
        <v>#N/A</v>
      </c>
      <c r="AR105" s="19">
        <f t="shared" si="66"/>
        <v>107.72</v>
      </c>
      <c r="AS105" s="19" t="e">
        <f t="shared" si="67"/>
        <v>#N/A</v>
      </c>
      <c r="AY105" s="401">
        <v>-74</v>
      </c>
      <c r="AZ105" s="19">
        <f t="shared" si="68"/>
        <v>-23.867004573384591</v>
      </c>
      <c r="BA105" s="19">
        <f t="shared" si="69"/>
        <v>4.5</v>
      </c>
      <c r="BO105" s="72">
        <f t="shared" si="53"/>
        <v>0.88483144342899323</v>
      </c>
      <c r="BP105" s="399" t="str">
        <f t="shared" si="47"/>
        <v/>
      </c>
      <c r="BQ105" s="19">
        <f t="shared" si="48"/>
        <v>-999</v>
      </c>
      <c r="BR105" s="19">
        <f t="shared" si="49"/>
        <v>-999</v>
      </c>
      <c r="BS105" s="401">
        <v>56</v>
      </c>
      <c r="BT105" s="72">
        <f t="shared" si="54"/>
        <v>6.3168942928314209E-2</v>
      </c>
      <c r="BU105" s="399" t="str">
        <f t="shared" si="50"/>
        <v/>
      </c>
      <c r="BV105" s="19">
        <f t="shared" si="51"/>
        <v>-999</v>
      </c>
      <c r="BW105" s="19">
        <f t="shared" si="52"/>
        <v>-999</v>
      </c>
      <c r="BY105" s="19">
        <f t="shared" si="45"/>
        <v>31.5</v>
      </c>
      <c r="BZ105" s="19">
        <f t="shared" si="34"/>
        <v>0.65193364089734529</v>
      </c>
      <c r="CA105" s="19">
        <f t="shared" si="35"/>
        <v>0.34445218276690887</v>
      </c>
    </row>
    <row r="106" spans="14:79" ht="11.25" customHeight="1" x14ac:dyDescent="0.2">
      <c r="N106" s="431"/>
      <c r="O106" s="400">
        <f>O105</f>
        <v>183</v>
      </c>
      <c r="P106" s="432" t="e">
        <f>P103</f>
        <v>#N/A</v>
      </c>
      <c r="Y106" s="422"/>
      <c r="Z106" s="399">
        <v>5</v>
      </c>
      <c r="AA106" s="399" t="e">
        <f>IF(figfivedisp,Z106,NA())</f>
        <v>#N/A</v>
      </c>
      <c r="AB106" s="399">
        <v>1</v>
      </c>
      <c r="AC106" s="399"/>
      <c r="AD106" s="700" t="b">
        <v>0</v>
      </c>
      <c r="AE106" s="19">
        <v>15</v>
      </c>
      <c r="AG106" s="19">
        <f t="shared" si="55"/>
        <v>3</v>
      </c>
      <c r="AH106" s="19">
        <f t="shared" si="56"/>
        <v>-1</v>
      </c>
      <c r="AI106" s="19">
        <f t="shared" si="57"/>
        <v>2.415</v>
      </c>
      <c r="AJ106" s="410">
        <f t="shared" si="58"/>
        <v>876.84</v>
      </c>
      <c r="AK106" s="19" t="e">
        <f t="shared" si="59"/>
        <v>#N/A</v>
      </c>
      <c r="AL106" s="19">
        <f t="shared" si="60"/>
        <v>676.84</v>
      </c>
      <c r="AM106" s="19" t="e">
        <f t="shared" si="61"/>
        <v>#N/A</v>
      </c>
      <c r="AN106" s="19">
        <f t="shared" si="62"/>
        <v>476.84</v>
      </c>
      <c r="AO106" s="19" t="e">
        <f t="shared" si="63"/>
        <v>#N/A</v>
      </c>
      <c r="AP106" s="19">
        <f t="shared" si="64"/>
        <v>276.83999999999997</v>
      </c>
      <c r="AQ106" s="19" t="e">
        <f t="shared" si="65"/>
        <v>#N/A</v>
      </c>
      <c r="AR106" s="19">
        <f t="shared" si="66"/>
        <v>76.84</v>
      </c>
      <c r="AS106" s="19" t="e">
        <f t="shared" si="67"/>
        <v>#N/A</v>
      </c>
      <c r="AY106" s="401">
        <v>-72</v>
      </c>
      <c r="AZ106" s="19">
        <f t="shared" si="68"/>
        <v>-21.867004573384591</v>
      </c>
      <c r="BA106" s="19">
        <f t="shared" si="69"/>
        <v>4.5</v>
      </c>
      <c r="BO106" s="72">
        <f t="shared" si="53"/>
        <v>0.93709869682788849</v>
      </c>
      <c r="BP106" s="399" t="str">
        <f t="shared" si="47"/>
        <v/>
      </c>
      <c r="BQ106" s="19">
        <f t="shared" si="48"/>
        <v>-999</v>
      </c>
      <c r="BR106" s="19">
        <f t="shared" si="49"/>
        <v>-999</v>
      </c>
      <c r="BS106" s="401">
        <v>57</v>
      </c>
      <c r="BT106" s="72">
        <f t="shared" si="54"/>
        <v>0.25047940015792847</v>
      </c>
      <c r="BU106" s="399" t="str">
        <f t="shared" si="50"/>
        <v/>
      </c>
      <c r="BV106" s="19">
        <f t="shared" si="51"/>
        <v>-999</v>
      </c>
      <c r="BW106" s="19">
        <f t="shared" si="52"/>
        <v>-999</v>
      </c>
      <c r="BY106" s="19">
        <f t="shared" si="45"/>
        <v>32</v>
      </c>
      <c r="BZ106" s="19">
        <f t="shared" ref="BZ106:BZ169" si="70">IF($BT$1,NORMDIST(BY106,$AB$3,$AB$7,FALSE)/$BP$2,NA())</f>
        <v>0.66697681085847427</v>
      </c>
      <c r="CA106" s="19">
        <f t="shared" ref="CA106:CA169" si="71">IF($BT$1,NORMDIST(BY106,$AB$5,$AB$7,FALSE)/$BP$2,NA())</f>
        <v>0.35714532757324352</v>
      </c>
    </row>
    <row r="107" spans="14:79" ht="11.25" customHeight="1" x14ac:dyDescent="0.2">
      <c r="O107" s="157" t="s">
        <v>986</v>
      </c>
      <c r="P107" s="19">
        <v>2.5</v>
      </c>
      <c r="Y107" s="431"/>
      <c r="Z107" s="701"/>
      <c r="AA107" s="435" t="s">
        <v>987</v>
      </c>
      <c r="AB107" s="702">
        <v>30</v>
      </c>
      <c r="AC107" s="400"/>
      <c r="AD107" s="432"/>
      <c r="AE107" s="19">
        <v>16</v>
      </c>
      <c r="AG107" s="19">
        <f t="shared" si="55"/>
        <v>3</v>
      </c>
      <c r="AH107" s="19">
        <f t="shared" si="56"/>
        <v>1</v>
      </c>
      <c r="AI107" s="19">
        <f t="shared" si="57"/>
        <v>2.415</v>
      </c>
      <c r="AJ107" s="410">
        <f t="shared" si="58"/>
        <v>923.16</v>
      </c>
      <c r="AK107" s="19" t="e">
        <f t="shared" si="59"/>
        <v>#N/A</v>
      </c>
      <c r="AL107" s="19">
        <f t="shared" si="60"/>
        <v>723.16</v>
      </c>
      <c r="AM107" s="19" t="e">
        <f t="shared" si="61"/>
        <v>#N/A</v>
      </c>
      <c r="AN107" s="19">
        <f t="shared" si="62"/>
        <v>523.16</v>
      </c>
      <c r="AO107" s="19" t="e">
        <f t="shared" si="63"/>
        <v>#N/A</v>
      </c>
      <c r="AP107" s="19">
        <f t="shared" si="64"/>
        <v>323.16000000000003</v>
      </c>
      <c r="AQ107" s="19" t="e">
        <f t="shared" si="65"/>
        <v>#N/A</v>
      </c>
      <c r="AR107" s="19">
        <f t="shared" si="66"/>
        <v>123.16</v>
      </c>
      <c r="AS107" s="19" t="e">
        <f t="shared" si="67"/>
        <v>#N/A</v>
      </c>
      <c r="AY107" s="401">
        <v>-70</v>
      </c>
      <c r="AZ107" s="19">
        <f t="shared" si="68"/>
        <v>-19.867004573384591</v>
      </c>
      <c r="BA107" s="19">
        <f t="shared" si="69"/>
        <v>4.5</v>
      </c>
      <c r="BO107" s="72">
        <f t="shared" si="53"/>
        <v>0.15056194365024567</v>
      </c>
      <c r="BP107" s="399" t="str">
        <f t="shared" si="47"/>
        <v/>
      </c>
      <c r="BQ107" s="19">
        <f t="shared" si="48"/>
        <v>-999</v>
      </c>
      <c r="BR107" s="19">
        <f t="shared" si="49"/>
        <v>-999</v>
      </c>
      <c r="BS107" s="401">
        <v>58</v>
      </c>
      <c r="BT107" s="72">
        <f t="shared" si="54"/>
        <v>0.25781148672103882</v>
      </c>
      <c r="BU107" s="399" t="str">
        <f t="shared" si="50"/>
        <v/>
      </c>
      <c r="BV107" s="19">
        <f t="shared" si="51"/>
        <v>-999</v>
      </c>
      <c r="BW107" s="19">
        <f t="shared" si="52"/>
        <v>-999</v>
      </c>
      <c r="BY107" s="19">
        <f t="shared" ref="BY107:BY138" si="72">BY106+$BP$1</f>
        <v>32.5</v>
      </c>
      <c r="BZ107" s="19">
        <f t="shared" si="70"/>
        <v>0.68194075119034814</v>
      </c>
      <c r="CA107" s="19">
        <f t="shared" si="71"/>
        <v>0.37007484870692453</v>
      </c>
    </row>
    <row r="108" spans="14:79" ht="11.25" customHeight="1" x14ac:dyDescent="0.2">
      <c r="O108" s="157" t="s">
        <v>988</v>
      </c>
      <c r="P108" s="19">
        <f>(P82-P107)/100</f>
        <v>0.80500000000000005</v>
      </c>
      <c r="Y108" s="407" t="s">
        <v>989</v>
      </c>
      <c r="Z108" s="398"/>
      <c r="AA108" s="398"/>
      <c r="AB108" s="398"/>
      <c r="AC108" s="398"/>
      <c r="AD108" s="413"/>
      <c r="AE108" s="19">
        <v>17</v>
      </c>
      <c r="AG108" s="19">
        <f t="shared" si="55"/>
        <v>5</v>
      </c>
      <c r="AH108" s="19">
        <f t="shared" si="56"/>
        <v>-1</v>
      </c>
      <c r="AI108" s="19">
        <f t="shared" si="57"/>
        <v>2.415</v>
      </c>
      <c r="AJ108" s="410">
        <f t="shared" si="58"/>
        <v>861.4</v>
      </c>
      <c r="AK108" s="19" t="e">
        <f t="shared" si="59"/>
        <v>#N/A</v>
      </c>
      <c r="AL108" s="19">
        <f t="shared" si="60"/>
        <v>661.4</v>
      </c>
      <c r="AM108" s="19" t="e">
        <f t="shared" si="61"/>
        <v>#N/A</v>
      </c>
      <c r="AN108" s="19">
        <f t="shared" si="62"/>
        <v>461.4</v>
      </c>
      <c r="AO108" s="19" t="e">
        <f t="shared" si="63"/>
        <v>#N/A</v>
      </c>
      <c r="AP108" s="19">
        <f t="shared" si="64"/>
        <v>261.39999999999998</v>
      </c>
      <c r="AQ108" s="19" t="e">
        <f t="shared" si="65"/>
        <v>#N/A</v>
      </c>
      <c r="AR108" s="19">
        <f t="shared" si="66"/>
        <v>61.4</v>
      </c>
      <c r="AS108" s="19" t="e">
        <f t="shared" si="67"/>
        <v>#N/A</v>
      </c>
      <c r="AY108" s="401">
        <v>-68</v>
      </c>
      <c r="AZ108" s="19">
        <f t="shared" si="68"/>
        <v>-17.867004573384591</v>
      </c>
      <c r="BA108" s="19">
        <f t="shared" si="69"/>
        <v>4.5</v>
      </c>
      <c r="BO108" s="72">
        <f t="shared" si="53"/>
        <v>0.39380772411823273</v>
      </c>
      <c r="BP108" s="399" t="str">
        <f t="shared" si="47"/>
        <v/>
      </c>
      <c r="BQ108" s="19">
        <f t="shared" si="48"/>
        <v>-999</v>
      </c>
      <c r="BR108" s="19">
        <f t="shared" si="49"/>
        <v>-999</v>
      </c>
      <c r="BS108" s="401">
        <v>59</v>
      </c>
      <c r="BT108" s="72">
        <f t="shared" si="54"/>
        <v>0.21875971555709839</v>
      </c>
      <c r="BU108" s="399" t="str">
        <f t="shared" si="50"/>
        <v/>
      </c>
      <c r="BV108" s="19">
        <f t="shared" si="51"/>
        <v>-999</v>
      </c>
      <c r="BW108" s="19">
        <f t="shared" si="52"/>
        <v>-999</v>
      </c>
      <c r="BY108" s="19">
        <f t="shared" si="72"/>
        <v>33</v>
      </c>
      <c r="BZ108" s="19">
        <f t="shared" si="70"/>
        <v>0.6968047754960347</v>
      </c>
      <c r="CA108" s="19">
        <f t="shared" si="71"/>
        <v>0.38323285425002196</v>
      </c>
    </row>
    <row r="109" spans="14:79" ht="11.25" customHeight="1" x14ac:dyDescent="0.2">
      <c r="N109" s="19" t="s">
        <v>791</v>
      </c>
      <c r="O109" s="19">
        <f>AY81-$P$83</f>
        <v>0.28621224254749811</v>
      </c>
      <c r="P109" s="19">
        <f>AY83-$P$83</f>
        <v>0.6035270047205723</v>
      </c>
      <c r="R109" s="19">
        <f>AY85-$P$83</f>
        <v>0.73371058676012146</v>
      </c>
      <c r="Y109" s="422"/>
      <c r="Z109" s="399"/>
      <c r="AA109" s="399" t="e">
        <f>IF(ISNA(AR89),NA(),IF(BP8,Z102,NA()))</f>
        <v>#N/A</v>
      </c>
      <c r="AB109" s="399">
        <v>1</v>
      </c>
      <c r="AC109" s="399"/>
      <c r="AD109" s="423"/>
      <c r="AE109" s="19">
        <v>18</v>
      </c>
      <c r="AG109" s="19">
        <f t="shared" si="55"/>
        <v>5</v>
      </c>
      <c r="AH109" s="19">
        <f t="shared" si="56"/>
        <v>1</v>
      </c>
      <c r="AI109" s="19">
        <f t="shared" si="57"/>
        <v>2.415</v>
      </c>
      <c r="AJ109" s="410">
        <f t="shared" si="58"/>
        <v>938.6</v>
      </c>
      <c r="AK109" s="19" t="e">
        <f t="shared" si="59"/>
        <v>#N/A</v>
      </c>
      <c r="AL109" s="19">
        <f t="shared" si="60"/>
        <v>738.6</v>
      </c>
      <c r="AM109" s="19" t="e">
        <f t="shared" si="61"/>
        <v>#N/A</v>
      </c>
      <c r="AN109" s="19">
        <f t="shared" si="62"/>
        <v>538.6</v>
      </c>
      <c r="AO109" s="19" t="e">
        <f t="shared" si="63"/>
        <v>#N/A</v>
      </c>
      <c r="AP109" s="19">
        <f t="shared" si="64"/>
        <v>338.6</v>
      </c>
      <c r="AQ109" s="19" t="e">
        <f t="shared" si="65"/>
        <v>#N/A</v>
      </c>
      <c r="AR109" s="19">
        <f t="shared" si="66"/>
        <v>138.6</v>
      </c>
      <c r="AS109" s="19" t="e">
        <f t="shared" si="67"/>
        <v>#N/A</v>
      </c>
      <c r="AY109" s="401">
        <v>-66</v>
      </c>
      <c r="AZ109" s="19">
        <f t="shared" si="68"/>
        <v>-15.867004573384591</v>
      </c>
      <c r="BA109" s="19">
        <f t="shared" si="69"/>
        <v>4.5</v>
      </c>
      <c r="BO109" s="72">
        <f t="shared" si="53"/>
        <v>0.36068274080753326</v>
      </c>
      <c r="BP109" s="399" t="str">
        <f t="shared" si="47"/>
        <v/>
      </c>
      <c r="BQ109" s="19">
        <f t="shared" si="48"/>
        <v>-999</v>
      </c>
      <c r="BR109" s="19">
        <f t="shared" si="49"/>
        <v>-999</v>
      </c>
      <c r="BS109" s="401">
        <v>60</v>
      </c>
      <c r="BT109" s="72">
        <f t="shared" si="54"/>
        <v>0.9994472861289978</v>
      </c>
      <c r="BU109" s="399" t="str">
        <f t="shared" si="50"/>
        <v/>
      </c>
      <c r="BV109" s="19">
        <f t="shared" si="51"/>
        <v>-999</v>
      </c>
      <c r="BW109" s="19">
        <f t="shared" si="52"/>
        <v>-999</v>
      </c>
      <c r="BY109" s="19">
        <f t="shared" si="72"/>
        <v>33.5</v>
      </c>
      <c r="BZ109" s="19">
        <f t="shared" si="70"/>
        <v>0.71154792928753674</v>
      </c>
      <c r="CA109" s="19">
        <f t="shared" si="71"/>
        <v>0.39661073328996488</v>
      </c>
    </row>
    <row r="110" spans="14:79" ht="11.25" customHeight="1" x14ac:dyDescent="0.2">
      <c r="O110" s="296" t="s">
        <v>990</v>
      </c>
      <c r="P110" s="296" t="s">
        <v>991</v>
      </c>
      <c r="Q110" s="296"/>
      <c r="R110" s="296" t="s">
        <v>992</v>
      </c>
      <c r="Y110" s="422"/>
      <c r="Z110" s="399"/>
      <c r="AA110" s="399" t="e">
        <f>IF(ISNA(AP89),NA(),IF(BP8,Z103,NA()))</f>
        <v>#N/A</v>
      </c>
      <c r="AB110" s="399">
        <v>1</v>
      </c>
      <c r="AC110" s="399"/>
      <c r="AD110" s="423"/>
      <c r="AE110" s="19">
        <v>19</v>
      </c>
      <c r="AG110" s="19">
        <f t="shared" si="55"/>
        <v>7</v>
      </c>
      <c r="AH110" s="19">
        <f t="shared" si="56"/>
        <v>-1</v>
      </c>
      <c r="AI110" s="19">
        <f t="shared" si="57"/>
        <v>2.415</v>
      </c>
      <c r="AJ110" s="410">
        <f t="shared" si="58"/>
        <v>845.96</v>
      </c>
      <c r="AK110" s="19" t="e">
        <f t="shared" si="59"/>
        <v>#N/A</v>
      </c>
      <c r="AL110" s="19">
        <f t="shared" si="60"/>
        <v>645.96</v>
      </c>
      <c r="AM110" s="19" t="e">
        <f t="shared" si="61"/>
        <v>#N/A</v>
      </c>
      <c r="AN110" s="19">
        <f t="shared" si="62"/>
        <v>445.96</v>
      </c>
      <c r="AO110" s="19" t="e">
        <f t="shared" si="63"/>
        <v>#N/A</v>
      </c>
      <c r="AP110" s="19">
        <f t="shared" si="64"/>
        <v>245.96</v>
      </c>
      <c r="AQ110" s="19" t="e">
        <f t="shared" si="65"/>
        <v>#N/A</v>
      </c>
      <c r="AR110" s="19">
        <f t="shared" si="66"/>
        <v>45.96</v>
      </c>
      <c r="AS110" s="19" t="e">
        <f t="shared" si="67"/>
        <v>#N/A</v>
      </c>
      <c r="AY110" s="401">
        <v>-64</v>
      </c>
      <c r="AZ110" s="19">
        <f t="shared" si="68"/>
        <v>-13.867004573384591</v>
      </c>
      <c r="BA110" s="19">
        <f t="shared" si="69"/>
        <v>4.5</v>
      </c>
      <c r="BO110" s="72">
        <f t="shared" si="53"/>
        <v>9.6950963139533997E-2</v>
      </c>
      <c r="BP110" s="399" t="str">
        <f t="shared" si="47"/>
        <v/>
      </c>
      <c r="BQ110" s="19">
        <f t="shared" si="48"/>
        <v>-999</v>
      </c>
      <c r="BR110" s="19">
        <f t="shared" si="49"/>
        <v>-999</v>
      </c>
      <c r="BS110" s="401">
        <v>61</v>
      </c>
      <c r="BT110" s="72">
        <f t="shared" si="54"/>
        <v>0.85410469770431519</v>
      </c>
      <c r="BU110" s="399" t="str">
        <f t="shared" si="50"/>
        <v/>
      </c>
      <c r="BV110" s="19">
        <f t="shared" si="51"/>
        <v>-999</v>
      </c>
      <c r="BW110" s="19">
        <f t="shared" si="52"/>
        <v>-999</v>
      </c>
      <c r="BY110" s="19">
        <f t="shared" si="72"/>
        <v>34</v>
      </c>
      <c r="BZ110" s="19">
        <f t="shared" si="70"/>
        <v>0.72614903707369083</v>
      </c>
      <c r="CA110" s="19">
        <f t="shared" si="71"/>
        <v>0.41019915225852593</v>
      </c>
    </row>
    <row r="111" spans="14:79" ht="11.25" customHeight="1" x14ac:dyDescent="0.2">
      <c r="N111" s="19">
        <v>1</v>
      </c>
      <c r="O111" s="19">
        <f>O84+$P$107</f>
        <v>819.5</v>
      </c>
      <c r="P111" s="19">
        <f>O88+$P$107</f>
        <v>619.5</v>
      </c>
      <c r="R111" s="19">
        <f>O93+$P$107</f>
        <v>419.5</v>
      </c>
      <c r="Y111" s="422"/>
      <c r="Z111" s="399"/>
      <c r="AA111" s="399" t="e">
        <f>IF(ISNA(AN89),NA(),IF(BP8,Z104,NA()))</f>
        <v>#N/A</v>
      </c>
      <c r="AB111" s="399">
        <v>1</v>
      </c>
      <c r="AC111" s="399"/>
      <c r="AD111" s="423"/>
      <c r="AE111" s="19">
        <v>20</v>
      </c>
      <c r="AG111" s="19">
        <f t="shared" si="55"/>
        <v>7</v>
      </c>
      <c r="AH111" s="19">
        <f t="shared" si="56"/>
        <v>1</v>
      </c>
      <c r="AI111" s="19">
        <f t="shared" si="57"/>
        <v>2.415</v>
      </c>
      <c r="AJ111" s="410">
        <f t="shared" si="58"/>
        <v>954.04</v>
      </c>
      <c r="AK111" s="19" t="e">
        <f t="shared" si="59"/>
        <v>#N/A</v>
      </c>
      <c r="AL111" s="19">
        <f t="shared" si="60"/>
        <v>754.04</v>
      </c>
      <c r="AM111" s="19" t="e">
        <f t="shared" si="61"/>
        <v>#N/A</v>
      </c>
      <c r="AN111" s="19">
        <f t="shared" si="62"/>
        <v>554.04</v>
      </c>
      <c r="AO111" s="19" t="e">
        <f t="shared" si="63"/>
        <v>#N/A</v>
      </c>
      <c r="AP111" s="19">
        <f t="shared" si="64"/>
        <v>354.04</v>
      </c>
      <c r="AQ111" s="19" t="e">
        <f t="shared" si="65"/>
        <v>#N/A</v>
      </c>
      <c r="AR111" s="19">
        <f t="shared" si="66"/>
        <v>154.04</v>
      </c>
      <c r="AS111" s="19" t="e">
        <f t="shared" si="67"/>
        <v>#N/A</v>
      </c>
      <c r="AY111" s="401">
        <v>-62</v>
      </c>
      <c r="AZ111" s="19">
        <f t="shared" si="68"/>
        <v>-11.867004573384591</v>
      </c>
      <c r="BA111" s="19">
        <f t="shared" si="69"/>
        <v>4.5</v>
      </c>
      <c r="BO111" s="72">
        <f t="shared" si="53"/>
        <v>0.89175786077976227</v>
      </c>
      <c r="BP111" s="399" t="str">
        <f t="shared" si="47"/>
        <v/>
      </c>
      <c r="BQ111" s="19">
        <f t="shared" si="48"/>
        <v>-999</v>
      </c>
      <c r="BR111" s="19">
        <f t="shared" si="49"/>
        <v>-999</v>
      </c>
      <c r="BS111" s="401">
        <v>62</v>
      </c>
      <c r="BT111" s="72">
        <f t="shared" si="54"/>
        <v>8.0404222011566162E-2</v>
      </c>
      <c r="BU111" s="399" t="str">
        <f t="shared" si="50"/>
        <v/>
      </c>
      <c r="BV111" s="19">
        <f t="shared" si="51"/>
        <v>-999</v>
      </c>
      <c r="BW111" s="19">
        <f t="shared" si="52"/>
        <v>-999</v>
      </c>
      <c r="BY111" s="19">
        <f t="shared" si="72"/>
        <v>34.5</v>
      </c>
      <c r="BZ111" s="19">
        <f t="shared" si="70"/>
        <v>0.74058675115675177</v>
      </c>
      <c r="CA111" s="19">
        <f t="shared" si="71"/>
        <v>0.42398805343838136</v>
      </c>
    </row>
    <row r="112" spans="14:79" ht="11.25" customHeight="1" x14ac:dyDescent="0.2">
      <c r="N112" s="19">
        <v>2</v>
      </c>
      <c r="O112" s="19">
        <f t="shared" ref="O112:O143" si="73">O111+$P$108</f>
        <v>820.30499999999995</v>
      </c>
      <c r="P112" s="19">
        <f t="shared" ref="P112:P143" si="74">P111+$P$108</f>
        <v>620.30499999999995</v>
      </c>
      <c r="R112" s="19">
        <f t="shared" ref="R112:R143" si="75">R111+$P$108</f>
        <v>420.30500000000001</v>
      </c>
      <c r="Y112" s="422"/>
      <c r="Z112" s="399"/>
      <c r="AA112" s="399" t="e">
        <f>IF(ISNA(AL89),NA(),IF(BP8,Z105,NA()))</f>
        <v>#N/A</v>
      </c>
      <c r="AB112" s="399">
        <v>1</v>
      </c>
      <c r="AC112" s="399"/>
      <c r="AD112" s="423"/>
      <c r="AE112" s="19">
        <v>21</v>
      </c>
      <c r="AG112" s="19">
        <f t="shared" si="55"/>
        <v>9</v>
      </c>
      <c r="AH112" s="19">
        <f t="shared" si="56"/>
        <v>-1</v>
      </c>
      <c r="AI112" s="19">
        <f t="shared" si="57"/>
        <v>2.415</v>
      </c>
      <c r="AJ112" s="410">
        <f t="shared" si="58"/>
        <v>830.52</v>
      </c>
      <c r="AK112" s="19" t="e">
        <f t="shared" si="59"/>
        <v>#N/A</v>
      </c>
      <c r="AL112" s="19">
        <f t="shared" si="60"/>
        <v>630.52</v>
      </c>
      <c r="AM112" s="19" t="e">
        <f t="shared" si="61"/>
        <v>#N/A</v>
      </c>
      <c r="AN112" s="19">
        <f t="shared" si="62"/>
        <v>430.52</v>
      </c>
      <c r="AO112" s="19" t="e">
        <f t="shared" si="63"/>
        <v>#N/A</v>
      </c>
      <c r="AP112" s="19">
        <f t="shared" si="64"/>
        <v>230.51999999999998</v>
      </c>
      <c r="AQ112" s="19" t="e">
        <f t="shared" si="65"/>
        <v>#N/A</v>
      </c>
      <c r="AR112" s="19">
        <f t="shared" si="66"/>
        <v>30.519999999999996</v>
      </c>
      <c r="AS112" s="19" t="e">
        <f t="shared" si="67"/>
        <v>#N/A</v>
      </c>
      <c r="AY112" s="401">
        <v>-60</v>
      </c>
      <c r="AZ112" s="19">
        <f t="shared" si="68"/>
        <v>-9.867004573384591</v>
      </c>
      <c r="BA112" s="19">
        <f t="shared" si="69"/>
        <v>4.5</v>
      </c>
      <c r="BO112" s="72">
        <f t="shared" si="53"/>
        <v>0.20064981281757355</v>
      </c>
      <c r="BP112" s="399" t="str">
        <f t="shared" si="47"/>
        <v/>
      </c>
      <c r="BQ112" s="19">
        <f t="shared" si="48"/>
        <v>-999</v>
      </c>
      <c r="BR112" s="19">
        <f t="shared" si="49"/>
        <v>-999</v>
      </c>
      <c r="BS112" s="401">
        <v>63</v>
      </c>
      <c r="BT112" s="72">
        <f t="shared" si="54"/>
        <v>0.26537054777145386</v>
      </c>
      <c r="BU112" s="399" t="str">
        <f t="shared" si="50"/>
        <v/>
      </c>
      <c r="BV112" s="19">
        <f t="shared" si="51"/>
        <v>-999</v>
      </c>
      <c r="BW112" s="19">
        <f t="shared" si="52"/>
        <v>-999</v>
      </c>
      <c r="BY112" s="19">
        <f t="shared" si="72"/>
        <v>35</v>
      </c>
      <c r="BZ112" s="19">
        <f t="shared" si="70"/>
        <v>0.75483960198900724</v>
      </c>
      <c r="CA112" s="19">
        <f t="shared" si="71"/>
        <v>0.43796665571858195</v>
      </c>
    </row>
    <row r="113" spans="14:79" ht="11.25" customHeight="1" x14ac:dyDescent="0.2">
      <c r="N113" s="19">
        <v>3</v>
      </c>
      <c r="O113" s="19">
        <f t="shared" si="73"/>
        <v>821.1099999999999</v>
      </c>
      <c r="P113" s="19">
        <f t="shared" si="74"/>
        <v>621.1099999999999</v>
      </c>
      <c r="R113" s="19">
        <f t="shared" si="75"/>
        <v>421.11</v>
      </c>
      <c r="Y113" s="431"/>
      <c r="Z113" s="400"/>
      <c r="AA113" s="400" t="e">
        <f>IF(ISNA(AJ89),NA(),IF(BP8,Z106,NA()))</f>
        <v>#N/A</v>
      </c>
      <c r="AB113" s="400">
        <v>1</v>
      </c>
      <c r="AC113" s="400"/>
      <c r="AD113" s="432"/>
      <c r="AE113" s="19">
        <v>22</v>
      </c>
      <c r="AG113" s="19">
        <f t="shared" si="55"/>
        <v>9</v>
      </c>
      <c r="AH113" s="19">
        <f t="shared" si="56"/>
        <v>1</v>
      </c>
      <c r="AI113" s="19">
        <f t="shared" si="57"/>
        <v>2.415</v>
      </c>
      <c r="AJ113" s="410">
        <f t="shared" si="58"/>
        <v>969.48</v>
      </c>
      <c r="AK113" s="19" t="e">
        <f t="shared" si="59"/>
        <v>#N/A</v>
      </c>
      <c r="AL113" s="19">
        <f t="shared" si="60"/>
        <v>769.48</v>
      </c>
      <c r="AM113" s="19" t="e">
        <f t="shared" si="61"/>
        <v>#N/A</v>
      </c>
      <c r="AN113" s="19">
        <f t="shared" si="62"/>
        <v>569.48</v>
      </c>
      <c r="AO113" s="19" t="e">
        <f t="shared" si="63"/>
        <v>#N/A</v>
      </c>
      <c r="AP113" s="19">
        <f t="shared" si="64"/>
        <v>369.48</v>
      </c>
      <c r="AQ113" s="19" t="e">
        <f t="shared" si="65"/>
        <v>#N/A</v>
      </c>
      <c r="AR113" s="19">
        <f t="shared" si="66"/>
        <v>169.48000000000002</v>
      </c>
      <c r="AS113" s="19" t="e">
        <f t="shared" si="67"/>
        <v>#N/A</v>
      </c>
      <c r="AY113" s="401">
        <v>-58</v>
      </c>
      <c r="AZ113" s="19">
        <f t="shared" si="68"/>
        <v>-7.867004573384591</v>
      </c>
      <c r="BA113" s="19">
        <f t="shared" si="69"/>
        <v>4.5</v>
      </c>
      <c r="BO113" s="72">
        <f t="shared" si="53"/>
        <v>0.73662330210208893</v>
      </c>
      <c r="BP113" s="399" t="str">
        <f t="shared" si="47"/>
        <v/>
      </c>
      <c r="BQ113" s="19">
        <f t="shared" si="48"/>
        <v>-999</v>
      </c>
      <c r="BR113" s="19">
        <f t="shared" si="49"/>
        <v>-999</v>
      </c>
      <c r="BS113" s="401">
        <v>64</v>
      </c>
      <c r="BT113" s="72">
        <f t="shared" si="54"/>
        <v>0.9275316596031189</v>
      </c>
      <c r="BU113" s="399" t="str">
        <f t="shared" si="50"/>
        <v/>
      </c>
      <c r="BV113" s="19">
        <f t="shared" si="51"/>
        <v>-999</v>
      </c>
      <c r="BW113" s="19">
        <f t="shared" si="52"/>
        <v>-999</v>
      </c>
      <c r="BY113" s="19">
        <f t="shared" si="72"/>
        <v>35.5</v>
      </c>
      <c r="BZ113" s="19">
        <f t="shared" si="70"/>
        <v>0.76888604993079179</v>
      </c>
      <c r="CA113" s="19">
        <f t="shared" si="71"/>
        <v>0.45212345767308265</v>
      </c>
    </row>
    <row r="114" spans="14:79" ht="11.25" customHeight="1" x14ac:dyDescent="0.2">
      <c r="N114" s="19">
        <v>4</v>
      </c>
      <c r="O114" s="19">
        <f t="shared" si="73"/>
        <v>821.91499999999985</v>
      </c>
      <c r="P114" s="19">
        <f t="shared" si="74"/>
        <v>621.91499999999985</v>
      </c>
      <c r="R114" s="19">
        <f t="shared" si="75"/>
        <v>421.91500000000002</v>
      </c>
      <c r="Z114" s="19">
        <f>AY87-$P$83</f>
        <v>0.26055788273627811</v>
      </c>
      <c r="AA114" s="19">
        <f>AY89-$P$83</f>
        <v>1.0068256165688636</v>
      </c>
      <c r="AE114" s="19">
        <v>23</v>
      </c>
      <c r="AG114" s="19">
        <f t="shared" si="55"/>
        <v>11</v>
      </c>
      <c r="AH114" s="19">
        <f t="shared" si="56"/>
        <v>-1</v>
      </c>
      <c r="AI114" s="19">
        <f t="shared" si="57"/>
        <v>2.415</v>
      </c>
      <c r="AJ114" s="410">
        <f t="shared" si="58"/>
        <v>815.08</v>
      </c>
      <c r="AK114" s="19" t="e">
        <f t="shared" si="59"/>
        <v>#N/A</v>
      </c>
      <c r="AL114" s="19">
        <f t="shared" si="60"/>
        <v>615.08000000000004</v>
      </c>
      <c r="AM114" s="19" t="e">
        <f t="shared" si="61"/>
        <v>#N/A</v>
      </c>
      <c r="AN114" s="19">
        <f t="shared" si="62"/>
        <v>415.08</v>
      </c>
      <c r="AO114" s="19" t="e">
        <f t="shared" si="63"/>
        <v>#N/A</v>
      </c>
      <c r="AP114" s="19">
        <f t="shared" si="64"/>
        <v>215.07999999999998</v>
      </c>
      <c r="AQ114" s="19" t="e">
        <f t="shared" si="65"/>
        <v>#N/A</v>
      </c>
      <c r="AR114" s="19">
        <f t="shared" si="66"/>
        <v>15.079999999999998</v>
      </c>
      <c r="AS114" s="19" t="e">
        <f t="shared" si="67"/>
        <v>#N/A</v>
      </c>
      <c r="AY114" s="401">
        <v>-56</v>
      </c>
      <c r="AZ114" s="19">
        <f t="shared" si="68"/>
        <v>-5.867004573384591</v>
      </c>
      <c r="BA114" s="19">
        <f t="shared" si="69"/>
        <v>4.5</v>
      </c>
      <c r="BO114" s="72">
        <f t="shared" si="53"/>
        <v>0.59712381660938263</v>
      </c>
      <c r="BP114" s="399" t="str">
        <f t="shared" ref="BP114:BP145" si="76">IF(AND($BR$7,$BS114&lt;=$U$10),$J$6+$J$5*NORMSINV(BO114),"")</f>
        <v/>
      </c>
      <c r="BQ114" s="19">
        <f t="shared" ref="BQ114:BQ145" si="77">IF(AND($BR$2,BP114&lt;&gt;"",$G$4&lt;&gt;""),BP114,-999)</f>
        <v>-999</v>
      </c>
      <c r="BR114" s="19">
        <f t="shared" ref="BR114:BR145" si="78">IF(BQ114=-999,-999,2)</f>
        <v>-999</v>
      </c>
      <c r="BS114" s="401">
        <v>65</v>
      </c>
      <c r="BT114" s="72">
        <f t="shared" si="54"/>
        <v>0.6539427638053894</v>
      </c>
      <c r="BU114" s="399" t="str">
        <f t="shared" ref="BU114:BU145" si="79">IF(AND($BR$7,$BS114&lt;=$U$10),$J$4+$J$5*NORMSINV(BT114),"")</f>
        <v/>
      </c>
      <c r="BV114" s="19">
        <f t="shared" ref="BV114:BV145" si="80">IF(AND($BR$2,BU114&lt;&gt;"",$G$4&lt;&gt;""),BU114,-999)</f>
        <v>-999</v>
      </c>
      <c r="BW114" s="19">
        <f t="shared" ref="BW114:BW145" si="81">IF(BV114=-999,-999,0)</f>
        <v>-999</v>
      </c>
      <c r="BY114" s="19">
        <f t="shared" si="72"/>
        <v>36</v>
      </c>
      <c r="BZ114" s="19">
        <f t="shared" si="70"/>
        <v>0.78270453824186814</v>
      </c>
      <c r="CA114" s="19">
        <f t="shared" si="71"/>
        <v>0.46644624302866666</v>
      </c>
    </row>
    <row r="115" spans="14:79" ht="11.25" customHeight="1" x14ac:dyDescent="0.2">
      <c r="N115" s="19">
        <v>5</v>
      </c>
      <c r="O115" s="19">
        <f t="shared" si="73"/>
        <v>822.7199999999998</v>
      </c>
      <c r="P115" s="19">
        <f t="shared" si="74"/>
        <v>622.7199999999998</v>
      </c>
      <c r="R115" s="19">
        <f t="shared" si="75"/>
        <v>422.72</v>
      </c>
      <c r="Z115" s="296" t="s">
        <v>993</v>
      </c>
      <c r="AA115" s="296" t="s">
        <v>994</v>
      </c>
      <c r="AB115" s="296" t="s">
        <v>632</v>
      </c>
      <c r="AE115" s="19">
        <v>24</v>
      </c>
      <c r="AG115" s="19">
        <f t="shared" si="55"/>
        <v>11</v>
      </c>
      <c r="AH115" s="19">
        <f t="shared" si="56"/>
        <v>1</v>
      </c>
      <c r="AI115" s="19">
        <f t="shared" si="57"/>
        <v>2.415</v>
      </c>
      <c r="AJ115" s="410">
        <f t="shared" si="58"/>
        <v>984.92</v>
      </c>
      <c r="AK115" s="19" t="e">
        <f t="shared" si="59"/>
        <v>#N/A</v>
      </c>
      <c r="AL115" s="19">
        <f t="shared" si="60"/>
        <v>784.92</v>
      </c>
      <c r="AM115" s="19" t="e">
        <f t="shared" si="61"/>
        <v>#N/A</v>
      </c>
      <c r="AN115" s="19">
        <f t="shared" si="62"/>
        <v>584.91999999999996</v>
      </c>
      <c r="AO115" s="19" t="e">
        <f t="shared" si="63"/>
        <v>#N/A</v>
      </c>
      <c r="AP115" s="19">
        <f t="shared" si="64"/>
        <v>384.92</v>
      </c>
      <c r="AQ115" s="19" t="e">
        <f t="shared" si="65"/>
        <v>#N/A</v>
      </c>
      <c r="AR115" s="19">
        <f t="shared" si="66"/>
        <v>184.92000000000002</v>
      </c>
      <c r="AS115" s="19" t="e">
        <f t="shared" si="67"/>
        <v>#N/A</v>
      </c>
      <c r="AY115" s="401">
        <v>-54</v>
      </c>
      <c r="AZ115" s="19">
        <f t="shared" si="68"/>
        <v>-3.867004573384591</v>
      </c>
      <c r="BA115" s="19">
        <f t="shared" si="69"/>
        <v>4.5</v>
      </c>
      <c r="BO115" s="72">
        <f t="shared" ref="BO115:BO146" si="82">MOD(BO114*10000013,1)</f>
        <v>0.92870344221591949</v>
      </c>
      <c r="BP115" s="399" t="str">
        <f t="shared" si="76"/>
        <v/>
      </c>
      <c r="BQ115" s="19">
        <f t="shared" si="77"/>
        <v>-999</v>
      </c>
      <c r="BR115" s="19">
        <f t="shared" si="78"/>
        <v>-999</v>
      </c>
      <c r="BS115" s="401">
        <v>66</v>
      </c>
      <c r="BT115" s="72">
        <f t="shared" ref="BT115:BT146" si="83">MOD(BT114*10000013,1)</f>
        <v>0.13930982351303101</v>
      </c>
      <c r="BU115" s="399" t="str">
        <f t="shared" si="79"/>
        <v/>
      </c>
      <c r="BV115" s="19">
        <f t="shared" si="80"/>
        <v>-999</v>
      </c>
      <c r="BW115" s="19">
        <f t="shared" si="81"/>
        <v>-999</v>
      </c>
      <c r="BY115" s="19">
        <f t="shared" si="72"/>
        <v>36.5</v>
      </c>
      <c r="BZ115" s="19">
        <f t="shared" si="70"/>
        <v>0.79627354712941933</v>
      </c>
      <c r="CA115" s="19">
        <f t="shared" si="71"/>
        <v>0.48092208858018626</v>
      </c>
    </row>
    <row r="116" spans="14:79" ht="11.25" customHeight="1" x14ac:dyDescent="0.2">
      <c r="N116" s="19">
        <v>6</v>
      </c>
      <c r="O116" s="19">
        <f t="shared" si="73"/>
        <v>823.52499999999975</v>
      </c>
      <c r="P116" s="19">
        <f t="shared" si="74"/>
        <v>623.52499999999975</v>
      </c>
      <c r="R116" s="19">
        <f t="shared" si="75"/>
        <v>423.52500000000003</v>
      </c>
      <c r="Z116" s="19">
        <f>O98+$P$107</f>
        <v>219.5</v>
      </c>
      <c r="AA116" s="19">
        <f>O103+$P$107</f>
        <v>19.5</v>
      </c>
      <c r="AB116" s="19" t="e">
        <f>IF($BP$12,P83,NA())</f>
        <v>#N/A</v>
      </c>
      <c r="AE116" s="19">
        <v>25</v>
      </c>
      <c r="AG116" s="19">
        <f t="shared" si="55"/>
        <v>1</v>
      </c>
      <c r="AH116" s="19">
        <f t="shared" si="56"/>
        <v>-1</v>
      </c>
      <c r="AI116" s="19">
        <f t="shared" si="57"/>
        <v>4.0250000000000004</v>
      </c>
      <c r="AJ116" s="410">
        <f t="shared" si="58"/>
        <v>892.28</v>
      </c>
      <c r="AK116" s="19" t="e">
        <f t="shared" si="59"/>
        <v>#N/A</v>
      </c>
      <c r="AL116" s="19">
        <f t="shared" si="60"/>
        <v>692.28</v>
      </c>
      <c r="AM116" s="19" t="e">
        <f t="shared" si="61"/>
        <v>#N/A</v>
      </c>
      <c r="AN116" s="19">
        <f t="shared" si="62"/>
        <v>492.28</v>
      </c>
      <c r="AO116" s="19" t="e">
        <f t="shared" si="63"/>
        <v>#N/A</v>
      </c>
      <c r="AP116" s="19">
        <f t="shared" si="64"/>
        <v>292.27999999999997</v>
      </c>
      <c r="AQ116" s="19" t="e">
        <f t="shared" si="65"/>
        <v>#N/A</v>
      </c>
      <c r="AR116" s="19">
        <f t="shared" si="66"/>
        <v>92.28</v>
      </c>
      <c r="AS116" s="19" t="e">
        <f t="shared" si="67"/>
        <v>#N/A</v>
      </c>
      <c r="AY116" s="401">
        <v>-52</v>
      </c>
      <c r="AZ116" s="19">
        <f t="shared" si="68"/>
        <v>-1.867004573384591</v>
      </c>
      <c r="BA116" s="19">
        <f t="shared" si="69"/>
        <v>4.5</v>
      </c>
      <c r="BO116" s="72">
        <f t="shared" si="82"/>
        <v>0.49530394375324249</v>
      </c>
      <c r="BP116" s="399" t="str">
        <f t="shared" si="76"/>
        <v/>
      </c>
      <c r="BQ116" s="19">
        <f t="shared" si="77"/>
        <v>-999</v>
      </c>
      <c r="BR116" s="19">
        <f t="shared" si="78"/>
        <v>-999</v>
      </c>
      <c r="BS116" s="401">
        <v>67</v>
      </c>
      <c r="BT116" s="72">
        <f t="shared" si="83"/>
        <v>4.6158015727996826E-2</v>
      </c>
      <c r="BU116" s="399" t="str">
        <f t="shared" si="79"/>
        <v/>
      </c>
      <c r="BV116" s="19">
        <f t="shared" si="80"/>
        <v>-999</v>
      </c>
      <c r="BW116" s="19">
        <f t="shared" si="81"/>
        <v>-999</v>
      </c>
      <c r="BY116" s="19">
        <f t="shared" si="72"/>
        <v>37</v>
      </c>
      <c r="BZ116" s="19">
        <f t="shared" si="70"/>
        <v>0.80957164866788689</v>
      </c>
      <c r="CA116" s="19">
        <f t="shared" si="71"/>
        <v>0.49553737460206865</v>
      </c>
    </row>
    <row r="117" spans="14:79" ht="11.25" customHeight="1" x14ac:dyDescent="0.2">
      <c r="N117" s="19">
        <v>7</v>
      </c>
      <c r="O117" s="19">
        <f t="shared" si="73"/>
        <v>824.3299999999997</v>
      </c>
      <c r="P117" s="19">
        <f t="shared" si="74"/>
        <v>624.3299999999997</v>
      </c>
      <c r="R117" s="19">
        <f t="shared" si="75"/>
        <v>424.33000000000004</v>
      </c>
      <c r="Z117" s="19">
        <f t="shared" ref="Z117:Z148" si="84">Z116+$P$108</f>
        <v>220.30500000000001</v>
      </c>
      <c r="AA117" s="19">
        <f t="shared" ref="AA117:AA148" si="85">AA116+$P$108</f>
        <v>20.305</v>
      </c>
      <c r="AB117" s="19" t="e">
        <f t="shared" ref="AB117:AB148" si="86">AB116</f>
        <v>#N/A</v>
      </c>
      <c r="AE117" s="19">
        <v>26</v>
      </c>
      <c r="AG117" s="19">
        <f t="shared" si="55"/>
        <v>1</v>
      </c>
      <c r="AH117" s="19">
        <f t="shared" si="56"/>
        <v>1</v>
      </c>
      <c r="AI117" s="19">
        <f t="shared" si="57"/>
        <v>4.0250000000000004</v>
      </c>
      <c r="AJ117" s="410">
        <f t="shared" si="58"/>
        <v>907.72</v>
      </c>
      <c r="AK117" s="19" t="e">
        <f t="shared" si="59"/>
        <v>#N/A</v>
      </c>
      <c r="AL117" s="19">
        <f t="shared" si="60"/>
        <v>707.72</v>
      </c>
      <c r="AM117" s="19" t="e">
        <f t="shared" si="61"/>
        <v>#N/A</v>
      </c>
      <c r="AN117" s="19">
        <f t="shared" si="62"/>
        <v>507.72</v>
      </c>
      <c r="AO117" s="19" t="e">
        <f t="shared" si="63"/>
        <v>#N/A</v>
      </c>
      <c r="AP117" s="19">
        <f t="shared" si="64"/>
        <v>307.72000000000003</v>
      </c>
      <c r="AQ117" s="19" t="e">
        <f t="shared" si="65"/>
        <v>#N/A</v>
      </c>
      <c r="AR117" s="19">
        <f t="shared" si="66"/>
        <v>107.72</v>
      </c>
      <c r="AS117" s="19" t="e">
        <f t="shared" si="67"/>
        <v>#N/A</v>
      </c>
      <c r="AY117" s="401">
        <v>-50</v>
      </c>
      <c r="AZ117" s="19">
        <f t="shared" si="68"/>
        <v>0.13299542661540897</v>
      </c>
      <c r="BA117" s="19">
        <f t="shared" si="69"/>
        <v>4.5</v>
      </c>
      <c r="BO117" s="72">
        <f t="shared" si="82"/>
        <v>0.87648369371891022</v>
      </c>
      <c r="BP117" s="399" t="str">
        <f t="shared" si="76"/>
        <v/>
      </c>
      <c r="BQ117" s="19">
        <f t="shared" si="77"/>
        <v>-999</v>
      </c>
      <c r="BR117" s="19">
        <f t="shared" si="78"/>
        <v>-999</v>
      </c>
      <c r="BS117" s="401">
        <v>68</v>
      </c>
      <c r="BT117" s="72">
        <f t="shared" si="83"/>
        <v>0.75733417272567749</v>
      </c>
      <c r="BU117" s="399" t="str">
        <f t="shared" si="79"/>
        <v/>
      </c>
      <c r="BV117" s="19">
        <f t="shared" si="80"/>
        <v>-999</v>
      </c>
      <c r="BW117" s="19">
        <f t="shared" si="81"/>
        <v>-999</v>
      </c>
      <c r="BY117" s="19">
        <f t="shared" si="72"/>
        <v>37.5</v>
      </c>
      <c r="BZ117" s="19">
        <f t="shared" si="70"/>
        <v>0.82257756239866464</v>
      </c>
      <c r="CA117" s="19">
        <f t="shared" si="71"/>
        <v>0.51027779779550364</v>
      </c>
    </row>
    <row r="118" spans="14:79" ht="11.25" customHeight="1" x14ac:dyDescent="0.2">
      <c r="N118" s="19">
        <v>8</v>
      </c>
      <c r="O118" s="19">
        <f t="shared" si="73"/>
        <v>825.13499999999965</v>
      </c>
      <c r="P118" s="19">
        <f t="shared" si="74"/>
        <v>625.13499999999965</v>
      </c>
      <c r="R118" s="19">
        <f t="shared" si="75"/>
        <v>425.13500000000005</v>
      </c>
      <c r="Z118" s="19">
        <f t="shared" si="84"/>
        <v>221.11</v>
      </c>
      <c r="AA118" s="19">
        <f t="shared" si="85"/>
        <v>21.11</v>
      </c>
      <c r="AB118" s="19" t="e">
        <f t="shared" si="86"/>
        <v>#N/A</v>
      </c>
      <c r="AE118" s="19">
        <v>27</v>
      </c>
      <c r="AG118" s="19">
        <f t="shared" si="55"/>
        <v>3</v>
      </c>
      <c r="AH118" s="19">
        <f t="shared" si="56"/>
        <v>-1</v>
      </c>
      <c r="AI118" s="19">
        <f t="shared" si="57"/>
        <v>4.0250000000000004</v>
      </c>
      <c r="AJ118" s="410">
        <f t="shared" si="58"/>
        <v>876.84</v>
      </c>
      <c r="AK118" s="19" t="e">
        <f t="shared" si="59"/>
        <v>#N/A</v>
      </c>
      <c r="AL118" s="19">
        <f t="shared" si="60"/>
        <v>676.84</v>
      </c>
      <c r="AM118" s="19" t="e">
        <f t="shared" si="61"/>
        <v>#N/A</v>
      </c>
      <c r="AN118" s="19">
        <f t="shared" si="62"/>
        <v>476.84</v>
      </c>
      <c r="AO118" s="19" t="e">
        <f t="shared" si="63"/>
        <v>#N/A</v>
      </c>
      <c r="AP118" s="19">
        <f t="shared" si="64"/>
        <v>276.83999999999997</v>
      </c>
      <c r="AQ118" s="19" t="e">
        <f t="shared" si="65"/>
        <v>#N/A</v>
      </c>
      <c r="AR118" s="19">
        <f t="shared" si="66"/>
        <v>76.84</v>
      </c>
      <c r="AS118" s="19" t="e">
        <f t="shared" si="67"/>
        <v>#N/A</v>
      </c>
      <c r="AY118" s="401">
        <v>-48</v>
      </c>
      <c r="AZ118" s="19">
        <f t="shared" si="68"/>
        <v>2.132995426615409</v>
      </c>
      <c r="BA118" s="19">
        <f t="shared" si="69"/>
        <v>4.5</v>
      </c>
      <c r="BO118" s="72">
        <f t="shared" si="82"/>
        <v>0.33147712051868439</v>
      </c>
      <c r="BP118" s="399" t="str">
        <f t="shared" si="76"/>
        <v/>
      </c>
      <c r="BQ118" s="19">
        <f t="shared" si="77"/>
        <v>-999</v>
      </c>
      <c r="BR118" s="19">
        <f t="shared" si="78"/>
        <v>-999</v>
      </c>
      <c r="BS118" s="401">
        <v>69</v>
      </c>
      <c r="BT118" s="72">
        <f t="shared" si="83"/>
        <v>0.57260102033615112</v>
      </c>
      <c r="BU118" s="399" t="str">
        <f t="shared" si="79"/>
        <v/>
      </c>
      <c r="BV118" s="19">
        <f t="shared" si="80"/>
        <v>-999</v>
      </c>
      <c r="BW118" s="19">
        <f t="shared" si="81"/>
        <v>-999</v>
      </c>
      <c r="BY118" s="19">
        <f t="shared" si="72"/>
        <v>38</v>
      </c>
      <c r="BZ118" s="19">
        <f t="shared" si="70"/>
        <v>0.83527021141127189</v>
      </c>
      <c r="CA118" s="19">
        <f t="shared" si="71"/>
        <v>0.52512838680071816</v>
      </c>
    </row>
    <row r="119" spans="14:79" ht="11.25" customHeight="1" x14ac:dyDescent="0.2">
      <c r="N119" s="19">
        <v>9</v>
      </c>
      <c r="O119" s="19">
        <f t="shared" si="73"/>
        <v>825.9399999999996</v>
      </c>
      <c r="P119" s="19">
        <f t="shared" si="74"/>
        <v>625.9399999999996</v>
      </c>
      <c r="R119" s="19">
        <f t="shared" si="75"/>
        <v>425.94000000000005</v>
      </c>
      <c r="Z119" s="19">
        <f t="shared" si="84"/>
        <v>221.91500000000002</v>
      </c>
      <c r="AA119" s="19">
        <f t="shared" si="85"/>
        <v>21.914999999999999</v>
      </c>
      <c r="AB119" s="19" t="e">
        <f t="shared" si="86"/>
        <v>#N/A</v>
      </c>
      <c r="AE119" s="19">
        <v>28</v>
      </c>
      <c r="AG119" s="19">
        <f t="shared" si="55"/>
        <v>3</v>
      </c>
      <c r="AH119" s="19">
        <f t="shared" si="56"/>
        <v>1</v>
      </c>
      <c r="AI119" s="19">
        <f t="shared" si="57"/>
        <v>4.0250000000000004</v>
      </c>
      <c r="AJ119" s="410">
        <f t="shared" si="58"/>
        <v>923.16</v>
      </c>
      <c r="AK119" s="19" t="e">
        <f t="shared" si="59"/>
        <v>#N/A</v>
      </c>
      <c r="AL119" s="19">
        <f t="shared" si="60"/>
        <v>723.16</v>
      </c>
      <c r="AM119" s="19" t="e">
        <f t="shared" si="61"/>
        <v>#N/A</v>
      </c>
      <c r="AN119" s="19">
        <f t="shared" si="62"/>
        <v>523.16</v>
      </c>
      <c r="AO119" s="19" t="e">
        <f t="shared" si="63"/>
        <v>#N/A</v>
      </c>
      <c r="AP119" s="19">
        <f t="shared" si="64"/>
        <v>323.16000000000003</v>
      </c>
      <c r="AQ119" s="19" t="e">
        <f t="shared" si="65"/>
        <v>#N/A</v>
      </c>
      <c r="AR119" s="19">
        <f t="shared" si="66"/>
        <v>123.16</v>
      </c>
      <c r="AS119" s="19" t="e">
        <f t="shared" si="67"/>
        <v>#N/A</v>
      </c>
      <c r="AY119" s="401">
        <v>-46</v>
      </c>
      <c r="AZ119" s="19">
        <f t="shared" si="68"/>
        <v>4.132995426615409</v>
      </c>
      <c r="BA119" s="19">
        <f t="shared" si="69"/>
        <v>4.5</v>
      </c>
      <c r="BO119" s="72">
        <f t="shared" si="82"/>
        <v>0.51438941061496735</v>
      </c>
      <c r="BP119" s="399" t="str">
        <f t="shared" si="76"/>
        <v/>
      </c>
      <c r="BQ119" s="19">
        <f t="shared" si="77"/>
        <v>-999</v>
      </c>
      <c r="BR119" s="19">
        <f t="shared" si="78"/>
        <v>-999</v>
      </c>
      <c r="BS119" s="401">
        <v>70</v>
      </c>
      <c r="BT119" s="72">
        <f t="shared" si="83"/>
        <v>0.64717477560043335</v>
      </c>
      <c r="BU119" s="399" t="str">
        <f t="shared" si="79"/>
        <v/>
      </c>
      <c r="BV119" s="19">
        <f t="shared" si="80"/>
        <v>-999</v>
      </c>
      <c r="BW119" s="19">
        <f t="shared" si="81"/>
        <v>-999</v>
      </c>
      <c r="BY119" s="19">
        <f t="shared" si="72"/>
        <v>38.5</v>
      </c>
      <c r="BZ119" s="19">
        <f t="shared" si="70"/>
        <v>0.84762877870213571</v>
      </c>
      <c r="CA119" s="19">
        <f t="shared" si="71"/>
        <v>0.54007352029325273</v>
      </c>
    </row>
    <row r="120" spans="14:79" ht="11.25" customHeight="1" x14ac:dyDescent="0.2">
      <c r="N120" s="19">
        <v>10</v>
      </c>
      <c r="O120" s="19">
        <f t="shared" si="73"/>
        <v>826.74499999999955</v>
      </c>
      <c r="P120" s="19">
        <f t="shared" si="74"/>
        <v>626.74499999999955</v>
      </c>
      <c r="R120" s="19">
        <f t="shared" si="75"/>
        <v>426.74500000000006</v>
      </c>
      <c r="Z120" s="19">
        <f t="shared" si="84"/>
        <v>222.72000000000003</v>
      </c>
      <c r="AA120" s="19">
        <f t="shared" si="85"/>
        <v>22.72</v>
      </c>
      <c r="AB120" s="19" t="e">
        <f t="shared" si="86"/>
        <v>#N/A</v>
      </c>
      <c r="AE120" s="19">
        <v>29</v>
      </c>
      <c r="AG120" s="19">
        <f t="shared" si="55"/>
        <v>5</v>
      </c>
      <c r="AH120" s="19">
        <f t="shared" si="56"/>
        <v>-1</v>
      </c>
      <c r="AI120" s="19">
        <f t="shared" si="57"/>
        <v>4.0250000000000004</v>
      </c>
      <c r="AJ120" s="410">
        <f t="shared" si="58"/>
        <v>861.4</v>
      </c>
      <c r="AK120" s="19" t="e">
        <f t="shared" si="59"/>
        <v>#N/A</v>
      </c>
      <c r="AL120" s="19">
        <f t="shared" si="60"/>
        <v>661.4</v>
      </c>
      <c r="AM120" s="19" t="e">
        <f t="shared" si="61"/>
        <v>#N/A</v>
      </c>
      <c r="AN120" s="19">
        <f t="shared" si="62"/>
        <v>461.4</v>
      </c>
      <c r="AO120" s="19" t="e">
        <f t="shared" si="63"/>
        <v>#N/A</v>
      </c>
      <c r="AP120" s="19">
        <f t="shared" si="64"/>
        <v>261.39999999999998</v>
      </c>
      <c r="AQ120" s="19" t="e">
        <f t="shared" si="65"/>
        <v>#N/A</v>
      </c>
      <c r="AR120" s="19">
        <f t="shared" si="66"/>
        <v>61.4</v>
      </c>
      <c r="AS120" s="19" t="e">
        <f t="shared" si="67"/>
        <v>#N/A</v>
      </c>
      <c r="AY120" s="401">
        <v>-44</v>
      </c>
      <c r="AZ120" s="19">
        <f t="shared" si="68"/>
        <v>6.132995426615409</v>
      </c>
      <c r="BA120" s="19">
        <f t="shared" si="69"/>
        <v>4.5</v>
      </c>
      <c r="BO120" s="72">
        <f t="shared" si="82"/>
        <v>0.79321201145648956</v>
      </c>
      <c r="BP120" s="399" t="str">
        <f t="shared" si="76"/>
        <v/>
      </c>
      <c r="BQ120" s="19">
        <f t="shared" si="77"/>
        <v>-999</v>
      </c>
      <c r="BR120" s="19">
        <f t="shared" si="78"/>
        <v>-999</v>
      </c>
      <c r="BS120" s="401">
        <v>71</v>
      </c>
      <c r="BT120" s="72">
        <f t="shared" si="83"/>
        <v>0.16927641630172729</v>
      </c>
      <c r="BU120" s="399" t="str">
        <f t="shared" si="79"/>
        <v/>
      </c>
      <c r="BV120" s="19">
        <f t="shared" si="80"/>
        <v>-999</v>
      </c>
      <c r="BW120" s="19">
        <f t="shared" si="81"/>
        <v>-999</v>
      </c>
      <c r="BY120" s="19">
        <f t="shared" si="72"/>
        <v>39</v>
      </c>
      <c r="BZ120" s="19">
        <f t="shared" si="70"/>
        <v>0.85963276360254215</v>
      </c>
      <c r="CA120" s="19">
        <f t="shared" si="71"/>
        <v>0.55509694767226236</v>
      </c>
    </row>
    <row r="121" spans="14:79" ht="11.25" customHeight="1" x14ac:dyDescent="0.2">
      <c r="N121" s="19">
        <v>11</v>
      </c>
      <c r="O121" s="19">
        <f t="shared" si="73"/>
        <v>827.5499999999995</v>
      </c>
      <c r="P121" s="19">
        <f t="shared" si="74"/>
        <v>627.5499999999995</v>
      </c>
      <c r="R121" s="19">
        <f t="shared" si="75"/>
        <v>427.55000000000007</v>
      </c>
      <c r="Z121" s="19">
        <f t="shared" si="84"/>
        <v>223.52500000000003</v>
      </c>
      <c r="AA121" s="19">
        <f t="shared" si="85"/>
        <v>23.524999999999999</v>
      </c>
      <c r="AB121" s="19" t="e">
        <f t="shared" si="86"/>
        <v>#N/A</v>
      </c>
      <c r="AE121" s="19">
        <v>30</v>
      </c>
      <c r="AG121" s="19">
        <f t="shared" si="55"/>
        <v>5</v>
      </c>
      <c r="AH121" s="19">
        <f t="shared" si="56"/>
        <v>1</v>
      </c>
      <c r="AI121" s="19">
        <f t="shared" si="57"/>
        <v>4.0250000000000004</v>
      </c>
      <c r="AJ121" s="410">
        <f t="shared" si="58"/>
        <v>938.6</v>
      </c>
      <c r="AK121" s="19" t="e">
        <f t="shared" si="59"/>
        <v>#N/A</v>
      </c>
      <c r="AL121" s="19">
        <f t="shared" si="60"/>
        <v>738.6</v>
      </c>
      <c r="AM121" s="19" t="e">
        <f t="shared" si="61"/>
        <v>#N/A</v>
      </c>
      <c r="AN121" s="19">
        <f t="shared" si="62"/>
        <v>538.6</v>
      </c>
      <c r="AO121" s="19" t="e">
        <f t="shared" si="63"/>
        <v>#N/A</v>
      </c>
      <c r="AP121" s="19">
        <f t="shared" si="64"/>
        <v>338.6</v>
      </c>
      <c r="AQ121" s="19" t="e">
        <f t="shared" si="65"/>
        <v>#N/A</v>
      </c>
      <c r="AR121" s="19">
        <f t="shared" si="66"/>
        <v>138.6</v>
      </c>
      <c r="AS121" s="19" t="e">
        <f t="shared" si="67"/>
        <v>#N/A</v>
      </c>
      <c r="AY121" s="401">
        <v>-42</v>
      </c>
      <c r="AZ121" s="19">
        <f t="shared" si="68"/>
        <v>8.132995426615409</v>
      </c>
      <c r="BA121" s="19">
        <f t="shared" si="69"/>
        <v>4.5</v>
      </c>
      <c r="BO121" s="72">
        <f t="shared" si="82"/>
        <v>0.42632104456424713</v>
      </c>
      <c r="BP121" s="399" t="str">
        <f t="shared" si="76"/>
        <v/>
      </c>
      <c r="BQ121" s="19">
        <f t="shared" si="77"/>
        <v>-999</v>
      </c>
      <c r="BR121" s="19">
        <f t="shared" si="78"/>
        <v>-999</v>
      </c>
      <c r="BS121" s="401">
        <v>72</v>
      </c>
      <c r="BT121" s="72">
        <f t="shared" si="83"/>
        <v>0.36361068487167358</v>
      </c>
      <c r="BU121" s="399" t="str">
        <f t="shared" si="79"/>
        <v/>
      </c>
      <c r="BV121" s="19">
        <f t="shared" si="80"/>
        <v>-999</v>
      </c>
      <c r="BW121" s="19">
        <f t="shared" si="81"/>
        <v>-999</v>
      </c>
      <c r="BY121" s="19">
        <f t="shared" si="72"/>
        <v>39.5</v>
      </c>
      <c r="BZ121" s="19">
        <f t="shared" si="70"/>
        <v>0.87126203806373947</v>
      </c>
      <c r="CA121" s="19">
        <f t="shared" si="71"/>
        <v>0.5701818123376049</v>
      </c>
    </row>
    <row r="122" spans="14:79" ht="11.25" customHeight="1" x14ac:dyDescent="0.2">
      <c r="N122" s="19">
        <v>12</v>
      </c>
      <c r="O122" s="19">
        <f t="shared" si="73"/>
        <v>828.35499999999945</v>
      </c>
      <c r="P122" s="19">
        <f t="shared" si="74"/>
        <v>628.35499999999945</v>
      </c>
      <c r="R122" s="19">
        <f t="shared" si="75"/>
        <v>428.35500000000008</v>
      </c>
      <c r="Z122" s="19">
        <f t="shared" si="84"/>
        <v>224.33000000000004</v>
      </c>
      <c r="AA122" s="19">
        <f t="shared" si="85"/>
        <v>24.33</v>
      </c>
      <c r="AB122" s="19" t="e">
        <f t="shared" si="86"/>
        <v>#N/A</v>
      </c>
      <c r="AE122" s="19">
        <v>31</v>
      </c>
      <c r="AG122" s="19">
        <f t="shared" si="55"/>
        <v>7</v>
      </c>
      <c r="AH122" s="19">
        <f t="shared" si="56"/>
        <v>-1</v>
      </c>
      <c r="AI122" s="19">
        <f t="shared" si="57"/>
        <v>4.0250000000000004</v>
      </c>
      <c r="AJ122" s="410">
        <f t="shared" si="58"/>
        <v>845.96</v>
      </c>
      <c r="AK122" s="19" t="e">
        <f t="shared" si="59"/>
        <v>#N/A</v>
      </c>
      <c r="AL122" s="19">
        <f t="shared" si="60"/>
        <v>645.96</v>
      </c>
      <c r="AM122" s="19" t="e">
        <f t="shared" si="61"/>
        <v>#N/A</v>
      </c>
      <c r="AN122" s="19">
        <f t="shared" si="62"/>
        <v>445.96</v>
      </c>
      <c r="AO122" s="19" t="e">
        <f t="shared" si="63"/>
        <v>#N/A</v>
      </c>
      <c r="AP122" s="19">
        <f t="shared" si="64"/>
        <v>245.96</v>
      </c>
      <c r="AQ122" s="19" t="e">
        <f t="shared" si="65"/>
        <v>#N/A</v>
      </c>
      <c r="AR122" s="19">
        <f t="shared" si="66"/>
        <v>45.96</v>
      </c>
      <c r="AS122" s="19" t="e">
        <f t="shared" si="67"/>
        <v>#N/A</v>
      </c>
      <c r="AY122" s="401">
        <v>-40</v>
      </c>
      <c r="AZ122" s="19">
        <f t="shared" si="68"/>
        <v>10.132995426615409</v>
      </c>
      <c r="BA122" s="19">
        <f t="shared" si="69"/>
        <v>4.5</v>
      </c>
      <c r="BO122" s="72">
        <f t="shared" si="82"/>
        <v>0.98781605064868927</v>
      </c>
      <c r="BP122" s="399" t="str">
        <f t="shared" si="76"/>
        <v/>
      </c>
      <c r="BQ122" s="19">
        <f t="shared" si="77"/>
        <v>-999</v>
      </c>
      <c r="BR122" s="19">
        <f t="shared" si="78"/>
        <v>-999</v>
      </c>
      <c r="BS122" s="401">
        <v>73</v>
      </c>
      <c r="BT122" s="72">
        <f t="shared" si="83"/>
        <v>0.57565563917160034</v>
      </c>
      <c r="BU122" s="399" t="str">
        <f t="shared" si="79"/>
        <v/>
      </c>
      <c r="BV122" s="19">
        <f t="shared" si="80"/>
        <v>-999</v>
      </c>
      <c r="BW122" s="19">
        <f t="shared" si="81"/>
        <v>-999</v>
      </c>
      <c r="BY122" s="19">
        <f t="shared" si="72"/>
        <v>40</v>
      </c>
      <c r="BZ122" s="19">
        <f t="shared" si="70"/>
        <v>0.88249690258459534</v>
      </c>
      <c r="CA122" s="19">
        <f t="shared" si="71"/>
        <v>0.58531067754090127</v>
      </c>
    </row>
    <row r="123" spans="14:79" ht="11.25" customHeight="1" x14ac:dyDescent="0.2">
      <c r="N123" s="19">
        <v>13</v>
      </c>
      <c r="O123" s="19">
        <f t="shared" si="73"/>
        <v>829.1599999999994</v>
      </c>
      <c r="P123" s="19">
        <f t="shared" si="74"/>
        <v>629.1599999999994</v>
      </c>
      <c r="R123" s="19">
        <f t="shared" si="75"/>
        <v>429.16000000000008</v>
      </c>
      <c r="Z123" s="19">
        <f t="shared" si="84"/>
        <v>225.13500000000005</v>
      </c>
      <c r="AA123" s="19">
        <f t="shared" si="85"/>
        <v>25.134999999999998</v>
      </c>
      <c r="AB123" s="19" t="e">
        <f t="shared" si="86"/>
        <v>#N/A</v>
      </c>
      <c r="AE123" s="19">
        <v>32</v>
      </c>
      <c r="AG123" s="19">
        <f t="shared" si="55"/>
        <v>7</v>
      </c>
      <c r="AH123" s="19">
        <f t="shared" si="56"/>
        <v>1</v>
      </c>
      <c r="AI123" s="19">
        <f t="shared" si="57"/>
        <v>4.0250000000000004</v>
      </c>
      <c r="AJ123" s="410">
        <f t="shared" si="58"/>
        <v>954.04</v>
      </c>
      <c r="AK123" s="19" t="e">
        <f t="shared" si="59"/>
        <v>#N/A</v>
      </c>
      <c r="AL123" s="19">
        <f t="shared" si="60"/>
        <v>754.04</v>
      </c>
      <c r="AM123" s="19" t="e">
        <f t="shared" si="61"/>
        <v>#N/A</v>
      </c>
      <c r="AN123" s="19">
        <f t="shared" si="62"/>
        <v>554.04</v>
      </c>
      <c r="AO123" s="19" t="e">
        <f t="shared" si="63"/>
        <v>#N/A</v>
      </c>
      <c r="AP123" s="19">
        <f t="shared" si="64"/>
        <v>354.04</v>
      </c>
      <c r="AQ123" s="19" t="e">
        <f t="shared" si="65"/>
        <v>#N/A</v>
      </c>
      <c r="AR123" s="19">
        <f t="shared" si="66"/>
        <v>154.04</v>
      </c>
      <c r="AS123" s="19" t="e">
        <f t="shared" si="67"/>
        <v>#N/A</v>
      </c>
      <c r="AY123" s="401">
        <v>-38</v>
      </c>
      <c r="AZ123" s="19">
        <f t="shared" si="68"/>
        <v>12.132995426615409</v>
      </c>
      <c r="BA123" s="19">
        <f t="shared" si="69"/>
        <v>4.5</v>
      </c>
      <c r="BO123" s="72">
        <f t="shared" si="82"/>
        <v>0.34809555113315582</v>
      </c>
      <c r="BP123" s="399" t="str">
        <f t="shared" si="76"/>
        <v/>
      </c>
      <c r="BQ123" s="19">
        <f t="shared" si="77"/>
        <v>-999</v>
      </c>
      <c r="BR123" s="19">
        <f t="shared" si="78"/>
        <v>-999</v>
      </c>
      <c r="BS123" s="401">
        <v>74</v>
      </c>
      <c r="BT123" s="72">
        <f t="shared" si="83"/>
        <v>0.87523931264877319</v>
      </c>
      <c r="BU123" s="399" t="str">
        <f t="shared" si="79"/>
        <v/>
      </c>
      <c r="BV123" s="19">
        <f t="shared" si="80"/>
        <v>-999</v>
      </c>
      <c r="BW123" s="19">
        <f t="shared" si="81"/>
        <v>-999</v>
      </c>
      <c r="BY123" s="19">
        <f t="shared" si="72"/>
        <v>40.5</v>
      </c>
      <c r="BZ123" s="19">
        <f t="shared" si="70"/>
        <v>0.89331814156568234</v>
      </c>
      <c r="CA123" s="19">
        <f t="shared" si="71"/>
        <v>0.60046555478393215</v>
      </c>
    </row>
    <row r="124" spans="14:79" ht="11.25" customHeight="1" x14ac:dyDescent="0.2">
      <c r="N124" s="19">
        <v>14</v>
      </c>
      <c r="O124" s="19">
        <f t="shared" si="73"/>
        <v>829.96499999999935</v>
      </c>
      <c r="P124" s="19">
        <f t="shared" si="74"/>
        <v>629.96499999999935</v>
      </c>
      <c r="R124" s="19">
        <f t="shared" si="75"/>
        <v>429.96500000000009</v>
      </c>
      <c r="Z124" s="19">
        <f t="shared" si="84"/>
        <v>225.94000000000005</v>
      </c>
      <c r="AA124" s="19">
        <f t="shared" si="85"/>
        <v>25.939999999999998</v>
      </c>
      <c r="AB124" s="19" t="e">
        <f t="shared" si="86"/>
        <v>#N/A</v>
      </c>
      <c r="AE124" s="19">
        <v>33</v>
      </c>
      <c r="AG124" s="19">
        <f t="shared" si="55"/>
        <v>9</v>
      </c>
      <c r="AH124" s="19">
        <f t="shared" si="56"/>
        <v>-1</v>
      </c>
      <c r="AI124" s="19">
        <f t="shared" si="57"/>
        <v>4.0250000000000004</v>
      </c>
      <c r="AJ124" s="410">
        <f t="shared" si="58"/>
        <v>830.52</v>
      </c>
      <c r="AK124" s="19" t="e">
        <f t="shared" si="59"/>
        <v>#N/A</v>
      </c>
      <c r="AL124" s="19">
        <f t="shared" si="60"/>
        <v>630.52</v>
      </c>
      <c r="AM124" s="19" t="e">
        <f t="shared" si="61"/>
        <v>#N/A</v>
      </c>
      <c r="AN124" s="19">
        <f t="shared" si="62"/>
        <v>430.52</v>
      </c>
      <c r="AO124" s="19" t="e">
        <f t="shared" si="63"/>
        <v>#N/A</v>
      </c>
      <c r="AP124" s="19">
        <f t="shared" si="64"/>
        <v>230.51999999999998</v>
      </c>
      <c r="AQ124" s="19" t="e">
        <f t="shared" si="65"/>
        <v>#N/A</v>
      </c>
      <c r="AR124" s="19">
        <f t="shared" si="66"/>
        <v>30.519999999999996</v>
      </c>
      <c r="AS124" s="19" t="e">
        <f t="shared" si="67"/>
        <v>#N/A</v>
      </c>
      <c r="AY124" s="401">
        <v>-36</v>
      </c>
      <c r="AZ124" s="19">
        <f t="shared" ref="AZ124:AZ155" si="87">IF($BR$5,$BR$12+AY124,NA())</f>
        <v>14.132995426615409</v>
      </c>
      <c r="BA124" s="19">
        <f t="shared" ref="BA124:BA155" si="88">$BQ$14</f>
        <v>4.5</v>
      </c>
      <c r="BO124" s="72">
        <f t="shared" si="82"/>
        <v>3.6573722958564758E-2</v>
      </c>
      <c r="BP124" s="399" t="str">
        <f t="shared" si="76"/>
        <v/>
      </c>
      <c r="BQ124" s="19">
        <f t="shared" si="77"/>
        <v>-999</v>
      </c>
      <c r="BR124" s="19">
        <f t="shared" si="78"/>
        <v>-999</v>
      </c>
      <c r="BS124" s="401">
        <v>75</v>
      </c>
      <c r="BT124" s="72">
        <f t="shared" si="83"/>
        <v>0.50459879636764526</v>
      </c>
      <c r="BU124" s="399" t="str">
        <f t="shared" si="79"/>
        <v/>
      </c>
      <c r="BV124" s="19">
        <f t="shared" si="80"/>
        <v>-999</v>
      </c>
      <c r="BW124" s="19">
        <f t="shared" si="81"/>
        <v>-999</v>
      </c>
      <c r="BY124" s="19">
        <f t="shared" si="72"/>
        <v>41</v>
      </c>
      <c r="BZ124" s="19">
        <f t="shared" si="70"/>
        <v>0.90370707787319604</v>
      </c>
      <c r="CA124" s="19">
        <f t="shared" si="71"/>
        <v>0.61562793472571165</v>
      </c>
    </row>
    <row r="125" spans="14:79" ht="11.25" customHeight="1" x14ac:dyDescent="0.2">
      <c r="N125" s="19">
        <v>15</v>
      </c>
      <c r="O125" s="19">
        <f t="shared" si="73"/>
        <v>830.7699999999993</v>
      </c>
      <c r="P125" s="19">
        <f t="shared" si="74"/>
        <v>630.7699999999993</v>
      </c>
      <c r="R125" s="19">
        <f t="shared" si="75"/>
        <v>430.7700000000001</v>
      </c>
      <c r="Z125" s="19">
        <f t="shared" si="84"/>
        <v>226.74500000000006</v>
      </c>
      <c r="AA125" s="19">
        <f t="shared" si="85"/>
        <v>26.744999999999997</v>
      </c>
      <c r="AB125" s="19" t="e">
        <f t="shared" si="86"/>
        <v>#N/A</v>
      </c>
      <c r="AE125" s="19">
        <v>34</v>
      </c>
      <c r="AG125" s="19">
        <f t="shared" si="55"/>
        <v>9</v>
      </c>
      <c r="AH125" s="19">
        <f t="shared" si="56"/>
        <v>1</v>
      </c>
      <c r="AI125" s="19">
        <f t="shared" si="57"/>
        <v>4.0250000000000004</v>
      </c>
      <c r="AJ125" s="410">
        <f t="shared" si="58"/>
        <v>969.48</v>
      </c>
      <c r="AK125" s="19" t="e">
        <f t="shared" si="59"/>
        <v>#N/A</v>
      </c>
      <c r="AL125" s="19">
        <f t="shared" si="60"/>
        <v>769.48</v>
      </c>
      <c r="AM125" s="19" t="e">
        <f t="shared" si="61"/>
        <v>#N/A</v>
      </c>
      <c r="AN125" s="19">
        <f t="shared" si="62"/>
        <v>569.48</v>
      </c>
      <c r="AO125" s="19" t="e">
        <f t="shared" si="63"/>
        <v>#N/A</v>
      </c>
      <c r="AP125" s="19">
        <f t="shared" si="64"/>
        <v>369.48</v>
      </c>
      <c r="AQ125" s="19" t="e">
        <f t="shared" si="65"/>
        <v>#N/A</v>
      </c>
      <c r="AR125" s="19">
        <f t="shared" si="66"/>
        <v>169.48000000000002</v>
      </c>
      <c r="AS125" s="19" t="e">
        <f t="shared" si="67"/>
        <v>#N/A</v>
      </c>
      <c r="AY125" s="401">
        <v>-34</v>
      </c>
      <c r="AZ125" s="19">
        <f t="shared" si="87"/>
        <v>16.132995426615409</v>
      </c>
      <c r="BA125" s="19">
        <f t="shared" si="88"/>
        <v>4.5</v>
      </c>
      <c r="BO125" s="72">
        <f t="shared" si="82"/>
        <v>0.70504404604434967</v>
      </c>
      <c r="BP125" s="399" t="str">
        <f t="shared" si="76"/>
        <v/>
      </c>
      <c r="BQ125" s="19">
        <f t="shared" si="77"/>
        <v>-999</v>
      </c>
      <c r="BR125" s="19">
        <f t="shared" si="78"/>
        <v>-999</v>
      </c>
      <c r="BS125" s="401">
        <v>76</v>
      </c>
      <c r="BT125" s="72">
        <f t="shared" si="83"/>
        <v>0.52346080541610718</v>
      </c>
      <c r="BU125" s="399" t="str">
        <f t="shared" si="79"/>
        <v/>
      </c>
      <c r="BV125" s="19">
        <f t="shared" si="80"/>
        <v>-999</v>
      </c>
      <c r="BW125" s="19">
        <f t="shared" si="81"/>
        <v>-999</v>
      </c>
      <c r="BY125" s="19">
        <f t="shared" si="72"/>
        <v>41.5</v>
      </c>
      <c r="BZ125" s="19">
        <f t="shared" si="70"/>
        <v>0.91364562639672886</v>
      </c>
      <c r="CA125" s="19">
        <f t="shared" si="71"/>
        <v>0.63077882054742818</v>
      </c>
    </row>
    <row r="126" spans="14:79" ht="11.25" customHeight="1" x14ac:dyDescent="0.2">
      <c r="N126" s="19">
        <v>16</v>
      </c>
      <c r="O126" s="19">
        <f t="shared" si="73"/>
        <v>831.57499999999925</v>
      </c>
      <c r="P126" s="19">
        <f t="shared" si="74"/>
        <v>631.57499999999925</v>
      </c>
      <c r="R126" s="19">
        <f t="shared" si="75"/>
        <v>431.5750000000001</v>
      </c>
      <c r="Z126" s="19">
        <f t="shared" si="84"/>
        <v>227.55000000000007</v>
      </c>
      <c r="AA126" s="19">
        <f t="shared" si="85"/>
        <v>27.549999999999997</v>
      </c>
      <c r="AB126" s="19" t="e">
        <f t="shared" si="86"/>
        <v>#N/A</v>
      </c>
      <c r="AE126" s="19">
        <v>35</v>
      </c>
      <c r="AG126" s="19">
        <f t="shared" si="55"/>
        <v>11</v>
      </c>
      <c r="AH126" s="19">
        <f t="shared" si="56"/>
        <v>-1</v>
      </c>
      <c r="AI126" s="19">
        <f t="shared" si="57"/>
        <v>4.0250000000000004</v>
      </c>
      <c r="AJ126" s="410">
        <f t="shared" si="58"/>
        <v>815.08</v>
      </c>
      <c r="AK126" s="19" t="e">
        <f t="shared" si="59"/>
        <v>#N/A</v>
      </c>
      <c r="AL126" s="19">
        <f t="shared" si="60"/>
        <v>615.08000000000004</v>
      </c>
      <c r="AM126" s="19" t="e">
        <f t="shared" si="61"/>
        <v>#N/A</v>
      </c>
      <c r="AN126" s="19">
        <f t="shared" si="62"/>
        <v>415.08</v>
      </c>
      <c r="AO126" s="19" t="e">
        <f t="shared" si="63"/>
        <v>#N/A</v>
      </c>
      <c r="AP126" s="19">
        <f t="shared" si="64"/>
        <v>215.07999999999998</v>
      </c>
      <c r="AQ126" s="19" t="e">
        <f t="shared" si="65"/>
        <v>#N/A</v>
      </c>
      <c r="AR126" s="19">
        <f t="shared" si="66"/>
        <v>15.079999999999998</v>
      </c>
      <c r="AS126" s="19" t="e">
        <f t="shared" si="67"/>
        <v>#N/A</v>
      </c>
      <c r="AY126" s="401">
        <v>-32</v>
      </c>
      <c r="AZ126" s="19">
        <f t="shared" si="87"/>
        <v>18.132995426615409</v>
      </c>
      <c r="BA126" s="19">
        <f t="shared" si="88"/>
        <v>4.5</v>
      </c>
      <c r="BO126" s="72">
        <f t="shared" si="82"/>
        <v>0.62601609528064728</v>
      </c>
      <c r="BP126" s="399" t="str">
        <f t="shared" si="76"/>
        <v/>
      </c>
      <c r="BQ126" s="19">
        <f t="shared" si="77"/>
        <v>-999</v>
      </c>
      <c r="BR126" s="19">
        <f t="shared" si="78"/>
        <v>-999</v>
      </c>
      <c r="BS126" s="401">
        <v>77</v>
      </c>
      <c r="BT126" s="72">
        <f t="shared" si="83"/>
        <v>0.85915154218673706</v>
      </c>
      <c r="BU126" s="399" t="str">
        <f t="shared" si="79"/>
        <v/>
      </c>
      <c r="BV126" s="19">
        <f t="shared" si="80"/>
        <v>-999</v>
      </c>
      <c r="BW126" s="19">
        <f t="shared" si="81"/>
        <v>-999</v>
      </c>
      <c r="BY126" s="19">
        <f t="shared" si="72"/>
        <v>42</v>
      </c>
      <c r="BZ126" s="19">
        <f t="shared" si="70"/>
        <v>0.92311634638663564</v>
      </c>
      <c r="CA126" s="19">
        <f t="shared" si="71"/>
        <v>0.64589876371222532</v>
      </c>
    </row>
    <row r="127" spans="14:79" ht="11.25" customHeight="1" x14ac:dyDescent="0.2">
      <c r="N127" s="19">
        <v>17</v>
      </c>
      <c r="O127" s="19">
        <f t="shared" si="73"/>
        <v>832.3799999999992</v>
      </c>
      <c r="P127" s="19">
        <f t="shared" si="74"/>
        <v>632.3799999999992</v>
      </c>
      <c r="R127" s="19">
        <f t="shared" si="75"/>
        <v>432.38000000000011</v>
      </c>
      <c r="Z127" s="19">
        <f t="shared" si="84"/>
        <v>228.35500000000008</v>
      </c>
      <c r="AA127" s="19">
        <f t="shared" si="85"/>
        <v>28.354999999999997</v>
      </c>
      <c r="AB127" s="19" t="e">
        <f t="shared" si="86"/>
        <v>#N/A</v>
      </c>
      <c r="AE127" s="19">
        <v>36</v>
      </c>
      <c r="AG127" s="19">
        <f t="shared" si="55"/>
        <v>11</v>
      </c>
      <c r="AH127" s="19">
        <f t="shared" si="56"/>
        <v>1</v>
      </c>
      <c r="AI127" s="19">
        <f t="shared" si="57"/>
        <v>4.0250000000000004</v>
      </c>
      <c r="AJ127" s="410">
        <f t="shared" si="58"/>
        <v>984.92</v>
      </c>
      <c r="AK127" s="19" t="e">
        <f t="shared" si="59"/>
        <v>#N/A</v>
      </c>
      <c r="AL127" s="19">
        <f t="shared" si="60"/>
        <v>784.92</v>
      </c>
      <c r="AM127" s="19" t="e">
        <f t="shared" si="61"/>
        <v>#N/A</v>
      </c>
      <c r="AN127" s="19">
        <f t="shared" si="62"/>
        <v>584.91999999999996</v>
      </c>
      <c r="AO127" s="19" t="e">
        <f t="shared" si="63"/>
        <v>#N/A</v>
      </c>
      <c r="AP127" s="19">
        <f t="shared" si="64"/>
        <v>384.92</v>
      </c>
      <c r="AQ127" s="19" t="e">
        <f t="shared" si="65"/>
        <v>#N/A</v>
      </c>
      <c r="AR127" s="19">
        <f t="shared" si="66"/>
        <v>184.92000000000002</v>
      </c>
      <c r="AS127" s="19" t="e">
        <f t="shared" si="67"/>
        <v>#N/A</v>
      </c>
      <c r="AY127" s="401">
        <v>-30</v>
      </c>
      <c r="AZ127" s="19">
        <f t="shared" si="87"/>
        <v>20.132995426615409</v>
      </c>
      <c r="BA127" s="19">
        <f t="shared" si="88"/>
        <v>4.5</v>
      </c>
      <c r="BO127" s="72">
        <f t="shared" si="82"/>
        <v>9.1015711426734924E-2</v>
      </c>
      <c r="BP127" s="399" t="str">
        <f t="shared" si="76"/>
        <v/>
      </c>
      <c r="BQ127" s="19">
        <f t="shared" si="77"/>
        <v>-999</v>
      </c>
      <c r="BR127" s="19">
        <f t="shared" si="78"/>
        <v>-999</v>
      </c>
      <c r="BS127" s="401">
        <v>78</v>
      </c>
      <c r="BT127" s="72">
        <f t="shared" si="83"/>
        <v>0.59083741903305054</v>
      </c>
      <c r="BU127" s="399" t="str">
        <f t="shared" si="79"/>
        <v/>
      </c>
      <c r="BV127" s="19">
        <f t="shared" si="80"/>
        <v>-999</v>
      </c>
      <c r="BW127" s="19">
        <f t="shared" si="81"/>
        <v>-999</v>
      </c>
      <c r="BY127" s="19">
        <f t="shared" si="72"/>
        <v>42.5</v>
      </c>
      <c r="BZ127" s="19">
        <f t="shared" si="70"/>
        <v>0.93210249235952747</v>
      </c>
      <c r="CA127" s="19">
        <f t="shared" si="71"/>
        <v>0.66096790204458633</v>
      </c>
    </row>
    <row r="128" spans="14:79" ht="11.25" customHeight="1" x14ac:dyDescent="0.2">
      <c r="N128" s="19">
        <v>18</v>
      </c>
      <c r="O128" s="19">
        <f t="shared" si="73"/>
        <v>833.18499999999915</v>
      </c>
      <c r="P128" s="19">
        <f t="shared" si="74"/>
        <v>633.18499999999915</v>
      </c>
      <c r="R128" s="19">
        <f t="shared" si="75"/>
        <v>433.18500000000012</v>
      </c>
      <c r="Z128" s="19">
        <f t="shared" si="84"/>
        <v>229.16000000000008</v>
      </c>
      <c r="AA128" s="19">
        <f t="shared" si="85"/>
        <v>29.159999999999997</v>
      </c>
      <c r="AB128" s="19" t="e">
        <f t="shared" si="86"/>
        <v>#N/A</v>
      </c>
      <c r="AE128" s="19">
        <v>37</v>
      </c>
      <c r="AG128" s="19">
        <f t="shared" si="55"/>
        <v>1</v>
      </c>
      <c r="AH128" s="19">
        <f t="shared" si="56"/>
        <v>-1</v>
      </c>
      <c r="AI128" s="19">
        <f t="shared" si="57"/>
        <v>5.6350000000000007</v>
      </c>
      <c r="AJ128" s="410">
        <f t="shared" si="58"/>
        <v>892.28</v>
      </c>
      <c r="AK128" s="19" t="e">
        <f t="shared" si="59"/>
        <v>#N/A</v>
      </c>
      <c r="AL128" s="19">
        <f t="shared" si="60"/>
        <v>692.28</v>
      </c>
      <c r="AM128" s="19" t="e">
        <f t="shared" si="61"/>
        <v>#N/A</v>
      </c>
      <c r="AN128" s="19">
        <f t="shared" si="62"/>
        <v>492.28</v>
      </c>
      <c r="AO128" s="19" t="e">
        <f t="shared" si="63"/>
        <v>#N/A</v>
      </c>
      <c r="AP128" s="19">
        <f t="shared" si="64"/>
        <v>292.27999999999997</v>
      </c>
      <c r="AQ128" s="19" t="e">
        <f t="shared" si="65"/>
        <v>#N/A</v>
      </c>
      <c r="AR128" s="19">
        <f t="shared" si="66"/>
        <v>92.28</v>
      </c>
      <c r="AS128" s="19" t="e">
        <f t="shared" si="67"/>
        <v>#N/A</v>
      </c>
      <c r="AY128" s="401">
        <v>-28</v>
      </c>
      <c r="AZ128" s="19">
        <f t="shared" si="87"/>
        <v>22.132995426615409</v>
      </c>
      <c r="BA128" s="19">
        <f t="shared" si="88"/>
        <v>4.5</v>
      </c>
      <c r="BO128" s="72">
        <f t="shared" si="82"/>
        <v>0.29747159779071808</v>
      </c>
      <c r="BP128" s="399" t="str">
        <f t="shared" si="76"/>
        <v/>
      </c>
      <c r="BQ128" s="19">
        <f t="shared" si="77"/>
        <v>-999</v>
      </c>
      <c r="BR128" s="19">
        <f t="shared" si="78"/>
        <v>-999</v>
      </c>
      <c r="BS128" s="401">
        <v>79</v>
      </c>
      <c r="BT128" s="72">
        <f t="shared" si="83"/>
        <v>0.87121695280075073</v>
      </c>
      <c r="BU128" s="399" t="str">
        <f t="shared" si="79"/>
        <v/>
      </c>
      <c r="BV128" s="19">
        <f t="shared" si="80"/>
        <v>-999</v>
      </c>
      <c r="BW128" s="19">
        <f t="shared" si="81"/>
        <v>-999</v>
      </c>
      <c r="BY128" s="19">
        <f t="shared" si="72"/>
        <v>43</v>
      </c>
      <c r="BZ128" s="19">
        <f t="shared" si="70"/>
        <v>0.94058806336434198</v>
      </c>
      <c r="CA128" s="19">
        <f t="shared" si="71"/>
        <v>0.67596600004193685</v>
      </c>
    </row>
    <row r="129" spans="14:92" ht="11.25" customHeight="1" x14ac:dyDescent="0.2">
      <c r="N129" s="19">
        <v>19</v>
      </c>
      <c r="O129" s="19">
        <f t="shared" si="73"/>
        <v>833.9899999999991</v>
      </c>
      <c r="P129" s="19">
        <f t="shared" si="74"/>
        <v>633.9899999999991</v>
      </c>
      <c r="R129" s="19">
        <f t="shared" si="75"/>
        <v>433.99000000000012</v>
      </c>
      <c r="Z129" s="19">
        <f t="shared" si="84"/>
        <v>229.96500000000009</v>
      </c>
      <c r="AA129" s="19">
        <f t="shared" si="85"/>
        <v>29.964999999999996</v>
      </c>
      <c r="AB129" s="19" t="e">
        <f t="shared" si="86"/>
        <v>#N/A</v>
      </c>
      <c r="AE129" s="19">
        <v>38</v>
      </c>
      <c r="AG129" s="19">
        <f t="shared" si="55"/>
        <v>1</v>
      </c>
      <c r="AH129" s="19">
        <f t="shared" si="56"/>
        <v>1</v>
      </c>
      <c r="AI129" s="19">
        <f t="shared" si="57"/>
        <v>5.6350000000000007</v>
      </c>
      <c r="AJ129" s="410">
        <f t="shared" si="58"/>
        <v>907.72</v>
      </c>
      <c r="AK129" s="19" t="e">
        <f t="shared" si="59"/>
        <v>#N/A</v>
      </c>
      <c r="AL129" s="19">
        <f t="shared" si="60"/>
        <v>707.72</v>
      </c>
      <c r="AM129" s="19" t="e">
        <f t="shared" si="61"/>
        <v>#N/A</v>
      </c>
      <c r="AN129" s="19">
        <f t="shared" si="62"/>
        <v>507.72</v>
      </c>
      <c r="AO129" s="19" t="e">
        <f t="shared" si="63"/>
        <v>#N/A</v>
      </c>
      <c r="AP129" s="19">
        <f t="shared" si="64"/>
        <v>307.72000000000003</v>
      </c>
      <c r="AQ129" s="19" t="e">
        <f t="shared" si="65"/>
        <v>#N/A</v>
      </c>
      <c r="AR129" s="19">
        <f t="shared" si="66"/>
        <v>107.72</v>
      </c>
      <c r="AS129" s="19" t="e">
        <f t="shared" si="67"/>
        <v>#N/A</v>
      </c>
      <c r="AY129" s="401">
        <v>-26</v>
      </c>
      <c r="AZ129" s="19">
        <f t="shared" si="87"/>
        <v>24.132995426615409</v>
      </c>
      <c r="BA129" s="19">
        <f t="shared" si="88"/>
        <v>4.5</v>
      </c>
      <c r="BO129" s="72">
        <f t="shared" si="82"/>
        <v>0.84503795206546783</v>
      </c>
      <c r="BP129" s="399" t="str">
        <f t="shared" si="76"/>
        <v/>
      </c>
      <c r="BQ129" s="19">
        <f t="shared" si="77"/>
        <v>-999</v>
      </c>
      <c r="BR129" s="19">
        <f t="shared" si="78"/>
        <v>-999</v>
      </c>
      <c r="BS129" s="401">
        <v>80</v>
      </c>
      <c r="BT129" s="72">
        <f t="shared" si="83"/>
        <v>0.85382789373397827</v>
      </c>
      <c r="BU129" s="399" t="str">
        <f t="shared" si="79"/>
        <v/>
      </c>
      <c r="BV129" s="19">
        <f t="shared" si="80"/>
        <v>-999</v>
      </c>
      <c r="BW129" s="19">
        <f t="shared" si="81"/>
        <v>-999</v>
      </c>
      <c r="BY129" s="19">
        <f t="shared" si="72"/>
        <v>43.5</v>
      </c>
      <c r="BZ129" s="19">
        <f t="shared" si="70"/>
        <v>0.94855785040642304</v>
      </c>
      <c r="CA129" s="19">
        <f t="shared" si="71"/>
        <v>0.69087249131908968</v>
      </c>
    </row>
    <row r="130" spans="14:92" ht="11.25" customHeight="1" x14ac:dyDescent="0.2">
      <c r="N130" s="19">
        <v>20</v>
      </c>
      <c r="O130" s="19">
        <f t="shared" si="73"/>
        <v>834.79499999999905</v>
      </c>
      <c r="P130" s="19">
        <f t="shared" si="74"/>
        <v>634.79499999999905</v>
      </c>
      <c r="R130" s="19">
        <f t="shared" si="75"/>
        <v>434.79500000000013</v>
      </c>
      <c r="Z130" s="19">
        <f t="shared" si="84"/>
        <v>230.7700000000001</v>
      </c>
      <c r="AA130" s="19">
        <f t="shared" si="85"/>
        <v>30.769999999999996</v>
      </c>
      <c r="AB130" s="19" t="e">
        <f t="shared" si="86"/>
        <v>#N/A</v>
      </c>
      <c r="AE130" s="19">
        <v>39</v>
      </c>
      <c r="AG130" s="19">
        <f t="shared" si="55"/>
        <v>3</v>
      </c>
      <c r="AH130" s="19">
        <f t="shared" si="56"/>
        <v>-1</v>
      </c>
      <c r="AI130" s="19">
        <f t="shared" si="57"/>
        <v>5.6350000000000007</v>
      </c>
      <c r="AJ130" s="410">
        <f t="shared" si="58"/>
        <v>876.84</v>
      </c>
      <c r="AK130" s="19" t="e">
        <f t="shared" si="59"/>
        <v>#N/A</v>
      </c>
      <c r="AL130" s="19">
        <f t="shared" si="60"/>
        <v>676.84</v>
      </c>
      <c r="AM130" s="19" t="e">
        <f t="shared" si="61"/>
        <v>#N/A</v>
      </c>
      <c r="AN130" s="19">
        <f t="shared" si="62"/>
        <v>476.84</v>
      </c>
      <c r="AO130" s="19" t="e">
        <f t="shared" si="63"/>
        <v>#N/A</v>
      </c>
      <c r="AP130" s="19">
        <f t="shared" si="64"/>
        <v>276.83999999999997</v>
      </c>
      <c r="AQ130" s="19" t="e">
        <f t="shared" si="65"/>
        <v>#N/A</v>
      </c>
      <c r="AR130" s="19">
        <f t="shared" si="66"/>
        <v>76.84</v>
      </c>
      <c r="AS130" s="19" t="e">
        <f t="shared" si="67"/>
        <v>#N/A</v>
      </c>
      <c r="AY130" s="401">
        <v>-24</v>
      </c>
      <c r="AZ130" s="19">
        <f t="shared" si="87"/>
        <v>26.132995426615409</v>
      </c>
      <c r="BA130" s="19">
        <f t="shared" si="88"/>
        <v>4.5</v>
      </c>
      <c r="BO130" s="72">
        <f t="shared" si="82"/>
        <v>0.50614805519580841</v>
      </c>
      <c r="BP130" s="399" t="str">
        <f t="shared" si="76"/>
        <v/>
      </c>
      <c r="BQ130" s="19">
        <f t="shared" si="77"/>
        <v>-999</v>
      </c>
      <c r="BR130" s="19">
        <f t="shared" si="78"/>
        <v>-999</v>
      </c>
      <c r="BS130" s="401">
        <v>81</v>
      </c>
      <c r="BT130" s="72">
        <f t="shared" si="83"/>
        <v>3.7102401256561279E-2</v>
      </c>
      <c r="BU130" s="399" t="str">
        <f t="shared" si="79"/>
        <v/>
      </c>
      <c r="BV130" s="19">
        <f t="shared" si="80"/>
        <v>-999</v>
      </c>
      <c r="BW130" s="19">
        <f t="shared" si="81"/>
        <v>-999</v>
      </c>
      <c r="BY130" s="19">
        <f t="shared" si="72"/>
        <v>44</v>
      </c>
      <c r="BZ130" s="19">
        <f t="shared" si="70"/>
        <v>0.95599748183309974</v>
      </c>
      <c r="CA130" s="19">
        <f t="shared" si="71"/>
        <v>0.70566652307436861</v>
      </c>
    </row>
    <row r="131" spans="14:92" ht="11.25" customHeight="1" x14ac:dyDescent="0.2">
      <c r="N131" s="19">
        <v>21</v>
      </c>
      <c r="O131" s="19">
        <f t="shared" si="73"/>
        <v>835.599999999999</v>
      </c>
      <c r="P131" s="19">
        <f t="shared" si="74"/>
        <v>635.599999999999</v>
      </c>
      <c r="R131" s="19">
        <f t="shared" si="75"/>
        <v>435.60000000000014</v>
      </c>
      <c r="Z131" s="19">
        <f t="shared" si="84"/>
        <v>231.5750000000001</v>
      </c>
      <c r="AA131" s="19">
        <f t="shared" si="85"/>
        <v>31.574999999999996</v>
      </c>
      <c r="AB131" s="19" t="e">
        <f t="shared" si="86"/>
        <v>#N/A</v>
      </c>
      <c r="AE131" s="19">
        <v>40</v>
      </c>
      <c r="AG131" s="19">
        <f t="shared" si="55"/>
        <v>3</v>
      </c>
      <c r="AH131" s="19">
        <f t="shared" si="56"/>
        <v>1</v>
      </c>
      <c r="AI131" s="19">
        <f t="shared" si="57"/>
        <v>5.6350000000000007</v>
      </c>
      <c r="AJ131" s="410">
        <f t="shared" si="58"/>
        <v>923.16</v>
      </c>
      <c r="AK131" s="19" t="e">
        <f t="shared" si="59"/>
        <v>#N/A</v>
      </c>
      <c r="AL131" s="19">
        <f t="shared" si="60"/>
        <v>723.16</v>
      </c>
      <c r="AM131" s="19" t="e">
        <f t="shared" si="61"/>
        <v>#N/A</v>
      </c>
      <c r="AN131" s="19">
        <f t="shared" si="62"/>
        <v>523.16</v>
      </c>
      <c r="AO131" s="19" t="e">
        <f t="shared" si="63"/>
        <v>#N/A</v>
      </c>
      <c r="AP131" s="19">
        <f t="shared" si="64"/>
        <v>323.16000000000003</v>
      </c>
      <c r="AQ131" s="19" t="e">
        <f t="shared" si="65"/>
        <v>#N/A</v>
      </c>
      <c r="AR131" s="19">
        <f t="shared" si="66"/>
        <v>123.16</v>
      </c>
      <c r="AS131" s="19" t="e">
        <f t="shared" si="67"/>
        <v>#N/A</v>
      </c>
      <c r="AY131" s="401">
        <v>-22</v>
      </c>
      <c r="AZ131" s="19">
        <f t="shared" si="87"/>
        <v>28.132995426615409</v>
      </c>
      <c r="BA131" s="19">
        <f t="shared" si="88"/>
        <v>4.5</v>
      </c>
      <c r="BO131" s="72">
        <f t="shared" si="82"/>
        <v>0.13188280165195465</v>
      </c>
      <c r="BP131" s="399" t="str">
        <f t="shared" si="76"/>
        <v/>
      </c>
      <c r="BQ131" s="19">
        <f t="shared" si="77"/>
        <v>-999</v>
      </c>
      <c r="BR131" s="19">
        <f t="shared" si="78"/>
        <v>-999</v>
      </c>
      <c r="BS131" s="401">
        <v>82</v>
      </c>
      <c r="BT131" s="72">
        <f t="shared" si="83"/>
        <v>0.49489682912826538</v>
      </c>
      <c r="BU131" s="399" t="str">
        <f t="shared" si="79"/>
        <v/>
      </c>
      <c r="BV131" s="19">
        <f t="shared" si="80"/>
        <v>-999</v>
      </c>
      <c r="BW131" s="19">
        <f t="shared" si="81"/>
        <v>-999</v>
      </c>
      <c r="BY131" s="19">
        <f t="shared" si="72"/>
        <v>44.5</v>
      </c>
      <c r="BZ131" s="19">
        <f t="shared" si="70"/>
        <v>0.96289346649136254</v>
      </c>
      <c r="CA131" s="19">
        <f t="shared" si="71"/>
        <v>0.72032700245475467</v>
      </c>
    </row>
    <row r="132" spans="14:92" ht="11.25" customHeight="1" x14ac:dyDescent="0.2">
      <c r="N132" s="19">
        <v>22</v>
      </c>
      <c r="O132" s="19">
        <f t="shared" si="73"/>
        <v>836.40499999999895</v>
      </c>
      <c r="P132" s="19">
        <f t="shared" si="74"/>
        <v>636.40499999999895</v>
      </c>
      <c r="R132" s="19">
        <f t="shared" si="75"/>
        <v>436.40500000000014</v>
      </c>
      <c r="Z132" s="19">
        <f t="shared" si="84"/>
        <v>232.38000000000011</v>
      </c>
      <c r="AA132" s="19">
        <f t="shared" si="85"/>
        <v>32.379999999999995</v>
      </c>
      <c r="AB132" s="19" t="e">
        <f t="shared" si="86"/>
        <v>#N/A</v>
      </c>
      <c r="AE132" s="19">
        <v>41</v>
      </c>
      <c r="AG132" s="19">
        <f t="shared" si="55"/>
        <v>5</v>
      </c>
      <c r="AH132" s="19">
        <f t="shared" si="56"/>
        <v>-1</v>
      </c>
      <c r="AI132" s="19">
        <f t="shared" si="57"/>
        <v>5.6350000000000007</v>
      </c>
      <c r="AJ132" s="410">
        <f t="shared" si="58"/>
        <v>861.4</v>
      </c>
      <c r="AK132" s="19" t="e">
        <f t="shared" si="59"/>
        <v>#N/A</v>
      </c>
      <c r="AL132" s="19">
        <f t="shared" si="60"/>
        <v>661.4</v>
      </c>
      <c r="AM132" s="19" t="e">
        <f t="shared" si="61"/>
        <v>#N/A</v>
      </c>
      <c r="AN132" s="19">
        <f t="shared" si="62"/>
        <v>461.4</v>
      </c>
      <c r="AO132" s="19" t="e">
        <f t="shared" si="63"/>
        <v>#N/A</v>
      </c>
      <c r="AP132" s="19">
        <f t="shared" si="64"/>
        <v>261.39999999999998</v>
      </c>
      <c r="AQ132" s="19" t="e">
        <f t="shared" si="65"/>
        <v>#N/A</v>
      </c>
      <c r="AR132" s="19">
        <f t="shared" si="66"/>
        <v>61.4</v>
      </c>
      <c r="AS132" s="19" t="e">
        <f t="shared" si="67"/>
        <v>#N/A</v>
      </c>
      <c r="AY132" s="401">
        <v>-20</v>
      </c>
      <c r="AZ132" s="19">
        <f t="shared" si="87"/>
        <v>30.132995426615409</v>
      </c>
      <c r="BA132" s="19">
        <f t="shared" si="88"/>
        <v>4.5</v>
      </c>
      <c r="BO132" s="72">
        <f t="shared" si="82"/>
        <v>0.73099596798419952</v>
      </c>
      <c r="BP132" s="399" t="str">
        <f t="shared" si="76"/>
        <v/>
      </c>
      <c r="BQ132" s="19">
        <f t="shared" si="77"/>
        <v>-999</v>
      </c>
      <c r="BR132" s="19">
        <f t="shared" si="78"/>
        <v>-999</v>
      </c>
      <c r="BS132" s="401">
        <v>83</v>
      </c>
      <c r="BT132" s="72">
        <f t="shared" si="83"/>
        <v>0.7249414324760437</v>
      </c>
      <c r="BU132" s="399" t="str">
        <f t="shared" si="79"/>
        <v/>
      </c>
      <c r="BV132" s="19">
        <f t="shared" si="80"/>
        <v>-999</v>
      </c>
      <c r="BW132" s="19">
        <f t="shared" si="81"/>
        <v>-999</v>
      </c>
      <c r="BY132" s="19">
        <f t="shared" si="72"/>
        <v>45</v>
      </c>
      <c r="BZ132" s="19">
        <f t="shared" si="70"/>
        <v>0.96923323447634391</v>
      </c>
      <c r="CA132" s="19">
        <f t="shared" si="71"/>
        <v>0.7348326446862542</v>
      </c>
    </row>
    <row r="133" spans="14:92" ht="11.25" customHeight="1" x14ac:dyDescent="0.2">
      <c r="N133" s="19">
        <v>23</v>
      </c>
      <c r="O133" s="19">
        <f t="shared" si="73"/>
        <v>837.2099999999989</v>
      </c>
      <c r="P133" s="19">
        <f t="shared" si="74"/>
        <v>637.2099999999989</v>
      </c>
      <c r="R133" s="19">
        <f t="shared" si="75"/>
        <v>437.21000000000015</v>
      </c>
      <c r="Z133" s="19">
        <f t="shared" si="84"/>
        <v>233.18500000000012</v>
      </c>
      <c r="AA133" s="19">
        <f t="shared" si="85"/>
        <v>33.184999999999995</v>
      </c>
      <c r="AB133" s="19" t="e">
        <f t="shared" si="86"/>
        <v>#N/A</v>
      </c>
      <c r="AE133" s="19">
        <v>42</v>
      </c>
      <c r="AG133" s="19">
        <f t="shared" si="55"/>
        <v>5</v>
      </c>
      <c r="AH133" s="19">
        <f t="shared" si="56"/>
        <v>1</v>
      </c>
      <c r="AI133" s="19">
        <f t="shared" si="57"/>
        <v>5.6350000000000007</v>
      </c>
      <c r="AJ133" s="410">
        <f t="shared" si="58"/>
        <v>938.6</v>
      </c>
      <c r="AK133" s="19" t="e">
        <f t="shared" si="59"/>
        <v>#N/A</v>
      </c>
      <c r="AL133" s="19">
        <f t="shared" si="60"/>
        <v>738.6</v>
      </c>
      <c r="AM133" s="19" t="e">
        <f t="shared" si="61"/>
        <v>#N/A</v>
      </c>
      <c r="AN133" s="19">
        <f t="shared" si="62"/>
        <v>538.6</v>
      </c>
      <c r="AO133" s="19" t="e">
        <f t="shared" si="63"/>
        <v>#N/A</v>
      </c>
      <c r="AP133" s="19">
        <f t="shared" si="64"/>
        <v>338.6</v>
      </c>
      <c r="AQ133" s="19" t="e">
        <f t="shared" si="65"/>
        <v>#N/A</v>
      </c>
      <c r="AR133" s="19">
        <f t="shared" si="66"/>
        <v>138.6</v>
      </c>
      <c r="AS133" s="19" t="e">
        <f t="shared" si="67"/>
        <v>#N/A</v>
      </c>
      <c r="AY133" s="401">
        <v>-18</v>
      </c>
      <c r="AZ133" s="19">
        <f t="shared" si="87"/>
        <v>32.132995426615409</v>
      </c>
      <c r="BA133" s="19">
        <f t="shared" si="88"/>
        <v>4.5</v>
      </c>
      <c r="BO133" s="72">
        <f t="shared" si="82"/>
        <v>0.18278957903385162</v>
      </c>
      <c r="BP133" s="399" t="str">
        <f t="shared" si="76"/>
        <v/>
      </c>
      <c r="BQ133" s="19">
        <f t="shared" si="77"/>
        <v>-999</v>
      </c>
      <c r="BR133" s="19">
        <f t="shared" si="78"/>
        <v>-999</v>
      </c>
      <c r="BS133" s="401">
        <v>84</v>
      </c>
      <c r="BT133" s="72">
        <f t="shared" si="83"/>
        <v>0.74899905920028687</v>
      </c>
      <c r="BU133" s="399" t="str">
        <f t="shared" si="79"/>
        <v/>
      </c>
      <c r="BV133" s="19">
        <f t="shared" si="80"/>
        <v>-999</v>
      </c>
      <c r="BW133" s="19">
        <f t="shared" si="81"/>
        <v>-999</v>
      </c>
      <c r="BY133" s="19">
        <f t="shared" si="72"/>
        <v>45.5</v>
      </c>
      <c r="BZ133" s="19">
        <f t="shared" si="70"/>
        <v>0.97500517529841757</v>
      </c>
      <c r="CA133" s="19">
        <f t="shared" si="71"/>
        <v>0.74916202282499256</v>
      </c>
    </row>
    <row r="134" spans="14:92" ht="11.25" customHeight="1" x14ac:dyDescent="0.2">
      <c r="N134" s="19">
        <v>24</v>
      </c>
      <c r="O134" s="19">
        <f t="shared" si="73"/>
        <v>838.01499999999885</v>
      </c>
      <c r="P134" s="19">
        <f t="shared" si="74"/>
        <v>638.01499999999885</v>
      </c>
      <c r="R134" s="19">
        <f t="shared" si="75"/>
        <v>438.01500000000016</v>
      </c>
      <c r="Z134" s="19">
        <f t="shared" si="84"/>
        <v>233.99000000000012</v>
      </c>
      <c r="AA134" s="19">
        <f t="shared" si="85"/>
        <v>33.989999999999995</v>
      </c>
      <c r="AB134" s="19" t="e">
        <f t="shared" si="86"/>
        <v>#N/A</v>
      </c>
      <c r="AE134" s="19">
        <v>43</v>
      </c>
      <c r="AG134" s="19">
        <f t="shared" si="55"/>
        <v>7</v>
      </c>
      <c r="AH134" s="19">
        <f t="shared" si="56"/>
        <v>-1</v>
      </c>
      <c r="AI134" s="19">
        <f t="shared" si="57"/>
        <v>5.6350000000000007</v>
      </c>
      <c r="AJ134" s="410">
        <f t="shared" si="58"/>
        <v>845.96</v>
      </c>
      <c r="AK134" s="19" t="e">
        <f t="shared" si="59"/>
        <v>#N/A</v>
      </c>
      <c r="AL134" s="19">
        <f t="shared" si="60"/>
        <v>645.96</v>
      </c>
      <c r="AM134" s="19" t="e">
        <f t="shared" si="61"/>
        <v>#N/A</v>
      </c>
      <c r="AN134" s="19">
        <f t="shared" si="62"/>
        <v>445.96</v>
      </c>
      <c r="AO134" s="19" t="e">
        <f t="shared" si="63"/>
        <v>#N/A</v>
      </c>
      <c r="AP134" s="19">
        <f t="shared" si="64"/>
        <v>245.96</v>
      </c>
      <c r="AQ134" s="19" t="e">
        <f t="shared" si="65"/>
        <v>#N/A</v>
      </c>
      <c r="AR134" s="19">
        <f t="shared" si="66"/>
        <v>45.96</v>
      </c>
      <c r="AS134" s="19" t="e">
        <f t="shared" si="67"/>
        <v>#N/A</v>
      </c>
      <c r="AY134" s="401">
        <v>-16</v>
      </c>
      <c r="AZ134" s="19">
        <f t="shared" si="87"/>
        <v>34.132995426615409</v>
      </c>
      <c r="BA134" s="19">
        <f t="shared" si="88"/>
        <v>4.5</v>
      </c>
      <c r="BO134" s="72">
        <f t="shared" si="82"/>
        <v>0.16660304367542267</v>
      </c>
      <c r="BP134" s="399" t="str">
        <f t="shared" si="76"/>
        <v/>
      </c>
      <c r="BQ134" s="19">
        <f t="shared" si="77"/>
        <v>-999</v>
      </c>
      <c r="BR134" s="19">
        <f t="shared" si="78"/>
        <v>-999</v>
      </c>
      <c r="BS134" s="401">
        <v>85</v>
      </c>
      <c r="BT134" s="72">
        <f t="shared" si="83"/>
        <v>0.328990638256073</v>
      </c>
      <c r="BU134" s="399" t="str">
        <f t="shared" si="79"/>
        <v/>
      </c>
      <c r="BV134" s="19">
        <f t="shared" si="80"/>
        <v>-999</v>
      </c>
      <c r="BW134" s="19">
        <f t="shared" si="81"/>
        <v>-999</v>
      </c>
      <c r="BY134" s="19">
        <f t="shared" si="72"/>
        <v>46</v>
      </c>
      <c r="BZ134" s="19">
        <f t="shared" si="70"/>
        <v>0.98019867330675525</v>
      </c>
      <c r="CA134" s="19">
        <f t="shared" si="71"/>
        <v>0.7632936189743198</v>
      </c>
    </row>
    <row r="135" spans="14:92" ht="11.25" customHeight="1" x14ac:dyDescent="0.2">
      <c r="N135" s="19">
        <v>25</v>
      </c>
      <c r="O135" s="19">
        <f t="shared" si="73"/>
        <v>838.8199999999988</v>
      </c>
      <c r="P135" s="19">
        <f t="shared" si="74"/>
        <v>638.8199999999988</v>
      </c>
      <c r="R135" s="19">
        <f t="shared" si="75"/>
        <v>438.82000000000016</v>
      </c>
      <c r="Z135" s="19">
        <f t="shared" si="84"/>
        <v>234.79500000000013</v>
      </c>
      <c r="AA135" s="19">
        <f t="shared" si="85"/>
        <v>34.794999999999995</v>
      </c>
      <c r="AB135" s="19" t="e">
        <f t="shared" si="86"/>
        <v>#N/A</v>
      </c>
      <c r="AE135" s="19">
        <v>44</v>
      </c>
      <c r="AG135" s="19">
        <f t="shared" si="55"/>
        <v>7</v>
      </c>
      <c r="AH135" s="19">
        <f t="shared" si="56"/>
        <v>1</v>
      </c>
      <c r="AI135" s="19">
        <f t="shared" si="57"/>
        <v>5.6350000000000007</v>
      </c>
      <c r="AJ135" s="410">
        <f t="shared" si="58"/>
        <v>954.04</v>
      </c>
      <c r="AK135" s="19" t="e">
        <f t="shared" si="59"/>
        <v>#N/A</v>
      </c>
      <c r="AL135" s="19">
        <f t="shared" si="60"/>
        <v>754.04</v>
      </c>
      <c r="AM135" s="19" t="e">
        <f t="shared" si="61"/>
        <v>#N/A</v>
      </c>
      <c r="AN135" s="19">
        <f t="shared" si="62"/>
        <v>554.04</v>
      </c>
      <c r="AO135" s="19" t="e">
        <f t="shared" si="63"/>
        <v>#N/A</v>
      </c>
      <c r="AP135" s="19">
        <f t="shared" si="64"/>
        <v>354.04</v>
      </c>
      <c r="AQ135" s="19" t="e">
        <f t="shared" si="65"/>
        <v>#N/A</v>
      </c>
      <c r="AR135" s="19">
        <f t="shared" si="66"/>
        <v>154.04</v>
      </c>
      <c r="AS135" s="19" t="e">
        <f t="shared" si="67"/>
        <v>#N/A</v>
      </c>
      <c r="AY135" s="401">
        <v>-14</v>
      </c>
      <c r="AZ135" s="19">
        <f t="shared" si="87"/>
        <v>36.132995426615409</v>
      </c>
      <c r="BA135" s="19">
        <f t="shared" si="88"/>
        <v>4.5</v>
      </c>
      <c r="BO135" s="72">
        <f t="shared" si="82"/>
        <v>0.602593794465065</v>
      </c>
      <c r="BP135" s="399" t="str">
        <f t="shared" si="76"/>
        <v/>
      </c>
      <c r="BQ135" s="19">
        <f t="shared" si="77"/>
        <v>-999</v>
      </c>
      <c r="BR135" s="19">
        <f t="shared" si="78"/>
        <v>-999</v>
      </c>
      <c r="BS135" s="401">
        <v>86</v>
      </c>
      <c r="BT135" s="72">
        <f t="shared" si="83"/>
        <v>0.65943902730941772</v>
      </c>
      <c r="BU135" s="399" t="str">
        <f t="shared" si="79"/>
        <v/>
      </c>
      <c r="BV135" s="19">
        <f t="shared" si="80"/>
        <v>-999</v>
      </c>
      <c r="BW135" s="19">
        <f t="shared" si="81"/>
        <v>-999</v>
      </c>
      <c r="BY135" s="19">
        <f t="shared" si="72"/>
        <v>46.5</v>
      </c>
      <c r="BZ135" s="19">
        <f t="shared" si="70"/>
        <v>0.98480414021809537</v>
      </c>
      <c r="CA135" s="19">
        <f t="shared" si="71"/>
        <v>0.77720587680358222</v>
      </c>
      <c r="CB135"/>
      <c r="CC135"/>
      <c r="CD135"/>
      <c r="CE135"/>
      <c r="CJ135"/>
      <c r="CK135"/>
      <c r="CL135"/>
      <c r="CM135"/>
      <c r="CN135"/>
    </row>
    <row r="136" spans="14:92" ht="11.25" customHeight="1" x14ac:dyDescent="0.2">
      <c r="N136" s="19">
        <v>26</v>
      </c>
      <c r="O136" s="19">
        <f t="shared" si="73"/>
        <v>839.62499999999875</v>
      </c>
      <c r="P136" s="19">
        <f t="shared" si="74"/>
        <v>639.62499999999875</v>
      </c>
      <c r="R136" s="19">
        <f t="shared" si="75"/>
        <v>439.62500000000017</v>
      </c>
      <c r="Z136" s="19">
        <f t="shared" si="84"/>
        <v>235.60000000000014</v>
      </c>
      <c r="AA136" s="19">
        <f t="shared" si="85"/>
        <v>35.599999999999994</v>
      </c>
      <c r="AB136" s="19" t="e">
        <f t="shared" si="86"/>
        <v>#N/A</v>
      </c>
      <c r="AE136" s="19">
        <v>45</v>
      </c>
      <c r="AG136" s="19">
        <f t="shared" si="55"/>
        <v>9</v>
      </c>
      <c r="AH136" s="19">
        <f t="shared" si="56"/>
        <v>-1</v>
      </c>
      <c r="AI136" s="19">
        <f t="shared" si="57"/>
        <v>5.6350000000000007</v>
      </c>
      <c r="AJ136" s="410">
        <f t="shared" si="58"/>
        <v>830.52</v>
      </c>
      <c r="AK136" s="19" t="e">
        <f t="shared" si="59"/>
        <v>#N/A</v>
      </c>
      <c r="AL136" s="19">
        <f t="shared" si="60"/>
        <v>630.52</v>
      </c>
      <c r="AM136" s="19" t="e">
        <f t="shared" si="61"/>
        <v>#N/A</v>
      </c>
      <c r="AN136" s="19">
        <f t="shared" si="62"/>
        <v>430.52</v>
      </c>
      <c r="AO136" s="19" t="e">
        <f t="shared" si="63"/>
        <v>#N/A</v>
      </c>
      <c r="AP136" s="19">
        <f t="shared" si="64"/>
        <v>230.51999999999998</v>
      </c>
      <c r="AQ136" s="19" t="e">
        <f t="shared" si="65"/>
        <v>#N/A</v>
      </c>
      <c r="AR136" s="19">
        <f t="shared" si="66"/>
        <v>30.519999999999996</v>
      </c>
      <c r="AS136" s="19" t="e">
        <f t="shared" si="67"/>
        <v>#N/A</v>
      </c>
      <c r="AY136" s="401">
        <v>-12</v>
      </c>
      <c r="AZ136" s="19">
        <f t="shared" si="87"/>
        <v>38.132995426615409</v>
      </c>
      <c r="BA136" s="19">
        <f t="shared" si="88"/>
        <v>4.5</v>
      </c>
      <c r="BO136" s="72">
        <f t="shared" si="82"/>
        <v>0.77836997807025909</v>
      </c>
      <c r="BP136" s="399" t="str">
        <f t="shared" si="76"/>
        <v/>
      </c>
      <c r="BQ136" s="19">
        <f t="shared" si="77"/>
        <v>-999</v>
      </c>
      <c r="BR136" s="19">
        <f t="shared" si="78"/>
        <v>-999</v>
      </c>
      <c r="BS136" s="401">
        <v>87</v>
      </c>
      <c r="BT136" s="72">
        <f t="shared" si="83"/>
        <v>0.84580153226852417</v>
      </c>
      <c r="BU136" s="399" t="str">
        <f t="shared" si="79"/>
        <v/>
      </c>
      <c r="BV136" s="19">
        <f t="shared" si="80"/>
        <v>-999</v>
      </c>
      <c r="BW136" s="19">
        <f t="shared" si="81"/>
        <v>-999</v>
      </c>
      <c r="BY136" s="19">
        <f t="shared" si="72"/>
        <v>47</v>
      </c>
      <c r="BZ136" s="19">
        <f t="shared" si="70"/>
        <v>0.98881304461123298</v>
      </c>
      <c r="CA136" s="19">
        <f t="shared" si="71"/>
        <v>0.79087725519521102</v>
      </c>
      <c r="CB136"/>
      <c r="CC136"/>
      <c r="CD136"/>
      <c r="CE136"/>
      <c r="CJ136"/>
      <c r="CK136"/>
      <c r="CL136"/>
      <c r="CM136"/>
      <c r="CN136"/>
    </row>
    <row r="137" spans="14:92" ht="11.25" customHeight="1" x14ac:dyDescent="0.2">
      <c r="N137" s="19">
        <v>27</v>
      </c>
      <c r="O137" s="19">
        <f t="shared" si="73"/>
        <v>840.4299999999987</v>
      </c>
      <c r="P137" s="19">
        <f t="shared" si="74"/>
        <v>640.4299999999987</v>
      </c>
      <c r="R137" s="19">
        <f t="shared" si="75"/>
        <v>440.43000000000018</v>
      </c>
      <c r="Z137" s="19">
        <f t="shared" si="84"/>
        <v>236.40500000000014</v>
      </c>
      <c r="AA137" s="19">
        <f t="shared" si="85"/>
        <v>36.404999999999994</v>
      </c>
      <c r="AB137" s="19" t="e">
        <f t="shared" si="86"/>
        <v>#N/A</v>
      </c>
      <c r="AE137" s="19">
        <v>46</v>
      </c>
      <c r="AG137" s="19">
        <f t="shared" si="55"/>
        <v>9</v>
      </c>
      <c r="AH137" s="19">
        <f t="shared" si="56"/>
        <v>1</v>
      </c>
      <c r="AI137" s="19">
        <f t="shared" si="57"/>
        <v>5.6350000000000007</v>
      </c>
      <c r="AJ137" s="410">
        <f t="shared" si="58"/>
        <v>969.48</v>
      </c>
      <c r="AK137" s="19" t="e">
        <f t="shared" si="59"/>
        <v>#N/A</v>
      </c>
      <c r="AL137" s="19">
        <f t="shared" si="60"/>
        <v>769.48</v>
      </c>
      <c r="AM137" s="19" t="e">
        <f t="shared" si="61"/>
        <v>#N/A</v>
      </c>
      <c r="AN137" s="19">
        <f t="shared" si="62"/>
        <v>569.48</v>
      </c>
      <c r="AO137" s="19" t="e">
        <f t="shared" si="63"/>
        <v>#N/A</v>
      </c>
      <c r="AP137" s="19">
        <f t="shared" si="64"/>
        <v>369.48</v>
      </c>
      <c r="AQ137" s="19" t="e">
        <f t="shared" si="65"/>
        <v>#N/A</v>
      </c>
      <c r="AR137" s="19">
        <f t="shared" si="66"/>
        <v>169.48000000000002</v>
      </c>
      <c r="AS137" s="19" t="e">
        <f t="shared" si="67"/>
        <v>#N/A</v>
      </c>
      <c r="AY137" s="401">
        <v>-10</v>
      </c>
      <c r="AZ137" s="19">
        <f t="shared" si="87"/>
        <v>40.132995426615409</v>
      </c>
      <c r="BA137" s="19">
        <f t="shared" si="88"/>
        <v>4.5</v>
      </c>
      <c r="BO137" s="72">
        <f t="shared" si="82"/>
        <v>0.89951230585575104</v>
      </c>
      <c r="BP137" s="399" t="str">
        <f t="shared" si="76"/>
        <v/>
      </c>
      <c r="BQ137" s="19">
        <f t="shared" si="77"/>
        <v>-999</v>
      </c>
      <c r="BR137" s="19">
        <f t="shared" si="78"/>
        <v>-999</v>
      </c>
      <c r="BS137" s="401">
        <v>88</v>
      </c>
      <c r="BT137" s="72">
        <f t="shared" si="83"/>
        <v>0.31810516119003296</v>
      </c>
      <c r="BU137" s="399" t="str">
        <f t="shared" si="79"/>
        <v/>
      </c>
      <c r="BV137" s="19">
        <f t="shared" si="80"/>
        <v>-999</v>
      </c>
      <c r="BW137" s="19">
        <f t="shared" si="81"/>
        <v>-999</v>
      </c>
      <c r="BY137" s="19">
        <f t="shared" si="72"/>
        <v>47.5</v>
      </c>
      <c r="BZ137" s="19">
        <f t="shared" si="70"/>
        <v>0.99221793826024329</v>
      </c>
      <c r="CA137" s="19">
        <f t="shared" si="71"/>
        <v>0.80428628283847381</v>
      </c>
      <c r="CB137"/>
      <c r="CC137"/>
      <c r="CD137"/>
      <c r="CE137"/>
      <c r="CJ137"/>
      <c r="CK137"/>
      <c r="CL137"/>
      <c r="CM137"/>
      <c r="CN137"/>
    </row>
    <row r="138" spans="14:92" ht="11.25" customHeight="1" x14ac:dyDescent="0.2">
      <c r="N138" s="19">
        <v>28</v>
      </c>
      <c r="O138" s="19">
        <f t="shared" si="73"/>
        <v>841.23499999999865</v>
      </c>
      <c r="P138" s="19">
        <f t="shared" si="74"/>
        <v>641.23499999999865</v>
      </c>
      <c r="R138" s="19">
        <f t="shared" si="75"/>
        <v>441.23500000000018</v>
      </c>
      <c r="Z138" s="19">
        <f t="shared" si="84"/>
        <v>237.21000000000015</v>
      </c>
      <c r="AA138" s="19">
        <f t="shared" si="85"/>
        <v>37.209999999999994</v>
      </c>
      <c r="AB138" s="19" t="e">
        <f t="shared" si="86"/>
        <v>#N/A</v>
      </c>
      <c r="AE138" s="19">
        <v>47</v>
      </c>
      <c r="AG138" s="19">
        <f t="shared" si="55"/>
        <v>11</v>
      </c>
      <c r="AH138" s="19">
        <f t="shared" si="56"/>
        <v>-1</v>
      </c>
      <c r="AI138" s="19">
        <f t="shared" si="57"/>
        <v>5.6350000000000007</v>
      </c>
      <c r="AJ138" s="410">
        <f t="shared" si="58"/>
        <v>815.08</v>
      </c>
      <c r="AK138" s="19" t="e">
        <f t="shared" si="59"/>
        <v>#N/A</v>
      </c>
      <c r="AL138" s="19">
        <f t="shared" si="60"/>
        <v>615.08000000000004</v>
      </c>
      <c r="AM138" s="19" t="e">
        <f t="shared" si="61"/>
        <v>#N/A</v>
      </c>
      <c r="AN138" s="19">
        <f t="shared" si="62"/>
        <v>415.08</v>
      </c>
      <c r="AO138" s="19" t="e">
        <f t="shared" si="63"/>
        <v>#N/A</v>
      </c>
      <c r="AP138" s="19">
        <f t="shared" si="64"/>
        <v>215.07999999999998</v>
      </c>
      <c r="AQ138" s="19" t="e">
        <f t="shared" si="65"/>
        <v>#N/A</v>
      </c>
      <c r="AR138" s="19">
        <f t="shared" si="66"/>
        <v>15.079999999999998</v>
      </c>
      <c r="AS138" s="19" t="e">
        <f t="shared" si="67"/>
        <v>#N/A</v>
      </c>
      <c r="AY138" s="401">
        <v>-8</v>
      </c>
      <c r="AZ138" s="19">
        <f t="shared" si="87"/>
        <v>42.132995426615409</v>
      </c>
      <c r="BA138" s="19">
        <f t="shared" si="88"/>
        <v>4.5</v>
      </c>
      <c r="BO138" s="72">
        <f t="shared" si="82"/>
        <v>0.75221748650074005</v>
      </c>
      <c r="BP138" s="399" t="str">
        <f t="shared" si="76"/>
        <v/>
      </c>
      <c r="BQ138" s="19">
        <f t="shared" si="77"/>
        <v>-999</v>
      </c>
      <c r="BR138" s="19">
        <f t="shared" si="78"/>
        <v>-999</v>
      </c>
      <c r="BS138" s="401">
        <v>89</v>
      </c>
      <c r="BT138" s="72">
        <f t="shared" si="83"/>
        <v>0.74726742506027222</v>
      </c>
      <c r="BU138" s="399" t="str">
        <f t="shared" si="79"/>
        <v/>
      </c>
      <c r="BV138" s="19">
        <f t="shared" si="80"/>
        <v>-999</v>
      </c>
      <c r="BW138" s="19">
        <f t="shared" si="81"/>
        <v>-999</v>
      </c>
      <c r="BY138" s="19">
        <f t="shared" si="72"/>
        <v>48</v>
      </c>
      <c r="BZ138" s="19">
        <f t="shared" si="70"/>
        <v>0.99501247919268221</v>
      </c>
      <c r="CA138" s="19">
        <f t="shared" si="71"/>
        <v>0.8174116135806937</v>
      </c>
      <c r="CB138"/>
      <c r="CC138"/>
      <c r="CD138"/>
      <c r="CE138"/>
      <c r="CJ138"/>
      <c r="CK138"/>
      <c r="CL138"/>
      <c r="CM138"/>
      <c r="CN138"/>
    </row>
    <row r="139" spans="14:92" ht="11.25" customHeight="1" x14ac:dyDescent="0.2">
      <c r="N139" s="19">
        <v>29</v>
      </c>
      <c r="O139" s="19">
        <f t="shared" si="73"/>
        <v>842.0399999999986</v>
      </c>
      <c r="P139" s="19">
        <f t="shared" si="74"/>
        <v>642.0399999999986</v>
      </c>
      <c r="R139" s="19">
        <f t="shared" si="75"/>
        <v>442.04000000000019</v>
      </c>
      <c r="Z139" s="19">
        <f t="shared" si="84"/>
        <v>238.01500000000016</v>
      </c>
      <c r="AA139" s="19">
        <f t="shared" si="85"/>
        <v>38.014999999999993</v>
      </c>
      <c r="AB139" s="19" t="e">
        <f t="shared" si="86"/>
        <v>#N/A</v>
      </c>
      <c r="AE139" s="19">
        <v>48</v>
      </c>
      <c r="AG139" s="19">
        <f t="shared" si="55"/>
        <v>11</v>
      </c>
      <c r="AH139" s="19">
        <f t="shared" si="56"/>
        <v>1</v>
      </c>
      <c r="AI139" s="19">
        <f t="shared" si="57"/>
        <v>5.6350000000000007</v>
      </c>
      <c r="AJ139" s="410">
        <f t="shared" si="58"/>
        <v>984.92</v>
      </c>
      <c r="AK139" s="19" t="e">
        <f t="shared" si="59"/>
        <v>#N/A</v>
      </c>
      <c r="AL139" s="19">
        <f t="shared" si="60"/>
        <v>784.92</v>
      </c>
      <c r="AM139" s="19" t="e">
        <f t="shared" si="61"/>
        <v>#N/A</v>
      </c>
      <c r="AN139" s="19">
        <f t="shared" si="62"/>
        <v>584.91999999999996</v>
      </c>
      <c r="AO139" s="19" t="e">
        <f t="shared" si="63"/>
        <v>#N/A</v>
      </c>
      <c r="AP139" s="19">
        <f t="shared" si="64"/>
        <v>384.92</v>
      </c>
      <c r="AQ139" s="19" t="e">
        <f t="shared" si="65"/>
        <v>#N/A</v>
      </c>
      <c r="AR139" s="19">
        <f t="shared" si="66"/>
        <v>184.92000000000002</v>
      </c>
      <c r="AS139" s="19" t="e">
        <f t="shared" si="67"/>
        <v>#N/A</v>
      </c>
      <c r="AY139" s="401">
        <v>-6</v>
      </c>
      <c r="AZ139" s="19">
        <f t="shared" si="87"/>
        <v>44.132995426615409</v>
      </c>
      <c r="BA139" s="19">
        <f t="shared" si="88"/>
        <v>4.5</v>
      </c>
      <c r="BO139" s="72">
        <f t="shared" si="82"/>
        <v>0.64383472502231598</v>
      </c>
      <c r="BP139" s="399" t="str">
        <f t="shared" si="76"/>
        <v/>
      </c>
      <c r="BQ139" s="19">
        <f t="shared" si="77"/>
        <v>-999</v>
      </c>
      <c r="BR139" s="19">
        <f t="shared" si="78"/>
        <v>-999</v>
      </c>
      <c r="BS139" s="401">
        <v>90</v>
      </c>
      <c r="BT139" s="72">
        <f t="shared" si="83"/>
        <v>0.96507924795150757</v>
      </c>
      <c r="BU139" s="399" t="str">
        <f t="shared" si="79"/>
        <v/>
      </c>
      <c r="BV139" s="19">
        <f t="shared" si="80"/>
        <v>-999</v>
      </c>
      <c r="BW139" s="19">
        <f t="shared" si="81"/>
        <v>-999</v>
      </c>
      <c r="BY139" s="19">
        <f t="shared" ref="BY139:BY170" si="89">BY138+$BP$1</f>
        <v>48.5</v>
      </c>
      <c r="BZ139" s="19">
        <f t="shared" si="70"/>
        <v>0.99719145137284493</v>
      </c>
      <c r="CA139" s="19">
        <f t="shared" si="71"/>
        <v>0.83023208234000812</v>
      </c>
      <c r="CB139"/>
      <c r="CC139"/>
      <c r="CD139"/>
      <c r="CE139"/>
      <c r="CJ139"/>
      <c r="CK139"/>
      <c r="CL139"/>
      <c r="CM139"/>
      <c r="CN139"/>
    </row>
    <row r="140" spans="14:92" ht="11.25" customHeight="1" x14ac:dyDescent="0.2">
      <c r="N140" s="19">
        <v>30</v>
      </c>
      <c r="O140" s="19">
        <f t="shared" si="73"/>
        <v>842.84499999999855</v>
      </c>
      <c r="P140" s="19">
        <f t="shared" si="74"/>
        <v>642.84499999999855</v>
      </c>
      <c r="R140" s="19">
        <f t="shared" si="75"/>
        <v>442.8450000000002</v>
      </c>
      <c r="Z140" s="19">
        <f t="shared" si="84"/>
        <v>238.82000000000016</v>
      </c>
      <c r="AA140" s="19">
        <f t="shared" si="85"/>
        <v>38.819999999999993</v>
      </c>
      <c r="AB140" s="19" t="e">
        <f t="shared" si="86"/>
        <v>#N/A</v>
      </c>
      <c r="AE140" s="19">
        <v>49</v>
      </c>
      <c r="AG140" s="19">
        <f t="shared" si="55"/>
        <v>1</v>
      </c>
      <c r="AH140" s="19">
        <f t="shared" si="56"/>
        <v>-1</v>
      </c>
      <c r="AI140" s="19">
        <f t="shared" si="57"/>
        <v>7.2450000000000001</v>
      </c>
      <c r="AJ140" s="410">
        <f t="shared" si="58"/>
        <v>892.28</v>
      </c>
      <c r="AK140" s="19" t="e">
        <f t="shared" si="59"/>
        <v>#N/A</v>
      </c>
      <c r="AL140" s="19">
        <f t="shared" si="60"/>
        <v>692.28</v>
      </c>
      <c r="AM140" s="19" t="e">
        <f t="shared" si="61"/>
        <v>#N/A</v>
      </c>
      <c r="AN140" s="19">
        <f t="shared" si="62"/>
        <v>492.28</v>
      </c>
      <c r="AO140" s="19" t="e">
        <f t="shared" si="63"/>
        <v>#N/A</v>
      </c>
      <c r="AP140" s="19">
        <f t="shared" si="64"/>
        <v>292.27999999999997</v>
      </c>
      <c r="AQ140" s="19" t="e">
        <f t="shared" si="65"/>
        <v>#N/A</v>
      </c>
      <c r="AR140" s="19">
        <f t="shared" si="66"/>
        <v>92.28</v>
      </c>
      <c r="AS140" s="19" t="e">
        <f t="shared" si="67"/>
        <v>#N/A</v>
      </c>
      <c r="AY140" s="401">
        <v>-4</v>
      </c>
      <c r="AZ140" s="19">
        <f t="shared" si="87"/>
        <v>46.132995426615409</v>
      </c>
      <c r="BA140" s="19">
        <f t="shared" si="88"/>
        <v>4.5</v>
      </c>
      <c r="BO140" s="72">
        <f t="shared" si="82"/>
        <v>0.62007458508014679</v>
      </c>
      <c r="BP140" s="399" t="str">
        <f t="shared" si="76"/>
        <v/>
      </c>
      <c r="BQ140" s="19">
        <f t="shared" si="77"/>
        <v>-999</v>
      </c>
      <c r="BR140" s="19">
        <f t="shared" si="78"/>
        <v>-999</v>
      </c>
      <c r="BS140" s="401">
        <v>91</v>
      </c>
      <c r="BT140" s="72">
        <f t="shared" si="83"/>
        <v>2.5545299053192139E-2</v>
      </c>
      <c r="BU140" s="399" t="str">
        <f t="shared" si="79"/>
        <v/>
      </c>
      <c r="BV140" s="19">
        <f t="shared" si="80"/>
        <v>-999</v>
      </c>
      <c r="BW140" s="19">
        <f t="shared" si="81"/>
        <v>-999</v>
      </c>
      <c r="BY140" s="19">
        <f t="shared" si="89"/>
        <v>49</v>
      </c>
      <c r="BZ140" s="19">
        <f t="shared" si="70"/>
        <v>0.99875078092458081</v>
      </c>
      <c r="CA140" s="19">
        <f t="shared" si="71"/>
        <v>0.8427267613778846</v>
      </c>
      <c r="CB140"/>
      <c r="CC140"/>
      <c r="CD140"/>
      <c r="CE140"/>
      <c r="CJ140"/>
      <c r="CK140"/>
      <c r="CL140"/>
      <c r="CM140"/>
      <c r="CN140"/>
    </row>
    <row r="141" spans="14:92" ht="11.25" customHeight="1" x14ac:dyDescent="0.2">
      <c r="N141" s="19">
        <v>31</v>
      </c>
      <c r="O141" s="19">
        <f t="shared" si="73"/>
        <v>843.6499999999985</v>
      </c>
      <c r="P141" s="19">
        <f t="shared" si="74"/>
        <v>643.6499999999985</v>
      </c>
      <c r="R141" s="19">
        <f t="shared" si="75"/>
        <v>443.6500000000002</v>
      </c>
      <c r="Z141" s="19">
        <f t="shared" si="84"/>
        <v>239.62500000000017</v>
      </c>
      <c r="AA141" s="19">
        <f t="shared" si="85"/>
        <v>39.624999999999993</v>
      </c>
      <c r="AB141" s="19" t="e">
        <f t="shared" si="86"/>
        <v>#N/A</v>
      </c>
      <c r="AE141" s="19">
        <v>50</v>
      </c>
      <c r="AG141" s="19">
        <f t="shared" si="55"/>
        <v>1</v>
      </c>
      <c r="AH141" s="19">
        <f t="shared" si="56"/>
        <v>1</v>
      </c>
      <c r="AI141" s="19">
        <f t="shared" si="57"/>
        <v>7.2450000000000001</v>
      </c>
      <c r="AJ141" s="410">
        <f t="shared" si="58"/>
        <v>907.72</v>
      </c>
      <c r="AK141" s="19" t="e">
        <f t="shared" si="59"/>
        <v>#N/A</v>
      </c>
      <c r="AL141" s="19">
        <f t="shared" si="60"/>
        <v>707.72</v>
      </c>
      <c r="AM141" s="19" t="e">
        <f t="shared" si="61"/>
        <v>#N/A</v>
      </c>
      <c r="AN141" s="19">
        <f t="shared" si="62"/>
        <v>507.72</v>
      </c>
      <c r="AO141" s="19" t="e">
        <f t="shared" si="63"/>
        <v>#N/A</v>
      </c>
      <c r="AP141" s="19">
        <f t="shared" si="64"/>
        <v>307.72000000000003</v>
      </c>
      <c r="AQ141" s="19" t="e">
        <f t="shared" si="65"/>
        <v>#N/A</v>
      </c>
      <c r="AR141" s="19">
        <f t="shared" si="66"/>
        <v>107.72</v>
      </c>
      <c r="AS141" s="19" t="e">
        <f t="shared" si="67"/>
        <v>#N/A</v>
      </c>
      <c r="AY141" s="401">
        <v>-2</v>
      </c>
      <c r="AZ141" s="19">
        <f t="shared" si="87"/>
        <v>48.132995426615409</v>
      </c>
      <c r="BA141" s="19">
        <f t="shared" si="88"/>
        <v>4.5</v>
      </c>
      <c r="BO141" s="72">
        <f t="shared" si="82"/>
        <v>0.91177107393741608</v>
      </c>
      <c r="BP141" s="399" t="str">
        <f t="shared" si="76"/>
        <v/>
      </c>
      <c r="BQ141" s="19">
        <f t="shared" si="77"/>
        <v>-999</v>
      </c>
      <c r="BR141" s="19">
        <f t="shared" si="78"/>
        <v>-999</v>
      </c>
      <c r="BS141" s="401">
        <v>92</v>
      </c>
      <c r="BT141" s="72">
        <f t="shared" si="83"/>
        <v>0.32262080907821655</v>
      </c>
      <c r="BU141" s="399" t="str">
        <f t="shared" si="79"/>
        <v/>
      </c>
      <c r="BV141" s="19">
        <f t="shared" si="80"/>
        <v>-999</v>
      </c>
      <c r="BW141" s="19">
        <f t="shared" si="81"/>
        <v>-999</v>
      </c>
      <c r="BY141" s="19">
        <f t="shared" si="89"/>
        <v>49.5</v>
      </c>
      <c r="BZ141" s="19">
        <f t="shared" si="70"/>
        <v>0.99968754882303912</v>
      </c>
      <c r="CA141" s="19">
        <f t="shared" si="71"/>
        <v>0.85487501672466926</v>
      </c>
      <c r="CB141"/>
      <c r="CC141"/>
      <c r="CD141"/>
      <c r="CE141"/>
      <c r="CJ141"/>
      <c r="CK141"/>
      <c r="CL141"/>
      <c r="CM141"/>
      <c r="CN141"/>
    </row>
    <row r="142" spans="14:92" ht="11.25" customHeight="1" x14ac:dyDescent="0.2">
      <c r="N142" s="19">
        <v>32</v>
      </c>
      <c r="O142" s="19">
        <f t="shared" si="73"/>
        <v>844.45499999999845</v>
      </c>
      <c r="P142" s="19">
        <f t="shared" si="74"/>
        <v>644.45499999999845</v>
      </c>
      <c r="R142" s="19">
        <f t="shared" si="75"/>
        <v>444.45500000000021</v>
      </c>
      <c r="Z142" s="19">
        <f t="shared" si="84"/>
        <v>240.43000000000018</v>
      </c>
      <c r="AA142" s="19">
        <f t="shared" si="85"/>
        <v>40.429999999999993</v>
      </c>
      <c r="AB142" s="19" t="e">
        <f t="shared" si="86"/>
        <v>#N/A</v>
      </c>
      <c r="AE142" s="19">
        <v>51</v>
      </c>
      <c r="AG142" s="19">
        <f t="shared" si="55"/>
        <v>3</v>
      </c>
      <c r="AH142" s="19">
        <f t="shared" si="56"/>
        <v>-1</v>
      </c>
      <c r="AI142" s="19">
        <f t="shared" si="57"/>
        <v>7.2450000000000001</v>
      </c>
      <c r="AJ142" s="410">
        <f t="shared" si="58"/>
        <v>876.84</v>
      </c>
      <c r="AK142" s="19" t="e">
        <f t="shared" si="59"/>
        <v>#N/A</v>
      </c>
      <c r="AL142" s="19">
        <f t="shared" si="60"/>
        <v>676.84</v>
      </c>
      <c r="AM142" s="19" t="e">
        <f t="shared" si="61"/>
        <v>#N/A</v>
      </c>
      <c r="AN142" s="19">
        <f t="shared" si="62"/>
        <v>476.84</v>
      </c>
      <c r="AO142" s="19" t="e">
        <f t="shared" si="63"/>
        <v>#N/A</v>
      </c>
      <c r="AP142" s="19">
        <f t="shared" si="64"/>
        <v>276.83999999999997</v>
      </c>
      <c r="AQ142" s="19" t="e">
        <f t="shared" si="65"/>
        <v>#N/A</v>
      </c>
      <c r="AR142" s="19">
        <f t="shared" si="66"/>
        <v>76.84</v>
      </c>
      <c r="AS142" s="19" t="e">
        <f t="shared" si="67"/>
        <v>#N/A</v>
      </c>
      <c r="AY142" s="401">
        <v>0</v>
      </c>
      <c r="AZ142" s="19">
        <f t="shared" si="87"/>
        <v>50.132995426615409</v>
      </c>
      <c r="BA142" s="19">
        <f t="shared" si="88"/>
        <v>4.5</v>
      </c>
      <c r="BO142" s="72">
        <f t="shared" si="82"/>
        <v>0.59239812195301056</v>
      </c>
      <c r="BP142" s="399" t="str">
        <f t="shared" si="76"/>
        <v/>
      </c>
      <c r="BQ142" s="19">
        <f t="shared" si="77"/>
        <v>-999</v>
      </c>
      <c r="BR142" s="19">
        <f t="shared" si="78"/>
        <v>-999</v>
      </c>
      <c r="BS142" s="401">
        <v>93</v>
      </c>
      <c r="BT142" s="72">
        <f t="shared" si="83"/>
        <v>0.28485268354415894</v>
      </c>
      <c r="BU142" s="399" t="str">
        <f t="shared" si="79"/>
        <v/>
      </c>
      <c r="BV142" s="19">
        <f t="shared" si="80"/>
        <v>-999</v>
      </c>
      <c r="BW142" s="19">
        <f t="shared" si="81"/>
        <v>-999</v>
      </c>
      <c r="BY142" s="19">
        <f t="shared" si="89"/>
        <v>50</v>
      </c>
      <c r="BZ142" s="19">
        <f t="shared" si="70"/>
        <v>1</v>
      </c>
      <c r="CA142" s="19">
        <f t="shared" si="71"/>
        <v>0.86665656454746043</v>
      </c>
      <c r="CB142"/>
      <c r="CC142"/>
      <c r="CD142"/>
      <c r="CE142"/>
      <c r="CJ142"/>
      <c r="CK142"/>
      <c r="CL142"/>
      <c r="CM142"/>
      <c r="CN142"/>
    </row>
    <row r="143" spans="14:92" ht="11.25" customHeight="1" x14ac:dyDescent="0.2">
      <c r="N143" s="19">
        <v>33</v>
      </c>
      <c r="O143" s="19">
        <f t="shared" si="73"/>
        <v>845.2599999999984</v>
      </c>
      <c r="P143" s="19">
        <f t="shared" si="74"/>
        <v>645.2599999999984</v>
      </c>
      <c r="R143" s="19">
        <f t="shared" si="75"/>
        <v>445.26000000000022</v>
      </c>
      <c r="Z143" s="19">
        <f t="shared" si="84"/>
        <v>241.23500000000018</v>
      </c>
      <c r="AA143" s="19">
        <f t="shared" si="85"/>
        <v>41.234999999999992</v>
      </c>
      <c r="AB143" s="19" t="e">
        <f t="shared" si="86"/>
        <v>#N/A</v>
      </c>
      <c r="AE143" s="19">
        <v>52</v>
      </c>
      <c r="AG143" s="19">
        <f t="shared" si="55"/>
        <v>3</v>
      </c>
      <c r="AH143" s="19">
        <f t="shared" si="56"/>
        <v>1</v>
      </c>
      <c r="AI143" s="19">
        <f t="shared" si="57"/>
        <v>7.2450000000000001</v>
      </c>
      <c r="AJ143" s="410">
        <f t="shared" si="58"/>
        <v>923.16</v>
      </c>
      <c r="AK143" s="19" t="e">
        <f t="shared" si="59"/>
        <v>#N/A</v>
      </c>
      <c r="AL143" s="19">
        <f t="shared" si="60"/>
        <v>723.16</v>
      </c>
      <c r="AM143" s="19" t="e">
        <f t="shared" si="61"/>
        <v>#N/A</v>
      </c>
      <c r="AN143" s="19">
        <f t="shared" si="62"/>
        <v>523.16</v>
      </c>
      <c r="AO143" s="19" t="e">
        <f t="shared" si="63"/>
        <v>#N/A</v>
      </c>
      <c r="AP143" s="19">
        <f t="shared" si="64"/>
        <v>323.16000000000003</v>
      </c>
      <c r="AQ143" s="19" t="e">
        <f t="shared" si="65"/>
        <v>#N/A</v>
      </c>
      <c r="AR143" s="19">
        <f t="shared" si="66"/>
        <v>123.16</v>
      </c>
      <c r="AS143" s="19" t="e">
        <f t="shared" si="67"/>
        <v>#N/A</v>
      </c>
      <c r="AY143" s="401">
        <v>2</v>
      </c>
      <c r="AZ143" s="19">
        <f t="shared" si="87"/>
        <v>52.132995426615409</v>
      </c>
      <c r="BA143" s="19">
        <f t="shared" si="88"/>
        <v>4.5</v>
      </c>
      <c r="BO143" s="72">
        <f t="shared" si="82"/>
        <v>0.92070569097995758</v>
      </c>
      <c r="BP143" s="399" t="str">
        <f t="shared" si="76"/>
        <v/>
      </c>
      <c r="BQ143" s="19">
        <f t="shared" si="77"/>
        <v>-999</v>
      </c>
      <c r="BR143" s="19">
        <f t="shared" si="78"/>
        <v>-999</v>
      </c>
      <c r="BS143" s="401">
        <v>94</v>
      </c>
      <c r="BT143" s="72">
        <f t="shared" si="83"/>
        <v>0.53852647542953491</v>
      </c>
      <c r="BU143" s="399" t="str">
        <f t="shared" si="79"/>
        <v/>
      </c>
      <c r="BV143" s="19">
        <f t="shared" si="80"/>
        <v>-999</v>
      </c>
      <c r="BW143" s="19">
        <f t="shared" si="81"/>
        <v>-999</v>
      </c>
      <c r="BY143" s="19">
        <f t="shared" si="89"/>
        <v>50.5</v>
      </c>
      <c r="BZ143" s="19">
        <f t="shared" si="70"/>
        <v>0.99968754882303912</v>
      </c>
      <c r="CA143" s="19">
        <f t="shared" si="71"/>
        <v>0.87805152724661628</v>
      </c>
      <c r="CB143"/>
      <c r="CC143"/>
      <c r="CD143"/>
      <c r="CE143"/>
      <c r="CJ143"/>
      <c r="CK143"/>
      <c r="CL143"/>
      <c r="CM143"/>
      <c r="CN143"/>
    </row>
    <row r="144" spans="14:92" ht="11.25" customHeight="1" x14ac:dyDescent="0.2">
      <c r="N144" s="19">
        <v>34</v>
      </c>
      <c r="O144" s="19">
        <f t="shared" ref="O144:O175" si="90">O143+$P$108</f>
        <v>846.06499999999835</v>
      </c>
      <c r="P144" s="19">
        <f t="shared" ref="P144:P175" si="91">P143+$P$108</f>
        <v>646.06499999999835</v>
      </c>
      <c r="R144" s="19">
        <f t="shared" ref="R144:R175" si="92">R143+$P$108</f>
        <v>446.06500000000023</v>
      </c>
      <c r="Z144" s="19">
        <f t="shared" si="84"/>
        <v>242.04000000000019</v>
      </c>
      <c r="AA144" s="19">
        <f t="shared" si="85"/>
        <v>42.039999999999992</v>
      </c>
      <c r="AB144" s="19" t="e">
        <f t="shared" si="86"/>
        <v>#N/A</v>
      </c>
      <c r="AE144" s="19">
        <v>53</v>
      </c>
      <c r="AG144" s="19">
        <f t="shared" si="55"/>
        <v>5</v>
      </c>
      <c r="AH144" s="19">
        <f t="shared" si="56"/>
        <v>-1</v>
      </c>
      <c r="AI144" s="19">
        <f t="shared" si="57"/>
        <v>7.2450000000000001</v>
      </c>
      <c r="AJ144" s="410">
        <f t="shared" si="58"/>
        <v>861.4</v>
      </c>
      <c r="AK144" s="19" t="e">
        <f t="shared" si="59"/>
        <v>#N/A</v>
      </c>
      <c r="AL144" s="19">
        <f t="shared" si="60"/>
        <v>661.4</v>
      </c>
      <c r="AM144" s="19" t="e">
        <f t="shared" si="61"/>
        <v>#N/A</v>
      </c>
      <c r="AN144" s="19">
        <f t="shared" si="62"/>
        <v>461.4</v>
      </c>
      <c r="AO144" s="19" t="e">
        <f t="shared" si="63"/>
        <v>#N/A</v>
      </c>
      <c r="AP144" s="19">
        <f t="shared" si="64"/>
        <v>261.39999999999998</v>
      </c>
      <c r="AQ144" s="19" t="e">
        <f t="shared" si="65"/>
        <v>#N/A</v>
      </c>
      <c r="AR144" s="19">
        <f t="shared" si="66"/>
        <v>61.4</v>
      </c>
      <c r="AS144" s="19" t="e">
        <f t="shared" si="67"/>
        <v>#N/A</v>
      </c>
      <c r="AY144" s="401">
        <v>4</v>
      </c>
      <c r="AZ144" s="19">
        <f t="shared" si="87"/>
        <v>54.132995426615409</v>
      </c>
      <c r="BA144" s="19">
        <f t="shared" si="88"/>
        <v>4.5</v>
      </c>
      <c r="BO144" s="72">
        <f t="shared" si="82"/>
        <v>0.87897355854511261</v>
      </c>
      <c r="BP144" s="399" t="str">
        <f t="shared" si="76"/>
        <v/>
      </c>
      <c r="BQ144" s="19">
        <f t="shared" si="77"/>
        <v>-999</v>
      </c>
      <c r="BR144" s="19">
        <f t="shared" si="78"/>
        <v>-999</v>
      </c>
      <c r="BS144" s="401">
        <v>95</v>
      </c>
      <c r="BT144" s="72">
        <f t="shared" si="83"/>
        <v>0.75513952970504761</v>
      </c>
      <c r="BU144" s="399" t="str">
        <f t="shared" si="79"/>
        <v/>
      </c>
      <c r="BV144" s="19">
        <f t="shared" si="80"/>
        <v>-999</v>
      </c>
      <c r="BW144" s="19">
        <f t="shared" si="81"/>
        <v>-999</v>
      </c>
      <c r="BY144" s="19">
        <f t="shared" si="89"/>
        <v>51</v>
      </c>
      <c r="BZ144" s="19">
        <f t="shared" si="70"/>
        <v>0.99875078092458081</v>
      </c>
      <c r="CA144" s="19">
        <f t="shared" si="71"/>
        <v>0.88904048906525768</v>
      </c>
      <c r="CB144"/>
      <c r="CC144"/>
      <c r="CD144"/>
      <c r="CE144"/>
      <c r="CJ144"/>
      <c r="CK144"/>
      <c r="CL144"/>
      <c r="CM144"/>
      <c r="CN144"/>
    </row>
    <row r="145" spans="14:92" ht="11.25" customHeight="1" x14ac:dyDescent="0.2">
      <c r="N145" s="19">
        <v>35</v>
      </c>
      <c r="O145" s="19">
        <f t="shared" si="90"/>
        <v>846.8699999999983</v>
      </c>
      <c r="P145" s="19">
        <f t="shared" si="91"/>
        <v>646.8699999999983</v>
      </c>
      <c r="R145" s="19">
        <f t="shared" si="92"/>
        <v>446.87000000000023</v>
      </c>
      <c r="Z145" s="19">
        <f t="shared" si="84"/>
        <v>242.8450000000002</v>
      </c>
      <c r="AA145" s="19">
        <f t="shared" si="85"/>
        <v>42.844999999999992</v>
      </c>
      <c r="AB145" s="19" t="e">
        <f t="shared" si="86"/>
        <v>#N/A</v>
      </c>
      <c r="AE145" s="19">
        <v>54</v>
      </c>
      <c r="AG145" s="19">
        <f t="shared" si="55"/>
        <v>5</v>
      </c>
      <c r="AH145" s="19">
        <f t="shared" si="56"/>
        <v>1</v>
      </c>
      <c r="AI145" s="19">
        <f t="shared" si="57"/>
        <v>7.2450000000000001</v>
      </c>
      <c r="AJ145" s="410">
        <f t="shared" si="58"/>
        <v>938.6</v>
      </c>
      <c r="AK145" s="19" t="e">
        <f t="shared" si="59"/>
        <v>#N/A</v>
      </c>
      <c r="AL145" s="19">
        <f t="shared" si="60"/>
        <v>738.6</v>
      </c>
      <c r="AM145" s="19" t="e">
        <f t="shared" si="61"/>
        <v>#N/A</v>
      </c>
      <c r="AN145" s="19">
        <f t="shared" si="62"/>
        <v>538.6</v>
      </c>
      <c r="AO145" s="19" t="e">
        <f t="shared" si="63"/>
        <v>#N/A</v>
      </c>
      <c r="AP145" s="19">
        <f t="shared" si="64"/>
        <v>338.6</v>
      </c>
      <c r="AQ145" s="19" t="e">
        <f t="shared" si="65"/>
        <v>#N/A</v>
      </c>
      <c r="AR145" s="19">
        <f t="shared" si="66"/>
        <v>138.6</v>
      </c>
      <c r="AS145" s="19" t="e">
        <f t="shared" si="67"/>
        <v>#N/A</v>
      </c>
      <c r="AY145" s="401">
        <v>6</v>
      </c>
      <c r="AZ145" s="19">
        <f t="shared" si="87"/>
        <v>56.132995426615409</v>
      </c>
      <c r="BA145" s="19">
        <f t="shared" si="88"/>
        <v>4.5</v>
      </c>
      <c r="BO145" s="72">
        <f t="shared" si="82"/>
        <v>1.2107387185096741E-2</v>
      </c>
      <c r="BP145" s="399" t="str">
        <f t="shared" si="76"/>
        <v/>
      </c>
      <c r="BQ145" s="19">
        <f t="shared" si="77"/>
        <v>-999</v>
      </c>
      <c r="BR145" s="19">
        <f t="shared" si="78"/>
        <v>-999</v>
      </c>
      <c r="BS145" s="401">
        <v>96</v>
      </c>
      <c r="BT145" s="72">
        <f t="shared" si="83"/>
        <v>0.11386436223983765</v>
      </c>
      <c r="BU145" s="399" t="str">
        <f t="shared" si="79"/>
        <v/>
      </c>
      <c r="BV145" s="19">
        <f t="shared" si="80"/>
        <v>-999</v>
      </c>
      <c r="BW145" s="19">
        <f t="shared" si="81"/>
        <v>-999</v>
      </c>
      <c r="BY145" s="19">
        <f t="shared" si="89"/>
        <v>51.5</v>
      </c>
      <c r="BZ145" s="19">
        <f t="shared" si="70"/>
        <v>0.99719145137284493</v>
      </c>
      <c r="CA145" s="19">
        <f t="shared" si="71"/>
        <v>0.89960455099523118</v>
      </c>
      <c r="CB145"/>
      <c r="CC145"/>
      <c r="CD145"/>
      <c r="CE145"/>
      <c r="CJ145"/>
      <c r="CK145"/>
      <c r="CL145"/>
      <c r="CM145"/>
      <c r="CN145"/>
    </row>
    <row r="146" spans="14:92" ht="11.25" customHeight="1" x14ac:dyDescent="0.2">
      <c r="N146" s="19">
        <v>36</v>
      </c>
      <c r="O146" s="19">
        <f t="shared" si="90"/>
        <v>847.67499999999825</v>
      </c>
      <c r="P146" s="19">
        <f t="shared" si="91"/>
        <v>647.67499999999825</v>
      </c>
      <c r="R146" s="19">
        <f t="shared" si="92"/>
        <v>447.67500000000024</v>
      </c>
      <c r="Z146" s="19">
        <f t="shared" si="84"/>
        <v>243.6500000000002</v>
      </c>
      <c r="AA146" s="19">
        <f t="shared" si="85"/>
        <v>43.649999999999991</v>
      </c>
      <c r="AB146" s="19" t="e">
        <f t="shared" si="86"/>
        <v>#N/A</v>
      </c>
      <c r="AE146" s="19">
        <v>55</v>
      </c>
      <c r="AG146" s="19">
        <f t="shared" si="55"/>
        <v>7</v>
      </c>
      <c r="AH146" s="19">
        <f t="shared" si="56"/>
        <v>-1</v>
      </c>
      <c r="AI146" s="19">
        <f t="shared" si="57"/>
        <v>7.2450000000000001</v>
      </c>
      <c r="AJ146" s="410">
        <f t="shared" si="58"/>
        <v>845.96</v>
      </c>
      <c r="AK146" s="19" t="e">
        <f t="shared" si="59"/>
        <v>#N/A</v>
      </c>
      <c r="AL146" s="19">
        <f t="shared" si="60"/>
        <v>645.96</v>
      </c>
      <c r="AM146" s="19" t="e">
        <f t="shared" si="61"/>
        <v>#N/A</v>
      </c>
      <c r="AN146" s="19">
        <f t="shared" si="62"/>
        <v>445.96</v>
      </c>
      <c r="AO146" s="19" t="e">
        <f t="shared" si="63"/>
        <v>#N/A</v>
      </c>
      <c r="AP146" s="19">
        <f t="shared" si="64"/>
        <v>245.96</v>
      </c>
      <c r="AQ146" s="19" t="e">
        <f t="shared" si="65"/>
        <v>#N/A</v>
      </c>
      <c r="AR146" s="19">
        <f t="shared" si="66"/>
        <v>45.96</v>
      </c>
      <c r="AS146" s="19" t="e">
        <f t="shared" si="67"/>
        <v>#N/A</v>
      </c>
      <c r="AY146" s="401">
        <v>8</v>
      </c>
      <c r="AZ146" s="19">
        <f t="shared" si="87"/>
        <v>58.132995426615409</v>
      </c>
      <c r="BA146" s="19">
        <f t="shared" si="88"/>
        <v>4.5</v>
      </c>
      <c r="BO146" s="72">
        <f t="shared" si="82"/>
        <v>2.9247000813484192E-2</v>
      </c>
      <c r="BP146" s="399" t="str">
        <f t="shared" ref="BP146:BP177" si="93">IF(AND($BR$7,$BS146&lt;=$U$10),$J$6+$J$5*NORMSINV(BO146),"")</f>
        <v/>
      </c>
      <c r="BQ146" s="19">
        <f t="shared" ref="BQ146:BQ177" si="94">IF(AND($BR$2,BP146&lt;&gt;"",$G$4&lt;&gt;""),BP146,-999)</f>
        <v>-999</v>
      </c>
      <c r="BR146" s="19">
        <f t="shared" ref="BR146:BR177" si="95">IF(BQ146=-999,-999,2)</f>
        <v>-999</v>
      </c>
      <c r="BS146" s="401">
        <v>97</v>
      </c>
      <c r="BT146" s="72">
        <f t="shared" si="83"/>
        <v>0.10263508558273315</v>
      </c>
      <c r="BU146" s="399" t="str">
        <f t="shared" ref="BU146:BU177" si="96">IF(AND($BR$7,$BS146&lt;=$U$10),$J$4+$J$5*NORMSINV(BT146),"")</f>
        <v/>
      </c>
      <c r="BV146" s="19">
        <f t="shared" ref="BV146:BV177" si="97">IF(AND($BR$2,BU146&lt;&gt;"",$G$4&lt;&gt;""),BU146,-999)</f>
        <v>-999</v>
      </c>
      <c r="BW146" s="19">
        <f t="shared" ref="BW146:BW177" si="98">IF(BV146=-999,-999,0)</f>
        <v>-999</v>
      </c>
      <c r="BY146" s="19">
        <f t="shared" si="89"/>
        <v>52</v>
      </c>
      <c r="BZ146" s="19">
        <f t="shared" si="70"/>
        <v>0.99501247919268221</v>
      </c>
      <c r="CA146" s="19">
        <f t="shared" si="71"/>
        <v>0.90972538476317222</v>
      </c>
      <c r="CB146"/>
      <c r="CC146"/>
      <c r="CD146"/>
      <c r="CE146"/>
      <c r="CJ146"/>
      <c r="CK146"/>
      <c r="CL146"/>
      <c r="CM146"/>
      <c r="CN146"/>
    </row>
    <row r="147" spans="14:92" ht="11.25" customHeight="1" x14ac:dyDescent="0.2">
      <c r="N147" s="19">
        <v>37</v>
      </c>
      <c r="O147" s="19">
        <f t="shared" si="90"/>
        <v>848.4799999999982</v>
      </c>
      <c r="P147" s="19">
        <f t="shared" si="91"/>
        <v>648.4799999999982</v>
      </c>
      <c r="R147" s="19">
        <f t="shared" si="92"/>
        <v>448.48000000000025</v>
      </c>
      <c r="Z147" s="19">
        <f t="shared" si="84"/>
        <v>244.45500000000021</v>
      </c>
      <c r="AA147" s="19">
        <f t="shared" si="85"/>
        <v>44.454999999999991</v>
      </c>
      <c r="AB147" s="19" t="e">
        <f t="shared" si="86"/>
        <v>#N/A</v>
      </c>
      <c r="AE147" s="19">
        <v>56</v>
      </c>
      <c r="AG147" s="19">
        <f t="shared" si="55"/>
        <v>7</v>
      </c>
      <c r="AH147" s="19">
        <f t="shared" si="56"/>
        <v>1</v>
      </c>
      <c r="AI147" s="19">
        <f t="shared" si="57"/>
        <v>7.2450000000000001</v>
      </c>
      <c r="AJ147" s="410">
        <f t="shared" si="58"/>
        <v>954.04</v>
      </c>
      <c r="AK147" s="19" t="e">
        <f t="shared" si="59"/>
        <v>#N/A</v>
      </c>
      <c r="AL147" s="19">
        <f t="shared" si="60"/>
        <v>754.04</v>
      </c>
      <c r="AM147" s="19" t="e">
        <f t="shared" si="61"/>
        <v>#N/A</v>
      </c>
      <c r="AN147" s="19">
        <f t="shared" si="62"/>
        <v>554.04</v>
      </c>
      <c r="AO147" s="19" t="e">
        <f t="shared" si="63"/>
        <v>#N/A</v>
      </c>
      <c r="AP147" s="19">
        <f t="shared" si="64"/>
        <v>354.04</v>
      </c>
      <c r="AQ147" s="19" t="e">
        <f t="shared" si="65"/>
        <v>#N/A</v>
      </c>
      <c r="AR147" s="19">
        <f t="shared" si="66"/>
        <v>154.04</v>
      </c>
      <c r="AS147" s="19" t="e">
        <f t="shared" si="67"/>
        <v>#N/A</v>
      </c>
      <c r="AY147" s="401">
        <v>10</v>
      </c>
      <c r="AZ147" s="19">
        <f t="shared" si="87"/>
        <v>60.132995426615409</v>
      </c>
      <c r="BA147" s="19">
        <f t="shared" si="88"/>
        <v>4.5</v>
      </c>
      <c r="BO147" s="72">
        <f t="shared" ref="BO147:BO178" si="99">MOD(BO146*10000013,1)</f>
        <v>0.38834585249423981</v>
      </c>
      <c r="BP147" s="399" t="str">
        <f t="shared" si="93"/>
        <v/>
      </c>
      <c r="BQ147" s="19">
        <f t="shared" si="94"/>
        <v>-999</v>
      </c>
      <c r="BR147" s="19">
        <f t="shared" si="95"/>
        <v>-999</v>
      </c>
      <c r="BS147" s="401">
        <v>98</v>
      </c>
      <c r="BT147" s="72">
        <f t="shared" ref="BT147:BT178" si="100">MOD(BT146*10000013,1)</f>
        <v>0.19008344411849976</v>
      </c>
      <c r="BU147" s="399" t="str">
        <f t="shared" si="96"/>
        <v/>
      </c>
      <c r="BV147" s="19">
        <f t="shared" si="97"/>
        <v>-999</v>
      </c>
      <c r="BW147" s="19">
        <f t="shared" si="98"/>
        <v>-999</v>
      </c>
      <c r="BY147" s="19">
        <f t="shared" si="89"/>
        <v>52.5</v>
      </c>
      <c r="BZ147" s="19">
        <f t="shared" si="70"/>
        <v>0.99221793826024329</v>
      </c>
      <c r="CA147" s="19">
        <f t="shared" si="71"/>
        <v>0.91938528568158984</v>
      </c>
      <c r="CB147"/>
      <c r="CC147"/>
      <c r="CD147"/>
      <c r="CE147"/>
      <c r="CJ147"/>
      <c r="CK147"/>
      <c r="CL147"/>
      <c r="CM147"/>
      <c r="CN147"/>
    </row>
    <row r="148" spans="14:92" ht="11.25" customHeight="1" x14ac:dyDescent="0.2">
      <c r="N148" s="19">
        <v>38</v>
      </c>
      <c r="O148" s="19">
        <f t="shared" si="90"/>
        <v>849.28499999999815</v>
      </c>
      <c r="P148" s="19">
        <f t="shared" si="91"/>
        <v>649.28499999999815</v>
      </c>
      <c r="R148" s="19">
        <f t="shared" si="92"/>
        <v>449.28500000000025</v>
      </c>
      <c r="Z148" s="19">
        <f t="shared" si="84"/>
        <v>245.26000000000022</v>
      </c>
      <c r="AA148" s="19">
        <f t="shared" si="85"/>
        <v>45.259999999999991</v>
      </c>
      <c r="AB148" s="19" t="e">
        <f t="shared" si="86"/>
        <v>#N/A</v>
      </c>
      <c r="AE148" s="19">
        <v>57</v>
      </c>
      <c r="AG148" s="19">
        <f t="shared" si="55"/>
        <v>9</v>
      </c>
      <c r="AH148" s="19">
        <f t="shared" si="56"/>
        <v>-1</v>
      </c>
      <c r="AI148" s="19">
        <f t="shared" si="57"/>
        <v>7.2450000000000001</v>
      </c>
      <c r="AJ148" s="410">
        <f t="shared" si="58"/>
        <v>830.52</v>
      </c>
      <c r="AK148" s="19" t="e">
        <f t="shared" si="59"/>
        <v>#N/A</v>
      </c>
      <c r="AL148" s="19">
        <f t="shared" si="60"/>
        <v>630.52</v>
      </c>
      <c r="AM148" s="19" t="e">
        <f t="shared" si="61"/>
        <v>#N/A</v>
      </c>
      <c r="AN148" s="19">
        <f t="shared" si="62"/>
        <v>430.52</v>
      </c>
      <c r="AO148" s="19" t="e">
        <f t="shared" si="63"/>
        <v>#N/A</v>
      </c>
      <c r="AP148" s="19">
        <f t="shared" si="64"/>
        <v>230.51999999999998</v>
      </c>
      <c r="AQ148" s="19" t="e">
        <f t="shared" si="65"/>
        <v>#N/A</v>
      </c>
      <c r="AR148" s="19">
        <f t="shared" si="66"/>
        <v>30.519999999999996</v>
      </c>
      <c r="AS148" s="19" t="e">
        <f t="shared" si="67"/>
        <v>#N/A</v>
      </c>
      <c r="AY148" s="401">
        <v>12</v>
      </c>
      <c r="AZ148" s="19">
        <f t="shared" si="87"/>
        <v>62.132995426615409</v>
      </c>
      <c r="BA148" s="19">
        <f t="shared" si="88"/>
        <v>4.5</v>
      </c>
      <c r="BO148" s="72">
        <f t="shared" si="99"/>
        <v>0.57343848049640656</v>
      </c>
      <c r="BP148" s="399" t="str">
        <f t="shared" si="93"/>
        <v/>
      </c>
      <c r="BQ148" s="19">
        <f t="shared" si="94"/>
        <v>-999</v>
      </c>
      <c r="BR148" s="19">
        <f t="shared" si="95"/>
        <v>-999</v>
      </c>
      <c r="BS148" s="401">
        <v>99</v>
      </c>
      <c r="BT148" s="72">
        <f t="shared" si="100"/>
        <v>0.91226977109909058</v>
      </c>
      <c r="BU148" s="399" t="str">
        <f t="shared" si="96"/>
        <v/>
      </c>
      <c r="BV148" s="19">
        <f t="shared" si="97"/>
        <v>-999</v>
      </c>
      <c r="BW148" s="19">
        <f t="shared" si="98"/>
        <v>-999</v>
      </c>
      <c r="BY148" s="19">
        <f t="shared" si="89"/>
        <v>53</v>
      </c>
      <c r="BZ148" s="19">
        <f t="shared" si="70"/>
        <v>0.98881304461123298</v>
      </c>
      <c r="CA148" s="19">
        <f t="shared" si="71"/>
        <v>0.92856722415226012</v>
      </c>
      <c r="CB148"/>
      <c r="CC148"/>
      <c r="CD148"/>
      <c r="CE148"/>
      <c r="CJ148"/>
      <c r="CK148"/>
      <c r="CL148"/>
      <c r="CM148"/>
      <c r="CN148"/>
    </row>
    <row r="149" spans="14:92" ht="11.25" customHeight="1" x14ac:dyDescent="0.2">
      <c r="N149" s="19">
        <v>39</v>
      </c>
      <c r="O149" s="19">
        <f t="shared" si="90"/>
        <v>850.0899999999981</v>
      </c>
      <c r="P149" s="19">
        <f t="shared" si="91"/>
        <v>650.0899999999981</v>
      </c>
      <c r="R149" s="19">
        <f t="shared" si="92"/>
        <v>450.09000000000026</v>
      </c>
      <c r="Z149" s="19">
        <f t="shared" ref="Z149:Z180" si="101">Z148+$P$108</f>
        <v>246.06500000000023</v>
      </c>
      <c r="AA149" s="19">
        <f t="shared" ref="AA149:AA180" si="102">AA148+$P$108</f>
        <v>46.064999999999991</v>
      </c>
      <c r="AB149" s="19" t="e">
        <f t="shared" ref="AB149:AB180" si="103">AB148</f>
        <v>#N/A</v>
      </c>
      <c r="AE149" s="19">
        <v>58</v>
      </c>
      <c r="AG149" s="19">
        <f t="shared" si="55"/>
        <v>9</v>
      </c>
      <c r="AH149" s="19">
        <f t="shared" si="56"/>
        <v>1</v>
      </c>
      <c r="AI149" s="19">
        <f t="shared" si="57"/>
        <v>7.2450000000000001</v>
      </c>
      <c r="AJ149" s="410">
        <f t="shared" si="58"/>
        <v>969.48</v>
      </c>
      <c r="AK149" s="19" t="e">
        <f t="shared" si="59"/>
        <v>#N/A</v>
      </c>
      <c r="AL149" s="19">
        <f t="shared" si="60"/>
        <v>769.48</v>
      </c>
      <c r="AM149" s="19" t="e">
        <f t="shared" si="61"/>
        <v>#N/A</v>
      </c>
      <c r="AN149" s="19">
        <f t="shared" si="62"/>
        <v>569.48</v>
      </c>
      <c r="AO149" s="19" t="e">
        <f t="shared" si="63"/>
        <v>#N/A</v>
      </c>
      <c r="AP149" s="19">
        <f t="shared" si="64"/>
        <v>369.48</v>
      </c>
      <c r="AQ149" s="19" t="e">
        <f t="shared" si="65"/>
        <v>#N/A</v>
      </c>
      <c r="AR149" s="19">
        <f t="shared" si="66"/>
        <v>169.48000000000002</v>
      </c>
      <c r="AS149" s="19" t="e">
        <f t="shared" si="67"/>
        <v>#N/A</v>
      </c>
      <c r="AY149" s="401">
        <v>14</v>
      </c>
      <c r="AZ149" s="19">
        <f t="shared" si="87"/>
        <v>64.132995426615409</v>
      </c>
      <c r="BA149" s="19">
        <f t="shared" si="88"/>
        <v>4.5</v>
      </c>
      <c r="BO149" s="72">
        <f t="shared" si="99"/>
        <v>0.25966431200504303</v>
      </c>
      <c r="BP149" s="399" t="str">
        <f t="shared" si="93"/>
        <v/>
      </c>
      <c r="BQ149" s="19">
        <f t="shared" si="94"/>
        <v>-999</v>
      </c>
      <c r="BR149" s="19">
        <f t="shared" si="95"/>
        <v>-999</v>
      </c>
      <c r="BS149" s="401">
        <v>100</v>
      </c>
      <c r="BT149" s="72">
        <f t="shared" si="100"/>
        <v>0.57049793004989624</v>
      </c>
      <c r="BU149" s="399" t="str">
        <f t="shared" si="96"/>
        <v/>
      </c>
      <c r="BV149" s="19">
        <f t="shared" si="97"/>
        <v>-999</v>
      </c>
      <c r="BW149" s="19">
        <f t="shared" si="98"/>
        <v>-999</v>
      </c>
      <c r="BY149" s="19">
        <f t="shared" si="89"/>
        <v>53.5</v>
      </c>
      <c r="BZ149" s="19">
        <f t="shared" si="70"/>
        <v>0.98480414021809537</v>
      </c>
      <c r="CA149" s="19">
        <f t="shared" si="71"/>
        <v>0.9372548956126775</v>
      </c>
      <c r="CB149"/>
      <c r="CC149"/>
      <c r="CD149"/>
      <c r="CE149"/>
      <c r="CJ149"/>
      <c r="CK149"/>
      <c r="CL149"/>
      <c r="CM149"/>
      <c r="CN149"/>
    </row>
    <row r="150" spans="14:92" ht="11.25" customHeight="1" x14ac:dyDescent="0.2">
      <c r="N150" s="19">
        <v>40</v>
      </c>
      <c r="O150" s="19">
        <f t="shared" si="90"/>
        <v>850.89499999999805</v>
      </c>
      <c r="P150" s="19">
        <f t="shared" si="91"/>
        <v>650.89499999999805</v>
      </c>
      <c r="R150" s="19">
        <f t="shared" si="92"/>
        <v>450.89500000000027</v>
      </c>
      <c r="Z150" s="19">
        <f t="shared" si="101"/>
        <v>246.87000000000023</v>
      </c>
      <c r="AA150" s="19">
        <f t="shared" si="102"/>
        <v>46.86999999999999</v>
      </c>
      <c r="AB150" s="19" t="e">
        <f t="shared" si="103"/>
        <v>#N/A</v>
      </c>
      <c r="AE150" s="19">
        <v>59</v>
      </c>
      <c r="AG150" s="19">
        <f t="shared" si="55"/>
        <v>11</v>
      </c>
      <c r="AH150" s="19">
        <f t="shared" si="56"/>
        <v>-1</v>
      </c>
      <c r="AI150" s="19">
        <f t="shared" si="57"/>
        <v>7.2450000000000001</v>
      </c>
      <c r="AJ150" s="410">
        <f t="shared" si="58"/>
        <v>815.08</v>
      </c>
      <c r="AK150" s="19" t="e">
        <f t="shared" si="59"/>
        <v>#N/A</v>
      </c>
      <c r="AL150" s="19">
        <f t="shared" si="60"/>
        <v>615.08000000000004</v>
      </c>
      <c r="AM150" s="19" t="e">
        <f t="shared" si="61"/>
        <v>#N/A</v>
      </c>
      <c r="AN150" s="19">
        <f t="shared" si="62"/>
        <v>415.08</v>
      </c>
      <c r="AO150" s="19" t="e">
        <f t="shared" si="63"/>
        <v>#N/A</v>
      </c>
      <c r="AP150" s="19">
        <f t="shared" si="64"/>
        <v>215.07999999999998</v>
      </c>
      <c r="AQ150" s="19" t="e">
        <f t="shared" si="65"/>
        <v>#N/A</v>
      </c>
      <c r="AR150" s="19">
        <f t="shared" si="66"/>
        <v>15.079999999999998</v>
      </c>
      <c r="AS150" s="19" t="e">
        <f t="shared" si="67"/>
        <v>#N/A</v>
      </c>
      <c r="AY150" s="401">
        <v>16</v>
      </c>
      <c r="AZ150" s="19">
        <f t="shared" si="87"/>
        <v>66.132995426615409</v>
      </c>
      <c r="BA150" s="19">
        <f t="shared" si="88"/>
        <v>4.5</v>
      </c>
      <c r="BO150" s="72">
        <f t="shared" si="99"/>
        <v>0.49568648636341095</v>
      </c>
      <c r="BP150" s="399" t="str">
        <f t="shared" si="93"/>
        <v/>
      </c>
      <c r="BQ150" s="19">
        <f t="shared" si="94"/>
        <v>-999</v>
      </c>
      <c r="BR150" s="19">
        <f t="shared" si="95"/>
        <v>-999</v>
      </c>
      <c r="BS150" s="401">
        <v>101</v>
      </c>
      <c r="BT150" s="72">
        <f t="shared" si="100"/>
        <v>0.71697205305099487</v>
      </c>
      <c r="BU150" s="399" t="str">
        <f t="shared" si="96"/>
        <v/>
      </c>
      <c r="BV150" s="19">
        <f t="shared" si="97"/>
        <v>-999</v>
      </c>
      <c r="BW150" s="19">
        <f t="shared" si="98"/>
        <v>-999</v>
      </c>
      <c r="BY150" s="19">
        <f t="shared" si="89"/>
        <v>54</v>
      </c>
      <c r="BZ150" s="19">
        <f t="shared" si="70"/>
        <v>0.98019867330675525</v>
      </c>
      <c r="CA150" s="19">
        <f t="shared" si="71"/>
        <v>0.94543276872087401</v>
      </c>
      <c r="CB150"/>
      <c r="CC150"/>
      <c r="CD150"/>
      <c r="CE150"/>
      <c r="CJ150"/>
      <c r="CK150"/>
      <c r="CL150"/>
      <c r="CM150"/>
      <c r="CN150"/>
    </row>
    <row r="151" spans="14:92" ht="11.25" customHeight="1" x14ac:dyDescent="0.2">
      <c r="N151" s="19">
        <v>41</v>
      </c>
      <c r="O151" s="19">
        <f t="shared" si="90"/>
        <v>851.699999999998</v>
      </c>
      <c r="P151" s="19">
        <f t="shared" si="91"/>
        <v>651.699999999998</v>
      </c>
      <c r="R151" s="19">
        <f t="shared" si="92"/>
        <v>451.70000000000027</v>
      </c>
      <c r="Z151" s="19">
        <f t="shared" si="101"/>
        <v>247.67500000000024</v>
      </c>
      <c r="AA151" s="19">
        <f t="shared" si="102"/>
        <v>47.67499999999999</v>
      </c>
      <c r="AB151" s="19" t="e">
        <f t="shared" si="103"/>
        <v>#N/A</v>
      </c>
      <c r="AE151" s="19">
        <v>60</v>
      </c>
      <c r="AG151" s="19">
        <f t="shared" si="55"/>
        <v>11</v>
      </c>
      <c r="AH151" s="19">
        <f t="shared" si="56"/>
        <v>1</v>
      </c>
      <c r="AI151" s="19">
        <f t="shared" si="57"/>
        <v>7.2450000000000001</v>
      </c>
      <c r="AJ151" s="410">
        <f t="shared" si="58"/>
        <v>984.92</v>
      </c>
      <c r="AK151" s="19" t="e">
        <f t="shared" si="59"/>
        <v>#N/A</v>
      </c>
      <c r="AL151" s="19">
        <f t="shared" si="60"/>
        <v>784.92</v>
      </c>
      <c r="AM151" s="19" t="e">
        <f t="shared" si="61"/>
        <v>#N/A</v>
      </c>
      <c r="AN151" s="19">
        <f t="shared" si="62"/>
        <v>584.91999999999996</v>
      </c>
      <c r="AO151" s="19" t="e">
        <f t="shared" si="63"/>
        <v>#N/A</v>
      </c>
      <c r="AP151" s="19">
        <f t="shared" si="64"/>
        <v>384.92</v>
      </c>
      <c r="AQ151" s="19" t="e">
        <f t="shared" si="65"/>
        <v>#N/A</v>
      </c>
      <c r="AR151" s="19">
        <f t="shared" si="66"/>
        <v>184.92000000000002</v>
      </c>
      <c r="AS151" s="19" t="e">
        <f t="shared" si="67"/>
        <v>#N/A</v>
      </c>
      <c r="AY151" s="401">
        <v>18</v>
      </c>
      <c r="AZ151" s="19">
        <f t="shared" si="87"/>
        <v>68.132995426615409</v>
      </c>
      <c r="BA151" s="19">
        <f t="shared" si="88"/>
        <v>4.5</v>
      </c>
      <c r="BO151" s="72">
        <f t="shared" si="99"/>
        <v>0.30755843222141266</v>
      </c>
      <c r="BP151" s="399" t="str">
        <f t="shared" si="93"/>
        <v/>
      </c>
      <c r="BQ151" s="19">
        <f t="shared" si="94"/>
        <v>-999</v>
      </c>
      <c r="BR151" s="19">
        <f t="shared" si="95"/>
        <v>-999</v>
      </c>
      <c r="BS151" s="401">
        <v>102</v>
      </c>
      <c r="BT151" s="72">
        <f t="shared" si="100"/>
        <v>0.8511466383934021</v>
      </c>
      <c r="BU151" s="399" t="str">
        <f t="shared" si="96"/>
        <v/>
      </c>
      <c r="BV151" s="19">
        <f t="shared" si="97"/>
        <v>-999</v>
      </c>
      <c r="BW151" s="19">
        <f t="shared" si="98"/>
        <v>-999</v>
      </c>
      <c r="BY151" s="19">
        <f t="shared" si="89"/>
        <v>54.5</v>
      </c>
      <c r="BZ151" s="19">
        <f t="shared" si="70"/>
        <v>0.97500517529841757</v>
      </c>
      <c r="CA151" s="19">
        <f t="shared" si="71"/>
        <v>0.95308613157954825</v>
      </c>
      <c r="CB151"/>
      <c r="CC151"/>
      <c r="CD151"/>
      <c r="CE151"/>
      <c r="CJ151"/>
      <c r="CK151"/>
      <c r="CL151"/>
      <c r="CM151"/>
      <c r="CN151"/>
    </row>
    <row r="152" spans="14:92" ht="11.25" customHeight="1" x14ac:dyDescent="0.2">
      <c r="N152" s="19">
        <v>42</v>
      </c>
      <c r="O152" s="19">
        <f t="shared" si="90"/>
        <v>852.50499999999795</v>
      </c>
      <c r="P152" s="19">
        <f t="shared" si="91"/>
        <v>652.50499999999795</v>
      </c>
      <c r="R152" s="19">
        <f t="shared" si="92"/>
        <v>452.50500000000028</v>
      </c>
      <c r="Z152" s="19">
        <f t="shared" si="101"/>
        <v>248.48000000000025</v>
      </c>
      <c r="AA152" s="19">
        <f t="shared" si="102"/>
        <v>48.47999999999999</v>
      </c>
      <c r="AB152" s="19" t="e">
        <f t="shared" si="103"/>
        <v>#N/A</v>
      </c>
      <c r="AE152" s="19">
        <v>61</v>
      </c>
      <c r="AG152" s="19">
        <f t="shared" si="55"/>
        <v>1</v>
      </c>
      <c r="AH152" s="19">
        <f t="shared" si="56"/>
        <v>-1</v>
      </c>
      <c r="AI152" s="19">
        <f t="shared" si="57"/>
        <v>8.8550000000000004</v>
      </c>
      <c r="AJ152" s="410">
        <f t="shared" si="58"/>
        <v>892.28</v>
      </c>
      <c r="AK152" s="19" t="e">
        <f t="shared" si="59"/>
        <v>#N/A</v>
      </c>
      <c r="AL152" s="19">
        <f t="shared" si="60"/>
        <v>692.28</v>
      </c>
      <c r="AM152" s="19" t="e">
        <f t="shared" si="61"/>
        <v>#N/A</v>
      </c>
      <c r="AN152" s="19">
        <f t="shared" si="62"/>
        <v>492.28</v>
      </c>
      <c r="AO152" s="19" t="e">
        <f t="shared" si="63"/>
        <v>#N/A</v>
      </c>
      <c r="AP152" s="19">
        <f t="shared" si="64"/>
        <v>292.27999999999997</v>
      </c>
      <c r="AQ152" s="19" t="e">
        <f t="shared" si="65"/>
        <v>#N/A</v>
      </c>
      <c r="AR152" s="19">
        <f t="shared" si="66"/>
        <v>92.28</v>
      </c>
      <c r="AS152" s="19" t="e">
        <f t="shared" si="67"/>
        <v>#N/A</v>
      </c>
      <c r="AY152" s="401">
        <v>20</v>
      </c>
      <c r="AZ152" s="19">
        <f t="shared" si="87"/>
        <v>70.132995426615409</v>
      </c>
      <c r="BA152" s="19">
        <f t="shared" si="88"/>
        <v>4.5</v>
      </c>
      <c r="BO152" s="72">
        <f t="shared" si="99"/>
        <v>0.32047374546527863</v>
      </c>
      <c r="BP152" s="399" t="str">
        <f t="shared" si="93"/>
        <v/>
      </c>
      <c r="BQ152" s="19">
        <f t="shared" si="94"/>
        <v>-999</v>
      </c>
      <c r="BR152" s="19">
        <f t="shared" si="95"/>
        <v>-999</v>
      </c>
      <c r="BS152" s="401">
        <v>103</v>
      </c>
      <c r="BT152" s="72">
        <f t="shared" si="100"/>
        <v>0.44884032011032104</v>
      </c>
      <c r="BU152" s="399" t="str">
        <f t="shared" si="96"/>
        <v/>
      </c>
      <c r="BV152" s="19">
        <f t="shared" si="97"/>
        <v>-999</v>
      </c>
      <c r="BW152" s="19">
        <f t="shared" si="98"/>
        <v>-999</v>
      </c>
      <c r="BY152" s="19">
        <f t="shared" si="89"/>
        <v>55</v>
      </c>
      <c r="BZ152" s="19">
        <f t="shared" si="70"/>
        <v>0.96923323447634391</v>
      </c>
      <c r="CA152" s="19">
        <f t="shared" si="71"/>
        <v>0.96020113580713395</v>
      </c>
      <c r="CB152"/>
      <c r="CC152"/>
      <c r="CD152"/>
      <c r="CE152"/>
      <c r="CJ152"/>
      <c r="CK152"/>
      <c r="CL152"/>
      <c r="CM152"/>
      <c r="CN152"/>
    </row>
    <row r="153" spans="14:92" ht="11.25" customHeight="1" x14ac:dyDescent="0.2">
      <c r="N153" s="19">
        <v>43</v>
      </c>
      <c r="O153" s="19">
        <f t="shared" si="90"/>
        <v>853.3099999999979</v>
      </c>
      <c r="P153" s="19">
        <f t="shared" si="91"/>
        <v>653.3099999999979</v>
      </c>
      <c r="R153" s="19">
        <f t="shared" si="92"/>
        <v>453.31000000000029</v>
      </c>
      <c r="Z153" s="19">
        <f t="shared" si="101"/>
        <v>249.28500000000025</v>
      </c>
      <c r="AA153" s="19">
        <f t="shared" si="102"/>
        <v>49.284999999999989</v>
      </c>
      <c r="AB153" s="19" t="e">
        <f t="shared" si="103"/>
        <v>#N/A</v>
      </c>
      <c r="AE153" s="19">
        <v>62</v>
      </c>
      <c r="AG153" s="19">
        <f t="shared" si="55"/>
        <v>1</v>
      </c>
      <c r="AH153" s="19">
        <f t="shared" si="56"/>
        <v>1</v>
      </c>
      <c r="AI153" s="19">
        <f t="shared" si="57"/>
        <v>8.8550000000000004</v>
      </c>
      <c r="AJ153" s="410">
        <f t="shared" si="58"/>
        <v>907.72</v>
      </c>
      <c r="AK153" s="19" t="e">
        <f t="shared" si="59"/>
        <v>#N/A</v>
      </c>
      <c r="AL153" s="19">
        <f t="shared" si="60"/>
        <v>707.72</v>
      </c>
      <c r="AM153" s="19" t="e">
        <f t="shared" si="61"/>
        <v>#N/A</v>
      </c>
      <c r="AN153" s="19">
        <f t="shared" si="62"/>
        <v>507.72</v>
      </c>
      <c r="AO153" s="19" t="e">
        <f t="shared" si="63"/>
        <v>#N/A</v>
      </c>
      <c r="AP153" s="19">
        <f t="shared" si="64"/>
        <v>307.72000000000003</v>
      </c>
      <c r="AQ153" s="19" t="e">
        <f t="shared" si="65"/>
        <v>#N/A</v>
      </c>
      <c r="AR153" s="19">
        <f t="shared" si="66"/>
        <v>107.72</v>
      </c>
      <c r="AS153" s="19" t="e">
        <f t="shared" si="67"/>
        <v>#N/A</v>
      </c>
      <c r="AY153" s="401">
        <v>22</v>
      </c>
      <c r="AZ153" s="19">
        <f t="shared" si="87"/>
        <v>72.132995426615409</v>
      </c>
      <c r="BA153" s="19">
        <f t="shared" si="88"/>
        <v>4.5</v>
      </c>
      <c r="BO153" s="72">
        <f t="shared" si="99"/>
        <v>0.62081147730350494</v>
      </c>
      <c r="BP153" s="399" t="str">
        <f t="shared" si="93"/>
        <v/>
      </c>
      <c r="BQ153" s="19">
        <f t="shared" si="94"/>
        <v>-999</v>
      </c>
      <c r="BR153" s="19">
        <f t="shared" si="95"/>
        <v>-999</v>
      </c>
      <c r="BS153" s="401">
        <v>104</v>
      </c>
      <c r="BT153" s="72">
        <f t="shared" si="100"/>
        <v>3.6027371883392334E-2</v>
      </c>
      <c r="BU153" s="399" t="str">
        <f t="shared" si="96"/>
        <v/>
      </c>
      <c r="BV153" s="19">
        <f t="shared" si="97"/>
        <v>-999</v>
      </c>
      <c r="BW153" s="19">
        <f t="shared" si="98"/>
        <v>-999</v>
      </c>
      <c r="BY153" s="19">
        <f t="shared" si="89"/>
        <v>55.5</v>
      </c>
      <c r="BZ153" s="19">
        <f t="shared" si="70"/>
        <v>0.96289346649136254</v>
      </c>
      <c r="CA153" s="19">
        <f t="shared" si="71"/>
        <v>0.96676483827115289</v>
      </c>
      <c r="CB153"/>
      <c r="CC153"/>
      <c r="CD153"/>
      <c r="CE153"/>
      <c r="CJ153"/>
      <c r="CK153"/>
      <c r="CL153"/>
      <c r="CM153"/>
      <c r="CN153"/>
    </row>
    <row r="154" spans="14:92" ht="11.25" customHeight="1" x14ac:dyDescent="0.2">
      <c r="N154" s="19">
        <v>44</v>
      </c>
      <c r="O154" s="19">
        <f t="shared" si="90"/>
        <v>854.11499999999785</v>
      </c>
      <c r="P154" s="19">
        <f t="shared" si="91"/>
        <v>654.11499999999785</v>
      </c>
      <c r="R154" s="19">
        <f t="shared" si="92"/>
        <v>454.11500000000029</v>
      </c>
      <c r="Z154" s="19">
        <f t="shared" si="101"/>
        <v>250.09000000000026</v>
      </c>
      <c r="AA154" s="19">
        <f t="shared" si="102"/>
        <v>50.089999999999989</v>
      </c>
      <c r="AB154" s="19" t="e">
        <f t="shared" si="103"/>
        <v>#N/A</v>
      </c>
      <c r="AE154" s="19">
        <v>63</v>
      </c>
      <c r="AG154" s="19">
        <f t="shared" si="55"/>
        <v>3</v>
      </c>
      <c r="AH154" s="19">
        <f t="shared" si="56"/>
        <v>-1</v>
      </c>
      <c r="AI154" s="19">
        <f t="shared" si="57"/>
        <v>8.8550000000000004</v>
      </c>
      <c r="AJ154" s="410">
        <f t="shared" si="58"/>
        <v>876.84</v>
      </c>
      <c r="AK154" s="19" t="e">
        <f t="shared" si="59"/>
        <v>#N/A</v>
      </c>
      <c r="AL154" s="19">
        <f t="shared" si="60"/>
        <v>676.84</v>
      </c>
      <c r="AM154" s="19" t="e">
        <f t="shared" si="61"/>
        <v>#N/A</v>
      </c>
      <c r="AN154" s="19">
        <f t="shared" si="62"/>
        <v>476.84</v>
      </c>
      <c r="AO154" s="19" t="e">
        <f t="shared" si="63"/>
        <v>#N/A</v>
      </c>
      <c r="AP154" s="19">
        <f t="shared" si="64"/>
        <v>276.83999999999997</v>
      </c>
      <c r="AQ154" s="19" t="e">
        <f t="shared" si="65"/>
        <v>#N/A</v>
      </c>
      <c r="AR154" s="19">
        <f t="shared" si="66"/>
        <v>76.84</v>
      </c>
      <c r="AS154" s="19" t="e">
        <f t="shared" si="67"/>
        <v>#N/A</v>
      </c>
      <c r="AY154" s="401">
        <v>24</v>
      </c>
      <c r="AZ154" s="19">
        <f t="shared" si="87"/>
        <v>74.132995426615409</v>
      </c>
      <c r="BA154" s="19">
        <f t="shared" si="88"/>
        <v>4.5</v>
      </c>
      <c r="BO154" s="72">
        <f t="shared" si="99"/>
        <v>0.84358425438404083</v>
      </c>
      <c r="BP154" s="399" t="str">
        <f t="shared" si="93"/>
        <v/>
      </c>
      <c r="BQ154" s="19">
        <f t="shared" si="94"/>
        <v>-999</v>
      </c>
      <c r="BR154" s="19">
        <f t="shared" si="95"/>
        <v>-999</v>
      </c>
      <c r="BS154" s="401">
        <v>105</v>
      </c>
      <c r="BT154" s="72">
        <f t="shared" si="100"/>
        <v>0.18718975782394409</v>
      </c>
      <c r="BU154" s="399" t="str">
        <f t="shared" si="96"/>
        <v/>
      </c>
      <c r="BV154" s="19">
        <f t="shared" si="97"/>
        <v>-999</v>
      </c>
      <c r="BW154" s="19">
        <f t="shared" si="98"/>
        <v>-999</v>
      </c>
      <c r="BY154" s="19">
        <f t="shared" si="89"/>
        <v>56</v>
      </c>
      <c r="BZ154" s="19">
        <f t="shared" si="70"/>
        <v>0.95599748183309974</v>
      </c>
      <c r="CA154" s="19">
        <f t="shared" si="71"/>
        <v>0.97276524030790823</v>
      </c>
      <c r="CB154"/>
      <c r="CC154"/>
      <c r="CD154"/>
      <c r="CE154"/>
      <c r="CJ154"/>
      <c r="CK154"/>
      <c r="CL154"/>
      <c r="CM154"/>
      <c r="CN154"/>
    </row>
    <row r="155" spans="14:92" ht="11.25" customHeight="1" x14ac:dyDescent="0.2">
      <c r="N155" s="19">
        <v>45</v>
      </c>
      <c r="O155" s="19">
        <f t="shared" si="90"/>
        <v>854.9199999999978</v>
      </c>
      <c r="P155" s="19">
        <f t="shared" si="91"/>
        <v>654.9199999999978</v>
      </c>
      <c r="R155" s="19">
        <f t="shared" si="92"/>
        <v>454.9200000000003</v>
      </c>
      <c r="Z155" s="19">
        <f t="shared" si="101"/>
        <v>250.89500000000027</v>
      </c>
      <c r="AA155" s="19">
        <f t="shared" si="102"/>
        <v>50.894999999999989</v>
      </c>
      <c r="AB155" s="19" t="e">
        <f t="shared" si="103"/>
        <v>#N/A</v>
      </c>
      <c r="AE155" s="19">
        <v>64</v>
      </c>
      <c r="AG155" s="19">
        <f t="shared" si="55"/>
        <v>3</v>
      </c>
      <c r="AH155" s="19">
        <f t="shared" si="56"/>
        <v>1</v>
      </c>
      <c r="AI155" s="19">
        <f t="shared" si="57"/>
        <v>8.8550000000000004</v>
      </c>
      <c r="AJ155" s="410">
        <f t="shared" si="58"/>
        <v>923.16</v>
      </c>
      <c r="AK155" s="19" t="e">
        <f t="shared" si="59"/>
        <v>#N/A</v>
      </c>
      <c r="AL155" s="19">
        <f t="shared" si="60"/>
        <v>723.16</v>
      </c>
      <c r="AM155" s="19" t="e">
        <f t="shared" si="61"/>
        <v>#N/A</v>
      </c>
      <c r="AN155" s="19">
        <f t="shared" si="62"/>
        <v>523.16</v>
      </c>
      <c r="AO155" s="19" t="e">
        <f t="shared" si="63"/>
        <v>#N/A</v>
      </c>
      <c r="AP155" s="19">
        <f t="shared" si="64"/>
        <v>323.16000000000003</v>
      </c>
      <c r="AQ155" s="19" t="e">
        <f t="shared" si="65"/>
        <v>#N/A</v>
      </c>
      <c r="AR155" s="19">
        <f t="shared" si="66"/>
        <v>123.16</v>
      </c>
      <c r="AS155" s="19" t="e">
        <f t="shared" si="67"/>
        <v>#N/A</v>
      </c>
      <c r="AY155" s="401">
        <v>26</v>
      </c>
      <c r="AZ155" s="19">
        <f t="shared" si="87"/>
        <v>76.132995426615409</v>
      </c>
      <c r="BA155" s="19">
        <f t="shared" si="88"/>
        <v>4.5</v>
      </c>
      <c r="BO155" s="72">
        <f t="shared" si="99"/>
        <v>0.51043571531772614</v>
      </c>
      <c r="BP155" s="399" t="str">
        <f t="shared" si="93"/>
        <v/>
      </c>
      <c r="BQ155" s="19">
        <f t="shared" si="94"/>
        <v>-999</v>
      </c>
      <c r="BR155" s="19">
        <f t="shared" si="95"/>
        <v>-999</v>
      </c>
      <c r="BS155" s="401">
        <v>106</v>
      </c>
      <c r="BT155" s="72">
        <f t="shared" si="100"/>
        <v>1.1706292629241943E-2</v>
      </c>
      <c r="BU155" s="399" t="str">
        <f t="shared" si="96"/>
        <v/>
      </c>
      <c r="BV155" s="19">
        <f t="shared" si="97"/>
        <v>-999</v>
      </c>
      <c r="BW155" s="19">
        <f t="shared" si="98"/>
        <v>-999</v>
      </c>
      <c r="BY155" s="19">
        <f t="shared" si="89"/>
        <v>56.5</v>
      </c>
      <c r="BZ155" s="19">
        <f t="shared" si="70"/>
        <v>0.94855785040642304</v>
      </c>
      <c r="CA155" s="19">
        <f t="shared" si="71"/>
        <v>0.97819132426223721</v>
      </c>
      <c r="CB155"/>
      <c r="CC155"/>
      <c r="CD155"/>
      <c r="CE155"/>
      <c r="CJ155"/>
      <c r="CK155"/>
      <c r="CL155"/>
      <c r="CM155"/>
      <c r="CN155"/>
    </row>
    <row r="156" spans="14:92" ht="11.25" customHeight="1" x14ac:dyDescent="0.2">
      <c r="N156" s="19">
        <v>46</v>
      </c>
      <c r="O156" s="19">
        <f t="shared" si="90"/>
        <v>855.72499999999775</v>
      </c>
      <c r="P156" s="19">
        <f t="shared" si="91"/>
        <v>655.72499999999775</v>
      </c>
      <c r="R156" s="19">
        <f t="shared" si="92"/>
        <v>455.72500000000031</v>
      </c>
      <c r="Z156" s="19">
        <f t="shared" si="101"/>
        <v>251.70000000000027</v>
      </c>
      <c r="AA156" s="19">
        <f t="shared" si="102"/>
        <v>51.699999999999989</v>
      </c>
      <c r="AB156" s="19" t="e">
        <f t="shared" si="103"/>
        <v>#N/A</v>
      </c>
      <c r="AE156" s="19">
        <v>65</v>
      </c>
      <c r="AG156" s="19">
        <f t="shared" ref="AG156:AG219" si="104">2*ROUNDUP((MOD(AE156-1,$AB$94)+1)/2,0)-1</f>
        <v>5</v>
      </c>
      <c r="AH156" s="19">
        <f t="shared" ref="AH156:AH219" si="105">IF(AG156=AG157,-1,1)</f>
        <v>-1</v>
      </c>
      <c r="AI156" s="19">
        <f t="shared" ref="AI156:AI219" si="106">IF($BR$7,$AB$87*(0.5+INT((AE156-0.5)/$AB$94)),NA())</f>
        <v>8.8550000000000004</v>
      </c>
      <c r="AJ156" s="410">
        <f t="shared" ref="AJ156:AJ219" si="107">IF($BP$11,$AM$87+$AB$90*AH156*AG156,NA())</f>
        <v>861.4</v>
      </c>
      <c r="AK156" s="19" t="e">
        <f t="shared" ref="AK156:AK219" si="108">IF($AG$83&lt;AE156,NA(),AI156)</f>
        <v>#N/A</v>
      </c>
      <c r="AL156" s="19">
        <f t="shared" ref="AL156:AL219" si="109">IF($BP$11,$AN$87+$AB$90*AH156*AG156,NA())</f>
        <v>661.4</v>
      </c>
      <c r="AM156" s="19" t="e">
        <f t="shared" ref="AM156:AM219" si="110">IF($AH$83&lt;AE156,NA(),AI156)</f>
        <v>#N/A</v>
      </c>
      <c r="AN156" s="19">
        <f t="shared" ref="AN156:AN219" si="111">IF($BP$11,$AO$87+$AB$90*AH156*AG156,NA())</f>
        <v>461.4</v>
      </c>
      <c r="AO156" s="19" t="e">
        <f t="shared" ref="AO156:AO219" si="112">IF($AI$83&lt;AE156,NA(),AI156)</f>
        <v>#N/A</v>
      </c>
      <c r="AP156" s="19">
        <f t="shared" ref="AP156:AP219" si="113">IF($BP$11,$AP$87+$AB$90*AH156*AG156,NA())</f>
        <v>261.39999999999998</v>
      </c>
      <c r="AQ156" s="19" t="e">
        <f t="shared" ref="AQ156:AQ219" si="114">IF($AJ$83&lt;AE156,NA(),AI156)</f>
        <v>#N/A</v>
      </c>
      <c r="AR156" s="19">
        <f t="shared" ref="AR156:AR219" si="115">IF($BP$11,$AQ$87+$AB$90*AH156*AG156,NA())</f>
        <v>61.4</v>
      </c>
      <c r="AS156" s="19" t="e">
        <f t="shared" ref="AS156:AS219" si="116">IF($AK$83&lt;AE156,NA(),AI156)</f>
        <v>#N/A</v>
      </c>
      <c r="AY156" s="401">
        <v>28</v>
      </c>
      <c r="AZ156" s="19">
        <f t="shared" ref="AZ156:AZ187" si="117">IF($BR$5,$BR$12+AY156,NA())</f>
        <v>78.132995426615409</v>
      </c>
      <c r="BA156" s="19">
        <f t="shared" ref="BA156:BA192" si="118">$BQ$14</f>
        <v>4.5</v>
      </c>
      <c r="BO156" s="72">
        <f t="shared" si="99"/>
        <v>0.78884156048297882</v>
      </c>
      <c r="BP156" s="399" t="str">
        <f t="shared" si="93"/>
        <v/>
      </c>
      <c r="BQ156" s="19">
        <f t="shared" si="94"/>
        <v>-999</v>
      </c>
      <c r="BR156" s="19">
        <f t="shared" si="95"/>
        <v>-999</v>
      </c>
      <c r="BS156" s="401">
        <v>107</v>
      </c>
      <c r="BT156" s="72">
        <f t="shared" si="100"/>
        <v>7.8474223613739014E-2</v>
      </c>
      <c r="BU156" s="399" t="str">
        <f t="shared" si="96"/>
        <v/>
      </c>
      <c r="BV156" s="19">
        <f t="shared" si="97"/>
        <v>-999</v>
      </c>
      <c r="BW156" s="19">
        <f t="shared" si="98"/>
        <v>-999</v>
      </c>
      <c r="BY156" s="19">
        <f t="shared" si="89"/>
        <v>57</v>
      </c>
      <c r="BZ156" s="19">
        <f t="shared" si="70"/>
        <v>0.94058806336434198</v>
      </c>
      <c r="CA156" s="19">
        <f t="shared" si="71"/>
        <v>0.98303308719161087</v>
      </c>
      <c r="CB156"/>
      <c r="CC156"/>
      <c r="CD156"/>
      <c r="CE156"/>
      <c r="CJ156"/>
      <c r="CK156"/>
      <c r="CL156"/>
      <c r="CM156"/>
      <c r="CN156"/>
    </row>
    <row r="157" spans="14:92" ht="11.25" customHeight="1" x14ac:dyDescent="0.2">
      <c r="N157" s="19">
        <v>47</v>
      </c>
      <c r="O157" s="19">
        <f t="shared" si="90"/>
        <v>856.5299999999977</v>
      </c>
      <c r="P157" s="19">
        <f t="shared" si="91"/>
        <v>656.5299999999977</v>
      </c>
      <c r="R157" s="19">
        <f t="shared" si="92"/>
        <v>456.53000000000031</v>
      </c>
      <c r="Z157" s="19">
        <f t="shared" si="101"/>
        <v>252.50500000000028</v>
      </c>
      <c r="AA157" s="19">
        <f t="shared" si="102"/>
        <v>52.504999999999988</v>
      </c>
      <c r="AB157" s="19" t="e">
        <f t="shared" si="103"/>
        <v>#N/A</v>
      </c>
      <c r="AE157" s="19">
        <v>66</v>
      </c>
      <c r="AG157" s="19">
        <f t="shared" si="104"/>
        <v>5</v>
      </c>
      <c r="AH157" s="19">
        <f t="shared" si="105"/>
        <v>1</v>
      </c>
      <c r="AI157" s="19">
        <f t="shared" si="106"/>
        <v>8.8550000000000004</v>
      </c>
      <c r="AJ157" s="410">
        <f t="shared" si="107"/>
        <v>938.6</v>
      </c>
      <c r="AK157" s="19" t="e">
        <f t="shared" si="108"/>
        <v>#N/A</v>
      </c>
      <c r="AL157" s="19">
        <f t="shared" si="109"/>
        <v>738.6</v>
      </c>
      <c r="AM157" s="19" t="e">
        <f t="shared" si="110"/>
        <v>#N/A</v>
      </c>
      <c r="AN157" s="19">
        <f t="shared" si="111"/>
        <v>538.6</v>
      </c>
      <c r="AO157" s="19" t="e">
        <f t="shared" si="112"/>
        <v>#N/A</v>
      </c>
      <c r="AP157" s="19">
        <f t="shared" si="113"/>
        <v>338.6</v>
      </c>
      <c r="AQ157" s="19" t="e">
        <f t="shared" si="114"/>
        <v>#N/A</v>
      </c>
      <c r="AR157" s="19">
        <f t="shared" si="115"/>
        <v>138.6</v>
      </c>
      <c r="AS157" s="19" t="e">
        <f t="shared" si="116"/>
        <v>#N/A</v>
      </c>
      <c r="AY157" s="401">
        <v>30</v>
      </c>
      <c r="AZ157" s="19">
        <f t="shared" si="117"/>
        <v>80.132995426615409</v>
      </c>
      <c r="BA157" s="19">
        <f t="shared" si="118"/>
        <v>4.5</v>
      </c>
      <c r="BO157" s="72">
        <f t="shared" si="99"/>
        <v>0.85977007448673248</v>
      </c>
      <c r="BP157" s="399" t="str">
        <f t="shared" si="93"/>
        <v/>
      </c>
      <c r="BQ157" s="19">
        <f t="shared" si="94"/>
        <v>-999</v>
      </c>
      <c r="BR157" s="19">
        <f t="shared" si="95"/>
        <v>-999</v>
      </c>
      <c r="BS157" s="401">
        <v>108</v>
      </c>
      <c r="BT157" s="72">
        <f t="shared" si="100"/>
        <v>0.25630229711532593</v>
      </c>
      <c r="BU157" s="399" t="str">
        <f t="shared" si="96"/>
        <v/>
      </c>
      <c r="BV157" s="19">
        <f t="shared" si="97"/>
        <v>-999</v>
      </c>
      <c r="BW157" s="19">
        <f t="shared" si="98"/>
        <v>-999</v>
      </c>
      <c r="BY157" s="19">
        <f t="shared" si="89"/>
        <v>57.5</v>
      </c>
      <c r="BZ157" s="19">
        <f t="shared" si="70"/>
        <v>0.93210249235952747</v>
      </c>
      <c r="CA157" s="19">
        <f t="shared" si="71"/>
        <v>0.98728157159029029</v>
      </c>
      <c r="CB157"/>
      <c r="CC157"/>
      <c r="CD157"/>
      <c r="CE157"/>
      <c r="CJ157"/>
      <c r="CK157"/>
      <c r="CL157"/>
      <c r="CM157"/>
      <c r="CN157"/>
    </row>
    <row r="158" spans="14:92" ht="11.25" customHeight="1" x14ac:dyDescent="0.2">
      <c r="N158" s="19">
        <v>48</v>
      </c>
      <c r="O158" s="19">
        <f t="shared" si="90"/>
        <v>857.33499999999765</v>
      </c>
      <c r="P158" s="19">
        <f t="shared" si="91"/>
        <v>657.33499999999765</v>
      </c>
      <c r="R158" s="19">
        <f t="shared" si="92"/>
        <v>457.33500000000032</v>
      </c>
      <c r="Z158" s="19">
        <f t="shared" si="101"/>
        <v>253.31000000000029</v>
      </c>
      <c r="AA158" s="19">
        <f t="shared" si="102"/>
        <v>53.309999999999988</v>
      </c>
      <c r="AB158" s="19" t="e">
        <f t="shared" si="103"/>
        <v>#N/A</v>
      </c>
      <c r="AE158" s="19">
        <v>67</v>
      </c>
      <c r="AG158" s="19">
        <f t="shared" si="104"/>
        <v>7</v>
      </c>
      <c r="AH158" s="19">
        <f t="shared" si="105"/>
        <v>-1</v>
      </c>
      <c r="AI158" s="19">
        <f t="shared" si="106"/>
        <v>8.8550000000000004</v>
      </c>
      <c r="AJ158" s="410">
        <f t="shared" si="107"/>
        <v>845.96</v>
      </c>
      <c r="AK158" s="19" t="e">
        <f t="shared" si="108"/>
        <v>#N/A</v>
      </c>
      <c r="AL158" s="19">
        <f t="shared" si="109"/>
        <v>645.96</v>
      </c>
      <c r="AM158" s="19" t="e">
        <f t="shared" si="110"/>
        <v>#N/A</v>
      </c>
      <c r="AN158" s="19">
        <f t="shared" si="111"/>
        <v>445.96</v>
      </c>
      <c r="AO158" s="19" t="e">
        <f t="shared" si="112"/>
        <v>#N/A</v>
      </c>
      <c r="AP158" s="19">
        <f t="shared" si="113"/>
        <v>245.96</v>
      </c>
      <c r="AQ158" s="19" t="e">
        <f t="shared" si="114"/>
        <v>#N/A</v>
      </c>
      <c r="AR158" s="19">
        <f t="shared" si="115"/>
        <v>45.96</v>
      </c>
      <c r="AS158" s="19" t="e">
        <f t="shared" si="116"/>
        <v>#N/A</v>
      </c>
      <c r="AY158" s="401">
        <v>32</v>
      </c>
      <c r="AZ158" s="19">
        <f t="shared" si="117"/>
        <v>82.132995426615409</v>
      </c>
      <c r="BA158" s="19">
        <f t="shared" si="118"/>
        <v>4.5</v>
      </c>
      <c r="BO158" s="72">
        <f t="shared" si="99"/>
        <v>0.92187829315662384</v>
      </c>
      <c r="BP158" s="399" t="str">
        <f t="shared" si="93"/>
        <v/>
      </c>
      <c r="BQ158" s="19">
        <f t="shared" si="94"/>
        <v>-999</v>
      </c>
      <c r="BR158" s="19">
        <f t="shared" si="95"/>
        <v>-999</v>
      </c>
      <c r="BS158" s="401">
        <v>109</v>
      </c>
      <c r="BT158" s="72">
        <f t="shared" si="100"/>
        <v>0.30308312177658081</v>
      </c>
      <c r="BU158" s="399" t="str">
        <f t="shared" si="96"/>
        <v/>
      </c>
      <c r="BV158" s="19">
        <f t="shared" si="97"/>
        <v>-999</v>
      </c>
      <c r="BW158" s="19">
        <f t="shared" si="98"/>
        <v>-999</v>
      </c>
      <c r="BY158" s="19">
        <f t="shared" si="89"/>
        <v>58</v>
      </c>
      <c r="BZ158" s="19">
        <f t="shared" si="70"/>
        <v>0.92311634638663564</v>
      </c>
      <c r="CA158" s="19">
        <f t="shared" si="71"/>
        <v>0.99092889300146392</v>
      </c>
      <c r="CB158"/>
      <c r="CC158"/>
      <c r="CD158"/>
      <c r="CE158"/>
      <c r="CJ158"/>
      <c r="CK158"/>
      <c r="CL158"/>
      <c r="CM158"/>
      <c r="CN158"/>
    </row>
    <row r="159" spans="14:92" ht="11.25" customHeight="1" x14ac:dyDescent="0.2">
      <c r="N159" s="19">
        <v>49</v>
      </c>
      <c r="O159" s="19">
        <f t="shared" si="90"/>
        <v>858.1399999999976</v>
      </c>
      <c r="P159" s="19">
        <f t="shared" si="91"/>
        <v>658.1399999999976</v>
      </c>
      <c r="R159" s="19">
        <f t="shared" si="92"/>
        <v>458.14000000000033</v>
      </c>
      <c r="Z159" s="19">
        <f t="shared" si="101"/>
        <v>254.11500000000029</v>
      </c>
      <c r="AA159" s="19">
        <f t="shared" si="102"/>
        <v>54.114999999999988</v>
      </c>
      <c r="AB159" s="19" t="e">
        <f t="shared" si="103"/>
        <v>#N/A</v>
      </c>
      <c r="AE159" s="19">
        <v>68</v>
      </c>
      <c r="AG159" s="19">
        <f t="shared" si="104"/>
        <v>7</v>
      </c>
      <c r="AH159" s="19">
        <f t="shared" si="105"/>
        <v>1</v>
      </c>
      <c r="AI159" s="19">
        <f t="shared" si="106"/>
        <v>8.8550000000000004</v>
      </c>
      <c r="AJ159" s="410">
        <f t="shared" si="107"/>
        <v>954.04</v>
      </c>
      <c r="AK159" s="19" t="e">
        <f t="shared" si="108"/>
        <v>#N/A</v>
      </c>
      <c r="AL159" s="19">
        <f t="shared" si="109"/>
        <v>754.04</v>
      </c>
      <c r="AM159" s="19" t="e">
        <f t="shared" si="110"/>
        <v>#N/A</v>
      </c>
      <c r="AN159" s="19">
        <f t="shared" si="111"/>
        <v>554.04</v>
      </c>
      <c r="AO159" s="19" t="e">
        <f t="shared" si="112"/>
        <v>#N/A</v>
      </c>
      <c r="AP159" s="19">
        <f t="shared" si="113"/>
        <v>354.04</v>
      </c>
      <c r="AQ159" s="19" t="e">
        <f t="shared" si="114"/>
        <v>#N/A</v>
      </c>
      <c r="AR159" s="19">
        <f t="shared" si="115"/>
        <v>154.04</v>
      </c>
      <c r="AS159" s="19" t="e">
        <f t="shared" si="116"/>
        <v>#N/A</v>
      </c>
      <c r="AY159" s="401">
        <v>34</v>
      </c>
      <c r="AZ159" s="19">
        <f t="shared" si="117"/>
        <v>84.132995426615409</v>
      </c>
      <c r="BA159" s="19">
        <f t="shared" si="118"/>
        <v>4.5</v>
      </c>
      <c r="BO159" s="72">
        <f t="shared" si="99"/>
        <v>0.91598404943943024</v>
      </c>
      <c r="BP159" s="399" t="str">
        <f t="shared" si="93"/>
        <v/>
      </c>
      <c r="BQ159" s="19">
        <f t="shared" si="94"/>
        <v>-999</v>
      </c>
      <c r="BR159" s="19">
        <f t="shared" si="95"/>
        <v>-999</v>
      </c>
      <c r="BS159" s="401">
        <v>110</v>
      </c>
      <c r="BT159" s="72">
        <f t="shared" si="100"/>
        <v>0.15784639120101929</v>
      </c>
      <c r="BU159" s="399" t="str">
        <f t="shared" si="96"/>
        <v/>
      </c>
      <c r="BV159" s="19">
        <f t="shared" si="97"/>
        <v>-999</v>
      </c>
      <c r="BW159" s="19">
        <f t="shared" si="98"/>
        <v>-999</v>
      </c>
      <c r="BY159" s="19">
        <f t="shared" si="89"/>
        <v>58.5</v>
      </c>
      <c r="BZ159" s="19">
        <f t="shared" si="70"/>
        <v>0.91364562639672886</v>
      </c>
      <c r="CA159" s="19">
        <f t="shared" si="71"/>
        <v>0.99396826439823416</v>
      </c>
      <c r="CB159"/>
      <c r="CC159"/>
      <c r="CD159"/>
      <c r="CE159"/>
      <c r="CJ159"/>
      <c r="CK159"/>
      <c r="CL159"/>
      <c r="CM159"/>
      <c r="CN159"/>
    </row>
    <row r="160" spans="14:92" ht="11.25" customHeight="1" x14ac:dyDescent="0.2">
      <c r="N160" s="19">
        <v>50</v>
      </c>
      <c r="O160" s="19">
        <f t="shared" si="90"/>
        <v>858.94499999999755</v>
      </c>
      <c r="P160" s="19">
        <f t="shared" si="91"/>
        <v>658.94499999999755</v>
      </c>
      <c r="R160" s="19">
        <f t="shared" si="92"/>
        <v>458.94500000000033</v>
      </c>
      <c r="Z160" s="19">
        <f t="shared" si="101"/>
        <v>254.9200000000003</v>
      </c>
      <c r="AA160" s="19">
        <f t="shared" si="102"/>
        <v>54.919999999999987</v>
      </c>
      <c r="AB160" s="19" t="e">
        <f t="shared" si="103"/>
        <v>#N/A</v>
      </c>
      <c r="AE160" s="19">
        <v>69</v>
      </c>
      <c r="AG160" s="19">
        <f t="shared" si="104"/>
        <v>9</v>
      </c>
      <c r="AH160" s="19">
        <f t="shared" si="105"/>
        <v>-1</v>
      </c>
      <c r="AI160" s="19">
        <f t="shared" si="106"/>
        <v>8.8550000000000004</v>
      </c>
      <c r="AJ160" s="410">
        <f t="shared" si="107"/>
        <v>830.52</v>
      </c>
      <c r="AK160" s="19" t="e">
        <f t="shared" si="108"/>
        <v>#N/A</v>
      </c>
      <c r="AL160" s="19">
        <f t="shared" si="109"/>
        <v>630.52</v>
      </c>
      <c r="AM160" s="19" t="e">
        <f t="shared" si="110"/>
        <v>#N/A</v>
      </c>
      <c r="AN160" s="19">
        <f t="shared" si="111"/>
        <v>430.52</v>
      </c>
      <c r="AO160" s="19" t="e">
        <f t="shared" si="112"/>
        <v>#N/A</v>
      </c>
      <c r="AP160" s="19">
        <f t="shared" si="113"/>
        <v>230.51999999999998</v>
      </c>
      <c r="AQ160" s="19" t="e">
        <f t="shared" si="114"/>
        <v>#N/A</v>
      </c>
      <c r="AR160" s="19">
        <f t="shared" si="115"/>
        <v>30.519999999999996</v>
      </c>
      <c r="AS160" s="19" t="e">
        <f t="shared" si="116"/>
        <v>#N/A</v>
      </c>
      <c r="AY160" s="401">
        <v>36</v>
      </c>
      <c r="AZ160" s="19">
        <f t="shared" si="117"/>
        <v>86.132995426615409</v>
      </c>
      <c r="BA160" s="19">
        <f t="shared" si="118"/>
        <v>4.5</v>
      </c>
      <c r="BO160" s="72">
        <f t="shared" si="99"/>
        <v>0.40218694508075714</v>
      </c>
      <c r="BP160" s="399" t="str">
        <f t="shared" si="93"/>
        <v/>
      </c>
      <c r="BQ160" s="19">
        <f t="shared" si="94"/>
        <v>-999</v>
      </c>
      <c r="BR160" s="19">
        <f t="shared" si="95"/>
        <v>-999</v>
      </c>
      <c r="BS160" s="401">
        <v>111</v>
      </c>
      <c r="BT160" s="72">
        <f t="shared" si="100"/>
        <v>0.96401327848434448</v>
      </c>
      <c r="BU160" s="399" t="str">
        <f t="shared" si="96"/>
        <v/>
      </c>
      <c r="BV160" s="19">
        <f t="shared" si="97"/>
        <v>-999</v>
      </c>
      <c r="BW160" s="19">
        <f t="shared" si="98"/>
        <v>-999</v>
      </c>
      <c r="BY160" s="19">
        <f t="shared" si="89"/>
        <v>59</v>
      </c>
      <c r="BZ160" s="19">
        <f t="shared" si="70"/>
        <v>0.90370707787319604</v>
      </c>
      <c r="CA160" s="19">
        <f t="shared" si="71"/>
        <v>0.99639401722793441</v>
      </c>
      <c r="CB160"/>
      <c r="CC160"/>
      <c r="CD160"/>
      <c r="CE160"/>
      <c r="CJ160"/>
      <c r="CK160"/>
      <c r="CL160"/>
      <c r="CM160"/>
      <c r="CN160"/>
    </row>
    <row r="161" spans="14:92" ht="11.25" customHeight="1" x14ac:dyDescent="0.2">
      <c r="N161" s="19">
        <v>51</v>
      </c>
      <c r="O161" s="19">
        <f t="shared" si="90"/>
        <v>859.7499999999975</v>
      </c>
      <c r="P161" s="19">
        <f t="shared" si="91"/>
        <v>659.7499999999975</v>
      </c>
      <c r="R161" s="19">
        <f t="shared" si="92"/>
        <v>459.75000000000034</v>
      </c>
      <c r="Z161" s="19">
        <f t="shared" si="101"/>
        <v>255.72500000000031</v>
      </c>
      <c r="AA161" s="19">
        <f t="shared" si="102"/>
        <v>55.724999999999987</v>
      </c>
      <c r="AB161" s="19" t="e">
        <f t="shared" si="103"/>
        <v>#N/A</v>
      </c>
      <c r="AE161" s="19">
        <v>70</v>
      </c>
      <c r="AG161" s="19">
        <f t="shared" si="104"/>
        <v>9</v>
      </c>
      <c r="AH161" s="19">
        <f t="shared" si="105"/>
        <v>1</v>
      </c>
      <c r="AI161" s="19">
        <f t="shared" si="106"/>
        <v>8.8550000000000004</v>
      </c>
      <c r="AJ161" s="410">
        <f t="shared" si="107"/>
        <v>969.48</v>
      </c>
      <c r="AK161" s="19" t="e">
        <f t="shared" si="108"/>
        <v>#N/A</v>
      </c>
      <c r="AL161" s="19">
        <f t="shared" si="109"/>
        <v>769.48</v>
      </c>
      <c r="AM161" s="19" t="e">
        <f t="shared" si="110"/>
        <v>#N/A</v>
      </c>
      <c r="AN161" s="19">
        <f t="shared" si="111"/>
        <v>569.48</v>
      </c>
      <c r="AO161" s="19" t="e">
        <f t="shared" si="112"/>
        <v>#N/A</v>
      </c>
      <c r="AP161" s="19">
        <f t="shared" si="113"/>
        <v>369.48</v>
      </c>
      <c r="AQ161" s="19" t="e">
        <f t="shared" si="114"/>
        <v>#N/A</v>
      </c>
      <c r="AR161" s="19">
        <f t="shared" si="115"/>
        <v>169.48000000000002</v>
      </c>
      <c r="AS161" s="19" t="e">
        <f t="shared" si="116"/>
        <v>#N/A</v>
      </c>
      <c r="AY161" s="401">
        <v>38</v>
      </c>
      <c r="AZ161" s="19">
        <f t="shared" si="117"/>
        <v>88.132995426615409</v>
      </c>
      <c r="BA161" s="19">
        <f t="shared" si="118"/>
        <v>4.5</v>
      </c>
      <c r="BO161" s="72">
        <f t="shared" si="99"/>
        <v>0.67923785746097565</v>
      </c>
      <c r="BP161" s="399" t="str">
        <f t="shared" si="93"/>
        <v/>
      </c>
      <c r="BQ161" s="19">
        <f t="shared" si="94"/>
        <v>-999</v>
      </c>
      <c r="BR161" s="19">
        <f t="shared" si="95"/>
        <v>-999</v>
      </c>
      <c r="BS161" s="401">
        <v>112</v>
      </c>
      <c r="BT161" s="72">
        <f t="shared" si="100"/>
        <v>0.31701606512069702</v>
      </c>
      <c r="BU161" s="399" t="str">
        <f t="shared" si="96"/>
        <v/>
      </c>
      <c r="BV161" s="19">
        <f t="shared" si="97"/>
        <v>-999</v>
      </c>
      <c r="BW161" s="19">
        <f t="shared" si="98"/>
        <v>-999</v>
      </c>
      <c r="BY161" s="19">
        <f t="shared" si="89"/>
        <v>59.5</v>
      </c>
      <c r="BZ161" s="19">
        <f t="shared" si="70"/>
        <v>0.89331814156568234</v>
      </c>
      <c r="CA161" s="19">
        <f t="shared" si="71"/>
        <v>0.99820161902843718</v>
      </c>
      <c r="CB161"/>
      <c r="CC161"/>
      <c r="CD161"/>
      <c r="CE161"/>
      <c r="CJ161"/>
      <c r="CK161"/>
      <c r="CL161"/>
      <c r="CM161"/>
      <c r="CN161"/>
    </row>
    <row r="162" spans="14:92" ht="11.25" customHeight="1" x14ac:dyDescent="0.2">
      <c r="N162" s="19">
        <v>52</v>
      </c>
      <c r="O162" s="19">
        <f t="shared" si="90"/>
        <v>860.55499999999745</v>
      </c>
      <c r="P162" s="19">
        <f t="shared" si="91"/>
        <v>660.55499999999745</v>
      </c>
      <c r="R162" s="19">
        <f t="shared" si="92"/>
        <v>460.55500000000035</v>
      </c>
      <c r="Z162" s="19">
        <f t="shared" si="101"/>
        <v>256.53000000000031</v>
      </c>
      <c r="AA162" s="19">
        <f t="shared" si="102"/>
        <v>56.529999999999987</v>
      </c>
      <c r="AB162" s="19" t="e">
        <f t="shared" si="103"/>
        <v>#N/A</v>
      </c>
      <c r="AE162" s="19">
        <v>71</v>
      </c>
      <c r="AG162" s="19">
        <f t="shared" si="104"/>
        <v>11</v>
      </c>
      <c r="AH162" s="19">
        <f t="shared" si="105"/>
        <v>-1</v>
      </c>
      <c r="AI162" s="19">
        <f t="shared" si="106"/>
        <v>8.8550000000000004</v>
      </c>
      <c r="AJ162" s="410">
        <f t="shared" si="107"/>
        <v>815.08</v>
      </c>
      <c r="AK162" s="19" t="e">
        <f t="shared" si="108"/>
        <v>#N/A</v>
      </c>
      <c r="AL162" s="19">
        <f t="shared" si="109"/>
        <v>615.08000000000004</v>
      </c>
      <c r="AM162" s="19" t="e">
        <f t="shared" si="110"/>
        <v>#N/A</v>
      </c>
      <c r="AN162" s="19">
        <f t="shared" si="111"/>
        <v>415.08</v>
      </c>
      <c r="AO162" s="19" t="e">
        <f t="shared" si="112"/>
        <v>#N/A</v>
      </c>
      <c r="AP162" s="19">
        <f t="shared" si="113"/>
        <v>215.07999999999998</v>
      </c>
      <c r="AQ162" s="19" t="e">
        <f t="shared" si="114"/>
        <v>#N/A</v>
      </c>
      <c r="AR162" s="19">
        <f t="shared" si="115"/>
        <v>15.079999999999998</v>
      </c>
      <c r="AS162" s="19" t="e">
        <f t="shared" si="116"/>
        <v>#N/A</v>
      </c>
      <c r="AY162" s="401">
        <v>40</v>
      </c>
      <c r="AZ162" s="19">
        <f t="shared" si="117"/>
        <v>90.132995426615409</v>
      </c>
      <c r="BA162" s="19">
        <f t="shared" si="118"/>
        <v>4.5</v>
      </c>
      <c r="BO162" s="72">
        <f t="shared" si="99"/>
        <v>0.40470190346240997</v>
      </c>
      <c r="BP162" s="399" t="str">
        <f t="shared" si="93"/>
        <v/>
      </c>
      <c r="BQ162" s="19">
        <f t="shared" si="94"/>
        <v>-999</v>
      </c>
      <c r="BR162" s="19">
        <f t="shared" si="95"/>
        <v>-999</v>
      </c>
      <c r="BS162" s="401">
        <v>113</v>
      </c>
      <c r="BT162" s="72">
        <f t="shared" si="100"/>
        <v>0.77241581678390503</v>
      </c>
      <c r="BU162" s="399" t="str">
        <f t="shared" si="96"/>
        <v/>
      </c>
      <c r="BV162" s="19">
        <f t="shared" si="97"/>
        <v>-999</v>
      </c>
      <c r="BW162" s="19">
        <f t="shared" si="98"/>
        <v>-999</v>
      </c>
      <c r="BY162" s="19">
        <f t="shared" si="89"/>
        <v>60</v>
      </c>
      <c r="BZ162" s="19">
        <f t="shared" si="70"/>
        <v>0.88249690258459534</v>
      </c>
      <c r="CA162" s="19">
        <f t="shared" si="71"/>
        <v>0.99938768753983342</v>
      </c>
      <c r="CB162"/>
      <c r="CC162"/>
      <c r="CD162"/>
      <c r="CE162"/>
      <c r="CJ162"/>
      <c r="CK162"/>
      <c r="CL162"/>
      <c r="CM162"/>
      <c r="CN162"/>
    </row>
    <row r="163" spans="14:92" ht="11.25" customHeight="1" x14ac:dyDescent="0.2">
      <c r="N163" s="19">
        <v>53</v>
      </c>
      <c r="O163" s="19">
        <f t="shared" si="90"/>
        <v>861.3599999999974</v>
      </c>
      <c r="P163" s="19">
        <f t="shared" si="91"/>
        <v>661.3599999999974</v>
      </c>
      <c r="R163" s="19">
        <f t="shared" si="92"/>
        <v>461.36000000000035</v>
      </c>
      <c r="Z163" s="19">
        <f t="shared" si="101"/>
        <v>257.33500000000032</v>
      </c>
      <c r="AA163" s="19">
        <f t="shared" si="102"/>
        <v>57.334999999999987</v>
      </c>
      <c r="AB163" s="19" t="e">
        <f t="shared" si="103"/>
        <v>#N/A</v>
      </c>
      <c r="AE163" s="19">
        <v>72</v>
      </c>
      <c r="AG163" s="19">
        <f t="shared" si="104"/>
        <v>11</v>
      </c>
      <c r="AH163" s="19">
        <f t="shared" si="105"/>
        <v>1</v>
      </c>
      <c r="AI163" s="19">
        <f t="shared" si="106"/>
        <v>8.8550000000000004</v>
      </c>
      <c r="AJ163" s="410">
        <f t="shared" si="107"/>
        <v>984.92</v>
      </c>
      <c r="AK163" s="19" t="e">
        <f t="shared" si="108"/>
        <v>#N/A</v>
      </c>
      <c r="AL163" s="19">
        <f t="shared" si="109"/>
        <v>784.92</v>
      </c>
      <c r="AM163" s="19" t="e">
        <f t="shared" si="110"/>
        <v>#N/A</v>
      </c>
      <c r="AN163" s="19">
        <f t="shared" si="111"/>
        <v>584.91999999999996</v>
      </c>
      <c r="AO163" s="19" t="e">
        <f t="shared" si="112"/>
        <v>#N/A</v>
      </c>
      <c r="AP163" s="19">
        <f t="shared" si="113"/>
        <v>384.92</v>
      </c>
      <c r="AQ163" s="19" t="e">
        <f t="shared" si="114"/>
        <v>#N/A</v>
      </c>
      <c r="AR163" s="19">
        <f t="shared" si="115"/>
        <v>184.92000000000002</v>
      </c>
      <c r="AS163" s="19" t="e">
        <f t="shared" si="116"/>
        <v>#N/A</v>
      </c>
      <c r="AY163" s="401">
        <v>42</v>
      </c>
      <c r="AZ163" s="19">
        <f t="shared" si="117"/>
        <v>92.132995426615409</v>
      </c>
      <c r="BA163" s="19">
        <f t="shared" si="118"/>
        <v>4.5</v>
      </c>
      <c r="BO163" s="72">
        <f t="shared" si="99"/>
        <v>0.29574884474277496</v>
      </c>
      <c r="BP163" s="399" t="str">
        <f t="shared" si="93"/>
        <v/>
      </c>
      <c r="BQ163" s="19">
        <f t="shared" si="94"/>
        <v>-999</v>
      </c>
      <c r="BR163" s="19">
        <f t="shared" si="95"/>
        <v>-999</v>
      </c>
      <c r="BS163" s="401">
        <v>114</v>
      </c>
      <c r="BT163" s="72">
        <f t="shared" si="100"/>
        <v>0.20924466848373413</v>
      </c>
      <c r="BU163" s="399" t="str">
        <f t="shared" si="96"/>
        <v/>
      </c>
      <c r="BV163" s="19">
        <f t="shared" si="97"/>
        <v>-999</v>
      </c>
      <c r="BW163" s="19">
        <f t="shared" si="98"/>
        <v>-999</v>
      </c>
      <c r="BY163" s="19">
        <f t="shared" si="89"/>
        <v>60.5</v>
      </c>
      <c r="BZ163" s="19">
        <f t="shared" si="70"/>
        <v>0.87126203806373947</v>
      </c>
      <c r="CA163" s="19">
        <f t="shared" si="71"/>
        <v>0.99995000124997901</v>
      </c>
      <c r="CB163"/>
      <c r="CC163"/>
      <c r="CD163"/>
      <c r="CE163"/>
      <c r="CJ163"/>
      <c r="CK163"/>
      <c r="CL163"/>
      <c r="CM163"/>
      <c r="CN163"/>
    </row>
    <row r="164" spans="14:92" ht="11.25" customHeight="1" x14ac:dyDescent="0.2">
      <c r="N164" s="19">
        <v>54</v>
      </c>
      <c r="O164" s="19">
        <f t="shared" si="90"/>
        <v>862.16499999999735</v>
      </c>
      <c r="P164" s="19">
        <f t="shared" si="91"/>
        <v>662.16499999999735</v>
      </c>
      <c r="R164" s="19">
        <f t="shared" si="92"/>
        <v>462.16500000000036</v>
      </c>
      <c r="Z164" s="19">
        <f t="shared" si="101"/>
        <v>258.14000000000033</v>
      </c>
      <c r="AA164" s="19">
        <f t="shared" si="102"/>
        <v>58.139999999999986</v>
      </c>
      <c r="AB164" s="19" t="e">
        <f t="shared" si="103"/>
        <v>#N/A</v>
      </c>
      <c r="AE164" s="19">
        <v>73</v>
      </c>
      <c r="AG164" s="19">
        <f t="shared" si="104"/>
        <v>1</v>
      </c>
      <c r="AH164" s="19">
        <f t="shared" si="105"/>
        <v>-1</v>
      </c>
      <c r="AI164" s="19">
        <f t="shared" si="106"/>
        <v>10.465</v>
      </c>
      <c r="AJ164" s="410">
        <f t="shared" si="107"/>
        <v>892.28</v>
      </c>
      <c r="AK164" s="19" t="e">
        <f t="shared" si="108"/>
        <v>#N/A</v>
      </c>
      <c r="AL164" s="19">
        <f t="shared" si="109"/>
        <v>692.28</v>
      </c>
      <c r="AM164" s="19" t="e">
        <f t="shared" si="110"/>
        <v>#N/A</v>
      </c>
      <c r="AN164" s="19">
        <f t="shared" si="111"/>
        <v>492.28</v>
      </c>
      <c r="AO164" s="19" t="e">
        <f t="shared" si="112"/>
        <v>#N/A</v>
      </c>
      <c r="AP164" s="19">
        <f t="shared" si="113"/>
        <v>292.27999999999997</v>
      </c>
      <c r="AQ164" s="19" t="e">
        <f t="shared" si="114"/>
        <v>#N/A</v>
      </c>
      <c r="AR164" s="19">
        <f t="shared" si="115"/>
        <v>92.28</v>
      </c>
      <c r="AS164" s="19" t="e">
        <f t="shared" si="116"/>
        <v>#N/A</v>
      </c>
      <c r="AY164" s="401">
        <v>44</v>
      </c>
      <c r="AZ164" s="19">
        <f t="shared" si="117"/>
        <v>94.132995426615409</v>
      </c>
      <c r="BA164" s="19">
        <f t="shared" si="118"/>
        <v>4.5</v>
      </c>
      <c r="BO164" s="72">
        <f t="shared" si="99"/>
        <v>0.29216273128986359</v>
      </c>
      <c r="BP164" s="399" t="str">
        <f t="shared" si="93"/>
        <v/>
      </c>
      <c r="BQ164" s="19">
        <f t="shared" si="94"/>
        <v>-999</v>
      </c>
      <c r="BR164" s="19">
        <f t="shared" si="95"/>
        <v>-999</v>
      </c>
      <c r="BS164" s="401">
        <v>115</v>
      </c>
      <c r="BT164" s="72">
        <f t="shared" si="100"/>
        <v>0.40501803159713745</v>
      </c>
      <c r="BU164" s="399" t="str">
        <f t="shared" si="96"/>
        <v/>
      </c>
      <c r="BV164" s="19">
        <f t="shared" si="97"/>
        <v>-999</v>
      </c>
      <c r="BW164" s="19">
        <f t="shared" si="98"/>
        <v>-999</v>
      </c>
      <c r="BY164" s="19">
        <f t="shared" si="89"/>
        <v>61</v>
      </c>
      <c r="BZ164" s="19">
        <f t="shared" si="70"/>
        <v>0.85963276360254215</v>
      </c>
      <c r="CA164" s="19">
        <f t="shared" si="71"/>
        <v>0.99988750632788759</v>
      </c>
      <c r="CB164"/>
      <c r="CC164"/>
      <c r="CD164"/>
      <c r="CE164"/>
      <c r="CJ164"/>
      <c r="CK164"/>
      <c r="CL164"/>
      <c r="CM164"/>
      <c r="CN164"/>
    </row>
    <row r="165" spans="14:92" ht="11.25" customHeight="1" x14ac:dyDescent="0.2">
      <c r="N165" s="19">
        <v>55</v>
      </c>
      <c r="O165" s="19">
        <f t="shared" si="90"/>
        <v>862.9699999999973</v>
      </c>
      <c r="P165" s="19">
        <f t="shared" si="91"/>
        <v>662.9699999999973</v>
      </c>
      <c r="R165" s="19">
        <f t="shared" si="92"/>
        <v>462.97000000000037</v>
      </c>
      <c r="Z165" s="19">
        <f t="shared" si="101"/>
        <v>258.94500000000033</v>
      </c>
      <c r="AA165" s="19">
        <f t="shared" si="102"/>
        <v>58.944999999999986</v>
      </c>
      <c r="AB165" s="19" t="e">
        <f t="shared" si="103"/>
        <v>#N/A</v>
      </c>
      <c r="AE165" s="19">
        <v>74</v>
      </c>
      <c r="AG165" s="19">
        <f t="shared" si="104"/>
        <v>1</v>
      </c>
      <c r="AH165" s="19">
        <f t="shared" si="105"/>
        <v>1</v>
      </c>
      <c r="AI165" s="19">
        <f t="shared" si="106"/>
        <v>10.465</v>
      </c>
      <c r="AJ165" s="410">
        <f t="shared" si="107"/>
        <v>907.72</v>
      </c>
      <c r="AK165" s="19" t="e">
        <f t="shared" si="108"/>
        <v>#N/A</v>
      </c>
      <c r="AL165" s="19">
        <f t="shared" si="109"/>
        <v>707.72</v>
      </c>
      <c r="AM165" s="19" t="e">
        <f t="shared" si="110"/>
        <v>#N/A</v>
      </c>
      <c r="AN165" s="19">
        <f t="shared" si="111"/>
        <v>507.72</v>
      </c>
      <c r="AO165" s="19" t="e">
        <f t="shared" si="112"/>
        <v>#N/A</v>
      </c>
      <c r="AP165" s="19">
        <f t="shared" si="113"/>
        <v>307.72000000000003</v>
      </c>
      <c r="AQ165" s="19" t="e">
        <f t="shared" si="114"/>
        <v>#N/A</v>
      </c>
      <c r="AR165" s="19">
        <f t="shared" si="115"/>
        <v>107.72</v>
      </c>
      <c r="AS165" s="19" t="e">
        <f t="shared" si="116"/>
        <v>#N/A</v>
      </c>
      <c r="AY165" s="401">
        <v>46</v>
      </c>
      <c r="AZ165" s="19">
        <f t="shared" si="117"/>
        <v>96.132995426615409</v>
      </c>
      <c r="BA165" s="19">
        <f t="shared" si="118"/>
        <v>4.5</v>
      </c>
      <c r="BO165" s="72">
        <f t="shared" si="99"/>
        <v>0.11101414263248444</v>
      </c>
      <c r="BP165" s="399" t="str">
        <f t="shared" si="93"/>
        <v/>
      </c>
      <c r="BQ165" s="19">
        <f t="shared" si="94"/>
        <v>-999</v>
      </c>
      <c r="BR165" s="19">
        <f t="shared" si="95"/>
        <v>-999</v>
      </c>
      <c r="BS165" s="401">
        <v>116</v>
      </c>
      <c r="BT165" s="72">
        <f t="shared" si="100"/>
        <v>0.58120578527450562</v>
      </c>
      <c r="BU165" s="399" t="str">
        <f t="shared" si="96"/>
        <v/>
      </c>
      <c r="BV165" s="19">
        <f t="shared" si="97"/>
        <v>-999</v>
      </c>
      <c r="BW165" s="19">
        <f t="shared" si="98"/>
        <v>-999</v>
      </c>
      <c r="BY165" s="19">
        <f t="shared" si="89"/>
        <v>61.5</v>
      </c>
      <c r="BZ165" s="19">
        <f t="shared" si="70"/>
        <v>0.84762877870213571</v>
      </c>
      <c r="CA165" s="19">
        <f t="shared" si="71"/>
        <v>0.99920031991468372</v>
      </c>
      <c r="CB165"/>
      <c r="CC165"/>
      <c r="CD165"/>
      <c r="CE165"/>
      <c r="CJ165"/>
      <c r="CK165"/>
      <c r="CL165"/>
      <c r="CM165"/>
      <c r="CN165"/>
    </row>
    <row r="166" spans="14:92" ht="11.25" customHeight="1" x14ac:dyDescent="0.2">
      <c r="N166" s="19">
        <v>56</v>
      </c>
      <c r="O166" s="19">
        <f t="shared" si="90"/>
        <v>863.77499999999725</v>
      </c>
      <c r="P166" s="19">
        <f t="shared" si="91"/>
        <v>663.77499999999725</v>
      </c>
      <c r="R166" s="19">
        <f t="shared" si="92"/>
        <v>463.77500000000038</v>
      </c>
      <c r="Z166" s="19">
        <f t="shared" si="101"/>
        <v>259.75000000000034</v>
      </c>
      <c r="AA166" s="19">
        <f t="shared" si="102"/>
        <v>59.749999999999986</v>
      </c>
      <c r="AB166" s="19" t="e">
        <f t="shared" si="103"/>
        <v>#N/A</v>
      </c>
      <c r="AE166" s="19">
        <v>75</v>
      </c>
      <c r="AG166" s="19">
        <f t="shared" si="104"/>
        <v>3</v>
      </c>
      <c r="AH166" s="19">
        <f t="shared" si="105"/>
        <v>-1</v>
      </c>
      <c r="AI166" s="19">
        <f t="shared" si="106"/>
        <v>10.465</v>
      </c>
      <c r="AJ166" s="410">
        <f t="shared" si="107"/>
        <v>876.84</v>
      </c>
      <c r="AK166" s="19" t="e">
        <f t="shared" si="108"/>
        <v>#N/A</v>
      </c>
      <c r="AL166" s="19">
        <f t="shared" si="109"/>
        <v>676.84</v>
      </c>
      <c r="AM166" s="19" t="e">
        <f t="shared" si="110"/>
        <v>#N/A</v>
      </c>
      <c r="AN166" s="19">
        <f t="shared" si="111"/>
        <v>476.84</v>
      </c>
      <c r="AO166" s="19" t="e">
        <f t="shared" si="112"/>
        <v>#N/A</v>
      </c>
      <c r="AP166" s="19">
        <f t="shared" si="113"/>
        <v>276.83999999999997</v>
      </c>
      <c r="AQ166" s="19" t="e">
        <f t="shared" si="114"/>
        <v>#N/A</v>
      </c>
      <c r="AR166" s="19">
        <f t="shared" si="115"/>
        <v>76.84</v>
      </c>
      <c r="AS166" s="19" t="e">
        <f t="shared" si="116"/>
        <v>#N/A</v>
      </c>
      <c r="AY166" s="401">
        <v>48</v>
      </c>
      <c r="AZ166" s="19">
        <f t="shared" si="117"/>
        <v>98.132995426615409</v>
      </c>
      <c r="BA166" s="19">
        <f t="shared" si="118"/>
        <v>4.5</v>
      </c>
      <c r="BO166" s="72">
        <f t="shared" si="99"/>
        <v>0.86950869858264923</v>
      </c>
      <c r="BP166" s="399" t="str">
        <f t="shared" si="93"/>
        <v/>
      </c>
      <c r="BQ166" s="19">
        <f t="shared" si="94"/>
        <v>-999</v>
      </c>
      <c r="BR166" s="19">
        <f t="shared" si="95"/>
        <v>-999</v>
      </c>
      <c r="BS166" s="401">
        <v>117</v>
      </c>
      <c r="BT166" s="72">
        <f t="shared" si="100"/>
        <v>0.40842026472091675</v>
      </c>
      <c r="BU166" s="399" t="str">
        <f t="shared" si="96"/>
        <v/>
      </c>
      <c r="BV166" s="19">
        <f t="shared" si="97"/>
        <v>-999</v>
      </c>
      <c r="BW166" s="19">
        <f t="shared" si="98"/>
        <v>-999</v>
      </c>
      <c r="BY166" s="19">
        <f t="shared" si="89"/>
        <v>62</v>
      </c>
      <c r="BZ166" s="19">
        <f t="shared" si="70"/>
        <v>0.83527021141127189</v>
      </c>
      <c r="CA166" s="19">
        <f t="shared" si="71"/>
        <v>0.99788972975772738</v>
      </c>
      <c r="CB166"/>
      <c r="CC166"/>
      <c r="CD166"/>
      <c r="CE166"/>
      <c r="CJ166"/>
      <c r="CK166"/>
      <c r="CL166"/>
      <c r="CM166"/>
      <c r="CN166"/>
    </row>
    <row r="167" spans="14:92" ht="11.25" customHeight="1" x14ac:dyDescent="0.2">
      <c r="N167" s="19">
        <v>57</v>
      </c>
      <c r="O167" s="19">
        <f t="shared" si="90"/>
        <v>864.5799999999972</v>
      </c>
      <c r="P167" s="19">
        <f t="shared" si="91"/>
        <v>664.5799999999972</v>
      </c>
      <c r="R167" s="19">
        <f t="shared" si="92"/>
        <v>464.58000000000038</v>
      </c>
      <c r="Z167" s="19">
        <f t="shared" si="101"/>
        <v>260.55500000000035</v>
      </c>
      <c r="AA167" s="19">
        <f t="shared" si="102"/>
        <v>60.554999999999986</v>
      </c>
      <c r="AB167" s="19" t="e">
        <f t="shared" si="103"/>
        <v>#N/A</v>
      </c>
      <c r="AE167" s="19">
        <v>76</v>
      </c>
      <c r="AG167" s="19">
        <f t="shared" si="104"/>
        <v>3</v>
      </c>
      <c r="AH167" s="19">
        <f t="shared" si="105"/>
        <v>1</v>
      </c>
      <c r="AI167" s="19">
        <f t="shared" si="106"/>
        <v>10.465</v>
      </c>
      <c r="AJ167" s="410">
        <f t="shared" si="107"/>
        <v>923.16</v>
      </c>
      <c r="AK167" s="19" t="e">
        <f t="shared" si="108"/>
        <v>#N/A</v>
      </c>
      <c r="AL167" s="19">
        <f t="shared" si="109"/>
        <v>723.16</v>
      </c>
      <c r="AM167" s="19" t="e">
        <f t="shared" si="110"/>
        <v>#N/A</v>
      </c>
      <c r="AN167" s="19">
        <f t="shared" si="111"/>
        <v>523.16</v>
      </c>
      <c r="AO167" s="19" t="e">
        <f t="shared" si="112"/>
        <v>#N/A</v>
      </c>
      <c r="AP167" s="19">
        <f t="shared" si="113"/>
        <v>323.16000000000003</v>
      </c>
      <c r="AQ167" s="19" t="e">
        <f t="shared" si="114"/>
        <v>#N/A</v>
      </c>
      <c r="AR167" s="19">
        <f t="shared" si="115"/>
        <v>123.16</v>
      </c>
      <c r="AS167" s="19" t="e">
        <f t="shared" si="116"/>
        <v>#N/A</v>
      </c>
      <c r="AY167" s="401">
        <v>50</v>
      </c>
      <c r="AZ167" s="19">
        <f t="shared" si="117"/>
        <v>100.13299542661541</v>
      </c>
      <c r="BA167" s="19">
        <f t="shared" si="118"/>
        <v>4.5</v>
      </c>
      <c r="BO167" s="72">
        <f t="shared" si="99"/>
        <v>0.28943957388401031</v>
      </c>
      <c r="BP167" s="399" t="str">
        <f t="shared" si="93"/>
        <v/>
      </c>
      <c r="BQ167" s="19">
        <f t="shared" si="94"/>
        <v>-999</v>
      </c>
      <c r="BR167" s="19">
        <f t="shared" si="95"/>
        <v>-999</v>
      </c>
      <c r="BS167" s="401">
        <v>118</v>
      </c>
      <c r="BT167" s="72">
        <f t="shared" si="100"/>
        <v>0.95667260885238647</v>
      </c>
      <c r="BU167" s="399" t="str">
        <f t="shared" si="96"/>
        <v/>
      </c>
      <c r="BV167" s="19">
        <f t="shared" si="97"/>
        <v>-999</v>
      </c>
      <c r="BW167" s="19">
        <f t="shared" si="98"/>
        <v>-999</v>
      </c>
      <c r="BY167" s="19">
        <f t="shared" si="89"/>
        <v>62.5</v>
      </c>
      <c r="BZ167" s="19">
        <f t="shared" si="70"/>
        <v>0.82257756239866464</v>
      </c>
      <c r="CA167" s="19">
        <f t="shared" si="71"/>
        <v>0.99595819018951326</v>
      </c>
      <c r="CB167"/>
      <c r="CC167"/>
      <c r="CD167"/>
      <c r="CE167"/>
      <c r="CJ167"/>
      <c r="CK167"/>
      <c r="CL167"/>
      <c r="CM167"/>
      <c r="CN167"/>
    </row>
    <row r="168" spans="14:92" ht="11.25" customHeight="1" x14ac:dyDescent="0.2">
      <c r="N168" s="19">
        <v>58</v>
      </c>
      <c r="O168" s="19">
        <f t="shared" si="90"/>
        <v>865.38499999999715</v>
      </c>
      <c r="P168" s="19">
        <f t="shared" si="91"/>
        <v>665.38499999999715</v>
      </c>
      <c r="Q168"/>
      <c r="R168" s="19">
        <f t="shared" si="92"/>
        <v>465.38500000000039</v>
      </c>
      <c r="S168"/>
      <c r="T168"/>
      <c r="U168"/>
      <c r="V168"/>
      <c r="W168"/>
      <c r="X168"/>
      <c r="Y168"/>
      <c r="Z168" s="19">
        <f t="shared" si="101"/>
        <v>261.36000000000035</v>
      </c>
      <c r="AA168" s="19">
        <f t="shared" si="102"/>
        <v>61.359999999999985</v>
      </c>
      <c r="AB168" s="19" t="e">
        <f t="shared" si="103"/>
        <v>#N/A</v>
      </c>
      <c r="AE168" s="19">
        <v>77</v>
      </c>
      <c r="AG168" s="19">
        <f t="shared" si="104"/>
        <v>5</v>
      </c>
      <c r="AH168" s="19">
        <f t="shared" si="105"/>
        <v>-1</v>
      </c>
      <c r="AI168" s="19">
        <f t="shared" si="106"/>
        <v>10.465</v>
      </c>
      <c r="AJ168" s="410">
        <f t="shared" si="107"/>
        <v>861.4</v>
      </c>
      <c r="AK168" s="19" t="e">
        <f t="shared" si="108"/>
        <v>#N/A</v>
      </c>
      <c r="AL168" s="19">
        <f t="shared" si="109"/>
        <v>661.4</v>
      </c>
      <c r="AM168" s="19" t="e">
        <f t="shared" si="110"/>
        <v>#N/A</v>
      </c>
      <c r="AN168" s="19">
        <f t="shared" si="111"/>
        <v>461.4</v>
      </c>
      <c r="AO168" s="19" t="e">
        <f t="shared" si="112"/>
        <v>#N/A</v>
      </c>
      <c r="AP168" s="19">
        <f t="shared" si="113"/>
        <v>261.39999999999998</v>
      </c>
      <c r="AQ168" s="19" t="e">
        <f t="shared" si="114"/>
        <v>#N/A</v>
      </c>
      <c r="AR168" s="19">
        <f t="shared" si="115"/>
        <v>61.4</v>
      </c>
      <c r="AS168" s="19" t="e">
        <f t="shared" si="116"/>
        <v>#N/A</v>
      </c>
      <c r="AX168"/>
      <c r="AY168" s="401">
        <v>52</v>
      </c>
      <c r="AZ168" s="19">
        <f t="shared" si="117"/>
        <v>102.13299542661541</v>
      </c>
      <c r="BA168" s="19">
        <f t="shared" si="118"/>
        <v>4.5</v>
      </c>
      <c r="BO168" s="72">
        <f t="shared" si="99"/>
        <v>0.50155456364154816</v>
      </c>
      <c r="BP168" s="399" t="str">
        <f t="shared" si="93"/>
        <v/>
      </c>
      <c r="BQ168" s="19">
        <f t="shared" si="94"/>
        <v>-999</v>
      </c>
      <c r="BR168" s="19">
        <f t="shared" si="95"/>
        <v>-999</v>
      </c>
      <c r="BS168" s="401">
        <v>119</v>
      </c>
      <c r="BT168" s="72">
        <f t="shared" si="100"/>
        <v>0.52526777982711792</v>
      </c>
      <c r="BU168" s="399" t="str">
        <f t="shared" si="96"/>
        <v/>
      </c>
      <c r="BV168" s="19">
        <f t="shared" si="97"/>
        <v>-999</v>
      </c>
      <c r="BW168" s="19">
        <f t="shared" si="98"/>
        <v>-999</v>
      </c>
      <c r="BY168" s="19">
        <f t="shared" si="89"/>
        <v>63</v>
      </c>
      <c r="BZ168" s="19">
        <f t="shared" si="70"/>
        <v>0.80957164866788689</v>
      </c>
      <c r="CA168" s="19">
        <f t="shared" si="71"/>
        <v>0.99340931446891578</v>
      </c>
      <c r="CB168"/>
      <c r="CC168"/>
      <c r="CD168"/>
      <c r="CE168"/>
      <c r="CJ168"/>
      <c r="CK168"/>
      <c r="CL168"/>
      <c r="CM168"/>
      <c r="CN168"/>
    </row>
    <row r="169" spans="14:92" ht="11.25" customHeight="1" x14ac:dyDescent="0.2">
      <c r="N169" s="19">
        <v>59</v>
      </c>
      <c r="O169" s="19">
        <f t="shared" si="90"/>
        <v>866.1899999999971</v>
      </c>
      <c r="P169" s="19">
        <f t="shared" si="91"/>
        <v>666.1899999999971</v>
      </c>
      <c r="Q169"/>
      <c r="R169" s="19">
        <f t="shared" si="92"/>
        <v>466.1900000000004</v>
      </c>
      <c r="S169"/>
      <c r="T169"/>
      <c r="U169"/>
      <c r="V169"/>
      <c r="W169"/>
      <c r="X169"/>
      <c r="Y169"/>
      <c r="Z169" s="19">
        <f t="shared" si="101"/>
        <v>262.16500000000036</v>
      </c>
      <c r="AA169" s="19">
        <f t="shared" si="102"/>
        <v>62.164999999999985</v>
      </c>
      <c r="AB169" s="19" t="e">
        <f t="shared" si="103"/>
        <v>#N/A</v>
      </c>
      <c r="AE169" s="19">
        <v>78</v>
      </c>
      <c r="AG169" s="19">
        <f t="shared" si="104"/>
        <v>5</v>
      </c>
      <c r="AH169" s="19">
        <f t="shared" si="105"/>
        <v>1</v>
      </c>
      <c r="AI169" s="19">
        <f t="shared" si="106"/>
        <v>10.465</v>
      </c>
      <c r="AJ169" s="410">
        <f t="shared" si="107"/>
        <v>938.6</v>
      </c>
      <c r="AK169" s="19" t="e">
        <f t="shared" si="108"/>
        <v>#N/A</v>
      </c>
      <c r="AL169" s="19">
        <f t="shared" si="109"/>
        <v>738.6</v>
      </c>
      <c r="AM169" s="19" t="e">
        <f t="shared" si="110"/>
        <v>#N/A</v>
      </c>
      <c r="AN169" s="19">
        <f t="shared" si="111"/>
        <v>538.6</v>
      </c>
      <c r="AO169" s="19" t="e">
        <f t="shared" si="112"/>
        <v>#N/A</v>
      </c>
      <c r="AP169" s="19">
        <f t="shared" si="113"/>
        <v>338.6</v>
      </c>
      <c r="AQ169" s="19" t="e">
        <f t="shared" si="114"/>
        <v>#N/A</v>
      </c>
      <c r="AR169" s="19">
        <f t="shared" si="115"/>
        <v>138.6</v>
      </c>
      <c r="AS169" s="19" t="e">
        <f t="shared" si="116"/>
        <v>#N/A</v>
      </c>
      <c r="AX169"/>
      <c r="AY169" s="401">
        <v>54</v>
      </c>
      <c r="AZ169" s="19">
        <f t="shared" si="117"/>
        <v>104.13299542661541</v>
      </c>
      <c r="BA169" s="19">
        <f t="shared" si="118"/>
        <v>4.5</v>
      </c>
      <c r="BD169"/>
      <c r="BE169"/>
      <c r="BF169"/>
      <c r="BG169"/>
      <c r="BH169"/>
      <c r="BI169"/>
      <c r="BJ169"/>
      <c r="BK169"/>
      <c r="BL169"/>
      <c r="BM169"/>
      <c r="BN169"/>
      <c r="BO169" s="72">
        <f t="shared" si="99"/>
        <v>0.15662480890750885</v>
      </c>
      <c r="BP169" s="399" t="str">
        <f t="shared" si="93"/>
        <v/>
      </c>
      <c r="BQ169" s="19">
        <f t="shared" si="94"/>
        <v>-999</v>
      </c>
      <c r="BR169" s="19">
        <f t="shared" si="95"/>
        <v>-999</v>
      </c>
      <c r="BS169" s="401">
        <v>120</v>
      </c>
      <c r="BT169" s="72">
        <f t="shared" si="100"/>
        <v>0.62675231695175171</v>
      </c>
      <c r="BU169" s="399" t="str">
        <f t="shared" si="96"/>
        <v/>
      </c>
      <c r="BV169" s="19">
        <f t="shared" si="97"/>
        <v>-999</v>
      </c>
      <c r="BW169" s="19">
        <f t="shared" si="98"/>
        <v>-999</v>
      </c>
      <c r="BY169" s="19">
        <f t="shared" si="89"/>
        <v>63.5</v>
      </c>
      <c r="BZ169" s="19">
        <f t="shared" si="70"/>
        <v>0.79627354712941933</v>
      </c>
      <c r="CA169" s="19">
        <f t="shared" si="71"/>
        <v>0.99024786351823457</v>
      </c>
      <c r="CB169"/>
      <c r="CC169"/>
      <c r="CD169"/>
      <c r="CE169"/>
      <c r="CJ169"/>
      <c r="CK169"/>
      <c r="CL169"/>
      <c r="CM169"/>
      <c r="CN169"/>
    </row>
    <row r="170" spans="14:92" ht="11.25" customHeight="1" x14ac:dyDescent="0.2">
      <c r="N170" s="19">
        <v>60</v>
      </c>
      <c r="O170" s="19">
        <f t="shared" si="90"/>
        <v>866.99499999999705</v>
      </c>
      <c r="P170" s="19">
        <f t="shared" si="91"/>
        <v>666.99499999999705</v>
      </c>
      <c r="Q170"/>
      <c r="R170" s="19">
        <f t="shared" si="92"/>
        <v>466.9950000000004</v>
      </c>
      <c r="S170"/>
      <c r="T170"/>
      <c r="U170"/>
      <c r="V170"/>
      <c r="W170"/>
      <c r="X170"/>
      <c r="Y170"/>
      <c r="Z170" s="19">
        <f t="shared" si="101"/>
        <v>262.97000000000037</v>
      </c>
      <c r="AA170" s="19">
        <f t="shared" si="102"/>
        <v>62.969999999999985</v>
      </c>
      <c r="AB170" s="19" t="e">
        <f t="shared" si="103"/>
        <v>#N/A</v>
      </c>
      <c r="AE170" s="19">
        <v>79</v>
      </c>
      <c r="AG170" s="19">
        <f t="shared" si="104"/>
        <v>7</v>
      </c>
      <c r="AH170" s="19">
        <f t="shared" si="105"/>
        <v>-1</v>
      </c>
      <c r="AI170" s="19">
        <f t="shared" si="106"/>
        <v>10.465</v>
      </c>
      <c r="AJ170" s="410">
        <f t="shared" si="107"/>
        <v>845.96</v>
      </c>
      <c r="AK170" s="19" t="e">
        <f t="shared" si="108"/>
        <v>#N/A</v>
      </c>
      <c r="AL170" s="19">
        <f t="shared" si="109"/>
        <v>645.96</v>
      </c>
      <c r="AM170" s="19" t="e">
        <f t="shared" si="110"/>
        <v>#N/A</v>
      </c>
      <c r="AN170" s="19">
        <f t="shared" si="111"/>
        <v>445.96</v>
      </c>
      <c r="AO170" s="19" t="e">
        <f t="shared" si="112"/>
        <v>#N/A</v>
      </c>
      <c r="AP170" s="19">
        <f t="shared" si="113"/>
        <v>245.96</v>
      </c>
      <c r="AQ170" s="19" t="e">
        <f t="shared" si="114"/>
        <v>#N/A</v>
      </c>
      <c r="AR170" s="19">
        <f t="shared" si="115"/>
        <v>45.96</v>
      </c>
      <c r="AS170" s="19" t="e">
        <f t="shared" si="116"/>
        <v>#N/A</v>
      </c>
      <c r="AX170"/>
      <c r="AY170" s="401">
        <v>56</v>
      </c>
      <c r="AZ170" s="19">
        <f t="shared" si="117"/>
        <v>106.13299542661541</v>
      </c>
      <c r="BA170" s="19">
        <f t="shared" si="118"/>
        <v>4.5</v>
      </c>
      <c r="BD170"/>
      <c r="BE170"/>
      <c r="BF170"/>
      <c r="BG170"/>
      <c r="BH170"/>
      <c r="BI170"/>
      <c r="BJ170"/>
      <c r="BK170"/>
      <c r="BL170"/>
      <c r="BM170"/>
      <c r="BN170"/>
      <c r="BO170" s="72">
        <f t="shared" si="99"/>
        <v>0.12519760429859161</v>
      </c>
      <c r="BP170" s="399" t="str">
        <f t="shared" si="93"/>
        <v/>
      </c>
      <c r="BQ170" s="19">
        <f t="shared" si="94"/>
        <v>-999</v>
      </c>
      <c r="BR170" s="19">
        <f t="shared" si="95"/>
        <v>-999</v>
      </c>
      <c r="BS170" s="401">
        <v>121</v>
      </c>
      <c r="BT170" s="72">
        <f t="shared" si="100"/>
        <v>0.31729763746261597</v>
      </c>
      <c r="BU170" s="399" t="str">
        <f t="shared" si="96"/>
        <v/>
      </c>
      <c r="BV170" s="19">
        <f t="shared" si="97"/>
        <v>-999</v>
      </c>
      <c r="BW170" s="19">
        <f t="shared" si="98"/>
        <v>-999</v>
      </c>
      <c r="BY170" s="19">
        <f t="shared" si="89"/>
        <v>64</v>
      </c>
      <c r="BZ170" s="19">
        <f t="shared" ref="BZ170:BZ233" si="119">IF($BT$1,NORMDIST(BY170,$AB$3,$AB$7,FALSE)/$BP$2,NA())</f>
        <v>0.78270453824186814</v>
      </c>
      <c r="CA170" s="19">
        <f t="shared" ref="CA170:CA233" si="120">IF($BT$1,NORMDIST(BY170,$AB$5,$AB$7,FALSE)/$BP$2,NA())</f>
        <v>0.98647973110518206</v>
      </c>
      <c r="CB170"/>
      <c r="CC170"/>
      <c r="CD170"/>
      <c r="CE170"/>
      <c r="CJ170"/>
      <c r="CK170"/>
      <c r="CL170"/>
      <c r="CM170"/>
      <c r="CN170"/>
    </row>
    <row r="171" spans="14:92" ht="11.25" customHeight="1" x14ac:dyDescent="0.2">
      <c r="N171" s="19">
        <v>61</v>
      </c>
      <c r="O171" s="19">
        <f t="shared" si="90"/>
        <v>867.799999999997</v>
      </c>
      <c r="P171" s="19">
        <f t="shared" si="91"/>
        <v>667.799999999997</v>
      </c>
      <c r="Q171"/>
      <c r="R171" s="19">
        <f t="shared" si="92"/>
        <v>467.80000000000041</v>
      </c>
      <c r="S171"/>
      <c r="T171"/>
      <c r="U171"/>
      <c r="V171"/>
      <c r="W171"/>
      <c r="X171"/>
      <c r="Y171"/>
      <c r="Z171" s="19">
        <f t="shared" si="101"/>
        <v>263.77500000000038</v>
      </c>
      <c r="AA171" s="19">
        <f t="shared" si="102"/>
        <v>63.774999999999984</v>
      </c>
      <c r="AB171" s="19" t="e">
        <f t="shared" si="103"/>
        <v>#N/A</v>
      </c>
      <c r="AC171"/>
      <c r="AD171"/>
      <c r="AE171" s="19">
        <v>80</v>
      </c>
      <c r="AG171" s="19">
        <f t="shared" si="104"/>
        <v>7</v>
      </c>
      <c r="AH171" s="19">
        <f t="shared" si="105"/>
        <v>1</v>
      </c>
      <c r="AI171" s="19">
        <f t="shared" si="106"/>
        <v>10.465</v>
      </c>
      <c r="AJ171" s="410">
        <f t="shared" si="107"/>
        <v>954.04</v>
      </c>
      <c r="AK171" s="19" t="e">
        <f t="shared" si="108"/>
        <v>#N/A</v>
      </c>
      <c r="AL171" s="19">
        <f t="shared" si="109"/>
        <v>754.04</v>
      </c>
      <c r="AM171" s="19" t="e">
        <f t="shared" si="110"/>
        <v>#N/A</v>
      </c>
      <c r="AN171" s="19">
        <f t="shared" si="111"/>
        <v>554.04</v>
      </c>
      <c r="AO171" s="19" t="e">
        <f t="shared" si="112"/>
        <v>#N/A</v>
      </c>
      <c r="AP171" s="19">
        <f t="shared" si="113"/>
        <v>354.04</v>
      </c>
      <c r="AQ171" s="19" t="e">
        <f t="shared" si="114"/>
        <v>#N/A</v>
      </c>
      <c r="AR171" s="19">
        <f t="shared" si="115"/>
        <v>154.04</v>
      </c>
      <c r="AS171" s="19" t="e">
        <f t="shared" si="116"/>
        <v>#N/A</v>
      </c>
      <c r="AT171"/>
      <c r="AU171"/>
      <c r="AV171"/>
      <c r="AW171"/>
      <c r="AX171"/>
      <c r="AY171" s="401">
        <v>58</v>
      </c>
      <c r="AZ171" s="19">
        <f t="shared" si="117"/>
        <v>108.13299542661541</v>
      </c>
      <c r="BA171" s="19">
        <f t="shared" si="118"/>
        <v>4.5</v>
      </c>
      <c r="BD171"/>
      <c r="BE171"/>
      <c r="BF171"/>
      <c r="BG171"/>
      <c r="BH171"/>
      <c r="BI171"/>
      <c r="BJ171"/>
      <c r="BK171"/>
      <c r="BL171"/>
      <c r="BM171"/>
      <c r="BN171"/>
      <c r="BO171" s="72">
        <f t="shared" si="99"/>
        <v>0.67055477201938629</v>
      </c>
      <c r="BP171" s="399" t="str">
        <f t="shared" si="93"/>
        <v/>
      </c>
      <c r="BQ171" s="19">
        <f t="shared" si="94"/>
        <v>-999</v>
      </c>
      <c r="BR171" s="19">
        <f t="shared" si="95"/>
        <v>-999</v>
      </c>
      <c r="BS171" s="401">
        <v>122</v>
      </c>
      <c r="BT171" s="72">
        <f t="shared" si="100"/>
        <v>0.49949544668197632</v>
      </c>
      <c r="BU171" s="399" t="str">
        <f t="shared" si="96"/>
        <v/>
      </c>
      <c r="BV171" s="19">
        <f t="shared" si="97"/>
        <v>-999</v>
      </c>
      <c r="BW171" s="19">
        <f t="shared" si="98"/>
        <v>-999</v>
      </c>
      <c r="BY171" s="19">
        <f t="shared" ref="BY171:BY202" si="121">BY170+$BP$1</f>
        <v>64.5</v>
      </c>
      <c r="BZ171" s="19">
        <f t="shared" si="119"/>
        <v>0.76888604993079179</v>
      </c>
      <c r="CA171" s="19">
        <f t="shared" si="120"/>
        <v>0.98211192553436355</v>
      </c>
      <c r="CB171"/>
      <c r="CC171"/>
      <c r="CD171"/>
      <c r="CE171"/>
      <c r="CJ171"/>
      <c r="CK171"/>
      <c r="CL171"/>
      <c r="CM171"/>
      <c r="CN171"/>
    </row>
    <row r="172" spans="14:92" ht="11.25" customHeight="1" x14ac:dyDescent="0.2">
      <c r="N172" s="19">
        <v>62</v>
      </c>
      <c r="O172" s="19">
        <f t="shared" si="90"/>
        <v>868.60499999999695</v>
      </c>
      <c r="P172" s="19">
        <f t="shared" si="91"/>
        <v>668.60499999999695</v>
      </c>
      <c r="Q172"/>
      <c r="R172" s="19">
        <f t="shared" si="92"/>
        <v>468.60500000000042</v>
      </c>
      <c r="S172"/>
      <c r="T172"/>
      <c r="U172"/>
      <c r="V172"/>
      <c r="W172"/>
      <c r="X172"/>
      <c r="Y172"/>
      <c r="Z172" s="19">
        <f t="shared" si="101"/>
        <v>264.58000000000038</v>
      </c>
      <c r="AA172" s="19">
        <f t="shared" si="102"/>
        <v>64.579999999999984</v>
      </c>
      <c r="AB172" s="19" t="e">
        <f t="shared" si="103"/>
        <v>#N/A</v>
      </c>
      <c r="AC172"/>
      <c r="AD172"/>
      <c r="AE172" s="19">
        <v>81</v>
      </c>
      <c r="AG172" s="19">
        <f t="shared" si="104"/>
        <v>9</v>
      </c>
      <c r="AH172" s="19">
        <f t="shared" si="105"/>
        <v>-1</v>
      </c>
      <c r="AI172" s="19">
        <f t="shared" si="106"/>
        <v>10.465</v>
      </c>
      <c r="AJ172" s="410">
        <f t="shared" si="107"/>
        <v>830.52</v>
      </c>
      <c r="AK172" s="19" t="e">
        <f t="shared" si="108"/>
        <v>#N/A</v>
      </c>
      <c r="AL172" s="19">
        <f t="shared" si="109"/>
        <v>630.52</v>
      </c>
      <c r="AM172" s="19" t="e">
        <f t="shared" si="110"/>
        <v>#N/A</v>
      </c>
      <c r="AN172" s="19">
        <f t="shared" si="111"/>
        <v>430.52</v>
      </c>
      <c r="AO172" s="19" t="e">
        <f t="shared" si="112"/>
        <v>#N/A</v>
      </c>
      <c r="AP172" s="19">
        <f t="shared" si="113"/>
        <v>230.51999999999998</v>
      </c>
      <c r="AQ172" s="19" t="e">
        <f t="shared" si="114"/>
        <v>#N/A</v>
      </c>
      <c r="AR172" s="19">
        <f t="shared" si="115"/>
        <v>30.519999999999996</v>
      </c>
      <c r="AS172" s="19" t="e">
        <f t="shared" si="116"/>
        <v>#N/A</v>
      </c>
      <c r="AT172"/>
      <c r="AU172"/>
      <c r="AV172"/>
      <c r="AW172"/>
      <c r="AX172"/>
      <c r="AY172" s="401">
        <v>60</v>
      </c>
      <c r="AZ172" s="19">
        <f t="shared" si="117"/>
        <v>110.13299542661541</v>
      </c>
      <c r="BA172" s="19">
        <f t="shared" si="118"/>
        <v>4.5</v>
      </c>
      <c r="BD172"/>
      <c r="BE172"/>
      <c r="BF172"/>
      <c r="BG172"/>
      <c r="BH172"/>
      <c r="BI172"/>
      <c r="BJ172"/>
      <c r="BK172"/>
      <c r="BL172"/>
      <c r="BM172"/>
      <c r="BN172"/>
      <c r="BO172" s="72">
        <f t="shared" si="99"/>
        <v>0.43740589916706085</v>
      </c>
      <c r="BP172" s="399" t="str">
        <f t="shared" si="93"/>
        <v/>
      </c>
      <c r="BQ172" s="19">
        <f t="shared" si="94"/>
        <v>-999</v>
      </c>
      <c r="BR172" s="19">
        <f t="shared" si="95"/>
        <v>-999</v>
      </c>
      <c r="BS172" s="401">
        <v>123</v>
      </c>
      <c r="BT172" s="72">
        <f t="shared" si="100"/>
        <v>0.96026057004928589</v>
      </c>
      <c r="BU172" s="399" t="str">
        <f t="shared" si="96"/>
        <v/>
      </c>
      <c r="BV172" s="19">
        <f t="shared" si="97"/>
        <v>-999</v>
      </c>
      <c r="BW172" s="19">
        <f t="shared" si="98"/>
        <v>-999</v>
      </c>
      <c r="BY172" s="19">
        <f t="shared" si="121"/>
        <v>65</v>
      </c>
      <c r="BZ172" s="19">
        <f t="shared" si="119"/>
        <v>0.75483960198900724</v>
      </c>
      <c r="CA172" s="19">
        <f t="shared" si="120"/>
        <v>0.97715254792785977</v>
      </c>
      <c r="CB172"/>
      <c r="CC172"/>
      <c r="CD172"/>
      <c r="CE172"/>
      <c r="CJ172"/>
      <c r="CK172"/>
      <c r="CL172"/>
      <c r="CM172"/>
      <c r="CN172"/>
    </row>
    <row r="173" spans="14:92" ht="11.25" customHeight="1" x14ac:dyDescent="0.2">
      <c r="N173" s="19">
        <v>63</v>
      </c>
      <c r="O173" s="19">
        <f t="shared" si="90"/>
        <v>869.4099999999969</v>
      </c>
      <c r="P173" s="19">
        <f t="shared" si="91"/>
        <v>669.4099999999969</v>
      </c>
      <c r="Q173"/>
      <c r="R173" s="19">
        <f t="shared" si="92"/>
        <v>469.41000000000042</v>
      </c>
      <c r="S173"/>
      <c r="T173"/>
      <c r="U173"/>
      <c r="V173"/>
      <c r="W173"/>
      <c r="X173"/>
      <c r="Y173"/>
      <c r="Z173" s="19">
        <f t="shared" si="101"/>
        <v>265.38500000000039</v>
      </c>
      <c r="AA173" s="19">
        <f t="shared" si="102"/>
        <v>65.384999999999991</v>
      </c>
      <c r="AB173" s="19" t="e">
        <f t="shared" si="103"/>
        <v>#N/A</v>
      </c>
      <c r="AC173"/>
      <c r="AD173"/>
      <c r="AE173" s="19">
        <v>82</v>
      </c>
      <c r="AG173" s="19">
        <f t="shared" si="104"/>
        <v>9</v>
      </c>
      <c r="AH173" s="19">
        <f t="shared" si="105"/>
        <v>1</v>
      </c>
      <c r="AI173" s="19">
        <f t="shared" si="106"/>
        <v>10.465</v>
      </c>
      <c r="AJ173" s="410">
        <f t="shared" si="107"/>
        <v>969.48</v>
      </c>
      <c r="AK173" s="19" t="e">
        <f t="shared" si="108"/>
        <v>#N/A</v>
      </c>
      <c r="AL173" s="19">
        <f t="shared" si="109"/>
        <v>769.48</v>
      </c>
      <c r="AM173" s="19" t="e">
        <f t="shared" si="110"/>
        <v>#N/A</v>
      </c>
      <c r="AN173" s="19">
        <f t="shared" si="111"/>
        <v>569.48</v>
      </c>
      <c r="AO173" s="19" t="e">
        <f t="shared" si="112"/>
        <v>#N/A</v>
      </c>
      <c r="AP173" s="19">
        <f t="shared" si="113"/>
        <v>369.48</v>
      </c>
      <c r="AQ173" s="19" t="e">
        <f t="shared" si="114"/>
        <v>#N/A</v>
      </c>
      <c r="AR173" s="19">
        <f t="shared" si="115"/>
        <v>169.48000000000002</v>
      </c>
      <c r="AS173" s="19" t="e">
        <f t="shared" si="116"/>
        <v>#N/A</v>
      </c>
      <c r="AT173"/>
      <c r="AU173"/>
      <c r="AV173"/>
      <c r="AW173"/>
      <c r="AX173"/>
      <c r="AY173" s="401">
        <v>62</v>
      </c>
      <c r="AZ173" s="19">
        <f t="shared" si="117"/>
        <v>112.13299542661541</v>
      </c>
      <c r="BA173" s="19">
        <f t="shared" si="118"/>
        <v>4.5</v>
      </c>
      <c r="BD173"/>
      <c r="BE173"/>
      <c r="BF173"/>
      <c r="BG173"/>
      <c r="BH173"/>
      <c r="BI173"/>
      <c r="BJ173"/>
      <c r="BK173"/>
      <c r="BL173"/>
      <c r="BM173"/>
      <c r="BN173"/>
      <c r="BO173" s="72">
        <f t="shared" si="99"/>
        <v>0.67794729769229889</v>
      </c>
      <c r="BP173" s="399" t="str">
        <f t="shared" si="93"/>
        <v/>
      </c>
      <c r="BQ173" s="19">
        <f t="shared" si="94"/>
        <v>-999</v>
      </c>
      <c r="BR173" s="19">
        <f t="shared" si="95"/>
        <v>-999</v>
      </c>
      <c r="BS173" s="401">
        <v>124</v>
      </c>
      <c r="BT173" s="72">
        <f t="shared" si="100"/>
        <v>0.1838802695274353</v>
      </c>
      <c r="BU173" s="399" t="str">
        <f t="shared" si="96"/>
        <v/>
      </c>
      <c r="BV173" s="19">
        <f t="shared" si="97"/>
        <v>-999</v>
      </c>
      <c r="BW173" s="19">
        <f t="shared" si="98"/>
        <v>-999</v>
      </c>
      <c r="BY173" s="19">
        <f t="shared" si="121"/>
        <v>65.5</v>
      </c>
      <c r="BZ173" s="19">
        <f t="shared" si="119"/>
        <v>0.74058675115675177</v>
      </c>
      <c r="CA173" s="19">
        <f t="shared" si="120"/>
        <v>0.97161076718912276</v>
      </c>
      <c r="CB173"/>
      <c r="CC173"/>
      <c r="CD173"/>
      <c r="CE173"/>
      <c r="CJ173"/>
      <c r="CK173"/>
      <c r="CL173"/>
      <c r="CM173"/>
      <c r="CN173"/>
    </row>
    <row r="174" spans="14:92" ht="11.25" customHeight="1" x14ac:dyDescent="0.2">
      <c r="N174" s="19">
        <v>64</v>
      </c>
      <c r="O174" s="19">
        <f t="shared" si="90"/>
        <v>870.21499999999685</v>
      </c>
      <c r="P174" s="19">
        <f t="shared" si="91"/>
        <v>670.21499999999685</v>
      </c>
      <c r="Q174"/>
      <c r="R174" s="19">
        <f t="shared" si="92"/>
        <v>470.21500000000043</v>
      </c>
      <c r="S174"/>
      <c r="T174"/>
      <c r="U174"/>
      <c r="V174"/>
      <c r="W174"/>
      <c r="X174"/>
      <c r="Y174"/>
      <c r="Z174" s="19">
        <f t="shared" si="101"/>
        <v>266.1900000000004</v>
      </c>
      <c r="AA174" s="19">
        <f t="shared" si="102"/>
        <v>66.19</v>
      </c>
      <c r="AB174" s="19" t="e">
        <f t="shared" si="103"/>
        <v>#N/A</v>
      </c>
      <c r="AC174"/>
      <c r="AD174"/>
      <c r="AE174" s="19">
        <v>83</v>
      </c>
      <c r="AG174" s="19">
        <f t="shared" si="104"/>
        <v>11</v>
      </c>
      <c r="AH174" s="19">
        <f t="shared" si="105"/>
        <v>-1</v>
      </c>
      <c r="AI174" s="19">
        <f t="shared" si="106"/>
        <v>10.465</v>
      </c>
      <c r="AJ174" s="410">
        <f t="shared" si="107"/>
        <v>815.08</v>
      </c>
      <c r="AK174" s="19" t="e">
        <f t="shared" si="108"/>
        <v>#N/A</v>
      </c>
      <c r="AL174" s="19">
        <f t="shared" si="109"/>
        <v>615.08000000000004</v>
      </c>
      <c r="AM174" s="19" t="e">
        <f t="shared" si="110"/>
        <v>#N/A</v>
      </c>
      <c r="AN174" s="19">
        <f t="shared" si="111"/>
        <v>415.08</v>
      </c>
      <c r="AO174" s="19" t="e">
        <f t="shared" si="112"/>
        <v>#N/A</v>
      </c>
      <c r="AP174" s="19">
        <f t="shared" si="113"/>
        <v>215.07999999999998</v>
      </c>
      <c r="AQ174" s="19" t="e">
        <f t="shared" si="114"/>
        <v>#N/A</v>
      </c>
      <c r="AR174" s="19">
        <f t="shared" si="115"/>
        <v>15.079999999999998</v>
      </c>
      <c r="AS174" s="19" t="e">
        <f t="shared" si="116"/>
        <v>#N/A</v>
      </c>
      <c r="AT174"/>
      <c r="AU174"/>
      <c r="AV174"/>
      <c r="AW174"/>
      <c r="AX174"/>
      <c r="AY174" s="401">
        <v>64</v>
      </c>
      <c r="AZ174" s="19">
        <f t="shared" si="117"/>
        <v>114.13299542661541</v>
      </c>
      <c r="BA174" s="19">
        <f t="shared" si="118"/>
        <v>4.5</v>
      </c>
      <c r="BD174"/>
      <c r="BE174"/>
      <c r="BF174"/>
      <c r="BG174"/>
      <c r="BH174"/>
      <c r="BI174"/>
      <c r="BJ174"/>
      <c r="BK174"/>
      <c r="BL174"/>
      <c r="BM174"/>
      <c r="BN174"/>
      <c r="BO174" s="72">
        <f t="shared" si="99"/>
        <v>0.79023785889148712</v>
      </c>
      <c r="BP174" s="399" t="str">
        <f t="shared" si="93"/>
        <v/>
      </c>
      <c r="BQ174" s="19">
        <f t="shared" si="94"/>
        <v>-999</v>
      </c>
      <c r="BR174" s="19">
        <f t="shared" si="95"/>
        <v>-999</v>
      </c>
      <c r="BS174" s="401">
        <v>125</v>
      </c>
      <c r="BT174" s="72">
        <f t="shared" si="100"/>
        <v>8.5717856884002686E-2</v>
      </c>
      <c r="BU174" s="399" t="str">
        <f t="shared" si="96"/>
        <v/>
      </c>
      <c r="BV174" s="19">
        <f t="shared" si="97"/>
        <v>-999</v>
      </c>
      <c r="BW174" s="19">
        <f t="shared" si="98"/>
        <v>-999</v>
      </c>
      <c r="BY174" s="19">
        <f t="shared" si="121"/>
        <v>66</v>
      </c>
      <c r="BZ174" s="19">
        <f t="shared" si="119"/>
        <v>0.72614903707369083</v>
      </c>
      <c r="CA174" s="19">
        <f t="shared" si="120"/>
        <v>0.96549679175848002</v>
      </c>
      <c r="CB174"/>
      <c r="CC174"/>
      <c r="CD174"/>
      <c r="CE174"/>
      <c r="CJ174"/>
      <c r="CK174"/>
      <c r="CL174"/>
      <c r="CM174"/>
      <c r="CN174"/>
    </row>
    <row r="175" spans="14:92" ht="11.25" customHeight="1" x14ac:dyDescent="0.2">
      <c r="N175" s="19">
        <v>65</v>
      </c>
      <c r="O175" s="19">
        <f t="shared" si="90"/>
        <v>871.0199999999968</v>
      </c>
      <c r="P175" s="19">
        <f t="shared" si="91"/>
        <v>671.0199999999968</v>
      </c>
      <c r="Q175"/>
      <c r="R175" s="19">
        <f t="shared" si="92"/>
        <v>471.02000000000044</v>
      </c>
      <c r="S175"/>
      <c r="T175"/>
      <c r="U175"/>
      <c r="V175"/>
      <c r="W175"/>
      <c r="X175"/>
      <c r="Y175"/>
      <c r="Z175" s="19">
        <f t="shared" si="101"/>
        <v>266.9950000000004</v>
      </c>
      <c r="AA175" s="19">
        <f t="shared" si="102"/>
        <v>66.995000000000005</v>
      </c>
      <c r="AB175" s="19" t="e">
        <f t="shared" si="103"/>
        <v>#N/A</v>
      </c>
      <c r="AC175"/>
      <c r="AD175"/>
      <c r="AE175" s="19">
        <v>84</v>
      </c>
      <c r="AG175" s="19">
        <f t="shared" si="104"/>
        <v>11</v>
      </c>
      <c r="AH175" s="19">
        <f t="shared" si="105"/>
        <v>1</v>
      </c>
      <c r="AI175" s="19">
        <f t="shared" si="106"/>
        <v>10.465</v>
      </c>
      <c r="AJ175" s="410">
        <f t="shared" si="107"/>
        <v>984.92</v>
      </c>
      <c r="AK175" s="19" t="e">
        <f t="shared" si="108"/>
        <v>#N/A</v>
      </c>
      <c r="AL175" s="19">
        <f t="shared" si="109"/>
        <v>784.92</v>
      </c>
      <c r="AM175" s="19" t="e">
        <f t="shared" si="110"/>
        <v>#N/A</v>
      </c>
      <c r="AN175" s="19">
        <f t="shared" si="111"/>
        <v>584.91999999999996</v>
      </c>
      <c r="AO175" s="19" t="e">
        <f t="shared" si="112"/>
        <v>#N/A</v>
      </c>
      <c r="AP175" s="19">
        <f t="shared" si="113"/>
        <v>384.92</v>
      </c>
      <c r="AQ175" s="19" t="e">
        <f t="shared" si="114"/>
        <v>#N/A</v>
      </c>
      <c r="AR175" s="19">
        <f t="shared" si="115"/>
        <v>184.92000000000002</v>
      </c>
      <c r="AS175" s="19" t="e">
        <f t="shared" si="116"/>
        <v>#N/A</v>
      </c>
      <c r="AT175"/>
      <c r="AU175"/>
      <c r="AV175"/>
      <c r="AW175"/>
      <c r="AX175"/>
      <c r="AY175" s="401">
        <v>66</v>
      </c>
      <c r="AZ175" s="19">
        <f t="shared" si="117"/>
        <v>116.13299542661541</v>
      </c>
      <c r="BA175" s="19">
        <f t="shared" si="118"/>
        <v>4.5</v>
      </c>
      <c r="BD175"/>
      <c r="BE175"/>
      <c r="BF175"/>
      <c r="BG175"/>
      <c r="BH175"/>
      <c r="BI175"/>
      <c r="BJ175"/>
      <c r="BK175"/>
      <c r="BL175"/>
      <c r="BM175"/>
      <c r="BN175"/>
      <c r="BO175" s="72">
        <f t="shared" si="99"/>
        <v>0.86200703680515289</v>
      </c>
      <c r="BP175" s="399" t="str">
        <f t="shared" si="93"/>
        <v/>
      </c>
      <c r="BQ175" s="19">
        <f t="shared" si="94"/>
        <v>-999</v>
      </c>
      <c r="BR175" s="19">
        <f t="shared" si="95"/>
        <v>-999</v>
      </c>
      <c r="BS175" s="401">
        <v>126</v>
      </c>
      <c r="BT175" s="72">
        <f t="shared" si="100"/>
        <v>0.68317216634750366</v>
      </c>
      <c r="BU175" s="399" t="str">
        <f t="shared" si="96"/>
        <v/>
      </c>
      <c r="BV175" s="19">
        <f t="shared" si="97"/>
        <v>-999</v>
      </c>
      <c r="BW175" s="19">
        <f t="shared" si="98"/>
        <v>-999</v>
      </c>
      <c r="BY175" s="19">
        <f t="shared" si="121"/>
        <v>66.5</v>
      </c>
      <c r="BZ175" s="19">
        <f t="shared" si="119"/>
        <v>0.71154792928753674</v>
      </c>
      <c r="CA175" s="19">
        <f t="shared" si="120"/>
        <v>0.95882183828202305</v>
      </c>
      <c r="CB175"/>
      <c r="CC175"/>
      <c r="CD175"/>
      <c r="CE175"/>
      <c r="CJ175"/>
      <c r="CK175"/>
      <c r="CL175"/>
      <c r="CM175"/>
      <c r="CN175"/>
    </row>
    <row r="176" spans="14:92" ht="11.25" customHeight="1" x14ac:dyDescent="0.2">
      <c r="N176" s="19">
        <v>66</v>
      </c>
      <c r="O176" s="19">
        <f t="shared" ref="O176:O207" si="122">O175+$P$108</f>
        <v>871.82499999999675</v>
      </c>
      <c r="P176" s="19">
        <f t="shared" ref="P176:P207" si="123">P175+$P$108</f>
        <v>671.82499999999675</v>
      </c>
      <c r="Q176"/>
      <c r="R176" s="19">
        <f t="shared" ref="R176:R207" si="124">R175+$P$108</f>
        <v>471.82500000000044</v>
      </c>
      <c r="S176"/>
      <c r="T176"/>
      <c r="U176"/>
      <c r="V176"/>
      <c r="W176"/>
      <c r="X176"/>
      <c r="Y176"/>
      <c r="Z176" s="19">
        <f t="shared" si="101"/>
        <v>267.80000000000041</v>
      </c>
      <c r="AA176" s="19">
        <f t="shared" si="102"/>
        <v>67.800000000000011</v>
      </c>
      <c r="AB176" s="19" t="e">
        <f t="shared" si="103"/>
        <v>#N/A</v>
      </c>
      <c r="AC176"/>
      <c r="AD176"/>
      <c r="AE176" s="19">
        <v>85</v>
      </c>
      <c r="AG176" s="19">
        <f t="shared" si="104"/>
        <v>1</v>
      </c>
      <c r="AH176" s="19">
        <f t="shared" si="105"/>
        <v>-1</v>
      </c>
      <c r="AI176" s="19">
        <f t="shared" si="106"/>
        <v>12.075000000000001</v>
      </c>
      <c r="AJ176" s="410">
        <f t="shared" si="107"/>
        <v>892.28</v>
      </c>
      <c r="AK176" s="19" t="e">
        <f t="shared" si="108"/>
        <v>#N/A</v>
      </c>
      <c r="AL176" s="19">
        <f t="shared" si="109"/>
        <v>692.28</v>
      </c>
      <c r="AM176" s="19" t="e">
        <f t="shared" si="110"/>
        <v>#N/A</v>
      </c>
      <c r="AN176" s="19">
        <f t="shared" si="111"/>
        <v>492.28</v>
      </c>
      <c r="AO176" s="19" t="e">
        <f t="shared" si="112"/>
        <v>#N/A</v>
      </c>
      <c r="AP176" s="19">
        <f t="shared" si="113"/>
        <v>292.27999999999997</v>
      </c>
      <c r="AQ176" s="19" t="e">
        <f t="shared" si="114"/>
        <v>#N/A</v>
      </c>
      <c r="AR176" s="19">
        <f t="shared" si="115"/>
        <v>92.28</v>
      </c>
      <c r="AS176" s="19" t="e">
        <f t="shared" si="116"/>
        <v>#N/A</v>
      </c>
      <c r="AT176"/>
      <c r="AU176"/>
      <c r="AV176"/>
      <c r="AW176"/>
      <c r="AX176"/>
      <c r="AY176" s="401">
        <v>68</v>
      </c>
      <c r="AZ176" s="19">
        <f t="shared" si="117"/>
        <v>118.13299542661541</v>
      </c>
      <c r="BA176" s="19">
        <f t="shared" si="118"/>
        <v>4.5</v>
      </c>
      <c r="BD176"/>
      <c r="BE176"/>
      <c r="BF176"/>
      <c r="BG176"/>
      <c r="BH176"/>
      <c r="BI176"/>
      <c r="BJ176"/>
      <c r="BK176"/>
      <c r="BL176"/>
      <c r="BM176"/>
      <c r="BN176"/>
      <c r="BO176" s="72">
        <f t="shared" si="99"/>
        <v>0.57414300739765167</v>
      </c>
      <c r="BP176" s="399" t="str">
        <f t="shared" si="93"/>
        <v/>
      </c>
      <c r="BQ176" s="19">
        <f t="shared" si="94"/>
        <v>-999</v>
      </c>
      <c r="BR176" s="19">
        <f t="shared" si="95"/>
        <v>-999</v>
      </c>
      <c r="BS176" s="401">
        <v>127</v>
      </c>
      <c r="BT176" s="72">
        <f t="shared" si="100"/>
        <v>0.54471319913864136</v>
      </c>
      <c r="BU176" s="399" t="str">
        <f t="shared" si="96"/>
        <v/>
      </c>
      <c r="BV176" s="19">
        <f t="shared" si="97"/>
        <v>-999</v>
      </c>
      <c r="BW176" s="19">
        <f t="shared" si="98"/>
        <v>-999</v>
      </c>
      <c r="BY176" s="19">
        <f t="shared" si="121"/>
        <v>67</v>
      </c>
      <c r="BZ176" s="19">
        <f t="shared" si="119"/>
        <v>0.6968047754960347</v>
      </c>
      <c r="CA176" s="19">
        <f t="shared" si="120"/>
        <v>0.95159809732845502</v>
      </c>
      <c r="CB176"/>
      <c r="CC176"/>
      <c r="CD176"/>
      <c r="CE176"/>
      <c r="CJ176"/>
      <c r="CK176"/>
      <c r="CL176"/>
      <c r="CM176"/>
      <c r="CN176"/>
    </row>
    <row r="177" spans="14:92" ht="11.25" customHeight="1" x14ac:dyDescent="0.2">
      <c r="N177" s="19">
        <v>67</v>
      </c>
      <c r="O177" s="19">
        <f t="shared" si="122"/>
        <v>872.6299999999967</v>
      </c>
      <c r="P177" s="19">
        <f t="shared" si="123"/>
        <v>672.6299999999967</v>
      </c>
      <c r="Q177"/>
      <c r="R177" s="19">
        <f t="shared" si="124"/>
        <v>472.63000000000045</v>
      </c>
      <c r="S177"/>
      <c r="T177"/>
      <c r="U177"/>
      <c r="V177"/>
      <c r="W177"/>
      <c r="X177"/>
      <c r="Y177"/>
      <c r="Z177" s="19">
        <f t="shared" si="101"/>
        <v>268.60500000000042</v>
      </c>
      <c r="AA177" s="19">
        <f t="shared" si="102"/>
        <v>68.605000000000018</v>
      </c>
      <c r="AB177" s="19" t="e">
        <f t="shared" si="103"/>
        <v>#N/A</v>
      </c>
      <c r="AC177"/>
      <c r="AD177"/>
      <c r="AE177" s="19">
        <v>86</v>
      </c>
      <c r="AG177" s="19">
        <f t="shared" si="104"/>
        <v>1</v>
      </c>
      <c r="AH177" s="19">
        <f t="shared" si="105"/>
        <v>1</v>
      </c>
      <c r="AI177" s="19">
        <f t="shared" si="106"/>
        <v>12.075000000000001</v>
      </c>
      <c r="AJ177" s="410">
        <f t="shared" si="107"/>
        <v>907.72</v>
      </c>
      <c r="AK177" s="19" t="e">
        <f t="shared" si="108"/>
        <v>#N/A</v>
      </c>
      <c r="AL177" s="19">
        <f t="shared" si="109"/>
        <v>707.72</v>
      </c>
      <c r="AM177" s="19" t="e">
        <f t="shared" si="110"/>
        <v>#N/A</v>
      </c>
      <c r="AN177" s="19">
        <f t="shared" si="111"/>
        <v>507.72</v>
      </c>
      <c r="AO177" s="19" t="e">
        <f t="shared" si="112"/>
        <v>#N/A</v>
      </c>
      <c r="AP177" s="19">
        <f t="shared" si="113"/>
        <v>307.72000000000003</v>
      </c>
      <c r="AQ177" s="19" t="e">
        <f t="shared" si="114"/>
        <v>#N/A</v>
      </c>
      <c r="AR177" s="19">
        <f t="shared" si="115"/>
        <v>107.72</v>
      </c>
      <c r="AS177" s="19" t="e">
        <f t="shared" si="116"/>
        <v>#N/A</v>
      </c>
      <c r="AT177"/>
      <c r="AU177"/>
      <c r="AV177"/>
      <c r="AW177"/>
      <c r="AX177"/>
      <c r="AY177" s="401">
        <v>70</v>
      </c>
      <c r="AZ177" s="19">
        <f t="shared" si="117"/>
        <v>120.13299542661541</v>
      </c>
      <c r="BA177" s="19">
        <f t="shared" si="118"/>
        <v>4.5</v>
      </c>
      <c r="BD177"/>
      <c r="BE177"/>
      <c r="BF177"/>
      <c r="BG177"/>
      <c r="BH177"/>
      <c r="BI177"/>
      <c r="BJ177"/>
      <c r="BK177"/>
      <c r="BL177"/>
      <c r="BM177"/>
      <c r="BN177"/>
      <c r="BO177" s="72">
        <f t="shared" si="99"/>
        <v>0.53783561289310455</v>
      </c>
      <c r="BP177" s="399" t="str">
        <f t="shared" si="93"/>
        <v/>
      </c>
      <c r="BQ177" s="19">
        <f t="shared" si="94"/>
        <v>-999</v>
      </c>
      <c r="BR177" s="19">
        <f t="shared" si="95"/>
        <v>-999</v>
      </c>
      <c r="BS177" s="401">
        <v>128</v>
      </c>
      <c r="BT177" s="72">
        <f t="shared" si="100"/>
        <v>7.2658002376556396E-2</v>
      </c>
      <c r="BU177" s="399" t="str">
        <f t="shared" si="96"/>
        <v/>
      </c>
      <c r="BV177" s="19">
        <f t="shared" si="97"/>
        <v>-999</v>
      </c>
      <c r="BW177" s="19">
        <f t="shared" si="98"/>
        <v>-999</v>
      </c>
      <c r="BY177" s="19">
        <f t="shared" si="121"/>
        <v>67.5</v>
      </c>
      <c r="BZ177" s="19">
        <f t="shared" si="119"/>
        <v>0.68194075119034814</v>
      </c>
      <c r="CA177" s="19">
        <f t="shared" si="120"/>
        <v>0.94383869630054318</v>
      </c>
      <c r="CB177"/>
      <c r="CC177"/>
      <c r="CD177"/>
      <c r="CE177"/>
      <c r="CJ177"/>
      <c r="CK177"/>
      <c r="CL177"/>
      <c r="CM177"/>
      <c r="CN177"/>
    </row>
    <row r="178" spans="14:92" ht="11.25" customHeight="1" x14ac:dyDescent="0.2">
      <c r="N178" s="19">
        <v>68</v>
      </c>
      <c r="O178" s="19">
        <f t="shared" si="122"/>
        <v>873.43499999999665</v>
      </c>
      <c r="P178" s="19">
        <f t="shared" si="123"/>
        <v>673.43499999999665</v>
      </c>
      <c r="Q178"/>
      <c r="R178" s="19">
        <f t="shared" si="124"/>
        <v>473.43500000000046</v>
      </c>
      <c r="S178"/>
      <c r="T178"/>
      <c r="U178"/>
      <c r="V178"/>
      <c r="W178"/>
      <c r="X178"/>
      <c r="Y178"/>
      <c r="Z178" s="19">
        <f t="shared" si="101"/>
        <v>269.41000000000042</v>
      </c>
      <c r="AA178" s="19">
        <f t="shared" si="102"/>
        <v>69.410000000000025</v>
      </c>
      <c r="AB178" s="19" t="e">
        <f t="shared" si="103"/>
        <v>#N/A</v>
      </c>
      <c r="AC178"/>
      <c r="AD178"/>
      <c r="AE178" s="19">
        <v>87</v>
      </c>
      <c r="AG178" s="19">
        <f t="shared" si="104"/>
        <v>3</v>
      </c>
      <c r="AH178" s="19">
        <f t="shared" si="105"/>
        <v>-1</v>
      </c>
      <c r="AI178" s="19">
        <f t="shared" si="106"/>
        <v>12.075000000000001</v>
      </c>
      <c r="AJ178" s="410">
        <f t="shared" si="107"/>
        <v>876.84</v>
      </c>
      <c r="AK178" s="19" t="e">
        <f t="shared" si="108"/>
        <v>#N/A</v>
      </c>
      <c r="AL178" s="19">
        <f t="shared" si="109"/>
        <v>676.84</v>
      </c>
      <c r="AM178" s="19" t="e">
        <f t="shared" si="110"/>
        <v>#N/A</v>
      </c>
      <c r="AN178" s="19">
        <f t="shared" si="111"/>
        <v>476.84</v>
      </c>
      <c r="AO178" s="19" t="e">
        <f t="shared" si="112"/>
        <v>#N/A</v>
      </c>
      <c r="AP178" s="19">
        <f t="shared" si="113"/>
        <v>276.83999999999997</v>
      </c>
      <c r="AQ178" s="19" t="e">
        <f t="shared" si="114"/>
        <v>#N/A</v>
      </c>
      <c r="AR178" s="19">
        <f t="shared" si="115"/>
        <v>76.84</v>
      </c>
      <c r="AS178" s="19" t="e">
        <f t="shared" si="116"/>
        <v>#N/A</v>
      </c>
      <c r="AT178"/>
      <c r="AU178"/>
      <c r="AV178"/>
      <c r="AW178"/>
      <c r="AX178"/>
      <c r="AY178" s="401">
        <v>72</v>
      </c>
      <c r="AZ178" s="19">
        <f t="shared" si="117"/>
        <v>122.13299542661541</v>
      </c>
      <c r="BA178" s="19">
        <f t="shared" si="118"/>
        <v>4.5</v>
      </c>
      <c r="BD178"/>
      <c r="BE178"/>
      <c r="BF178"/>
      <c r="BG178"/>
      <c r="BH178"/>
      <c r="BI178"/>
      <c r="BJ178"/>
      <c r="BK178"/>
      <c r="BL178"/>
      <c r="BM178"/>
      <c r="BN178"/>
      <c r="BO178" s="72">
        <f t="shared" si="99"/>
        <v>0.12079401314258575</v>
      </c>
      <c r="BP178" s="399" t="str">
        <f t="shared" ref="BP178:BP209" si="125">IF(AND($BR$7,$BS178&lt;=$U$10),$J$6+$J$5*NORMSINV(BO178),"")</f>
        <v/>
      </c>
      <c r="BQ178" s="19">
        <f t="shared" ref="BQ178:BQ209" si="126">IF(AND($BR$2,BP178&lt;&gt;"",$G$4&lt;&gt;""),BP178,-999)</f>
        <v>-999</v>
      </c>
      <c r="BR178" s="19">
        <f t="shared" ref="BR178:BR209" si="127">IF(BQ178=-999,-999,2)</f>
        <v>-999</v>
      </c>
      <c r="BS178" s="401">
        <v>129</v>
      </c>
      <c r="BT178" s="72">
        <f t="shared" si="100"/>
        <v>0.9683195948600769</v>
      </c>
      <c r="BU178" s="399" t="str">
        <f t="shared" ref="BU178:BU209" si="128">IF(AND($BR$7,$BS178&lt;=$U$10),$J$4+$J$5*NORMSINV(BT178),"")</f>
        <v/>
      </c>
      <c r="BV178" s="19">
        <f t="shared" ref="BV178:BV209" si="129">IF(AND($BR$2,BU178&lt;&gt;"",$G$4&lt;&gt;""),BU178,-999)</f>
        <v>-999</v>
      </c>
      <c r="BW178" s="19">
        <f t="shared" ref="BW178:BW209" si="130">IF(BV178=-999,-999,0)</f>
        <v>-999</v>
      </c>
      <c r="BY178" s="19">
        <f t="shared" si="121"/>
        <v>68</v>
      </c>
      <c r="BZ178" s="19">
        <f t="shared" si="119"/>
        <v>0.66697681085847427</v>
      </c>
      <c r="CA178" s="19">
        <f t="shared" si="120"/>
        <v>0.9355576596990669</v>
      </c>
      <c r="CB178"/>
      <c r="CC178"/>
      <c r="CD178"/>
      <c r="CE178"/>
      <c r="CJ178"/>
      <c r="CK178"/>
      <c r="CL178"/>
      <c r="CM178"/>
      <c r="CN178"/>
    </row>
    <row r="179" spans="14:92" ht="11.25" customHeight="1" x14ac:dyDescent="0.2">
      <c r="N179" s="19">
        <v>69</v>
      </c>
      <c r="O179" s="19">
        <f t="shared" si="122"/>
        <v>874.2399999999966</v>
      </c>
      <c r="P179" s="19">
        <f t="shared" si="123"/>
        <v>674.2399999999966</v>
      </c>
      <c r="Q179"/>
      <c r="R179" s="19">
        <f t="shared" si="124"/>
        <v>474.24000000000046</v>
      </c>
      <c r="S179"/>
      <c r="T179"/>
      <c r="U179"/>
      <c r="V179"/>
      <c r="W179"/>
      <c r="X179"/>
      <c r="Y179"/>
      <c r="Z179" s="19">
        <f t="shared" si="101"/>
        <v>270.21500000000043</v>
      </c>
      <c r="AA179" s="19">
        <f t="shared" si="102"/>
        <v>70.215000000000032</v>
      </c>
      <c r="AB179" s="19" t="e">
        <f t="shared" si="103"/>
        <v>#N/A</v>
      </c>
      <c r="AC179"/>
      <c r="AD179"/>
      <c r="AE179" s="19">
        <v>88</v>
      </c>
      <c r="AG179" s="19">
        <f t="shared" si="104"/>
        <v>3</v>
      </c>
      <c r="AH179" s="19">
        <f t="shared" si="105"/>
        <v>1</v>
      </c>
      <c r="AI179" s="19">
        <f t="shared" si="106"/>
        <v>12.075000000000001</v>
      </c>
      <c r="AJ179" s="410">
        <f t="shared" si="107"/>
        <v>923.16</v>
      </c>
      <c r="AK179" s="19" t="e">
        <f t="shared" si="108"/>
        <v>#N/A</v>
      </c>
      <c r="AL179" s="19">
        <f t="shared" si="109"/>
        <v>723.16</v>
      </c>
      <c r="AM179" s="19" t="e">
        <f t="shared" si="110"/>
        <v>#N/A</v>
      </c>
      <c r="AN179" s="19">
        <f t="shared" si="111"/>
        <v>523.16</v>
      </c>
      <c r="AO179" s="19" t="e">
        <f t="shared" si="112"/>
        <v>#N/A</v>
      </c>
      <c r="AP179" s="19">
        <f t="shared" si="113"/>
        <v>323.16000000000003</v>
      </c>
      <c r="AQ179" s="19" t="e">
        <f t="shared" si="114"/>
        <v>#N/A</v>
      </c>
      <c r="AR179" s="19">
        <f t="shared" si="115"/>
        <v>123.16</v>
      </c>
      <c r="AS179" s="19" t="e">
        <f t="shared" si="116"/>
        <v>#N/A</v>
      </c>
      <c r="AT179"/>
      <c r="AU179"/>
      <c r="AV179"/>
      <c r="AW179"/>
      <c r="AX179"/>
      <c r="AY179" s="401">
        <v>74</v>
      </c>
      <c r="AZ179" s="19">
        <f t="shared" si="117"/>
        <v>124.13299542661541</v>
      </c>
      <c r="BA179" s="19">
        <f t="shared" si="118"/>
        <v>4.5</v>
      </c>
      <c r="BD179"/>
      <c r="BE179"/>
      <c r="BF179"/>
      <c r="BG179"/>
      <c r="BH179"/>
      <c r="BI179"/>
      <c r="BJ179"/>
      <c r="BK179"/>
      <c r="BL179"/>
      <c r="BM179"/>
      <c r="BN179"/>
      <c r="BO179" s="72">
        <f t="shared" ref="BO179:BO210" si="131">MOD(BO178*10000013,1)</f>
        <v>0.70174802839756012</v>
      </c>
      <c r="BP179" s="399" t="str">
        <f t="shared" si="125"/>
        <v/>
      </c>
      <c r="BQ179" s="19">
        <f t="shared" si="126"/>
        <v>-999</v>
      </c>
      <c r="BR179" s="19">
        <f t="shared" si="127"/>
        <v>-999</v>
      </c>
      <c r="BS179" s="401">
        <v>130</v>
      </c>
      <c r="BT179" s="72">
        <f t="shared" ref="BT179:BT210" si="132">MOD(BT178*10000013,1)</f>
        <v>0.53675550222396851</v>
      </c>
      <c r="BU179" s="399" t="str">
        <f t="shared" si="128"/>
        <v/>
      </c>
      <c r="BV179" s="19">
        <f t="shared" si="129"/>
        <v>-999</v>
      </c>
      <c r="BW179" s="19">
        <f t="shared" si="130"/>
        <v>-999</v>
      </c>
      <c r="BY179" s="19">
        <f t="shared" si="121"/>
        <v>68.5</v>
      </c>
      <c r="BZ179" s="19">
        <f t="shared" si="119"/>
        <v>0.65193364089734529</v>
      </c>
      <c r="CA179" s="19">
        <f t="shared" si="120"/>
        <v>0.92676986690755525</v>
      </c>
      <c r="CB179"/>
      <c r="CC179"/>
      <c r="CD179"/>
      <c r="CE179"/>
      <c r="CJ179"/>
      <c r="CK179"/>
      <c r="CL179"/>
      <c r="CM179"/>
      <c r="CN179"/>
    </row>
    <row r="180" spans="14:92" ht="11.25" customHeight="1" x14ac:dyDescent="0.2">
      <c r="N180" s="19">
        <v>70</v>
      </c>
      <c r="O180" s="19">
        <f t="shared" si="122"/>
        <v>875.04499999999655</v>
      </c>
      <c r="P180" s="19">
        <f t="shared" si="123"/>
        <v>675.04499999999655</v>
      </c>
      <c r="Q180"/>
      <c r="R180" s="19">
        <f t="shared" si="124"/>
        <v>475.04500000000047</v>
      </c>
      <c r="S180"/>
      <c r="T180"/>
      <c r="U180"/>
      <c r="V180"/>
      <c r="W180"/>
      <c r="X180"/>
      <c r="Y180"/>
      <c r="Z180" s="19">
        <f t="shared" si="101"/>
        <v>271.02000000000044</v>
      </c>
      <c r="AA180" s="19">
        <f t="shared" si="102"/>
        <v>71.020000000000039</v>
      </c>
      <c r="AB180" s="19" t="e">
        <f t="shared" si="103"/>
        <v>#N/A</v>
      </c>
      <c r="AC180"/>
      <c r="AD180"/>
      <c r="AE180" s="19">
        <v>89</v>
      </c>
      <c r="AG180" s="19">
        <f t="shared" si="104"/>
        <v>5</v>
      </c>
      <c r="AH180" s="19">
        <f t="shared" si="105"/>
        <v>-1</v>
      </c>
      <c r="AI180" s="19">
        <f t="shared" si="106"/>
        <v>12.075000000000001</v>
      </c>
      <c r="AJ180" s="410">
        <f t="shared" si="107"/>
        <v>861.4</v>
      </c>
      <c r="AK180" s="19" t="e">
        <f t="shared" si="108"/>
        <v>#N/A</v>
      </c>
      <c r="AL180" s="19">
        <f t="shared" si="109"/>
        <v>661.4</v>
      </c>
      <c r="AM180" s="19" t="e">
        <f t="shared" si="110"/>
        <v>#N/A</v>
      </c>
      <c r="AN180" s="19">
        <f t="shared" si="111"/>
        <v>461.4</v>
      </c>
      <c r="AO180" s="19" t="e">
        <f t="shared" si="112"/>
        <v>#N/A</v>
      </c>
      <c r="AP180" s="19">
        <f t="shared" si="113"/>
        <v>261.39999999999998</v>
      </c>
      <c r="AQ180" s="19" t="e">
        <f t="shared" si="114"/>
        <v>#N/A</v>
      </c>
      <c r="AR180" s="19">
        <f t="shared" si="115"/>
        <v>61.4</v>
      </c>
      <c r="AS180" s="19" t="e">
        <f t="shared" si="116"/>
        <v>#N/A</v>
      </c>
      <c r="AT180"/>
      <c r="AU180"/>
      <c r="AV180"/>
      <c r="AW180"/>
      <c r="AX180"/>
      <c r="AY180" s="401">
        <v>76</v>
      </c>
      <c r="AZ180" s="19">
        <f t="shared" si="117"/>
        <v>126.13299542661541</v>
      </c>
      <c r="BA180" s="19">
        <f t="shared" si="118"/>
        <v>4.5</v>
      </c>
      <c r="BD180"/>
      <c r="BE180"/>
      <c r="BF180"/>
      <c r="BG180"/>
      <c r="BH180"/>
      <c r="BI180"/>
      <c r="BJ180"/>
      <c r="BK180"/>
      <c r="BL180"/>
      <c r="BM180"/>
      <c r="BN180"/>
      <c r="BO180" s="72">
        <f t="shared" si="131"/>
        <v>0.40669997036457062</v>
      </c>
      <c r="BP180" s="399" t="str">
        <f t="shared" si="125"/>
        <v/>
      </c>
      <c r="BQ180" s="19">
        <f t="shared" si="126"/>
        <v>-999</v>
      </c>
      <c r="BR180" s="19">
        <f t="shared" si="127"/>
        <v>-999</v>
      </c>
      <c r="BS180" s="401">
        <v>131</v>
      </c>
      <c r="BT180" s="72">
        <f t="shared" si="132"/>
        <v>6.1213970184326172E-5</v>
      </c>
      <c r="BU180" s="399" t="str">
        <f t="shared" si="128"/>
        <v/>
      </c>
      <c r="BV180" s="19">
        <f t="shared" si="129"/>
        <v>-999</v>
      </c>
      <c r="BW180" s="19">
        <f t="shared" si="130"/>
        <v>-999</v>
      </c>
      <c r="BY180" s="19">
        <f t="shared" si="121"/>
        <v>69</v>
      </c>
      <c r="BZ180" s="19">
        <f t="shared" si="119"/>
        <v>0.63683161437174307</v>
      </c>
      <c r="CA180" s="19">
        <f t="shared" si="120"/>
        <v>0.91749100767557179</v>
      </c>
      <c r="CB180"/>
      <c r="CC180"/>
      <c r="CD180"/>
      <c r="CE180"/>
      <c r="CJ180"/>
      <c r="CK180"/>
      <c r="CL180"/>
      <c r="CM180"/>
      <c r="CN180"/>
    </row>
    <row r="181" spans="14:92" ht="11.25" customHeight="1" x14ac:dyDescent="0.2">
      <c r="N181" s="19">
        <v>71</v>
      </c>
      <c r="O181" s="19">
        <f t="shared" si="122"/>
        <v>875.8499999999965</v>
      </c>
      <c r="P181" s="19">
        <f t="shared" si="123"/>
        <v>675.8499999999965</v>
      </c>
      <c r="Q181"/>
      <c r="R181" s="19">
        <f t="shared" si="124"/>
        <v>475.85000000000048</v>
      </c>
      <c r="S181"/>
      <c r="T181"/>
      <c r="U181"/>
      <c r="V181"/>
      <c r="W181"/>
      <c r="X181"/>
      <c r="Y181"/>
      <c r="Z181" s="19">
        <f t="shared" ref="Z181:Z212" si="133">Z180+$P$108</f>
        <v>271.82500000000044</v>
      </c>
      <c r="AA181" s="19">
        <f t="shared" ref="AA181:AA212" si="134">AA180+$P$108</f>
        <v>71.825000000000045</v>
      </c>
      <c r="AB181" s="19" t="e">
        <f t="shared" ref="AB181:AB212" si="135">AB180</f>
        <v>#N/A</v>
      </c>
      <c r="AC181"/>
      <c r="AD181"/>
      <c r="AE181" s="19">
        <v>90</v>
      </c>
      <c r="AG181" s="19">
        <f t="shared" si="104"/>
        <v>5</v>
      </c>
      <c r="AH181" s="19">
        <f t="shared" si="105"/>
        <v>1</v>
      </c>
      <c r="AI181" s="19">
        <f t="shared" si="106"/>
        <v>12.075000000000001</v>
      </c>
      <c r="AJ181" s="410">
        <f t="shared" si="107"/>
        <v>938.6</v>
      </c>
      <c r="AK181" s="19" t="e">
        <f t="shared" si="108"/>
        <v>#N/A</v>
      </c>
      <c r="AL181" s="19">
        <f t="shared" si="109"/>
        <v>738.6</v>
      </c>
      <c r="AM181" s="19" t="e">
        <f t="shared" si="110"/>
        <v>#N/A</v>
      </c>
      <c r="AN181" s="19">
        <f t="shared" si="111"/>
        <v>538.6</v>
      </c>
      <c r="AO181" s="19" t="e">
        <f t="shared" si="112"/>
        <v>#N/A</v>
      </c>
      <c r="AP181" s="19">
        <f t="shared" si="113"/>
        <v>338.6</v>
      </c>
      <c r="AQ181" s="19" t="e">
        <f t="shared" si="114"/>
        <v>#N/A</v>
      </c>
      <c r="AR181" s="19">
        <f t="shared" si="115"/>
        <v>138.6</v>
      </c>
      <c r="AS181" s="19" t="e">
        <f t="shared" si="116"/>
        <v>#N/A</v>
      </c>
      <c r="AT181"/>
      <c r="AU181"/>
      <c r="AV181"/>
      <c r="AW181"/>
      <c r="AX181"/>
      <c r="AY181" s="401">
        <v>78</v>
      </c>
      <c r="AZ181" s="19">
        <f t="shared" si="117"/>
        <v>128.13299542661542</v>
      </c>
      <c r="BA181" s="19">
        <f t="shared" si="118"/>
        <v>4.5</v>
      </c>
      <c r="BD181"/>
      <c r="BE181"/>
      <c r="BF181"/>
      <c r="BG181"/>
      <c r="BH181"/>
      <c r="BI181"/>
      <c r="BJ181"/>
      <c r="BK181"/>
      <c r="BL181"/>
      <c r="BM181"/>
      <c r="BN181"/>
      <c r="BO181" s="72">
        <f t="shared" si="131"/>
        <v>0.99074532091617584</v>
      </c>
      <c r="BP181" s="399" t="str">
        <f t="shared" si="125"/>
        <v/>
      </c>
      <c r="BQ181" s="19">
        <f t="shared" si="126"/>
        <v>-999</v>
      </c>
      <c r="BR181" s="19">
        <f t="shared" si="127"/>
        <v>-999</v>
      </c>
      <c r="BS181" s="401">
        <v>132</v>
      </c>
      <c r="BT181" s="72">
        <f t="shared" si="132"/>
        <v>0.14049762487411499</v>
      </c>
      <c r="BU181" s="399" t="str">
        <f t="shared" si="128"/>
        <v/>
      </c>
      <c r="BV181" s="19">
        <f t="shared" si="129"/>
        <v>-999</v>
      </c>
      <c r="BW181" s="19">
        <f t="shared" si="130"/>
        <v>-999</v>
      </c>
      <c r="BY181" s="19">
        <f t="shared" si="121"/>
        <v>69.5</v>
      </c>
      <c r="BZ181" s="19">
        <f t="shared" si="119"/>
        <v>0.62169074774719313</v>
      </c>
      <c r="CA181" s="19">
        <f t="shared" si="120"/>
        <v>0.90773753548682967</v>
      </c>
      <c r="CB181"/>
      <c r="CC181"/>
      <c r="CD181"/>
      <c r="CE181"/>
      <c r="CJ181"/>
      <c r="CK181"/>
      <c r="CL181"/>
      <c r="CM181"/>
      <c r="CN181"/>
    </row>
    <row r="182" spans="14:92" ht="11.25" customHeight="1" x14ac:dyDescent="0.2">
      <c r="N182" s="19">
        <v>72</v>
      </c>
      <c r="O182" s="19">
        <f t="shared" si="122"/>
        <v>876.65499999999645</v>
      </c>
      <c r="P182" s="19">
        <f t="shared" si="123"/>
        <v>676.65499999999645</v>
      </c>
      <c r="Q182"/>
      <c r="R182" s="19">
        <f t="shared" si="124"/>
        <v>476.65500000000048</v>
      </c>
      <c r="S182"/>
      <c r="T182"/>
      <c r="U182"/>
      <c r="V182"/>
      <c r="W182"/>
      <c r="X182"/>
      <c r="Y182"/>
      <c r="Z182" s="19">
        <f t="shared" si="133"/>
        <v>272.63000000000045</v>
      </c>
      <c r="AA182" s="19">
        <f t="shared" si="134"/>
        <v>72.630000000000052</v>
      </c>
      <c r="AB182" s="19" t="e">
        <f t="shared" si="135"/>
        <v>#N/A</v>
      </c>
      <c r="AC182"/>
      <c r="AD182"/>
      <c r="AE182" s="19">
        <v>91</v>
      </c>
      <c r="AG182" s="19">
        <f t="shared" si="104"/>
        <v>7</v>
      </c>
      <c r="AH182" s="19">
        <f t="shared" si="105"/>
        <v>-1</v>
      </c>
      <c r="AI182" s="19">
        <f t="shared" si="106"/>
        <v>12.075000000000001</v>
      </c>
      <c r="AJ182" s="410">
        <f t="shared" si="107"/>
        <v>845.96</v>
      </c>
      <c r="AK182" s="19" t="e">
        <f t="shared" si="108"/>
        <v>#N/A</v>
      </c>
      <c r="AL182" s="19">
        <f t="shared" si="109"/>
        <v>645.96</v>
      </c>
      <c r="AM182" s="19" t="e">
        <f t="shared" si="110"/>
        <v>#N/A</v>
      </c>
      <c r="AN182" s="19">
        <f t="shared" si="111"/>
        <v>445.96</v>
      </c>
      <c r="AO182" s="19" t="e">
        <f t="shared" si="112"/>
        <v>#N/A</v>
      </c>
      <c r="AP182" s="19">
        <f t="shared" si="113"/>
        <v>245.96</v>
      </c>
      <c r="AQ182" s="19" t="e">
        <f t="shared" si="114"/>
        <v>#N/A</v>
      </c>
      <c r="AR182" s="19">
        <f t="shared" si="115"/>
        <v>45.96</v>
      </c>
      <c r="AS182" s="19" t="e">
        <f t="shared" si="116"/>
        <v>#N/A</v>
      </c>
      <c r="AT182"/>
      <c r="AU182"/>
      <c r="AV182"/>
      <c r="AW182"/>
      <c r="AX182"/>
      <c r="AY182" s="401">
        <v>80</v>
      </c>
      <c r="AZ182" s="19">
        <f t="shared" si="117"/>
        <v>130.13299542661542</v>
      </c>
      <c r="BA182" s="19">
        <f t="shared" si="118"/>
        <v>4.5</v>
      </c>
      <c r="BD182"/>
      <c r="BE182"/>
      <c r="BF182"/>
      <c r="BG182"/>
      <c r="BH182"/>
      <c r="BI182"/>
      <c r="BJ182"/>
      <c r="BK182"/>
      <c r="BL182"/>
      <c r="BM182"/>
      <c r="BN182"/>
      <c r="BO182" s="72">
        <f t="shared" si="131"/>
        <v>8.8850930333137512E-2</v>
      </c>
      <c r="BP182" s="399" t="str">
        <f t="shared" si="125"/>
        <v/>
      </c>
      <c r="BQ182" s="19">
        <f t="shared" si="126"/>
        <v>-999</v>
      </c>
      <c r="BR182" s="19">
        <f t="shared" si="127"/>
        <v>-999</v>
      </c>
      <c r="BS182" s="401">
        <v>133</v>
      </c>
      <c r="BT182" s="72">
        <f t="shared" si="132"/>
        <v>7.5210273265838623E-2</v>
      </c>
      <c r="BU182" s="399" t="str">
        <f t="shared" si="128"/>
        <v/>
      </c>
      <c r="BV182" s="19">
        <f t="shared" si="129"/>
        <v>-999</v>
      </c>
      <c r="BW182" s="19">
        <f t="shared" si="130"/>
        <v>-999</v>
      </c>
      <c r="BY182" s="19">
        <f t="shared" si="121"/>
        <v>70</v>
      </c>
      <c r="BZ182" s="19">
        <f t="shared" si="119"/>
        <v>0.60653065971263331</v>
      </c>
      <c r="CA182" s="19">
        <f t="shared" si="120"/>
        <v>0.89752661900592301</v>
      </c>
      <c r="CB182"/>
      <c r="CC182"/>
      <c r="CD182"/>
      <c r="CE182"/>
      <c r="CJ182"/>
      <c r="CK182"/>
      <c r="CL182"/>
      <c r="CM182"/>
      <c r="CN182"/>
    </row>
    <row r="183" spans="14:92" ht="11.25" customHeight="1" x14ac:dyDescent="0.2">
      <c r="N183" s="19">
        <v>73</v>
      </c>
      <c r="O183" s="19">
        <f t="shared" si="122"/>
        <v>877.4599999999964</v>
      </c>
      <c r="P183" s="19">
        <f t="shared" si="123"/>
        <v>677.4599999999964</v>
      </c>
      <c r="Q183"/>
      <c r="R183" s="19">
        <f t="shared" si="124"/>
        <v>477.46000000000049</v>
      </c>
      <c r="S183"/>
      <c r="T183"/>
      <c r="U183"/>
      <c r="V183"/>
      <c r="W183"/>
      <c r="X183"/>
      <c r="Y183"/>
      <c r="Z183" s="19">
        <f t="shared" si="133"/>
        <v>273.43500000000046</v>
      </c>
      <c r="AA183" s="19">
        <f t="shared" si="134"/>
        <v>73.435000000000059</v>
      </c>
      <c r="AB183" s="19" t="e">
        <f t="shared" si="135"/>
        <v>#N/A</v>
      </c>
      <c r="AC183"/>
      <c r="AD183"/>
      <c r="AE183" s="19">
        <v>92</v>
      </c>
      <c r="AG183" s="19">
        <f t="shared" si="104"/>
        <v>7</v>
      </c>
      <c r="AH183" s="19">
        <f t="shared" si="105"/>
        <v>1</v>
      </c>
      <c r="AI183" s="19">
        <f t="shared" si="106"/>
        <v>12.075000000000001</v>
      </c>
      <c r="AJ183" s="410">
        <f t="shared" si="107"/>
        <v>954.04</v>
      </c>
      <c r="AK183" s="19" t="e">
        <f t="shared" si="108"/>
        <v>#N/A</v>
      </c>
      <c r="AL183" s="19">
        <f t="shared" si="109"/>
        <v>754.04</v>
      </c>
      <c r="AM183" s="19" t="e">
        <f t="shared" si="110"/>
        <v>#N/A</v>
      </c>
      <c r="AN183" s="19">
        <f t="shared" si="111"/>
        <v>554.04</v>
      </c>
      <c r="AO183" s="19" t="e">
        <f t="shared" si="112"/>
        <v>#N/A</v>
      </c>
      <c r="AP183" s="19">
        <f t="shared" si="113"/>
        <v>354.04</v>
      </c>
      <c r="AQ183" s="19" t="e">
        <f t="shared" si="114"/>
        <v>#N/A</v>
      </c>
      <c r="AR183" s="19">
        <f t="shared" si="115"/>
        <v>154.04</v>
      </c>
      <c r="AS183" s="19" t="e">
        <f t="shared" si="116"/>
        <v>#N/A</v>
      </c>
      <c r="AT183"/>
      <c r="AU183"/>
      <c r="AV183"/>
      <c r="AW183"/>
      <c r="AX183"/>
      <c r="AY183" s="401">
        <v>82</v>
      </c>
      <c r="AZ183" s="19">
        <f t="shared" si="117"/>
        <v>132.13299542661542</v>
      </c>
      <c r="BA183" s="19">
        <f t="shared" si="118"/>
        <v>4.5</v>
      </c>
      <c r="BD183"/>
      <c r="BE183"/>
      <c r="BF183"/>
      <c r="BG183"/>
      <c r="BH183"/>
      <c r="BI183"/>
      <c r="BJ183"/>
      <c r="BK183"/>
      <c r="BL183"/>
      <c r="BM183"/>
      <c r="BN183"/>
      <c r="BO183" s="72">
        <f t="shared" si="131"/>
        <v>0.45839346945285797</v>
      </c>
      <c r="BP183" s="399" t="str">
        <f t="shared" si="125"/>
        <v/>
      </c>
      <c r="BQ183" s="19">
        <f t="shared" si="126"/>
        <v>-999</v>
      </c>
      <c r="BR183" s="19">
        <f t="shared" si="127"/>
        <v>-999</v>
      </c>
      <c r="BS183" s="401">
        <v>134</v>
      </c>
      <c r="BT183" s="72">
        <f t="shared" si="132"/>
        <v>0.71039193868637085</v>
      </c>
      <c r="BU183" s="399" t="str">
        <f t="shared" si="128"/>
        <v/>
      </c>
      <c r="BV183" s="19">
        <f t="shared" si="129"/>
        <v>-999</v>
      </c>
      <c r="BW183" s="19">
        <f t="shared" si="130"/>
        <v>-999</v>
      </c>
      <c r="BY183" s="19">
        <f t="shared" si="121"/>
        <v>70.5</v>
      </c>
      <c r="BZ183" s="19">
        <f t="shared" si="119"/>
        <v>0.59137053219698121</v>
      </c>
      <c r="CA183" s="19">
        <f t="shared" si="120"/>
        <v>0.88687609180395366</v>
      </c>
      <c r="CB183"/>
      <c r="CC183"/>
      <c r="CD183"/>
      <c r="CE183"/>
      <c r="CJ183"/>
      <c r="CK183"/>
      <c r="CL183"/>
      <c r="CM183"/>
      <c r="CN183"/>
    </row>
    <row r="184" spans="14:92" ht="11.25" customHeight="1" x14ac:dyDescent="0.2">
      <c r="N184" s="19">
        <v>74</v>
      </c>
      <c r="O184" s="19">
        <f t="shared" si="122"/>
        <v>878.26499999999635</v>
      </c>
      <c r="P184" s="19">
        <f t="shared" si="123"/>
        <v>678.26499999999635</v>
      </c>
      <c r="Q184"/>
      <c r="R184" s="19">
        <f t="shared" si="124"/>
        <v>478.2650000000005</v>
      </c>
      <c r="S184"/>
      <c r="T184"/>
      <c r="U184"/>
      <c r="V184"/>
      <c r="W184"/>
      <c r="X184"/>
      <c r="Y184"/>
      <c r="Z184" s="19">
        <f t="shared" si="133"/>
        <v>274.24000000000046</v>
      </c>
      <c r="AA184" s="19">
        <f t="shared" si="134"/>
        <v>74.240000000000066</v>
      </c>
      <c r="AB184" s="19" t="e">
        <f t="shared" si="135"/>
        <v>#N/A</v>
      </c>
      <c r="AC184"/>
      <c r="AD184"/>
      <c r="AE184" s="19">
        <v>93</v>
      </c>
      <c r="AG184" s="19">
        <f t="shared" si="104"/>
        <v>9</v>
      </c>
      <c r="AH184" s="19">
        <f t="shared" si="105"/>
        <v>-1</v>
      </c>
      <c r="AI184" s="19">
        <f t="shared" si="106"/>
        <v>12.075000000000001</v>
      </c>
      <c r="AJ184" s="410">
        <f t="shared" si="107"/>
        <v>830.52</v>
      </c>
      <c r="AK184" s="19" t="e">
        <f t="shared" si="108"/>
        <v>#N/A</v>
      </c>
      <c r="AL184" s="19">
        <f t="shared" si="109"/>
        <v>630.52</v>
      </c>
      <c r="AM184" s="19" t="e">
        <f t="shared" si="110"/>
        <v>#N/A</v>
      </c>
      <c r="AN184" s="19">
        <f t="shared" si="111"/>
        <v>430.52</v>
      </c>
      <c r="AO184" s="19" t="e">
        <f t="shared" si="112"/>
        <v>#N/A</v>
      </c>
      <c r="AP184" s="19">
        <f t="shared" si="113"/>
        <v>230.51999999999998</v>
      </c>
      <c r="AQ184" s="19" t="e">
        <f t="shared" si="114"/>
        <v>#N/A</v>
      </c>
      <c r="AR184" s="19">
        <f t="shared" si="115"/>
        <v>30.519999999999996</v>
      </c>
      <c r="AS184" s="19" t="e">
        <f t="shared" si="116"/>
        <v>#N/A</v>
      </c>
      <c r="AT184"/>
      <c r="AU184"/>
      <c r="AV184"/>
      <c r="AW184"/>
      <c r="AX184"/>
      <c r="AY184" s="401">
        <v>84</v>
      </c>
      <c r="AZ184" s="19">
        <f t="shared" si="117"/>
        <v>134.13299542661542</v>
      </c>
      <c r="BA184" s="19">
        <f t="shared" si="118"/>
        <v>4.5</v>
      </c>
      <c r="BD184"/>
      <c r="BE184"/>
      <c r="BF184"/>
      <c r="BG184"/>
      <c r="BH184"/>
      <c r="BI184"/>
      <c r="BJ184"/>
      <c r="BK184"/>
      <c r="BL184"/>
      <c r="BM184"/>
      <c r="BN184"/>
      <c r="BO184" s="72">
        <f t="shared" si="131"/>
        <v>0.65364368259906769</v>
      </c>
      <c r="BP184" s="399" t="str">
        <f t="shared" si="125"/>
        <v/>
      </c>
      <c r="BQ184" s="19">
        <f t="shared" si="126"/>
        <v>-999</v>
      </c>
      <c r="BR184" s="19">
        <f t="shared" si="127"/>
        <v>-999</v>
      </c>
      <c r="BS184" s="401">
        <v>135</v>
      </c>
      <c r="BT184" s="72">
        <f t="shared" si="132"/>
        <v>0.62195891141891479</v>
      </c>
      <c r="BU184" s="399" t="str">
        <f t="shared" si="128"/>
        <v/>
      </c>
      <c r="BV184" s="19">
        <f t="shared" si="129"/>
        <v>-999</v>
      </c>
      <c r="BW184" s="19">
        <f t="shared" si="130"/>
        <v>-999</v>
      </c>
      <c r="BY184" s="19">
        <f t="shared" si="121"/>
        <v>71</v>
      </c>
      <c r="BZ184" s="19">
        <f t="shared" si="119"/>
        <v>0.57622907367179987</v>
      </c>
      <c r="CA184" s="19">
        <f t="shared" si="120"/>
        <v>0.87580440056873154</v>
      </c>
      <c r="CB184"/>
      <c r="CC184"/>
      <c r="CD184"/>
      <c r="CE184"/>
      <c r="CJ184"/>
      <c r="CK184"/>
      <c r="CL184"/>
      <c r="CM184"/>
      <c r="CN184"/>
    </row>
    <row r="185" spans="14:92" ht="11.25" customHeight="1" x14ac:dyDescent="0.2">
      <c r="N185" s="19">
        <v>75</v>
      </c>
      <c r="O185" s="19">
        <f t="shared" si="122"/>
        <v>879.0699999999963</v>
      </c>
      <c r="P185" s="19">
        <f t="shared" si="123"/>
        <v>679.0699999999963</v>
      </c>
      <c r="Q185"/>
      <c r="R185" s="19">
        <f t="shared" si="124"/>
        <v>479.0700000000005</v>
      </c>
      <c r="S185"/>
      <c r="T185"/>
      <c r="U185"/>
      <c r="V185"/>
      <c r="W185"/>
      <c r="X185"/>
      <c r="Y185"/>
      <c r="Z185" s="19">
        <f t="shared" si="133"/>
        <v>275.04500000000047</v>
      </c>
      <c r="AA185" s="19">
        <f t="shared" si="134"/>
        <v>75.045000000000073</v>
      </c>
      <c r="AB185" s="19" t="e">
        <f t="shared" si="135"/>
        <v>#N/A</v>
      </c>
      <c r="AC185"/>
      <c r="AD185"/>
      <c r="AE185" s="19">
        <v>94</v>
      </c>
      <c r="AG185" s="19">
        <f t="shared" si="104"/>
        <v>9</v>
      </c>
      <c r="AH185" s="19">
        <f t="shared" si="105"/>
        <v>1</v>
      </c>
      <c r="AI185" s="19">
        <f t="shared" si="106"/>
        <v>12.075000000000001</v>
      </c>
      <c r="AJ185" s="410">
        <f t="shared" si="107"/>
        <v>969.48</v>
      </c>
      <c r="AK185" s="19" t="e">
        <f t="shared" si="108"/>
        <v>#N/A</v>
      </c>
      <c r="AL185" s="19">
        <f t="shared" si="109"/>
        <v>769.48</v>
      </c>
      <c r="AM185" s="19" t="e">
        <f t="shared" si="110"/>
        <v>#N/A</v>
      </c>
      <c r="AN185" s="19">
        <f t="shared" si="111"/>
        <v>569.48</v>
      </c>
      <c r="AO185" s="19" t="e">
        <f t="shared" si="112"/>
        <v>#N/A</v>
      </c>
      <c r="AP185" s="19">
        <f t="shared" si="113"/>
        <v>369.48</v>
      </c>
      <c r="AQ185" s="19" t="e">
        <f t="shared" si="114"/>
        <v>#N/A</v>
      </c>
      <c r="AR185" s="19">
        <f t="shared" si="115"/>
        <v>169.48000000000002</v>
      </c>
      <c r="AS185" s="19" t="e">
        <f t="shared" si="116"/>
        <v>#N/A</v>
      </c>
      <c r="AT185"/>
      <c r="AU185"/>
      <c r="AV185"/>
      <c r="AW185"/>
      <c r="AX185"/>
      <c r="AY185" s="401">
        <v>86</v>
      </c>
      <c r="AZ185" s="19">
        <f t="shared" si="117"/>
        <v>136.13299542661542</v>
      </c>
      <c r="BA185" s="19">
        <f t="shared" si="118"/>
        <v>4.5</v>
      </c>
      <c r="BD185"/>
      <c r="BE185"/>
      <c r="BF185"/>
      <c r="BG185"/>
      <c r="BH185"/>
      <c r="BI185"/>
      <c r="BJ185"/>
      <c r="BK185"/>
      <c r="BL185"/>
      <c r="BM185"/>
      <c r="BN185"/>
      <c r="BO185" s="72">
        <f t="shared" si="131"/>
        <v>0.32335855066776276</v>
      </c>
      <c r="BP185" s="399" t="str">
        <f t="shared" si="125"/>
        <v/>
      </c>
      <c r="BQ185" s="19">
        <f t="shared" si="126"/>
        <v>-999</v>
      </c>
      <c r="BR185" s="19">
        <f t="shared" si="127"/>
        <v>-999</v>
      </c>
      <c r="BS185" s="401">
        <v>136</v>
      </c>
      <c r="BT185" s="72">
        <f t="shared" si="132"/>
        <v>0.19965499639511108</v>
      </c>
      <c r="BU185" s="399" t="str">
        <f t="shared" si="128"/>
        <v/>
      </c>
      <c r="BV185" s="19">
        <f t="shared" si="129"/>
        <v>-999</v>
      </c>
      <c r="BW185" s="19">
        <f t="shared" si="130"/>
        <v>-999</v>
      </c>
      <c r="BY185" s="19">
        <f t="shared" si="121"/>
        <v>71.5</v>
      </c>
      <c r="BZ185" s="19">
        <f t="shared" si="119"/>
        <v>0.5611244848201743</v>
      </c>
      <c r="CA185" s="19">
        <f t="shared" si="120"/>
        <v>0.86433055200958597</v>
      </c>
      <c r="CB185"/>
      <c r="CC185"/>
      <c r="CD185"/>
      <c r="CE185"/>
      <c r="CJ185"/>
      <c r="CK185"/>
      <c r="CL185"/>
      <c r="CM185"/>
      <c r="CN185"/>
    </row>
    <row r="186" spans="14:92" ht="11.25" customHeight="1" x14ac:dyDescent="0.2">
      <c r="N186" s="19">
        <v>76</v>
      </c>
      <c r="O186" s="19">
        <f t="shared" si="122"/>
        <v>879.87499999999625</v>
      </c>
      <c r="P186" s="19">
        <f t="shared" si="123"/>
        <v>679.87499999999625</v>
      </c>
      <c r="Q186"/>
      <c r="R186" s="19">
        <f t="shared" si="124"/>
        <v>479.87500000000051</v>
      </c>
      <c r="S186"/>
      <c r="T186"/>
      <c r="U186"/>
      <c r="V186"/>
      <c r="W186"/>
      <c r="X186"/>
      <c r="Y186"/>
      <c r="Z186" s="19">
        <f t="shared" si="133"/>
        <v>275.85000000000048</v>
      </c>
      <c r="AA186" s="19">
        <f t="shared" si="134"/>
        <v>75.85000000000008</v>
      </c>
      <c r="AB186" s="19" t="e">
        <f t="shared" si="135"/>
        <v>#N/A</v>
      </c>
      <c r="AC186"/>
      <c r="AD186"/>
      <c r="AE186" s="19">
        <v>95</v>
      </c>
      <c r="AG186" s="19">
        <f t="shared" si="104"/>
        <v>11</v>
      </c>
      <c r="AH186" s="19">
        <f t="shared" si="105"/>
        <v>-1</v>
      </c>
      <c r="AI186" s="19">
        <f t="shared" si="106"/>
        <v>12.075000000000001</v>
      </c>
      <c r="AJ186" s="410">
        <f t="shared" si="107"/>
        <v>815.08</v>
      </c>
      <c r="AK186" s="19" t="e">
        <f t="shared" si="108"/>
        <v>#N/A</v>
      </c>
      <c r="AL186" s="19">
        <f t="shared" si="109"/>
        <v>615.08000000000004</v>
      </c>
      <c r="AM186" s="19" t="e">
        <f t="shared" si="110"/>
        <v>#N/A</v>
      </c>
      <c r="AN186" s="19">
        <f t="shared" si="111"/>
        <v>415.08</v>
      </c>
      <c r="AO186" s="19" t="e">
        <f t="shared" si="112"/>
        <v>#N/A</v>
      </c>
      <c r="AP186" s="19">
        <f t="shared" si="113"/>
        <v>215.07999999999998</v>
      </c>
      <c r="AQ186" s="19" t="e">
        <f t="shared" si="114"/>
        <v>#N/A</v>
      </c>
      <c r="AR186" s="19">
        <f t="shared" si="115"/>
        <v>15.079999999999998</v>
      </c>
      <c r="AS186" s="19" t="e">
        <f t="shared" si="116"/>
        <v>#N/A</v>
      </c>
      <c r="AT186"/>
      <c r="AU186"/>
      <c r="AV186"/>
      <c r="AW186"/>
      <c r="AX186"/>
      <c r="AY186" s="401">
        <v>88</v>
      </c>
      <c r="AZ186" s="19">
        <f t="shared" si="117"/>
        <v>138.13299542661542</v>
      </c>
      <c r="BA186" s="19">
        <f t="shared" si="118"/>
        <v>4.5</v>
      </c>
      <c r="BD186"/>
      <c r="BE186"/>
      <c r="BF186"/>
      <c r="BG186"/>
      <c r="BH186"/>
      <c r="BI186"/>
      <c r="BJ186"/>
      <c r="BK186"/>
      <c r="BL186"/>
      <c r="BM186"/>
      <c r="BN186"/>
      <c r="BO186" s="72">
        <f t="shared" si="131"/>
        <v>0.7103387862443924</v>
      </c>
      <c r="BP186" s="399" t="str">
        <f t="shared" si="125"/>
        <v/>
      </c>
      <c r="BQ186" s="19">
        <f t="shared" si="126"/>
        <v>-999</v>
      </c>
      <c r="BR186" s="19">
        <f t="shared" si="127"/>
        <v>-999</v>
      </c>
      <c r="BS186" s="401">
        <v>137</v>
      </c>
      <c r="BT186" s="72">
        <f t="shared" si="132"/>
        <v>0.55946606397628784</v>
      </c>
      <c r="BU186" s="399" t="str">
        <f t="shared" si="128"/>
        <v/>
      </c>
      <c r="BV186" s="19">
        <f t="shared" si="129"/>
        <v>-999</v>
      </c>
      <c r="BW186" s="19">
        <f t="shared" si="130"/>
        <v>-999</v>
      </c>
      <c r="BY186" s="19">
        <f t="shared" si="121"/>
        <v>72</v>
      </c>
      <c r="BZ186" s="19">
        <f t="shared" si="119"/>
        <v>0.5460744266397094</v>
      </c>
      <c r="CA186" s="19">
        <f t="shared" si="120"/>
        <v>0.85247405867005821</v>
      </c>
      <c r="CB186"/>
      <c r="CC186"/>
      <c r="CD186"/>
      <c r="CE186"/>
      <c r="CJ186"/>
      <c r="CK186"/>
      <c r="CL186"/>
      <c r="CM186"/>
      <c r="CN186"/>
    </row>
    <row r="187" spans="14:92" ht="11.25" customHeight="1" x14ac:dyDescent="0.2">
      <c r="N187" s="19">
        <v>77</v>
      </c>
      <c r="O187" s="19">
        <f t="shared" si="122"/>
        <v>880.6799999999962</v>
      </c>
      <c r="P187" s="19">
        <f t="shared" si="123"/>
        <v>680.6799999999962</v>
      </c>
      <c r="Q187"/>
      <c r="R187" s="19">
        <f t="shared" si="124"/>
        <v>480.68000000000052</v>
      </c>
      <c r="S187"/>
      <c r="T187"/>
      <c r="U187"/>
      <c r="V187"/>
      <c r="W187"/>
      <c r="X187"/>
      <c r="Y187"/>
      <c r="Z187" s="19">
        <f t="shared" si="133"/>
        <v>276.65500000000048</v>
      </c>
      <c r="AA187" s="19">
        <f t="shared" si="134"/>
        <v>76.655000000000086</v>
      </c>
      <c r="AB187" s="19" t="e">
        <f t="shared" si="135"/>
        <v>#N/A</v>
      </c>
      <c r="AC187"/>
      <c r="AD187"/>
      <c r="AE187" s="19">
        <v>96</v>
      </c>
      <c r="AG187" s="19">
        <f t="shared" si="104"/>
        <v>11</v>
      </c>
      <c r="AH187" s="19">
        <f t="shared" si="105"/>
        <v>1</v>
      </c>
      <c r="AI187" s="19">
        <f t="shared" si="106"/>
        <v>12.075000000000001</v>
      </c>
      <c r="AJ187" s="410">
        <f t="shared" si="107"/>
        <v>984.92</v>
      </c>
      <c r="AK187" s="19" t="e">
        <f t="shared" si="108"/>
        <v>#N/A</v>
      </c>
      <c r="AL187" s="19">
        <f t="shared" si="109"/>
        <v>784.92</v>
      </c>
      <c r="AM187" s="19" t="e">
        <f t="shared" si="110"/>
        <v>#N/A</v>
      </c>
      <c r="AN187" s="19">
        <f t="shared" si="111"/>
        <v>584.91999999999996</v>
      </c>
      <c r="AO187" s="19" t="e">
        <f t="shared" si="112"/>
        <v>#N/A</v>
      </c>
      <c r="AP187" s="19">
        <f t="shared" si="113"/>
        <v>384.92</v>
      </c>
      <c r="AQ187" s="19" t="e">
        <f t="shared" si="114"/>
        <v>#N/A</v>
      </c>
      <c r="AR187" s="19">
        <f t="shared" si="115"/>
        <v>184.92000000000002</v>
      </c>
      <c r="AS187" s="19" t="e">
        <f t="shared" si="116"/>
        <v>#N/A</v>
      </c>
      <c r="AT187"/>
      <c r="AU187"/>
      <c r="AV187"/>
      <c r="AW187"/>
      <c r="AX187"/>
      <c r="AY187" s="401">
        <v>90</v>
      </c>
      <c r="AZ187" s="19">
        <f t="shared" si="117"/>
        <v>140.13299542661542</v>
      </c>
      <c r="BA187" s="19">
        <f t="shared" si="118"/>
        <v>4.5</v>
      </c>
      <c r="BD187"/>
      <c r="BE187"/>
      <c r="BF187"/>
      <c r="BG187"/>
      <c r="BH187"/>
      <c r="BI187"/>
      <c r="BJ187"/>
      <c r="BK187"/>
      <c r="BL187"/>
      <c r="BM187"/>
      <c r="BN187"/>
      <c r="BO187" s="72">
        <f t="shared" si="131"/>
        <v>9.6848145127296448E-2</v>
      </c>
      <c r="BP187" s="399" t="str">
        <f t="shared" si="125"/>
        <v/>
      </c>
      <c r="BQ187" s="19">
        <f t="shared" si="126"/>
        <v>-999</v>
      </c>
      <c r="BR187" s="19">
        <f t="shared" si="127"/>
        <v>-999</v>
      </c>
      <c r="BS187" s="401">
        <v>138</v>
      </c>
      <c r="BT187" s="72">
        <f t="shared" si="132"/>
        <v>0.91282171010971069</v>
      </c>
      <c r="BU187" s="399" t="str">
        <f t="shared" si="128"/>
        <v/>
      </c>
      <c r="BV187" s="19">
        <f t="shared" si="129"/>
        <v>-999</v>
      </c>
      <c r="BW187" s="19">
        <f t="shared" si="130"/>
        <v>-999</v>
      </c>
      <c r="BY187" s="19">
        <f t="shared" si="121"/>
        <v>72.5</v>
      </c>
      <c r="BZ187" s="19">
        <f t="shared" si="119"/>
        <v>0.53109599103534522</v>
      </c>
      <c r="CA187" s="19">
        <f t="shared" si="120"/>
        <v>0.84025488386390224</v>
      </c>
      <c r="CB187"/>
      <c r="CC187"/>
      <c r="CD187"/>
      <c r="CE187"/>
      <c r="CJ187"/>
      <c r="CK187"/>
      <c r="CL187"/>
      <c r="CM187"/>
      <c r="CN187"/>
    </row>
    <row r="188" spans="14:92" ht="11.25" customHeight="1" x14ac:dyDescent="0.2">
      <c r="N188" s="19">
        <v>78</v>
      </c>
      <c r="O188" s="19">
        <f t="shared" si="122"/>
        <v>881.48499999999615</v>
      </c>
      <c r="P188" s="19">
        <f t="shared" si="123"/>
        <v>681.48499999999615</v>
      </c>
      <c r="Q188"/>
      <c r="R188" s="19">
        <f t="shared" si="124"/>
        <v>481.48500000000053</v>
      </c>
      <c r="S188"/>
      <c r="T188"/>
      <c r="U188"/>
      <c r="V188"/>
      <c r="W188"/>
      <c r="X188"/>
      <c r="Y188"/>
      <c r="Z188" s="19">
        <f t="shared" si="133"/>
        <v>277.46000000000049</v>
      </c>
      <c r="AA188" s="19">
        <f t="shared" si="134"/>
        <v>77.460000000000093</v>
      </c>
      <c r="AB188" s="19" t="e">
        <f t="shared" si="135"/>
        <v>#N/A</v>
      </c>
      <c r="AC188"/>
      <c r="AD188"/>
      <c r="AE188" s="19">
        <v>97</v>
      </c>
      <c r="AG188" s="19">
        <f t="shared" si="104"/>
        <v>1</v>
      </c>
      <c r="AH188" s="19">
        <f t="shared" si="105"/>
        <v>-1</v>
      </c>
      <c r="AI188" s="19">
        <f t="shared" si="106"/>
        <v>13.685</v>
      </c>
      <c r="AJ188" s="410">
        <f t="shared" si="107"/>
        <v>892.28</v>
      </c>
      <c r="AK188" s="19" t="e">
        <f t="shared" si="108"/>
        <v>#N/A</v>
      </c>
      <c r="AL188" s="19">
        <f t="shared" si="109"/>
        <v>692.28</v>
      </c>
      <c r="AM188" s="19" t="e">
        <f t="shared" si="110"/>
        <v>#N/A</v>
      </c>
      <c r="AN188" s="19">
        <f t="shared" si="111"/>
        <v>492.28</v>
      </c>
      <c r="AO188" s="19" t="e">
        <f t="shared" si="112"/>
        <v>#N/A</v>
      </c>
      <c r="AP188" s="19">
        <f t="shared" si="113"/>
        <v>292.27999999999997</v>
      </c>
      <c r="AQ188" s="19" t="e">
        <f t="shared" si="114"/>
        <v>#N/A</v>
      </c>
      <c r="AR188" s="19">
        <f t="shared" si="115"/>
        <v>92.28</v>
      </c>
      <c r="AS188" s="19" t="e">
        <f t="shared" si="116"/>
        <v>#N/A</v>
      </c>
      <c r="AT188"/>
      <c r="AU188"/>
      <c r="AV188"/>
      <c r="AW188"/>
      <c r="AX188"/>
      <c r="AY188" s="401">
        <v>92</v>
      </c>
      <c r="AZ188" s="19">
        <f>IF($BR$5,$BR$12+AY188,NA())</f>
        <v>142.13299542661542</v>
      </c>
      <c r="BA188" s="19">
        <f t="shared" si="118"/>
        <v>4.5</v>
      </c>
      <c r="BD188"/>
      <c r="BE188"/>
      <c r="BF188"/>
      <c r="BG188"/>
      <c r="BH188"/>
      <c r="BI188"/>
      <c r="BJ188"/>
      <c r="BK188"/>
      <c r="BL188"/>
      <c r="BM188"/>
      <c r="BN188"/>
      <c r="BO188" s="72">
        <f t="shared" si="131"/>
        <v>0.71029885113239288</v>
      </c>
      <c r="BP188" s="399" t="str">
        <f t="shared" si="125"/>
        <v/>
      </c>
      <c r="BQ188" s="19">
        <f t="shared" si="126"/>
        <v>-999</v>
      </c>
      <c r="BR188" s="19">
        <f t="shared" si="127"/>
        <v>-999</v>
      </c>
      <c r="BS188" s="401">
        <v>139</v>
      </c>
      <c r="BT188" s="72">
        <f t="shared" si="132"/>
        <v>0.96777933835983276</v>
      </c>
      <c r="BU188" s="399" t="str">
        <f t="shared" si="128"/>
        <v/>
      </c>
      <c r="BV188" s="19">
        <f t="shared" si="129"/>
        <v>-999</v>
      </c>
      <c r="BW188" s="19">
        <f t="shared" si="130"/>
        <v>-999</v>
      </c>
      <c r="BY188" s="19">
        <f t="shared" si="121"/>
        <v>73</v>
      </c>
      <c r="BZ188" s="19">
        <f t="shared" si="119"/>
        <v>0.51620567394549632</v>
      </c>
      <c r="CA188" s="19">
        <f t="shared" si="120"/>
        <v>0.8276933859508705</v>
      </c>
      <c r="CB188"/>
      <c r="CC188"/>
      <c r="CD188"/>
      <c r="CE188"/>
      <c r="CJ188"/>
      <c r="CK188"/>
      <c r="CL188"/>
      <c r="CM188"/>
      <c r="CN188"/>
    </row>
    <row r="189" spans="14:92" ht="11.25" customHeight="1" x14ac:dyDescent="0.2">
      <c r="N189" s="19">
        <v>79</v>
      </c>
      <c r="O189" s="19">
        <f t="shared" si="122"/>
        <v>882.2899999999961</v>
      </c>
      <c r="P189" s="19">
        <f t="shared" si="123"/>
        <v>682.2899999999961</v>
      </c>
      <c r="Q189"/>
      <c r="R189" s="19">
        <f t="shared" si="124"/>
        <v>482.29000000000053</v>
      </c>
      <c r="S189"/>
      <c r="T189"/>
      <c r="U189"/>
      <c r="V189"/>
      <c r="W189"/>
      <c r="X189"/>
      <c r="Y189"/>
      <c r="Z189" s="19">
        <f t="shared" si="133"/>
        <v>278.2650000000005</v>
      </c>
      <c r="AA189" s="19">
        <f t="shared" si="134"/>
        <v>78.2650000000001</v>
      </c>
      <c r="AB189" s="19" t="e">
        <f t="shared" si="135"/>
        <v>#N/A</v>
      </c>
      <c r="AC189"/>
      <c r="AD189"/>
      <c r="AE189" s="19">
        <v>98</v>
      </c>
      <c r="AG189" s="19">
        <f t="shared" si="104"/>
        <v>1</v>
      </c>
      <c r="AH189" s="19">
        <f t="shared" si="105"/>
        <v>1</v>
      </c>
      <c r="AI189" s="19">
        <f t="shared" si="106"/>
        <v>13.685</v>
      </c>
      <c r="AJ189" s="410">
        <f t="shared" si="107"/>
        <v>907.72</v>
      </c>
      <c r="AK189" s="19" t="e">
        <f t="shared" si="108"/>
        <v>#N/A</v>
      </c>
      <c r="AL189" s="19">
        <f t="shared" si="109"/>
        <v>707.72</v>
      </c>
      <c r="AM189" s="19" t="e">
        <f t="shared" si="110"/>
        <v>#N/A</v>
      </c>
      <c r="AN189" s="19">
        <f t="shared" si="111"/>
        <v>507.72</v>
      </c>
      <c r="AO189" s="19" t="e">
        <f t="shared" si="112"/>
        <v>#N/A</v>
      </c>
      <c r="AP189" s="19">
        <f t="shared" si="113"/>
        <v>307.72000000000003</v>
      </c>
      <c r="AQ189" s="19" t="e">
        <f t="shared" si="114"/>
        <v>#N/A</v>
      </c>
      <c r="AR189" s="19">
        <f t="shared" si="115"/>
        <v>107.72</v>
      </c>
      <c r="AS189" s="19" t="e">
        <f t="shared" si="116"/>
        <v>#N/A</v>
      </c>
      <c r="AT189"/>
      <c r="AU189"/>
      <c r="AV189"/>
      <c r="AW189"/>
      <c r="AX189"/>
      <c r="AY189" s="401">
        <v>94</v>
      </c>
      <c r="AZ189" s="19">
        <f>IF($BR$5,$BR$12+AY189,NA())</f>
        <v>144.13299542661542</v>
      </c>
      <c r="BA189" s="19">
        <f t="shared" si="118"/>
        <v>4.5</v>
      </c>
      <c r="BD189"/>
      <c r="BE189"/>
      <c r="BF189"/>
      <c r="BG189"/>
      <c r="BH189"/>
      <c r="BI189"/>
      <c r="BJ189"/>
      <c r="BK189"/>
      <c r="BL189"/>
      <c r="BM189"/>
      <c r="BN189"/>
      <c r="BO189" s="72">
        <f t="shared" si="131"/>
        <v>0.7452089935541153</v>
      </c>
      <c r="BP189" s="399" t="str">
        <f t="shared" si="125"/>
        <v/>
      </c>
      <c r="BQ189" s="19">
        <f t="shared" si="126"/>
        <v>-999</v>
      </c>
      <c r="BR189" s="19">
        <f t="shared" si="127"/>
        <v>-999</v>
      </c>
      <c r="BS189" s="401">
        <v>140</v>
      </c>
      <c r="BT189" s="72">
        <f t="shared" si="132"/>
        <v>0.96472972631454468</v>
      </c>
      <c r="BU189" s="399" t="str">
        <f t="shared" si="128"/>
        <v/>
      </c>
      <c r="BV189" s="19">
        <f t="shared" si="129"/>
        <v>-999</v>
      </c>
      <c r="BW189" s="19">
        <f t="shared" si="130"/>
        <v>-999</v>
      </c>
      <c r="BY189" s="19">
        <f t="shared" si="121"/>
        <v>73.5</v>
      </c>
      <c r="BZ189" s="19">
        <f t="shared" si="119"/>
        <v>0.50141935103294033</v>
      </c>
      <c r="CA189" s="19">
        <f t="shared" si="120"/>
        <v>0.81481026216872943</v>
      </c>
      <c r="CB189"/>
      <c r="CC189"/>
      <c r="CD189"/>
      <c r="CE189"/>
      <c r="CJ189"/>
      <c r="CK189"/>
      <c r="CL189"/>
      <c r="CM189"/>
      <c r="CN189"/>
    </row>
    <row r="190" spans="14:92" ht="11.25" customHeight="1" x14ac:dyDescent="0.2">
      <c r="N190" s="19">
        <v>80</v>
      </c>
      <c r="O190" s="19">
        <f t="shared" si="122"/>
        <v>883.09499999999605</v>
      </c>
      <c r="P190" s="19">
        <f t="shared" si="123"/>
        <v>683.09499999999605</v>
      </c>
      <c r="Q190"/>
      <c r="R190" s="19">
        <f t="shared" si="124"/>
        <v>483.09500000000054</v>
      </c>
      <c r="S190"/>
      <c r="T190"/>
      <c r="U190"/>
      <c r="V190"/>
      <c r="W190"/>
      <c r="X190"/>
      <c r="Y190"/>
      <c r="Z190" s="19">
        <f t="shared" si="133"/>
        <v>279.0700000000005</v>
      </c>
      <c r="AA190" s="19">
        <f t="shared" si="134"/>
        <v>79.070000000000107</v>
      </c>
      <c r="AB190" s="19" t="e">
        <f t="shared" si="135"/>
        <v>#N/A</v>
      </c>
      <c r="AC190"/>
      <c r="AD190"/>
      <c r="AE190" s="19">
        <v>99</v>
      </c>
      <c r="AG190" s="19">
        <f t="shared" si="104"/>
        <v>3</v>
      </c>
      <c r="AH190" s="19">
        <f t="shared" si="105"/>
        <v>-1</v>
      </c>
      <c r="AI190" s="19">
        <f t="shared" si="106"/>
        <v>13.685</v>
      </c>
      <c r="AJ190" s="410">
        <f t="shared" si="107"/>
        <v>876.84</v>
      </c>
      <c r="AK190" s="19" t="e">
        <f t="shared" si="108"/>
        <v>#N/A</v>
      </c>
      <c r="AL190" s="19">
        <f t="shared" si="109"/>
        <v>676.84</v>
      </c>
      <c r="AM190" s="19" t="e">
        <f t="shared" si="110"/>
        <v>#N/A</v>
      </c>
      <c r="AN190" s="19">
        <f t="shared" si="111"/>
        <v>476.84</v>
      </c>
      <c r="AO190" s="19" t="e">
        <f t="shared" si="112"/>
        <v>#N/A</v>
      </c>
      <c r="AP190" s="19">
        <f t="shared" si="113"/>
        <v>276.83999999999997</v>
      </c>
      <c r="AQ190" s="19" t="e">
        <f t="shared" si="114"/>
        <v>#N/A</v>
      </c>
      <c r="AR190" s="19">
        <f t="shared" si="115"/>
        <v>76.84</v>
      </c>
      <c r="AS190" s="19" t="e">
        <f t="shared" si="116"/>
        <v>#N/A</v>
      </c>
      <c r="AT190"/>
      <c r="AU190"/>
      <c r="AV190"/>
      <c r="AW190"/>
      <c r="AX190"/>
      <c r="AY190" s="401">
        <v>96</v>
      </c>
      <c r="AZ190" s="19">
        <f>IF($BR$5,$BR$12+AY190,NA())</f>
        <v>146.13299542661542</v>
      </c>
      <c r="BA190" s="19">
        <f t="shared" si="118"/>
        <v>4.5</v>
      </c>
      <c r="BD190"/>
      <c r="BE190"/>
      <c r="BF190"/>
      <c r="BG190"/>
      <c r="BH190"/>
      <c r="BI190"/>
      <c r="BJ190"/>
      <c r="BK190"/>
      <c r="BL190"/>
      <c r="BM190"/>
      <c r="BN190"/>
      <c r="BO190" s="72">
        <f t="shared" si="131"/>
        <v>0.6232580691576004</v>
      </c>
      <c r="BP190" s="399" t="str">
        <f t="shared" si="125"/>
        <v/>
      </c>
      <c r="BQ190" s="19">
        <f t="shared" si="126"/>
        <v>-999</v>
      </c>
      <c r="BR190" s="19">
        <f t="shared" si="127"/>
        <v>-999</v>
      </c>
      <c r="BS190" s="401">
        <v>141</v>
      </c>
      <c r="BT190" s="72">
        <f t="shared" si="132"/>
        <v>0.80463188886642456</v>
      </c>
      <c r="BU190" s="399" t="str">
        <f t="shared" si="128"/>
        <v/>
      </c>
      <c r="BV190" s="19">
        <f t="shared" si="129"/>
        <v>-999</v>
      </c>
      <c r="BW190" s="19">
        <f t="shared" si="130"/>
        <v>-999</v>
      </c>
      <c r="BY190" s="19">
        <f t="shared" si="121"/>
        <v>74</v>
      </c>
      <c r="BZ190" s="19">
        <f t="shared" si="119"/>
        <v>0.48675225595997162</v>
      </c>
      <c r="CA190" s="19">
        <f t="shared" si="120"/>
        <v>0.8016264922368358</v>
      </c>
      <c r="CB190"/>
      <c r="CC190"/>
      <c r="CD190"/>
      <c r="CE190"/>
      <c r="CJ190"/>
      <c r="CK190"/>
      <c r="CL190"/>
      <c r="CM190"/>
      <c r="CN190"/>
    </row>
    <row r="191" spans="14:92" ht="11.25" customHeight="1" x14ac:dyDescent="0.2">
      <c r="N191" s="19">
        <v>81</v>
      </c>
      <c r="O191" s="19">
        <f t="shared" si="122"/>
        <v>883.899999999996</v>
      </c>
      <c r="P191" s="19">
        <f t="shared" si="123"/>
        <v>683.899999999996</v>
      </c>
      <c r="Q191"/>
      <c r="R191" s="19">
        <f t="shared" si="124"/>
        <v>483.90000000000055</v>
      </c>
      <c r="S191"/>
      <c r="T191"/>
      <c r="U191"/>
      <c r="V191"/>
      <c r="W191"/>
      <c r="X191"/>
      <c r="Y191"/>
      <c r="Z191" s="19">
        <f t="shared" si="133"/>
        <v>279.87500000000051</v>
      </c>
      <c r="AA191" s="19">
        <f t="shared" si="134"/>
        <v>79.875000000000114</v>
      </c>
      <c r="AB191" s="19" t="e">
        <f t="shared" si="135"/>
        <v>#N/A</v>
      </c>
      <c r="AC191"/>
      <c r="AD191"/>
      <c r="AE191" s="19">
        <v>100</v>
      </c>
      <c r="AG191" s="19">
        <f t="shared" si="104"/>
        <v>3</v>
      </c>
      <c r="AH191" s="19">
        <f t="shared" si="105"/>
        <v>1</v>
      </c>
      <c r="AI191" s="19">
        <f t="shared" si="106"/>
        <v>13.685</v>
      </c>
      <c r="AJ191" s="410">
        <f t="shared" si="107"/>
        <v>923.16</v>
      </c>
      <c r="AK191" s="19" t="e">
        <f t="shared" si="108"/>
        <v>#N/A</v>
      </c>
      <c r="AL191" s="19">
        <f t="shared" si="109"/>
        <v>723.16</v>
      </c>
      <c r="AM191" s="19" t="e">
        <f t="shared" si="110"/>
        <v>#N/A</v>
      </c>
      <c r="AN191" s="19">
        <f t="shared" si="111"/>
        <v>523.16</v>
      </c>
      <c r="AO191" s="19" t="e">
        <f t="shared" si="112"/>
        <v>#N/A</v>
      </c>
      <c r="AP191" s="19">
        <f t="shared" si="113"/>
        <v>323.16000000000003</v>
      </c>
      <c r="AQ191" s="19" t="e">
        <f t="shared" si="114"/>
        <v>#N/A</v>
      </c>
      <c r="AR191" s="19">
        <f t="shared" si="115"/>
        <v>123.16</v>
      </c>
      <c r="AS191" s="19" t="e">
        <f t="shared" si="116"/>
        <v>#N/A</v>
      </c>
      <c r="AT191"/>
      <c r="AU191"/>
      <c r="AV191"/>
      <c r="AW191"/>
      <c r="AX191"/>
      <c r="AY191" s="401">
        <v>98</v>
      </c>
      <c r="AZ191" s="19">
        <f>IF($BR$5,$BR$12+AY191,NA())</f>
        <v>148.13299542661542</v>
      </c>
      <c r="BA191" s="19">
        <f t="shared" si="118"/>
        <v>4.5</v>
      </c>
      <c r="BD191"/>
      <c r="BE191"/>
      <c r="BF191"/>
      <c r="BG191"/>
      <c r="BH191"/>
      <c r="BI191"/>
      <c r="BJ191"/>
      <c r="BK191"/>
      <c r="BL191"/>
      <c r="BM191"/>
      <c r="BN191"/>
      <c r="BO191" s="72">
        <f t="shared" si="131"/>
        <v>0.79393090307712555</v>
      </c>
      <c r="BP191" s="399" t="str">
        <f t="shared" si="125"/>
        <v/>
      </c>
      <c r="BQ191" s="19">
        <f t="shared" si="126"/>
        <v>-999</v>
      </c>
      <c r="BR191" s="19">
        <f t="shared" si="127"/>
        <v>-999</v>
      </c>
      <c r="BS191" s="401">
        <v>142</v>
      </c>
      <c r="BT191" s="72">
        <f t="shared" si="132"/>
        <v>0.34887880086898804</v>
      </c>
      <c r="BU191" s="399" t="str">
        <f t="shared" si="128"/>
        <v/>
      </c>
      <c r="BV191" s="19">
        <f t="shared" si="129"/>
        <v>-999</v>
      </c>
      <c r="BW191" s="19">
        <f t="shared" si="130"/>
        <v>-999</v>
      </c>
      <c r="BY191" s="19">
        <f t="shared" si="121"/>
        <v>74.5</v>
      </c>
      <c r="BZ191" s="19">
        <f t="shared" si="119"/>
        <v>0.47221896125565366</v>
      </c>
      <c r="CA191" s="19">
        <f t="shared" si="120"/>
        <v>0.78816328194445273</v>
      </c>
      <c r="CB191"/>
      <c r="CC191"/>
      <c r="CD191"/>
      <c r="CE191"/>
      <c r="CJ191"/>
      <c r="CK191"/>
      <c r="CL191"/>
      <c r="CM191"/>
      <c r="CN191"/>
    </row>
    <row r="192" spans="14:92" ht="11.25" customHeight="1" x14ac:dyDescent="0.2">
      <c r="N192" s="19">
        <v>82</v>
      </c>
      <c r="O192" s="19">
        <f t="shared" si="122"/>
        <v>884.70499999999595</v>
      </c>
      <c r="P192" s="19">
        <f t="shared" si="123"/>
        <v>684.70499999999595</v>
      </c>
      <c r="Q192"/>
      <c r="R192" s="19">
        <f t="shared" si="124"/>
        <v>484.70500000000055</v>
      </c>
      <c r="S192"/>
      <c r="T192"/>
      <c r="U192"/>
      <c r="V192"/>
      <c r="W192"/>
      <c r="X192"/>
      <c r="Y192"/>
      <c r="Z192" s="19">
        <f t="shared" si="133"/>
        <v>280.68000000000052</v>
      </c>
      <c r="AA192" s="19">
        <f t="shared" si="134"/>
        <v>80.680000000000121</v>
      </c>
      <c r="AB192" s="19" t="e">
        <f t="shared" si="135"/>
        <v>#N/A</v>
      </c>
      <c r="AC192"/>
      <c r="AD192"/>
      <c r="AE192" s="19">
        <v>101</v>
      </c>
      <c r="AG192" s="19">
        <f t="shared" si="104"/>
        <v>5</v>
      </c>
      <c r="AH192" s="19">
        <f t="shared" si="105"/>
        <v>-1</v>
      </c>
      <c r="AI192" s="19">
        <f t="shared" si="106"/>
        <v>13.685</v>
      </c>
      <c r="AJ192" s="410">
        <f t="shared" si="107"/>
        <v>861.4</v>
      </c>
      <c r="AK192" s="19" t="e">
        <f t="shared" si="108"/>
        <v>#N/A</v>
      </c>
      <c r="AL192" s="19">
        <f t="shared" si="109"/>
        <v>661.4</v>
      </c>
      <c r="AM192" s="19" t="e">
        <f t="shared" si="110"/>
        <v>#N/A</v>
      </c>
      <c r="AN192" s="19">
        <f t="shared" si="111"/>
        <v>461.4</v>
      </c>
      <c r="AO192" s="19" t="e">
        <f t="shared" si="112"/>
        <v>#N/A</v>
      </c>
      <c r="AP192" s="19">
        <f t="shared" si="113"/>
        <v>261.39999999999998</v>
      </c>
      <c r="AQ192" s="19" t="e">
        <f t="shared" si="114"/>
        <v>#N/A</v>
      </c>
      <c r="AR192" s="19">
        <f t="shared" si="115"/>
        <v>61.4</v>
      </c>
      <c r="AS192" s="19" t="e">
        <f t="shared" si="116"/>
        <v>#N/A</v>
      </c>
      <c r="AT192"/>
      <c r="AU192"/>
      <c r="AV192"/>
      <c r="AW192"/>
      <c r="AX192"/>
      <c r="AY192" s="401">
        <v>100</v>
      </c>
      <c r="AZ192" s="19">
        <f>IF($BR$5,$BR$12+AY192,NA())</f>
        <v>150.13299542661542</v>
      </c>
      <c r="BA192" s="19">
        <f t="shared" si="118"/>
        <v>4.5</v>
      </c>
      <c r="BD192"/>
      <c r="BE192"/>
      <c r="BF192"/>
      <c r="BG192"/>
      <c r="BH192"/>
      <c r="BI192"/>
      <c r="BJ192"/>
      <c r="BK192"/>
      <c r="BL192"/>
      <c r="BM192"/>
      <c r="BN192"/>
      <c r="BO192" s="72">
        <f t="shared" si="131"/>
        <v>0.3518729954957962</v>
      </c>
      <c r="BP192" s="399" t="str">
        <f t="shared" si="125"/>
        <v/>
      </c>
      <c r="BQ192" s="19">
        <f t="shared" si="126"/>
        <v>-999</v>
      </c>
      <c r="BR192" s="19">
        <f t="shared" si="127"/>
        <v>-999</v>
      </c>
      <c r="BS192" s="401">
        <v>143</v>
      </c>
      <c r="BT192" s="72">
        <f t="shared" si="132"/>
        <v>0.54411429166793823</v>
      </c>
      <c r="BU192" s="399" t="str">
        <f t="shared" si="128"/>
        <v/>
      </c>
      <c r="BV192" s="19">
        <f t="shared" si="129"/>
        <v>-999</v>
      </c>
      <c r="BW192" s="19">
        <f t="shared" si="130"/>
        <v>-999</v>
      </c>
      <c r="BY192" s="19">
        <f t="shared" si="121"/>
        <v>75</v>
      </c>
      <c r="BZ192" s="19">
        <f t="shared" si="119"/>
        <v>0.45783336177161416</v>
      </c>
      <c r="CA192" s="19">
        <f t="shared" si="120"/>
        <v>0.77444200693379084</v>
      </c>
      <c r="CB192"/>
      <c r="CC192"/>
      <c r="CD192"/>
      <c r="CE192"/>
      <c r="CJ192"/>
      <c r="CK192"/>
      <c r="CL192"/>
      <c r="CM192"/>
      <c r="CN192"/>
    </row>
    <row r="193" spans="14:92" ht="11.25" customHeight="1" x14ac:dyDescent="0.2">
      <c r="N193" s="19">
        <v>83</v>
      </c>
      <c r="O193" s="19">
        <f t="shared" si="122"/>
        <v>885.5099999999959</v>
      </c>
      <c r="P193" s="19">
        <f t="shared" si="123"/>
        <v>685.5099999999959</v>
      </c>
      <c r="Q193"/>
      <c r="R193" s="19">
        <f t="shared" si="124"/>
        <v>485.51000000000056</v>
      </c>
      <c r="S193"/>
      <c r="T193"/>
      <c r="U193"/>
      <c r="V193"/>
      <c r="W193"/>
      <c r="X193"/>
      <c r="Y193"/>
      <c r="Z193" s="19">
        <f t="shared" si="133"/>
        <v>281.48500000000053</v>
      </c>
      <c r="AA193" s="19">
        <f t="shared" si="134"/>
        <v>81.485000000000127</v>
      </c>
      <c r="AB193" s="19" t="e">
        <f t="shared" si="135"/>
        <v>#N/A</v>
      </c>
      <c r="AC193"/>
      <c r="AD193"/>
      <c r="AE193" s="19">
        <v>102</v>
      </c>
      <c r="AG193" s="19">
        <f t="shared" si="104"/>
        <v>5</v>
      </c>
      <c r="AH193" s="19">
        <f t="shared" si="105"/>
        <v>1</v>
      </c>
      <c r="AI193" s="19">
        <f t="shared" si="106"/>
        <v>13.685</v>
      </c>
      <c r="AJ193" s="410">
        <f t="shared" si="107"/>
        <v>938.6</v>
      </c>
      <c r="AK193" s="19" t="e">
        <f t="shared" si="108"/>
        <v>#N/A</v>
      </c>
      <c r="AL193" s="19">
        <f t="shared" si="109"/>
        <v>738.6</v>
      </c>
      <c r="AM193" s="19" t="e">
        <f t="shared" si="110"/>
        <v>#N/A</v>
      </c>
      <c r="AN193" s="19">
        <f t="shared" si="111"/>
        <v>538.6</v>
      </c>
      <c r="AO193" s="19" t="e">
        <f t="shared" si="112"/>
        <v>#N/A</v>
      </c>
      <c r="AP193" s="19">
        <f t="shared" si="113"/>
        <v>338.6</v>
      </c>
      <c r="AQ193" s="19" t="e">
        <f t="shared" si="114"/>
        <v>#N/A</v>
      </c>
      <c r="AR193" s="19">
        <f t="shared" si="115"/>
        <v>138.6</v>
      </c>
      <c r="AS193" s="19" t="e">
        <f t="shared" si="116"/>
        <v>#N/A</v>
      </c>
      <c r="AT193"/>
      <c r="AU193"/>
      <c r="AV193"/>
      <c r="AW193"/>
      <c r="AX193"/>
      <c r="AY193"/>
      <c r="AZ193"/>
      <c r="BA193"/>
      <c r="BB193"/>
      <c r="BC193"/>
      <c r="BD193"/>
      <c r="BE193"/>
      <c r="BF193"/>
      <c r="BG193"/>
      <c r="BH193"/>
      <c r="BI193"/>
      <c r="BJ193"/>
      <c r="BK193"/>
      <c r="BL193"/>
      <c r="BM193"/>
      <c r="BN193"/>
      <c r="BO193" s="72">
        <f t="shared" si="131"/>
        <v>0.52930690348148346</v>
      </c>
      <c r="BP193" s="399" t="str">
        <f t="shared" si="125"/>
        <v/>
      </c>
      <c r="BQ193" s="19">
        <f t="shared" si="126"/>
        <v>-999</v>
      </c>
      <c r="BR193" s="19">
        <f t="shared" si="127"/>
        <v>-999</v>
      </c>
      <c r="BS193" s="401">
        <v>144</v>
      </c>
      <c r="BT193" s="72">
        <f t="shared" si="132"/>
        <v>0.99016517400741577</v>
      </c>
      <c r="BU193" s="399" t="str">
        <f t="shared" si="128"/>
        <v/>
      </c>
      <c r="BV193" s="19">
        <f t="shared" si="129"/>
        <v>-999</v>
      </c>
      <c r="BW193" s="19">
        <f t="shared" si="130"/>
        <v>-999</v>
      </c>
      <c r="BY193" s="19">
        <f t="shared" si="121"/>
        <v>75.5</v>
      </c>
      <c r="BZ193" s="19">
        <f t="shared" si="119"/>
        <v>0.44360866071177185</v>
      </c>
      <c r="CA193" s="19">
        <f t="shared" si="120"/>
        <v>0.7604841568835895</v>
      </c>
      <c r="CB193"/>
      <c r="CC193"/>
      <c r="CD193"/>
      <c r="CE193"/>
      <c r="CJ193"/>
      <c r="CK193"/>
      <c r="CL193"/>
      <c r="CM193"/>
      <c r="CN193"/>
    </row>
    <row r="194" spans="14:92" ht="11.25" customHeight="1" x14ac:dyDescent="0.2">
      <c r="N194" s="19">
        <v>84</v>
      </c>
      <c r="O194" s="19">
        <f t="shared" si="122"/>
        <v>886.31499999999585</v>
      </c>
      <c r="P194" s="19">
        <f t="shared" si="123"/>
        <v>686.31499999999585</v>
      </c>
      <c r="Q194"/>
      <c r="R194" s="19">
        <f t="shared" si="124"/>
        <v>486.31500000000057</v>
      </c>
      <c r="S194"/>
      <c r="T194"/>
      <c r="U194"/>
      <c r="V194"/>
      <c r="W194"/>
      <c r="X194"/>
      <c r="Y194"/>
      <c r="Z194" s="19">
        <f t="shared" si="133"/>
        <v>282.29000000000053</v>
      </c>
      <c r="AA194" s="19">
        <f t="shared" si="134"/>
        <v>82.290000000000134</v>
      </c>
      <c r="AB194" s="19" t="e">
        <f t="shared" si="135"/>
        <v>#N/A</v>
      </c>
      <c r="AC194"/>
      <c r="AD194"/>
      <c r="AE194" s="19">
        <v>103</v>
      </c>
      <c r="AG194" s="19">
        <f t="shared" si="104"/>
        <v>7</v>
      </c>
      <c r="AH194" s="19">
        <f t="shared" si="105"/>
        <v>-1</v>
      </c>
      <c r="AI194" s="19">
        <f t="shared" si="106"/>
        <v>13.685</v>
      </c>
      <c r="AJ194" s="410">
        <f t="shared" si="107"/>
        <v>845.96</v>
      </c>
      <c r="AK194" s="19" t="e">
        <f t="shared" si="108"/>
        <v>#N/A</v>
      </c>
      <c r="AL194" s="19">
        <f t="shared" si="109"/>
        <v>645.96</v>
      </c>
      <c r="AM194" s="19" t="e">
        <f t="shared" si="110"/>
        <v>#N/A</v>
      </c>
      <c r="AN194" s="19">
        <f t="shared" si="111"/>
        <v>445.96</v>
      </c>
      <c r="AO194" s="19" t="e">
        <f t="shared" si="112"/>
        <v>#N/A</v>
      </c>
      <c r="AP194" s="19">
        <f t="shared" si="113"/>
        <v>245.96</v>
      </c>
      <c r="AQ194" s="19" t="e">
        <f t="shared" si="114"/>
        <v>#N/A</v>
      </c>
      <c r="AR194" s="19">
        <f t="shared" si="115"/>
        <v>45.96</v>
      </c>
      <c r="AS194" s="19" t="e">
        <f t="shared" si="116"/>
        <v>#N/A</v>
      </c>
      <c r="AT194"/>
      <c r="AU194"/>
      <c r="AV194"/>
      <c r="AW194"/>
      <c r="AX194"/>
      <c r="AY194"/>
      <c r="AZ194"/>
      <c r="BA194"/>
      <c r="BB194"/>
      <c r="BC194"/>
      <c r="BD194"/>
      <c r="BE194"/>
      <c r="BF194"/>
      <c r="BG194"/>
      <c r="BH194"/>
      <c r="BI194"/>
      <c r="BJ194"/>
      <c r="BK194"/>
      <c r="BL194"/>
      <c r="BM194"/>
      <c r="BN194"/>
      <c r="BO194" s="72">
        <f t="shared" si="131"/>
        <v>0.91580457985401154</v>
      </c>
      <c r="BP194" s="399" t="str">
        <f t="shared" si="125"/>
        <v/>
      </c>
      <c r="BQ194" s="19">
        <f t="shared" si="126"/>
        <v>-999</v>
      </c>
      <c r="BR194" s="19">
        <f t="shared" si="127"/>
        <v>-999</v>
      </c>
      <c r="BS194" s="401">
        <v>145</v>
      </c>
      <c r="BT194" s="72">
        <f t="shared" si="132"/>
        <v>0.61222141981124878</v>
      </c>
      <c r="BU194" s="399" t="str">
        <f t="shared" si="128"/>
        <v/>
      </c>
      <c r="BV194" s="19">
        <f t="shared" si="129"/>
        <v>-999</v>
      </c>
      <c r="BW194" s="19">
        <f t="shared" si="130"/>
        <v>-999</v>
      </c>
      <c r="BY194" s="19">
        <f t="shared" si="121"/>
        <v>76</v>
      </c>
      <c r="BZ194" s="19">
        <f t="shared" si="119"/>
        <v>0.42955735821073904</v>
      </c>
      <c r="CA194" s="19">
        <f t="shared" si="120"/>
        <v>0.74631128029392035</v>
      </c>
      <c r="CB194"/>
      <c r="CC194"/>
      <c r="CD194"/>
      <c r="CE194"/>
      <c r="CJ194"/>
      <c r="CK194"/>
      <c r="CL194"/>
      <c r="CM194"/>
      <c r="CN194"/>
    </row>
    <row r="195" spans="14:92" ht="11.25" customHeight="1" x14ac:dyDescent="0.2">
      <c r="N195" s="19">
        <v>85</v>
      </c>
      <c r="O195" s="19">
        <f t="shared" si="122"/>
        <v>887.1199999999958</v>
      </c>
      <c r="P195" s="19">
        <f t="shared" si="123"/>
        <v>687.1199999999958</v>
      </c>
      <c r="Q195"/>
      <c r="R195" s="19">
        <f t="shared" si="124"/>
        <v>487.12000000000057</v>
      </c>
      <c r="S195"/>
      <c r="T195"/>
      <c r="U195"/>
      <c r="V195"/>
      <c r="W195"/>
      <c r="X195"/>
      <c r="Y195"/>
      <c r="Z195" s="19">
        <f t="shared" si="133"/>
        <v>283.09500000000054</v>
      </c>
      <c r="AA195" s="19">
        <f t="shared" si="134"/>
        <v>83.095000000000141</v>
      </c>
      <c r="AB195" s="19" t="e">
        <f t="shared" si="135"/>
        <v>#N/A</v>
      </c>
      <c r="AC195"/>
      <c r="AD195"/>
      <c r="AE195" s="19">
        <v>104</v>
      </c>
      <c r="AG195" s="19">
        <f t="shared" si="104"/>
        <v>7</v>
      </c>
      <c r="AH195" s="19">
        <f t="shared" si="105"/>
        <v>1</v>
      </c>
      <c r="AI195" s="19">
        <f t="shared" si="106"/>
        <v>13.685</v>
      </c>
      <c r="AJ195" s="410">
        <f t="shared" si="107"/>
        <v>954.04</v>
      </c>
      <c r="AK195" s="19" t="e">
        <f t="shared" si="108"/>
        <v>#N/A</v>
      </c>
      <c r="AL195" s="19">
        <f t="shared" si="109"/>
        <v>754.04</v>
      </c>
      <c r="AM195" s="19" t="e">
        <f t="shared" si="110"/>
        <v>#N/A</v>
      </c>
      <c r="AN195" s="19">
        <f t="shared" si="111"/>
        <v>554.04</v>
      </c>
      <c r="AO195" s="19" t="e">
        <f t="shared" si="112"/>
        <v>#N/A</v>
      </c>
      <c r="AP195" s="19">
        <f t="shared" si="113"/>
        <v>354.04</v>
      </c>
      <c r="AQ195" s="19" t="e">
        <f t="shared" si="114"/>
        <v>#N/A</v>
      </c>
      <c r="AR195" s="19">
        <f t="shared" si="115"/>
        <v>154.04</v>
      </c>
      <c r="AS195" s="19" t="e">
        <f t="shared" si="116"/>
        <v>#N/A</v>
      </c>
      <c r="AT195"/>
      <c r="AU195"/>
      <c r="AV195"/>
      <c r="AW195"/>
      <c r="AX195"/>
      <c r="AY195"/>
      <c r="AZ195"/>
      <c r="BA195"/>
      <c r="BB195"/>
      <c r="BC195"/>
      <c r="BD195"/>
      <c r="BE195"/>
      <c r="BF195"/>
      <c r="BG195"/>
      <c r="BH195"/>
      <c r="BI195"/>
      <c r="BJ195"/>
      <c r="BK195"/>
      <c r="BL195"/>
      <c r="BM195"/>
      <c r="BN195"/>
      <c r="BO195" s="72">
        <f t="shared" si="131"/>
        <v>0.70399965345859528</v>
      </c>
      <c r="BP195" s="399" t="str">
        <f t="shared" si="125"/>
        <v/>
      </c>
      <c r="BQ195" s="19">
        <f t="shared" si="126"/>
        <v>-999</v>
      </c>
      <c r="BR195" s="19">
        <f t="shared" si="127"/>
        <v>-999</v>
      </c>
      <c r="BS195" s="401">
        <v>146</v>
      </c>
      <c r="BT195" s="72">
        <f t="shared" si="132"/>
        <v>0.15699094533920288</v>
      </c>
      <c r="BU195" s="399" t="str">
        <f t="shared" si="128"/>
        <v/>
      </c>
      <c r="BV195" s="19">
        <f t="shared" si="129"/>
        <v>-999</v>
      </c>
      <c r="BW195" s="19">
        <f t="shared" si="130"/>
        <v>-999</v>
      </c>
      <c r="BY195" s="19">
        <f t="shared" si="121"/>
        <v>76.5</v>
      </c>
      <c r="BZ195" s="19">
        <f t="shared" si="119"/>
        <v>0.41569124242542715</v>
      </c>
      <c r="CA195" s="19">
        <f t="shared" si="120"/>
        <v>0.73194493006686301</v>
      </c>
      <c r="CB195"/>
      <c r="CC195"/>
      <c r="CD195"/>
      <c r="CE195"/>
      <c r="CJ195"/>
      <c r="CK195"/>
      <c r="CL195"/>
      <c r="CM195"/>
      <c r="CN195"/>
    </row>
    <row r="196" spans="14:92" ht="11.25" customHeight="1" x14ac:dyDescent="0.2">
      <c r="N196" s="19">
        <v>86</v>
      </c>
      <c r="O196" s="19">
        <f t="shared" si="122"/>
        <v>887.92499999999575</v>
      </c>
      <c r="P196" s="19">
        <f t="shared" si="123"/>
        <v>687.92499999999575</v>
      </c>
      <c r="Q196"/>
      <c r="R196" s="19">
        <f t="shared" si="124"/>
        <v>487.92500000000058</v>
      </c>
      <c r="S196"/>
      <c r="T196"/>
      <c r="U196"/>
      <c r="V196"/>
      <c r="W196"/>
      <c r="X196"/>
      <c r="Y196"/>
      <c r="Z196" s="19">
        <f t="shared" si="133"/>
        <v>283.90000000000055</v>
      </c>
      <c r="AA196" s="19">
        <f t="shared" si="134"/>
        <v>83.900000000000148</v>
      </c>
      <c r="AB196" s="19" t="e">
        <f t="shared" si="135"/>
        <v>#N/A</v>
      </c>
      <c r="AC196"/>
      <c r="AD196"/>
      <c r="AE196" s="19">
        <v>105</v>
      </c>
      <c r="AG196" s="19">
        <f t="shared" si="104"/>
        <v>9</v>
      </c>
      <c r="AH196" s="19">
        <f t="shared" si="105"/>
        <v>-1</v>
      </c>
      <c r="AI196" s="19">
        <f t="shared" si="106"/>
        <v>13.685</v>
      </c>
      <c r="AJ196" s="410">
        <f t="shared" si="107"/>
        <v>830.52</v>
      </c>
      <c r="AK196" s="19" t="e">
        <f t="shared" si="108"/>
        <v>#N/A</v>
      </c>
      <c r="AL196" s="19">
        <f t="shared" si="109"/>
        <v>630.52</v>
      </c>
      <c r="AM196" s="19" t="e">
        <f t="shared" si="110"/>
        <v>#N/A</v>
      </c>
      <c r="AN196" s="19">
        <f t="shared" si="111"/>
        <v>430.52</v>
      </c>
      <c r="AO196" s="19" t="e">
        <f t="shared" si="112"/>
        <v>#N/A</v>
      </c>
      <c r="AP196" s="19">
        <f t="shared" si="113"/>
        <v>230.51999999999998</v>
      </c>
      <c r="AQ196" s="19" t="e">
        <f t="shared" si="114"/>
        <v>#N/A</v>
      </c>
      <c r="AR196" s="19">
        <f t="shared" si="115"/>
        <v>30.519999999999996</v>
      </c>
      <c r="AS196" s="19" t="e">
        <f t="shared" si="116"/>
        <v>#N/A</v>
      </c>
      <c r="AT196"/>
      <c r="AU196"/>
      <c r="AV196"/>
      <c r="AW196"/>
      <c r="AX196"/>
      <c r="AY196"/>
      <c r="AZ196"/>
      <c r="BA196"/>
      <c r="BB196"/>
      <c r="BC196"/>
      <c r="BD196"/>
      <c r="BE196"/>
      <c r="BF196"/>
      <c r="BG196"/>
      <c r="BH196"/>
      <c r="BI196"/>
      <c r="BJ196"/>
      <c r="BK196"/>
      <c r="BL196"/>
      <c r="BM196"/>
      <c r="BN196"/>
      <c r="BO196" s="72">
        <f t="shared" si="131"/>
        <v>0.68658144772052765</v>
      </c>
      <c r="BP196" s="399" t="str">
        <f t="shared" si="125"/>
        <v/>
      </c>
      <c r="BQ196" s="19">
        <f t="shared" si="126"/>
        <v>-999</v>
      </c>
      <c r="BR196" s="19">
        <f t="shared" si="127"/>
        <v>-999</v>
      </c>
      <c r="BS196" s="401">
        <v>147</v>
      </c>
      <c r="BT196" s="72">
        <f t="shared" si="132"/>
        <v>0.4942743182182312</v>
      </c>
      <c r="BU196" s="399" t="str">
        <f t="shared" si="128"/>
        <v/>
      </c>
      <c r="BV196" s="19">
        <f t="shared" si="129"/>
        <v>-999</v>
      </c>
      <c r="BW196" s="19">
        <f t="shared" si="130"/>
        <v>-999</v>
      </c>
      <c r="BY196" s="19">
        <f t="shared" si="121"/>
        <v>77</v>
      </c>
      <c r="BZ196" s="19">
        <f t="shared" si="119"/>
        <v>0.40202138309465479</v>
      </c>
      <c r="CA196" s="19">
        <f t="shared" si="120"/>
        <v>0.71740661007080131</v>
      </c>
      <c r="CB196"/>
      <c r="CC196"/>
      <c r="CD196"/>
      <c r="CE196"/>
      <c r="CJ196"/>
      <c r="CK196"/>
      <c r="CL196"/>
      <c r="CM196"/>
      <c r="CN196"/>
    </row>
    <row r="197" spans="14:92" ht="11.25" customHeight="1" x14ac:dyDescent="0.2">
      <c r="N197" s="19">
        <v>87</v>
      </c>
      <c r="O197" s="19">
        <f t="shared" si="122"/>
        <v>888.7299999999957</v>
      </c>
      <c r="P197" s="19">
        <f t="shared" si="123"/>
        <v>688.7299999999957</v>
      </c>
      <c r="Q197"/>
      <c r="R197" s="19">
        <f t="shared" si="124"/>
        <v>488.73000000000059</v>
      </c>
      <c r="S197"/>
      <c r="T197"/>
      <c r="U197"/>
      <c r="V197"/>
      <c r="W197"/>
      <c r="X197"/>
      <c r="Y197"/>
      <c r="Z197" s="19">
        <f t="shared" si="133"/>
        <v>284.70500000000055</v>
      </c>
      <c r="AA197" s="19">
        <f t="shared" si="134"/>
        <v>84.705000000000155</v>
      </c>
      <c r="AB197" s="19" t="e">
        <f t="shared" si="135"/>
        <v>#N/A</v>
      </c>
      <c r="AC197"/>
      <c r="AD197"/>
      <c r="AE197" s="19">
        <v>106</v>
      </c>
      <c r="AG197" s="19">
        <f t="shared" si="104"/>
        <v>9</v>
      </c>
      <c r="AH197" s="19">
        <f t="shared" si="105"/>
        <v>1</v>
      </c>
      <c r="AI197" s="19">
        <f t="shared" si="106"/>
        <v>13.685</v>
      </c>
      <c r="AJ197" s="410">
        <f t="shared" si="107"/>
        <v>969.48</v>
      </c>
      <c r="AK197" s="19" t="e">
        <f t="shared" si="108"/>
        <v>#N/A</v>
      </c>
      <c r="AL197" s="19">
        <f t="shared" si="109"/>
        <v>769.48</v>
      </c>
      <c r="AM197" s="19" t="e">
        <f t="shared" si="110"/>
        <v>#N/A</v>
      </c>
      <c r="AN197" s="19">
        <f t="shared" si="111"/>
        <v>569.48</v>
      </c>
      <c r="AO197" s="19" t="e">
        <f t="shared" si="112"/>
        <v>#N/A</v>
      </c>
      <c r="AP197" s="19">
        <f t="shared" si="113"/>
        <v>369.48</v>
      </c>
      <c r="AQ197" s="19" t="e">
        <f t="shared" si="114"/>
        <v>#N/A</v>
      </c>
      <c r="AR197" s="19">
        <f t="shared" si="115"/>
        <v>169.48000000000002</v>
      </c>
      <c r="AS197" s="19" t="e">
        <f t="shared" si="116"/>
        <v>#N/A</v>
      </c>
      <c r="AT197"/>
      <c r="AU197"/>
      <c r="AV197"/>
      <c r="AW197"/>
      <c r="AX197"/>
      <c r="AY197"/>
      <c r="AZ197"/>
      <c r="BA197"/>
      <c r="BB197"/>
      <c r="BC197"/>
      <c r="BD197"/>
      <c r="BE197"/>
      <c r="BF197"/>
      <c r="BG197"/>
      <c r="BH197"/>
      <c r="BI197"/>
      <c r="BJ197"/>
      <c r="BK197"/>
      <c r="BL197"/>
      <c r="BM197"/>
      <c r="BN197"/>
      <c r="BO197" s="72">
        <f t="shared" si="131"/>
        <v>0.40276409685611725</v>
      </c>
      <c r="BP197" s="399" t="str">
        <f t="shared" si="125"/>
        <v/>
      </c>
      <c r="BQ197" s="19">
        <f t="shared" si="126"/>
        <v>-999</v>
      </c>
      <c r="BR197" s="19">
        <f t="shared" si="127"/>
        <v>-999</v>
      </c>
      <c r="BS197" s="401">
        <v>148</v>
      </c>
      <c r="BT197" s="72">
        <f t="shared" si="132"/>
        <v>0.60774844884872437</v>
      </c>
      <c r="BU197" s="399" t="str">
        <f t="shared" si="128"/>
        <v/>
      </c>
      <c r="BV197" s="19">
        <f t="shared" si="129"/>
        <v>-999</v>
      </c>
      <c r="BW197" s="19">
        <f t="shared" si="130"/>
        <v>-999</v>
      </c>
      <c r="BY197" s="19">
        <f t="shared" si="121"/>
        <v>77.5</v>
      </c>
      <c r="BZ197" s="19">
        <f t="shared" si="119"/>
        <v>0.38855812751236407</v>
      </c>
      <c r="CA197" s="19">
        <f t="shared" si="120"/>
        <v>0.70271772286839762</v>
      </c>
      <c r="CB197"/>
      <c r="CC197"/>
      <c r="CD197"/>
      <c r="CE197"/>
      <c r="CJ197"/>
      <c r="CK197"/>
      <c r="CL197"/>
      <c r="CM197"/>
      <c r="CN197"/>
    </row>
    <row r="198" spans="14:92" ht="11.25" customHeight="1" x14ac:dyDescent="0.2">
      <c r="N198" s="19">
        <v>88</v>
      </c>
      <c r="O198" s="19">
        <f t="shared" si="122"/>
        <v>889.53499999999565</v>
      </c>
      <c r="P198" s="19">
        <f t="shared" si="123"/>
        <v>689.53499999999565</v>
      </c>
      <c r="Q198"/>
      <c r="R198" s="19">
        <f t="shared" si="124"/>
        <v>489.53500000000059</v>
      </c>
      <c r="S198"/>
      <c r="T198"/>
      <c r="U198"/>
      <c r="V198"/>
      <c r="W198"/>
      <c r="X198"/>
      <c r="Y198"/>
      <c r="Z198" s="19">
        <f t="shared" si="133"/>
        <v>285.51000000000056</v>
      </c>
      <c r="AA198" s="19">
        <f t="shared" si="134"/>
        <v>85.510000000000161</v>
      </c>
      <c r="AB198" s="19" t="e">
        <f t="shared" si="135"/>
        <v>#N/A</v>
      </c>
      <c r="AC198"/>
      <c r="AD198"/>
      <c r="AE198" s="19">
        <v>107</v>
      </c>
      <c r="AG198" s="19">
        <f t="shared" si="104"/>
        <v>11</v>
      </c>
      <c r="AH198" s="19">
        <f t="shared" si="105"/>
        <v>-1</v>
      </c>
      <c r="AI198" s="19">
        <f t="shared" si="106"/>
        <v>13.685</v>
      </c>
      <c r="AJ198" s="410">
        <f t="shared" si="107"/>
        <v>815.08</v>
      </c>
      <c r="AK198" s="19" t="e">
        <f t="shared" si="108"/>
        <v>#N/A</v>
      </c>
      <c r="AL198" s="19">
        <f t="shared" si="109"/>
        <v>615.08000000000004</v>
      </c>
      <c r="AM198" s="19" t="e">
        <f t="shared" si="110"/>
        <v>#N/A</v>
      </c>
      <c r="AN198" s="19">
        <f t="shared" si="111"/>
        <v>415.08</v>
      </c>
      <c r="AO198" s="19" t="e">
        <f t="shared" si="112"/>
        <v>#N/A</v>
      </c>
      <c r="AP198" s="19">
        <f t="shared" si="113"/>
        <v>215.07999999999998</v>
      </c>
      <c r="AQ198" s="19" t="e">
        <f t="shared" si="114"/>
        <v>#N/A</v>
      </c>
      <c r="AR198" s="19">
        <f t="shared" si="115"/>
        <v>15.079999999999998</v>
      </c>
      <c r="AS198" s="19" t="e">
        <f t="shared" si="116"/>
        <v>#N/A</v>
      </c>
      <c r="AT198"/>
      <c r="AU198"/>
      <c r="AV198"/>
      <c r="AW198"/>
      <c r="AX198"/>
      <c r="AY198"/>
      <c r="AZ198"/>
      <c r="BA198"/>
      <c r="BB198"/>
      <c r="BC198"/>
      <c r="BD198"/>
      <c r="BE198"/>
      <c r="BF198"/>
      <c r="BG198"/>
      <c r="BH198"/>
      <c r="BI198"/>
      <c r="BJ198"/>
      <c r="BK198"/>
      <c r="BL198"/>
      <c r="BM198"/>
      <c r="BN198"/>
      <c r="BO198" s="72">
        <f t="shared" si="131"/>
        <v>0.20449443161487579</v>
      </c>
      <c r="BP198" s="399" t="str">
        <f t="shared" si="125"/>
        <v/>
      </c>
      <c r="BQ198" s="19">
        <f t="shared" si="126"/>
        <v>-999</v>
      </c>
      <c r="BR198" s="19">
        <f t="shared" si="127"/>
        <v>-999</v>
      </c>
      <c r="BS198" s="401">
        <v>149</v>
      </c>
      <c r="BT198" s="72">
        <f t="shared" si="132"/>
        <v>0.3892170786857605</v>
      </c>
      <c r="BU198" s="399" t="str">
        <f t="shared" si="128"/>
        <v/>
      </c>
      <c r="BV198" s="19">
        <f t="shared" si="129"/>
        <v>-999</v>
      </c>
      <c r="BW198" s="19">
        <f t="shared" si="130"/>
        <v>-999</v>
      </c>
      <c r="BY198" s="19">
        <f t="shared" si="121"/>
        <v>78</v>
      </c>
      <c r="BZ198" s="19">
        <f t="shared" si="119"/>
        <v>0.37531109885139952</v>
      </c>
      <c r="CA198" s="19">
        <f t="shared" si="120"/>
        <v>0.68789951877983935</v>
      </c>
      <c r="CB198"/>
      <c r="CC198"/>
      <c r="CD198"/>
      <c r="CE198"/>
      <c r="CJ198"/>
      <c r="CK198"/>
      <c r="CL198"/>
      <c r="CM198"/>
      <c r="CN198"/>
    </row>
    <row r="199" spans="14:92" ht="11.25" customHeight="1" x14ac:dyDescent="0.2">
      <c r="N199" s="19">
        <v>89</v>
      </c>
      <c r="O199" s="19">
        <f t="shared" si="122"/>
        <v>890.3399999999956</v>
      </c>
      <c r="P199" s="19">
        <f t="shared" si="123"/>
        <v>690.3399999999956</v>
      </c>
      <c r="Q199"/>
      <c r="R199" s="19">
        <f t="shared" si="124"/>
        <v>490.3400000000006</v>
      </c>
      <c r="S199"/>
      <c r="T199"/>
      <c r="U199"/>
      <c r="V199"/>
      <c r="W199"/>
      <c r="X199"/>
      <c r="Y199"/>
      <c r="Z199" s="19">
        <f t="shared" si="133"/>
        <v>286.31500000000057</v>
      </c>
      <c r="AA199" s="19">
        <f t="shared" si="134"/>
        <v>86.315000000000168</v>
      </c>
      <c r="AB199" s="19" t="e">
        <f t="shared" si="135"/>
        <v>#N/A</v>
      </c>
      <c r="AC199"/>
      <c r="AD199"/>
      <c r="AE199" s="19">
        <v>108</v>
      </c>
      <c r="AG199" s="19">
        <f t="shared" si="104"/>
        <v>11</v>
      </c>
      <c r="AH199" s="19">
        <f t="shared" si="105"/>
        <v>1</v>
      </c>
      <c r="AI199" s="19">
        <f t="shared" si="106"/>
        <v>13.685</v>
      </c>
      <c r="AJ199" s="410">
        <f t="shared" si="107"/>
        <v>984.92</v>
      </c>
      <c r="AK199" s="19" t="e">
        <f t="shared" si="108"/>
        <v>#N/A</v>
      </c>
      <c r="AL199" s="19">
        <f t="shared" si="109"/>
        <v>784.92</v>
      </c>
      <c r="AM199" s="19" t="e">
        <f t="shared" si="110"/>
        <v>#N/A</v>
      </c>
      <c r="AN199" s="19">
        <f t="shared" si="111"/>
        <v>584.91999999999996</v>
      </c>
      <c r="AO199" s="19" t="e">
        <f t="shared" si="112"/>
        <v>#N/A</v>
      </c>
      <c r="AP199" s="19">
        <f t="shared" si="113"/>
        <v>384.92</v>
      </c>
      <c r="AQ199" s="19" t="e">
        <f t="shared" si="114"/>
        <v>#N/A</v>
      </c>
      <c r="AR199" s="19">
        <f t="shared" si="115"/>
        <v>184.92000000000002</v>
      </c>
      <c r="AS199" s="19" t="e">
        <f t="shared" si="116"/>
        <v>#N/A</v>
      </c>
      <c r="AT199"/>
      <c r="AU199"/>
      <c r="AV199"/>
      <c r="AW199"/>
      <c r="AX199"/>
      <c r="AY199"/>
      <c r="AZ199"/>
      <c r="BA199"/>
      <c r="BB199"/>
      <c r="BC199"/>
      <c r="BD199"/>
      <c r="BE199"/>
      <c r="BF199"/>
      <c r="BG199"/>
      <c r="BH199"/>
      <c r="BI199"/>
      <c r="BJ199"/>
      <c r="BK199"/>
      <c r="BL199"/>
      <c r="BM199"/>
      <c r="BN199"/>
      <c r="BO199" s="72">
        <f t="shared" si="131"/>
        <v>0.97457636892795563</v>
      </c>
      <c r="BP199" s="399" t="str">
        <f t="shared" si="125"/>
        <v/>
      </c>
      <c r="BQ199" s="19">
        <f t="shared" si="126"/>
        <v>-999</v>
      </c>
      <c r="BR199" s="19">
        <f t="shared" si="127"/>
        <v>-999</v>
      </c>
      <c r="BS199" s="401">
        <v>150</v>
      </c>
      <c r="BT199" s="72">
        <f t="shared" si="132"/>
        <v>0.84667962789535522</v>
      </c>
      <c r="BU199" s="399" t="str">
        <f t="shared" si="128"/>
        <v/>
      </c>
      <c r="BV199" s="19">
        <f t="shared" si="129"/>
        <v>-999</v>
      </c>
      <c r="BW199" s="19">
        <f t="shared" si="130"/>
        <v>-999</v>
      </c>
      <c r="BY199" s="19">
        <f t="shared" si="121"/>
        <v>78.5</v>
      </c>
      <c r="BZ199" s="19">
        <f t="shared" si="119"/>
        <v>0.36228919676675564</v>
      </c>
      <c r="CA199" s="19">
        <f t="shared" si="120"/>
        <v>0.67297304644383382</v>
      </c>
      <c r="CB199"/>
      <c r="CC199"/>
      <c r="CD199"/>
      <c r="CE199"/>
      <c r="CJ199"/>
      <c r="CK199"/>
      <c r="CL199"/>
      <c r="CM199"/>
      <c r="CN199"/>
    </row>
    <row r="200" spans="14:92" ht="11.25" customHeight="1" x14ac:dyDescent="0.2">
      <c r="N200" s="19">
        <v>90</v>
      </c>
      <c r="O200" s="19">
        <f t="shared" si="122"/>
        <v>891.14499999999555</v>
      </c>
      <c r="P200" s="19">
        <f t="shared" si="123"/>
        <v>691.14499999999555</v>
      </c>
      <c r="Q200"/>
      <c r="R200" s="19">
        <f t="shared" si="124"/>
        <v>491.14500000000061</v>
      </c>
      <c r="S200"/>
      <c r="T200"/>
      <c r="U200"/>
      <c r="V200"/>
      <c r="W200"/>
      <c r="X200"/>
      <c r="Y200"/>
      <c r="Z200" s="19">
        <f t="shared" si="133"/>
        <v>287.12000000000057</v>
      </c>
      <c r="AA200" s="19">
        <f t="shared" si="134"/>
        <v>87.120000000000175</v>
      </c>
      <c r="AB200" s="19" t="e">
        <f t="shared" si="135"/>
        <v>#N/A</v>
      </c>
      <c r="AC200"/>
      <c r="AD200"/>
      <c r="AE200" s="19">
        <v>109</v>
      </c>
      <c r="AG200" s="19">
        <f t="shared" si="104"/>
        <v>1</v>
      </c>
      <c r="AH200" s="19">
        <f t="shared" si="105"/>
        <v>-1</v>
      </c>
      <c r="AI200" s="19">
        <f t="shared" si="106"/>
        <v>15.295000000000002</v>
      </c>
      <c r="AJ200" s="410">
        <f t="shared" si="107"/>
        <v>892.28</v>
      </c>
      <c r="AK200" s="19" t="e">
        <f t="shared" si="108"/>
        <v>#N/A</v>
      </c>
      <c r="AL200" s="19">
        <f t="shared" si="109"/>
        <v>692.28</v>
      </c>
      <c r="AM200" s="19" t="e">
        <f t="shared" si="110"/>
        <v>#N/A</v>
      </c>
      <c r="AN200" s="19">
        <f t="shared" si="111"/>
        <v>492.28</v>
      </c>
      <c r="AO200" s="19" t="e">
        <f t="shared" si="112"/>
        <v>#N/A</v>
      </c>
      <c r="AP200" s="19">
        <f t="shared" si="113"/>
        <v>292.27999999999997</v>
      </c>
      <c r="AQ200" s="19" t="e">
        <f t="shared" si="114"/>
        <v>#N/A</v>
      </c>
      <c r="AR200" s="19">
        <f t="shared" si="115"/>
        <v>92.28</v>
      </c>
      <c r="AS200" s="19" t="e">
        <f t="shared" si="116"/>
        <v>#N/A</v>
      </c>
      <c r="AT200"/>
      <c r="AU200"/>
      <c r="AV200"/>
      <c r="AW200"/>
      <c r="AX200"/>
      <c r="AY200"/>
      <c r="AZ200"/>
      <c r="BA200"/>
      <c r="BB200"/>
      <c r="BC200"/>
      <c r="BD200"/>
      <c r="BE200"/>
      <c r="BF200"/>
      <c r="BG200"/>
      <c r="BH200"/>
      <c r="BI200"/>
      <c r="BJ200"/>
      <c r="BK200"/>
      <c r="BL200"/>
      <c r="BM200"/>
      <c r="BN200"/>
      <c r="BO200" s="72">
        <f t="shared" si="131"/>
        <v>0.35877235233783722</v>
      </c>
      <c r="BP200" s="399" t="str">
        <f t="shared" si="125"/>
        <v/>
      </c>
      <c r="BQ200" s="19">
        <f t="shared" si="126"/>
        <v>-999</v>
      </c>
      <c r="BR200" s="19">
        <f t="shared" si="127"/>
        <v>-999</v>
      </c>
      <c r="BS200" s="401">
        <v>151</v>
      </c>
      <c r="BT200" s="72">
        <f t="shared" si="132"/>
        <v>0.28578871488571167</v>
      </c>
      <c r="BU200" s="399" t="str">
        <f t="shared" si="128"/>
        <v/>
      </c>
      <c r="BV200" s="19">
        <f t="shared" si="129"/>
        <v>-999</v>
      </c>
      <c r="BW200" s="19">
        <f t="shared" si="130"/>
        <v>-999</v>
      </c>
      <c r="BY200" s="19">
        <f t="shared" si="121"/>
        <v>79</v>
      </c>
      <c r="BZ200" s="19">
        <f t="shared" si="119"/>
        <v>0.34950060019975648</v>
      </c>
      <c r="CA200" s="19">
        <f t="shared" si="120"/>
        <v>0.65795910502905974</v>
      </c>
      <c r="CB200"/>
      <c r="CC200"/>
      <c r="CD200"/>
      <c r="CE200"/>
      <c r="CJ200"/>
      <c r="CK200"/>
      <c r="CL200"/>
      <c r="CM200"/>
      <c r="CN200"/>
    </row>
    <row r="201" spans="14:92" ht="11.25" customHeight="1" x14ac:dyDescent="0.2">
      <c r="N201" s="19">
        <v>91</v>
      </c>
      <c r="O201" s="19">
        <f t="shared" si="122"/>
        <v>891.9499999999955</v>
      </c>
      <c r="P201" s="19">
        <f t="shared" si="123"/>
        <v>691.9499999999955</v>
      </c>
      <c r="Q201"/>
      <c r="R201" s="19">
        <f t="shared" si="124"/>
        <v>491.95000000000061</v>
      </c>
      <c r="S201"/>
      <c r="T201"/>
      <c r="U201"/>
      <c r="V201"/>
      <c r="W201"/>
      <c r="X201"/>
      <c r="Y201"/>
      <c r="Z201" s="19">
        <f t="shared" si="133"/>
        <v>287.92500000000058</v>
      </c>
      <c r="AA201" s="19">
        <f t="shared" si="134"/>
        <v>87.925000000000182</v>
      </c>
      <c r="AB201" s="19" t="e">
        <f t="shared" si="135"/>
        <v>#N/A</v>
      </c>
      <c r="AC201"/>
      <c r="AD201"/>
      <c r="AE201" s="19">
        <v>110</v>
      </c>
      <c r="AG201" s="19">
        <f t="shared" si="104"/>
        <v>1</v>
      </c>
      <c r="AH201" s="19">
        <f t="shared" si="105"/>
        <v>1</v>
      </c>
      <c r="AI201" s="19">
        <f t="shared" si="106"/>
        <v>15.295000000000002</v>
      </c>
      <c r="AJ201" s="410">
        <f t="shared" si="107"/>
        <v>907.72</v>
      </c>
      <c r="AK201" s="19" t="e">
        <f t="shared" si="108"/>
        <v>#N/A</v>
      </c>
      <c r="AL201" s="19">
        <f t="shared" si="109"/>
        <v>707.72</v>
      </c>
      <c r="AM201" s="19" t="e">
        <f t="shared" si="110"/>
        <v>#N/A</v>
      </c>
      <c r="AN201" s="19">
        <f t="shared" si="111"/>
        <v>507.72</v>
      </c>
      <c r="AO201" s="19" t="e">
        <f t="shared" si="112"/>
        <v>#N/A</v>
      </c>
      <c r="AP201" s="19">
        <f t="shared" si="113"/>
        <v>307.72000000000003</v>
      </c>
      <c r="AQ201" s="19" t="e">
        <f t="shared" si="114"/>
        <v>#N/A</v>
      </c>
      <c r="AR201" s="19">
        <f t="shared" si="115"/>
        <v>107.72</v>
      </c>
      <c r="AS201" s="19" t="e">
        <f t="shared" si="116"/>
        <v>#N/A</v>
      </c>
      <c r="AT201"/>
      <c r="AU201"/>
      <c r="AV201"/>
      <c r="AW201"/>
      <c r="AX201"/>
      <c r="AY201"/>
      <c r="AZ201"/>
      <c r="BA201"/>
      <c r="BB201"/>
      <c r="BC201"/>
      <c r="BD201"/>
      <c r="BE201"/>
      <c r="BF201"/>
      <c r="BG201"/>
      <c r="BH201"/>
      <c r="BI201"/>
      <c r="BJ201"/>
      <c r="BK201"/>
      <c r="BL201"/>
      <c r="BM201"/>
      <c r="BN201"/>
      <c r="BO201" s="72">
        <f t="shared" si="131"/>
        <v>0.18741895258426666</v>
      </c>
      <c r="BP201" s="399" t="str">
        <f t="shared" si="125"/>
        <v/>
      </c>
      <c r="BQ201" s="19">
        <f t="shared" si="126"/>
        <v>-999</v>
      </c>
      <c r="BR201" s="19">
        <f t="shared" si="127"/>
        <v>-999</v>
      </c>
      <c r="BS201" s="401">
        <v>152</v>
      </c>
      <c r="BT201" s="72">
        <f t="shared" si="132"/>
        <v>0.86411041021347046</v>
      </c>
      <c r="BU201" s="399" t="str">
        <f t="shared" si="128"/>
        <v/>
      </c>
      <c r="BV201" s="19">
        <f t="shared" si="129"/>
        <v>-999</v>
      </c>
      <c r="BW201" s="19">
        <f t="shared" si="130"/>
        <v>-999</v>
      </c>
      <c r="BY201" s="19">
        <f t="shared" si="121"/>
        <v>79.5</v>
      </c>
      <c r="BZ201" s="19">
        <f t="shared" si="119"/>
        <v>0.33695277229782511</v>
      </c>
      <c r="CA201" s="19">
        <f t="shared" si="120"/>
        <v>0.64287819823847203</v>
      </c>
      <c r="CB201"/>
      <c r="CC201"/>
      <c r="CD201"/>
      <c r="CE201"/>
      <c r="CJ201"/>
      <c r="CK201"/>
      <c r="CL201"/>
      <c r="CM201"/>
      <c r="CN201"/>
    </row>
    <row r="202" spans="14:92" ht="11.25" customHeight="1" x14ac:dyDescent="0.2">
      <c r="N202" s="19">
        <v>92</v>
      </c>
      <c r="O202" s="19">
        <f t="shared" si="122"/>
        <v>892.75499999999545</v>
      </c>
      <c r="P202" s="19">
        <f t="shared" si="123"/>
        <v>692.75499999999545</v>
      </c>
      <c r="Q202"/>
      <c r="R202" s="19">
        <f t="shared" si="124"/>
        <v>492.75500000000062</v>
      </c>
      <c r="S202"/>
      <c r="T202"/>
      <c r="U202"/>
      <c r="V202"/>
      <c r="W202"/>
      <c r="X202"/>
      <c r="Y202"/>
      <c r="Z202" s="19">
        <f t="shared" si="133"/>
        <v>288.73000000000059</v>
      </c>
      <c r="AA202" s="19">
        <f t="shared" si="134"/>
        <v>88.730000000000189</v>
      </c>
      <c r="AB202" s="19" t="e">
        <f t="shared" si="135"/>
        <v>#N/A</v>
      </c>
      <c r="AC202"/>
      <c r="AD202"/>
      <c r="AE202" s="19">
        <v>111</v>
      </c>
      <c r="AG202" s="19">
        <f t="shared" si="104"/>
        <v>3</v>
      </c>
      <c r="AH202" s="19">
        <f t="shared" si="105"/>
        <v>-1</v>
      </c>
      <c r="AI202" s="19">
        <f t="shared" si="106"/>
        <v>15.295000000000002</v>
      </c>
      <c r="AJ202" s="410">
        <f t="shared" si="107"/>
        <v>876.84</v>
      </c>
      <c r="AK202" s="19" t="e">
        <f t="shared" si="108"/>
        <v>#N/A</v>
      </c>
      <c r="AL202" s="19">
        <f t="shared" si="109"/>
        <v>676.84</v>
      </c>
      <c r="AM202" s="19" t="e">
        <f t="shared" si="110"/>
        <v>#N/A</v>
      </c>
      <c r="AN202" s="19">
        <f t="shared" si="111"/>
        <v>476.84</v>
      </c>
      <c r="AO202" s="19" t="e">
        <f t="shared" si="112"/>
        <v>#N/A</v>
      </c>
      <c r="AP202" s="19">
        <f t="shared" si="113"/>
        <v>276.83999999999997</v>
      </c>
      <c r="AQ202" s="19" t="e">
        <f t="shared" si="114"/>
        <v>#N/A</v>
      </c>
      <c r="AR202" s="19">
        <f t="shared" si="115"/>
        <v>76.84</v>
      </c>
      <c r="AS202" s="19" t="e">
        <f t="shared" si="116"/>
        <v>#N/A</v>
      </c>
      <c r="AT202"/>
      <c r="AU202"/>
      <c r="AV202"/>
      <c r="AW202"/>
      <c r="AX202"/>
      <c r="AY202"/>
      <c r="AZ202"/>
      <c r="BA202"/>
      <c r="BB202"/>
      <c r="BC202"/>
      <c r="BD202"/>
      <c r="BE202"/>
      <c r="BF202"/>
      <c r="BG202"/>
      <c r="BH202"/>
      <c r="BI202"/>
      <c r="BJ202"/>
      <c r="BK202"/>
      <c r="BL202"/>
      <c r="BM202"/>
      <c r="BN202"/>
      <c r="BO202" s="72">
        <f t="shared" si="131"/>
        <v>0.96228905022144318</v>
      </c>
      <c r="BP202" s="399" t="str">
        <f t="shared" si="125"/>
        <v/>
      </c>
      <c r="BQ202" s="19">
        <f t="shared" si="126"/>
        <v>-999</v>
      </c>
      <c r="BR202" s="19">
        <f t="shared" si="127"/>
        <v>-999</v>
      </c>
      <c r="BS202" s="401">
        <v>153</v>
      </c>
      <c r="BT202" s="72">
        <f t="shared" si="132"/>
        <v>0.33557003736495972</v>
      </c>
      <c r="BU202" s="399" t="str">
        <f t="shared" si="128"/>
        <v/>
      </c>
      <c r="BV202" s="19">
        <f t="shared" si="129"/>
        <v>-999</v>
      </c>
      <c r="BW202" s="19">
        <f t="shared" si="130"/>
        <v>-999</v>
      </c>
      <c r="BY202" s="19">
        <f t="shared" si="121"/>
        <v>80</v>
      </c>
      <c r="BZ202" s="19">
        <f t="shared" si="119"/>
        <v>0.32465246735834968</v>
      </c>
      <c r="CA202" s="19">
        <f t="shared" si="120"/>
        <v>0.6277504902380654</v>
      </c>
      <c r="CB202"/>
      <c r="CC202"/>
      <c r="CD202"/>
      <c r="CE202"/>
      <c r="CJ202"/>
      <c r="CK202"/>
      <c r="CL202"/>
      <c r="CM202"/>
      <c r="CN202"/>
    </row>
    <row r="203" spans="14:92" ht="11.25" customHeight="1" x14ac:dyDescent="0.2">
      <c r="N203" s="19">
        <v>93</v>
      </c>
      <c r="O203" s="19">
        <f t="shared" si="122"/>
        <v>893.5599999999954</v>
      </c>
      <c r="P203" s="19">
        <f t="shared" si="123"/>
        <v>693.5599999999954</v>
      </c>
      <c r="Q203"/>
      <c r="R203" s="19">
        <f t="shared" si="124"/>
        <v>493.56000000000063</v>
      </c>
      <c r="S203"/>
      <c r="T203"/>
      <c r="U203"/>
      <c r="V203"/>
      <c r="W203"/>
      <c r="X203"/>
      <c r="Y203"/>
      <c r="Z203" s="19">
        <f t="shared" si="133"/>
        <v>289.53500000000059</v>
      </c>
      <c r="AA203" s="19">
        <f t="shared" si="134"/>
        <v>89.535000000000196</v>
      </c>
      <c r="AB203" s="19" t="e">
        <f t="shared" si="135"/>
        <v>#N/A</v>
      </c>
      <c r="AC203"/>
      <c r="AD203"/>
      <c r="AE203" s="19">
        <v>112</v>
      </c>
      <c r="AG203" s="19">
        <f t="shared" si="104"/>
        <v>3</v>
      </c>
      <c r="AH203" s="19">
        <f t="shared" si="105"/>
        <v>1</v>
      </c>
      <c r="AI203" s="19">
        <f t="shared" si="106"/>
        <v>15.295000000000002</v>
      </c>
      <c r="AJ203" s="410">
        <f t="shared" si="107"/>
        <v>923.16</v>
      </c>
      <c r="AK203" s="19" t="e">
        <f t="shared" si="108"/>
        <v>#N/A</v>
      </c>
      <c r="AL203" s="19">
        <f t="shared" si="109"/>
        <v>723.16</v>
      </c>
      <c r="AM203" s="19" t="e">
        <f t="shared" si="110"/>
        <v>#N/A</v>
      </c>
      <c r="AN203" s="19">
        <f t="shared" si="111"/>
        <v>523.16</v>
      </c>
      <c r="AO203" s="19" t="e">
        <f t="shared" si="112"/>
        <v>#N/A</v>
      </c>
      <c r="AP203" s="19">
        <f t="shared" si="113"/>
        <v>323.16000000000003</v>
      </c>
      <c r="AQ203" s="19" t="e">
        <f t="shared" si="114"/>
        <v>#N/A</v>
      </c>
      <c r="AR203" s="19">
        <f t="shared" si="115"/>
        <v>123.16</v>
      </c>
      <c r="AS203" s="19" t="e">
        <f t="shared" si="116"/>
        <v>#N/A</v>
      </c>
      <c r="AT203"/>
      <c r="AU203"/>
      <c r="AV203"/>
      <c r="AW203"/>
      <c r="AX203"/>
      <c r="AY203"/>
      <c r="AZ203"/>
      <c r="BA203"/>
      <c r="BB203"/>
      <c r="BC203"/>
      <c r="BD203"/>
      <c r="BE203"/>
      <c r="BF203"/>
      <c r="BG203"/>
      <c r="BH203"/>
      <c r="BI203"/>
      <c r="BJ203"/>
      <c r="BK203"/>
      <c r="BL203"/>
      <c r="BM203"/>
      <c r="BN203"/>
      <c r="BO203" s="72">
        <f t="shared" si="131"/>
        <v>1.1972084641456604E-2</v>
      </c>
      <c r="BP203" s="399" t="str">
        <f t="shared" si="125"/>
        <v/>
      </c>
      <c r="BQ203" s="19">
        <f t="shared" si="126"/>
        <v>-999</v>
      </c>
      <c r="BR203" s="19">
        <f t="shared" si="127"/>
        <v>-999</v>
      </c>
      <c r="BS203" s="401">
        <v>154</v>
      </c>
      <c r="BT203" s="72">
        <f t="shared" si="132"/>
        <v>0.73606008291244507</v>
      </c>
      <c r="BU203" s="399" t="str">
        <f t="shared" si="128"/>
        <v/>
      </c>
      <c r="BV203" s="19">
        <f t="shared" si="129"/>
        <v>-999</v>
      </c>
      <c r="BW203" s="19">
        <f t="shared" si="130"/>
        <v>-999</v>
      </c>
      <c r="BY203" s="19">
        <f t="shared" ref="BY203:BY234" si="136">BY202+$BP$1</f>
        <v>80.5</v>
      </c>
      <c r="BZ203" s="19">
        <f t="shared" si="119"/>
        <v>0.31260573969965544</v>
      </c>
      <c r="CA203" s="19">
        <f t="shared" si="120"/>
        <v>0.61259576363047719</v>
      </c>
      <c r="CB203"/>
      <c r="CC203"/>
      <c r="CD203"/>
      <c r="CE203"/>
      <c r="CJ203"/>
      <c r="CK203"/>
      <c r="CL203"/>
      <c r="CM203"/>
      <c r="CN203"/>
    </row>
    <row r="204" spans="14:92" ht="11.25" customHeight="1" x14ac:dyDescent="0.2">
      <c r="N204" s="19">
        <v>94</v>
      </c>
      <c r="O204" s="19">
        <f t="shared" si="122"/>
        <v>894.36499999999535</v>
      </c>
      <c r="P204" s="19">
        <f t="shared" si="123"/>
        <v>694.36499999999535</v>
      </c>
      <c r="Q204"/>
      <c r="R204" s="19">
        <f t="shared" si="124"/>
        <v>494.36500000000063</v>
      </c>
      <c r="S204"/>
      <c r="T204"/>
      <c r="U204"/>
      <c r="V204"/>
      <c r="W204"/>
      <c r="X204"/>
      <c r="Y204"/>
      <c r="Z204" s="19">
        <f t="shared" si="133"/>
        <v>290.3400000000006</v>
      </c>
      <c r="AA204" s="19">
        <f t="shared" si="134"/>
        <v>90.340000000000202</v>
      </c>
      <c r="AB204" s="19" t="e">
        <f t="shared" si="135"/>
        <v>#N/A</v>
      </c>
      <c r="AC204"/>
      <c r="AD204"/>
      <c r="AE204" s="19">
        <v>113</v>
      </c>
      <c r="AG204" s="19">
        <f t="shared" si="104"/>
        <v>5</v>
      </c>
      <c r="AH204" s="19">
        <f t="shared" si="105"/>
        <v>-1</v>
      </c>
      <c r="AI204" s="19">
        <f t="shared" si="106"/>
        <v>15.295000000000002</v>
      </c>
      <c r="AJ204" s="410">
        <f t="shared" si="107"/>
        <v>861.4</v>
      </c>
      <c r="AK204" s="19" t="e">
        <f t="shared" si="108"/>
        <v>#N/A</v>
      </c>
      <c r="AL204" s="19">
        <f t="shared" si="109"/>
        <v>661.4</v>
      </c>
      <c r="AM204" s="19" t="e">
        <f t="shared" si="110"/>
        <v>#N/A</v>
      </c>
      <c r="AN204" s="19">
        <f t="shared" si="111"/>
        <v>461.4</v>
      </c>
      <c r="AO204" s="19" t="e">
        <f t="shared" si="112"/>
        <v>#N/A</v>
      </c>
      <c r="AP204" s="19">
        <f t="shared" si="113"/>
        <v>261.39999999999998</v>
      </c>
      <c r="AQ204" s="19" t="e">
        <f t="shared" si="114"/>
        <v>#N/A</v>
      </c>
      <c r="AR204" s="19">
        <f t="shared" si="115"/>
        <v>61.4</v>
      </c>
      <c r="AS204" s="19" t="e">
        <f t="shared" si="116"/>
        <v>#N/A</v>
      </c>
      <c r="AT204"/>
      <c r="AU204"/>
      <c r="AV204"/>
      <c r="AW204"/>
      <c r="AX204"/>
      <c r="AY204"/>
      <c r="AZ204"/>
      <c r="BA204"/>
      <c r="BB204"/>
      <c r="BC204"/>
      <c r="BD204"/>
      <c r="BE204"/>
      <c r="BF204"/>
      <c r="BG204"/>
      <c r="BH204"/>
      <c r="BI204"/>
      <c r="BJ204"/>
      <c r="BK204"/>
      <c r="BL204"/>
      <c r="BM204"/>
      <c r="BN204"/>
      <c r="BO204" s="72">
        <f t="shared" si="131"/>
        <v>2.0516663789749146E-3</v>
      </c>
      <c r="BP204" s="399" t="str">
        <f t="shared" si="125"/>
        <v/>
      </c>
      <c r="BQ204" s="19">
        <f t="shared" si="126"/>
        <v>-999</v>
      </c>
      <c r="BR204" s="19">
        <f t="shared" si="127"/>
        <v>-999</v>
      </c>
      <c r="BS204" s="401">
        <v>155</v>
      </c>
      <c r="BT204" s="72">
        <f t="shared" si="132"/>
        <v>0.39790552854537964</v>
      </c>
      <c r="BU204" s="399" t="str">
        <f t="shared" si="128"/>
        <v/>
      </c>
      <c r="BV204" s="19">
        <f t="shared" si="129"/>
        <v>-999</v>
      </c>
      <c r="BW204" s="19">
        <f t="shared" si="130"/>
        <v>-999</v>
      </c>
      <c r="BY204" s="19">
        <f t="shared" si="136"/>
        <v>81</v>
      </c>
      <c r="BZ204" s="19">
        <f t="shared" si="119"/>
        <v>0.30081795435727543</v>
      </c>
      <c r="CA204" s="19">
        <f t="shared" si="120"/>
        <v>0.59743337958225962</v>
      </c>
      <c r="CB204"/>
      <c r="CC204"/>
      <c r="CD204"/>
      <c r="CE204"/>
      <c r="CJ204"/>
      <c r="CK204"/>
      <c r="CL204"/>
      <c r="CM204"/>
      <c r="CN204"/>
    </row>
    <row r="205" spans="14:92" ht="11.25" customHeight="1" x14ac:dyDescent="0.2">
      <c r="N205" s="19">
        <v>95</v>
      </c>
      <c r="O205" s="19">
        <f t="shared" si="122"/>
        <v>895.1699999999953</v>
      </c>
      <c r="P205" s="19">
        <f t="shared" si="123"/>
        <v>695.1699999999953</v>
      </c>
      <c r="Q205"/>
      <c r="R205" s="19">
        <f t="shared" si="124"/>
        <v>495.17000000000064</v>
      </c>
      <c r="S205"/>
      <c r="T205"/>
      <c r="U205"/>
      <c r="V205"/>
      <c r="W205"/>
      <c r="X205"/>
      <c r="Y205"/>
      <c r="Z205" s="19">
        <f t="shared" si="133"/>
        <v>291.14500000000061</v>
      </c>
      <c r="AA205" s="19">
        <f t="shared" si="134"/>
        <v>91.145000000000209</v>
      </c>
      <c r="AB205" s="19" t="e">
        <f t="shared" si="135"/>
        <v>#N/A</v>
      </c>
      <c r="AC205"/>
      <c r="AD205"/>
      <c r="AE205" s="19">
        <v>114</v>
      </c>
      <c r="AG205" s="19">
        <f t="shared" si="104"/>
        <v>5</v>
      </c>
      <c r="AH205" s="19">
        <f t="shared" si="105"/>
        <v>1</v>
      </c>
      <c r="AI205" s="19">
        <f t="shared" si="106"/>
        <v>15.295000000000002</v>
      </c>
      <c r="AJ205" s="410">
        <f t="shared" si="107"/>
        <v>938.6</v>
      </c>
      <c r="AK205" s="19" t="e">
        <f t="shared" si="108"/>
        <v>#N/A</v>
      </c>
      <c r="AL205" s="19">
        <f t="shared" si="109"/>
        <v>738.6</v>
      </c>
      <c r="AM205" s="19" t="e">
        <f t="shared" si="110"/>
        <v>#N/A</v>
      </c>
      <c r="AN205" s="19">
        <f t="shared" si="111"/>
        <v>538.6</v>
      </c>
      <c r="AO205" s="19" t="e">
        <f t="shared" si="112"/>
        <v>#N/A</v>
      </c>
      <c r="AP205" s="19">
        <f t="shared" si="113"/>
        <v>338.6</v>
      </c>
      <c r="AQ205" s="19" t="e">
        <f t="shared" si="114"/>
        <v>#N/A</v>
      </c>
      <c r="AR205" s="19">
        <f t="shared" si="115"/>
        <v>138.6</v>
      </c>
      <c r="AS205" s="19" t="e">
        <f t="shared" si="116"/>
        <v>#N/A</v>
      </c>
      <c r="AT205"/>
      <c r="AU205"/>
      <c r="AV205"/>
      <c r="AW205"/>
      <c r="AX205"/>
      <c r="AY205"/>
      <c r="AZ205"/>
      <c r="BA205"/>
      <c r="BB205"/>
      <c r="BC205"/>
      <c r="BD205"/>
      <c r="BE205"/>
      <c r="BF205"/>
      <c r="BG205"/>
      <c r="BH205"/>
      <c r="BI205"/>
      <c r="BJ205"/>
      <c r="BK205"/>
      <c r="BL205"/>
      <c r="BM205"/>
      <c r="BN205"/>
      <c r="BO205" s="72">
        <f t="shared" si="131"/>
        <v>0.6904614120721817</v>
      </c>
      <c r="BP205" s="399" t="str">
        <f t="shared" si="125"/>
        <v/>
      </c>
      <c r="BQ205" s="19">
        <f t="shared" si="126"/>
        <v>-999</v>
      </c>
      <c r="BR205" s="19">
        <f t="shared" si="127"/>
        <v>-999</v>
      </c>
      <c r="BS205" s="401">
        <v>156</v>
      </c>
      <c r="BT205" s="72">
        <f t="shared" si="132"/>
        <v>0.45822566747665405</v>
      </c>
      <c r="BU205" s="399" t="str">
        <f t="shared" si="128"/>
        <v/>
      </c>
      <c r="BV205" s="19">
        <f t="shared" si="129"/>
        <v>-999</v>
      </c>
      <c r="BW205" s="19">
        <f t="shared" si="130"/>
        <v>-999</v>
      </c>
      <c r="BY205" s="19">
        <f t="shared" si="136"/>
        <v>81.5</v>
      </c>
      <c r="BZ205" s="19">
        <f t="shared" si="119"/>
        <v>0.28929379949956169</v>
      </c>
      <c r="CA205" s="19">
        <f t="shared" si="120"/>
        <v>0.58228224020181329</v>
      </c>
      <c r="CB205"/>
      <c r="CC205"/>
      <c r="CD205"/>
      <c r="CE205"/>
      <c r="CJ205"/>
      <c r="CK205"/>
      <c r="CL205"/>
      <c r="CM205"/>
      <c r="CN205"/>
    </row>
    <row r="206" spans="14:92" ht="11.25" customHeight="1" x14ac:dyDescent="0.2">
      <c r="N206" s="19">
        <v>96</v>
      </c>
      <c r="O206" s="19">
        <f t="shared" si="122"/>
        <v>895.97499999999525</v>
      </c>
      <c r="P206" s="19">
        <f t="shared" si="123"/>
        <v>695.97499999999525</v>
      </c>
      <c r="Q206"/>
      <c r="R206" s="19">
        <f t="shared" si="124"/>
        <v>495.97500000000065</v>
      </c>
      <c r="S206"/>
      <c r="T206"/>
      <c r="U206"/>
      <c r="V206"/>
      <c r="W206"/>
      <c r="X206"/>
      <c r="Y206"/>
      <c r="Z206" s="19">
        <f t="shared" si="133"/>
        <v>291.95000000000061</v>
      </c>
      <c r="AA206" s="19">
        <f t="shared" si="134"/>
        <v>91.950000000000216</v>
      </c>
      <c r="AB206" s="19" t="e">
        <f t="shared" si="135"/>
        <v>#N/A</v>
      </c>
      <c r="AC206"/>
      <c r="AD206"/>
      <c r="AE206" s="19">
        <v>115</v>
      </c>
      <c r="AG206" s="19">
        <f t="shared" si="104"/>
        <v>7</v>
      </c>
      <c r="AH206" s="19">
        <f t="shared" si="105"/>
        <v>-1</v>
      </c>
      <c r="AI206" s="19">
        <f t="shared" si="106"/>
        <v>15.295000000000002</v>
      </c>
      <c r="AJ206" s="410">
        <f t="shared" si="107"/>
        <v>845.96</v>
      </c>
      <c r="AK206" s="19" t="e">
        <f t="shared" si="108"/>
        <v>#N/A</v>
      </c>
      <c r="AL206" s="19">
        <f t="shared" si="109"/>
        <v>645.96</v>
      </c>
      <c r="AM206" s="19" t="e">
        <f t="shared" si="110"/>
        <v>#N/A</v>
      </c>
      <c r="AN206" s="19">
        <f t="shared" si="111"/>
        <v>445.96</v>
      </c>
      <c r="AO206" s="19" t="e">
        <f t="shared" si="112"/>
        <v>#N/A</v>
      </c>
      <c r="AP206" s="19">
        <f t="shared" si="113"/>
        <v>245.96</v>
      </c>
      <c r="AQ206" s="19" t="e">
        <f t="shared" si="114"/>
        <v>#N/A</v>
      </c>
      <c r="AR206" s="19">
        <f t="shared" si="115"/>
        <v>45.96</v>
      </c>
      <c r="AS206" s="19" t="e">
        <f t="shared" si="116"/>
        <v>#N/A</v>
      </c>
      <c r="AT206"/>
      <c r="AU206"/>
      <c r="AV206"/>
      <c r="AW206"/>
      <c r="AX206"/>
      <c r="AY206"/>
      <c r="AZ206"/>
      <c r="BA206"/>
      <c r="BB206"/>
      <c r="BC206"/>
      <c r="BD206"/>
      <c r="BE206"/>
      <c r="BF206"/>
      <c r="BG206"/>
      <c r="BH206"/>
      <c r="BI206"/>
      <c r="BJ206"/>
      <c r="BK206"/>
      <c r="BL206"/>
      <c r="BM206"/>
      <c r="BN206"/>
      <c r="BO206" s="72">
        <f t="shared" si="131"/>
        <v>9.6720173954963684E-2</v>
      </c>
      <c r="BP206" s="399" t="str">
        <f t="shared" si="125"/>
        <v/>
      </c>
      <c r="BQ206" s="19">
        <f t="shared" si="126"/>
        <v>-999</v>
      </c>
      <c r="BR206" s="19">
        <f t="shared" si="127"/>
        <v>-999</v>
      </c>
      <c r="BS206" s="401">
        <v>157</v>
      </c>
      <c r="BT206" s="72">
        <f t="shared" si="132"/>
        <v>0.63170021772384644</v>
      </c>
      <c r="BU206" s="399" t="str">
        <f t="shared" si="128"/>
        <v/>
      </c>
      <c r="BV206" s="19">
        <f t="shared" si="129"/>
        <v>-999</v>
      </c>
      <c r="BW206" s="19">
        <f t="shared" si="130"/>
        <v>-999</v>
      </c>
      <c r="BY206" s="19">
        <f t="shared" si="136"/>
        <v>82</v>
      </c>
      <c r="BZ206" s="19">
        <f t="shared" si="119"/>
        <v>0.27803730045319408</v>
      </c>
      <c r="CA206" s="19">
        <f t="shared" si="120"/>
        <v>0.56716075325294446</v>
      </c>
      <c r="CB206"/>
      <c r="CC206"/>
      <c r="CD206"/>
      <c r="CE206"/>
      <c r="CJ206"/>
      <c r="CK206"/>
      <c r="CL206"/>
      <c r="CM206"/>
      <c r="CN206"/>
    </row>
    <row r="207" spans="14:92" ht="11.25" customHeight="1" x14ac:dyDescent="0.2">
      <c r="N207" s="19">
        <v>97</v>
      </c>
      <c r="O207" s="19">
        <f t="shared" si="122"/>
        <v>896.7799999999952</v>
      </c>
      <c r="P207" s="19">
        <f t="shared" si="123"/>
        <v>696.7799999999952</v>
      </c>
      <c r="Q207"/>
      <c r="R207" s="19">
        <f t="shared" si="124"/>
        <v>496.78000000000065</v>
      </c>
      <c r="S207"/>
      <c r="T207"/>
      <c r="U207"/>
      <c r="V207"/>
      <c r="W207"/>
      <c r="X207"/>
      <c r="Y207"/>
      <c r="Z207" s="19">
        <f t="shared" si="133"/>
        <v>292.75500000000062</v>
      </c>
      <c r="AA207" s="19">
        <f t="shared" si="134"/>
        <v>92.755000000000223</v>
      </c>
      <c r="AB207" s="19" t="e">
        <f t="shared" si="135"/>
        <v>#N/A</v>
      </c>
      <c r="AC207"/>
      <c r="AD207"/>
      <c r="AE207" s="19">
        <v>116</v>
      </c>
      <c r="AG207" s="19">
        <f t="shared" si="104"/>
        <v>7</v>
      </c>
      <c r="AH207" s="19">
        <f t="shared" si="105"/>
        <v>1</v>
      </c>
      <c r="AI207" s="19">
        <f t="shared" si="106"/>
        <v>15.295000000000002</v>
      </c>
      <c r="AJ207" s="410">
        <f t="shared" si="107"/>
        <v>954.04</v>
      </c>
      <c r="AK207" s="19" t="e">
        <f t="shared" si="108"/>
        <v>#N/A</v>
      </c>
      <c r="AL207" s="19">
        <f t="shared" si="109"/>
        <v>754.04</v>
      </c>
      <c r="AM207" s="19" t="e">
        <f t="shared" si="110"/>
        <v>#N/A</v>
      </c>
      <c r="AN207" s="19">
        <f t="shared" si="111"/>
        <v>554.04</v>
      </c>
      <c r="AO207" s="19" t="e">
        <f t="shared" si="112"/>
        <v>#N/A</v>
      </c>
      <c r="AP207" s="19">
        <f t="shared" si="113"/>
        <v>354.04</v>
      </c>
      <c r="AQ207" s="19" t="e">
        <f t="shared" si="114"/>
        <v>#N/A</v>
      </c>
      <c r="AR207" s="19">
        <f t="shared" si="115"/>
        <v>154.04</v>
      </c>
      <c r="AS207" s="19" t="e">
        <f t="shared" si="116"/>
        <v>#N/A</v>
      </c>
      <c r="AT207"/>
      <c r="AU207"/>
      <c r="AV207"/>
      <c r="AW207"/>
      <c r="AX207"/>
      <c r="AY207"/>
      <c r="AZ207"/>
      <c r="BA207"/>
      <c r="BB207"/>
      <c r="BC207"/>
      <c r="BD207"/>
      <c r="BE207"/>
      <c r="BF207"/>
      <c r="BG207"/>
      <c r="BH207"/>
      <c r="BI207"/>
      <c r="BJ207"/>
      <c r="BK207"/>
      <c r="BL207"/>
      <c r="BM207"/>
      <c r="BN207"/>
      <c r="BO207" s="72">
        <f t="shared" si="131"/>
        <v>0.99691189825534821</v>
      </c>
      <c r="BP207" s="399" t="str">
        <f t="shared" si="125"/>
        <v/>
      </c>
      <c r="BQ207" s="19">
        <f t="shared" si="126"/>
        <v>-999</v>
      </c>
      <c r="BR207" s="19">
        <f t="shared" si="127"/>
        <v>-999</v>
      </c>
      <c r="BS207" s="401">
        <v>158</v>
      </c>
      <c r="BT207" s="72">
        <f t="shared" si="132"/>
        <v>0.38934129476547241</v>
      </c>
      <c r="BU207" s="399" t="str">
        <f t="shared" si="128"/>
        <v/>
      </c>
      <c r="BV207" s="19">
        <f t="shared" si="129"/>
        <v>-999</v>
      </c>
      <c r="BW207" s="19">
        <f t="shared" si="130"/>
        <v>-999</v>
      </c>
      <c r="BY207" s="19">
        <f t="shared" si="136"/>
        <v>82.5</v>
      </c>
      <c r="BZ207" s="19">
        <f t="shared" si="119"/>
        <v>0.26705183522634335</v>
      </c>
      <c r="CA207" s="19">
        <f t="shared" si="120"/>
        <v>0.55208679927684678</v>
      </c>
      <c r="CB207"/>
      <c r="CC207"/>
      <c r="CD207"/>
      <c r="CE207"/>
      <c r="CJ207"/>
      <c r="CK207"/>
      <c r="CL207"/>
      <c r="CM207"/>
      <c r="CN207"/>
    </row>
    <row r="208" spans="14:92" ht="11.25" customHeight="1" x14ac:dyDescent="0.2">
      <c r="N208" s="19">
        <v>98</v>
      </c>
      <c r="O208" s="19">
        <f t="shared" ref="O208:O239" si="137">O207+$P$108</f>
        <v>897.58499999999515</v>
      </c>
      <c r="P208" s="19">
        <f t="shared" ref="P208:P239" si="138">P207+$P$108</f>
        <v>697.58499999999515</v>
      </c>
      <c r="Q208"/>
      <c r="R208" s="19">
        <f t="shared" ref="R208:R239" si="139">R207+$P$108</f>
        <v>497.58500000000066</v>
      </c>
      <c r="S208"/>
      <c r="T208"/>
      <c r="U208"/>
      <c r="V208"/>
      <c r="W208"/>
      <c r="X208"/>
      <c r="Y208"/>
      <c r="Z208" s="19">
        <f t="shared" si="133"/>
        <v>293.56000000000063</v>
      </c>
      <c r="AA208" s="19">
        <f t="shared" si="134"/>
        <v>93.56000000000023</v>
      </c>
      <c r="AB208" s="19" t="e">
        <f t="shared" si="135"/>
        <v>#N/A</v>
      </c>
      <c r="AC208"/>
      <c r="AD208"/>
      <c r="AE208" s="19">
        <v>117</v>
      </c>
      <c r="AG208" s="19">
        <f t="shared" si="104"/>
        <v>9</v>
      </c>
      <c r="AH208" s="19">
        <f t="shared" si="105"/>
        <v>-1</v>
      </c>
      <c r="AI208" s="19">
        <f t="shared" si="106"/>
        <v>15.295000000000002</v>
      </c>
      <c r="AJ208" s="410">
        <f t="shared" si="107"/>
        <v>830.52</v>
      </c>
      <c r="AK208" s="19" t="e">
        <f t="shared" si="108"/>
        <v>#N/A</v>
      </c>
      <c r="AL208" s="19">
        <f t="shared" si="109"/>
        <v>630.52</v>
      </c>
      <c r="AM208" s="19" t="e">
        <f t="shared" si="110"/>
        <v>#N/A</v>
      </c>
      <c r="AN208" s="19">
        <f t="shared" si="111"/>
        <v>430.52</v>
      </c>
      <c r="AO208" s="19" t="e">
        <f t="shared" si="112"/>
        <v>#N/A</v>
      </c>
      <c r="AP208" s="19">
        <f t="shared" si="113"/>
        <v>230.51999999999998</v>
      </c>
      <c r="AQ208" s="19" t="e">
        <f t="shared" si="114"/>
        <v>#N/A</v>
      </c>
      <c r="AR208" s="19">
        <f t="shared" si="115"/>
        <v>30.519999999999996</v>
      </c>
      <c r="AS208" s="19" t="e">
        <f t="shared" si="116"/>
        <v>#N/A</v>
      </c>
      <c r="AT208"/>
      <c r="AU208"/>
      <c r="AV208"/>
      <c r="AW208"/>
      <c r="AX208"/>
      <c r="AY208"/>
      <c r="AZ208"/>
      <c r="BA208"/>
      <c r="BB208"/>
      <c r="BC208"/>
      <c r="BD208"/>
      <c r="BE208"/>
      <c r="BF208"/>
      <c r="BG208"/>
      <c r="BH208"/>
      <c r="BI208"/>
      <c r="BJ208"/>
      <c r="BK208"/>
      <c r="BL208"/>
      <c r="BM208"/>
      <c r="BN208"/>
      <c r="BO208" s="72">
        <f t="shared" si="131"/>
        <v>0.94240815937519073</v>
      </c>
      <c r="BP208" s="399" t="str">
        <f t="shared" si="125"/>
        <v/>
      </c>
      <c r="BQ208" s="19">
        <f t="shared" si="126"/>
        <v>-999</v>
      </c>
      <c r="BR208" s="19">
        <f t="shared" si="127"/>
        <v>-999</v>
      </c>
      <c r="BS208" s="401">
        <v>159</v>
      </c>
      <c r="BT208" s="72">
        <f t="shared" si="132"/>
        <v>9.0915560722351074E-3</v>
      </c>
      <c r="BU208" s="399" t="str">
        <f t="shared" si="128"/>
        <v/>
      </c>
      <c r="BV208" s="19">
        <f t="shared" si="129"/>
        <v>-999</v>
      </c>
      <c r="BW208" s="19">
        <f t="shared" si="130"/>
        <v>-999</v>
      </c>
      <c r="BY208" s="19">
        <f t="shared" si="136"/>
        <v>83</v>
      </c>
      <c r="BZ208" s="19">
        <f t="shared" si="119"/>
        <v>0.25634015141507366</v>
      </c>
      <c r="CA208" s="19">
        <f t="shared" si="120"/>
        <v>0.53707770118308917</v>
      </c>
      <c r="CB208"/>
      <c r="CC208"/>
      <c r="CD208"/>
      <c r="CE208"/>
      <c r="CJ208"/>
      <c r="CK208"/>
      <c r="CL208"/>
      <c r="CM208"/>
      <c r="CN208"/>
    </row>
    <row r="209" spans="14:92" ht="11.25" customHeight="1" x14ac:dyDescent="0.2">
      <c r="N209" s="19">
        <v>99</v>
      </c>
      <c r="O209" s="19">
        <f t="shared" si="137"/>
        <v>898.3899999999951</v>
      </c>
      <c r="P209" s="19">
        <f t="shared" si="138"/>
        <v>698.3899999999951</v>
      </c>
      <c r="Q209"/>
      <c r="R209" s="19">
        <f t="shared" si="139"/>
        <v>498.39000000000067</v>
      </c>
      <c r="S209"/>
      <c r="T209"/>
      <c r="U209"/>
      <c r="V209"/>
      <c r="W209"/>
      <c r="X209"/>
      <c r="Y209"/>
      <c r="Z209" s="19">
        <f t="shared" si="133"/>
        <v>294.36500000000063</v>
      </c>
      <c r="AA209" s="19">
        <f t="shared" si="134"/>
        <v>94.365000000000236</v>
      </c>
      <c r="AB209" s="19" t="e">
        <f t="shared" si="135"/>
        <v>#N/A</v>
      </c>
      <c r="AC209"/>
      <c r="AD209"/>
      <c r="AE209" s="19">
        <v>118</v>
      </c>
      <c r="AG209" s="19">
        <f t="shared" si="104"/>
        <v>9</v>
      </c>
      <c r="AH209" s="19">
        <f t="shared" si="105"/>
        <v>1</v>
      </c>
      <c r="AI209" s="19">
        <f t="shared" si="106"/>
        <v>15.295000000000002</v>
      </c>
      <c r="AJ209" s="410">
        <f t="shared" si="107"/>
        <v>969.48</v>
      </c>
      <c r="AK209" s="19" t="e">
        <f t="shared" si="108"/>
        <v>#N/A</v>
      </c>
      <c r="AL209" s="19">
        <f t="shared" si="109"/>
        <v>769.48</v>
      </c>
      <c r="AM209" s="19" t="e">
        <f t="shared" si="110"/>
        <v>#N/A</v>
      </c>
      <c r="AN209" s="19">
        <f t="shared" si="111"/>
        <v>569.48</v>
      </c>
      <c r="AO209" s="19" t="e">
        <f t="shared" si="112"/>
        <v>#N/A</v>
      </c>
      <c r="AP209" s="19">
        <f t="shared" si="113"/>
        <v>369.48</v>
      </c>
      <c r="AQ209" s="19" t="e">
        <f t="shared" si="114"/>
        <v>#N/A</v>
      </c>
      <c r="AR209" s="19">
        <f t="shared" si="115"/>
        <v>169.48000000000002</v>
      </c>
      <c r="AS209" s="19" t="e">
        <f t="shared" si="116"/>
        <v>#N/A</v>
      </c>
      <c r="AT209"/>
      <c r="AU209"/>
      <c r="AV209"/>
      <c r="AW209"/>
      <c r="AX209"/>
      <c r="AY209"/>
      <c r="AZ209"/>
      <c r="BA209"/>
      <c r="BB209"/>
      <c r="BC209"/>
      <c r="BD209"/>
      <c r="BE209"/>
      <c r="BF209"/>
      <c r="BG209"/>
      <c r="BH209"/>
      <c r="BI209"/>
      <c r="BJ209"/>
      <c r="BK209"/>
      <c r="BL209"/>
      <c r="BM209"/>
      <c r="BN209"/>
      <c r="BO209" s="72">
        <f t="shared" si="131"/>
        <v>0.84505797922611237</v>
      </c>
      <c r="BP209" s="399" t="str">
        <f t="shared" si="125"/>
        <v/>
      </c>
      <c r="BQ209" s="19">
        <f t="shared" si="126"/>
        <v>-999</v>
      </c>
      <c r="BR209" s="19">
        <f t="shared" si="127"/>
        <v>-999</v>
      </c>
      <c r="BS209" s="401">
        <v>160</v>
      </c>
      <c r="BT209" s="72">
        <f t="shared" si="132"/>
        <v>0.67891258001327515</v>
      </c>
      <c r="BU209" s="399" t="str">
        <f t="shared" si="128"/>
        <v/>
      </c>
      <c r="BV209" s="19">
        <f t="shared" si="129"/>
        <v>-999</v>
      </c>
      <c r="BW209" s="19">
        <f t="shared" si="130"/>
        <v>-999</v>
      </c>
      <c r="BY209" s="19">
        <f t="shared" si="136"/>
        <v>83.5</v>
      </c>
      <c r="BZ209" s="19">
        <f t="shared" si="119"/>
        <v>0.24590438437706763</v>
      </c>
      <c r="CA209" s="19">
        <f t="shared" si="120"/>
        <v>0.52215019635797977</v>
      </c>
      <c r="CB209"/>
      <c r="CC209"/>
      <c r="CD209"/>
      <c r="CE209"/>
      <c r="CJ209"/>
      <c r="CK209"/>
      <c r="CL209"/>
      <c r="CM209"/>
      <c r="CN209"/>
    </row>
    <row r="210" spans="14:92" ht="11.25" customHeight="1" x14ac:dyDescent="0.2">
      <c r="N210" s="19">
        <v>100</v>
      </c>
      <c r="O210" s="19">
        <f t="shared" si="137"/>
        <v>899.19499999999505</v>
      </c>
      <c r="P210" s="19">
        <f t="shared" si="138"/>
        <v>699.19499999999505</v>
      </c>
      <c r="Q210"/>
      <c r="R210" s="19">
        <f t="shared" si="139"/>
        <v>499.19500000000068</v>
      </c>
      <c r="S210"/>
      <c r="T210"/>
      <c r="U210"/>
      <c r="V210"/>
      <c r="W210"/>
      <c r="X210"/>
      <c r="Y210"/>
      <c r="Z210" s="19">
        <f t="shared" si="133"/>
        <v>295.17000000000064</v>
      </c>
      <c r="AA210" s="19">
        <f t="shared" si="134"/>
        <v>95.170000000000243</v>
      </c>
      <c r="AB210" s="19" t="e">
        <f t="shared" si="135"/>
        <v>#N/A</v>
      </c>
      <c r="AC210"/>
      <c r="AD210"/>
      <c r="AE210" s="19">
        <v>119</v>
      </c>
      <c r="AG210" s="19">
        <f t="shared" si="104"/>
        <v>11</v>
      </c>
      <c r="AH210" s="19">
        <f t="shared" si="105"/>
        <v>-1</v>
      </c>
      <c r="AI210" s="19">
        <f t="shared" si="106"/>
        <v>15.295000000000002</v>
      </c>
      <c r="AJ210" s="410">
        <f t="shared" si="107"/>
        <v>815.08</v>
      </c>
      <c r="AK210" s="19" t="e">
        <f t="shared" si="108"/>
        <v>#N/A</v>
      </c>
      <c r="AL210" s="19">
        <f t="shared" si="109"/>
        <v>615.08000000000004</v>
      </c>
      <c r="AM210" s="19" t="e">
        <f t="shared" si="110"/>
        <v>#N/A</v>
      </c>
      <c r="AN210" s="19">
        <f t="shared" si="111"/>
        <v>415.08</v>
      </c>
      <c r="AO210" s="19" t="e">
        <f t="shared" si="112"/>
        <v>#N/A</v>
      </c>
      <c r="AP210" s="19">
        <f t="shared" si="113"/>
        <v>215.07999999999998</v>
      </c>
      <c r="AQ210" s="19" t="e">
        <f t="shared" si="114"/>
        <v>#N/A</v>
      </c>
      <c r="AR210" s="19">
        <f t="shared" si="115"/>
        <v>15.079999999999998</v>
      </c>
      <c r="AS210" s="19" t="e">
        <f t="shared" si="116"/>
        <v>#N/A</v>
      </c>
      <c r="AT210"/>
      <c r="AU210"/>
      <c r="AV210"/>
      <c r="AW210"/>
      <c r="AX210"/>
      <c r="AY210"/>
      <c r="AZ210"/>
      <c r="BA210"/>
      <c r="BB210"/>
      <c r="BC210"/>
      <c r="BD210"/>
      <c r="BE210"/>
      <c r="BF210"/>
      <c r="BG210"/>
      <c r="BH210"/>
      <c r="BI210"/>
      <c r="BJ210"/>
      <c r="BK210"/>
      <c r="BL210"/>
      <c r="BM210"/>
      <c r="BN210"/>
      <c r="BO210" s="72">
        <f t="shared" si="131"/>
        <v>0.77801485359668732</v>
      </c>
      <c r="BP210" s="399" t="str">
        <f t="shared" ref="BP210:BP241" si="140">IF(AND($BR$7,$BS210&lt;=$U$10),$J$6+$J$5*NORMSINV(BO210),"")</f>
        <v/>
      </c>
      <c r="BQ210" s="19">
        <f t="shared" ref="BQ210:BQ241" si="141">IF(AND($BR$2,BP210&lt;&gt;"",$G$4&lt;&gt;""),BP210,-999)</f>
        <v>-999</v>
      </c>
      <c r="BR210" s="19">
        <f t="shared" ref="BR210:BR241" si="142">IF(BQ210=-999,-999,2)</f>
        <v>-999</v>
      </c>
      <c r="BS210" s="401">
        <v>161</v>
      </c>
      <c r="BT210" s="72">
        <f t="shared" si="132"/>
        <v>0.62599629163742065</v>
      </c>
      <c r="BU210" s="399" t="str">
        <f t="shared" ref="BU210:BU241" si="143">IF(AND($BR$7,$BS210&lt;=$U$10),$J$4+$J$5*NORMSINV(BT210),"")</f>
        <v/>
      </c>
      <c r="BV210" s="19">
        <f t="shared" ref="BV210:BV241" si="144">IF(AND($BR$2,BU210&lt;&gt;"",$G$4&lt;&gt;""),BU210,-999)</f>
        <v>-999</v>
      </c>
      <c r="BW210" s="19">
        <f t="shared" ref="BW210:BW241" si="145">IF(BV210=-999,-999,0)</f>
        <v>-999</v>
      </c>
      <c r="BY210" s="19">
        <f t="shared" si="136"/>
        <v>84</v>
      </c>
      <c r="BZ210" s="19">
        <f t="shared" si="119"/>
        <v>0.23574607655586352</v>
      </c>
      <c r="CA210" s="19">
        <f t="shared" si="120"/>
        <v>0.50732041132655181</v>
      </c>
      <c r="CB210"/>
      <c r="CC210"/>
      <c r="CD210"/>
      <c r="CE210"/>
      <c r="CJ210"/>
      <c r="CK210"/>
      <c r="CL210"/>
      <c r="CM210"/>
      <c r="CN210"/>
    </row>
    <row r="211" spans="14:92" ht="11.25" customHeight="1" x14ac:dyDescent="0.2">
      <c r="N211" s="19">
        <v>101</v>
      </c>
      <c r="O211" s="19">
        <f t="shared" si="137"/>
        <v>899.999999999995</v>
      </c>
      <c r="P211" s="19">
        <f t="shared" si="138"/>
        <v>699.999999999995</v>
      </c>
      <c r="Q211"/>
      <c r="R211" s="19">
        <f t="shared" si="139"/>
        <v>500.00000000000068</v>
      </c>
      <c r="S211"/>
      <c r="T211"/>
      <c r="U211"/>
      <c r="V211"/>
      <c r="W211"/>
      <c r="X211"/>
      <c r="Y211"/>
      <c r="Z211" s="19">
        <f t="shared" si="133"/>
        <v>295.97500000000065</v>
      </c>
      <c r="AA211" s="19">
        <f t="shared" si="134"/>
        <v>95.97500000000025</v>
      </c>
      <c r="AB211" s="19" t="e">
        <f t="shared" si="135"/>
        <v>#N/A</v>
      </c>
      <c r="AC211"/>
      <c r="AD211"/>
      <c r="AE211" s="19">
        <v>120</v>
      </c>
      <c r="AG211" s="19">
        <f t="shared" si="104"/>
        <v>11</v>
      </c>
      <c r="AH211" s="19">
        <f t="shared" si="105"/>
        <v>1</v>
      </c>
      <c r="AI211" s="19">
        <f t="shared" si="106"/>
        <v>15.295000000000002</v>
      </c>
      <c r="AJ211" s="410">
        <f t="shared" si="107"/>
        <v>984.92</v>
      </c>
      <c r="AK211" s="19" t="e">
        <f t="shared" si="108"/>
        <v>#N/A</v>
      </c>
      <c r="AL211" s="19">
        <f t="shared" si="109"/>
        <v>784.92</v>
      </c>
      <c r="AM211" s="19" t="e">
        <f t="shared" si="110"/>
        <v>#N/A</v>
      </c>
      <c r="AN211" s="19">
        <f t="shared" si="111"/>
        <v>584.91999999999996</v>
      </c>
      <c r="AO211" s="19" t="e">
        <f t="shared" si="112"/>
        <v>#N/A</v>
      </c>
      <c r="AP211" s="19">
        <f t="shared" si="113"/>
        <v>384.92</v>
      </c>
      <c r="AQ211" s="19" t="e">
        <f t="shared" si="114"/>
        <v>#N/A</v>
      </c>
      <c r="AR211" s="19">
        <f t="shared" si="115"/>
        <v>184.92000000000002</v>
      </c>
      <c r="AS211" s="19" t="e">
        <f t="shared" si="116"/>
        <v>#N/A</v>
      </c>
      <c r="AT211"/>
      <c r="AU211"/>
      <c r="AV211"/>
      <c r="AW211"/>
      <c r="AX211"/>
      <c r="AY211"/>
      <c r="AZ211"/>
      <c r="BA211"/>
      <c r="BB211"/>
      <c r="BC211"/>
      <c r="BD211"/>
      <c r="BE211"/>
      <c r="BF211"/>
      <c r="BG211"/>
      <c r="BH211"/>
      <c r="BI211"/>
      <c r="BJ211"/>
      <c r="BK211"/>
      <c r="BL211"/>
      <c r="BM211"/>
      <c r="BN211"/>
      <c r="BO211" s="72">
        <f t="shared" ref="BO211:BO242" si="146">MOD(BO210*10000013,1)</f>
        <v>0.65015996992588043</v>
      </c>
      <c r="BP211" s="399" t="str">
        <f t="shared" si="140"/>
        <v/>
      </c>
      <c r="BQ211" s="19">
        <f t="shared" si="141"/>
        <v>-999</v>
      </c>
      <c r="BR211" s="19">
        <f t="shared" si="142"/>
        <v>-999</v>
      </c>
      <c r="BS211" s="401">
        <v>162</v>
      </c>
      <c r="BT211" s="72">
        <f t="shared" ref="BT211:BT242" si="147">MOD(BT210*10000013,1)</f>
        <v>5.4325997829437256E-2</v>
      </c>
      <c r="BU211" s="399" t="str">
        <f t="shared" si="143"/>
        <v/>
      </c>
      <c r="BV211" s="19">
        <f t="shared" si="144"/>
        <v>-999</v>
      </c>
      <c r="BW211" s="19">
        <f t="shared" si="145"/>
        <v>-999</v>
      </c>
      <c r="BY211" s="19">
        <f t="shared" si="136"/>
        <v>84.5</v>
      </c>
      <c r="BZ211" s="19">
        <f t="shared" si="119"/>
        <v>0.22586619783851439</v>
      </c>
      <c r="CA211" s="19">
        <f t="shared" si="120"/>
        <v>0.49260383899242072</v>
      </c>
      <c r="CB211"/>
      <c r="CC211"/>
      <c r="CD211"/>
      <c r="CE211"/>
      <c r="CJ211"/>
      <c r="CK211"/>
      <c r="CL211"/>
      <c r="CM211"/>
      <c r="CN211"/>
    </row>
    <row r="212" spans="14:92" ht="11.25" customHeight="1" x14ac:dyDescent="0.2">
      <c r="N212" s="19">
        <v>102</v>
      </c>
      <c r="O212" s="19">
        <f t="shared" si="137"/>
        <v>900.80499999999495</v>
      </c>
      <c r="P212" s="19">
        <f t="shared" si="138"/>
        <v>700.80499999999495</v>
      </c>
      <c r="Q212"/>
      <c r="R212" s="19">
        <f t="shared" si="139"/>
        <v>500.80500000000069</v>
      </c>
      <c r="S212"/>
      <c r="T212"/>
      <c r="U212"/>
      <c r="V212"/>
      <c r="W212"/>
      <c r="X212"/>
      <c r="Y212"/>
      <c r="Z212" s="19">
        <f t="shared" si="133"/>
        <v>296.78000000000065</v>
      </c>
      <c r="AA212" s="19">
        <f t="shared" si="134"/>
        <v>96.780000000000257</v>
      </c>
      <c r="AB212" s="19" t="e">
        <f t="shared" si="135"/>
        <v>#N/A</v>
      </c>
      <c r="AC212"/>
      <c r="AD212"/>
      <c r="AE212" s="19">
        <v>121</v>
      </c>
      <c r="AG212" s="19">
        <f t="shared" si="104"/>
        <v>1</v>
      </c>
      <c r="AH212" s="19">
        <f t="shared" si="105"/>
        <v>-1</v>
      </c>
      <c r="AI212" s="19">
        <f t="shared" si="106"/>
        <v>16.905000000000001</v>
      </c>
      <c r="AJ212" s="410">
        <f t="shared" si="107"/>
        <v>892.28</v>
      </c>
      <c r="AK212" s="19" t="e">
        <f t="shared" si="108"/>
        <v>#N/A</v>
      </c>
      <c r="AL212" s="19">
        <f t="shared" si="109"/>
        <v>692.28</v>
      </c>
      <c r="AM212" s="19" t="e">
        <f t="shared" si="110"/>
        <v>#N/A</v>
      </c>
      <c r="AN212" s="19">
        <f t="shared" si="111"/>
        <v>492.28</v>
      </c>
      <c r="AO212" s="19" t="e">
        <f t="shared" si="112"/>
        <v>#N/A</v>
      </c>
      <c r="AP212" s="19">
        <f t="shared" si="113"/>
        <v>292.27999999999997</v>
      </c>
      <c r="AQ212" s="19" t="e">
        <f t="shared" si="114"/>
        <v>#N/A</v>
      </c>
      <c r="AR212" s="19">
        <f t="shared" si="115"/>
        <v>92.28</v>
      </c>
      <c r="AS212" s="19" t="e">
        <f t="shared" si="116"/>
        <v>#N/A</v>
      </c>
      <c r="AT212"/>
      <c r="AU212"/>
      <c r="AV212"/>
      <c r="AW212"/>
      <c r="AX212"/>
      <c r="AY212"/>
      <c r="AZ212"/>
      <c r="BA212"/>
      <c r="BB212"/>
      <c r="BC212"/>
      <c r="BD212"/>
      <c r="BE212"/>
      <c r="BF212"/>
      <c r="BG212"/>
      <c r="BH212"/>
      <c r="BI212"/>
      <c r="BJ212"/>
      <c r="BK212"/>
      <c r="BL212"/>
      <c r="BM212"/>
      <c r="BN212"/>
      <c r="BO212" s="72">
        <f t="shared" si="146"/>
        <v>0.15133841335773468</v>
      </c>
      <c r="BP212" s="399" t="str">
        <f t="shared" si="140"/>
        <v/>
      </c>
      <c r="BQ212" s="19">
        <f t="shared" si="141"/>
        <v>-999</v>
      </c>
      <c r="BR212" s="19">
        <f t="shared" si="142"/>
        <v>-999</v>
      </c>
      <c r="BS212" s="401">
        <v>163</v>
      </c>
      <c r="BT212" s="72">
        <f t="shared" si="147"/>
        <v>0.68453234434127808</v>
      </c>
      <c r="BU212" s="399" t="str">
        <f t="shared" si="143"/>
        <v/>
      </c>
      <c r="BV212" s="19">
        <f t="shared" si="144"/>
        <v>-999</v>
      </c>
      <c r="BW212" s="19">
        <f t="shared" si="145"/>
        <v>-999</v>
      </c>
      <c r="BY212" s="19">
        <f t="shared" si="136"/>
        <v>85</v>
      </c>
      <c r="BZ212" s="19">
        <f t="shared" si="119"/>
        <v>0.21626516682988725</v>
      </c>
      <c r="CA212" s="19">
        <f t="shared" si="120"/>
        <v>0.47801531846799589</v>
      </c>
      <c r="CB212"/>
      <c r="CC212"/>
      <c r="CD212"/>
      <c r="CE212"/>
      <c r="CJ212"/>
      <c r="CK212"/>
      <c r="CL212"/>
      <c r="CM212"/>
      <c r="CN212"/>
    </row>
    <row r="213" spans="14:92" ht="11.25" customHeight="1" x14ac:dyDescent="0.2">
      <c r="N213" s="19">
        <v>103</v>
      </c>
      <c r="O213" s="19">
        <f t="shared" si="137"/>
        <v>901.6099999999949</v>
      </c>
      <c r="P213" s="19">
        <f t="shared" si="138"/>
        <v>701.6099999999949</v>
      </c>
      <c r="Q213"/>
      <c r="R213" s="19">
        <f t="shared" si="139"/>
        <v>501.6100000000007</v>
      </c>
      <c r="S213"/>
      <c r="T213"/>
      <c r="U213"/>
      <c r="V213"/>
      <c r="W213"/>
      <c r="X213"/>
      <c r="Y213"/>
      <c r="Z213" s="19">
        <f t="shared" ref="Z213:Z244" si="148">Z212+$P$108</f>
        <v>297.58500000000066</v>
      </c>
      <c r="AA213" s="19">
        <f t="shared" ref="AA213:AA244" si="149">AA212+$P$108</f>
        <v>97.585000000000264</v>
      </c>
      <c r="AB213" s="19" t="e">
        <f t="shared" ref="AB213:AB244" si="150">AB212</f>
        <v>#N/A</v>
      </c>
      <c r="AC213"/>
      <c r="AD213"/>
      <c r="AE213" s="19">
        <v>122</v>
      </c>
      <c r="AG213" s="19">
        <f t="shared" si="104"/>
        <v>1</v>
      </c>
      <c r="AH213" s="19">
        <f t="shared" si="105"/>
        <v>1</v>
      </c>
      <c r="AI213" s="19">
        <f t="shared" si="106"/>
        <v>16.905000000000001</v>
      </c>
      <c r="AJ213" s="410">
        <f t="shared" si="107"/>
        <v>907.72</v>
      </c>
      <c r="AK213" s="19" t="e">
        <f t="shared" si="108"/>
        <v>#N/A</v>
      </c>
      <c r="AL213" s="19">
        <f t="shared" si="109"/>
        <v>707.72</v>
      </c>
      <c r="AM213" s="19" t="e">
        <f t="shared" si="110"/>
        <v>#N/A</v>
      </c>
      <c r="AN213" s="19">
        <f t="shared" si="111"/>
        <v>507.72</v>
      </c>
      <c r="AO213" s="19" t="e">
        <f t="shared" si="112"/>
        <v>#N/A</v>
      </c>
      <c r="AP213" s="19">
        <f t="shared" si="113"/>
        <v>307.72000000000003</v>
      </c>
      <c r="AQ213" s="19" t="e">
        <f t="shared" si="114"/>
        <v>#N/A</v>
      </c>
      <c r="AR213" s="19">
        <f t="shared" si="115"/>
        <v>107.72</v>
      </c>
      <c r="AS213" s="19" t="e">
        <f t="shared" si="116"/>
        <v>#N/A</v>
      </c>
      <c r="AT213"/>
      <c r="AU213"/>
      <c r="AV213"/>
      <c r="AW213"/>
      <c r="AX213"/>
      <c r="AY213"/>
      <c r="AZ213"/>
      <c r="BA213"/>
      <c r="BB213"/>
      <c r="BC213"/>
      <c r="BD213"/>
      <c r="BE213"/>
      <c r="BF213"/>
      <c r="BG213"/>
      <c r="BH213"/>
      <c r="BI213"/>
      <c r="BJ213"/>
      <c r="BK213"/>
      <c r="BL213"/>
      <c r="BM213"/>
      <c r="BN213"/>
      <c r="BO213" s="72">
        <f t="shared" si="146"/>
        <v>0.10097672045230865</v>
      </c>
      <c r="BP213" s="399" t="str">
        <f t="shared" si="140"/>
        <v/>
      </c>
      <c r="BQ213" s="19">
        <f t="shared" si="141"/>
        <v>-999</v>
      </c>
      <c r="BR213" s="19">
        <f t="shared" si="142"/>
        <v>-999</v>
      </c>
      <c r="BS213" s="401">
        <v>164</v>
      </c>
      <c r="BT213" s="72">
        <f t="shared" si="147"/>
        <v>0.34233325719833374</v>
      </c>
      <c r="BU213" s="399" t="str">
        <f t="shared" si="143"/>
        <v/>
      </c>
      <c r="BV213" s="19">
        <f t="shared" si="144"/>
        <v>-999</v>
      </c>
      <c r="BW213" s="19">
        <f t="shared" si="145"/>
        <v>-999</v>
      </c>
      <c r="BY213" s="19">
        <f t="shared" si="136"/>
        <v>85.5</v>
      </c>
      <c r="BZ213" s="19">
        <f t="shared" si="119"/>
        <v>0.20694287292767763</v>
      </c>
      <c r="CA213" s="19">
        <f t="shared" si="120"/>
        <v>0.4635690174959986</v>
      </c>
      <c r="CB213"/>
      <c r="CC213"/>
      <c r="CD213"/>
      <c r="CE213"/>
      <c r="CJ213"/>
      <c r="CK213"/>
      <c r="CL213"/>
      <c r="CM213"/>
      <c r="CN213"/>
    </row>
    <row r="214" spans="14:92" ht="11.25" customHeight="1" x14ac:dyDescent="0.2">
      <c r="N214" s="19">
        <v>104</v>
      </c>
      <c r="O214" s="19">
        <f t="shared" si="137"/>
        <v>902.41499999999485</v>
      </c>
      <c r="P214" s="19">
        <f t="shared" si="138"/>
        <v>702.41499999999485</v>
      </c>
      <c r="Q214"/>
      <c r="R214" s="19">
        <f t="shared" si="139"/>
        <v>502.4150000000007</v>
      </c>
      <c r="S214"/>
      <c r="T214"/>
      <c r="U214"/>
      <c r="V214"/>
      <c r="W214"/>
      <c r="X214"/>
      <c r="Y214"/>
      <c r="Z214" s="19">
        <f t="shared" si="148"/>
        <v>298.39000000000067</v>
      </c>
      <c r="AA214" s="19">
        <f t="shared" si="149"/>
        <v>98.390000000000271</v>
      </c>
      <c r="AB214" s="19" t="e">
        <f t="shared" si="150"/>
        <v>#N/A</v>
      </c>
      <c r="AC214"/>
      <c r="AD214"/>
      <c r="AE214" s="19">
        <v>123</v>
      </c>
      <c r="AG214" s="19">
        <f t="shared" si="104"/>
        <v>3</v>
      </c>
      <c r="AH214" s="19">
        <f t="shared" si="105"/>
        <v>-1</v>
      </c>
      <c r="AI214" s="19">
        <f t="shared" si="106"/>
        <v>16.905000000000001</v>
      </c>
      <c r="AJ214" s="410">
        <f t="shared" si="107"/>
        <v>876.84</v>
      </c>
      <c r="AK214" s="19" t="e">
        <f t="shared" si="108"/>
        <v>#N/A</v>
      </c>
      <c r="AL214" s="19">
        <f t="shared" si="109"/>
        <v>676.84</v>
      </c>
      <c r="AM214" s="19" t="e">
        <f t="shared" si="110"/>
        <v>#N/A</v>
      </c>
      <c r="AN214" s="19">
        <f t="shared" si="111"/>
        <v>476.84</v>
      </c>
      <c r="AO214" s="19" t="e">
        <f t="shared" si="112"/>
        <v>#N/A</v>
      </c>
      <c r="AP214" s="19">
        <f t="shared" si="113"/>
        <v>276.83999999999997</v>
      </c>
      <c r="AQ214" s="19" t="e">
        <f t="shared" si="114"/>
        <v>#N/A</v>
      </c>
      <c r="AR214" s="19">
        <f t="shared" si="115"/>
        <v>76.84</v>
      </c>
      <c r="AS214" s="19" t="e">
        <f t="shared" si="116"/>
        <v>#N/A</v>
      </c>
      <c r="AT214"/>
      <c r="AU214"/>
      <c r="AV214"/>
      <c r="AW214"/>
      <c r="AX214"/>
      <c r="AY214"/>
      <c r="AZ214"/>
      <c r="BA214"/>
      <c r="BB214"/>
      <c r="BC214"/>
      <c r="BD214"/>
      <c r="BE214"/>
      <c r="BF214"/>
      <c r="BG214"/>
      <c r="BH214"/>
      <c r="BI214"/>
      <c r="BJ214"/>
      <c r="BK214"/>
      <c r="BL214"/>
      <c r="BM214"/>
      <c r="BN214"/>
      <c r="BO214" s="72">
        <f t="shared" si="146"/>
        <v>0.51722045242786407</v>
      </c>
      <c r="BP214" s="399" t="str">
        <f t="shared" si="140"/>
        <v/>
      </c>
      <c r="BQ214" s="19">
        <f t="shared" si="141"/>
        <v>-999</v>
      </c>
      <c r="BR214" s="19">
        <f t="shared" si="142"/>
        <v>-999</v>
      </c>
      <c r="BS214" s="401">
        <v>165</v>
      </c>
      <c r="BT214" s="72">
        <f t="shared" si="147"/>
        <v>2.2315680980682373E-2</v>
      </c>
      <c r="BU214" s="399" t="str">
        <f t="shared" si="143"/>
        <v/>
      </c>
      <c r="BV214" s="19">
        <f t="shared" si="144"/>
        <v>-999</v>
      </c>
      <c r="BW214" s="19">
        <f t="shared" si="145"/>
        <v>-999</v>
      </c>
      <c r="BY214" s="19">
        <f t="shared" si="136"/>
        <v>86</v>
      </c>
      <c r="BZ214" s="19">
        <f t="shared" si="119"/>
        <v>0.1978986990836146</v>
      </c>
      <c r="CA214" s="19">
        <f t="shared" si="120"/>
        <v>0.4492784174520616</v>
      </c>
      <c r="CB214"/>
      <c r="CC214"/>
      <c r="CD214"/>
      <c r="CE214"/>
      <c r="CJ214"/>
      <c r="CK214"/>
      <c r="CL214"/>
      <c r="CM214"/>
      <c r="CN214"/>
    </row>
    <row r="215" spans="14:92" ht="11.25" customHeight="1" x14ac:dyDescent="0.2">
      <c r="N215" s="19">
        <v>105</v>
      </c>
      <c r="O215" s="19">
        <f t="shared" si="137"/>
        <v>903.2199999999948</v>
      </c>
      <c r="P215" s="19">
        <f t="shared" si="138"/>
        <v>703.2199999999948</v>
      </c>
      <c r="Q215"/>
      <c r="R215" s="19">
        <f t="shared" si="139"/>
        <v>503.22000000000071</v>
      </c>
      <c r="S215"/>
      <c r="T215"/>
      <c r="U215"/>
      <c r="V215"/>
      <c r="W215"/>
      <c r="X215"/>
      <c r="Y215"/>
      <c r="Z215" s="19">
        <f t="shared" si="148"/>
        <v>299.19500000000068</v>
      </c>
      <c r="AA215" s="19">
        <f t="shared" si="149"/>
        <v>99.195000000000277</v>
      </c>
      <c r="AB215" s="19" t="e">
        <f t="shared" si="150"/>
        <v>#N/A</v>
      </c>
      <c r="AC215"/>
      <c r="AD215"/>
      <c r="AE215" s="19">
        <v>124</v>
      </c>
      <c r="AG215" s="19">
        <f t="shared" si="104"/>
        <v>3</v>
      </c>
      <c r="AH215" s="19">
        <f t="shared" si="105"/>
        <v>1</v>
      </c>
      <c r="AI215" s="19">
        <f t="shared" si="106"/>
        <v>16.905000000000001</v>
      </c>
      <c r="AJ215" s="410">
        <f t="shared" si="107"/>
        <v>923.16</v>
      </c>
      <c r="AK215" s="19" t="e">
        <f t="shared" si="108"/>
        <v>#N/A</v>
      </c>
      <c r="AL215" s="19">
        <f t="shared" si="109"/>
        <v>723.16</v>
      </c>
      <c r="AM215" s="19" t="e">
        <f t="shared" si="110"/>
        <v>#N/A</v>
      </c>
      <c r="AN215" s="19">
        <f t="shared" si="111"/>
        <v>523.16</v>
      </c>
      <c r="AO215" s="19" t="e">
        <f t="shared" si="112"/>
        <v>#N/A</v>
      </c>
      <c r="AP215" s="19">
        <f t="shared" si="113"/>
        <v>323.16000000000003</v>
      </c>
      <c r="AQ215" s="19" t="e">
        <f t="shared" si="114"/>
        <v>#N/A</v>
      </c>
      <c r="AR215" s="19">
        <f t="shared" si="115"/>
        <v>123.16</v>
      </c>
      <c r="AS215" s="19" t="e">
        <f t="shared" si="116"/>
        <v>#N/A</v>
      </c>
      <c r="AT215"/>
      <c r="AU215"/>
      <c r="AV215"/>
      <c r="AW215"/>
      <c r="AX215"/>
      <c r="AY215"/>
      <c r="AZ215"/>
      <c r="BA215"/>
      <c r="BB215"/>
      <c r="BC215"/>
      <c r="BD215"/>
      <c r="BE215"/>
      <c r="BF215"/>
      <c r="BG215"/>
      <c r="BH215"/>
      <c r="BI215"/>
      <c r="BJ215"/>
      <c r="BK215"/>
      <c r="BL215"/>
      <c r="BM215"/>
      <c r="BN215"/>
      <c r="BO215" s="72">
        <f t="shared" si="146"/>
        <v>0.24814452230930328</v>
      </c>
      <c r="BP215" s="399" t="str">
        <f t="shared" si="140"/>
        <v/>
      </c>
      <c r="BQ215" s="19">
        <f t="shared" si="141"/>
        <v>-999</v>
      </c>
      <c r="BR215" s="19">
        <f t="shared" si="142"/>
        <v>-999</v>
      </c>
      <c r="BS215" s="401">
        <v>166</v>
      </c>
      <c r="BT215" s="72">
        <f t="shared" si="147"/>
        <v>9.99106764793396E-2</v>
      </c>
      <c r="BU215" s="399" t="str">
        <f t="shared" si="143"/>
        <v/>
      </c>
      <c r="BV215" s="19">
        <f t="shared" si="144"/>
        <v>-999</v>
      </c>
      <c r="BW215" s="19">
        <f t="shared" si="145"/>
        <v>-999</v>
      </c>
      <c r="BY215" s="19">
        <f t="shared" si="136"/>
        <v>86.5</v>
      </c>
      <c r="BZ215" s="19">
        <f t="shared" si="119"/>
        <v>0.18913154513822555</v>
      </c>
      <c r="CA215" s="19">
        <f t="shared" si="120"/>
        <v>0.43515630090735696</v>
      </c>
      <c r="CB215"/>
      <c r="CC215"/>
      <c r="CD215"/>
      <c r="CE215"/>
      <c r="CJ215"/>
      <c r="CK215"/>
      <c r="CL215"/>
      <c r="CM215"/>
      <c r="CN215"/>
    </row>
    <row r="216" spans="14:92" ht="11.25" customHeight="1" x14ac:dyDescent="0.2">
      <c r="N216" s="19">
        <v>106</v>
      </c>
      <c r="O216" s="19">
        <f t="shared" si="137"/>
        <v>904.02499999999475</v>
      </c>
      <c r="P216" s="19">
        <f t="shared" si="138"/>
        <v>704.02499999999475</v>
      </c>
      <c r="Q216"/>
      <c r="R216" s="19">
        <f t="shared" si="139"/>
        <v>504.02500000000072</v>
      </c>
      <c r="S216"/>
      <c r="T216"/>
      <c r="U216"/>
      <c r="V216"/>
      <c r="W216"/>
      <c r="X216"/>
      <c r="Y216"/>
      <c r="Z216" s="19">
        <f t="shared" si="148"/>
        <v>300.00000000000068</v>
      </c>
      <c r="AA216" s="19">
        <f t="shared" si="149"/>
        <v>100.00000000000028</v>
      </c>
      <c r="AB216" s="19" t="e">
        <f t="shared" si="150"/>
        <v>#N/A</v>
      </c>
      <c r="AC216"/>
      <c r="AD216"/>
      <c r="AE216" s="19">
        <v>125</v>
      </c>
      <c r="AG216" s="19">
        <f t="shared" si="104"/>
        <v>5</v>
      </c>
      <c r="AH216" s="19">
        <f t="shared" si="105"/>
        <v>-1</v>
      </c>
      <c r="AI216" s="19">
        <f t="shared" si="106"/>
        <v>16.905000000000001</v>
      </c>
      <c r="AJ216" s="410">
        <f t="shared" si="107"/>
        <v>861.4</v>
      </c>
      <c r="AK216" s="19" t="e">
        <f t="shared" si="108"/>
        <v>#N/A</v>
      </c>
      <c r="AL216" s="19">
        <f t="shared" si="109"/>
        <v>661.4</v>
      </c>
      <c r="AM216" s="19" t="e">
        <f t="shared" si="110"/>
        <v>#N/A</v>
      </c>
      <c r="AN216" s="19">
        <f t="shared" si="111"/>
        <v>461.4</v>
      </c>
      <c r="AO216" s="19" t="e">
        <f t="shared" si="112"/>
        <v>#N/A</v>
      </c>
      <c r="AP216" s="19">
        <f t="shared" si="113"/>
        <v>261.39999999999998</v>
      </c>
      <c r="AQ216" s="19" t="e">
        <f t="shared" si="114"/>
        <v>#N/A</v>
      </c>
      <c r="AR216" s="19">
        <f t="shared" si="115"/>
        <v>61.4</v>
      </c>
      <c r="AS216" s="19" t="e">
        <f t="shared" si="116"/>
        <v>#N/A</v>
      </c>
      <c r="AT216"/>
      <c r="AU216"/>
      <c r="AV216"/>
      <c r="AW216"/>
      <c r="AX216"/>
      <c r="AY216"/>
      <c r="AZ216"/>
      <c r="BA216"/>
      <c r="BB216"/>
      <c r="BC216"/>
      <c r="BD216"/>
      <c r="BE216"/>
      <c r="BF216"/>
      <c r="BG216"/>
      <c r="BH216"/>
      <c r="BI216"/>
      <c r="BJ216"/>
      <c r="BK216"/>
      <c r="BL216"/>
      <c r="BM216"/>
      <c r="BN216"/>
      <c r="BO216" s="72">
        <f t="shared" si="146"/>
        <v>0.44897182285785675</v>
      </c>
      <c r="BP216" s="399" t="str">
        <f t="shared" si="140"/>
        <v/>
      </c>
      <c r="BQ216" s="19">
        <f t="shared" si="141"/>
        <v>-999</v>
      </c>
      <c r="BR216" s="19">
        <f t="shared" si="142"/>
        <v>-999</v>
      </c>
      <c r="BS216" s="401">
        <v>167</v>
      </c>
      <c r="BT216" s="72">
        <f t="shared" si="147"/>
        <v>6.3632190227508545E-2</v>
      </c>
      <c r="BU216" s="399" t="str">
        <f t="shared" si="143"/>
        <v/>
      </c>
      <c r="BV216" s="19">
        <f t="shared" si="144"/>
        <v>-999</v>
      </c>
      <c r="BW216" s="19">
        <f t="shared" si="145"/>
        <v>-999</v>
      </c>
      <c r="BY216" s="19">
        <f t="shared" si="136"/>
        <v>87</v>
      </c>
      <c r="BZ216" s="19">
        <f t="shared" si="119"/>
        <v>0.18063985161889395</v>
      </c>
      <c r="CA216" s="19">
        <f t="shared" si="120"/>
        <v>0.42121474171980899</v>
      </c>
      <c r="CB216"/>
      <c r="CC216"/>
      <c r="CD216"/>
      <c r="CE216"/>
      <c r="CJ216"/>
      <c r="CK216"/>
      <c r="CL216"/>
      <c r="CM216"/>
      <c r="CN216"/>
    </row>
    <row r="217" spans="14:92" ht="11.25" customHeight="1" x14ac:dyDescent="0.2">
      <c r="N217" s="19">
        <v>107</v>
      </c>
      <c r="O217" s="19">
        <f t="shared" si="137"/>
        <v>904.8299999999947</v>
      </c>
      <c r="P217" s="19">
        <f t="shared" si="138"/>
        <v>704.8299999999947</v>
      </c>
      <c r="Q217"/>
      <c r="R217" s="19">
        <f t="shared" si="139"/>
        <v>504.83000000000072</v>
      </c>
      <c r="S217"/>
      <c r="T217"/>
      <c r="U217"/>
      <c r="V217"/>
      <c r="W217"/>
      <c r="X217"/>
      <c r="Y217"/>
      <c r="Z217" s="19">
        <f t="shared" si="148"/>
        <v>300.80500000000069</v>
      </c>
      <c r="AA217" s="19">
        <f t="shared" si="149"/>
        <v>100.80500000000029</v>
      </c>
      <c r="AB217" s="19" t="e">
        <f t="shared" si="150"/>
        <v>#N/A</v>
      </c>
      <c r="AC217"/>
      <c r="AD217"/>
      <c r="AE217" s="19">
        <v>126</v>
      </c>
      <c r="AG217" s="19">
        <f t="shared" si="104"/>
        <v>5</v>
      </c>
      <c r="AH217" s="19">
        <f t="shared" si="105"/>
        <v>1</v>
      </c>
      <c r="AI217" s="19">
        <f t="shared" si="106"/>
        <v>16.905000000000001</v>
      </c>
      <c r="AJ217" s="410">
        <f t="shared" si="107"/>
        <v>938.6</v>
      </c>
      <c r="AK217" s="19" t="e">
        <f t="shared" si="108"/>
        <v>#N/A</v>
      </c>
      <c r="AL217" s="19">
        <f t="shared" si="109"/>
        <v>738.6</v>
      </c>
      <c r="AM217" s="19" t="e">
        <f t="shared" si="110"/>
        <v>#N/A</v>
      </c>
      <c r="AN217" s="19">
        <f t="shared" si="111"/>
        <v>538.6</v>
      </c>
      <c r="AO217" s="19" t="e">
        <f t="shared" si="112"/>
        <v>#N/A</v>
      </c>
      <c r="AP217" s="19">
        <f t="shared" si="113"/>
        <v>338.6</v>
      </c>
      <c r="AQ217" s="19" t="e">
        <f t="shared" si="114"/>
        <v>#N/A</v>
      </c>
      <c r="AR217" s="19">
        <f t="shared" si="115"/>
        <v>138.6</v>
      </c>
      <c r="AS217" s="19" t="e">
        <f t="shared" si="116"/>
        <v>#N/A</v>
      </c>
      <c r="AT217"/>
      <c r="AU217"/>
      <c r="AV217"/>
      <c r="AW217"/>
      <c r="AX217"/>
      <c r="AY217"/>
      <c r="AZ217"/>
      <c r="BA217"/>
      <c r="BB217"/>
      <c r="BC217"/>
      <c r="BD217"/>
      <c r="BE217"/>
      <c r="BF217"/>
      <c r="BG217"/>
      <c r="BH217"/>
      <c r="BI217"/>
      <c r="BJ217"/>
      <c r="BK217"/>
      <c r="BL217"/>
      <c r="BM217"/>
      <c r="BN217"/>
      <c r="BO217" s="72">
        <f t="shared" si="146"/>
        <v>6.5212264657020569E-2</v>
      </c>
      <c r="BP217" s="399" t="str">
        <f t="shared" si="140"/>
        <v/>
      </c>
      <c r="BQ217" s="19">
        <f t="shared" si="141"/>
        <v>-999</v>
      </c>
      <c r="BR217" s="19">
        <f t="shared" si="142"/>
        <v>-999</v>
      </c>
      <c r="BS217" s="401">
        <v>168</v>
      </c>
      <c r="BT217" s="72">
        <f t="shared" si="147"/>
        <v>0.72949355840682983</v>
      </c>
      <c r="BU217" s="399" t="str">
        <f t="shared" si="143"/>
        <v/>
      </c>
      <c r="BV217" s="19">
        <f t="shared" si="144"/>
        <v>-999</v>
      </c>
      <c r="BW217" s="19">
        <f t="shared" si="145"/>
        <v>-999</v>
      </c>
      <c r="BY217" s="19">
        <f t="shared" si="136"/>
        <v>87.5</v>
      </c>
      <c r="BZ217" s="19">
        <f t="shared" si="119"/>
        <v>0.17242162389375279</v>
      </c>
      <c r="CA217" s="19">
        <f t="shared" si="120"/>
        <v>0.40746509761252764</v>
      </c>
      <c r="CB217"/>
      <c r="CC217"/>
      <c r="CD217"/>
      <c r="CE217"/>
      <c r="CJ217"/>
      <c r="CK217"/>
      <c r="CL217"/>
      <c r="CM217"/>
      <c r="CN217"/>
    </row>
    <row r="218" spans="14:92" ht="11.25" customHeight="1" x14ac:dyDescent="0.2">
      <c r="N218" s="19">
        <v>108</v>
      </c>
      <c r="O218" s="19">
        <f t="shared" si="137"/>
        <v>905.63499999999465</v>
      </c>
      <c r="P218" s="19">
        <f t="shared" si="138"/>
        <v>705.63499999999465</v>
      </c>
      <c r="Q218"/>
      <c r="R218" s="19">
        <f t="shared" si="139"/>
        <v>505.63500000000073</v>
      </c>
      <c r="S218"/>
      <c r="T218"/>
      <c r="U218"/>
      <c r="V218"/>
      <c r="W218"/>
      <c r="X218"/>
      <c r="Y218"/>
      <c r="Z218" s="19">
        <f t="shared" si="148"/>
        <v>301.6100000000007</v>
      </c>
      <c r="AA218" s="19">
        <f t="shared" si="149"/>
        <v>101.6100000000003</v>
      </c>
      <c r="AB218" s="19" t="e">
        <f t="shared" si="150"/>
        <v>#N/A</v>
      </c>
      <c r="AC218"/>
      <c r="AD218"/>
      <c r="AE218" s="19">
        <v>127</v>
      </c>
      <c r="AG218" s="19">
        <f t="shared" si="104"/>
        <v>7</v>
      </c>
      <c r="AH218" s="19">
        <f t="shared" si="105"/>
        <v>-1</v>
      </c>
      <c r="AI218" s="19">
        <f t="shared" si="106"/>
        <v>16.905000000000001</v>
      </c>
      <c r="AJ218" s="410">
        <f t="shared" si="107"/>
        <v>845.96</v>
      </c>
      <c r="AK218" s="19" t="e">
        <f t="shared" si="108"/>
        <v>#N/A</v>
      </c>
      <c r="AL218" s="19">
        <f t="shared" si="109"/>
        <v>645.96</v>
      </c>
      <c r="AM218" s="19" t="e">
        <f t="shared" si="110"/>
        <v>#N/A</v>
      </c>
      <c r="AN218" s="19">
        <f t="shared" si="111"/>
        <v>445.96</v>
      </c>
      <c r="AO218" s="19" t="e">
        <f t="shared" si="112"/>
        <v>#N/A</v>
      </c>
      <c r="AP218" s="19">
        <f t="shared" si="113"/>
        <v>245.96</v>
      </c>
      <c r="AQ218" s="19" t="e">
        <f t="shared" si="114"/>
        <v>#N/A</v>
      </c>
      <c r="AR218" s="19">
        <f t="shared" si="115"/>
        <v>45.96</v>
      </c>
      <c r="AS218" s="19" t="e">
        <f t="shared" si="116"/>
        <v>#N/A</v>
      </c>
      <c r="AT218"/>
      <c r="AU218"/>
      <c r="AV218"/>
      <c r="AW218"/>
      <c r="AX218"/>
      <c r="AY218"/>
      <c r="AZ218"/>
      <c r="BA218"/>
      <c r="BB218"/>
      <c r="BC218"/>
      <c r="BD218"/>
      <c r="BE218"/>
      <c r="BF218"/>
      <c r="BG218"/>
      <c r="BH218"/>
      <c r="BI218"/>
      <c r="BJ218"/>
      <c r="BK218"/>
      <c r="BL218"/>
      <c r="BM218"/>
      <c r="BN218"/>
      <c r="BO218" s="72">
        <f t="shared" si="146"/>
        <v>0.49432964622974396</v>
      </c>
      <c r="BP218" s="399" t="str">
        <f t="shared" si="140"/>
        <v/>
      </c>
      <c r="BQ218" s="19">
        <f t="shared" si="141"/>
        <v>-999</v>
      </c>
      <c r="BR218" s="19">
        <f t="shared" si="142"/>
        <v>-999</v>
      </c>
      <c r="BS218" s="401">
        <v>169</v>
      </c>
      <c r="BT218" s="72">
        <f t="shared" si="147"/>
        <v>6.7484557628631592E-2</v>
      </c>
      <c r="BU218" s="399" t="str">
        <f t="shared" si="143"/>
        <v/>
      </c>
      <c r="BV218" s="19">
        <f t="shared" si="144"/>
        <v>-999</v>
      </c>
      <c r="BW218" s="19">
        <f t="shared" si="145"/>
        <v>-999</v>
      </c>
      <c r="BY218" s="19">
        <f t="shared" si="136"/>
        <v>88</v>
      </c>
      <c r="BZ218" s="19">
        <f t="shared" si="119"/>
        <v>0.1644744565771549</v>
      </c>
      <c r="CA218" s="19">
        <f t="shared" si="120"/>
        <v>0.39391800518867515</v>
      </c>
      <c r="CB218"/>
      <c r="CC218"/>
      <c r="CD218"/>
      <c r="CE218"/>
      <c r="CJ218"/>
      <c r="CK218"/>
      <c r="CL218"/>
      <c r="CM218"/>
      <c r="CN218"/>
    </row>
    <row r="219" spans="14:92" ht="11.25" customHeight="1" x14ac:dyDescent="0.2">
      <c r="N219" s="19">
        <v>109</v>
      </c>
      <c r="O219" s="19">
        <f t="shared" si="137"/>
        <v>906.4399999999946</v>
      </c>
      <c r="P219" s="19">
        <f t="shared" si="138"/>
        <v>706.4399999999946</v>
      </c>
      <c r="Q219"/>
      <c r="R219" s="19">
        <f t="shared" si="139"/>
        <v>506.44000000000074</v>
      </c>
      <c r="S219"/>
      <c r="T219"/>
      <c r="U219"/>
      <c r="V219"/>
      <c r="W219"/>
      <c r="X219"/>
      <c r="Y219"/>
      <c r="Z219" s="19">
        <f t="shared" si="148"/>
        <v>302.4150000000007</v>
      </c>
      <c r="AA219" s="19">
        <f t="shared" si="149"/>
        <v>102.4150000000003</v>
      </c>
      <c r="AB219" s="19" t="e">
        <f t="shared" si="150"/>
        <v>#N/A</v>
      </c>
      <c r="AC219"/>
      <c r="AD219"/>
      <c r="AE219" s="19">
        <v>128</v>
      </c>
      <c r="AG219" s="19">
        <f t="shared" si="104"/>
        <v>7</v>
      </c>
      <c r="AH219" s="19">
        <f t="shared" si="105"/>
        <v>1</v>
      </c>
      <c r="AI219" s="19">
        <f t="shared" si="106"/>
        <v>16.905000000000001</v>
      </c>
      <c r="AJ219" s="410">
        <f t="shared" si="107"/>
        <v>954.04</v>
      </c>
      <c r="AK219" s="19" t="e">
        <f t="shared" si="108"/>
        <v>#N/A</v>
      </c>
      <c r="AL219" s="19">
        <f t="shared" si="109"/>
        <v>754.04</v>
      </c>
      <c r="AM219" s="19" t="e">
        <f t="shared" si="110"/>
        <v>#N/A</v>
      </c>
      <c r="AN219" s="19">
        <f t="shared" si="111"/>
        <v>554.04</v>
      </c>
      <c r="AO219" s="19" t="e">
        <f t="shared" si="112"/>
        <v>#N/A</v>
      </c>
      <c r="AP219" s="19">
        <f t="shared" si="113"/>
        <v>354.04</v>
      </c>
      <c r="AQ219" s="19" t="e">
        <f t="shared" si="114"/>
        <v>#N/A</v>
      </c>
      <c r="AR219" s="19">
        <f t="shared" si="115"/>
        <v>154.04</v>
      </c>
      <c r="AS219" s="19" t="e">
        <f t="shared" si="116"/>
        <v>#N/A</v>
      </c>
      <c r="AT219"/>
      <c r="AU219"/>
      <c r="AV219"/>
      <c r="AW219"/>
      <c r="AX219"/>
      <c r="AY219"/>
      <c r="AZ219"/>
      <c r="BA219"/>
      <c r="BB219"/>
      <c r="BC219"/>
      <c r="BD219"/>
      <c r="BE219"/>
      <c r="BF219"/>
      <c r="BG219"/>
      <c r="BH219"/>
      <c r="BI219"/>
      <c r="BJ219"/>
      <c r="BK219"/>
      <c r="BL219"/>
      <c r="BM219"/>
      <c r="BN219"/>
      <c r="BO219" s="72">
        <f t="shared" si="146"/>
        <v>0.88858284056186676</v>
      </c>
      <c r="BP219" s="399" t="str">
        <f t="shared" si="140"/>
        <v/>
      </c>
      <c r="BQ219" s="19">
        <f t="shared" si="141"/>
        <v>-999</v>
      </c>
      <c r="BR219" s="19">
        <f t="shared" si="142"/>
        <v>-999</v>
      </c>
      <c r="BS219" s="401">
        <v>170</v>
      </c>
      <c r="BT219" s="72">
        <f t="shared" si="147"/>
        <v>0.45358556509017944</v>
      </c>
      <c r="BU219" s="399" t="str">
        <f t="shared" si="143"/>
        <v/>
      </c>
      <c r="BV219" s="19">
        <f t="shared" si="144"/>
        <v>-999</v>
      </c>
      <c r="BW219" s="19">
        <f t="shared" si="145"/>
        <v>-999</v>
      </c>
      <c r="BY219" s="19">
        <f t="shared" si="136"/>
        <v>88.5</v>
      </c>
      <c r="BZ219" s="19">
        <f t="shared" si="119"/>
        <v>0.15679555808603965</v>
      </c>
      <c r="CA219" s="19">
        <f t="shared" si="120"/>
        <v>0.38058337732311315</v>
      </c>
      <c r="CB219"/>
      <c r="CC219"/>
      <c r="CD219"/>
      <c r="CE219"/>
      <c r="CJ219"/>
      <c r="CK219"/>
      <c r="CL219"/>
      <c r="CM219"/>
      <c r="CN219"/>
    </row>
    <row r="220" spans="14:92" ht="11.25" customHeight="1" x14ac:dyDescent="0.2">
      <c r="N220" s="19">
        <v>110</v>
      </c>
      <c r="O220" s="19">
        <f t="shared" si="137"/>
        <v>907.24499999999455</v>
      </c>
      <c r="P220" s="19">
        <f t="shared" si="138"/>
        <v>707.24499999999455</v>
      </c>
      <c r="Q220"/>
      <c r="R220" s="19">
        <f t="shared" si="139"/>
        <v>507.24500000000074</v>
      </c>
      <c r="S220"/>
      <c r="T220"/>
      <c r="U220"/>
      <c r="V220"/>
      <c r="W220"/>
      <c r="X220"/>
      <c r="Y220"/>
      <c r="Z220" s="19">
        <f t="shared" si="148"/>
        <v>303.22000000000071</v>
      </c>
      <c r="AA220" s="19">
        <f t="shared" si="149"/>
        <v>103.22000000000031</v>
      </c>
      <c r="AB220" s="19" t="e">
        <f t="shared" si="150"/>
        <v>#N/A</v>
      </c>
      <c r="AC220"/>
      <c r="AD220"/>
      <c r="AE220" s="19">
        <v>129</v>
      </c>
      <c r="AG220" s="19">
        <f t="shared" ref="AG220:AG283" si="151">2*ROUNDUP((MOD(AE220-1,$AB$94)+1)/2,0)-1</f>
        <v>9</v>
      </c>
      <c r="AH220" s="19">
        <f t="shared" ref="AH220:AH283" si="152">IF(AG220=AG221,-1,1)</f>
        <v>-1</v>
      </c>
      <c r="AI220" s="19">
        <f t="shared" ref="AI220:AI283" si="153">IF($BR$7,$AB$87*(0.5+INT((AE220-0.5)/$AB$94)),NA())</f>
        <v>16.905000000000001</v>
      </c>
      <c r="AJ220" s="410">
        <f t="shared" ref="AJ220:AJ283" si="154">IF($BP$11,$AM$87+$AB$90*AH220*AG220,NA())</f>
        <v>830.52</v>
      </c>
      <c r="AK220" s="19" t="e">
        <f t="shared" ref="AK220:AK283" si="155">IF($AG$83&lt;AE220,NA(),AI220)</f>
        <v>#N/A</v>
      </c>
      <c r="AL220" s="19">
        <f t="shared" ref="AL220:AL283" si="156">IF($BP$11,$AN$87+$AB$90*AH220*AG220,NA())</f>
        <v>630.52</v>
      </c>
      <c r="AM220" s="19" t="e">
        <f t="shared" ref="AM220:AM283" si="157">IF($AH$83&lt;AE220,NA(),AI220)</f>
        <v>#N/A</v>
      </c>
      <c r="AN220" s="19">
        <f t="shared" ref="AN220:AN283" si="158">IF($BP$11,$AO$87+$AB$90*AH220*AG220,NA())</f>
        <v>430.52</v>
      </c>
      <c r="AO220" s="19" t="e">
        <f t="shared" ref="AO220:AO283" si="159">IF($AI$83&lt;AE220,NA(),AI220)</f>
        <v>#N/A</v>
      </c>
      <c r="AP220" s="19">
        <f t="shared" ref="AP220:AP283" si="160">IF($BP$11,$AP$87+$AB$90*AH220*AG220,NA())</f>
        <v>230.51999999999998</v>
      </c>
      <c r="AQ220" s="19" t="e">
        <f t="shared" ref="AQ220:AQ283" si="161">IF($AJ$83&lt;AE220,NA(),AI220)</f>
        <v>#N/A</v>
      </c>
      <c r="AR220" s="19">
        <f t="shared" ref="AR220:AR283" si="162">IF($BP$11,$AQ$87+$AB$90*AH220*AG220,NA())</f>
        <v>30.519999999999996</v>
      </c>
      <c r="AS220" s="19" t="e">
        <f t="shared" ref="AS220:AS283" si="163">IF($AK$83&lt;AE220,NA(),AI220)</f>
        <v>#N/A</v>
      </c>
      <c r="AT220"/>
      <c r="AU220"/>
      <c r="AV220"/>
      <c r="AW220"/>
      <c r="AX220"/>
      <c r="AY220"/>
      <c r="AZ220"/>
      <c r="BA220"/>
      <c r="BB220"/>
      <c r="BC220"/>
      <c r="BD220"/>
      <c r="BE220"/>
      <c r="BF220"/>
      <c r="BG220"/>
      <c r="BH220"/>
      <c r="BI220"/>
      <c r="BJ220"/>
      <c r="BK220"/>
      <c r="BL220"/>
      <c r="BM220"/>
      <c r="BN220"/>
      <c r="BO220" s="72">
        <f t="shared" si="146"/>
        <v>0.95719559490680695</v>
      </c>
      <c r="BP220" s="399" t="str">
        <f t="shared" si="140"/>
        <v/>
      </c>
      <c r="BQ220" s="19">
        <f t="shared" si="141"/>
        <v>-999</v>
      </c>
      <c r="BR220" s="19">
        <f t="shared" si="142"/>
        <v>-999</v>
      </c>
      <c r="BS220" s="401">
        <v>171</v>
      </c>
      <c r="BT220" s="72">
        <f t="shared" si="147"/>
        <v>0.54751414060592651</v>
      </c>
      <c r="BU220" s="399" t="str">
        <f t="shared" si="143"/>
        <v/>
      </c>
      <c r="BV220" s="19">
        <f t="shared" si="144"/>
        <v>-999</v>
      </c>
      <c r="BW220" s="19">
        <f t="shared" si="145"/>
        <v>-999</v>
      </c>
      <c r="BY220" s="19">
        <f t="shared" si="136"/>
        <v>89</v>
      </c>
      <c r="BZ220" s="19">
        <f t="shared" si="119"/>
        <v>0.14938177525041801</v>
      </c>
      <c r="CA220" s="19">
        <f t="shared" si="120"/>
        <v>0.36747040286288568</v>
      </c>
      <c r="CB220"/>
      <c r="CC220"/>
      <c r="CD220"/>
      <c r="CE220"/>
      <c r="CJ220"/>
      <c r="CK220"/>
      <c r="CL220"/>
      <c r="CM220"/>
      <c r="CN220"/>
    </row>
    <row r="221" spans="14:92" ht="11.25" customHeight="1" x14ac:dyDescent="0.2">
      <c r="N221" s="19">
        <v>111</v>
      </c>
      <c r="O221" s="19">
        <f t="shared" si="137"/>
        <v>908.0499999999945</v>
      </c>
      <c r="P221" s="19">
        <f t="shared" si="138"/>
        <v>708.0499999999945</v>
      </c>
      <c r="Q221"/>
      <c r="R221" s="19">
        <f t="shared" si="139"/>
        <v>508.05000000000075</v>
      </c>
      <c r="S221"/>
      <c r="T221"/>
      <c r="U221"/>
      <c r="V221"/>
      <c r="W221"/>
      <c r="X221"/>
      <c r="Y221"/>
      <c r="Z221" s="19">
        <f t="shared" si="148"/>
        <v>304.02500000000072</v>
      </c>
      <c r="AA221" s="19">
        <f t="shared" si="149"/>
        <v>104.02500000000032</v>
      </c>
      <c r="AB221" s="19" t="e">
        <f t="shared" si="150"/>
        <v>#N/A</v>
      </c>
      <c r="AC221"/>
      <c r="AD221"/>
      <c r="AE221" s="19">
        <v>130</v>
      </c>
      <c r="AG221" s="19">
        <f t="shared" si="151"/>
        <v>9</v>
      </c>
      <c r="AH221" s="19">
        <f t="shared" si="152"/>
        <v>1</v>
      </c>
      <c r="AI221" s="19">
        <f t="shared" si="153"/>
        <v>16.905000000000001</v>
      </c>
      <c r="AJ221" s="410">
        <f t="shared" si="154"/>
        <v>969.48</v>
      </c>
      <c r="AK221" s="19" t="e">
        <f t="shared" si="155"/>
        <v>#N/A</v>
      </c>
      <c r="AL221" s="19">
        <f t="shared" si="156"/>
        <v>769.48</v>
      </c>
      <c r="AM221" s="19" t="e">
        <f t="shared" si="157"/>
        <v>#N/A</v>
      </c>
      <c r="AN221" s="19">
        <f t="shared" si="158"/>
        <v>569.48</v>
      </c>
      <c r="AO221" s="19" t="e">
        <f t="shared" si="159"/>
        <v>#N/A</v>
      </c>
      <c r="AP221" s="19">
        <f t="shared" si="160"/>
        <v>369.48</v>
      </c>
      <c r="AQ221" s="19" t="e">
        <f t="shared" si="161"/>
        <v>#N/A</v>
      </c>
      <c r="AR221" s="19">
        <f t="shared" si="162"/>
        <v>169.48000000000002</v>
      </c>
      <c r="AS221" s="19" t="e">
        <f t="shared" si="163"/>
        <v>#N/A</v>
      </c>
      <c r="AT221"/>
      <c r="AU221"/>
      <c r="AV221"/>
      <c r="AW221"/>
      <c r="AX221"/>
      <c r="AY221"/>
      <c r="AZ221"/>
      <c r="BA221"/>
      <c r="BB221"/>
      <c r="BC221"/>
      <c r="BD221"/>
      <c r="BE221"/>
      <c r="BF221"/>
      <c r="BG221"/>
      <c r="BH221"/>
      <c r="BI221"/>
      <c r="BJ221"/>
      <c r="BK221"/>
      <c r="BL221"/>
      <c r="BM221"/>
      <c r="BN221"/>
      <c r="BO221" s="72">
        <f t="shared" si="146"/>
        <v>0.39261080324649811</v>
      </c>
      <c r="BP221" s="399" t="str">
        <f t="shared" si="140"/>
        <v/>
      </c>
      <c r="BQ221" s="19">
        <f t="shared" si="141"/>
        <v>-999</v>
      </c>
      <c r="BR221" s="19">
        <f t="shared" si="142"/>
        <v>-999</v>
      </c>
      <c r="BS221" s="401">
        <v>172</v>
      </c>
      <c r="BT221" s="72">
        <f t="shared" si="147"/>
        <v>0.52374309301376343</v>
      </c>
      <c r="BU221" s="399" t="str">
        <f t="shared" si="143"/>
        <v/>
      </c>
      <c r="BV221" s="19">
        <f t="shared" si="144"/>
        <v>-999</v>
      </c>
      <c r="BW221" s="19">
        <f t="shared" si="145"/>
        <v>-999</v>
      </c>
      <c r="BY221" s="19">
        <f t="shared" si="136"/>
        <v>89.5</v>
      </c>
      <c r="BZ221" s="19">
        <f t="shared" si="119"/>
        <v>0.14222961788539534</v>
      </c>
      <c r="CA221" s="19">
        <f t="shared" si="120"/>
        <v>0.35458754856089891</v>
      </c>
      <c r="CB221"/>
      <c r="CC221"/>
      <c r="CD221"/>
      <c r="CE221"/>
      <c r="CJ221"/>
      <c r="CK221"/>
      <c r="CL221"/>
      <c r="CM221"/>
      <c r="CN221"/>
    </row>
    <row r="222" spans="14:92" ht="11.25" customHeight="1" x14ac:dyDescent="0.2">
      <c r="N222" s="19">
        <v>112</v>
      </c>
      <c r="O222" s="19">
        <f t="shared" si="137"/>
        <v>908.85499999999445</v>
      </c>
      <c r="P222" s="19">
        <f t="shared" si="138"/>
        <v>708.85499999999445</v>
      </c>
      <c r="Q222"/>
      <c r="R222" s="19">
        <f t="shared" si="139"/>
        <v>508.85500000000076</v>
      </c>
      <c r="S222"/>
      <c r="T222"/>
      <c r="U222"/>
      <c r="V222"/>
      <c r="W222"/>
      <c r="X222"/>
      <c r="Y222"/>
      <c r="Z222" s="19">
        <f t="shared" si="148"/>
        <v>304.83000000000072</v>
      </c>
      <c r="AA222" s="19">
        <f t="shared" si="149"/>
        <v>104.83000000000033</v>
      </c>
      <c r="AB222" s="19" t="e">
        <f t="shared" si="150"/>
        <v>#N/A</v>
      </c>
      <c r="AC222"/>
      <c r="AD222"/>
      <c r="AE222" s="19">
        <v>131</v>
      </c>
      <c r="AG222" s="19">
        <f t="shared" si="151"/>
        <v>11</v>
      </c>
      <c r="AH222" s="19">
        <f t="shared" si="152"/>
        <v>-1</v>
      </c>
      <c r="AI222" s="19">
        <f t="shared" si="153"/>
        <v>16.905000000000001</v>
      </c>
      <c r="AJ222" s="410">
        <f t="shared" si="154"/>
        <v>815.08</v>
      </c>
      <c r="AK222" s="19" t="e">
        <f t="shared" si="155"/>
        <v>#N/A</v>
      </c>
      <c r="AL222" s="19">
        <f t="shared" si="156"/>
        <v>615.08000000000004</v>
      </c>
      <c r="AM222" s="19" t="e">
        <f t="shared" si="157"/>
        <v>#N/A</v>
      </c>
      <c r="AN222" s="19">
        <f t="shared" si="158"/>
        <v>415.08</v>
      </c>
      <c r="AO222" s="19" t="e">
        <f t="shared" si="159"/>
        <v>#N/A</v>
      </c>
      <c r="AP222" s="19">
        <f t="shared" si="160"/>
        <v>215.07999999999998</v>
      </c>
      <c r="AQ222" s="19" t="e">
        <f t="shared" si="161"/>
        <v>#N/A</v>
      </c>
      <c r="AR222" s="19">
        <f t="shared" si="162"/>
        <v>15.079999999999998</v>
      </c>
      <c r="AS222" s="19" t="e">
        <f t="shared" si="163"/>
        <v>#N/A</v>
      </c>
      <c r="AT222"/>
      <c r="AU222"/>
      <c r="AV222"/>
      <c r="AW222"/>
      <c r="AX222"/>
      <c r="AY222"/>
      <c r="AZ222"/>
      <c r="BA222"/>
      <c r="BB222"/>
      <c r="BC222"/>
      <c r="BD222"/>
      <c r="BE222"/>
      <c r="BF222"/>
      <c r="BG222"/>
      <c r="BH222"/>
      <c r="BI222"/>
      <c r="BJ222"/>
      <c r="BK222"/>
      <c r="BL222"/>
      <c r="BM222"/>
      <c r="BN222"/>
      <c r="BO222" s="72">
        <f t="shared" si="146"/>
        <v>0.13640542328357697</v>
      </c>
      <c r="BP222" s="399" t="str">
        <f t="shared" si="140"/>
        <v/>
      </c>
      <c r="BQ222" s="19">
        <f t="shared" si="141"/>
        <v>-999</v>
      </c>
      <c r="BR222" s="19">
        <f t="shared" si="142"/>
        <v>-999</v>
      </c>
      <c r="BS222" s="401">
        <v>173</v>
      </c>
      <c r="BT222" s="72">
        <f t="shared" si="147"/>
        <v>0.73879784345626831</v>
      </c>
      <c r="BU222" s="399" t="str">
        <f t="shared" si="143"/>
        <v/>
      </c>
      <c r="BV222" s="19">
        <f t="shared" si="144"/>
        <v>-999</v>
      </c>
      <c r="BW222" s="19">
        <f t="shared" si="145"/>
        <v>-999</v>
      </c>
      <c r="BY222" s="19">
        <f t="shared" si="136"/>
        <v>90</v>
      </c>
      <c r="BZ222" s="19">
        <f t="shared" si="119"/>
        <v>0.1353352832366127</v>
      </c>
      <c r="CA222" s="19">
        <f t="shared" si="120"/>
        <v>0.34194256316010568</v>
      </c>
      <c r="CB222"/>
      <c r="CC222"/>
      <c r="CD222"/>
      <c r="CE222"/>
      <c r="CJ222"/>
      <c r="CK222"/>
      <c r="CL222"/>
      <c r="CM222"/>
      <c r="CN222"/>
    </row>
    <row r="223" spans="14:92" ht="11.25" customHeight="1" x14ac:dyDescent="0.2">
      <c r="N223" s="19">
        <v>113</v>
      </c>
      <c r="O223" s="19">
        <f t="shared" si="137"/>
        <v>909.6599999999944</v>
      </c>
      <c r="P223" s="19">
        <f t="shared" si="138"/>
        <v>709.6599999999944</v>
      </c>
      <c r="Q223"/>
      <c r="R223" s="19">
        <f t="shared" si="139"/>
        <v>509.66000000000076</v>
      </c>
      <c r="S223"/>
      <c r="T223"/>
      <c r="U223"/>
      <c r="V223"/>
      <c r="W223"/>
      <c r="X223"/>
      <c r="Y223"/>
      <c r="Z223" s="19">
        <f t="shared" si="148"/>
        <v>305.63500000000073</v>
      </c>
      <c r="AA223" s="19">
        <f t="shared" si="149"/>
        <v>105.63500000000033</v>
      </c>
      <c r="AB223" s="19" t="e">
        <f t="shared" si="150"/>
        <v>#N/A</v>
      </c>
      <c r="AC223"/>
      <c r="AD223"/>
      <c r="AE223" s="19">
        <v>132</v>
      </c>
      <c r="AG223" s="19">
        <f t="shared" si="151"/>
        <v>11</v>
      </c>
      <c r="AH223" s="19">
        <f t="shared" si="152"/>
        <v>1</v>
      </c>
      <c r="AI223" s="19">
        <f t="shared" si="153"/>
        <v>16.905000000000001</v>
      </c>
      <c r="AJ223" s="410">
        <f t="shared" si="154"/>
        <v>984.92</v>
      </c>
      <c r="AK223" s="19" t="e">
        <f t="shared" si="155"/>
        <v>#N/A</v>
      </c>
      <c r="AL223" s="19">
        <f t="shared" si="156"/>
        <v>784.92</v>
      </c>
      <c r="AM223" s="19" t="e">
        <f t="shared" si="157"/>
        <v>#N/A</v>
      </c>
      <c r="AN223" s="19">
        <f t="shared" si="158"/>
        <v>584.91999999999996</v>
      </c>
      <c r="AO223" s="19" t="e">
        <f t="shared" si="159"/>
        <v>#N/A</v>
      </c>
      <c r="AP223" s="19">
        <f t="shared" si="160"/>
        <v>384.92</v>
      </c>
      <c r="AQ223" s="19" t="e">
        <f t="shared" si="161"/>
        <v>#N/A</v>
      </c>
      <c r="AR223" s="19">
        <f t="shared" si="162"/>
        <v>184.92000000000002</v>
      </c>
      <c r="AS223" s="19" t="e">
        <f t="shared" si="163"/>
        <v>#N/A</v>
      </c>
      <c r="AT223"/>
      <c r="AU223"/>
      <c r="AV223"/>
      <c r="AW223"/>
      <c r="AX223"/>
      <c r="AY223"/>
      <c r="AZ223"/>
      <c r="BA223"/>
      <c r="BB223"/>
      <c r="BC223"/>
      <c r="BD223"/>
      <c r="BE223"/>
      <c r="BF223"/>
      <c r="BG223"/>
      <c r="BH223"/>
      <c r="BI223"/>
      <c r="BJ223"/>
      <c r="BK223"/>
      <c r="BL223"/>
      <c r="BM223"/>
      <c r="BN223"/>
      <c r="BO223" s="72">
        <f t="shared" si="146"/>
        <v>6.1062723398208618E-3</v>
      </c>
      <c r="BP223" s="399" t="str">
        <f t="shared" si="140"/>
        <v/>
      </c>
      <c r="BQ223" s="19">
        <f t="shared" si="141"/>
        <v>-999</v>
      </c>
      <c r="BR223" s="19">
        <f t="shared" si="142"/>
        <v>-999</v>
      </c>
      <c r="BS223" s="401">
        <v>174</v>
      </c>
      <c r="BT223" s="72">
        <f t="shared" si="147"/>
        <v>3.8934648036956787E-2</v>
      </c>
      <c r="BU223" s="399" t="str">
        <f t="shared" si="143"/>
        <v/>
      </c>
      <c r="BV223" s="19">
        <f t="shared" si="144"/>
        <v>-999</v>
      </c>
      <c r="BW223" s="19">
        <f t="shared" si="145"/>
        <v>-999</v>
      </c>
      <c r="BY223" s="19">
        <f t="shared" si="136"/>
        <v>90.5</v>
      </c>
      <c r="BZ223" s="19">
        <f t="shared" si="119"/>
        <v>0.12869468021566227</v>
      </c>
      <c r="CA223" s="19">
        <f t="shared" si="120"/>
        <v>0.32954248353907717</v>
      </c>
      <c r="CB223"/>
      <c r="CC223"/>
      <c r="CD223"/>
      <c r="CE223"/>
      <c r="CJ223"/>
      <c r="CK223"/>
      <c r="CL223"/>
      <c r="CM223"/>
      <c r="CN223"/>
    </row>
    <row r="224" spans="14:92" ht="11.25" customHeight="1" x14ac:dyDescent="0.2">
      <c r="N224" s="19">
        <v>114</v>
      </c>
      <c r="O224" s="19">
        <f t="shared" si="137"/>
        <v>910.46499999999435</v>
      </c>
      <c r="P224" s="19">
        <f t="shared" si="138"/>
        <v>710.46499999999435</v>
      </c>
      <c r="Q224"/>
      <c r="R224" s="19">
        <f t="shared" si="139"/>
        <v>510.46500000000077</v>
      </c>
      <c r="S224"/>
      <c r="T224"/>
      <c r="U224"/>
      <c r="V224"/>
      <c r="W224"/>
      <c r="X224"/>
      <c r="Y224"/>
      <c r="Z224" s="19">
        <f t="shared" si="148"/>
        <v>306.44000000000074</v>
      </c>
      <c r="AA224" s="19">
        <f t="shared" si="149"/>
        <v>106.44000000000034</v>
      </c>
      <c r="AB224" s="19" t="e">
        <f t="shared" si="150"/>
        <v>#N/A</v>
      </c>
      <c r="AC224"/>
      <c r="AD224"/>
      <c r="AE224" s="19">
        <v>133</v>
      </c>
      <c r="AG224" s="19">
        <f t="shared" si="151"/>
        <v>1</v>
      </c>
      <c r="AH224" s="19">
        <f t="shared" si="152"/>
        <v>-1</v>
      </c>
      <c r="AI224" s="19">
        <f t="shared" si="153"/>
        <v>18.515000000000001</v>
      </c>
      <c r="AJ224" s="410">
        <f t="shared" si="154"/>
        <v>892.28</v>
      </c>
      <c r="AK224" s="19" t="e">
        <f t="shared" si="155"/>
        <v>#N/A</v>
      </c>
      <c r="AL224" s="19">
        <f t="shared" si="156"/>
        <v>692.28</v>
      </c>
      <c r="AM224" s="19" t="e">
        <f t="shared" si="157"/>
        <v>#N/A</v>
      </c>
      <c r="AN224" s="19">
        <f t="shared" si="158"/>
        <v>492.28</v>
      </c>
      <c r="AO224" s="19" t="e">
        <f t="shared" si="159"/>
        <v>#N/A</v>
      </c>
      <c r="AP224" s="19">
        <f t="shared" si="160"/>
        <v>292.27999999999997</v>
      </c>
      <c r="AQ224" s="19" t="e">
        <f t="shared" si="161"/>
        <v>#N/A</v>
      </c>
      <c r="AR224" s="19">
        <f t="shared" si="162"/>
        <v>92.28</v>
      </c>
      <c r="AS224" s="19" t="e">
        <f t="shared" si="163"/>
        <v>#N/A</v>
      </c>
      <c r="AT224"/>
      <c r="AU224"/>
      <c r="AV224"/>
      <c r="AW224"/>
      <c r="AX224"/>
      <c r="AY224"/>
      <c r="AZ224"/>
      <c r="BA224"/>
      <c r="BB224"/>
      <c r="BC224"/>
      <c r="BD224"/>
      <c r="BE224"/>
      <c r="BF224"/>
      <c r="BG224"/>
      <c r="BH224"/>
      <c r="BI224"/>
      <c r="BJ224"/>
      <c r="BK224"/>
      <c r="BL224"/>
      <c r="BM224"/>
      <c r="BN224"/>
      <c r="BO224" s="72">
        <f t="shared" si="146"/>
        <v>0.80277974903583527</v>
      </c>
      <c r="BP224" s="399" t="str">
        <f t="shared" si="140"/>
        <v/>
      </c>
      <c r="BQ224" s="19">
        <f t="shared" si="141"/>
        <v>-999</v>
      </c>
      <c r="BR224" s="19">
        <f t="shared" si="142"/>
        <v>-999</v>
      </c>
      <c r="BS224" s="401">
        <v>175</v>
      </c>
      <c r="BT224" s="72">
        <f t="shared" si="147"/>
        <v>0.98651999235153198</v>
      </c>
      <c r="BU224" s="399" t="str">
        <f t="shared" si="143"/>
        <v/>
      </c>
      <c r="BV224" s="19">
        <f t="shared" si="144"/>
        <v>-999</v>
      </c>
      <c r="BW224" s="19">
        <f t="shared" si="145"/>
        <v>-999</v>
      </c>
      <c r="BY224" s="19">
        <f t="shared" si="136"/>
        <v>91</v>
      </c>
      <c r="BZ224" s="19">
        <f t="shared" si="119"/>
        <v>0.12230345334690058</v>
      </c>
      <c r="CA224" s="19">
        <f t="shared" si="120"/>
        <v>0.31739364282409599</v>
      </c>
      <c r="CB224"/>
      <c r="CC224"/>
      <c r="CD224"/>
      <c r="CE224"/>
      <c r="CJ224"/>
      <c r="CK224"/>
      <c r="CL224"/>
      <c r="CM224"/>
      <c r="CN224"/>
    </row>
    <row r="225" spans="14:92" ht="11.25" customHeight="1" x14ac:dyDescent="0.2">
      <c r="N225" s="19">
        <v>115</v>
      </c>
      <c r="O225" s="19">
        <f t="shared" si="137"/>
        <v>911.2699999999943</v>
      </c>
      <c r="P225" s="19">
        <f t="shared" si="138"/>
        <v>711.2699999999943</v>
      </c>
      <c r="Q225"/>
      <c r="R225" s="19">
        <f t="shared" si="139"/>
        <v>511.27000000000078</v>
      </c>
      <c r="S225"/>
      <c r="T225"/>
      <c r="U225"/>
      <c r="V225"/>
      <c r="W225"/>
      <c r="X225"/>
      <c r="Y225"/>
      <c r="Z225" s="19">
        <f t="shared" si="148"/>
        <v>307.24500000000074</v>
      </c>
      <c r="AA225" s="19">
        <f t="shared" si="149"/>
        <v>107.24500000000035</v>
      </c>
      <c r="AB225" s="19" t="e">
        <f t="shared" si="150"/>
        <v>#N/A</v>
      </c>
      <c r="AC225"/>
      <c r="AD225"/>
      <c r="AE225" s="19">
        <v>134</v>
      </c>
      <c r="AG225" s="19">
        <f t="shared" si="151"/>
        <v>1</v>
      </c>
      <c r="AH225" s="19">
        <f t="shared" si="152"/>
        <v>1</v>
      </c>
      <c r="AI225" s="19">
        <f t="shared" si="153"/>
        <v>18.515000000000001</v>
      </c>
      <c r="AJ225" s="410">
        <f t="shared" si="154"/>
        <v>907.72</v>
      </c>
      <c r="AK225" s="19" t="e">
        <f t="shared" si="155"/>
        <v>#N/A</v>
      </c>
      <c r="AL225" s="19">
        <f t="shared" si="156"/>
        <v>707.72</v>
      </c>
      <c r="AM225" s="19" t="e">
        <f t="shared" si="157"/>
        <v>#N/A</v>
      </c>
      <c r="AN225" s="19">
        <f t="shared" si="158"/>
        <v>507.72</v>
      </c>
      <c r="AO225" s="19" t="e">
        <f t="shared" si="159"/>
        <v>#N/A</v>
      </c>
      <c r="AP225" s="19">
        <f t="shared" si="160"/>
        <v>307.72000000000003</v>
      </c>
      <c r="AQ225" s="19" t="e">
        <f t="shared" si="161"/>
        <v>#N/A</v>
      </c>
      <c r="AR225" s="19">
        <f t="shared" si="162"/>
        <v>107.72</v>
      </c>
      <c r="AS225" s="19" t="e">
        <f t="shared" si="163"/>
        <v>#N/A</v>
      </c>
      <c r="AT225"/>
      <c r="AU225"/>
      <c r="AV225"/>
      <c r="AW225"/>
      <c r="AX225"/>
      <c r="AY225"/>
      <c r="AZ225"/>
      <c r="BA225"/>
      <c r="BB225"/>
      <c r="BC225"/>
      <c r="BD225"/>
      <c r="BE225"/>
      <c r="BF225"/>
      <c r="BG225"/>
      <c r="BH225"/>
      <c r="BI225"/>
      <c r="BJ225"/>
      <c r="BK225"/>
      <c r="BL225"/>
      <c r="BM225"/>
      <c r="BN225"/>
      <c r="BO225" s="72">
        <f t="shared" si="146"/>
        <v>0.92649509012699127</v>
      </c>
      <c r="BP225" s="399" t="str">
        <f t="shared" si="140"/>
        <v/>
      </c>
      <c r="BQ225" s="19">
        <f t="shared" si="141"/>
        <v>-999</v>
      </c>
      <c r="BR225" s="19">
        <f t="shared" si="142"/>
        <v>-999</v>
      </c>
      <c r="BS225" s="401">
        <v>176</v>
      </c>
      <c r="BT225" s="72">
        <f t="shared" si="147"/>
        <v>0.74827522039413452</v>
      </c>
      <c r="BU225" s="399" t="str">
        <f t="shared" si="143"/>
        <v/>
      </c>
      <c r="BV225" s="19">
        <f t="shared" si="144"/>
        <v>-999</v>
      </c>
      <c r="BW225" s="19">
        <f t="shared" si="145"/>
        <v>-999</v>
      </c>
      <c r="BY225" s="19">
        <f t="shared" si="136"/>
        <v>91.5</v>
      </c>
      <c r="BZ225" s="19">
        <f t="shared" si="119"/>
        <v>0.11615700635209682</v>
      </c>
      <c r="CA225" s="19">
        <f t="shared" si="120"/>
        <v>0.30550168036780517</v>
      </c>
      <c r="CB225"/>
      <c r="CC225"/>
      <c r="CD225"/>
      <c r="CE225"/>
      <c r="CJ225"/>
      <c r="CK225"/>
      <c r="CL225"/>
      <c r="CM225"/>
      <c r="CN225"/>
    </row>
    <row r="226" spans="14:92" ht="11.25" customHeight="1" x14ac:dyDescent="0.2">
      <c r="N226" s="19">
        <v>116</v>
      </c>
      <c r="O226" s="19">
        <f t="shared" si="137"/>
        <v>912.07499999999425</v>
      </c>
      <c r="P226" s="19">
        <f t="shared" si="138"/>
        <v>712.07499999999425</v>
      </c>
      <c r="Q226"/>
      <c r="R226" s="19">
        <f t="shared" si="139"/>
        <v>512.07500000000073</v>
      </c>
      <c r="S226"/>
      <c r="T226"/>
      <c r="U226"/>
      <c r="V226"/>
      <c r="W226"/>
      <c r="X226"/>
      <c r="Y226"/>
      <c r="Z226" s="19">
        <f t="shared" si="148"/>
        <v>308.05000000000075</v>
      </c>
      <c r="AA226" s="19">
        <f t="shared" si="149"/>
        <v>108.05000000000035</v>
      </c>
      <c r="AB226" s="19" t="e">
        <f t="shared" si="150"/>
        <v>#N/A</v>
      </c>
      <c r="AC226"/>
      <c r="AD226"/>
      <c r="AE226" s="19">
        <v>135</v>
      </c>
      <c r="AG226" s="19">
        <f t="shared" si="151"/>
        <v>3</v>
      </c>
      <c r="AH226" s="19">
        <f t="shared" si="152"/>
        <v>-1</v>
      </c>
      <c r="AI226" s="19">
        <f t="shared" si="153"/>
        <v>18.515000000000001</v>
      </c>
      <c r="AJ226" s="410">
        <f t="shared" si="154"/>
        <v>876.84</v>
      </c>
      <c r="AK226" s="19" t="e">
        <f t="shared" si="155"/>
        <v>#N/A</v>
      </c>
      <c r="AL226" s="19">
        <f t="shared" si="156"/>
        <v>676.84</v>
      </c>
      <c r="AM226" s="19" t="e">
        <f t="shared" si="157"/>
        <v>#N/A</v>
      </c>
      <c r="AN226" s="19">
        <f t="shared" si="158"/>
        <v>476.84</v>
      </c>
      <c r="AO226" s="19" t="e">
        <f t="shared" si="159"/>
        <v>#N/A</v>
      </c>
      <c r="AP226" s="19">
        <f t="shared" si="160"/>
        <v>276.83999999999997</v>
      </c>
      <c r="AQ226" s="19" t="e">
        <f t="shared" si="161"/>
        <v>#N/A</v>
      </c>
      <c r="AR226" s="19">
        <f t="shared" si="162"/>
        <v>76.84</v>
      </c>
      <c r="AS226" s="19" t="e">
        <f t="shared" si="163"/>
        <v>#N/A</v>
      </c>
      <c r="AT226"/>
      <c r="AU226"/>
      <c r="AV226"/>
      <c r="AW226"/>
      <c r="AX226"/>
      <c r="AY226"/>
      <c r="AZ226"/>
      <c r="BA226"/>
      <c r="BB226"/>
      <c r="BC226"/>
      <c r="BD226"/>
      <c r="BE226"/>
      <c r="BF226"/>
      <c r="BG226"/>
      <c r="BH226"/>
      <c r="BI226"/>
      <c r="BJ226"/>
      <c r="BK226"/>
      <c r="BL226"/>
      <c r="BM226"/>
      <c r="BN226"/>
      <c r="BO226" s="72">
        <f t="shared" si="146"/>
        <v>0.9457060843706131</v>
      </c>
      <c r="BP226" s="399" t="str">
        <f t="shared" si="140"/>
        <v/>
      </c>
      <c r="BQ226" s="19">
        <f t="shared" si="141"/>
        <v>-999</v>
      </c>
      <c r="BR226" s="19">
        <f t="shared" si="142"/>
        <v>-999</v>
      </c>
      <c r="BS226" s="401">
        <v>177</v>
      </c>
      <c r="BT226" s="72">
        <f t="shared" si="147"/>
        <v>0.93151921033859253</v>
      </c>
      <c r="BU226" s="399" t="str">
        <f t="shared" si="143"/>
        <v/>
      </c>
      <c r="BV226" s="19">
        <f t="shared" si="144"/>
        <v>-999</v>
      </c>
      <c r="BW226" s="19">
        <f t="shared" si="145"/>
        <v>-999</v>
      </c>
      <c r="BY226" s="19">
        <f t="shared" si="136"/>
        <v>92</v>
      </c>
      <c r="BZ226" s="19">
        <f t="shared" si="119"/>
        <v>0.11025052530448522</v>
      </c>
      <c r="CA226" s="19">
        <f t="shared" si="120"/>
        <v>0.29387155349003458</v>
      </c>
      <c r="CB226"/>
      <c r="CC226"/>
      <c r="CD226"/>
      <c r="CE226"/>
      <c r="CJ226"/>
      <c r="CK226"/>
      <c r="CL226"/>
      <c r="CM226"/>
      <c r="CN226"/>
    </row>
    <row r="227" spans="14:92" ht="11.25" customHeight="1" x14ac:dyDescent="0.2">
      <c r="N227" s="19">
        <v>117</v>
      </c>
      <c r="O227" s="19">
        <f t="shared" si="137"/>
        <v>912.8799999999942</v>
      </c>
      <c r="P227" s="19">
        <f t="shared" si="138"/>
        <v>712.8799999999942</v>
      </c>
      <c r="Q227"/>
      <c r="R227" s="19">
        <f t="shared" si="139"/>
        <v>512.88000000000068</v>
      </c>
      <c r="S227"/>
      <c r="T227"/>
      <c r="U227"/>
      <c r="V227"/>
      <c r="W227"/>
      <c r="X227"/>
      <c r="Y227"/>
      <c r="Z227" s="19">
        <f t="shared" si="148"/>
        <v>308.85500000000076</v>
      </c>
      <c r="AA227" s="19">
        <f t="shared" si="149"/>
        <v>108.85500000000036</v>
      </c>
      <c r="AB227" s="19" t="e">
        <f t="shared" si="150"/>
        <v>#N/A</v>
      </c>
      <c r="AC227"/>
      <c r="AD227"/>
      <c r="AE227" s="19">
        <v>136</v>
      </c>
      <c r="AG227" s="19">
        <f t="shared" si="151"/>
        <v>3</v>
      </c>
      <c r="AH227" s="19">
        <f t="shared" si="152"/>
        <v>1</v>
      </c>
      <c r="AI227" s="19">
        <f t="shared" si="153"/>
        <v>18.515000000000001</v>
      </c>
      <c r="AJ227" s="410">
        <f t="shared" si="154"/>
        <v>923.16</v>
      </c>
      <c r="AK227" s="19" t="e">
        <f t="shared" si="155"/>
        <v>#N/A</v>
      </c>
      <c r="AL227" s="19">
        <f t="shared" si="156"/>
        <v>723.16</v>
      </c>
      <c r="AM227" s="19" t="e">
        <f t="shared" si="157"/>
        <v>#N/A</v>
      </c>
      <c r="AN227" s="19">
        <f t="shared" si="158"/>
        <v>523.16</v>
      </c>
      <c r="AO227" s="19" t="e">
        <f t="shared" si="159"/>
        <v>#N/A</v>
      </c>
      <c r="AP227" s="19">
        <f t="shared" si="160"/>
        <v>323.16000000000003</v>
      </c>
      <c r="AQ227" s="19" t="e">
        <f t="shared" si="161"/>
        <v>#N/A</v>
      </c>
      <c r="AR227" s="19">
        <f t="shared" si="162"/>
        <v>123.16</v>
      </c>
      <c r="AS227" s="19" t="e">
        <f t="shared" si="163"/>
        <v>#N/A</v>
      </c>
      <c r="AT227"/>
      <c r="AU227"/>
      <c r="AV227"/>
      <c r="AW227"/>
      <c r="AX227"/>
      <c r="AY227"/>
      <c r="AZ227"/>
      <c r="BA227"/>
      <c r="BB227"/>
      <c r="BC227"/>
      <c r="BD227"/>
      <c r="BE227"/>
      <c r="BF227"/>
      <c r="BG227"/>
      <c r="BH227"/>
      <c r="BI227"/>
      <c r="BJ227"/>
      <c r="BK227"/>
      <c r="BL227"/>
      <c r="BM227"/>
      <c r="BN227"/>
      <c r="BO227" s="72">
        <f t="shared" si="146"/>
        <v>0.13788522779941559</v>
      </c>
      <c r="BP227" s="399" t="str">
        <f t="shared" si="140"/>
        <v/>
      </c>
      <c r="BQ227" s="19">
        <f t="shared" si="141"/>
        <v>-999</v>
      </c>
      <c r="BR227" s="19">
        <f t="shared" si="142"/>
        <v>-999</v>
      </c>
      <c r="BS227" s="401">
        <v>178</v>
      </c>
      <c r="BT227" s="72">
        <f t="shared" si="147"/>
        <v>0.21313565969467163</v>
      </c>
      <c r="BU227" s="399" t="str">
        <f t="shared" si="143"/>
        <v/>
      </c>
      <c r="BV227" s="19">
        <f t="shared" si="144"/>
        <v>-999</v>
      </c>
      <c r="BW227" s="19">
        <f t="shared" si="145"/>
        <v>-999</v>
      </c>
      <c r="BY227" s="19">
        <f t="shared" si="136"/>
        <v>92.5</v>
      </c>
      <c r="BZ227" s="19">
        <f t="shared" si="119"/>
        <v>0.10457900128900144</v>
      </c>
      <c r="CA227" s="19">
        <f t="shared" si="120"/>
        <v>0.2825075508726797</v>
      </c>
      <c r="CB227"/>
      <c r="CC227"/>
      <c r="CD227"/>
      <c r="CE227"/>
      <c r="CJ227"/>
      <c r="CK227"/>
      <c r="CL227"/>
      <c r="CM227"/>
      <c r="CN227"/>
    </row>
    <row r="228" spans="14:92" ht="11.25" customHeight="1" x14ac:dyDescent="0.2">
      <c r="N228" s="19">
        <v>118</v>
      </c>
      <c r="O228" s="19">
        <f t="shared" si="137"/>
        <v>913.68499999999415</v>
      </c>
      <c r="P228" s="19">
        <f t="shared" si="138"/>
        <v>713.68499999999415</v>
      </c>
      <c r="Q228"/>
      <c r="R228" s="19">
        <f t="shared" si="139"/>
        <v>513.68500000000063</v>
      </c>
      <c r="S228"/>
      <c r="T228"/>
      <c r="U228"/>
      <c r="V228"/>
      <c r="W228"/>
      <c r="X228"/>
      <c r="Y228"/>
      <c r="Z228" s="19">
        <f t="shared" si="148"/>
        <v>309.66000000000076</v>
      </c>
      <c r="AA228" s="19">
        <f t="shared" si="149"/>
        <v>109.66000000000037</v>
      </c>
      <c r="AB228" s="19" t="e">
        <f t="shared" si="150"/>
        <v>#N/A</v>
      </c>
      <c r="AC228"/>
      <c r="AD228"/>
      <c r="AE228" s="19">
        <v>137</v>
      </c>
      <c r="AG228" s="19">
        <f t="shared" si="151"/>
        <v>5</v>
      </c>
      <c r="AH228" s="19">
        <f t="shared" si="152"/>
        <v>-1</v>
      </c>
      <c r="AI228" s="19">
        <f t="shared" si="153"/>
        <v>18.515000000000001</v>
      </c>
      <c r="AJ228" s="410">
        <f t="shared" si="154"/>
        <v>861.4</v>
      </c>
      <c r="AK228" s="19" t="e">
        <f t="shared" si="155"/>
        <v>#N/A</v>
      </c>
      <c r="AL228" s="19">
        <f t="shared" si="156"/>
        <v>661.4</v>
      </c>
      <c r="AM228" s="19" t="e">
        <f t="shared" si="157"/>
        <v>#N/A</v>
      </c>
      <c r="AN228" s="19">
        <f t="shared" si="158"/>
        <v>461.4</v>
      </c>
      <c r="AO228" s="19" t="e">
        <f t="shared" si="159"/>
        <v>#N/A</v>
      </c>
      <c r="AP228" s="19">
        <f t="shared" si="160"/>
        <v>261.39999999999998</v>
      </c>
      <c r="AQ228" s="19" t="e">
        <f t="shared" si="161"/>
        <v>#N/A</v>
      </c>
      <c r="AR228" s="19">
        <f t="shared" si="162"/>
        <v>61.4</v>
      </c>
      <c r="AS228" s="19" t="e">
        <f t="shared" si="163"/>
        <v>#N/A</v>
      </c>
      <c r="AT228"/>
      <c r="AU228"/>
      <c r="AV228"/>
      <c r="AW228"/>
      <c r="AX228"/>
      <c r="AY228"/>
      <c r="AZ228"/>
      <c r="BA228"/>
      <c r="BB228"/>
      <c r="BC228"/>
      <c r="BD228"/>
      <c r="BE228"/>
      <c r="BF228"/>
      <c r="BG228"/>
      <c r="BH228"/>
      <c r="BI228"/>
      <c r="BJ228"/>
      <c r="BK228"/>
      <c r="BL228"/>
      <c r="BM228"/>
      <c r="BN228"/>
      <c r="BO228" s="72">
        <f t="shared" si="146"/>
        <v>7.0502117276191711E-2</v>
      </c>
      <c r="BP228" s="399" t="str">
        <f t="shared" si="140"/>
        <v/>
      </c>
      <c r="BQ228" s="19">
        <f t="shared" si="141"/>
        <v>-999</v>
      </c>
      <c r="BR228" s="19">
        <f t="shared" si="142"/>
        <v>-999</v>
      </c>
      <c r="BS228" s="401">
        <v>179</v>
      </c>
      <c r="BT228" s="72">
        <f t="shared" si="147"/>
        <v>0.36771029233932495</v>
      </c>
      <c r="BU228" s="399" t="str">
        <f t="shared" si="143"/>
        <v/>
      </c>
      <c r="BV228" s="19">
        <f t="shared" si="144"/>
        <v>-999</v>
      </c>
      <c r="BW228" s="19">
        <f t="shared" si="145"/>
        <v>-999</v>
      </c>
      <c r="BY228" s="19">
        <f t="shared" si="136"/>
        <v>93</v>
      </c>
      <c r="BZ228" s="19">
        <f t="shared" si="119"/>
        <v>9.913725251074737E-2</v>
      </c>
      <c r="CA228" s="19">
        <f t="shared" si="120"/>
        <v>0.27141330749742459</v>
      </c>
      <c r="CB228"/>
      <c r="CC228"/>
      <c r="CD228"/>
      <c r="CE228"/>
      <c r="CJ228"/>
      <c r="CK228"/>
      <c r="CL228"/>
      <c r="CM228"/>
      <c r="CN228"/>
    </row>
    <row r="229" spans="14:92" ht="11.25" customHeight="1" x14ac:dyDescent="0.2">
      <c r="N229" s="19">
        <v>119</v>
      </c>
      <c r="O229" s="19">
        <f t="shared" si="137"/>
        <v>914.4899999999941</v>
      </c>
      <c r="P229" s="19">
        <f t="shared" si="138"/>
        <v>714.4899999999941</v>
      </c>
      <c r="Q229"/>
      <c r="R229" s="19">
        <f t="shared" si="139"/>
        <v>514.49000000000058</v>
      </c>
      <c r="S229"/>
      <c r="T229"/>
      <c r="U229"/>
      <c r="V229"/>
      <c r="W229"/>
      <c r="X229"/>
      <c r="Y229"/>
      <c r="Z229" s="19">
        <f t="shared" si="148"/>
        <v>310.46500000000077</v>
      </c>
      <c r="AA229" s="19">
        <f t="shared" si="149"/>
        <v>110.46500000000037</v>
      </c>
      <c r="AB229" s="19" t="e">
        <f t="shared" si="150"/>
        <v>#N/A</v>
      </c>
      <c r="AC229"/>
      <c r="AD229"/>
      <c r="AE229" s="19">
        <v>138</v>
      </c>
      <c r="AG229" s="19">
        <f t="shared" si="151"/>
        <v>5</v>
      </c>
      <c r="AH229" s="19">
        <f t="shared" si="152"/>
        <v>1</v>
      </c>
      <c r="AI229" s="19">
        <f t="shared" si="153"/>
        <v>18.515000000000001</v>
      </c>
      <c r="AJ229" s="410">
        <f t="shared" si="154"/>
        <v>938.6</v>
      </c>
      <c r="AK229" s="19" t="e">
        <f t="shared" si="155"/>
        <v>#N/A</v>
      </c>
      <c r="AL229" s="19">
        <f t="shared" si="156"/>
        <v>738.6</v>
      </c>
      <c r="AM229" s="19" t="e">
        <f t="shared" si="157"/>
        <v>#N/A</v>
      </c>
      <c r="AN229" s="19">
        <f t="shared" si="158"/>
        <v>538.6</v>
      </c>
      <c r="AO229" s="19" t="e">
        <f t="shared" si="159"/>
        <v>#N/A</v>
      </c>
      <c r="AP229" s="19">
        <f t="shared" si="160"/>
        <v>338.6</v>
      </c>
      <c r="AQ229" s="19" t="e">
        <f t="shared" si="161"/>
        <v>#N/A</v>
      </c>
      <c r="AR229" s="19">
        <f t="shared" si="162"/>
        <v>138.6</v>
      </c>
      <c r="AS229" s="19" t="e">
        <f t="shared" si="163"/>
        <v>#N/A</v>
      </c>
      <c r="AT229"/>
      <c r="AU229"/>
      <c r="AV229"/>
      <c r="AW229"/>
      <c r="AX229"/>
      <c r="AY229"/>
      <c r="AZ229"/>
      <c r="BA229"/>
      <c r="BB229"/>
      <c r="BC229"/>
      <c r="BD229"/>
      <c r="BE229"/>
      <c r="BF229"/>
      <c r="BG229"/>
      <c r="BH229"/>
      <c r="BI229"/>
      <c r="BJ229"/>
      <c r="BK229"/>
      <c r="BL229"/>
      <c r="BM229"/>
      <c r="BN229"/>
      <c r="BO229" s="72">
        <f t="shared" si="146"/>
        <v>8.9289441704750061E-2</v>
      </c>
      <c r="BP229" s="399" t="str">
        <f t="shared" si="140"/>
        <v/>
      </c>
      <c r="BQ229" s="19">
        <f t="shared" si="141"/>
        <v>-999</v>
      </c>
      <c r="BR229" s="19">
        <f t="shared" si="142"/>
        <v>-999</v>
      </c>
      <c r="BS229" s="401">
        <v>180</v>
      </c>
      <c r="BT229" s="72">
        <f t="shared" si="147"/>
        <v>0.70362704992294312</v>
      </c>
      <c r="BU229" s="399" t="str">
        <f t="shared" si="143"/>
        <v/>
      </c>
      <c r="BV229" s="19">
        <f t="shared" si="144"/>
        <v>-999</v>
      </c>
      <c r="BW229" s="19">
        <f t="shared" si="145"/>
        <v>-999</v>
      </c>
      <c r="BY229" s="19">
        <f t="shared" si="136"/>
        <v>93.5</v>
      </c>
      <c r="BZ229" s="19">
        <f t="shared" si="119"/>
        <v>9.3919945799004451E-2</v>
      </c>
      <c r="CA229" s="19">
        <f t="shared" si="120"/>
        <v>0.26059182101268924</v>
      </c>
      <c r="CB229"/>
      <c r="CC229"/>
      <c r="CD229"/>
      <c r="CE229"/>
      <c r="CJ229"/>
      <c r="CK229"/>
      <c r="CL229"/>
      <c r="CM229"/>
      <c r="CN229"/>
    </row>
    <row r="230" spans="14:92" ht="11.25" customHeight="1" x14ac:dyDescent="0.2">
      <c r="N230" s="19">
        <v>120</v>
      </c>
      <c r="O230" s="19">
        <f t="shared" si="137"/>
        <v>915.29499999999405</v>
      </c>
      <c r="P230" s="19">
        <f t="shared" si="138"/>
        <v>715.29499999999405</v>
      </c>
      <c r="Q230"/>
      <c r="R230" s="19">
        <f t="shared" si="139"/>
        <v>515.29500000000053</v>
      </c>
      <c r="S230"/>
      <c r="T230"/>
      <c r="U230"/>
      <c r="V230"/>
      <c r="W230"/>
      <c r="X230"/>
      <c r="Y230"/>
      <c r="Z230" s="19">
        <f t="shared" si="148"/>
        <v>311.27000000000078</v>
      </c>
      <c r="AA230" s="19">
        <f t="shared" si="149"/>
        <v>111.27000000000038</v>
      </c>
      <c r="AB230" s="19" t="e">
        <f t="shared" si="150"/>
        <v>#N/A</v>
      </c>
      <c r="AC230"/>
      <c r="AD230"/>
      <c r="AE230" s="19">
        <v>139</v>
      </c>
      <c r="AG230" s="19">
        <f t="shared" si="151"/>
        <v>7</v>
      </c>
      <c r="AH230" s="19">
        <f t="shared" si="152"/>
        <v>-1</v>
      </c>
      <c r="AI230" s="19">
        <f t="shared" si="153"/>
        <v>18.515000000000001</v>
      </c>
      <c r="AJ230" s="410">
        <f t="shared" si="154"/>
        <v>845.96</v>
      </c>
      <c r="AK230" s="19" t="e">
        <f t="shared" si="155"/>
        <v>#N/A</v>
      </c>
      <c r="AL230" s="19">
        <f t="shared" si="156"/>
        <v>645.96</v>
      </c>
      <c r="AM230" s="19" t="e">
        <f t="shared" si="157"/>
        <v>#N/A</v>
      </c>
      <c r="AN230" s="19">
        <f t="shared" si="158"/>
        <v>445.96</v>
      </c>
      <c r="AO230" s="19" t="e">
        <f t="shared" si="159"/>
        <v>#N/A</v>
      </c>
      <c r="AP230" s="19">
        <f t="shared" si="160"/>
        <v>245.96</v>
      </c>
      <c r="AQ230" s="19" t="e">
        <f t="shared" si="161"/>
        <v>#N/A</v>
      </c>
      <c r="AR230" s="19">
        <f t="shared" si="162"/>
        <v>45.96</v>
      </c>
      <c r="AS230" s="19" t="e">
        <f t="shared" si="163"/>
        <v>#N/A</v>
      </c>
      <c r="AT230"/>
      <c r="AU230"/>
      <c r="AV230"/>
      <c r="AW230"/>
      <c r="AX230"/>
      <c r="AY230"/>
      <c r="AZ230"/>
      <c r="BA230"/>
      <c r="BB230"/>
      <c r="BC230"/>
      <c r="BD230"/>
      <c r="BE230"/>
      <c r="BF230"/>
      <c r="BG230"/>
      <c r="BH230"/>
      <c r="BI230"/>
      <c r="BJ230"/>
      <c r="BK230"/>
      <c r="BL230"/>
      <c r="BM230"/>
      <c r="BN230"/>
      <c r="BO230" s="72">
        <f t="shared" si="146"/>
        <v>0.57781024277210236</v>
      </c>
      <c r="BP230" s="399" t="str">
        <f t="shared" si="140"/>
        <v/>
      </c>
      <c r="BQ230" s="19">
        <f t="shared" si="141"/>
        <v>-999</v>
      </c>
      <c r="BR230" s="19">
        <f t="shared" si="142"/>
        <v>-999</v>
      </c>
      <c r="BS230" s="401">
        <v>181</v>
      </c>
      <c r="BT230" s="72">
        <f t="shared" si="147"/>
        <v>0.64638108015060425</v>
      </c>
      <c r="BU230" s="399" t="str">
        <f t="shared" si="143"/>
        <v/>
      </c>
      <c r="BV230" s="19">
        <f t="shared" si="144"/>
        <v>-999</v>
      </c>
      <c r="BW230" s="19">
        <f t="shared" si="145"/>
        <v>-999</v>
      </c>
      <c r="BY230" s="19">
        <f t="shared" si="136"/>
        <v>94</v>
      </c>
      <c r="BZ230" s="19">
        <f t="shared" si="119"/>
        <v>8.8921617459386287E-2</v>
      </c>
      <c r="CA230" s="19">
        <f t="shared" si="120"/>
        <v>0.2500454694144067</v>
      </c>
      <c r="CB230"/>
      <c r="CC230"/>
      <c r="CD230"/>
      <c r="CE230"/>
      <c r="CJ230"/>
      <c r="CK230"/>
      <c r="CL230"/>
      <c r="CM230"/>
      <c r="CN230"/>
    </row>
    <row r="231" spans="14:92" ht="11.25" customHeight="1" x14ac:dyDescent="0.2">
      <c r="N231" s="19">
        <v>121</v>
      </c>
      <c r="O231" s="19">
        <f t="shared" si="137"/>
        <v>916.099999999994</v>
      </c>
      <c r="P231" s="19">
        <f t="shared" si="138"/>
        <v>716.099999999994</v>
      </c>
      <c r="Q231"/>
      <c r="R231" s="19">
        <f t="shared" si="139"/>
        <v>516.10000000000048</v>
      </c>
      <c r="S231"/>
      <c r="T231"/>
      <c r="U231"/>
      <c r="V231"/>
      <c r="W231"/>
      <c r="X231"/>
      <c r="Y231"/>
      <c r="Z231" s="19">
        <f t="shared" si="148"/>
        <v>312.07500000000078</v>
      </c>
      <c r="AA231" s="19">
        <f t="shared" si="149"/>
        <v>112.07500000000039</v>
      </c>
      <c r="AB231" s="19" t="e">
        <f t="shared" si="150"/>
        <v>#N/A</v>
      </c>
      <c r="AC231"/>
      <c r="AD231"/>
      <c r="AE231" s="19">
        <v>140</v>
      </c>
      <c r="AG231" s="19">
        <f t="shared" si="151"/>
        <v>7</v>
      </c>
      <c r="AH231" s="19">
        <f t="shared" si="152"/>
        <v>1</v>
      </c>
      <c r="AI231" s="19">
        <f t="shared" si="153"/>
        <v>18.515000000000001</v>
      </c>
      <c r="AJ231" s="410">
        <f t="shared" si="154"/>
        <v>954.04</v>
      </c>
      <c r="AK231" s="19" t="e">
        <f t="shared" si="155"/>
        <v>#N/A</v>
      </c>
      <c r="AL231" s="19">
        <f t="shared" si="156"/>
        <v>754.04</v>
      </c>
      <c r="AM231" s="19" t="e">
        <f t="shared" si="157"/>
        <v>#N/A</v>
      </c>
      <c r="AN231" s="19">
        <f t="shared" si="158"/>
        <v>554.04</v>
      </c>
      <c r="AO231" s="19" t="e">
        <f t="shared" si="159"/>
        <v>#N/A</v>
      </c>
      <c r="AP231" s="19">
        <f t="shared" si="160"/>
        <v>354.04</v>
      </c>
      <c r="AQ231" s="19" t="e">
        <f t="shared" si="161"/>
        <v>#N/A</v>
      </c>
      <c r="AR231" s="19">
        <f t="shared" si="162"/>
        <v>154.04</v>
      </c>
      <c r="AS231" s="19" t="e">
        <f t="shared" si="163"/>
        <v>#N/A</v>
      </c>
      <c r="AT231"/>
      <c r="AU231"/>
      <c r="AV231"/>
      <c r="AW231"/>
      <c r="AX231"/>
      <c r="AY231"/>
      <c r="AZ231"/>
      <c r="BA231"/>
      <c r="BB231"/>
      <c r="BC231"/>
      <c r="BD231"/>
      <c r="BE231"/>
      <c r="BF231"/>
      <c r="BG231"/>
      <c r="BH231"/>
      <c r="BI231"/>
      <c r="BJ231"/>
      <c r="BK231"/>
      <c r="BL231"/>
      <c r="BM231"/>
      <c r="BN231"/>
      <c r="BO231" s="72">
        <f t="shared" si="146"/>
        <v>0.93925417959690094</v>
      </c>
      <c r="BP231" s="399" t="str">
        <f t="shared" si="140"/>
        <v/>
      </c>
      <c r="BQ231" s="19">
        <f t="shared" si="141"/>
        <v>-999</v>
      </c>
      <c r="BR231" s="19">
        <f t="shared" si="142"/>
        <v>-999</v>
      </c>
      <c r="BS231" s="401">
        <v>182</v>
      </c>
      <c r="BT231" s="72">
        <f t="shared" si="147"/>
        <v>0.20446008443832397</v>
      </c>
      <c r="BU231" s="399" t="str">
        <f t="shared" si="143"/>
        <v/>
      </c>
      <c r="BV231" s="19">
        <f t="shared" si="144"/>
        <v>-999</v>
      </c>
      <c r="BW231" s="19">
        <f t="shared" si="145"/>
        <v>-999</v>
      </c>
      <c r="BY231" s="19">
        <f t="shared" si="136"/>
        <v>94.5</v>
      </c>
      <c r="BZ231" s="19">
        <f t="shared" si="119"/>
        <v>8.4136693431947907E-2</v>
      </c>
      <c r="CA231" s="19">
        <f t="shared" si="120"/>
        <v>0.23977602992410349</v>
      </c>
      <c r="CB231"/>
      <c r="CC231"/>
      <c r="CD231"/>
      <c r="CE231"/>
      <c r="CJ231"/>
      <c r="CK231"/>
      <c r="CL231"/>
      <c r="CM231"/>
      <c r="CN231"/>
    </row>
    <row r="232" spans="14:92" ht="11.25" customHeight="1" x14ac:dyDescent="0.2">
      <c r="N232" s="19">
        <v>122</v>
      </c>
      <c r="O232" s="19">
        <f t="shared" si="137"/>
        <v>916.90499999999395</v>
      </c>
      <c r="P232" s="19">
        <f t="shared" si="138"/>
        <v>716.90499999999395</v>
      </c>
      <c r="Q232"/>
      <c r="R232" s="19">
        <f t="shared" si="139"/>
        <v>516.90500000000043</v>
      </c>
      <c r="S232"/>
      <c r="T232"/>
      <c r="U232"/>
      <c r="V232"/>
      <c r="W232"/>
      <c r="X232"/>
      <c r="Y232"/>
      <c r="Z232" s="19">
        <f t="shared" si="148"/>
        <v>312.88000000000079</v>
      </c>
      <c r="AA232" s="19">
        <f t="shared" si="149"/>
        <v>112.88000000000039</v>
      </c>
      <c r="AB232" s="19" t="e">
        <f t="shared" si="150"/>
        <v>#N/A</v>
      </c>
      <c r="AC232"/>
      <c r="AD232"/>
      <c r="AE232" s="19">
        <v>141</v>
      </c>
      <c r="AG232" s="19">
        <f t="shared" si="151"/>
        <v>9</v>
      </c>
      <c r="AH232" s="19">
        <f t="shared" si="152"/>
        <v>-1</v>
      </c>
      <c r="AI232" s="19">
        <f t="shared" si="153"/>
        <v>18.515000000000001</v>
      </c>
      <c r="AJ232" s="410">
        <f t="shared" si="154"/>
        <v>830.52</v>
      </c>
      <c r="AK232" s="19" t="e">
        <f t="shared" si="155"/>
        <v>#N/A</v>
      </c>
      <c r="AL232" s="19">
        <f t="shared" si="156"/>
        <v>630.52</v>
      </c>
      <c r="AM232" s="19" t="e">
        <f t="shared" si="157"/>
        <v>#N/A</v>
      </c>
      <c r="AN232" s="19">
        <f t="shared" si="158"/>
        <v>430.52</v>
      </c>
      <c r="AO232" s="19" t="e">
        <f t="shared" si="159"/>
        <v>#N/A</v>
      </c>
      <c r="AP232" s="19">
        <f t="shared" si="160"/>
        <v>230.51999999999998</v>
      </c>
      <c r="AQ232" s="19" t="e">
        <f t="shared" si="161"/>
        <v>#N/A</v>
      </c>
      <c r="AR232" s="19">
        <f t="shared" si="162"/>
        <v>30.519999999999996</v>
      </c>
      <c r="AS232" s="19" t="e">
        <f t="shared" si="163"/>
        <v>#N/A</v>
      </c>
      <c r="AT232"/>
      <c r="AU232"/>
      <c r="AV232"/>
      <c r="AW232"/>
      <c r="AX232"/>
      <c r="AY232"/>
      <c r="AZ232"/>
      <c r="BA232"/>
      <c r="BB232"/>
      <c r="BC232"/>
      <c r="BD232"/>
      <c r="BE232"/>
      <c r="BF232"/>
      <c r="BG232"/>
      <c r="BH232"/>
      <c r="BI232"/>
      <c r="BJ232"/>
      <c r="BK232"/>
      <c r="BL232"/>
      <c r="BM232"/>
      <c r="BN232"/>
      <c r="BO232" s="72">
        <f t="shared" si="146"/>
        <v>6.2733441591262817E-3</v>
      </c>
      <c r="BP232" s="399" t="str">
        <f t="shared" si="140"/>
        <v/>
      </c>
      <c r="BQ232" s="19">
        <f t="shared" si="141"/>
        <v>-999</v>
      </c>
      <c r="BR232" s="19">
        <f t="shared" si="142"/>
        <v>-999</v>
      </c>
      <c r="BS232" s="401">
        <v>183</v>
      </c>
      <c r="BT232" s="72">
        <f t="shared" si="147"/>
        <v>0.50236433744430542</v>
      </c>
      <c r="BU232" s="399" t="str">
        <f t="shared" si="143"/>
        <v/>
      </c>
      <c r="BV232" s="19">
        <f t="shared" si="144"/>
        <v>-999</v>
      </c>
      <c r="BW232" s="19">
        <f t="shared" si="145"/>
        <v>-999</v>
      </c>
      <c r="BY232" s="19">
        <f t="shared" si="136"/>
        <v>95</v>
      </c>
      <c r="BZ232" s="19">
        <f t="shared" si="119"/>
        <v>7.9559508718227673E-2</v>
      </c>
      <c r="CA232" s="19">
        <f t="shared" si="120"/>
        <v>0.22978469894723427</v>
      </c>
      <c r="CB232"/>
      <c r="CC232"/>
      <c r="CD232"/>
      <c r="CE232"/>
      <c r="CJ232"/>
      <c r="CK232"/>
      <c r="CL232"/>
      <c r="CM232"/>
      <c r="CN232"/>
    </row>
    <row r="233" spans="14:92" ht="11.25" customHeight="1" x14ac:dyDescent="0.2">
      <c r="N233" s="19">
        <v>123</v>
      </c>
      <c r="O233" s="19">
        <f t="shared" si="137"/>
        <v>917.7099999999939</v>
      </c>
      <c r="P233" s="19">
        <f t="shared" si="138"/>
        <v>717.7099999999939</v>
      </c>
      <c r="Q233"/>
      <c r="R233" s="19">
        <f t="shared" si="139"/>
        <v>517.71000000000038</v>
      </c>
      <c r="S233"/>
      <c r="T233"/>
      <c r="U233"/>
      <c r="V233"/>
      <c r="W233"/>
      <c r="X233"/>
      <c r="Y233"/>
      <c r="Z233" s="19">
        <f t="shared" si="148"/>
        <v>313.6850000000008</v>
      </c>
      <c r="AA233" s="19">
        <f t="shared" si="149"/>
        <v>113.6850000000004</v>
      </c>
      <c r="AB233" s="19" t="e">
        <f t="shared" si="150"/>
        <v>#N/A</v>
      </c>
      <c r="AC233"/>
      <c r="AD233"/>
      <c r="AE233" s="19">
        <v>142</v>
      </c>
      <c r="AG233" s="19">
        <f t="shared" si="151"/>
        <v>9</v>
      </c>
      <c r="AH233" s="19">
        <f t="shared" si="152"/>
        <v>1</v>
      </c>
      <c r="AI233" s="19">
        <f t="shared" si="153"/>
        <v>18.515000000000001</v>
      </c>
      <c r="AJ233" s="410">
        <f t="shared" si="154"/>
        <v>969.48</v>
      </c>
      <c r="AK233" s="19" t="e">
        <f t="shared" si="155"/>
        <v>#N/A</v>
      </c>
      <c r="AL233" s="19">
        <f t="shared" si="156"/>
        <v>769.48</v>
      </c>
      <c r="AM233" s="19" t="e">
        <f t="shared" si="157"/>
        <v>#N/A</v>
      </c>
      <c r="AN233" s="19">
        <f t="shared" si="158"/>
        <v>569.48</v>
      </c>
      <c r="AO233" s="19" t="e">
        <f t="shared" si="159"/>
        <v>#N/A</v>
      </c>
      <c r="AP233" s="19">
        <f t="shared" si="160"/>
        <v>369.48</v>
      </c>
      <c r="AQ233" s="19" t="e">
        <f t="shared" si="161"/>
        <v>#N/A</v>
      </c>
      <c r="AR233" s="19">
        <f t="shared" si="162"/>
        <v>169.48000000000002</v>
      </c>
      <c r="AS233" s="19" t="e">
        <f t="shared" si="163"/>
        <v>#N/A</v>
      </c>
      <c r="AT233"/>
      <c r="AU233"/>
      <c r="AV233"/>
      <c r="AW233"/>
      <c r="AX233"/>
      <c r="AY233"/>
      <c r="AZ233"/>
      <c r="BA233"/>
      <c r="BB233"/>
      <c r="BC233"/>
      <c r="BD233"/>
      <c r="BE233"/>
      <c r="BF233"/>
      <c r="BG233"/>
      <c r="BH233"/>
      <c r="BI233"/>
      <c r="BJ233"/>
      <c r="BK233"/>
      <c r="BL233"/>
      <c r="BM233"/>
      <c r="BN233"/>
      <c r="BO233" s="72">
        <f t="shared" si="146"/>
        <v>0.52314473688602448</v>
      </c>
      <c r="BP233" s="399" t="str">
        <f t="shared" si="140"/>
        <v/>
      </c>
      <c r="BQ233" s="19">
        <f t="shared" si="141"/>
        <v>-999</v>
      </c>
      <c r="BR233" s="19">
        <f t="shared" si="142"/>
        <v>-999</v>
      </c>
      <c r="BS233" s="401">
        <v>184</v>
      </c>
      <c r="BT233" s="72">
        <f t="shared" si="147"/>
        <v>0.90517944097518921</v>
      </c>
      <c r="BU233" s="399" t="str">
        <f t="shared" si="143"/>
        <v/>
      </c>
      <c r="BV233" s="19">
        <f t="shared" si="144"/>
        <v>-999</v>
      </c>
      <c r="BW233" s="19">
        <f t="shared" si="145"/>
        <v>-999</v>
      </c>
      <c r="BY233" s="19">
        <f t="shared" si="136"/>
        <v>95.5</v>
      </c>
      <c r="BZ233" s="19">
        <f t="shared" si="119"/>
        <v>7.5184326045271158E-2</v>
      </c>
      <c r="CA233" s="19">
        <f t="shared" si="120"/>
        <v>0.22007211299479593</v>
      </c>
      <c r="CB233"/>
      <c r="CC233"/>
      <c r="CD233"/>
      <c r="CE233"/>
      <c r="CJ233"/>
      <c r="CK233"/>
      <c r="CL233"/>
      <c r="CM233"/>
      <c r="CN233"/>
    </row>
    <row r="234" spans="14:92" ht="11.25" customHeight="1" x14ac:dyDescent="0.2">
      <c r="N234" s="19">
        <v>124</v>
      </c>
      <c r="O234" s="19">
        <f t="shared" si="137"/>
        <v>918.51499999999385</v>
      </c>
      <c r="P234" s="19">
        <f t="shared" si="138"/>
        <v>718.51499999999385</v>
      </c>
      <c r="Q234"/>
      <c r="R234" s="19">
        <f t="shared" si="139"/>
        <v>518.51500000000033</v>
      </c>
      <c r="S234"/>
      <c r="T234"/>
      <c r="U234"/>
      <c r="V234"/>
      <c r="W234"/>
      <c r="X234"/>
      <c r="Y234"/>
      <c r="Z234" s="19">
        <f t="shared" si="148"/>
        <v>314.4900000000008</v>
      </c>
      <c r="AA234" s="19">
        <f t="shared" si="149"/>
        <v>114.49000000000041</v>
      </c>
      <c r="AB234" s="19" t="e">
        <f t="shared" si="150"/>
        <v>#N/A</v>
      </c>
      <c r="AC234"/>
      <c r="AD234"/>
      <c r="AE234" s="19">
        <v>143</v>
      </c>
      <c r="AG234" s="19">
        <f t="shared" si="151"/>
        <v>11</v>
      </c>
      <c r="AH234" s="19">
        <f t="shared" si="152"/>
        <v>-1</v>
      </c>
      <c r="AI234" s="19">
        <f t="shared" si="153"/>
        <v>18.515000000000001</v>
      </c>
      <c r="AJ234" s="410">
        <f t="shared" si="154"/>
        <v>815.08</v>
      </c>
      <c r="AK234" s="19" t="e">
        <f t="shared" si="155"/>
        <v>#N/A</v>
      </c>
      <c r="AL234" s="19">
        <f t="shared" si="156"/>
        <v>615.08000000000004</v>
      </c>
      <c r="AM234" s="19" t="e">
        <f t="shared" si="157"/>
        <v>#N/A</v>
      </c>
      <c r="AN234" s="19">
        <f t="shared" si="158"/>
        <v>415.08</v>
      </c>
      <c r="AO234" s="19" t="e">
        <f t="shared" si="159"/>
        <v>#N/A</v>
      </c>
      <c r="AP234" s="19">
        <f t="shared" si="160"/>
        <v>215.07999999999998</v>
      </c>
      <c r="AQ234" s="19" t="e">
        <f t="shared" si="161"/>
        <v>#N/A</v>
      </c>
      <c r="AR234" s="19">
        <f t="shared" si="162"/>
        <v>15.079999999999998</v>
      </c>
      <c r="AS234" s="19" t="e">
        <f t="shared" si="163"/>
        <v>#N/A</v>
      </c>
      <c r="AT234"/>
      <c r="AU234"/>
      <c r="AV234"/>
      <c r="AW234"/>
      <c r="AX234"/>
      <c r="AY234"/>
      <c r="AZ234"/>
      <c r="BA234"/>
      <c r="BB234"/>
      <c r="BC234"/>
      <c r="BD234"/>
      <c r="BE234"/>
      <c r="BF234"/>
      <c r="BG234"/>
      <c r="BH234"/>
      <c r="BI234"/>
      <c r="BJ234"/>
      <c r="BK234"/>
      <c r="BL234"/>
      <c r="BM234"/>
      <c r="BN234"/>
      <c r="BO234" s="72">
        <f t="shared" si="146"/>
        <v>0.16974182426929474</v>
      </c>
      <c r="BP234" s="399" t="str">
        <f t="shared" si="140"/>
        <v/>
      </c>
      <c r="BQ234" s="19">
        <f t="shared" si="141"/>
        <v>-999</v>
      </c>
      <c r="BR234" s="19">
        <f t="shared" si="142"/>
        <v>-999</v>
      </c>
      <c r="BS234" s="401">
        <v>185</v>
      </c>
      <c r="BT234" s="72">
        <f t="shared" si="147"/>
        <v>0.17708462476730347</v>
      </c>
      <c r="BU234" s="399" t="str">
        <f t="shared" si="143"/>
        <v/>
      </c>
      <c r="BV234" s="19">
        <f t="shared" si="144"/>
        <v>-999</v>
      </c>
      <c r="BW234" s="19">
        <f t="shared" si="145"/>
        <v>-999</v>
      </c>
      <c r="BY234" s="19">
        <f t="shared" si="136"/>
        <v>96</v>
      </c>
      <c r="BZ234" s="19">
        <f t="shared" ref="BZ234:BZ242" si="164">IF($BT$1,NORMDIST(BY234,$AB$3,$AB$7,FALSE)/$BP$2,NA())</f>
        <v>7.1005353739636998E-2</v>
      </c>
      <c r="CA234" s="19">
        <f t="shared" ref="CA234:CA242" si="165">IF($BT$1,NORMDIST(BY234,$AB$5,$AB$7,FALSE)/$BP$2,NA())</f>
        <v>0.21063837045188893</v>
      </c>
      <c r="CB234"/>
      <c r="CC234"/>
      <c r="CD234"/>
      <c r="CE234"/>
      <c r="CJ234"/>
      <c r="CK234"/>
      <c r="CL234"/>
      <c r="CM234"/>
      <c r="CN234"/>
    </row>
    <row r="235" spans="14:92" ht="11.25" customHeight="1" x14ac:dyDescent="0.2">
      <c r="N235" s="19">
        <v>125</v>
      </c>
      <c r="O235" s="19">
        <f t="shared" si="137"/>
        <v>919.3199999999938</v>
      </c>
      <c r="P235" s="19">
        <f t="shared" si="138"/>
        <v>719.3199999999938</v>
      </c>
      <c r="Q235"/>
      <c r="R235" s="19">
        <f t="shared" si="139"/>
        <v>519.32000000000028</v>
      </c>
      <c r="S235"/>
      <c r="T235"/>
      <c r="U235"/>
      <c r="V235"/>
      <c r="W235"/>
      <c r="X235"/>
      <c r="Y235"/>
      <c r="Z235" s="19">
        <f t="shared" si="148"/>
        <v>315.29500000000081</v>
      </c>
      <c r="AA235" s="19">
        <f t="shared" si="149"/>
        <v>115.29500000000041</v>
      </c>
      <c r="AB235" s="19" t="e">
        <f t="shared" si="150"/>
        <v>#N/A</v>
      </c>
      <c r="AC235"/>
      <c r="AD235"/>
      <c r="AE235" s="19">
        <v>144</v>
      </c>
      <c r="AG235" s="19">
        <f t="shared" si="151"/>
        <v>11</v>
      </c>
      <c r="AH235" s="19">
        <f t="shared" si="152"/>
        <v>1</v>
      </c>
      <c r="AI235" s="19">
        <f t="shared" si="153"/>
        <v>18.515000000000001</v>
      </c>
      <c r="AJ235" s="410">
        <f t="shared" si="154"/>
        <v>984.92</v>
      </c>
      <c r="AK235" s="19" t="e">
        <f t="shared" si="155"/>
        <v>#N/A</v>
      </c>
      <c r="AL235" s="19">
        <f t="shared" si="156"/>
        <v>784.92</v>
      </c>
      <c r="AM235" s="19" t="e">
        <f t="shared" si="157"/>
        <v>#N/A</v>
      </c>
      <c r="AN235" s="19">
        <f t="shared" si="158"/>
        <v>584.91999999999996</v>
      </c>
      <c r="AO235" s="19" t="e">
        <f t="shared" si="159"/>
        <v>#N/A</v>
      </c>
      <c r="AP235" s="19">
        <f t="shared" si="160"/>
        <v>384.92</v>
      </c>
      <c r="AQ235" s="19" t="e">
        <f t="shared" si="161"/>
        <v>#N/A</v>
      </c>
      <c r="AR235" s="19">
        <f t="shared" si="162"/>
        <v>184.92000000000002</v>
      </c>
      <c r="AS235" s="19" t="e">
        <f t="shared" si="163"/>
        <v>#N/A</v>
      </c>
      <c r="AT235"/>
      <c r="AU235"/>
      <c r="AV235"/>
      <c r="AW235"/>
      <c r="AX235"/>
      <c r="AY235"/>
      <c r="AZ235"/>
      <c r="BA235"/>
      <c r="BB235"/>
      <c r="BC235"/>
      <c r="BD235"/>
      <c r="BE235"/>
      <c r="BF235"/>
      <c r="BG235"/>
      <c r="BH235"/>
      <c r="BI235"/>
      <c r="BJ235"/>
      <c r="BK235"/>
      <c r="BL235"/>
      <c r="BM235"/>
      <c r="BN235"/>
      <c r="BO235" s="72">
        <f t="shared" si="146"/>
        <v>0.44933666288852692</v>
      </c>
      <c r="BP235" s="399" t="str">
        <f t="shared" si="140"/>
        <v/>
      </c>
      <c r="BQ235" s="19">
        <f t="shared" si="141"/>
        <v>-999</v>
      </c>
      <c r="BR235" s="19">
        <f t="shared" si="142"/>
        <v>-999</v>
      </c>
      <c r="BS235" s="401">
        <v>186</v>
      </c>
      <c r="BT235" s="72">
        <f t="shared" si="147"/>
        <v>0.54977315664291382</v>
      </c>
      <c r="BU235" s="399" t="str">
        <f t="shared" si="143"/>
        <v/>
      </c>
      <c r="BV235" s="19">
        <f t="shared" si="144"/>
        <v>-999</v>
      </c>
      <c r="BW235" s="19">
        <f t="shared" si="145"/>
        <v>-999</v>
      </c>
      <c r="BY235" s="19">
        <f t="shared" ref="BY235:BY242" si="166">BY234+$BP$1</f>
        <v>96.5</v>
      </c>
      <c r="BZ235" s="19">
        <f t="shared" si="164"/>
        <v>6.7016762789207263E-2</v>
      </c>
      <c r="CA235" s="19">
        <f t="shared" si="165"/>
        <v>0.20148305407807937</v>
      </c>
      <c r="CB235"/>
      <c r="CC235"/>
      <c r="CD235"/>
      <c r="CE235"/>
      <c r="CJ235"/>
      <c r="CK235"/>
      <c r="CL235"/>
      <c r="CM235"/>
      <c r="CN235"/>
    </row>
    <row r="236" spans="14:92" ht="11.25" customHeight="1" x14ac:dyDescent="0.2">
      <c r="N236" s="19">
        <v>126</v>
      </c>
      <c r="O236" s="19">
        <f t="shared" si="137"/>
        <v>920.12499999999375</v>
      </c>
      <c r="P236" s="19">
        <f t="shared" si="138"/>
        <v>720.12499999999375</v>
      </c>
      <c r="Q236"/>
      <c r="R236" s="19">
        <f t="shared" si="139"/>
        <v>520.12500000000023</v>
      </c>
      <c r="S236"/>
      <c r="T236"/>
      <c r="U236"/>
      <c r="V236"/>
      <c r="W236"/>
      <c r="X236"/>
      <c r="Y236"/>
      <c r="Z236" s="19">
        <f t="shared" si="148"/>
        <v>316.10000000000082</v>
      </c>
      <c r="AA236" s="19">
        <f t="shared" si="149"/>
        <v>116.10000000000042</v>
      </c>
      <c r="AB236" s="19" t="e">
        <f t="shared" si="150"/>
        <v>#N/A</v>
      </c>
      <c r="AC236"/>
      <c r="AD236"/>
      <c r="AE236" s="19">
        <v>145</v>
      </c>
      <c r="AG236" s="19">
        <f t="shared" si="151"/>
        <v>1</v>
      </c>
      <c r="AH236" s="19">
        <f t="shared" si="152"/>
        <v>-1</v>
      </c>
      <c r="AI236" s="19">
        <f t="shared" si="153"/>
        <v>20.125</v>
      </c>
      <c r="AJ236" s="410">
        <f t="shared" si="154"/>
        <v>892.28</v>
      </c>
      <c r="AK236" s="19" t="e">
        <f t="shared" si="155"/>
        <v>#N/A</v>
      </c>
      <c r="AL236" s="19">
        <f t="shared" si="156"/>
        <v>692.28</v>
      </c>
      <c r="AM236" s="19" t="e">
        <f t="shared" si="157"/>
        <v>#N/A</v>
      </c>
      <c r="AN236" s="19">
        <f t="shared" si="158"/>
        <v>492.28</v>
      </c>
      <c r="AO236" s="19" t="e">
        <f t="shared" si="159"/>
        <v>#N/A</v>
      </c>
      <c r="AP236" s="19">
        <f t="shared" si="160"/>
        <v>292.27999999999997</v>
      </c>
      <c r="AQ236" s="19" t="e">
        <f t="shared" si="161"/>
        <v>#N/A</v>
      </c>
      <c r="AR236" s="19">
        <f t="shared" si="162"/>
        <v>92.28</v>
      </c>
      <c r="AS236" s="19" t="e">
        <f t="shared" si="163"/>
        <v>#N/A</v>
      </c>
      <c r="AT236"/>
      <c r="AU236"/>
      <c r="AV236"/>
      <c r="AW236"/>
      <c r="AX236"/>
      <c r="AY236"/>
      <c r="AZ236"/>
      <c r="BA236"/>
      <c r="BB236"/>
      <c r="BC236"/>
      <c r="BD236"/>
      <c r="BE236"/>
      <c r="BF236"/>
      <c r="BG236"/>
      <c r="BH236"/>
      <c r="BI236"/>
      <c r="BJ236"/>
      <c r="BK236"/>
      <c r="BL236"/>
      <c r="BM236"/>
      <c r="BN236"/>
      <c r="BO236" s="72">
        <f t="shared" si="146"/>
        <v>0.47026188671588898</v>
      </c>
      <c r="BP236" s="399" t="str">
        <f t="shared" si="140"/>
        <v/>
      </c>
      <c r="BQ236" s="19">
        <f t="shared" si="141"/>
        <v>-999</v>
      </c>
      <c r="BR236" s="19">
        <f t="shared" si="142"/>
        <v>-999</v>
      </c>
      <c r="BS236" s="401">
        <v>187</v>
      </c>
      <c r="BT236" s="72">
        <f t="shared" si="147"/>
        <v>0.71348017454147339</v>
      </c>
      <c r="BU236" s="399" t="str">
        <f t="shared" si="143"/>
        <v/>
      </c>
      <c r="BV236" s="19">
        <f t="shared" si="144"/>
        <v>-999</v>
      </c>
      <c r="BW236" s="19">
        <f t="shared" si="145"/>
        <v>-999</v>
      </c>
      <c r="BY236" s="19">
        <f t="shared" si="166"/>
        <v>97</v>
      </c>
      <c r="BZ236" s="19">
        <f t="shared" si="164"/>
        <v>6.3212703075288826E-2</v>
      </c>
      <c r="CA236" s="19">
        <f t="shared" si="165"/>
        <v>0.19260525412611326</v>
      </c>
      <c r="CB236"/>
      <c r="CC236"/>
      <c r="CD236"/>
      <c r="CE236"/>
      <c r="CJ236"/>
      <c r="CK236"/>
      <c r="CL236"/>
      <c r="CM236"/>
      <c r="CN236"/>
    </row>
    <row r="237" spans="14:92" ht="11.25" customHeight="1" x14ac:dyDescent="0.2">
      <c r="N237" s="19">
        <v>127</v>
      </c>
      <c r="O237" s="19">
        <f t="shared" si="137"/>
        <v>920.9299999999937</v>
      </c>
      <c r="P237" s="19">
        <f t="shared" si="138"/>
        <v>720.9299999999937</v>
      </c>
      <c r="Q237"/>
      <c r="R237" s="19">
        <f t="shared" si="139"/>
        <v>520.93000000000018</v>
      </c>
      <c r="S237"/>
      <c r="T237"/>
      <c r="U237"/>
      <c r="V237"/>
      <c r="W237"/>
      <c r="X237"/>
      <c r="Y237"/>
      <c r="Z237" s="19">
        <f t="shared" si="148"/>
        <v>316.90500000000083</v>
      </c>
      <c r="AA237" s="19">
        <f t="shared" si="149"/>
        <v>116.90500000000043</v>
      </c>
      <c r="AB237" s="19" t="e">
        <f t="shared" si="150"/>
        <v>#N/A</v>
      </c>
      <c r="AC237"/>
      <c r="AD237"/>
      <c r="AE237" s="19">
        <v>146</v>
      </c>
      <c r="AG237" s="19">
        <f t="shared" si="151"/>
        <v>1</v>
      </c>
      <c r="AH237" s="19">
        <f t="shared" si="152"/>
        <v>1</v>
      </c>
      <c r="AI237" s="19">
        <f t="shared" si="153"/>
        <v>20.125</v>
      </c>
      <c r="AJ237" s="410">
        <f t="shared" si="154"/>
        <v>907.72</v>
      </c>
      <c r="AK237" s="19" t="e">
        <f t="shared" si="155"/>
        <v>#N/A</v>
      </c>
      <c r="AL237" s="19">
        <f t="shared" si="156"/>
        <v>707.72</v>
      </c>
      <c r="AM237" s="19" t="e">
        <f t="shared" si="157"/>
        <v>#N/A</v>
      </c>
      <c r="AN237" s="19">
        <f t="shared" si="158"/>
        <v>507.72</v>
      </c>
      <c r="AO237" s="19" t="e">
        <f t="shared" si="159"/>
        <v>#N/A</v>
      </c>
      <c r="AP237" s="19">
        <f t="shared" si="160"/>
        <v>307.72000000000003</v>
      </c>
      <c r="AQ237" s="19" t="e">
        <f t="shared" si="161"/>
        <v>#N/A</v>
      </c>
      <c r="AR237" s="19">
        <f t="shared" si="162"/>
        <v>107.72</v>
      </c>
      <c r="AS237" s="19" t="e">
        <f t="shared" si="163"/>
        <v>#N/A</v>
      </c>
      <c r="AT237"/>
      <c r="AU237"/>
      <c r="AV237"/>
      <c r="AW237"/>
      <c r="AX237"/>
      <c r="AY237"/>
      <c r="AZ237"/>
      <c r="BA237"/>
      <c r="BB237"/>
      <c r="BC237"/>
      <c r="BD237"/>
      <c r="BE237"/>
      <c r="BF237"/>
      <c r="BG237"/>
      <c r="BH237"/>
      <c r="BI237"/>
      <c r="BJ237"/>
      <c r="BK237"/>
      <c r="BL237"/>
      <c r="BM237"/>
      <c r="BN237"/>
      <c r="BO237" s="72">
        <f t="shared" si="146"/>
        <v>0.98056341707706451</v>
      </c>
      <c r="BP237" s="399" t="str">
        <f t="shared" si="140"/>
        <v/>
      </c>
      <c r="BQ237" s="19">
        <f t="shared" si="141"/>
        <v>-999</v>
      </c>
      <c r="BR237" s="19">
        <f t="shared" si="142"/>
        <v>-999</v>
      </c>
      <c r="BS237" s="401">
        <v>188</v>
      </c>
      <c r="BT237" s="72">
        <f t="shared" si="147"/>
        <v>2.0657002925872803E-2</v>
      </c>
      <c r="BU237" s="399" t="str">
        <f t="shared" si="143"/>
        <v/>
      </c>
      <c r="BV237" s="19">
        <f t="shared" si="144"/>
        <v>-999</v>
      </c>
      <c r="BW237" s="19">
        <f t="shared" si="145"/>
        <v>-999</v>
      </c>
      <c r="BY237" s="19">
        <f t="shared" si="166"/>
        <v>97.5</v>
      </c>
      <c r="BZ237" s="19">
        <f t="shared" si="164"/>
        <v>5.9587318761986086E-2</v>
      </c>
      <c r="CA237" s="19">
        <f t="shared" si="165"/>
        <v>0.18400359196771987</v>
      </c>
      <c r="CB237"/>
      <c r="CC237"/>
      <c r="CD237"/>
      <c r="CE237"/>
      <c r="CJ237"/>
      <c r="CK237"/>
      <c r="CL237"/>
      <c r="CM237"/>
      <c r="CN237"/>
    </row>
    <row r="238" spans="14:92" ht="11.25" customHeight="1" x14ac:dyDescent="0.2">
      <c r="N238" s="19">
        <v>128</v>
      </c>
      <c r="O238" s="19">
        <f t="shared" si="137"/>
        <v>921.73499999999365</v>
      </c>
      <c r="P238" s="19">
        <f t="shared" si="138"/>
        <v>721.73499999999365</v>
      </c>
      <c r="Q238"/>
      <c r="R238" s="19">
        <f t="shared" si="139"/>
        <v>521.73500000000013</v>
      </c>
      <c r="S238"/>
      <c r="T238"/>
      <c r="U238"/>
      <c r="V238"/>
      <c r="W238"/>
      <c r="X238"/>
      <c r="Y238"/>
      <c r="Z238" s="19">
        <f t="shared" si="148"/>
        <v>317.71000000000083</v>
      </c>
      <c r="AA238" s="19">
        <f t="shared" si="149"/>
        <v>117.71000000000043</v>
      </c>
      <c r="AB238" s="19" t="e">
        <f t="shared" si="150"/>
        <v>#N/A</v>
      </c>
      <c r="AC238"/>
      <c r="AD238"/>
      <c r="AE238" s="19">
        <v>147</v>
      </c>
      <c r="AG238" s="19">
        <f t="shared" si="151"/>
        <v>3</v>
      </c>
      <c r="AH238" s="19">
        <f t="shared" si="152"/>
        <v>-1</v>
      </c>
      <c r="AI238" s="19">
        <f t="shared" si="153"/>
        <v>20.125</v>
      </c>
      <c r="AJ238" s="410">
        <f t="shared" si="154"/>
        <v>876.84</v>
      </c>
      <c r="AK238" s="19" t="e">
        <f t="shared" si="155"/>
        <v>#N/A</v>
      </c>
      <c r="AL238" s="19">
        <f t="shared" si="156"/>
        <v>676.84</v>
      </c>
      <c r="AM238" s="19" t="e">
        <f t="shared" si="157"/>
        <v>#N/A</v>
      </c>
      <c r="AN238" s="19">
        <f t="shared" si="158"/>
        <v>476.84</v>
      </c>
      <c r="AO238" s="19" t="e">
        <f t="shared" si="159"/>
        <v>#N/A</v>
      </c>
      <c r="AP238" s="19">
        <f t="shared" si="160"/>
        <v>276.83999999999997</v>
      </c>
      <c r="AQ238" s="19" t="e">
        <f t="shared" si="161"/>
        <v>#N/A</v>
      </c>
      <c r="AR238" s="19">
        <f t="shared" si="162"/>
        <v>76.84</v>
      </c>
      <c r="AS238" s="19" t="e">
        <f t="shared" si="163"/>
        <v>#N/A</v>
      </c>
      <c r="AT238"/>
      <c r="AU238"/>
      <c r="AV238"/>
      <c r="AW238"/>
      <c r="AX238"/>
      <c r="AY238"/>
      <c r="AZ238"/>
      <c r="BA238"/>
      <c r="BB238"/>
      <c r="BC238"/>
      <c r="BD238"/>
      <c r="BE238"/>
      <c r="BF238"/>
      <c r="BG238"/>
      <c r="BH238"/>
      <c r="BI238"/>
      <c r="BJ238"/>
      <c r="BK238"/>
      <c r="BL238"/>
      <c r="BM238"/>
      <c r="BN238"/>
      <c r="BO238" s="72">
        <f t="shared" si="146"/>
        <v>0.91809506714344025</v>
      </c>
      <c r="BP238" s="399" t="str">
        <f t="shared" si="140"/>
        <v/>
      </c>
      <c r="BQ238" s="19">
        <f t="shared" si="141"/>
        <v>-999</v>
      </c>
      <c r="BR238" s="19">
        <f t="shared" si="142"/>
        <v>-999</v>
      </c>
      <c r="BS238" s="401">
        <v>189</v>
      </c>
      <c r="BT238" s="72">
        <f t="shared" si="147"/>
        <v>0.29779976606369019</v>
      </c>
      <c r="BU238" s="399" t="str">
        <f t="shared" si="143"/>
        <v/>
      </c>
      <c r="BV238" s="19">
        <f t="shared" si="144"/>
        <v>-999</v>
      </c>
      <c r="BW238" s="19">
        <f t="shared" si="145"/>
        <v>-999</v>
      </c>
      <c r="BY238" s="19">
        <f t="shared" si="166"/>
        <v>98</v>
      </c>
      <c r="BZ238" s="19">
        <f t="shared" si="164"/>
        <v>5.6134762834133725E-2</v>
      </c>
      <c r="CA238" s="19">
        <f t="shared" si="165"/>
        <v>0.17567624411786878</v>
      </c>
      <c r="CB238"/>
      <c r="CC238"/>
      <c r="CD238"/>
      <c r="CE238"/>
      <c r="CJ238"/>
      <c r="CK238"/>
      <c r="CL238"/>
      <c r="CM238"/>
      <c r="CN238"/>
    </row>
    <row r="239" spans="14:92" ht="11.25" customHeight="1" x14ac:dyDescent="0.2">
      <c r="N239" s="19">
        <v>129</v>
      </c>
      <c r="O239" s="19">
        <f t="shared" si="137"/>
        <v>922.5399999999936</v>
      </c>
      <c r="P239" s="19">
        <f t="shared" si="138"/>
        <v>722.5399999999936</v>
      </c>
      <c r="Q239"/>
      <c r="R239" s="19">
        <f t="shared" si="139"/>
        <v>522.54000000000008</v>
      </c>
      <c r="S239"/>
      <c r="T239"/>
      <c r="U239"/>
      <c r="V239"/>
      <c r="W239"/>
      <c r="X239"/>
      <c r="Y239"/>
      <c r="Z239" s="19">
        <f t="shared" si="148"/>
        <v>318.51500000000084</v>
      </c>
      <c r="AA239" s="19">
        <f t="shared" si="149"/>
        <v>118.51500000000044</v>
      </c>
      <c r="AB239" s="19" t="e">
        <f t="shared" si="150"/>
        <v>#N/A</v>
      </c>
      <c r="AC239"/>
      <c r="AD239"/>
      <c r="AE239" s="19">
        <v>148</v>
      </c>
      <c r="AG239" s="19">
        <f t="shared" si="151"/>
        <v>3</v>
      </c>
      <c r="AH239" s="19">
        <f t="shared" si="152"/>
        <v>1</v>
      </c>
      <c r="AI239" s="19">
        <f t="shared" si="153"/>
        <v>20.125</v>
      </c>
      <c r="AJ239" s="410">
        <f t="shared" si="154"/>
        <v>923.16</v>
      </c>
      <c r="AK239" s="19" t="e">
        <f t="shared" si="155"/>
        <v>#N/A</v>
      </c>
      <c r="AL239" s="19">
        <f t="shared" si="156"/>
        <v>723.16</v>
      </c>
      <c r="AM239" s="19" t="e">
        <f t="shared" si="157"/>
        <v>#N/A</v>
      </c>
      <c r="AN239" s="19">
        <f t="shared" si="158"/>
        <v>523.16</v>
      </c>
      <c r="AO239" s="19" t="e">
        <f t="shared" si="159"/>
        <v>#N/A</v>
      </c>
      <c r="AP239" s="19">
        <f t="shared" si="160"/>
        <v>323.16000000000003</v>
      </c>
      <c r="AQ239" s="19" t="e">
        <f t="shared" si="161"/>
        <v>#N/A</v>
      </c>
      <c r="AR239" s="19">
        <f t="shared" si="162"/>
        <v>123.16</v>
      </c>
      <c r="AS239" s="19" t="e">
        <f t="shared" si="163"/>
        <v>#N/A</v>
      </c>
      <c r="AT239"/>
      <c r="AU239"/>
      <c r="AV239"/>
      <c r="AW239"/>
      <c r="AX239"/>
      <c r="AY239"/>
      <c r="AZ239"/>
      <c r="BA239"/>
      <c r="BB239"/>
      <c r="BC239"/>
      <c r="BD239"/>
      <c r="BE239"/>
      <c r="BF239"/>
      <c r="BG239"/>
      <c r="BH239"/>
      <c r="BI239"/>
      <c r="BJ239"/>
      <c r="BK239"/>
      <c r="BL239"/>
      <c r="BM239"/>
      <c r="BN239"/>
      <c r="BO239" s="72">
        <f t="shared" si="146"/>
        <v>0.60667027533054352</v>
      </c>
      <c r="BP239" s="399" t="str">
        <f t="shared" si="140"/>
        <v/>
      </c>
      <c r="BQ239" s="19">
        <f t="shared" si="141"/>
        <v>-999</v>
      </c>
      <c r="BR239" s="19">
        <f t="shared" si="142"/>
        <v>-999</v>
      </c>
      <c r="BS239" s="401">
        <v>190</v>
      </c>
      <c r="BT239" s="72">
        <f t="shared" si="147"/>
        <v>0.53203386068344116</v>
      </c>
      <c r="BU239" s="399" t="str">
        <f t="shared" si="143"/>
        <v/>
      </c>
      <c r="BV239" s="19">
        <f t="shared" si="144"/>
        <v>-999</v>
      </c>
      <c r="BW239" s="19">
        <f t="shared" si="145"/>
        <v>-999</v>
      </c>
      <c r="BY239" s="19">
        <f t="shared" si="166"/>
        <v>98.5</v>
      </c>
      <c r="BZ239" s="19">
        <f t="shared" si="164"/>
        <v>5.2849210779185175E-2</v>
      </c>
      <c r="CA239" s="19">
        <f t="shared" si="165"/>
        <v>0.1676209665518997</v>
      </c>
      <c r="CB239"/>
      <c r="CC239"/>
      <c r="CD239"/>
      <c r="CE239"/>
      <c r="CJ239"/>
      <c r="CK239"/>
      <c r="CL239"/>
      <c r="CM239"/>
      <c r="CN239"/>
    </row>
    <row r="240" spans="14:92" ht="11.25" customHeight="1" x14ac:dyDescent="0.2">
      <c r="N240" s="19">
        <v>130</v>
      </c>
      <c r="O240" s="19">
        <f t="shared" ref="O240:O271" si="167">O239+$P$108</f>
        <v>923.34499999999355</v>
      </c>
      <c r="P240" s="19">
        <f t="shared" ref="P240:P271" si="168">P239+$P$108</f>
        <v>723.34499999999355</v>
      </c>
      <c r="Q240"/>
      <c r="R240" s="19">
        <f t="shared" ref="R240:R271" si="169">R239+$P$108</f>
        <v>523.34500000000003</v>
      </c>
      <c r="S240"/>
      <c r="T240"/>
      <c r="U240"/>
      <c r="V240"/>
      <c r="W240"/>
      <c r="X240"/>
      <c r="Y240"/>
      <c r="Z240" s="19">
        <f t="shared" si="148"/>
        <v>319.32000000000085</v>
      </c>
      <c r="AA240" s="19">
        <f t="shared" si="149"/>
        <v>119.32000000000045</v>
      </c>
      <c r="AB240" s="19" t="e">
        <f t="shared" si="150"/>
        <v>#N/A</v>
      </c>
      <c r="AC240"/>
      <c r="AD240"/>
      <c r="AE240" s="19">
        <v>149</v>
      </c>
      <c r="AG240" s="19">
        <f t="shared" si="151"/>
        <v>5</v>
      </c>
      <c r="AH240" s="19">
        <f t="shared" si="152"/>
        <v>-1</v>
      </c>
      <c r="AI240" s="19">
        <f t="shared" si="153"/>
        <v>20.125</v>
      </c>
      <c r="AJ240" s="410">
        <f t="shared" si="154"/>
        <v>861.4</v>
      </c>
      <c r="AK240" s="19" t="e">
        <f t="shared" si="155"/>
        <v>#N/A</v>
      </c>
      <c r="AL240" s="19">
        <f t="shared" si="156"/>
        <v>661.4</v>
      </c>
      <c r="AM240" s="19" t="e">
        <f t="shared" si="157"/>
        <v>#N/A</v>
      </c>
      <c r="AN240" s="19">
        <f t="shared" si="158"/>
        <v>461.4</v>
      </c>
      <c r="AO240" s="19" t="e">
        <f t="shared" si="159"/>
        <v>#N/A</v>
      </c>
      <c r="AP240" s="19">
        <f t="shared" si="160"/>
        <v>261.39999999999998</v>
      </c>
      <c r="AQ240" s="19" t="e">
        <f t="shared" si="161"/>
        <v>#N/A</v>
      </c>
      <c r="AR240" s="19">
        <f t="shared" si="162"/>
        <v>61.4</v>
      </c>
      <c r="AS240" s="19" t="e">
        <f t="shared" si="163"/>
        <v>#N/A</v>
      </c>
      <c r="AT240"/>
      <c r="AU240"/>
      <c r="AV240"/>
      <c r="AW240"/>
      <c r="AX240"/>
      <c r="AY240"/>
      <c r="AZ240"/>
      <c r="BA240"/>
      <c r="BB240"/>
      <c r="BC240"/>
      <c r="BD240"/>
      <c r="BE240"/>
      <c r="BF240"/>
      <c r="BG240"/>
      <c r="BH240"/>
      <c r="BI240"/>
      <c r="BJ240"/>
      <c r="BK240"/>
      <c r="BL240"/>
      <c r="BM240"/>
      <c r="BN240"/>
      <c r="BO240" s="72">
        <f t="shared" si="146"/>
        <v>0.6400190144777298</v>
      </c>
      <c r="BP240" s="399" t="str">
        <f t="shared" si="140"/>
        <v/>
      </c>
      <c r="BQ240" s="19">
        <f t="shared" si="141"/>
        <v>-999</v>
      </c>
      <c r="BR240" s="19">
        <f t="shared" si="142"/>
        <v>-999</v>
      </c>
      <c r="BS240" s="401">
        <v>191</v>
      </c>
      <c r="BT240" s="72">
        <f t="shared" si="147"/>
        <v>0.52327460050582886</v>
      </c>
      <c r="BU240" s="399" t="str">
        <f t="shared" si="143"/>
        <v/>
      </c>
      <c r="BV240" s="19">
        <f t="shared" si="144"/>
        <v>-999</v>
      </c>
      <c r="BW240" s="19">
        <f t="shared" si="145"/>
        <v>-999</v>
      </c>
      <c r="BY240" s="19">
        <f t="shared" si="166"/>
        <v>99</v>
      </c>
      <c r="BZ240" s="19">
        <f t="shared" si="164"/>
        <v>4.9724873412349574E-2</v>
      </c>
      <c r="CA240" s="19">
        <f t="shared" si="165"/>
        <v>0.15983511921336993</v>
      </c>
      <c r="CB240"/>
      <c r="CC240"/>
      <c r="CD240"/>
      <c r="CE240"/>
      <c r="CJ240"/>
      <c r="CK240"/>
      <c r="CL240"/>
      <c r="CM240"/>
      <c r="CN240"/>
    </row>
    <row r="241" spans="14:92" ht="11.25" customHeight="1" x14ac:dyDescent="0.2">
      <c r="N241" s="19">
        <v>131</v>
      </c>
      <c r="O241" s="19">
        <f t="shared" si="167"/>
        <v>924.1499999999935</v>
      </c>
      <c r="P241" s="19">
        <f t="shared" si="168"/>
        <v>724.1499999999935</v>
      </c>
      <c r="Q241"/>
      <c r="R241" s="19">
        <f t="shared" si="169"/>
        <v>524.15</v>
      </c>
      <c r="S241"/>
      <c r="T241"/>
      <c r="U241"/>
      <c r="V241"/>
      <c r="W241"/>
      <c r="X241"/>
      <c r="Y241"/>
      <c r="Z241" s="19">
        <f t="shared" si="148"/>
        <v>320.12500000000085</v>
      </c>
      <c r="AA241" s="19">
        <f t="shared" si="149"/>
        <v>120.12500000000045</v>
      </c>
      <c r="AB241" s="19" t="e">
        <f t="shared" si="150"/>
        <v>#N/A</v>
      </c>
      <c r="AC241"/>
      <c r="AD241"/>
      <c r="AE241" s="19">
        <v>150</v>
      </c>
      <c r="AG241" s="19">
        <f t="shared" si="151"/>
        <v>5</v>
      </c>
      <c r="AH241" s="19">
        <f t="shared" si="152"/>
        <v>1</v>
      </c>
      <c r="AI241" s="19">
        <f t="shared" si="153"/>
        <v>20.125</v>
      </c>
      <c r="AJ241" s="410">
        <f t="shared" si="154"/>
        <v>938.6</v>
      </c>
      <c r="AK241" s="19" t="e">
        <f t="shared" si="155"/>
        <v>#N/A</v>
      </c>
      <c r="AL241" s="19">
        <f t="shared" si="156"/>
        <v>738.6</v>
      </c>
      <c r="AM241" s="19" t="e">
        <f t="shared" si="157"/>
        <v>#N/A</v>
      </c>
      <c r="AN241" s="19">
        <f t="shared" si="158"/>
        <v>538.6</v>
      </c>
      <c r="AO241" s="19" t="e">
        <f t="shared" si="159"/>
        <v>#N/A</v>
      </c>
      <c r="AP241" s="19">
        <f t="shared" si="160"/>
        <v>338.6</v>
      </c>
      <c r="AQ241" s="19" t="e">
        <f t="shared" si="161"/>
        <v>#N/A</v>
      </c>
      <c r="AR241" s="19">
        <f t="shared" si="162"/>
        <v>138.6</v>
      </c>
      <c r="AS241" s="19" t="e">
        <f t="shared" si="163"/>
        <v>#N/A</v>
      </c>
      <c r="AT241"/>
      <c r="AU241"/>
      <c r="AV241"/>
      <c r="AW241"/>
      <c r="AX241"/>
      <c r="AY241"/>
      <c r="AZ241"/>
      <c r="BA241"/>
      <c r="BB241"/>
      <c r="BC241"/>
      <c r="BD241"/>
      <c r="BE241"/>
      <c r="BF241"/>
      <c r="BG241"/>
      <c r="BH241"/>
      <c r="BI241"/>
      <c r="BJ241"/>
      <c r="BK241"/>
      <c r="BL241"/>
      <c r="BM241"/>
      <c r="BN241"/>
      <c r="BO241" s="72">
        <f t="shared" si="146"/>
        <v>0.46502448618412018</v>
      </c>
      <c r="BP241" s="399" t="str">
        <f t="shared" si="140"/>
        <v/>
      </c>
      <c r="BQ241" s="19">
        <f t="shared" si="141"/>
        <v>-999</v>
      </c>
      <c r="BR241" s="19">
        <f t="shared" si="142"/>
        <v>-999</v>
      </c>
      <c r="BS241" s="401">
        <v>192</v>
      </c>
      <c r="BT241" s="72">
        <f t="shared" si="147"/>
        <v>0.8076280951499939</v>
      </c>
      <c r="BU241" s="399" t="str">
        <f t="shared" si="143"/>
        <v/>
      </c>
      <c r="BV241" s="19">
        <f t="shared" si="144"/>
        <v>-999</v>
      </c>
      <c r="BW241" s="19">
        <f t="shared" si="145"/>
        <v>-999</v>
      </c>
      <c r="BY241" s="19">
        <f t="shared" si="166"/>
        <v>99.5</v>
      </c>
      <c r="BZ241" s="19">
        <f t="shared" si="164"/>
        <v>4.6756008847947908E-2</v>
      </c>
      <c r="CA241" s="19">
        <f t="shared" si="165"/>
        <v>0.15231569061424191</v>
      </c>
      <c r="CB241"/>
      <c r="CC241"/>
      <c r="CD241"/>
      <c r="CE241"/>
      <c r="CJ241"/>
      <c r="CK241"/>
      <c r="CL241"/>
      <c r="CM241"/>
      <c r="CN241"/>
    </row>
    <row r="242" spans="14:92" ht="11.25" customHeight="1" x14ac:dyDescent="0.2">
      <c r="N242" s="19">
        <v>132</v>
      </c>
      <c r="O242" s="19">
        <f t="shared" si="167"/>
        <v>924.95499999999345</v>
      </c>
      <c r="P242" s="19">
        <f t="shared" si="168"/>
        <v>724.95499999999345</v>
      </c>
      <c r="Q242"/>
      <c r="R242" s="19">
        <f t="shared" si="169"/>
        <v>524.95499999999993</v>
      </c>
      <c r="S242"/>
      <c r="T242"/>
      <c r="U242"/>
      <c r="V242"/>
      <c r="W242"/>
      <c r="X242"/>
      <c r="Y242"/>
      <c r="Z242" s="19">
        <f t="shared" si="148"/>
        <v>320.93000000000086</v>
      </c>
      <c r="AA242" s="19">
        <f t="shared" si="149"/>
        <v>120.93000000000046</v>
      </c>
      <c r="AB242" s="19" t="e">
        <f t="shared" si="150"/>
        <v>#N/A</v>
      </c>
      <c r="AC242"/>
      <c r="AD242"/>
      <c r="AE242" s="19">
        <v>151</v>
      </c>
      <c r="AG242" s="19">
        <f t="shared" si="151"/>
        <v>7</v>
      </c>
      <c r="AH242" s="19">
        <f t="shared" si="152"/>
        <v>-1</v>
      </c>
      <c r="AI242" s="19">
        <f t="shared" si="153"/>
        <v>20.125</v>
      </c>
      <c r="AJ242" s="410">
        <f t="shared" si="154"/>
        <v>845.96</v>
      </c>
      <c r="AK242" s="19" t="e">
        <f t="shared" si="155"/>
        <v>#N/A</v>
      </c>
      <c r="AL242" s="19">
        <f t="shared" si="156"/>
        <v>645.96</v>
      </c>
      <c r="AM242" s="19" t="e">
        <f t="shared" si="157"/>
        <v>#N/A</v>
      </c>
      <c r="AN242" s="19">
        <f t="shared" si="158"/>
        <v>445.96</v>
      </c>
      <c r="AO242" s="19" t="e">
        <f t="shared" si="159"/>
        <v>#N/A</v>
      </c>
      <c r="AP242" s="19">
        <f t="shared" si="160"/>
        <v>245.96</v>
      </c>
      <c r="AQ242" s="19" t="e">
        <f t="shared" si="161"/>
        <v>#N/A</v>
      </c>
      <c r="AR242" s="19">
        <f t="shared" si="162"/>
        <v>45.96</v>
      </c>
      <c r="AS242" s="19" t="e">
        <f t="shared" si="163"/>
        <v>#N/A</v>
      </c>
      <c r="AT242"/>
      <c r="AU242"/>
      <c r="AV242"/>
      <c r="AW242"/>
      <c r="AX242"/>
      <c r="AY242"/>
      <c r="AZ242"/>
      <c r="BA242"/>
      <c r="BB242"/>
      <c r="BC242"/>
      <c r="BD242"/>
      <c r="BE242"/>
      <c r="BF242"/>
      <c r="BG242"/>
      <c r="BH242"/>
      <c r="BI242"/>
      <c r="BJ242"/>
      <c r="BK242"/>
      <c r="BL242"/>
      <c r="BM242"/>
      <c r="BN242"/>
      <c r="BO242" s="72">
        <f t="shared" si="146"/>
        <v>0.90715952217578888</v>
      </c>
      <c r="BP242" s="399" t="str">
        <f t="shared" ref="BP242:BP249" si="170">IF(AND($BR$7,$BS242&lt;=$U$10),$J$6+$J$5*NORMSINV(BO242),"")</f>
        <v/>
      </c>
      <c r="BQ242" s="19">
        <f t="shared" ref="BQ242:BQ249" si="171">IF(AND($BR$2,BP242&lt;&gt;"",$G$4&lt;&gt;""),BP242,-999)</f>
        <v>-999</v>
      </c>
      <c r="BR242" s="19">
        <f t="shared" ref="BR242:BR249" si="172">IF(BQ242=-999,-999,2)</f>
        <v>-999</v>
      </c>
      <c r="BS242" s="401">
        <v>193</v>
      </c>
      <c r="BT242" s="72">
        <f t="shared" si="147"/>
        <v>0.4506651759147644</v>
      </c>
      <c r="BU242" s="399" t="str">
        <f t="shared" ref="BU242:BU249" si="173">IF(AND($BR$7,$BS242&lt;=$U$10),$J$4+$J$5*NORMSINV(BT242),"")</f>
        <v/>
      </c>
      <c r="BV242" s="19">
        <f t="shared" ref="BV242:BV249" si="174">IF(AND($BR$2,BU242&lt;&gt;"",$G$4&lt;&gt;""),BU242,-999)</f>
        <v>-999</v>
      </c>
      <c r="BW242" s="19">
        <f t="shared" ref="BW242:BW249" si="175">IF(BV242=-999,-999,0)</f>
        <v>-999</v>
      </c>
      <c r="BY242" s="19">
        <f t="shared" si="166"/>
        <v>100</v>
      </c>
      <c r="BZ242" s="19">
        <f t="shared" si="164"/>
        <v>4.393693362340742E-2</v>
      </c>
      <c r="CA242" s="19">
        <f t="shared" si="165"/>
        <v>0.14505932243312153</v>
      </c>
      <c r="CB242"/>
      <c r="CC242"/>
      <c r="CD242"/>
      <c r="CE242"/>
      <c r="CJ242"/>
      <c r="CK242"/>
      <c r="CL242"/>
      <c r="CM242"/>
      <c r="CN242"/>
    </row>
    <row r="243" spans="14:92" ht="11.25" customHeight="1" x14ac:dyDescent="0.2">
      <c r="N243" s="19">
        <v>133</v>
      </c>
      <c r="O243" s="19">
        <f t="shared" si="167"/>
        <v>925.7599999999934</v>
      </c>
      <c r="P243" s="19">
        <f t="shared" si="168"/>
        <v>725.7599999999934</v>
      </c>
      <c r="Q243"/>
      <c r="R243" s="19">
        <f t="shared" si="169"/>
        <v>525.75999999999988</v>
      </c>
      <c r="S243"/>
      <c r="T243"/>
      <c r="U243"/>
      <c r="V243"/>
      <c r="W243"/>
      <c r="X243"/>
      <c r="Y243"/>
      <c r="Z243" s="19">
        <f t="shared" si="148"/>
        <v>321.73500000000087</v>
      </c>
      <c r="AA243" s="19">
        <f t="shared" si="149"/>
        <v>121.73500000000047</v>
      </c>
      <c r="AB243" s="19" t="e">
        <f t="shared" si="150"/>
        <v>#N/A</v>
      </c>
      <c r="AC243"/>
      <c r="AD243"/>
      <c r="AE243" s="19">
        <v>152</v>
      </c>
      <c r="AG243" s="19">
        <f t="shared" si="151"/>
        <v>7</v>
      </c>
      <c r="AH243" s="19">
        <f t="shared" si="152"/>
        <v>1</v>
      </c>
      <c r="AI243" s="19">
        <f t="shared" si="153"/>
        <v>20.125</v>
      </c>
      <c r="AJ243" s="410">
        <f t="shared" si="154"/>
        <v>954.04</v>
      </c>
      <c r="AK243" s="19" t="e">
        <f t="shared" si="155"/>
        <v>#N/A</v>
      </c>
      <c r="AL243" s="19">
        <f t="shared" si="156"/>
        <v>754.04</v>
      </c>
      <c r="AM243" s="19" t="e">
        <f t="shared" si="157"/>
        <v>#N/A</v>
      </c>
      <c r="AN243" s="19">
        <f t="shared" si="158"/>
        <v>554.04</v>
      </c>
      <c r="AO243" s="19" t="e">
        <f t="shared" si="159"/>
        <v>#N/A</v>
      </c>
      <c r="AP243" s="19">
        <f t="shared" si="160"/>
        <v>354.04</v>
      </c>
      <c r="AQ243" s="19" t="e">
        <f t="shared" si="161"/>
        <v>#N/A</v>
      </c>
      <c r="AR243" s="19">
        <f t="shared" si="162"/>
        <v>154.04</v>
      </c>
      <c r="AS243" s="19" t="e">
        <f t="shared" si="163"/>
        <v>#N/A</v>
      </c>
      <c r="AT243"/>
      <c r="AU243"/>
      <c r="AV243"/>
      <c r="AW243"/>
      <c r="AX243"/>
      <c r="AY243"/>
      <c r="AZ243"/>
      <c r="BA243"/>
      <c r="BB243"/>
      <c r="BC243"/>
      <c r="BD243"/>
      <c r="BE243"/>
      <c r="BF243"/>
      <c r="BG243"/>
      <c r="BH243"/>
      <c r="BI243"/>
      <c r="BJ243"/>
      <c r="BK243"/>
      <c r="BL243"/>
      <c r="BM243"/>
      <c r="BN243"/>
      <c r="BO243" s="72">
        <f t="shared" ref="BO243:BO249" si="176">MOD(BO242*10000013,1)</f>
        <v>1.4831677079200745E-2</v>
      </c>
      <c r="BP243" s="399" t="str">
        <f t="shared" si="170"/>
        <v/>
      </c>
      <c r="BQ243" s="19">
        <f t="shared" si="171"/>
        <v>-999</v>
      </c>
      <c r="BR243" s="19">
        <f t="shared" si="172"/>
        <v>-999</v>
      </c>
      <c r="BS243" s="401">
        <v>194</v>
      </c>
      <c r="BT243" s="72">
        <f t="shared" ref="BT243:BT249" si="177">MOD(BT242*10000013,1)</f>
        <v>0.61779493093490601</v>
      </c>
      <c r="BU243" s="399" t="str">
        <f t="shared" si="173"/>
        <v/>
      </c>
      <c r="BV243" s="19">
        <f t="shared" si="174"/>
        <v>-999</v>
      </c>
      <c r="BW243" s="19">
        <f t="shared" si="175"/>
        <v>-999</v>
      </c>
      <c r="CB243"/>
      <c r="CC243"/>
      <c r="CD243"/>
      <c r="CE243"/>
      <c r="CJ243"/>
      <c r="CK243"/>
      <c r="CL243"/>
      <c r="CM243"/>
      <c r="CN243"/>
    </row>
    <row r="244" spans="14:92" ht="11.25" customHeight="1" x14ac:dyDescent="0.2">
      <c r="N244" s="19">
        <v>134</v>
      </c>
      <c r="O244" s="19">
        <f t="shared" si="167"/>
        <v>926.56499999999335</v>
      </c>
      <c r="P244" s="19">
        <f t="shared" si="168"/>
        <v>726.56499999999335</v>
      </c>
      <c r="Q244"/>
      <c r="R244" s="19">
        <f t="shared" si="169"/>
        <v>526.56499999999983</v>
      </c>
      <c r="S244"/>
      <c r="T244"/>
      <c r="U244"/>
      <c r="V244"/>
      <c r="W244"/>
      <c r="X244"/>
      <c r="Y244"/>
      <c r="Z244" s="19">
        <f t="shared" si="148"/>
        <v>322.54000000000087</v>
      </c>
      <c r="AA244" s="19">
        <f t="shared" si="149"/>
        <v>122.54000000000048</v>
      </c>
      <c r="AB244" s="19" t="e">
        <f t="shared" si="150"/>
        <v>#N/A</v>
      </c>
      <c r="AC244"/>
      <c r="AD244"/>
      <c r="AE244" s="19">
        <v>153</v>
      </c>
      <c r="AG244" s="19">
        <f t="shared" si="151"/>
        <v>9</v>
      </c>
      <c r="AH244" s="19">
        <f t="shared" si="152"/>
        <v>-1</v>
      </c>
      <c r="AI244" s="19">
        <f t="shared" si="153"/>
        <v>20.125</v>
      </c>
      <c r="AJ244" s="410">
        <f t="shared" si="154"/>
        <v>830.52</v>
      </c>
      <c r="AK244" s="19" t="e">
        <f t="shared" si="155"/>
        <v>#N/A</v>
      </c>
      <c r="AL244" s="19">
        <f t="shared" si="156"/>
        <v>630.52</v>
      </c>
      <c r="AM244" s="19" t="e">
        <f t="shared" si="157"/>
        <v>#N/A</v>
      </c>
      <c r="AN244" s="19">
        <f t="shared" si="158"/>
        <v>430.52</v>
      </c>
      <c r="AO244" s="19" t="e">
        <f t="shared" si="159"/>
        <v>#N/A</v>
      </c>
      <c r="AP244" s="19">
        <f t="shared" si="160"/>
        <v>230.51999999999998</v>
      </c>
      <c r="AQ244" s="19" t="e">
        <f t="shared" si="161"/>
        <v>#N/A</v>
      </c>
      <c r="AR244" s="19">
        <f t="shared" si="162"/>
        <v>30.519999999999996</v>
      </c>
      <c r="AS244" s="19" t="e">
        <f t="shared" si="163"/>
        <v>#N/A</v>
      </c>
      <c r="AT244"/>
      <c r="AU244"/>
      <c r="AV244"/>
      <c r="AW244"/>
      <c r="AX244"/>
      <c r="AY244"/>
      <c r="AZ244"/>
      <c r="BA244"/>
      <c r="BB244"/>
      <c r="BC244"/>
      <c r="BD244"/>
      <c r="BE244"/>
      <c r="BF244"/>
      <c r="BG244"/>
      <c r="BH244"/>
      <c r="BI244"/>
      <c r="BJ244"/>
      <c r="BK244"/>
      <c r="BL244"/>
      <c r="BM244"/>
      <c r="BN244"/>
      <c r="BO244" s="72">
        <f t="shared" si="176"/>
        <v>0.96360380947589874</v>
      </c>
      <c r="BP244" s="399" t="str">
        <f t="shared" si="170"/>
        <v/>
      </c>
      <c r="BQ244" s="19">
        <f t="shared" si="171"/>
        <v>-999</v>
      </c>
      <c r="BR244" s="19">
        <f t="shared" si="172"/>
        <v>-999</v>
      </c>
      <c r="BS244" s="401">
        <v>195</v>
      </c>
      <c r="BT244" s="72">
        <f t="shared" si="177"/>
        <v>0.34068316221237183</v>
      </c>
      <c r="BU244" s="399" t="str">
        <f t="shared" si="173"/>
        <v/>
      </c>
      <c r="BV244" s="19">
        <f t="shared" si="174"/>
        <v>-999</v>
      </c>
      <c r="BW244" s="19">
        <f t="shared" si="175"/>
        <v>-999</v>
      </c>
      <c r="CB244"/>
      <c r="CC244"/>
      <c r="CD244"/>
      <c r="CE244"/>
      <c r="CJ244"/>
      <c r="CK244"/>
      <c r="CL244"/>
      <c r="CM244"/>
      <c r="CN244"/>
    </row>
    <row r="245" spans="14:92" ht="11.25" customHeight="1" x14ac:dyDescent="0.2">
      <c r="N245" s="19">
        <v>135</v>
      </c>
      <c r="O245" s="19">
        <f t="shared" si="167"/>
        <v>927.3699999999933</v>
      </c>
      <c r="P245" s="19">
        <f t="shared" si="168"/>
        <v>727.3699999999933</v>
      </c>
      <c r="Q245"/>
      <c r="R245" s="19">
        <f t="shared" si="169"/>
        <v>527.36999999999978</v>
      </c>
      <c r="S245"/>
      <c r="T245"/>
      <c r="U245"/>
      <c r="V245"/>
      <c r="W245"/>
      <c r="X245"/>
      <c r="Y245"/>
      <c r="Z245" s="19">
        <f t="shared" ref="Z245:Z276" si="178">Z244+$P$108</f>
        <v>323.34500000000088</v>
      </c>
      <c r="AA245" s="19">
        <f t="shared" ref="AA245:AA276" si="179">AA244+$P$108</f>
        <v>123.34500000000048</v>
      </c>
      <c r="AB245" s="19" t="e">
        <f t="shared" ref="AB245:AB276" si="180">AB244</f>
        <v>#N/A</v>
      </c>
      <c r="AC245"/>
      <c r="AD245"/>
      <c r="AE245" s="19">
        <v>154</v>
      </c>
      <c r="AG245" s="19">
        <f t="shared" si="151"/>
        <v>9</v>
      </c>
      <c r="AH245" s="19">
        <f t="shared" si="152"/>
        <v>1</v>
      </c>
      <c r="AI245" s="19">
        <f t="shared" si="153"/>
        <v>20.125</v>
      </c>
      <c r="AJ245" s="410">
        <f t="shared" si="154"/>
        <v>969.48</v>
      </c>
      <c r="AK245" s="19" t="e">
        <f t="shared" si="155"/>
        <v>#N/A</v>
      </c>
      <c r="AL245" s="19">
        <f t="shared" si="156"/>
        <v>769.48</v>
      </c>
      <c r="AM245" s="19" t="e">
        <f t="shared" si="157"/>
        <v>#N/A</v>
      </c>
      <c r="AN245" s="19">
        <f t="shared" si="158"/>
        <v>569.48</v>
      </c>
      <c r="AO245" s="19" t="e">
        <f t="shared" si="159"/>
        <v>#N/A</v>
      </c>
      <c r="AP245" s="19">
        <f t="shared" si="160"/>
        <v>369.48</v>
      </c>
      <c r="AQ245" s="19" t="e">
        <f t="shared" si="161"/>
        <v>#N/A</v>
      </c>
      <c r="AR245" s="19">
        <f t="shared" si="162"/>
        <v>169.48000000000002</v>
      </c>
      <c r="AS245" s="19" t="e">
        <f t="shared" si="163"/>
        <v>#N/A</v>
      </c>
      <c r="AT245"/>
      <c r="AU245"/>
      <c r="AV245"/>
      <c r="AW245"/>
      <c r="AX245"/>
      <c r="AY245"/>
      <c r="AZ245"/>
      <c r="BA245"/>
      <c r="BB245"/>
      <c r="BC245"/>
      <c r="BD245"/>
      <c r="BE245"/>
      <c r="BF245"/>
      <c r="BG245"/>
      <c r="BH245"/>
      <c r="BI245"/>
      <c r="BJ245"/>
      <c r="BK245"/>
      <c r="BL245"/>
      <c r="BM245"/>
      <c r="BN245"/>
      <c r="BO245" s="72">
        <f t="shared" si="176"/>
        <v>0.62160851061344147</v>
      </c>
      <c r="BP245" s="399" t="str">
        <f t="shared" si="170"/>
        <v/>
      </c>
      <c r="BQ245" s="19">
        <f t="shared" si="171"/>
        <v>-999</v>
      </c>
      <c r="BR245" s="19">
        <f t="shared" si="172"/>
        <v>-999</v>
      </c>
      <c r="BS245" s="401">
        <v>196</v>
      </c>
      <c r="BT245" s="72">
        <f t="shared" si="177"/>
        <v>5.100482702255249E-2</v>
      </c>
      <c r="BU245" s="399" t="str">
        <f t="shared" si="173"/>
        <v/>
      </c>
      <c r="BV245" s="19">
        <f t="shared" si="174"/>
        <v>-999</v>
      </c>
      <c r="BW245" s="19">
        <f t="shared" si="175"/>
        <v>-999</v>
      </c>
      <c r="CB245"/>
      <c r="CC245"/>
      <c r="CD245"/>
      <c r="CE245"/>
      <c r="CJ245"/>
      <c r="CK245"/>
      <c r="CL245"/>
      <c r="CM245"/>
      <c r="CN245"/>
    </row>
    <row r="246" spans="14:92" ht="11.25" customHeight="1" x14ac:dyDescent="0.2">
      <c r="N246" s="19">
        <v>136</v>
      </c>
      <c r="O246" s="19">
        <f t="shared" si="167"/>
        <v>928.17499999999325</v>
      </c>
      <c r="P246" s="19">
        <f t="shared" si="168"/>
        <v>728.17499999999325</v>
      </c>
      <c r="Q246"/>
      <c r="R246" s="19">
        <f t="shared" si="169"/>
        <v>528.17499999999973</v>
      </c>
      <c r="S246"/>
      <c r="T246"/>
      <c r="U246"/>
      <c r="V246"/>
      <c r="W246"/>
      <c r="X246"/>
      <c r="Y246"/>
      <c r="Z246" s="19">
        <f t="shared" si="178"/>
        <v>324.15000000000089</v>
      </c>
      <c r="AA246" s="19">
        <f t="shared" si="179"/>
        <v>124.15000000000049</v>
      </c>
      <c r="AB246" s="19" t="e">
        <f t="shared" si="180"/>
        <v>#N/A</v>
      </c>
      <c r="AC246"/>
      <c r="AD246"/>
      <c r="AE246" s="19">
        <v>155</v>
      </c>
      <c r="AG246" s="19">
        <f t="shared" si="151"/>
        <v>11</v>
      </c>
      <c r="AH246" s="19">
        <f t="shared" si="152"/>
        <v>-1</v>
      </c>
      <c r="AI246" s="19">
        <f t="shared" si="153"/>
        <v>20.125</v>
      </c>
      <c r="AJ246" s="410">
        <f t="shared" si="154"/>
        <v>815.08</v>
      </c>
      <c r="AK246" s="19" t="e">
        <f t="shared" si="155"/>
        <v>#N/A</v>
      </c>
      <c r="AL246" s="19">
        <f t="shared" si="156"/>
        <v>615.08000000000004</v>
      </c>
      <c r="AM246" s="19" t="e">
        <f t="shared" si="157"/>
        <v>#N/A</v>
      </c>
      <c r="AN246" s="19">
        <f t="shared" si="158"/>
        <v>415.08</v>
      </c>
      <c r="AO246" s="19" t="e">
        <f t="shared" si="159"/>
        <v>#N/A</v>
      </c>
      <c r="AP246" s="19">
        <f t="shared" si="160"/>
        <v>215.07999999999998</v>
      </c>
      <c r="AQ246" s="19" t="e">
        <f t="shared" si="161"/>
        <v>#N/A</v>
      </c>
      <c r="AR246" s="19">
        <f t="shared" si="162"/>
        <v>15.079999999999998</v>
      </c>
      <c r="AS246" s="19" t="e">
        <f t="shared" si="163"/>
        <v>#N/A</v>
      </c>
      <c r="AT246"/>
      <c r="AU246"/>
      <c r="AV246"/>
      <c r="AW246"/>
      <c r="AX246"/>
      <c r="AY246"/>
      <c r="AZ246"/>
      <c r="BA246"/>
      <c r="BB246"/>
      <c r="BC246"/>
      <c r="BD246"/>
      <c r="BE246"/>
      <c r="BF246"/>
      <c r="BG246"/>
      <c r="BH246"/>
      <c r="BI246"/>
      <c r="BJ246"/>
      <c r="BK246"/>
      <c r="BL246"/>
      <c r="BM246"/>
      <c r="BN246"/>
      <c r="BO246" s="72">
        <f t="shared" si="176"/>
        <v>0.18704505264759064</v>
      </c>
      <c r="BP246" s="399" t="str">
        <f t="shared" si="170"/>
        <v/>
      </c>
      <c r="BQ246" s="19">
        <f t="shared" si="171"/>
        <v>-999</v>
      </c>
      <c r="BR246" s="19">
        <f t="shared" si="172"/>
        <v>-999</v>
      </c>
      <c r="BS246" s="401">
        <v>197</v>
      </c>
      <c r="BT246" s="72">
        <f t="shared" si="177"/>
        <v>0.93328827619552612</v>
      </c>
      <c r="BU246" s="399" t="str">
        <f t="shared" si="173"/>
        <v/>
      </c>
      <c r="BV246" s="19">
        <f t="shared" si="174"/>
        <v>-999</v>
      </c>
      <c r="BW246" s="19">
        <f t="shared" si="175"/>
        <v>-999</v>
      </c>
      <c r="CB246"/>
      <c r="CC246"/>
      <c r="CD246"/>
      <c r="CE246"/>
      <c r="CJ246"/>
      <c r="CK246"/>
      <c r="CL246"/>
      <c r="CM246"/>
      <c r="CN246"/>
    </row>
    <row r="247" spans="14:92" ht="11.25" customHeight="1" x14ac:dyDescent="0.2">
      <c r="N247" s="19">
        <v>137</v>
      </c>
      <c r="O247" s="19">
        <f t="shared" si="167"/>
        <v>928.9799999999932</v>
      </c>
      <c r="P247" s="19">
        <f t="shared" si="168"/>
        <v>728.9799999999932</v>
      </c>
      <c r="Q247"/>
      <c r="R247" s="19">
        <f t="shared" si="169"/>
        <v>528.97999999999968</v>
      </c>
      <c r="S247"/>
      <c r="T247"/>
      <c r="U247"/>
      <c r="V247"/>
      <c r="W247"/>
      <c r="X247"/>
      <c r="Y247"/>
      <c r="Z247" s="19">
        <f t="shared" si="178"/>
        <v>324.95500000000089</v>
      </c>
      <c r="AA247" s="19">
        <f t="shared" si="179"/>
        <v>124.9550000000005</v>
      </c>
      <c r="AB247" s="19" t="e">
        <f t="shared" si="180"/>
        <v>#N/A</v>
      </c>
      <c r="AC247"/>
      <c r="AD247"/>
      <c r="AE247" s="19">
        <v>156</v>
      </c>
      <c r="AG247" s="19">
        <f t="shared" si="151"/>
        <v>11</v>
      </c>
      <c r="AH247" s="19">
        <f t="shared" si="152"/>
        <v>1</v>
      </c>
      <c r="AI247" s="19">
        <f t="shared" si="153"/>
        <v>20.125</v>
      </c>
      <c r="AJ247" s="410">
        <f t="shared" si="154"/>
        <v>984.92</v>
      </c>
      <c r="AK247" s="19" t="e">
        <f t="shared" si="155"/>
        <v>#N/A</v>
      </c>
      <c r="AL247" s="19">
        <f t="shared" si="156"/>
        <v>784.92</v>
      </c>
      <c r="AM247" s="19" t="e">
        <f t="shared" si="157"/>
        <v>#N/A</v>
      </c>
      <c r="AN247" s="19">
        <f t="shared" si="158"/>
        <v>584.91999999999996</v>
      </c>
      <c r="AO247" s="19" t="e">
        <f t="shared" si="159"/>
        <v>#N/A</v>
      </c>
      <c r="AP247" s="19">
        <f t="shared" si="160"/>
        <v>384.92</v>
      </c>
      <c r="AQ247" s="19" t="e">
        <f t="shared" si="161"/>
        <v>#N/A</v>
      </c>
      <c r="AR247" s="19">
        <f t="shared" si="162"/>
        <v>184.92000000000002</v>
      </c>
      <c r="AS247" s="19" t="e">
        <f t="shared" si="163"/>
        <v>#N/A</v>
      </c>
      <c r="AT247"/>
      <c r="AU247"/>
      <c r="AV247"/>
      <c r="AW247"/>
      <c r="AX247"/>
      <c r="AY247"/>
      <c r="AZ247"/>
      <c r="BA247"/>
      <c r="BB247"/>
      <c r="BC247"/>
      <c r="BD247"/>
      <c r="BE247"/>
      <c r="BF247"/>
      <c r="BG247"/>
      <c r="BH247"/>
      <c r="BI247"/>
      <c r="BJ247"/>
      <c r="BK247"/>
      <c r="BL247"/>
      <c r="BM247"/>
      <c r="BN247"/>
      <c r="BO247" s="72">
        <f t="shared" si="176"/>
        <v>0.9580615907907486</v>
      </c>
      <c r="BP247" s="399" t="str">
        <f t="shared" si="170"/>
        <v/>
      </c>
      <c r="BQ247" s="19">
        <f t="shared" si="171"/>
        <v>-999</v>
      </c>
      <c r="BR247" s="19">
        <f t="shared" si="172"/>
        <v>-999</v>
      </c>
      <c r="BS247" s="401">
        <v>198</v>
      </c>
      <c r="BT247" s="72">
        <f t="shared" si="177"/>
        <v>0.89470285177230835</v>
      </c>
      <c r="BU247" s="399" t="str">
        <f t="shared" si="173"/>
        <v/>
      </c>
      <c r="BV247" s="19">
        <f t="shared" si="174"/>
        <v>-999</v>
      </c>
      <c r="BW247" s="19">
        <f t="shared" si="175"/>
        <v>-999</v>
      </c>
      <c r="CB247"/>
      <c r="CC247"/>
      <c r="CD247"/>
      <c r="CE247"/>
      <c r="CJ247"/>
      <c r="CK247"/>
      <c r="CL247"/>
      <c r="CM247"/>
      <c r="CN247"/>
    </row>
    <row r="248" spans="14:92" ht="11.25" customHeight="1" x14ac:dyDescent="0.2">
      <c r="N248" s="19">
        <v>138</v>
      </c>
      <c r="O248" s="19">
        <f t="shared" si="167"/>
        <v>929.78499999999315</v>
      </c>
      <c r="P248" s="19">
        <f t="shared" si="168"/>
        <v>729.78499999999315</v>
      </c>
      <c r="Q248"/>
      <c r="R248" s="19">
        <f t="shared" si="169"/>
        <v>529.78499999999963</v>
      </c>
      <c r="S248"/>
      <c r="T248"/>
      <c r="U248"/>
      <c r="V248"/>
      <c r="W248"/>
      <c r="X248"/>
      <c r="Y248"/>
      <c r="Z248" s="19">
        <f t="shared" si="178"/>
        <v>325.7600000000009</v>
      </c>
      <c r="AA248" s="19">
        <f t="shared" si="179"/>
        <v>125.7600000000005</v>
      </c>
      <c r="AB248" s="19" t="e">
        <f t="shared" si="180"/>
        <v>#N/A</v>
      </c>
      <c r="AC248"/>
      <c r="AD248"/>
      <c r="AE248" s="19">
        <v>157</v>
      </c>
      <c r="AG248" s="19">
        <f t="shared" si="151"/>
        <v>1</v>
      </c>
      <c r="AH248" s="19">
        <f t="shared" si="152"/>
        <v>-1</v>
      </c>
      <c r="AI248" s="19">
        <f t="shared" si="153"/>
        <v>21.735000000000003</v>
      </c>
      <c r="AJ248" s="410">
        <f t="shared" si="154"/>
        <v>892.28</v>
      </c>
      <c r="AK248" s="19" t="e">
        <f t="shared" si="155"/>
        <v>#N/A</v>
      </c>
      <c r="AL248" s="19">
        <f t="shared" si="156"/>
        <v>692.28</v>
      </c>
      <c r="AM248" s="19" t="e">
        <f t="shared" si="157"/>
        <v>#N/A</v>
      </c>
      <c r="AN248" s="19">
        <f t="shared" si="158"/>
        <v>492.28</v>
      </c>
      <c r="AO248" s="19" t="e">
        <f t="shared" si="159"/>
        <v>#N/A</v>
      </c>
      <c r="AP248" s="19">
        <f t="shared" si="160"/>
        <v>292.27999999999997</v>
      </c>
      <c r="AQ248" s="19" t="e">
        <f t="shared" si="161"/>
        <v>#N/A</v>
      </c>
      <c r="AR248" s="19">
        <f t="shared" si="162"/>
        <v>92.28</v>
      </c>
      <c r="AS248" s="19" t="e">
        <f t="shared" si="163"/>
        <v>#N/A</v>
      </c>
      <c r="AT248"/>
      <c r="AU248"/>
      <c r="AV248"/>
      <c r="AW248"/>
      <c r="AX248"/>
      <c r="AY248"/>
      <c r="AZ248"/>
      <c r="BA248"/>
      <c r="BB248"/>
      <c r="BC248"/>
      <c r="BD248"/>
      <c r="BE248"/>
      <c r="BF248"/>
      <c r="BG248"/>
      <c r="BH248"/>
      <c r="BI248"/>
      <c r="BJ248"/>
      <c r="BK248"/>
      <c r="BL248"/>
      <c r="BM248"/>
      <c r="BN248"/>
      <c r="BO248" s="72">
        <f t="shared" si="176"/>
        <v>0.36270816624164581</v>
      </c>
      <c r="BP248" s="399" t="str">
        <f t="shared" si="170"/>
        <v/>
      </c>
      <c r="BQ248" s="19">
        <f t="shared" si="171"/>
        <v>-999</v>
      </c>
      <c r="BR248" s="19">
        <f t="shared" si="172"/>
        <v>-999</v>
      </c>
      <c r="BS248" s="401">
        <v>199</v>
      </c>
      <c r="BT248" s="72">
        <f t="shared" si="177"/>
        <v>0.14886015653610229</v>
      </c>
      <c r="BU248" s="399" t="str">
        <f t="shared" si="173"/>
        <v/>
      </c>
      <c r="BV248" s="19">
        <f t="shared" si="174"/>
        <v>-999</v>
      </c>
      <c r="BW248" s="19">
        <f t="shared" si="175"/>
        <v>-999</v>
      </c>
      <c r="CB248"/>
      <c r="CC248"/>
      <c r="CD248"/>
      <c r="CE248"/>
      <c r="CJ248"/>
      <c r="CK248"/>
      <c r="CL248"/>
      <c r="CM248"/>
      <c r="CN248"/>
    </row>
    <row r="249" spans="14:92" ht="11.25" customHeight="1" x14ac:dyDescent="0.2">
      <c r="N249" s="19">
        <v>139</v>
      </c>
      <c r="O249" s="19">
        <f t="shared" si="167"/>
        <v>930.5899999999931</v>
      </c>
      <c r="P249" s="19">
        <f t="shared" si="168"/>
        <v>730.5899999999931</v>
      </c>
      <c r="Q249"/>
      <c r="R249" s="19">
        <f t="shared" si="169"/>
        <v>530.58999999999958</v>
      </c>
      <c r="S249"/>
      <c r="T249"/>
      <c r="U249"/>
      <c r="V249"/>
      <c r="W249"/>
      <c r="X249"/>
      <c r="Y249"/>
      <c r="Z249" s="19">
        <f t="shared" si="178"/>
        <v>326.56500000000091</v>
      </c>
      <c r="AA249" s="19">
        <f t="shared" si="179"/>
        <v>126.56500000000051</v>
      </c>
      <c r="AB249" s="19" t="e">
        <f t="shared" si="180"/>
        <v>#N/A</v>
      </c>
      <c r="AC249"/>
      <c r="AD249"/>
      <c r="AE249" s="19">
        <v>158</v>
      </c>
      <c r="AG249" s="19">
        <f t="shared" si="151"/>
        <v>1</v>
      </c>
      <c r="AH249" s="19">
        <f t="shared" si="152"/>
        <v>1</v>
      </c>
      <c r="AI249" s="19">
        <f t="shared" si="153"/>
        <v>21.735000000000003</v>
      </c>
      <c r="AJ249" s="410">
        <f t="shared" si="154"/>
        <v>907.72</v>
      </c>
      <c r="AK249" s="19" t="e">
        <f t="shared" si="155"/>
        <v>#N/A</v>
      </c>
      <c r="AL249" s="19">
        <f t="shared" si="156"/>
        <v>707.72</v>
      </c>
      <c r="AM249" s="19" t="e">
        <f t="shared" si="157"/>
        <v>#N/A</v>
      </c>
      <c r="AN249" s="19">
        <f t="shared" si="158"/>
        <v>507.72</v>
      </c>
      <c r="AO249" s="19" t="e">
        <f t="shared" si="159"/>
        <v>#N/A</v>
      </c>
      <c r="AP249" s="19">
        <f t="shared" si="160"/>
        <v>307.72000000000003</v>
      </c>
      <c r="AQ249" s="19" t="e">
        <f t="shared" si="161"/>
        <v>#N/A</v>
      </c>
      <c r="AR249" s="19">
        <f t="shared" si="162"/>
        <v>107.72</v>
      </c>
      <c r="AS249" s="19" t="e">
        <f t="shared" si="163"/>
        <v>#N/A</v>
      </c>
      <c r="AT249"/>
      <c r="AU249"/>
      <c r="AV249"/>
      <c r="AW249"/>
      <c r="AX249"/>
      <c r="AY249"/>
      <c r="AZ249"/>
      <c r="BA249"/>
      <c r="BB249"/>
      <c r="BC249"/>
      <c r="BD249"/>
      <c r="BE249"/>
      <c r="BF249"/>
      <c r="BG249"/>
      <c r="BH249"/>
      <c r="BI249"/>
      <c r="BJ249"/>
      <c r="BK249"/>
      <c r="BL249"/>
      <c r="BM249"/>
      <c r="BN249"/>
      <c r="BO249" s="72">
        <f t="shared" si="176"/>
        <v>0.37762261927127838</v>
      </c>
      <c r="BP249" s="399" t="str">
        <f t="shared" si="170"/>
        <v/>
      </c>
      <c r="BQ249" s="19">
        <f t="shared" si="171"/>
        <v>-999</v>
      </c>
      <c r="BR249" s="19">
        <f t="shared" si="172"/>
        <v>-999</v>
      </c>
      <c r="BS249" s="401">
        <v>200</v>
      </c>
      <c r="BT249" s="72">
        <f t="shared" si="177"/>
        <v>0.50054305791854858</v>
      </c>
      <c r="BU249" s="399" t="str">
        <f t="shared" si="173"/>
        <v/>
      </c>
      <c r="BV249" s="19">
        <f t="shared" si="174"/>
        <v>-999</v>
      </c>
      <c r="BW249" s="19">
        <f t="shared" si="175"/>
        <v>-999</v>
      </c>
      <c r="CB249"/>
      <c r="CC249"/>
      <c r="CD249"/>
      <c r="CE249"/>
      <c r="CJ249"/>
      <c r="CK249"/>
      <c r="CL249"/>
      <c r="CM249"/>
      <c r="CN249"/>
    </row>
    <row r="250" spans="14:92" ht="11.25" customHeight="1" x14ac:dyDescent="0.2">
      <c r="N250" s="19">
        <v>140</v>
      </c>
      <c r="O250" s="19">
        <f t="shared" si="167"/>
        <v>931.39499999999305</v>
      </c>
      <c r="P250" s="19">
        <f t="shared" si="168"/>
        <v>731.39499999999305</v>
      </c>
      <c r="Q250"/>
      <c r="R250" s="19">
        <f t="shared" si="169"/>
        <v>531.39499999999953</v>
      </c>
      <c r="S250"/>
      <c r="T250"/>
      <c r="U250"/>
      <c r="V250"/>
      <c r="W250"/>
      <c r="X250"/>
      <c r="Y250"/>
      <c r="Z250" s="19">
        <f t="shared" si="178"/>
        <v>327.37000000000091</v>
      </c>
      <c r="AA250" s="19">
        <f t="shared" si="179"/>
        <v>127.37000000000052</v>
      </c>
      <c r="AB250" s="19" t="e">
        <f t="shared" si="180"/>
        <v>#N/A</v>
      </c>
      <c r="AC250"/>
      <c r="AD250"/>
      <c r="AE250" s="19">
        <v>159</v>
      </c>
      <c r="AG250" s="19">
        <f t="shared" si="151"/>
        <v>3</v>
      </c>
      <c r="AH250" s="19">
        <f t="shared" si="152"/>
        <v>-1</v>
      </c>
      <c r="AI250" s="19">
        <f t="shared" si="153"/>
        <v>21.735000000000003</v>
      </c>
      <c r="AJ250" s="410">
        <f t="shared" si="154"/>
        <v>876.84</v>
      </c>
      <c r="AK250" s="19" t="e">
        <f t="shared" si="155"/>
        <v>#N/A</v>
      </c>
      <c r="AL250" s="19">
        <f t="shared" si="156"/>
        <v>676.84</v>
      </c>
      <c r="AM250" s="19" t="e">
        <f t="shared" si="157"/>
        <v>#N/A</v>
      </c>
      <c r="AN250" s="19">
        <f t="shared" si="158"/>
        <v>476.84</v>
      </c>
      <c r="AO250" s="19" t="e">
        <f t="shared" si="159"/>
        <v>#N/A</v>
      </c>
      <c r="AP250" s="19">
        <f t="shared" si="160"/>
        <v>276.83999999999997</v>
      </c>
      <c r="AQ250" s="19" t="e">
        <f t="shared" si="161"/>
        <v>#N/A</v>
      </c>
      <c r="AR250" s="19">
        <f t="shared" si="162"/>
        <v>76.84</v>
      </c>
      <c r="AS250" s="19" t="e">
        <f t="shared" si="163"/>
        <v>#N/A</v>
      </c>
      <c r="AT250"/>
      <c r="AU250"/>
      <c r="AV250"/>
      <c r="AW250"/>
      <c r="AX250"/>
      <c r="AY250"/>
      <c r="AZ250"/>
      <c r="BA250"/>
      <c r="BB250"/>
      <c r="BC250"/>
      <c r="BD250"/>
      <c r="BE250"/>
      <c r="BF250"/>
      <c r="BG250"/>
      <c r="BH250"/>
      <c r="BI250"/>
      <c r="BJ250"/>
      <c r="BK250"/>
      <c r="BL250"/>
      <c r="BM250"/>
      <c r="BN250"/>
      <c r="BO250"/>
      <c r="BP250"/>
      <c r="BQ250"/>
      <c r="CB250"/>
      <c r="CC250"/>
      <c r="CD250"/>
      <c r="CE250"/>
      <c r="CJ250"/>
      <c r="CK250"/>
      <c r="CL250"/>
      <c r="CM250"/>
      <c r="CN250"/>
    </row>
    <row r="251" spans="14:92" ht="11.25" customHeight="1" x14ac:dyDescent="0.2">
      <c r="N251" s="19">
        <v>141</v>
      </c>
      <c r="O251" s="19">
        <f t="shared" si="167"/>
        <v>932.199999999993</v>
      </c>
      <c r="P251" s="19">
        <f t="shared" si="168"/>
        <v>732.199999999993</v>
      </c>
      <c r="Q251"/>
      <c r="R251" s="19">
        <f t="shared" si="169"/>
        <v>532.19999999999948</v>
      </c>
      <c r="S251"/>
      <c r="T251"/>
      <c r="U251"/>
      <c r="V251"/>
      <c r="W251"/>
      <c r="X251"/>
      <c r="Y251"/>
      <c r="Z251" s="19">
        <f t="shared" si="178"/>
        <v>328.17500000000092</v>
      </c>
      <c r="AA251" s="19">
        <f t="shared" si="179"/>
        <v>128.17500000000052</v>
      </c>
      <c r="AB251" s="19" t="e">
        <f t="shared" si="180"/>
        <v>#N/A</v>
      </c>
      <c r="AC251"/>
      <c r="AD251"/>
      <c r="AE251" s="19">
        <v>160</v>
      </c>
      <c r="AG251" s="19">
        <f t="shared" si="151"/>
        <v>3</v>
      </c>
      <c r="AH251" s="19">
        <f t="shared" si="152"/>
        <v>1</v>
      </c>
      <c r="AI251" s="19">
        <f t="shared" si="153"/>
        <v>21.735000000000003</v>
      </c>
      <c r="AJ251" s="410">
        <f t="shared" si="154"/>
        <v>923.16</v>
      </c>
      <c r="AK251" s="19" t="e">
        <f t="shared" si="155"/>
        <v>#N/A</v>
      </c>
      <c r="AL251" s="19">
        <f t="shared" si="156"/>
        <v>723.16</v>
      </c>
      <c r="AM251" s="19" t="e">
        <f t="shared" si="157"/>
        <v>#N/A</v>
      </c>
      <c r="AN251" s="19">
        <f t="shared" si="158"/>
        <v>523.16</v>
      </c>
      <c r="AO251" s="19" t="e">
        <f t="shared" si="159"/>
        <v>#N/A</v>
      </c>
      <c r="AP251" s="19">
        <f t="shared" si="160"/>
        <v>323.16000000000003</v>
      </c>
      <c r="AQ251" s="19" t="e">
        <f t="shared" si="161"/>
        <v>#N/A</v>
      </c>
      <c r="AR251" s="19">
        <f t="shared" si="162"/>
        <v>123.16</v>
      </c>
      <c r="AS251" s="19" t="e">
        <f t="shared" si="163"/>
        <v>#N/A</v>
      </c>
      <c r="AT251"/>
      <c r="AU251"/>
      <c r="AV251"/>
      <c r="AW251"/>
      <c r="AX251"/>
      <c r="AY251"/>
      <c r="AZ251"/>
      <c r="BA251"/>
      <c r="BB251"/>
      <c r="BC251"/>
      <c r="BD251"/>
      <c r="BE251"/>
      <c r="BF251"/>
      <c r="BG251"/>
      <c r="BH251"/>
      <c r="BI251"/>
      <c r="BJ251"/>
      <c r="BK251"/>
      <c r="BL251"/>
      <c r="BM251"/>
      <c r="BN251"/>
      <c r="BO251"/>
      <c r="BP251"/>
      <c r="BQ251"/>
      <c r="CB251"/>
      <c r="CC251"/>
      <c r="CD251"/>
      <c r="CE251"/>
      <c r="CJ251"/>
      <c r="CK251"/>
      <c r="CL251"/>
      <c r="CM251"/>
      <c r="CN251"/>
    </row>
    <row r="252" spans="14:92" ht="11.25" customHeight="1" x14ac:dyDescent="0.2">
      <c r="N252" s="19">
        <v>142</v>
      </c>
      <c r="O252" s="19">
        <f t="shared" si="167"/>
        <v>933.00499999999295</v>
      </c>
      <c r="P252" s="19">
        <f t="shared" si="168"/>
        <v>733.00499999999295</v>
      </c>
      <c r="Q252"/>
      <c r="R252" s="19">
        <f t="shared" si="169"/>
        <v>533.00499999999943</v>
      </c>
      <c r="S252"/>
      <c r="T252"/>
      <c r="U252"/>
      <c r="V252"/>
      <c r="W252"/>
      <c r="X252"/>
      <c r="Y252"/>
      <c r="Z252" s="19">
        <f t="shared" si="178"/>
        <v>328.98000000000093</v>
      </c>
      <c r="AA252" s="19">
        <f t="shared" si="179"/>
        <v>128.98000000000053</v>
      </c>
      <c r="AB252" s="19" t="e">
        <f t="shared" si="180"/>
        <v>#N/A</v>
      </c>
      <c r="AC252"/>
      <c r="AD252"/>
      <c r="AE252" s="19">
        <v>161</v>
      </c>
      <c r="AG252" s="19">
        <f t="shared" si="151"/>
        <v>5</v>
      </c>
      <c r="AH252" s="19">
        <f t="shared" si="152"/>
        <v>-1</v>
      </c>
      <c r="AI252" s="19">
        <f t="shared" si="153"/>
        <v>21.735000000000003</v>
      </c>
      <c r="AJ252" s="410">
        <f t="shared" si="154"/>
        <v>861.4</v>
      </c>
      <c r="AK252" s="19" t="e">
        <f t="shared" si="155"/>
        <v>#N/A</v>
      </c>
      <c r="AL252" s="19">
        <f t="shared" si="156"/>
        <v>661.4</v>
      </c>
      <c r="AM252" s="19" t="e">
        <f t="shared" si="157"/>
        <v>#N/A</v>
      </c>
      <c r="AN252" s="19">
        <f t="shared" si="158"/>
        <v>461.4</v>
      </c>
      <c r="AO252" s="19" t="e">
        <f t="shared" si="159"/>
        <v>#N/A</v>
      </c>
      <c r="AP252" s="19">
        <f t="shared" si="160"/>
        <v>261.39999999999998</v>
      </c>
      <c r="AQ252" s="19" t="e">
        <f t="shared" si="161"/>
        <v>#N/A</v>
      </c>
      <c r="AR252" s="19">
        <f t="shared" si="162"/>
        <v>61.4</v>
      </c>
      <c r="AS252" s="19" t="e">
        <f t="shared" si="163"/>
        <v>#N/A</v>
      </c>
      <c r="AT252"/>
      <c r="AU252"/>
      <c r="AV252"/>
      <c r="AW252"/>
      <c r="AX252"/>
      <c r="AY252"/>
      <c r="AZ252"/>
      <c r="BA252"/>
      <c r="BB252"/>
      <c r="BC252"/>
      <c r="BD252"/>
      <c r="BE252"/>
      <c r="BF252"/>
      <c r="BG252"/>
      <c r="BH252"/>
      <c r="BI252"/>
      <c r="BJ252"/>
      <c r="BK252"/>
      <c r="BL252"/>
      <c r="BM252"/>
      <c r="BN252"/>
      <c r="BO252"/>
      <c r="BP252"/>
      <c r="BQ252"/>
      <c r="CB252"/>
      <c r="CC252"/>
      <c r="CD252"/>
      <c r="CE252"/>
      <c r="CJ252"/>
      <c r="CK252"/>
      <c r="CL252"/>
      <c r="CM252"/>
      <c r="CN252"/>
    </row>
    <row r="253" spans="14:92" ht="11.25" customHeight="1" x14ac:dyDescent="0.2">
      <c r="N253" s="19">
        <v>143</v>
      </c>
      <c r="O253" s="19">
        <f t="shared" si="167"/>
        <v>933.8099999999929</v>
      </c>
      <c r="P253" s="19">
        <f t="shared" si="168"/>
        <v>733.8099999999929</v>
      </c>
      <c r="Q253"/>
      <c r="R253" s="19">
        <f t="shared" si="169"/>
        <v>533.80999999999938</v>
      </c>
      <c r="S253"/>
      <c r="T253"/>
      <c r="U253"/>
      <c r="V253"/>
      <c r="W253"/>
      <c r="X253"/>
      <c r="Y253"/>
      <c r="Z253" s="19">
        <f t="shared" si="178"/>
        <v>329.78500000000093</v>
      </c>
      <c r="AA253" s="19">
        <f t="shared" si="179"/>
        <v>129.78500000000054</v>
      </c>
      <c r="AB253" s="19" t="e">
        <f t="shared" si="180"/>
        <v>#N/A</v>
      </c>
      <c r="AC253"/>
      <c r="AD253"/>
      <c r="AE253" s="19">
        <v>162</v>
      </c>
      <c r="AG253" s="19">
        <f t="shared" si="151"/>
        <v>5</v>
      </c>
      <c r="AH253" s="19">
        <f t="shared" si="152"/>
        <v>1</v>
      </c>
      <c r="AI253" s="19">
        <f t="shared" si="153"/>
        <v>21.735000000000003</v>
      </c>
      <c r="AJ253" s="410">
        <f t="shared" si="154"/>
        <v>938.6</v>
      </c>
      <c r="AK253" s="19" t="e">
        <f t="shared" si="155"/>
        <v>#N/A</v>
      </c>
      <c r="AL253" s="19">
        <f t="shared" si="156"/>
        <v>738.6</v>
      </c>
      <c r="AM253" s="19" t="e">
        <f t="shared" si="157"/>
        <v>#N/A</v>
      </c>
      <c r="AN253" s="19">
        <f t="shared" si="158"/>
        <v>538.6</v>
      </c>
      <c r="AO253" s="19" t="e">
        <f t="shared" si="159"/>
        <v>#N/A</v>
      </c>
      <c r="AP253" s="19">
        <f t="shared" si="160"/>
        <v>338.6</v>
      </c>
      <c r="AQ253" s="19" t="e">
        <f t="shared" si="161"/>
        <v>#N/A</v>
      </c>
      <c r="AR253" s="19">
        <f t="shared" si="162"/>
        <v>138.6</v>
      </c>
      <c r="AS253" s="19" t="e">
        <f t="shared" si="163"/>
        <v>#N/A</v>
      </c>
      <c r="AT253"/>
      <c r="AU253"/>
      <c r="AV253"/>
      <c r="AW253"/>
      <c r="AX253"/>
      <c r="AY253"/>
      <c r="AZ253"/>
      <c r="BA253"/>
      <c r="BB253"/>
      <c r="BC253"/>
      <c r="BD253"/>
      <c r="BE253"/>
      <c r="BF253"/>
      <c r="BG253"/>
      <c r="BH253"/>
      <c r="BI253"/>
      <c r="BJ253"/>
      <c r="BK253"/>
      <c r="BL253"/>
      <c r="BM253"/>
      <c r="BN253"/>
      <c r="BO253"/>
      <c r="BP253"/>
      <c r="BQ253"/>
      <c r="CB253"/>
      <c r="CC253"/>
      <c r="CD253"/>
      <c r="CE253"/>
      <c r="CJ253"/>
      <c r="CK253"/>
      <c r="CL253"/>
      <c r="CM253"/>
      <c r="CN253"/>
    </row>
    <row r="254" spans="14:92" ht="11.25" customHeight="1" x14ac:dyDescent="0.2">
      <c r="N254" s="19">
        <v>144</v>
      </c>
      <c r="O254" s="19">
        <f t="shared" si="167"/>
        <v>934.61499999999285</v>
      </c>
      <c r="P254" s="19">
        <f t="shared" si="168"/>
        <v>734.61499999999285</v>
      </c>
      <c r="Q254"/>
      <c r="R254" s="19">
        <f t="shared" si="169"/>
        <v>534.61499999999933</v>
      </c>
      <c r="S254"/>
      <c r="T254"/>
      <c r="U254"/>
      <c r="V254"/>
      <c r="W254"/>
      <c r="X254"/>
      <c r="Y254"/>
      <c r="Z254" s="19">
        <f t="shared" si="178"/>
        <v>330.59000000000094</v>
      </c>
      <c r="AA254" s="19">
        <f t="shared" si="179"/>
        <v>130.59000000000054</v>
      </c>
      <c r="AB254" s="19" t="e">
        <f t="shared" si="180"/>
        <v>#N/A</v>
      </c>
      <c r="AC254"/>
      <c r="AD254"/>
      <c r="AE254" s="19">
        <v>163</v>
      </c>
      <c r="AG254" s="19">
        <f t="shared" si="151"/>
        <v>7</v>
      </c>
      <c r="AH254" s="19">
        <f t="shared" si="152"/>
        <v>-1</v>
      </c>
      <c r="AI254" s="19">
        <f t="shared" si="153"/>
        <v>21.735000000000003</v>
      </c>
      <c r="AJ254" s="410">
        <f t="shared" si="154"/>
        <v>845.96</v>
      </c>
      <c r="AK254" s="19" t="e">
        <f t="shared" si="155"/>
        <v>#N/A</v>
      </c>
      <c r="AL254" s="19">
        <f t="shared" si="156"/>
        <v>645.96</v>
      </c>
      <c r="AM254" s="19" t="e">
        <f t="shared" si="157"/>
        <v>#N/A</v>
      </c>
      <c r="AN254" s="19">
        <f t="shared" si="158"/>
        <v>445.96</v>
      </c>
      <c r="AO254" s="19" t="e">
        <f t="shared" si="159"/>
        <v>#N/A</v>
      </c>
      <c r="AP254" s="19">
        <f t="shared" si="160"/>
        <v>245.96</v>
      </c>
      <c r="AQ254" s="19" t="e">
        <f t="shared" si="161"/>
        <v>#N/A</v>
      </c>
      <c r="AR254" s="19">
        <f t="shared" si="162"/>
        <v>45.96</v>
      </c>
      <c r="AS254" s="19" t="e">
        <f t="shared" si="163"/>
        <v>#N/A</v>
      </c>
      <c r="AT254"/>
      <c r="AU254"/>
      <c r="AV254"/>
      <c r="AW254"/>
      <c r="AX254"/>
      <c r="AY254"/>
      <c r="AZ254"/>
      <c r="BA254"/>
      <c r="BB254"/>
      <c r="BC254"/>
      <c r="BD254"/>
      <c r="BE254"/>
      <c r="BF254"/>
      <c r="BG254"/>
      <c r="BH254"/>
      <c r="BI254"/>
      <c r="BJ254"/>
      <c r="BK254"/>
      <c r="BL254"/>
      <c r="BM254"/>
      <c r="BN254"/>
      <c r="BO254"/>
      <c r="BP254"/>
      <c r="BQ254"/>
      <c r="CB254"/>
      <c r="CC254"/>
      <c r="CD254"/>
      <c r="CE254"/>
      <c r="CJ254"/>
      <c r="CK254"/>
      <c r="CL254"/>
      <c r="CM254"/>
      <c r="CN254"/>
    </row>
    <row r="255" spans="14:92" ht="11.25" customHeight="1" x14ac:dyDescent="0.2">
      <c r="N255" s="19">
        <v>145</v>
      </c>
      <c r="O255" s="19">
        <f t="shared" si="167"/>
        <v>935.4199999999928</v>
      </c>
      <c r="P255" s="19">
        <f t="shared" si="168"/>
        <v>735.4199999999928</v>
      </c>
      <c r="Q255"/>
      <c r="R255" s="19">
        <f t="shared" si="169"/>
        <v>535.41999999999928</v>
      </c>
      <c r="S255"/>
      <c r="T255"/>
      <c r="U255"/>
      <c r="V255"/>
      <c r="W255"/>
      <c r="X255"/>
      <c r="Y255"/>
      <c r="Z255" s="19">
        <f t="shared" si="178"/>
        <v>331.39500000000095</v>
      </c>
      <c r="AA255" s="19">
        <f t="shared" si="179"/>
        <v>131.39500000000055</v>
      </c>
      <c r="AB255" s="19" t="e">
        <f t="shared" si="180"/>
        <v>#N/A</v>
      </c>
      <c r="AC255"/>
      <c r="AD255"/>
      <c r="AE255" s="19">
        <v>164</v>
      </c>
      <c r="AG255" s="19">
        <f t="shared" si="151"/>
        <v>7</v>
      </c>
      <c r="AH255" s="19">
        <f t="shared" si="152"/>
        <v>1</v>
      </c>
      <c r="AI255" s="19">
        <f t="shared" si="153"/>
        <v>21.735000000000003</v>
      </c>
      <c r="AJ255" s="410">
        <f t="shared" si="154"/>
        <v>954.04</v>
      </c>
      <c r="AK255" s="19" t="e">
        <f t="shared" si="155"/>
        <v>#N/A</v>
      </c>
      <c r="AL255" s="19">
        <f t="shared" si="156"/>
        <v>754.04</v>
      </c>
      <c r="AM255" s="19" t="e">
        <f t="shared" si="157"/>
        <v>#N/A</v>
      </c>
      <c r="AN255" s="19">
        <f t="shared" si="158"/>
        <v>554.04</v>
      </c>
      <c r="AO255" s="19" t="e">
        <f t="shared" si="159"/>
        <v>#N/A</v>
      </c>
      <c r="AP255" s="19">
        <f t="shared" si="160"/>
        <v>354.04</v>
      </c>
      <c r="AQ255" s="19" t="e">
        <f t="shared" si="161"/>
        <v>#N/A</v>
      </c>
      <c r="AR255" s="19">
        <f t="shared" si="162"/>
        <v>154.04</v>
      </c>
      <c r="AS255" s="19" t="e">
        <f t="shared" si="163"/>
        <v>#N/A</v>
      </c>
      <c r="AT255"/>
      <c r="AU255"/>
      <c r="AV255"/>
      <c r="AW255"/>
      <c r="AX255"/>
      <c r="AY255"/>
      <c r="AZ255"/>
      <c r="BA255"/>
      <c r="BB255"/>
      <c r="BC255"/>
      <c r="BD255"/>
      <c r="BE255"/>
      <c r="BF255"/>
      <c r="BG255"/>
      <c r="BH255"/>
      <c r="BI255"/>
      <c r="BJ255"/>
      <c r="BK255"/>
      <c r="BL255"/>
      <c r="BM255"/>
      <c r="BN255"/>
      <c r="BO255"/>
      <c r="BP255"/>
      <c r="BQ255"/>
      <c r="CB255"/>
      <c r="CC255"/>
      <c r="CD255"/>
      <c r="CE255"/>
      <c r="CJ255"/>
      <c r="CK255"/>
      <c r="CL255"/>
      <c r="CM255"/>
      <c r="CN255"/>
    </row>
    <row r="256" spans="14:92" ht="11.25" customHeight="1" x14ac:dyDescent="0.2">
      <c r="N256" s="19">
        <v>146</v>
      </c>
      <c r="O256" s="19">
        <f t="shared" si="167"/>
        <v>936.22499999999275</v>
      </c>
      <c r="P256" s="19">
        <f t="shared" si="168"/>
        <v>736.22499999999275</v>
      </c>
      <c r="Q256"/>
      <c r="R256" s="19">
        <f t="shared" si="169"/>
        <v>536.22499999999923</v>
      </c>
      <c r="S256"/>
      <c r="T256"/>
      <c r="U256"/>
      <c r="V256"/>
      <c r="W256"/>
      <c r="X256"/>
      <c r="Y256"/>
      <c r="Z256" s="19">
        <f t="shared" si="178"/>
        <v>332.20000000000095</v>
      </c>
      <c r="AA256" s="19">
        <f t="shared" si="179"/>
        <v>132.20000000000056</v>
      </c>
      <c r="AB256" s="19" t="e">
        <f t="shared" si="180"/>
        <v>#N/A</v>
      </c>
      <c r="AC256"/>
      <c r="AD256"/>
      <c r="AE256" s="19">
        <v>165</v>
      </c>
      <c r="AG256" s="19">
        <f t="shared" si="151"/>
        <v>9</v>
      </c>
      <c r="AH256" s="19">
        <f t="shared" si="152"/>
        <v>-1</v>
      </c>
      <c r="AI256" s="19">
        <f t="shared" si="153"/>
        <v>21.735000000000003</v>
      </c>
      <c r="AJ256" s="410">
        <f t="shared" si="154"/>
        <v>830.52</v>
      </c>
      <c r="AK256" s="19" t="e">
        <f t="shared" si="155"/>
        <v>#N/A</v>
      </c>
      <c r="AL256" s="19">
        <f t="shared" si="156"/>
        <v>630.52</v>
      </c>
      <c r="AM256" s="19" t="e">
        <f t="shared" si="157"/>
        <v>#N/A</v>
      </c>
      <c r="AN256" s="19">
        <f t="shared" si="158"/>
        <v>430.52</v>
      </c>
      <c r="AO256" s="19" t="e">
        <f t="shared" si="159"/>
        <v>#N/A</v>
      </c>
      <c r="AP256" s="19">
        <f t="shared" si="160"/>
        <v>230.51999999999998</v>
      </c>
      <c r="AQ256" s="19" t="e">
        <f t="shared" si="161"/>
        <v>#N/A</v>
      </c>
      <c r="AR256" s="19">
        <f t="shared" si="162"/>
        <v>30.519999999999996</v>
      </c>
      <c r="AS256" s="19" t="e">
        <f t="shared" si="163"/>
        <v>#N/A</v>
      </c>
      <c r="AT256"/>
      <c r="AU256"/>
      <c r="AV256"/>
      <c r="AW256"/>
      <c r="AX256"/>
      <c r="AY256"/>
      <c r="AZ256"/>
      <c r="BA256"/>
      <c r="BB256"/>
      <c r="BC256"/>
      <c r="BD256"/>
      <c r="BE256"/>
      <c r="BF256"/>
      <c r="BG256"/>
      <c r="BH256"/>
      <c r="BI256"/>
      <c r="BJ256"/>
      <c r="BK256"/>
      <c r="BL256"/>
      <c r="BM256"/>
      <c r="BN256"/>
      <c r="BO256"/>
      <c r="BP256"/>
      <c r="BQ256"/>
      <c r="CB256"/>
      <c r="CC256"/>
      <c r="CD256"/>
      <c r="CE256"/>
      <c r="CJ256"/>
      <c r="CK256"/>
      <c r="CL256"/>
      <c r="CM256"/>
      <c r="CN256"/>
    </row>
    <row r="257" spans="14:92" ht="11.25" customHeight="1" x14ac:dyDescent="0.2">
      <c r="N257" s="19">
        <v>147</v>
      </c>
      <c r="O257" s="19">
        <f t="shared" si="167"/>
        <v>937.0299999999927</v>
      </c>
      <c r="P257" s="19">
        <f t="shared" si="168"/>
        <v>737.0299999999927</v>
      </c>
      <c r="Q257"/>
      <c r="R257" s="19">
        <f t="shared" si="169"/>
        <v>537.02999999999918</v>
      </c>
      <c r="S257"/>
      <c r="T257"/>
      <c r="U257"/>
      <c r="V257"/>
      <c r="W257"/>
      <c r="X257"/>
      <c r="Y257"/>
      <c r="Z257" s="19">
        <f t="shared" si="178"/>
        <v>333.00500000000096</v>
      </c>
      <c r="AA257" s="19">
        <f t="shared" si="179"/>
        <v>133.00500000000056</v>
      </c>
      <c r="AB257" s="19" t="e">
        <f t="shared" si="180"/>
        <v>#N/A</v>
      </c>
      <c r="AC257"/>
      <c r="AD257"/>
      <c r="AE257" s="19">
        <v>166</v>
      </c>
      <c r="AG257" s="19">
        <f t="shared" si="151"/>
        <v>9</v>
      </c>
      <c r="AH257" s="19">
        <f t="shared" si="152"/>
        <v>1</v>
      </c>
      <c r="AI257" s="19">
        <f t="shared" si="153"/>
        <v>21.735000000000003</v>
      </c>
      <c r="AJ257" s="410">
        <f t="shared" si="154"/>
        <v>969.48</v>
      </c>
      <c r="AK257" s="19" t="e">
        <f t="shared" si="155"/>
        <v>#N/A</v>
      </c>
      <c r="AL257" s="19">
        <f t="shared" si="156"/>
        <v>769.48</v>
      </c>
      <c r="AM257" s="19" t="e">
        <f t="shared" si="157"/>
        <v>#N/A</v>
      </c>
      <c r="AN257" s="19">
        <f t="shared" si="158"/>
        <v>569.48</v>
      </c>
      <c r="AO257" s="19" t="e">
        <f t="shared" si="159"/>
        <v>#N/A</v>
      </c>
      <c r="AP257" s="19">
        <f t="shared" si="160"/>
        <v>369.48</v>
      </c>
      <c r="AQ257" s="19" t="e">
        <f t="shared" si="161"/>
        <v>#N/A</v>
      </c>
      <c r="AR257" s="19">
        <f t="shared" si="162"/>
        <v>169.48000000000002</v>
      </c>
      <c r="AS257" s="19" t="e">
        <f t="shared" si="163"/>
        <v>#N/A</v>
      </c>
      <c r="AT257"/>
      <c r="AU257"/>
      <c r="AV257"/>
      <c r="AW257"/>
      <c r="AX257"/>
      <c r="AY257"/>
      <c r="AZ257"/>
      <c r="BA257"/>
      <c r="BB257"/>
      <c r="BC257"/>
      <c r="BD257"/>
      <c r="BE257"/>
      <c r="BF257"/>
      <c r="BG257"/>
      <c r="BH257"/>
      <c r="BI257"/>
      <c r="BJ257"/>
      <c r="BK257"/>
      <c r="BL257"/>
      <c r="BM257"/>
      <c r="BN257"/>
      <c r="BO257"/>
      <c r="BP257"/>
      <c r="BQ257"/>
      <c r="CB257"/>
      <c r="CC257"/>
      <c r="CD257"/>
      <c r="CE257"/>
      <c r="CJ257"/>
      <c r="CK257"/>
      <c r="CL257"/>
      <c r="CM257"/>
      <c r="CN257"/>
    </row>
    <row r="258" spans="14:92" ht="11.25" customHeight="1" x14ac:dyDescent="0.2">
      <c r="N258" s="19">
        <v>148</v>
      </c>
      <c r="O258" s="19">
        <f t="shared" si="167"/>
        <v>937.83499999999265</v>
      </c>
      <c r="P258" s="19">
        <f t="shared" si="168"/>
        <v>737.83499999999265</v>
      </c>
      <c r="Q258"/>
      <c r="R258" s="19">
        <f t="shared" si="169"/>
        <v>537.83499999999913</v>
      </c>
      <c r="S258"/>
      <c r="T258"/>
      <c r="U258"/>
      <c r="V258"/>
      <c r="W258"/>
      <c r="X258"/>
      <c r="Y258"/>
      <c r="Z258" s="19">
        <f t="shared" si="178"/>
        <v>333.81000000000097</v>
      </c>
      <c r="AA258" s="19">
        <f t="shared" si="179"/>
        <v>133.81000000000057</v>
      </c>
      <c r="AB258" s="19" t="e">
        <f t="shared" si="180"/>
        <v>#N/A</v>
      </c>
      <c r="AC258"/>
      <c r="AD258"/>
      <c r="AE258" s="19">
        <v>167</v>
      </c>
      <c r="AG258" s="19">
        <f t="shared" si="151"/>
        <v>11</v>
      </c>
      <c r="AH258" s="19">
        <f t="shared" si="152"/>
        <v>-1</v>
      </c>
      <c r="AI258" s="19">
        <f t="shared" si="153"/>
        <v>21.735000000000003</v>
      </c>
      <c r="AJ258" s="410">
        <f t="shared" si="154"/>
        <v>815.08</v>
      </c>
      <c r="AK258" s="19" t="e">
        <f t="shared" si="155"/>
        <v>#N/A</v>
      </c>
      <c r="AL258" s="19">
        <f t="shared" si="156"/>
        <v>615.08000000000004</v>
      </c>
      <c r="AM258" s="19" t="e">
        <f t="shared" si="157"/>
        <v>#N/A</v>
      </c>
      <c r="AN258" s="19">
        <f t="shared" si="158"/>
        <v>415.08</v>
      </c>
      <c r="AO258" s="19" t="e">
        <f t="shared" si="159"/>
        <v>#N/A</v>
      </c>
      <c r="AP258" s="19">
        <f t="shared" si="160"/>
        <v>215.07999999999998</v>
      </c>
      <c r="AQ258" s="19" t="e">
        <f t="shared" si="161"/>
        <v>#N/A</v>
      </c>
      <c r="AR258" s="19">
        <f t="shared" si="162"/>
        <v>15.079999999999998</v>
      </c>
      <c r="AS258" s="19" t="e">
        <f t="shared" si="163"/>
        <v>#N/A</v>
      </c>
      <c r="AT258"/>
      <c r="AU258"/>
      <c r="AV258"/>
      <c r="AW258"/>
      <c r="AX258"/>
      <c r="AY258"/>
      <c r="AZ258"/>
      <c r="BA258"/>
      <c r="BB258"/>
      <c r="BC258"/>
      <c r="BD258"/>
      <c r="BE258"/>
      <c r="BF258"/>
      <c r="BG258"/>
      <c r="BH258"/>
      <c r="BI258"/>
      <c r="BJ258"/>
      <c r="BK258"/>
      <c r="BL258"/>
      <c r="BM258"/>
      <c r="BN258"/>
      <c r="BO258"/>
      <c r="BP258"/>
      <c r="BQ258"/>
      <c r="CB258"/>
      <c r="CC258"/>
      <c r="CD258"/>
      <c r="CE258"/>
      <c r="CJ258"/>
      <c r="CK258"/>
      <c r="CL258"/>
      <c r="CM258"/>
      <c r="CN258"/>
    </row>
    <row r="259" spans="14:92" ht="11.25" customHeight="1" x14ac:dyDescent="0.2">
      <c r="N259" s="19">
        <v>149</v>
      </c>
      <c r="O259" s="19">
        <f t="shared" si="167"/>
        <v>938.6399999999926</v>
      </c>
      <c r="P259" s="19">
        <f t="shared" si="168"/>
        <v>738.6399999999926</v>
      </c>
      <c r="Q259"/>
      <c r="R259" s="19">
        <f t="shared" si="169"/>
        <v>538.63999999999908</v>
      </c>
      <c r="S259"/>
      <c r="T259"/>
      <c r="U259"/>
      <c r="V259"/>
      <c r="W259"/>
      <c r="X259"/>
      <c r="Y259"/>
      <c r="Z259" s="19">
        <f t="shared" si="178"/>
        <v>334.61500000000098</v>
      </c>
      <c r="AA259" s="19">
        <f t="shared" si="179"/>
        <v>134.61500000000058</v>
      </c>
      <c r="AB259" s="19" t="e">
        <f t="shared" si="180"/>
        <v>#N/A</v>
      </c>
      <c r="AC259"/>
      <c r="AD259"/>
      <c r="AE259" s="19">
        <v>168</v>
      </c>
      <c r="AG259" s="19">
        <f t="shared" si="151"/>
        <v>11</v>
      </c>
      <c r="AH259" s="19">
        <f t="shared" si="152"/>
        <v>1</v>
      </c>
      <c r="AI259" s="19">
        <f t="shared" si="153"/>
        <v>21.735000000000003</v>
      </c>
      <c r="AJ259" s="410">
        <f t="shared" si="154"/>
        <v>984.92</v>
      </c>
      <c r="AK259" s="19" t="e">
        <f t="shared" si="155"/>
        <v>#N/A</v>
      </c>
      <c r="AL259" s="19">
        <f t="shared" si="156"/>
        <v>784.92</v>
      </c>
      <c r="AM259" s="19" t="e">
        <f t="shared" si="157"/>
        <v>#N/A</v>
      </c>
      <c r="AN259" s="19">
        <f t="shared" si="158"/>
        <v>584.91999999999996</v>
      </c>
      <c r="AO259" s="19" t="e">
        <f t="shared" si="159"/>
        <v>#N/A</v>
      </c>
      <c r="AP259" s="19">
        <f t="shared" si="160"/>
        <v>384.92</v>
      </c>
      <c r="AQ259" s="19" t="e">
        <f t="shared" si="161"/>
        <v>#N/A</v>
      </c>
      <c r="AR259" s="19">
        <f t="shared" si="162"/>
        <v>184.92000000000002</v>
      </c>
      <c r="AS259" s="19" t="e">
        <f t="shared" si="163"/>
        <v>#N/A</v>
      </c>
      <c r="AT259"/>
      <c r="AU259"/>
      <c r="AV259"/>
      <c r="AW259"/>
      <c r="AX259"/>
      <c r="AY259"/>
      <c r="AZ259"/>
      <c r="BA259"/>
      <c r="BB259"/>
      <c r="BC259"/>
      <c r="BD259"/>
      <c r="BE259"/>
      <c r="BF259"/>
      <c r="BG259"/>
      <c r="BH259"/>
      <c r="BI259"/>
      <c r="BJ259"/>
      <c r="BK259"/>
      <c r="BL259"/>
      <c r="BM259"/>
      <c r="BN259"/>
      <c r="BO259"/>
      <c r="BP259"/>
      <c r="BQ259"/>
      <c r="CB259"/>
      <c r="CC259"/>
      <c r="CD259"/>
      <c r="CE259"/>
      <c r="CJ259"/>
      <c r="CK259"/>
      <c r="CL259"/>
      <c r="CM259"/>
      <c r="CN259"/>
    </row>
    <row r="260" spans="14:92" ht="11.25" customHeight="1" x14ac:dyDescent="0.2">
      <c r="N260" s="19">
        <v>150</v>
      </c>
      <c r="O260" s="19">
        <f t="shared" si="167"/>
        <v>939.44499999999255</v>
      </c>
      <c r="P260" s="19">
        <f t="shared" si="168"/>
        <v>739.44499999999255</v>
      </c>
      <c r="Q260"/>
      <c r="R260" s="19">
        <f t="shared" si="169"/>
        <v>539.44499999999903</v>
      </c>
      <c r="S260"/>
      <c r="T260"/>
      <c r="U260"/>
      <c r="V260"/>
      <c r="W260"/>
      <c r="X260"/>
      <c r="Y260"/>
      <c r="Z260" s="19">
        <f t="shared" si="178"/>
        <v>335.42000000000098</v>
      </c>
      <c r="AA260" s="19">
        <f t="shared" si="179"/>
        <v>135.42000000000058</v>
      </c>
      <c r="AB260" s="19" t="e">
        <f t="shared" si="180"/>
        <v>#N/A</v>
      </c>
      <c r="AC260"/>
      <c r="AD260"/>
      <c r="AE260" s="19">
        <v>169</v>
      </c>
      <c r="AG260" s="19">
        <f t="shared" si="151"/>
        <v>1</v>
      </c>
      <c r="AH260" s="19">
        <f t="shared" si="152"/>
        <v>-1</v>
      </c>
      <c r="AI260" s="19">
        <f t="shared" si="153"/>
        <v>23.345000000000002</v>
      </c>
      <c r="AJ260" s="410">
        <f t="shared" si="154"/>
        <v>892.28</v>
      </c>
      <c r="AK260" s="19" t="e">
        <f t="shared" si="155"/>
        <v>#N/A</v>
      </c>
      <c r="AL260" s="19">
        <f t="shared" si="156"/>
        <v>692.28</v>
      </c>
      <c r="AM260" s="19" t="e">
        <f t="shared" si="157"/>
        <v>#N/A</v>
      </c>
      <c r="AN260" s="19">
        <f t="shared" si="158"/>
        <v>492.28</v>
      </c>
      <c r="AO260" s="19" t="e">
        <f t="shared" si="159"/>
        <v>#N/A</v>
      </c>
      <c r="AP260" s="19">
        <f t="shared" si="160"/>
        <v>292.27999999999997</v>
      </c>
      <c r="AQ260" s="19" t="e">
        <f t="shared" si="161"/>
        <v>#N/A</v>
      </c>
      <c r="AR260" s="19">
        <f t="shared" si="162"/>
        <v>92.28</v>
      </c>
      <c r="AS260" s="19" t="e">
        <f t="shared" si="163"/>
        <v>#N/A</v>
      </c>
      <c r="AT260"/>
      <c r="AU260"/>
      <c r="AV260"/>
      <c r="AW260"/>
      <c r="AX260"/>
      <c r="AY260"/>
      <c r="AZ260"/>
      <c r="BA260"/>
      <c r="BB260"/>
      <c r="BC260"/>
      <c r="BD260"/>
      <c r="BE260"/>
      <c r="BF260"/>
      <c r="BG260"/>
      <c r="BH260"/>
      <c r="BI260"/>
      <c r="BJ260"/>
      <c r="BK260"/>
      <c r="BL260"/>
      <c r="BM260"/>
      <c r="BN260"/>
      <c r="BO260"/>
      <c r="BP260"/>
      <c r="BQ260"/>
      <c r="CB260"/>
      <c r="CC260"/>
      <c r="CD260"/>
      <c r="CE260"/>
      <c r="CJ260"/>
      <c r="CK260"/>
      <c r="CL260"/>
      <c r="CM260"/>
      <c r="CN260"/>
    </row>
    <row r="261" spans="14:92" ht="11.25" customHeight="1" x14ac:dyDescent="0.2">
      <c r="N261" s="19">
        <v>151</v>
      </c>
      <c r="O261" s="19">
        <f t="shared" si="167"/>
        <v>940.2499999999925</v>
      </c>
      <c r="P261" s="19">
        <f t="shared" si="168"/>
        <v>740.2499999999925</v>
      </c>
      <c r="Q261"/>
      <c r="R261" s="19">
        <f t="shared" si="169"/>
        <v>540.24999999999898</v>
      </c>
      <c r="S261"/>
      <c r="T261"/>
      <c r="U261"/>
      <c r="V261"/>
      <c r="W261"/>
      <c r="X261"/>
      <c r="Y261"/>
      <c r="Z261" s="19">
        <f t="shared" si="178"/>
        <v>336.22500000000099</v>
      </c>
      <c r="AA261" s="19">
        <f t="shared" si="179"/>
        <v>136.22500000000059</v>
      </c>
      <c r="AB261" s="19" t="e">
        <f t="shared" si="180"/>
        <v>#N/A</v>
      </c>
      <c r="AC261"/>
      <c r="AD261"/>
      <c r="AE261" s="19">
        <v>170</v>
      </c>
      <c r="AG261" s="19">
        <f t="shared" si="151"/>
        <v>1</v>
      </c>
      <c r="AH261" s="19">
        <f t="shared" si="152"/>
        <v>1</v>
      </c>
      <c r="AI261" s="19">
        <f t="shared" si="153"/>
        <v>23.345000000000002</v>
      </c>
      <c r="AJ261" s="410">
        <f t="shared" si="154"/>
        <v>907.72</v>
      </c>
      <c r="AK261" s="19" t="e">
        <f t="shared" si="155"/>
        <v>#N/A</v>
      </c>
      <c r="AL261" s="19">
        <f t="shared" si="156"/>
        <v>707.72</v>
      </c>
      <c r="AM261" s="19" t="e">
        <f t="shared" si="157"/>
        <v>#N/A</v>
      </c>
      <c r="AN261" s="19">
        <f t="shared" si="158"/>
        <v>507.72</v>
      </c>
      <c r="AO261" s="19" t="e">
        <f t="shared" si="159"/>
        <v>#N/A</v>
      </c>
      <c r="AP261" s="19">
        <f t="shared" si="160"/>
        <v>307.72000000000003</v>
      </c>
      <c r="AQ261" s="19" t="e">
        <f t="shared" si="161"/>
        <v>#N/A</v>
      </c>
      <c r="AR261" s="19">
        <f t="shared" si="162"/>
        <v>107.72</v>
      </c>
      <c r="AS261" s="19" t="e">
        <f t="shared" si="163"/>
        <v>#N/A</v>
      </c>
      <c r="AT261"/>
      <c r="AU261"/>
      <c r="AV261"/>
      <c r="AW261"/>
      <c r="AX261"/>
      <c r="AY261"/>
      <c r="AZ261"/>
      <c r="BA261"/>
      <c r="BB261"/>
      <c r="BC261"/>
      <c r="BD261"/>
      <c r="BE261"/>
      <c r="BF261"/>
      <c r="BG261"/>
      <c r="BH261"/>
      <c r="BI261"/>
      <c r="BJ261"/>
      <c r="BK261"/>
      <c r="BL261"/>
      <c r="BM261"/>
      <c r="BN261"/>
      <c r="BO261"/>
      <c r="BP261"/>
      <c r="BQ261"/>
      <c r="CB261"/>
      <c r="CC261"/>
      <c r="CD261"/>
      <c r="CE261"/>
      <c r="CJ261"/>
      <c r="CK261"/>
      <c r="CL261"/>
      <c r="CM261"/>
      <c r="CN261"/>
    </row>
    <row r="262" spans="14:92" ht="11.25" customHeight="1" x14ac:dyDescent="0.2">
      <c r="N262" s="19">
        <v>152</v>
      </c>
      <c r="O262" s="19">
        <f t="shared" si="167"/>
        <v>941.05499999999245</v>
      </c>
      <c r="P262" s="19">
        <f t="shared" si="168"/>
        <v>741.05499999999245</v>
      </c>
      <c r="Q262"/>
      <c r="R262" s="19">
        <f t="shared" si="169"/>
        <v>541.05499999999893</v>
      </c>
      <c r="S262"/>
      <c r="T262"/>
      <c r="U262"/>
      <c r="V262"/>
      <c r="W262"/>
      <c r="X262"/>
      <c r="Y262"/>
      <c r="Z262" s="19">
        <f t="shared" si="178"/>
        <v>337.030000000001</v>
      </c>
      <c r="AA262" s="19">
        <f t="shared" si="179"/>
        <v>137.0300000000006</v>
      </c>
      <c r="AB262" s="19" t="e">
        <f t="shared" si="180"/>
        <v>#N/A</v>
      </c>
      <c r="AC262"/>
      <c r="AD262"/>
      <c r="AE262" s="19">
        <v>171</v>
      </c>
      <c r="AG262" s="19">
        <f t="shared" si="151"/>
        <v>3</v>
      </c>
      <c r="AH262" s="19">
        <f t="shared" si="152"/>
        <v>-1</v>
      </c>
      <c r="AI262" s="19">
        <f t="shared" si="153"/>
        <v>23.345000000000002</v>
      </c>
      <c r="AJ262" s="410">
        <f t="shared" si="154"/>
        <v>876.84</v>
      </c>
      <c r="AK262" s="19" t="e">
        <f t="shared" si="155"/>
        <v>#N/A</v>
      </c>
      <c r="AL262" s="19">
        <f t="shared" si="156"/>
        <v>676.84</v>
      </c>
      <c r="AM262" s="19" t="e">
        <f t="shared" si="157"/>
        <v>#N/A</v>
      </c>
      <c r="AN262" s="19">
        <f t="shared" si="158"/>
        <v>476.84</v>
      </c>
      <c r="AO262" s="19" t="e">
        <f t="shared" si="159"/>
        <v>#N/A</v>
      </c>
      <c r="AP262" s="19">
        <f t="shared" si="160"/>
        <v>276.83999999999997</v>
      </c>
      <c r="AQ262" s="19" t="e">
        <f t="shared" si="161"/>
        <v>#N/A</v>
      </c>
      <c r="AR262" s="19">
        <f t="shared" si="162"/>
        <v>76.84</v>
      </c>
      <c r="AS262" s="19" t="e">
        <f t="shared" si="163"/>
        <v>#N/A</v>
      </c>
      <c r="AT262"/>
      <c r="AU262"/>
      <c r="AV262"/>
      <c r="AW262"/>
      <c r="AX262"/>
      <c r="AY262"/>
      <c r="AZ262"/>
      <c r="BA262"/>
      <c r="BB262"/>
      <c r="BC262"/>
      <c r="BD262"/>
      <c r="BE262"/>
      <c r="BF262"/>
      <c r="BG262"/>
      <c r="BH262"/>
      <c r="BI262"/>
      <c r="BJ262"/>
      <c r="BK262"/>
      <c r="BL262"/>
      <c r="BM262"/>
      <c r="BN262"/>
      <c r="BO262"/>
      <c r="BP262"/>
      <c r="BQ262"/>
      <c r="CB262"/>
      <c r="CC262"/>
      <c r="CD262"/>
      <c r="CE262"/>
      <c r="CJ262"/>
      <c r="CK262"/>
      <c r="CL262"/>
      <c r="CM262"/>
      <c r="CN262"/>
    </row>
    <row r="263" spans="14:92" ht="11.25" customHeight="1" x14ac:dyDescent="0.2">
      <c r="N263" s="19">
        <v>153</v>
      </c>
      <c r="O263" s="19">
        <f t="shared" si="167"/>
        <v>941.8599999999924</v>
      </c>
      <c r="P263" s="19">
        <f t="shared" si="168"/>
        <v>741.8599999999924</v>
      </c>
      <c r="Q263"/>
      <c r="R263" s="19">
        <f t="shared" si="169"/>
        <v>541.85999999999888</v>
      </c>
      <c r="S263"/>
      <c r="T263"/>
      <c r="U263"/>
      <c r="V263"/>
      <c r="W263"/>
      <c r="X263"/>
      <c r="Y263"/>
      <c r="Z263" s="19">
        <f t="shared" si="178"/>
        <v>337.835000000001</v>
      </c>
      <c r="AA263" s="19">
        <f t="shared" si="179"/>
        <v>137.8350000000006</v>
      </c>
      <c r="AB263" s="19" t="e">
        <f t="shared" si="180"/>
        <v>#N/A</v>
      </c>
      <c r="AC263"/>
      <c r="AD263"/>
      <c r="AE263" s="19">
        <v>172</v>
      </c>
      <c r="AG263" s="19">
        <f t="shared" si="151"/>
        <v>3</v>
      </c>
      <c r="AH263" s="19">
        <f t="shared" si="152"/>
        <v>1</v>
      </c>
      <c r="AI263" s="19">
        <f t="shared" si="153"/>
        <v>23.345000000000002</v>
      </c>
      <c r="AJ263" s="410">
        <f t="shared" si="154"/>
        <v>923.16</v>
      </c>
      <c r="AK263" s="19" t="e">
        <f t="shared" si="155"/>
        <v>#N/A</v>
      </c>
      <c r="AL263" s="19">
        <f t="shared" si="156"/>
        <v>723.16</v>
      </c>
      <c r="AM263" s="19" t="e">
        <f t="shared" si="157"/>
        <v>#N/A</v>
      </c>
      <c r="AN263" s="19">
        <f t="shared" si="158"/>
        <v>523.16</v>
      </c>
      <c r="AO263" s="19" t="e">
        <f t="shared" si="159"/>
        <v>#N/A</v>
      </c>
      <c r="AP263" s="19">
        <f t="shared" si="160"/>
        <v>323.16000000000003</v>
      </c>
      <c r="AQ263" s="19" t="e">
        <f t="shared" si="161"/>
        <v>#N/A</v>
      </c>
      <c r="AR263" s="19">
        <f t="shared" si="162"/>
        <v>123.16</v>
      </c>
      <c r="AS263" s="19" t="e">
        <f t="shared" si="163"/>
        <v>#N/A</v>
      </c>
      <c r="AT263"/>
      <c r="AU263"/>
      <c r="AV263"/>
      <c r="AW263"/>
      <c r="AX263"/>
      <c r="AY263"/>
      <c r="AZ263"/>
      <c r="BA263"/>
      <c r="BB263"/>
      <c r="BC263"/>
      <c r="BD263"/>
      <c r="BE263"/>
      <c r="BF263"/>
      <c r="BG263"/>
      <c r="BH263"/>
      <c r="BI263"/>
      <c r="BJ263"/>
      <c r="BK263"/>
      <c r="BL263"/>
      <c r="BM263"/>
      <c r="BN263"/>
      <c r="BO263"/>
      <c r="BP263"/>
      <c r="BQ263"/>
      <c r="CB263"/>
      <c r="CC263"/>
      <c r="CD263"/>
      <c r="CE263"/>
      <c r="CJ263"/>
      <c r="CK263"/>
      <c r="CL263"/>
      <c r="CM263"/>
      <c r="CN263"/>
    </row>
    <row r="264" spans="14:92" ht="11.25" customHeight="1" x14ac:dyDescent="0.2">
      <c r="N264" s="19">
        <v>154</v>
      </c>
      <c r="O264" s="19">
        <f t="shared" si="167"/>
        <v>942.66499999999235</v>
      </c>
      <c r="P264" s="19">
        <f t="shared" si="168"/>
        <v>742.66499999999235</v>
      </c>
      <c r="Q264"/>
      <c r="R264" s="19">
        <f t="shared" si="169"/>
        <v>542.66499999999883</v>
      </c>
      <c r="S264"/>
      <c r="T264"/>
      <c r="U264"/>
      <c r="V264"/>
      <c r="W264"/>
      <c r="X264"/>
      <c r="Y264"/>
      <c r="Z264" s="19">
        <f t="shared" si="178"/>
        <v>338.64000000000101</v>
      </c>
      <c r="AA264" s="19">
        <f t="shared" si="179"/>
        <v>138.64000000000061</v>
      </c>
      <c r="AB264" s="19" t="e">
        <f t="shared" si="180"/>
        <v>#N/A</v>
      </c>
      <c r="AC264"/>
      <c r="AD264"/>
      <c r="AE264" s="19">
        <v>173</v>
      </c>
      <c r="AG264" s="19">
        <f t="shared" si="151"/>
        <v>5</v>
      </c>
      <c r="AH264" s="19">
        <f t="shared" si="152"/>
        <v>-1</v>
      </c>
      <c r="AI264" s="19">
        <f t="shared" si="153"/>
        <v>23.345000000000002</v>
      </c>
      <c r="AJ264" s="410">
        <f t="shared" si="154"/>
        <v>861.4</v>
      </c>
      <c r="AK264" s="19" t="e">
        <f t="shared" si="155"/>
        <v>#N/A</v>
      </c>
      <c r="AL264" s="19">
        <f t="shared" si="156"/>
        <v>661.4</v>
      </c>
      <c r="AM264" s="19" t="e">
        <f t="shared" si="157"/>
        <v>#N/A</v>
      </c>
      <c r="AN264" s="19">
        <f t="shared" si="158"/>
        <v>461.4</v>
      </c>
      <c r="AO264" s="19" t="e">
        <f t="shared" si="159"/>
        <v>#N/A</v>
      </c>
      <c r="AP264" s="19">
        <f t="shared" si="160"/>
        <v>261.39999999999998</v>
      </c>
      <c r="AQ264" s="19" t="e">
        <f t="shared" si="161"/>
        <v>#N/A</v>
      </c>
      <c r="AR264" s="19">
        <f t="shared" si="162"/>
        <v>61.4</v>
      </c>
      <c r="AS264" s="19" t="e">
        <f t="shared" si="163"/>
        <v>#N/A</v>
      </c>
      <c r="AT264"/>
      <c r="AU264"/>
      <c r="AV264"/>
      <c r="AW264"/>
      <c r="AX264"/>
      <c r="AY264"/>
      <c r="AZ264"/>
      <c r="BA264"/>
      <c r="BB264"/>
      <c r="BC264"/>
      <c r="BD264"/>
      <c r="BE264"/>
      <c r="BF264"/>
      <c r="BG264"/>
      <c r="BH264"/>
      <c r="BI264"/>
      <c r="BJ264"/>
      <c r="BK264"/>
      <c r="BL264"/>
      <c r="BM264"/>
      <c r="BN264"/>
      <c r="BO264"/>
      <c r="BP264"/>
      <c r="BQ264"/>
      <c r="CB264"/>
      <c r="CC264"/>
      <c r="CD264"/>
      <c r="CE264"/>
      <c r="CJ264"/>
      <c r="CK264"/>
      <c r="CL264"/>
      <c r="CM264"/>
      <c r="CN264"/>
    </row>
    <row r="265" spans="14:92" ht="11.25" customHeight="1" x14ac:dyDescent="0.2">
      <c r="N265" s="19">
        <v>155</v>
      </c>
      <c r="O265" s="19">
        <f t="shared" si="167"/>
        <v>943.4699999999923</v>
      </c>
      <c r="P265" s="19">
        <f t="shared" si="168"/>
        <v>743.4699999999923</v>
      </c>
      <c r="Q265"/>
      <c r="R265" s="19">
        <f t="shared" si="169"/>
        <v>543.46999999999878</v>
      </c>
      <c r="S265"/>
      <c r="T265"/>
      <c r="U265"/>
      <c r="V265"/>
      <c r="W265"/>
      <c r="X265"/>
      <c r="Y265"/>
      <c r="Z265" s="19">
        <f t="shared" si="178"/>
        <v>339.44500000000102</v>
      </c>
      <c r="AA265" s="19">
        <f t="shared" si="179"/>
        <v>139.44500000000062</v>
      </c>
      <c r="AB265" s="19" t="e">
        <f t="shared" si="180"/>
        <v>#N/A</v>
      </c>
      <c r="AC265"/>
      <c r="AD265"/>
      <c r="AE265" s="19">
        <v>174</v>
      </c>
      <c r="AG265" s="19">
        <f t="shared" si="151"/>
        <v>5</v>
      </c>
      <c r="AH265" s="19">
        <f t="shared" si="152"/>
        <v>1</v>
      </c>
      <c r="AI265" s="19">
        <f t="shared" si="153"/>
        <v>23.345000000000002</v>
      </c>
      <c r="AJ265" s="410">
        <f t="shared" si="154"/>
        <v>938.6</v>
      </c>
      <c r="AK265" s="19" t="e">
        <f t="shared" si="155"/>
        <v>#N/A</v>
      </c>
      <c r="AL265" s="19">
        <f t="shared" si="156"/>
        <v>738.6</v>
      </c>
      <c r="AM265" s="19" t="e">
        <f t="shared" si="157"/>
        <v>#N/A</v>
      </c>
      <c r="AN265" s="19">
        <f t="shared" si="158"/>
        <v>538.6</v>
      </c>
      <c r="AO265" s="19" t="e">
        <f t="shared" si="159"/>
        <v>#N/A</v>
      </c>
      <c r="AP265" s="19">
        <f t="shared" si="160"/>
        <v>338.6</v>
      </c>
      <c r="AQ265" s="19" t="e">
        <f t="shared" si="161"/>
        <v>#N/A</v>
      </c>
      <c r="AR265" s="19">
        <f t="shared" si="162"/>
        <v>138.6</v>
      </c>
      <c r="AS265" s="19" t="e">
        <f t="shared" si="163"/>
        <v>#N/A</v>
      </c>
      <c r="AT265"/>
      <c r="AU265"/>
      <c r="AV265"/>
      <c r="AW265"/>
      <c r="AX265"/>
      <c r="AY265"/>
      <c r="AZ265"/>
      <c r="BA265"/>
      <c r="BB265"/>
      <c r="BC265"/>
      <c r="BD265"/>
      <c r="BE265"/>
      <c r="BF265"/>
      <c r="BG265"/>
      <c r="BH265"/>
      <c r="BI265"/>
      <c r="BJ265"/>
      <c r="BK265"/>
      <c r="BL265"/>
      <c r="BM265"/>
      <c r="BN265"/>
      <c r="BO265"/>
      <c r="BP265"/>
      <c r="BQ265"/>
      <c r="CB265"/>
      <c r="CC265"/>
      <c r="CD265"/>
      <c r="CE265"/>
      <c r="CJ265"/>
      <c r="CK265"/>
      <c r="CL265"/>
      <c r="CM265"/>
      <c r="CN265"/>
    </row>
    <row r="266" spans="14:92" ht="11.25" customHeight="1" x14ac:dyDescent="0.2">
      <c r="N266" s="19">
        <v>156</v>
      </c>
      <c r="O266" s="19">
        <f t="shared" si="167"/>
        <v>944.27499999999225</v>
      </c>
      <c r="P266" s="19">
        <f t="shared" si="168"/>
        <v>744.27499999999225</v>
      </c>
      <c r="Q266"/>
      <c r="R266" s="19">
        <f t="shared" si="169"/>
        <v>544.27499999999873</v>
      </c>
      <c r="S266"/>
      <c r="T266"/>
      <c r="U266"/>
      <c r="V266"/>
      <c r="W266"/>
      <c r="X266"/>
      <c r="Y266"/>
      <c r="Z266" s="19">
        <f t="shared" si="178"/>
        <v>340.25000000000102</v>
      </c>
      <c r="AA266" s="19">
        <f t="shared" si="179"/>
        <v>140.25000000000063</v>
      </c>
      <c r="AB266" s="19" t="e">
        <f t="shared" si="180"/>
        <v>#N/A</v>
      </c>
      <c r="AC266"/>
      <c r="AD266"/>
      <c r="AE266" s="19">
        <v>175</v>
      </c>
      <c r="AG266" s="19">
        <f t="shared" si="151"/>
        <v>7</v>
      </c>
      <c r="AH266" s="19">
        <f t="shared" si="152"/>
        <v>-1</v>
      </c>
      <c r="AI266" s="19">
        <f t="shared" si="153"/>
        <v>23.345000000000002</v>
      </c>
      <c r="AJ266" s="410">
        <f t="shared" si="154"/>
        <v>845.96</v>
      </c>
      <c r="AK266" s="19" t="e">
        <f t="shared" si="155"/>
        <v>#N/A</v>
      </c>
      <c r="AL266" s="19">
        <f t="shared" si="156"/>
        <v>645.96</v>
      </c>
      <c r="AM266" s="19" t="e">
        <f t="shared" si="157"/>
        <v>#N/A</v>
      </c>
      <c r="AN266" s="19">
        <f t="shared" si="158"/>
        <v>445.96</v>
      </c>
      <c r="AO266" s="19" t="e">
        <f t="shared" si="159"/>
        <v>#N/A</v>
      </c>
      <c r="AP266" s="19">
        <f t="shared" si="160"/>
        <v>245.96</v>
      </c>
      <c r="AQ266" s="19" t="e">
        <f t="shared" si="161"/>
        <v>#N/A</v>
      </c>
      <c r="AR266" s="19">
        <f t="shared" si="162"/>
        <v>45.96</v>
      </c>
      <c r="AS266" s="19" t="e">
        <f t="shared" si="163"/>
        <v>#N/A</v>
      </c>
      <c r="AT266"/>
      <c r="AU266"/>
      <c r="AV266"/>
      <c r="AW266"/>
      <c r="AX266"/>
      <c r="AY266"/>
      <c r="AZ266"/>
      <c r="BA266"/>
      <c r="BB266"/>
      <c r="BC266"/>
      <c r="BD266"/>
      <c r="BE266"/>
      <c r="BF266"/>
      <c r="BG266"/>
      <c r="BH266"/>
      <c r="BI266"/>
      <c r="BJ266"/>
      <c r="BK266"/>
      <c r="BL266"/>
      <c r="BM266"/>
      <c r="BN266"/>
      <c r="BO266"/>
      <c r="BP266"/>
      <c r="BQ266"/>
      <c r="CB266"/>
      <c r="CC266"/>
      <c r="CD266"/>
      <c r="CE266"/>
      <c r="CJ266"/>
      <c r="CK266"/>
      <c r="CL266"/>
      <c r="CM266"/>
      <c r="CN266"/>
    </row>
    <row r="267" spans="14:92" ht="11.25" customHeight="1" x14ac:dyDescent="0.2">
      <c r="N267" s="19">
        <v>157</v>
      </c>
      <c r="O267" s="19">
        <f t="shared" si="167"/>
        <v>945.0799999999922</v>
      </c>
      <c r="P267" s="19">
        <f t="shared" si="168"/>
        <v>745.0799999999922</v>
      </c>
      <c r="Q267"/>
      <c r="R267" s="19">
        <f t="shared" si="169"/>
        <v>545.07999999999868</v>
      </c>
      <c r="S267"/>
      <c r="T267"/>
      <c r="U267"/>
      <c r="V267"/>
      <c r="W267"/>
      <c r="X267"/>
      <c r="Y267"/>
      <c r="Z267" s="19">
        <f t="shared" si="178"/>
        <v>341.05500000000103</v>
      </c>
      <c r="AA267" s="19">
        <f t="shared" si="179"/>
        <v>141.05500000000063</v>
      </c>
      <c r="AB267" s="19" t="e">
        <f t="shared" si="180"/>
        <v>#N/A</v>
      </c>
      <c r="AC267"/>
      <c r="AD267"/>
      <c r="AE267" s="19">
        <v>176</v>
      </c>
      <c r="AG267" s="19">
        <f t="shared" si="151"/>
        <v>7</v>
      </c>
      <c r="AH267" s="19">
        <f t="shared" si="152"/>
        <v>1</v>
      </c>
      <c r="AI267" s="19">
        <f t="shared" si="153"/>
        <v>23.345000000000002</v>
      </c>
      <c r="AJ267" s="410">
        <f t="shared" si="154"/>
        <v>954.04</v>
      </c>
      <c r="AK267" s="19" t="e">
        <f t="shared" si="155"/>
        <v>#N/A</v>
      </c>
      <c r="AL267" s="19">
        <f t="shared" si="156"/>
        <v>754.04</v>
      </c>
      <c r="AM267" s="19" t="e">
        <f t="shared" si="157"/>
        <v>#N/A</v>
      </c>
      <c r="AN267" s="19">
        <f t="shared" si="158"/>
        <v>554.04</v>
      </c>
      <c r="AO267" s="19" t="e">
        <f t="shared" si="159"/>
        <v>#N/A</v>
      </c>
      <c r="AP267" s="19">
        <f t="shared" si="160"/>
        <v>354.04</v>
      </c>
      <c r="AQ267" s="19" t="e">
        <f t="shared" si="161"/>
        <v>#N/A</v>
      </c>
      <c r="AR267" s="19">
        <f t="shared" si="162"/>
        <v>154.04</v>
      </c>
      <c r="AS267" s="19" t="e">
        <f t="shared" si="163"/>
        <v>#N/A</v>
      </c>
      <c r="AT267"/>
      <c r="AU267"/>
      <c r="AV267"/>
      <c r="AW267"/>
      <c r="AX267"/>
      <c r="AY267"/>
      <c r="AZ267"/>
      <c r="BA267"/>
      <c r="BB267"/>
      <c r="BC267"/>
      <c r="BD267"/>
      <c r="BE267"/>
      <c r="BF267"/>
      <c r="BG267"/>
      <c r="BH267"/>
      <c r="BI267"/>
      <c r="BJ267"/>
      <c r="BK267"/>
      <c r="BL267"/>
      <c r="BM267"/>
      <c r="BN267"/>
      <c r="BO267"/>
      <c r="BP267"/>
      <c r="BQ267"/>
      <c r="CB267"/>
      <c r="CC267"/>
      <c r="CD267"/>
      <c r="CE267"/>
      <c r="CJ267"/>
      <c r="CK267"/>
      <c r="CL267"/>
      <c r="CM267"/>
      <c r="CN267"/>
    </row>
    <row r="268" spans="14:92" ht="11.25" customHeight="1" x14ac:dyDescent="0.2">
      <c r="N268" s="19">
        <v>158</v>
      </c>
      <c r="O268" s="19">
        <f t="shared" si="167"/>
        <v>945.88499999999215</v>
      </c>
      <c r="P268" s="19">
        <f t="shared" si="168"/>
        <v>745.88499999999215</v>
      </c>
      <c r="Q268"/>
      <c r="R268" s="19">
        <f t="shared" si="169"/>
        <v>545.88499999999863</v>
      </c>
      <c r="S268"/>
      <c r="T268"/>
      <c r="U268"/>
      <c r="V268"/>
      <c r="W268"/>
      <c r="X268"/>
      <c r="Y268"/>
      <c r="Z268" s="19">
        <f t="shared" si="178"/>
        <v>341.86000000000104</v>
      </c>
      <c r="AA268" s="19">
        <f t="shared" si="179"/>
        <v>141.86000000000064</v>
      </c>
      <c r="AB268" s="19" t="e">
        <f t="shared" si="180"/>
        <v>#N/A</v>
      </c>
      <c r="AC268"/>
      <c r="AD268"/>
      <c r="AE268" s="19">
        <v>177</v>
      </c>
      <c r="AG268" s="19">
        <f t="shared" si="151"/>
        <v>9</v>
      </c>
      <c r="AH268" s="19">
        <f t="shared" si="152"/>
        <v>-1</v>
      </c>
      <c r="AI268" s="19">
        <f t="shared" si="153"/>
        <v>23.345000000000002</v>
      </c>
      <c r="AJ268" s="410">
        <f t="shared" si="154"/>
        <v>830.52</v>
      </c>
      <c r="AK268" s="19" t="e">
        <f t="shared" si="155"/>
        <v>#N/A</v>
      </c>
      <c r="AL268" s="19">
        <f t="shared" si="156"/>
        <v>630.52</v>
      </c>
      <c r="AM268" s="19" t="e">
        <f t="shared" si="157"/>
        <v>#N/A</v>
      </c>
      <c r="AN268" s="19">
        <f t="shared" si="158"/>
        <v>430.52</v>
      </c>
      <c r="AO268" s="19" t="e">
        <f t="shared" si="159"/>
        <v>#N/A</v>
      </c>
      <c r="AP268" s="19">
        <f t="shared" si="160"/>
        <v>230.51999999999998</v>
      </c>
      <c r="AQ268" s="19" t="e">
        <f t="shared" si="161"/>
        <v>#N/A</v>
      </c>
      <c r="AR268" s="19">
        <f t="shared" si="162"/>
        <v>30.519999999999996</v>
      </c>
      <c r="AS268" s="19" t="e">
        <f t="shared" si="163"/>
        <v>#N/A</v>
      </c>
      <c r="AT268"/>
      <c r="AU268"/>
      <c r="AV268"/>
      <c r="AW268"/>
      <c r="AX268"/>
      <c r="AY268"/>
      <c r="AZ268"/>
      <c r="BA268"/>
      <c r="BB268"/>
      <c r="BC268"/>
      <c r="BD268"/>
      <c r="BE268"/>
      <c r="BF268"/>
      <c r="BG268"/>
      <c r="BH268"/>
      <c r="BI268"/>
      <c r="BJ268"/>
      <c r="BK268"/>
      <c r="BL268"/>
      <c r="BM268"/>
      <c r="BN268"/>
      <c r="BO268"/>
      <c r="BP268"/>
      <c r="BQ268"/>
      <c r="CB268"/>
      <c r="CC268"/>
      <c r="CD268"/>
      <c r="CE268"/>
      <c r="CJ268"/>
      <c r="CK268"/>
      <c r="CL268"/>
      <c r="CM268"/>
      <c r="CN268"/>
    </row>
    <row r="269" spans="14:92" ht="11.25" customHeight="1" x14ac:dyDescent="0.2">
      <c r="N269" s="19">
        <v>159</v>
      </c>
      <c r="O269" s="19">
        <f t="shared" si="167"/>
        <v>946.6899999999921</v>
      </c>
      <c r="P269" s="19">
        <f t="shared" si="168"/>
        <v>746.6899999999921</v>
      </c>
      <c r="Q269"/>
      <c r="R269" s="19">
        <f t="shared" si="169"/>
        <v>546.68999999999858</v>
      </c>
      <c r="S269"/>
      <c r="T269"/>
      <c r="U269"/>
      <c r="V269"/>
      <c r="W269"/>
      <c r="X269"/>
      <c r="Y269"/>
      <c r="Z269" s="19">
        <f t="shared" si="178"/>
        <v>342.66500000000104</v>
      </c>
      <c r="AA269" s="19">
        <f t="shared" si="179"/>
        <v>142.66500000000065</v>
      </c>
      <c r="AB269" s="19" t="e">
        <f t="shared" si="180"/>
        <v>#N/A</v>
      </c>
      <c r="AC269"/>
      <c r="AD269"/>
      <c r="AE269" s="19">
        <v>178</v>
      </c>
      <c r="AG269" s="19">
        <f t="shared" si="151"/>
        <v>9</v>
      </c>
      <c r="AH269" s="19">
        <f t="shared" si="152"/>
        <v>1</v>
      </c>
      <c r="AI269" s="19">
        <f t="shared" si="153"/>
        <v>23.345000000000002</v>
      </c>
      <c r="AJ269" s="410">
        <f t="shared" si="154"/>
        <v>969.48</v>
      </c>
      <c r="AK269" s="19" t="e">
        <f t="shared" si="155"/>
        <v>#N/A</v>
      </c>
      <c r="AL269" s="19">
        <f t="shared" si="156"/>
        <v>769.48</v>
      </c>
      <c r="AM269" s="19" t="e">
        <f t="shared" si="157"/>
        <v>#N/A</v>
      </c>
      <c r="AN269" s="19">
        <f t="shared" si="158"/>
        <v>569.48</v>
      </c>
      <c r="AO269" s="19" t="e">
        <f t="shared" si="159"/>
        <v>#N/A</v>
      </c>
      <c r="AP269" s="19">
        <f t="shared" si="160"/>
        <v>369.48</v>
      </c>
      <c r="AQ269" s="19" t="e">
        <f t="shared" si="161"/>
        <v>#N/A</v>
      </c>
      <c r="AR269" s="19">
        <f t="shared" si="162"/>
        <v>169.48000000000002</v>
      </c>
      <c r="AS269" s="19" t="e">
        <f t="shared" si="163"/>
        <v>#N/A</v>
      </c>
      <c r="AT269"/>
      <c r="AU269"/>
      <c r="AV269"/>
      <c r="AW269"/>
      <c r="AX269"/>
      <c r="AY269"/>
      <c r="AZ269"/>
      <c r="BA269"/>
      <c r="BB269"/>
      <c r="BC269"/>
      <c r="BD269"/>
      <c r="BE269"/>
      <c r="BF269"/>
      <c r="BG269"/>
      <c r="BH269"/>
      <c r="BI269"/>
      <c r="BJ269"/>
      <c r="BK269"/>
      <c r="BL269"/>
      <c r="BM269"/>
      <c r="BN269"/>
      <c r="BO269"/>
      <c r="BP269"/>
      <c r="BQ269"/>
      <c r="CB269"/>
      <c r="CC269"/>
      <c r="CD269"/>
      <c r="CE269"/>
      <c r="CJ269"/>
      <c r="CK269"/>
      <c r="CL269"/>
      <c r="CM269"/>
      <c r="CN269"/>
    </row>
    <row r="270" spans="14:92" ht="11.25" customHeight="1" x14ac:dyDescent="0.2">
      <c r="N270" s="19">
        <v>160</v>
      </c>
      <c r="O270" s="19">
        <f t="shared" si="167"/>
        <v>947.49499999999205</v>
      </c>
      <c r="P270" s="19">
        <f t="shared" si="168"/>
        <v>747.49499999999205</v>
      </c>
      <c r="Q270"/>
      <c r="R270" s="19">
        <f t="shared" si="169"/>
        <v>547.49499999999853</v>
      </c>
      <c r="S270"/>
      <c r="T270"/>
      <c r="U270"/>
      <c r="V270"/>
      <c r="W270"/>
      <c r="X270"/>
      <c r="Y270"/>
      <c r="Z270" s="19">
        <f t="shared" si="178"/>
        <v>343.47000000000105</v>
      </c>
      <c r="AA270" s="19">
        <f t="shared" si="179"/>
        <v>143.47000000000065</v>
      </c>
      <c r="AB270" s="19" t="e">
        <f t="shared" si="180"/>
        <v>#N/A</v>
      </c>
      <c r="AC270"/>
      <c r="AD270"/>
      <c r="AE270" s="19">
        <v>179</v>
      </c>
      <c r="AG270" s="19">
        <f t="shared" si="151"/>
        <v>11</v>
      </c>
      <c r="AH270" s="19">
        <f t="shared" si="152"/>
        <v>-1</v>
      </c>
      <c r="AI270" s="19">
        <f t="shared" si="153"/>
        <v>23.345000000000002</v>
      </c>
      <c r="AJ270" s="410">
        <f t="shared" si="154"/>
        <v>815.08</v>
      </c>
      <c r="AK270" s="19" t="e">
        <f t="shared" si="155"/>
        <v>#N/A</v>
      </c>
      <c r="AL270" s="19">
        <f t="shared" si="156"/>
        <v>615.08000000000004</v>
      </c>
      <c r="AM270" s="19" t="e">
        <f t="shared" si="157"/>
        <v>#N/A</v>
      </c>
      <c r="AN270" s="19">
        <f t="shared" si="158"/>
        <v>415.08</v>
      </c>
      <c r="AO270" s="19" t="e">
        <f t="shared" si="159"/>
        <v>#N/A</v>
      </c>
      <c r="AP270" s="19">
        <f t="shared" si="160"/>
        <v>215.07999999999998</v>
      </c>
      <c r="AQ270" s="19" t="e">
        <f t="shared" si="161"/>
        <v>#N/A</v>
      </c>
      <c r="AR270" s="19">
        <f t="shared" si="162"/>
        <v>15.079999999999998</v>
      </c>
      <c r="AS270" s="19" t="e">
        <f t="shared" si="163"/>
        <v>#N/A</v>
      </c>
      <c r="AT270"/>
      <c r="AU270"/>
      <c r="AV270"/>
      <c r="AW270"/>
      <c r="AX270"/>
      <c r="AY270"/>
      <c r="AZ270"/>
      <c r="BA270"/>
      <c r="BB270"/>
      <c r="BC270"/>
      <c r="BD270"/>
      <c r="BE270"/>
      <c r="BF270"/>
      <c r="BG270"/>
      <c r="BH270"/>
      <c r="BI270"/>
      <c r="BJ270"/>
      <c r="BK270"/>
      <c r="BL270"/>
      <c r="BM270"/>
      <c r="BN270"/>
      <c r="BO270"/>
      <c r="BP270"/>
      <c r="BQ270"/>
      <c r="CB270"/>
      <c r="CC270"/>
      <c r="CD270"/>
      <c r="CE270"/>
      <c r="CJ270"/>
      <c r="CK270"/>
      <c r="CL270"/>
      <c r="CM270"/>
      <c r="CN270"/>
    </row>
    <row r="271" spans="14:92" ht="11.25" customHeight="1" x14ac:dyDescent="0.2">
      <c r="N271" s="19">
        <v>161</v>
      </c>
      <c r="O271" s="19">
        <f t="shared" si="167"/>
        <v>948.299999999992</v>
      </c>
      <c r="P271" s="19">
        <f t="shared" si="168"/>
        <v>748.299999999992</v>
      </c>
      <c r="Q271"/>
      <c r="R271" s="19">
        <f t="shared" si="169"/>
        <v>548.29999999999848</v>
      </c>
      <c r="S271"/>
      <c r="T271"/>
      <c r="U271"/>
      <c r="V271"/>
      <c r="W271"/>
      <c r="X271"/>
      <c r="Y271"/>
      <c r="Z271" s="19">
        <f t="shared" si="178"/>
        <v>344.27500000000106</v>
      </c>
      <c r="AA271" s="19">
        <f t="shared" si="179"/>
        <v>144.27500000000066</v>
      </c>
      <c r="AB271" s="19" t="e">
        <f t="shared" si="180"/>
        <v>#N/A</v>
      </c>
      <c r="AC271"/>
      <c r="AD271"/>
      <c r="AE271" s="19">
        <v>180</v>
      </c>
      <c r="AG271" s="19">
        <f t="shared" si="151"/>
        <v>11</v>
      </c>
      <c r="AH271" s="19">
        <f t="shared" si="152"/>
        <v>1</v>
      </c>
      <c r="AI271" s="19">
        <f t="shared" si="153"/>
        <v>23.345000000000002</v>
      </c>
      <c r="AJ271" s="410">
        <f t="shared" si="154"/>
        <v>984.92</v>
      </c>
      <c r="AK271" s="19" t="e">
        <f t="shared" si="155"/>
        <v>#N/A</v>
      </c>
      <c r="AL271" s="19">
        <f t="shared" si="156"/>
        <v>784.92</v>
      </c>
      <c r="AM271" s="19" t="e">
        <f t="shared" si="157"/>
        <v>#N/A</v>
      </c>
      <c r="AN271" s="19">
        <f t="shared" si="158"/>
        <v>584.91999999999996</v>
      </c>
      <c r="AO271" s="19" t="e">
        <f t="shared" si="159"/>
        <v>#N/A</v>
      </c>
      <c r="AP271" s="19">
        <f t="shared" si="160"/>
        <v>384.92</v>
      </c>
      <c r="AQ271" s="19" t="e">
        <f t="shared" si="161"/>
        <v>#N/A</v>
      </c>
      <c r="AR271" s="19">
        <f t="shared" si="162"/>
        <v>184.92000000000002</v>
      </c>
      <c r="AS271" s="19" t="e">
        <f t="shared" si="163"/>
        <v>#N/A</v>
      </c>
      <c r="AT271"/>
      <c r="AU271"/>
      <c r="AV271"/>
      <c r="AW271"/>
      <c r="AX271"/>
      <c r="AY271"/>
      <c r="AZ271"/>
      <c r="BA271"/>
      <c r="BB271"/>
      <c r="BC271"/>
      <c r="BD271"/>
      <c r="BE271"/>
      <c r="BF271"/>
      <c r="BG271"/>
      <c r="BH271"/>
      <c r="BI271"/>
      <c r="BJ271"/>
      <c r="BK271"/>
      <c r="BL271"/>
      <c r="BM271"/>
      <c r="BN271"/>
      <c r="BO271"/>
      <c r="BP271"/>
      <c r="BQ271"/>
      <c r="CB271"/>
      <c r="CC271"/>
      <c r="CD271"/>
      <c r="CE271"/>
      <c r="CJ271"/>
      <c r="CK271"/>
      <c r="CL271"/>
      <c r="CM271"/>
      <c r="CN271"/>
    </row>
    <row r="272" spans="14:92" ht="11.25" customHeight="1" x14ac:dyDescent="0.2">
      <c r="N272" s="19">
        <v>162</v>
      </c>
      <c r="O272" s="19">
        <f t="shared" ref="O272:O303" si="181">O271+$P$108</f>
        <v>949.10499999999195</v>
      </c>
      <c r="P272" s="19">
        <f t="shared" ref="P272:P303" si="182">P271+$P$108</f>
        <v>749.10499999999195</v>
      </c>
      <c r="Q272"/>
      <c r="R272" s="19">
        <f t="shared" ref="R272:R303" si="183">R271+$P$108</f>
        <v>549.10499999999843</v>
      </c>
      <c r="S272"/>
      <c r="T272"/>
      <c r="U272"/>
      <c r="V272"/>
      <c r="W272"/>
      <c r="X272"/>
      <c r="Y272"/>
      <c r="Z272" s="19">
        <f t="shared" si="178"/>
        <v>345.08000000000106</v>
      </c>
      <c r="AA272" s="19">
        <f t="shared" si="179"/>
        <v>145.08000000000067</v>
      </c>
      <c r="AB272" s="19" t="e">
        <f t="shared" si="180"/>
        <v>#N/A</v>
      </c>
      <c r="AC272"/>
      <c r="AD272"/>
      <c r="AE272" s="19">
        <v>181</v>
      </c>
      <c r="AG272" s="19">
        <f t="shared" si="151"/>
        <v>1</v>
      </c>
      <c r="AH272" s="19">
        <f t="shared" si="152"/>
        <v>-1</v>
      </c>
      <c r="AI272" s="19">
        <f t="shared" si="153"/>
        <v>24.955000000000002</v>
      </c>
      <c r="AJ272" s="410">
        <f t="shared" si="154"/>
        <v>892.28</v>
      </c>
      <c r="AK272" s="19" t="e">
        <f t="shared" si="155"/>
        <v>#N/A</v>
      </c>
      <c r="AL272" s="19">
        <f t="shared" si="156"/>
        <v>692.28</v>
      </c>
      <c r="AM272" s="19" t="e">
        <f t="shared" si="157"/>
        <v>#N/A</v>
      </c>
      <c r="AN272" s="19">
        <f t="shared" si="158"/>
        <v>492.28</v>
      </c>
      <c r="AO272" s="19" t="e">
        <f t="shared" si="159"/>
        <v>#N/A</v>
      </c>
      <c r="AP272" s="19">
        <f t="shared" si="160"/>
        <v>292.27999999999997</v>
      </c>
      <c r="AQ272" s="19" t="e">
        <f t="shared" si="161"/>
        <v>#N/A</v>
      </c>
      <c r="AR272" s="19">
        <f t="shared" si="162"/>
        <v>92.28</v>
      </c>
      <c r="AS272" s="19" t="e">
        <f t="shared" si="163"/>
        <v>#N/A</v>
      </c>
      <c r="AT272"/>
      <c r="AU272"/>
      <c r="AV272"/>
      <c r="AW272"/>
      <c r="AX272"/>
      <c r="AY272"/>
      <c r="AZ272"/>
      <c r="BA272"/>
      <c r="BB272"/>
      <c r="BC272"/>
      <c r="BD272"/>
      <c r="BE272"/>
      <c r="BF272"/>
      <c r="BG272"/>
      <c r="BH272"/>
      <c r="BI272"/>
      <c r="BJ272"/>
      <c r="BK272"/>
      <c r="BL272"/>
      <c r="BM272"/>
      <c r="BN272"/>
      <c r="BO272"/>
      <c r="BP272"/>
      <c r="BQ272"/>
      <c r="CB272"/>
      <c r="CC272"/>
      <c r="CD272"/>
      <c r="CE272"/>
      <c r="CJ272"/>
      <c r="CK272"/>
      <c r="CL272"/>
      <c r="CM272"/>
      <c r="CN272"/>
    </row>
    <row r="273" spans="14:92" ht="11.25" customHeight="1" x14ac:dyDescent="0.2">
      <c r="N273" s="19">
        <v>163</v>
      </c>
      <c r="O273" s="19">
        <f t="shared" si="181"/>
        <v>949.9099999999919</v>
      </c>
      <c r="P273" s="19">
        <f t="shared" si="182"/>
        <v>749.9099999999919</v>
      </c>
      <c r="Q273"/>
      <c r="R273" s="19">
        <f t="shared" si="183"/>
        <v>549.90999999999838</v>
      </c>
      <c r="S273"/>
      <c r="T273"/>
      <c r="U273"/>
      <c r="V273"/>
      <c r="W273"/>
      <c r="X273"/>
      <c r="Y273"/>
      <c r="Z273" s="19">
        <f t="shared" si="178"/>
        <v>345.88500000000107</v>
      </c>
      <c r="AA273" s="19">
        <f t="shared" si="179"/>
        <v>145.88500000000067</v>
      </c>
      <c r="AB273" s="19" t="e">
        <f t="shared" si="180"/>
        <v>#N/A</v>
      </c>
      <c r="AC273"/>
      <c r="AD273"/>
      <c r="AE273" s="19">
        <v>182</v>
      </c>
      <c r="AG273" s="19">
        <f t="shared" si="151"/>
        <v>1</v>
      </c>
      <c r="AH273" s="19">
        <f t="shared" si="152"/>
        <v>1</v>
      </c>
      <c r="AI273" s="19">
        <f t="shared" si="153"/>
        <v>24.955000000000002</v>
      </c>
      <c r="AJ273" s="410">
        <f t="shared" si="154"/>
        <v>907.72</v>
      </c>
      <c r="AK273" s="19" t="e">
        <f t="shared" si="155"/>
        <v>#N/A</v>
      </c>
      <c r="AL273" s="19">
        <f t="shared" si="156"/>
        <v>707.72</v>
      </c>
      <c r="AM273" s="19" t="e">
        <f t="shared" si="157"/>
        <v>#N/A</v>
      </c>
      <c r="AN273" s="19">
        <f t="shared" si="158"/>
        <v>507.72</v>
      </c>
      <c r="AO273" s="19" t="e">
        <f t="shared" si="159"/>
        <v>#N/A</v>
      </c>
      <c r="AP273" s="19">
        <f t="shared" si="160"/>
        <v>307.72000000000003</v>
      </c>
      <c r="AQ273" s="19" t="e">
        <f t="shared" si="161"/>
        <v>#N/A</v>
      </c>
      <c r="AR273" s="19">
        <f t="shared" si="162"/>
        <v>107.72</v>
      </c>
      <c r="AS273" s="19" t="e">
        <f t="shared" si="163"/>
        <v>#N/A</v>
      </c>
      <c r="AT273"/>
      <c r="AU273"/>
      <c r="AV273"/>
      <c r="AW273"/>
      <c r="AX273"/>
      <c r="AY273"/>
      <c r="AZ273"/>
      <c r="BA273"/>
      <c r="BB273"/>
      <c r="BC273"/>
      <c r="BD273"/>
      <c r="BE273"/>
      <c r="BF273"/>
      <c r="BG273"/>
      <c r="BH273"/>
      <c r="BI273"/>
      <c r="BJ273"/>
      <c r="BK273"/>
      <c r="BL273"/>
      <c r="BM273"/>
      <c r="BN273"/>
      <c r="BO273"/>
      <c r="BP273"/>
      <c r="BQ273"/>
      <c r="CB273"/>
      <c r="CC273"/>
      <c r="CD273"/>
      <c r="CE273"/>
      <c r="CJ273"/>
      <c r="CK273"/>
      <c r="CL273"/>
      <c r="CM273"/>
      <c r="CN273"/>
    </row>
    <row r="274" spans="14:92" ht="11.25" customHeight="1" x14ac:dyDescent="0.2">
      <c r="N274" s="19">
        <v>164</v>
      </c>
      <c r="O274" s="19">
        <f t="shared" si="181"/>
        <v>950.71499999999185</v>
      </c>
      <c r="P274" s="19">
        <f t="shared" si="182"/>
        <v>750.71499999999185</v>
      </c>
      <c r="Q274"/>
      <c r="R274" s="19">
        <f t="shared" si="183"/>
        <v>550.71499999999833</v>
      </c>
      <c r="S274"/>
      <c r="T274"/>
      <c r="U274"/>
      <c r="V274"/>
      <c r="W274"/>
      <c r="X274"/>
      <c r="Y274"/>
      <c r="Z274" s="19">
        <f t="shared" si="178"/>
        <v>346.69000000000108</v>
      </c>
      <c r="AA274" s="19">
        <f t="shared" si="179"/>
        <v>146.69000000000068</v>
      </c>
      <c r="AB274" s="19" t="e">
        <f t="shared" si="180"/>
        <v>#N/A</v>
      </c>
      <c r="AC274"/>
      <c r="AD274"/>
      <c r="AE274" s="19">
        <v>183</v>
      </c>
      <c r="AG274" s="19">
        <f t="shared" si="151"/>
        <v>3</v>
      </c>
      <c r="AH274" s="19">
        <f t="shared" si="152"/>
        <v>-1</v>
      </c>
      <c r="AI274" s="19">
        <f t="shared" si="153"/>
        <v>24.955000000000002</v>
      </c>
      <c r="AJ274" s="410">
        <f t="shared" si="154"/>
        <v>876.84</v>
      </c>
      <c r="AK274" s="19" t="e">
        <f t="shared" si="155"/>
        <v>#N/A</v>
      </c>
      <c r="AL274" s="19">
        <f t="shared" si="156"/>
        <v>676.84</v>
      </c>
      <c r="AM274" s="19" t="e">
        <f t="shared" si="157"/>
        <v>#N/A</v>
      </c>
      <c r="AN274" s="19">
        <f t="shared" si="158"/>
        <v>476.84</v>
      </c>
      <c r="AO274" s="19" t="e">
        <f t="shared" si="159"/>
        <v>#N/A</v>
      </c>
      <c r="AP274" s="19">
        <f t="shared" si="160"/>
        <v>276.83999999999997</v>
      </c>
      <c r="AQ274" s="19" t="e">
        <f t="shared" si="161"/>
        <v>#N/A</v>
      </c>
      <c r="AR274" s="19">
        <f t="shared" si="162"/>
        <v>76.84</v>
      </c>
      <c r="AS274" s="19" t="e">
        <f t="shared" si="163"/>
        <v>#N/A</v>
      </c>
      <c r="AT274"/>
      <c r="AU274"/>
      <c r="AV274"/>
      <c r="AW274"/>
      <c r="AX274"/>
      <c r="AY274"/>
      <c r="AZ274"/>
      <c r="BA274"/>
      <c r="BB274"/>
      <c r="BC274"/>
      <c r="BD274"/>
      <c r="BE274"/>
      <c r="BF274"/>
      <c r="BG274"/>
      <c r="BH274"/>
      <c r="BI274"/>
      <c r="BJ274"/>
      <c r="BK274"/>
      <c r="BL274"/>
      <c r="BM274"/>
      <c r="BN274"/>
      <c r="BO274"/>
      <c r="BP274"/>
      <c r="BQ274"/>
      <c r="CB274"/>
      <c r="CC274"/>
      <c r="CD274"/>
      <c r="CE274"/>
      <c r="CJ274"/>
      <c r="CK274"/>
      <c r="CL274"/>
      <c r="CM274"/>
      <c r="CN274"/>
    </row>
    <row r="275" spans="14:92" ht="11.25" customHeight="1" x14ac:dyDescent="0.2">
      <c r="N275" s="19">
        <v>165</v>
      </c>
      <c r="O275" s="19">
        <f t="shared" si="181"/>
        <v>951.5199999999918</v>
      </c>
      <c r="P275" s="19">
        <f t="shared" si="182"/>
        <v>751.5199999999918</v>
      </c>
      <c r="Q275"/>
      <c r="R275" s="19">
        <f t="shared" si="183"/>
        <v>551.51999999999828</v>
      </c>
      <c r="S275"/>
      <c r="T275"/>
      <c r="U275"/>
      <c r="V275"/>
      <c r="W275"/>
      <c r="X275"/>
      <c r="Y275"/>
      <c r="Z275" s="19">
        <f t="shared" si="178"/>
        <v>347.49500000000108</v>
      </c>
      <c r="AA275" s="19">
        <f t="shared" si="179"/>
        <v>147.49500000000069</v>
      </c>
      <c r="AB275" s="19" t="e">
        <f t="shared" si="180"/>
        <v>#N/A</v>
      </c>
      <c r="AC275"/>
      <c r="AD275"/>
      <c r="AE275" s="19">
        <v>184</v>
      </c>
      <c r="AG275" s="19">
        <f t="shared" si="151"/>
        <v>3</v>
      </c>
      <c r="AH275" s="19">
        <f t="shared" si="152"/>
        <v>1</v>
      </c>
      <c r="AI275" s="19">
        <f t="shared" si="153"/>
        <v>24.955000000000002</v>
      </c>
      <c r="AJ275" s="410">
        <f t="shared" si="154"/>
        <v>923.16</v>
      </c>
      <c r="AK275" s="19" t="e">
        <f t="shared" si="155"/>
        <v>#N/A</v>
      </c>
      <c r="AL275" s="19">
        <f t="shared" si="156"/>
        <v>723.16</v>
      </c>
      <c r="AM275" s="19" t="e">
        <f t="shared" si="157"/>
        <v>#N/A</v>
      </c>
      <c r="AN275" s="19">
        <f t="shared" si="158"/>
        <v>523.16</v>
      </c>
      <c r="AO275" s="19" t="e">
        <f t="shared" si="159"/>
        <v>#N/A</v>
      </c>
      <c r="AP275" s="19">
        <f t="shared" si="160"/>
        <v>323.16000000000003</v>
      </c>
      <c r="AQ275" s="19" t="e">
        <f t="shared" si="161"/>
        <v>#N/A</v>
      </c>
      <c r="AR275" s="19">
        <f t="shared" si="162"/>
        <v>123.16</v>
      </c>
      <c r="AS275" s="19" t="e">
        <f t="shared" si="163"/>
        <v>#N/A</v>
      </c>
      <c r="AT275"/>
      <c r="AU275"/>
      <c r="AV275"/>
      <c r="AW275"/>
      <c r="AX275"/>
      <c r="AY275"/>
      <c r="AZ275"/>
      <c r="BA275"/>
      <c r="BB275"/>
      <c r="BC275"/>
      <c r="BD275"/>
      <c r="BE275"/>
      <c r="BF275"/>
      <c r="BG275"/>
      <c r="BH275"/>
      <c r="BI275"/>
      <c r="BJ275"/>
      <c r="BK275"/>
      <c r="BL275"/>
      <c r="BM275"/>
      <c r="BN275"/>
      <c r="BO275"/>
      <c r="BP275"/>
      <c r="BQ275"/>
      <c r="CB275"/>
      <c r="CC275"/>
      <c r="CD275"/>
      <c r="CE275"/>
      <c r="CJ275"/>
      <c r="CK275"/>
      <c r="CL275"/>
      <c r="CM275"/>
      <c r="CN275"/>
    </row>
    <row r="276" spans="14:92" ht="11.25" customHeight="1" x14ac:dyDescent="0.2">
      <c r="N276" s="19">
        <v>166</v>
      </c>
      <c r="O276" s="19">
        <f t="shared" si="181"/>
        <v>952.32499999999175</v>
      </c>
      <c r="P276" s="19">
        <f t="shared" si="182"/>
        <v>752.32499999999175</v>
      </c>
      <c r="Q276"/>
      <c r="R276" s="19">
        <f t="shared" si="183"/>
        <v>552.32499999999823</v>
      </c>
      <c r="S276"/>
      <c r="T276"/>
      <c r="U276"/>
      <c r="V276"/>
      <c r="W276"/>
      <c r="X276"/>
      <c r="Y276"/>
      <c r="Z276" s="19">
        <f t="shared" si="178"/>
        <v>348.30000000000109</v>
      </c>
      <c r="AA276" s="19">
        <f t="shared" si="179"/>
        <v>148.30000000000069</v>
      </c>
      <c r="AB276" s="19" t="e">
        <f t="shared" si="180"/>
        <v>#N/A</v>
      </c>
      <c r="AC276"/>
      <c r="AD276"/>
      <c r="AE276" s="19">
        <v>185</v>
      </c>
      <c r="AG276" s="19">
        <f t="shared" si="151"/>
        <v>5</v>
      </c>
      <c r="AH276" s="19">
        <f t="shared" si="152"/>
        <v>-1</v>
      </c>
      <c r="AI276" s="19">
        <f t="shared" si="153"/>
        <v>24.955000000000002</v>
      </c>
      <c r="AJ276" s="410">
        <f t="shared" si="154"/>
        <v>861.4</v>
      </c>
      <c r="AK276" s="19" t="e">
        <f t="shared" si="155"/>
        <v>#N/A</v>
      </c>
      <c r="AL276" s="19">
        <f t="shared" si="156"/>
        <v>661.4</v>
      </c>
      <c r="AM276" s="19" t="e">
        <f t="shared" si="157"/>
        <v>#N/A</v>
      </c>
      <c r="AN276" s="19">
        <f t="shared" si="158"/>
        <v>461.4</v>
      </c>
      <c r="AO276" s="19" t="e">
        <f t="shared" si="159"/>
        <v>#N/A</v>
      </c>
      <c r="AP276" s="19">
        <f t="shared" si="160"/>
        <v>261.39999999999998</v>
      </c>
      <c r="AQ276" s="19" t="e">
        <f t="shared" si="161"/>
        <v>#N/A</v>
      </c>
      <c r="AR276" s="19">
        <f t="shared" si="162"/>
        <v>61.4</v>
      </c>
      <c r="AS276" s="19" t="e">
        <f t="shared" si="163"/>
        <v>#N/A</v>
      </c>
      <c r="AT276"/>
      <c r="AU276"/>
      <c r="AV276"/>
      <c r="AW276"/>
      <c r="AX276"/>
      <c r="AY276"/>
      <c r="AZ276"/>
      <c r="BA276"/>
      <c r="BB276"/>
      <c r="BC276"/>
      <c r="BD276"/>
      <c r="BE276"/>
      <c r="BF276"/>
      <c r="BG276"/>
      <c r="BH276"/>
      <c r="BI276"/>
      <c r="BJ276"/>
      <c r="BK276"/>
      <c r="BL276"/>
      <c r="BM276"/>
      <c r="BN276"/>
      <c r="BO276"/>
      <c r="BP276"/>
      <c r="BQ276"/>
      <c r="CB276"/>
      <c r="CC276"/>
      <c r="CD276"/>
      <c r="CE276"/>
      <c r="CJ276"/>
      <c r="CK276"/>
      <c r="CL276"/>
      <c r="CM276"/>
      <c r="CN276"/>
    </row>
    <row r="277" spans="14:92" ht="11.25" customHeight="1" x14ac:dyDescent="0.2">
      <c r="N277" s="19">
        <v>167</v>
      </c>
      <c r="O277" s="19">
        <f t="shared" si="181"/>
        <v>953.1299999999917</v>
      </c>
      <c r="P277" s="19">
        <f t="shared" si="182"/>
        <v>753.1299999999917</v>
      </c>
      <c r="Q277"/>
      <c r="R277" s="19">
        <f t="shared" si="183"/>
        <v>553.12999999999818</v>
      </c>
      <c r="S277"/>
      <c r="T277"/>
      <c r="U277"/>
      <c r="V277"/>
      <c r="W277"/>
      <c r="X277"/>
      <c r="Y277"/>
      <c r="Z277" s="19">
        <f t="shared" ref="Z277:Z308" si="184">Z276+$P$108</f>
        <v>349.1050000000011</v>
      </c>
      <c r="AA277" s="19">
        <f t="shared" ref="AA277:AA308" si="185">AA276+$P$108</f>
        <v>149.1050000000007</v>
      </c>
      <c r="AB277" s="19" t="e">
        <f t="shared" ref="AB277:AB308" si="186">AB276</f>
        <v>#N/A</v>
      </c>
      <c r="AC277"/>
      <c r="AD277"/>
      <c r="AE277" s="19">
        <v>186</v>
      </c>
      <c r="AG277" s="19">
        <f t="shared" si="151"/>
        <v>5</v>
      </c>
      <c r="AH277" s="19">
        <f t="shared" si="152"/>
        <v>1</v>
      </c>
      <c r="AI277" s="19">
        <f t="shared" si="153"/>
        <v>24.955000000000002</v>
      </c>
      <c r="AJ277" s="410">
        <f t="shared" si="154"/>
        <v>938.6</v>
      </c>
      <c r="AK277" s="19" t="e">
        <f t="shared" si="155"/>
        <v>#N/A</v>
      </c>
      <c r="AL277" s="19">
        <f t="shared" si="156"/>
        <v>738.6</v>
      </c>
      <c r="AM277" s="19" t="e">
        <f t="shared" si="157"/>
        <v>#N/A</v>
      </c>
      <c r="AN277" s="19">
        <f t="shared" si="158"/>
        <v>538.6</v>
      </c>
      <c r="AO277" s="19" t="e">
        <f t="shared" si="159"/>
        <v>#N/A</v>
      </c>
      <c r="AP277" s="19">
        <f t="shared" si="160"/>
        <v>338.6</v>
      </c>
      <c r="AQ277" s="19" t="e">
        <f t="shared" si="161"/>
        <v>#N/A</v>
      </c>
      <c r="AR277" s="19">
        <f t="shared" si="162"/>
        <v>138.6</v>
      </c>
      <c r="AS277" s="19" t="e">
        <f t="shared" si="163"/>
        <v>#N/A</v>
      </c>
      <c r="AT277"/>
      <c r="AU277"/>
      <c r="AV277"/>
      <c r="AW277"/>
      <c r="AX277"/>
      <c r="AY277"/>
      <c r="AZ277"/>
      <c r="BA277"/>
      <c r="BB277"/>
      <c r="BC277"/>
      <c r="BD277"/>
      <c r="BE277"/>
      <c r="BF277"/>
      <c r="BG277"/>
      <c r="BH277"/>
      <c r="BI277"/>
      <c r="BJ277"/>
      <c r="BK277"/>
      <c r="BL277"/>
      <c r="BM277"/>
      <c r="BN277"/>
      <c r="BO277"/>
      <c r="BP277"/>
      <c r="BQ277"/>
      <c r="CB277"/>
      <c r="CC277"/>
      <c r="CD277"/>
      <c r="CE277"/>
      <c r="CJ277"/>
      <c r="CK277"/>
      <c r="CL277"/>
      <c r="CM277"/>
      <c r="CN277"/>
    </row>
    <row r="278" spans="14:92" ht="11.25" customHeight="1" x14ac:dyDescent="0.2">
      <c r="N278" s="19">
        <v>168</v>
      </c>
      <c r="O278" s="19">
        <f t="shared" si="181"/>
        <v>953.93499999999165</v>
      </c>
      <c r="P278" s="19">
        <f t="shared" si="182"/>
        <v>753.93499999999165</v>
      </c>
      <c r="Q278"/>
      <c r="R278" s="19">
        <f t="shared" si="183"/>
        <v>553.93499999999813</v>
      </c>
      <c r="S278"/>
      <c r="T278"/>
      <c r="U278"/>
      <c r="V278"/>
      <c r="W278"/>
      <c r="X278"/>
      <c r="Y278"/>
      <c r="Z278" s="19">
        <f t="shared" si="184"/>
        <v>349.91000000000111</v>
      </c>
      <c r="AA278" s="19">
        <f t="shared" si="185"/>
        <v>149.91000000000071</v>
      </c>
      <c r="AB278" s="19" t="e">
        <f t="shared" si="186"/>
        <v>#N/A</v>
      </c>
      <c r="AC278"/>
      <c r="AD278"/>
      <c r="AE278" s="19">
        <v>187</v>
      </c>
      <c r="AG278" s="19">
        <f t="shared" si="151"/>
        <v>7</v>
      </c>
      <c r="AH278" s="19">
        <f t="shared" si="152"/>
        <v>-1</v>
      </c>
      <c r="AI278" s="19">
        <f t="shared" si="153"/>
        <v>24.955000000000002</v>
      </c>
      <c r="AJ278" s="410">
        <f t="shared" si="154"/>
        <v>845.96</v>
      </c>
      <c r="AK278" s="19" t="e">
        <f t="shared" si="155"/>
        <v>#N/A</v>
      </c>
      <c r="AL278" s="19">
        <f t="shared" si="156"/>
        <v>645.96</v>
      </c>
      <c r="AM278" s="19" t="e">
        <f t="shared" si="157"/>
        <v>#N/A</v>
      </c>
      <c r="AN278" s="19">
        <f t="shared" si="158"/>
        <v>445.96</v>
      </c>
      <c r="AO278" s="19" t="e">
        <f t="shared" si="159"/>
        <v>#N/A</v>
      </c>
      <c r="AP278" s="19">
        <f t="shared" si="160"/>
        <v>245.96</v>
      </c>
      <c r="AQ278" s="19" t="e">
        <f t="shared" si="161"/>
        <v>#N/A</v>
      </c>
      <c r="AR278" s="19">
        <f t="shared" si="162"/>
        <v>45.96</v>
      </c>
      <c r="AS278" s="19" t="e">
        <f t="shared" si="163"/>
        <v>#N/A</v>
      </c>
      <c r="AT278"/>
      <c r="AU278"/>
      <c r="AV278"/>
      <c r="AW278"/>
      <c r="AX278"/>
      <c r="AY278"/>
      <c r="AZ278"/>
      <c r="BA278"/>
      <c r="BB278"/>
      <c r="BC278"/>
      <c r="BD278"/>
      <c r="BE278"/>
      <c r="BF278"/>
      <c r="BG278"/>
      <c r="BH278"/>
      <c r="BI278"/>
      <c r="BJ278"/>
      <c r="BK278"/>
      <c r="BL278"/>
      <c r="BM278"/>
      <c r="BN278"/>
      <c r="BO278"/>
      <c r="BP278"/>
      <c r="BQ278"/>
      <c r="CB278"/>
      <c r="CC278"/>
      <c r="CD278"/>
      <c r="CE278"/>
      <c r="CJ278"/>
      <c r="CK278"/>
      <c r="CL278"/>
      <c r="CM278"/>
      <c r="CN278"/>
    </row>
    <row r="279" spans="14:92" ht="11.25" customHeight="1" x14ac:dyDescent="0.2">
      <c r="N279" s="19">
        <v>169</v>
      </c>
      <c r="O279" s="19">
        <f t="shared" si="181"/>
        <v>954.7399999999916</v>
      </c>
      <c r="P279" s="19">
        <f t="shared" si="182"/>
        <v>754.7399999999916</v>
      </c>
      <c r="Q279"/>
      <c r="R279" s="19">
        <f t="shared" si="183"/>
        <v>554.73999999999808</v>
      </c>
      <c r="S279"/>
      <c r="T279"/>
      <c r="U279"/>
      <c r="V279"/>
      <c r="W279"/>
      <c r="X279"/>
      <c r="Y279"/>
      <c r="Z279" s="19">
        <f t="shared" si="184"/>
        <v>350.71500000000111</v>
      </c>
      <c r="AA279" s="19">
        <f t="shared" si="185"/>
        <v>150.71500000000071</v>
      </c>
      <c r="AB279" s="19" t="e">
        <f t="shared" si="186"/>
        <v>#N/A</v>
      </c>
      <c r="AC279"/>
      <c r="AD279"/>
      <c r="AE279" s="19">
        <v>188</v>
      </c>
      <c r="AG279" s="19">
        <f t="shared" si="151"/>
        <v>7</v>
      </c>
      <c r="AH279" s="19">
        <f t="shared" si="152"/>
        <v>1</v>
      </c>
      <c r="AI279" s="19">
        <f t="shared" si="153"/>
        <v>24.955000000000002</v>
      </c>
      <c r="AJ279" s="410">
        <f t="shared" si="154"/>
        <v>954.04</v>
      </c>
      <c r="AK279" s="19" t="e">
        <f t="shared" si="155"/>
        <v>#N/A</v>
      </c>
      <c r="AL279" s="19">
        <f t="shared" si="156"/>
        <v>754.04</v>
      </c>
      <c r="AM279" s="19" t="e">
        <f t="shared" si="157"/>
        <v>#N/A</v>
      </c>
      <c r="AN279" s="19">
        <f t="shared" si="158"/>
        <v>554.04</v>
      </c>
      <c r="AO279" s="19" t="e">
        <f t="shared" si="159"/>
        <v>#N/A</v>
      </c>
      <c r="AP279" s="19">
        <f t="shared" si="160"/>
        <v>354.04</v>
      </c>
      <c r="AQ279" s="19" t="e">
        <f t="shared" si="161"/>
        <v>#N/A</v>
      </c>
      <c r="AR279" s="19">
        <f t="shared" si="162"/>
        <v>154.04</v>
      </c>
      <c r="AS279" s="19" t="e">
        <f t="shared" si="163"/>
        <v>#N/A</v>
      </c>
      <c r="AT279"/>
      <c r="AU279"/>
      <c r="AV279"/>
      <c r="AW279"/>
      <c r="AX279"/>
      <c r="AY279"/>
      <c r="AZ279"/>
      <c r="BA279"/>
      <c r="BB279"/>
      <c r="BC279"/>
      <c r="BD279"/>
      <c r="BE279"/>
      <c r="BF279"/>
      <c r="BG279"/>
      <c r="BH279"/>
      <c r="BI279"/>
      <c r="BJ279"/>
      <c r="BK279"/>
      <c r="BL279"/>
      <c r="BM279"/>
      <c r="BN279"/>
      <c r="BO279"/>
      <c r="BP279"/>
      <c r="BQ279"/>
      <c r="CB279"/>
      <c r="CC279"/>
      <c r="CD279"/>
      <c r="CE279"/>
      <c r="CJ279"/>
      <c r="CK279"/>
      <c r="CL279"/>
      <c r="CM279"/>
      <c r="CN279"/>
    </row>
    <row r="280" spans="14:92" ht="11.25" customHeight="1" x14ac:dyDescent="0.2">
      <c r="N280" s="19">
        <v>170</v>
      </c>
      <c r="O280" s="19">
        <f t="shared" si="181"/>
        <v>955.54499999999155</v>
      </c>
      <c r="P280" s="19">
        <f t="shared" si="182"/>
        <v>755.54499999999155</v>
      </c>
      <c r="Q280"/>
      <c r="R280" s="19">
        <f t="shared" si="183"/>
        <v>555.54499999999803</v>
      </c>
      <c r="S280"/>
      <c r="T280"/>
      <c r="U280"/>
      <c r="V280"/>
      <c r="W280"/>
      <c r="X280"/>
      <c r="Y280"/>
      <c r="Z280" s="19">
        <f t="shared" si="184"/>
        <v>351.52000000000112</v>
      </c>
      <c r="AA280" s="19">
        <f t="shared" si="185"/>
        <v>151.52000000000072</v>
      </c>
      <c r="AB280" s="19" t="e">
        <f t="shared" si="186"/>
        <v>#N/A</v>
      </c>
      <c r="AC280"/>
      <c r="AD280"/>
      <c r="AE280" s="19">
        <v>189</v>
      </c>
      <c r="AG280" s="19">
        <f t="shared" si="151"/>
        <v>9</v>
      </c>
      <c r="AH280" s="19">
        <f t="shared" si="152"/>
        <v>-1</v>
      </c>
      <c r="AI280" s="19">
        <f t="shared" si="153"/>
        <v>24.955000000000002</v>
      </c>
      <c r="AJ280" s="410">
        <f t="shared" si="154"/>
        <v>830.52</v>
      </c>
      <c r="AK280" s="19" t="e">
        <f t="shared" si="155"/>
        <v>#N/A</v>
      </c>
      <c r="AL280" s="19">
        <f t="shared" si="156"/>
        <v>630.52</v>
      </c>
      <c r="AM280" s="19" t="e">
        <f t="shared" si="157"/>
        <v>#N/A</v>
      </c>
      <c r="AN280" s="19">
        <f t="shared" si="158"/>
        <v>430.52</v>
      </c>
      <c r="AO280" s="19" t="e">
        <f t="shared" si="159"/>
        <v>#N/A</v>
      </c>
      <c r="AP280" s="19">
        <f t="shared" si="160"/>
        <v>230.51999999999998</v>
      </c>
      <c r="AQ280" s="19" t="e">
        <f t="shared" si="161"/>
        <v>#N/A</v>
      </c>
      <c r="AR280" s="19">
        <f t="shared" si="162"/>
        <v>30.519999999999996</v>
      </c>
      <c r="AS280" s="19" t="e">
        <f t="shared" si="163"/>
        <v>#N/A</v>
      </c>
      <c r="AT280"/>
      <c r="AU280"/>
      <c r="AV280"/>
      <c r="AW280"/>
      <c r="AX280"/>
      <c r="AY280"/>
      <c r="AZ280"/>
      <c r="BA280"/>
      <c r="BB280"/>
      <c r="BC280"/>
      <c r="BD280"/>
      <c r="BE280"/>
      <c r="BF280"/>
      <c r="BG280"/>
      <c r="BH280"/>
      <c r="BI280"/>
      <c r="BJ280"/>
      <c r="BK280"/>
      <c r="BL280"/>
      <c r="BM280"/>
      <c r="BN280"/>
      <c r="BO280"/>
      <c r="BP280"/>
      <c r="BQ280"/>
      <c r="CB280"/>
      <c r="CC280"/>
      <c r="CD280"/>
      <c r="CE280"/>
      <c r="CJ280"/>
      <c r="CK280"/>
      <c r="CL280"/>
      <c r="CM280"/>
      <c r="CN280"/>
    </row>
    <row r="281" spans="14:92" ht="11.25" customHeight="1" x14ac:dyDescent="0.2">
      <c r="N281" s="19">
        <v>171</v>
      </c>
      <c r="O281" s="19">
        <f t="shared" si="181"/>
        <v>956.3499999999915</v>
      </c>
      <c r="P281" s="19">
        <f t="shared" si="182"/>
        <v>756.3499999999915</v>
      </c>
      <c r="Q281"/>
      <c r="R281" s="19">
        <f t="shared" si="183"/>
        <v>556.34999999999798</v>
      </c>
      <c r="S281"/>
      <c r="T281"/>
      <c r="U281"/>
      <c r="V281"/>
      <c r="W281"/>
      <c r="X281"/>
      <c r="Y281"/>
      <c r="Z281" s="19">
        <f t="shared" si="184"/>
        <v>352.32500000000113</v>
      </c>
      <c r="AA281" s="19">
        <f t="shared" si="185"/>
        <v>152.32500000000073</v>
      </c>
      <c r="AB281" s="19" t="e">
        <f t="shared" si="186"/>
        <v>#N/A</v>
      </c>
      <c r="AC281"/>
      <c r="AD281"/>
      <c r="AE281" s="19">
        <v>190</v>
      </c>
      <c r="AG281" s="19">
        <f t="shared" si="151"/>
        <v>9</v>
      </c>
      <c r="AH281" s="19">
        <f t="shared" si="152"/>
        <v>1</v>
      </c>
      <c r="AI281" s="19">
        <f t="shared" si="153"/>
        <v>24.955000000000002</v>
      </c>
      <c r="AJ281" s="410">
        <f t="shared" si="154"/>
        <v>969.48</v>
      </c>
      <c r="AK281" s="19" t="e">
        <f t="shared" si="155"/>
        <v>#N/A</v>
      </c>
      <c r="AL281" s="19">
        <f t="shared" si="156"/>
        <v>769.48</v>
      </c>
      <c r="AM281" s="19" t="e">
        <f t="shared" si="157"/>
        <v>#N/A</v>
      </c>
      <c r="AN281" s="19">
        <f t="shared" si="158"/>
        <v>569.48</v>
      </c>
      <c r="AO281" s="19" t="e">
        <f t="shared" si="159"/>
        <v>#N/A</v>
      </c>
      <c r="AP281" s="19">
        <f t="shared" si="160"/>
        <v>369.48</v>
      </c>
      <c r="AQ281" s="19" t="e">
        <f t="shared" si="161"/>
        <v>#N/A</v>
      </c>
      <c r="AR281" s="19">
        <f t="shared" si="162"/>
        <v>169.48000000000002</v>
      </c>
      <c r="AS281" s="19" t="e">
        <f t="shared" si="163"/>
        <v>#N/A</v>
      </c>
      <c r="AT281"/>
      <c r="AU281"/>
      <c r="AV281"/>
      <c r="AW281"/>
      <c r="AX281"/>
      <c r="AY281"/>
      <c r="AZ281"/>
      <c r="BA281"/>
      <c r="BB281"/>
      <c r="BC281"/>
      <c r="BD281"/>
      <c r="BE281"/>
      <c r="BF281"/>
      <c r="BG281"/>
      <c r="BH281"/>
      <c r="BI281"/>
      <c r="BJ281"/>
      <c r="BK281"/>
      <c r="BL281"/>
      <c r="BM281"/>
      <c r="BN281"/>
      <c r="BO281"/>
      <c r="BP281"/>
      <c r="BQ281"/>
      <c r="CB281"/>
      <c r="CC281"/>
      <c r="CD281"/>
      <c r="CE281"/>
      <c r="CJ281"/>
      <c r="CK281"/>
      <c r="CL281"/>
      <c r="CM281"/>
      <c r="CN281"/>
    </row>
    <row r="282" spans="14:92" ht="11.25" customHeight="1" x14ac:dyDescent="0.2">
      <c r="N282" s="19">
        <v>172</v>
      </c>
      <c r="O282" s="19">
        <f t="shared" si="181"/>
        <v>957.15499999999145</v>
      </c>
      <c r="P282" s="19">
        <f t="shared" si="182"/>
        <v>757.15499999999145</v>
      </c>
      <c r="Q282"/>
      <c r="R282" s="19">
        <f t="shared" si="183"/>
        <v>557.15499999999793</v>
      </c>
      <c r="S282"/>
      <c r="T282"/>
      <c r="U282"/>
      <c r="V282"/>
      <c r="W282"/>
      <c r="X282"/>
      <c r="Y282"/>
      <c r="Z282" s="19">
        <f t="shared" si="184"/>
        <v>353.13000000000113</v>
      </c>
      <c r="AA282" s="19">
        <f t="shared" si="185"/>
        <v>153.13000000000073</v>
      </c>
      <c r="AB282" s="19" t="e">
        <f t="shared" si="186"/>
        <v>#N/A</v>
      </c>
      <c r="AC282"/>
      <c r="AD282"/>
      <c r="AE282" s="19">
        <v>191</v>
      </c>
      <c r="AG282" s="19">
        <f t="shared" si="151"/>
        <v>11</v>
      </c>
      <c r="AH282" s="19">
        <f t="shared" si="152"/>
        <v>-1</v>
      </c>
      <c r="AI282" s="19">
        <f t="shared" si="153"/>
        <v>24.955000000000002</v>
      </c>
      <c r="AJ282" s="410">
        <f t="shared" si="154"/>
        <v>815.08</v>
      </c>
      <c r="AK282" s="19" t="e">
        <f t="shared" si="155"/>
        <v>#N/A</v>
      </c>
      <c r="AL282" s="19">
        <f t="shared" si="156"/>
        <v>615.08000000000004</v>
      </c>
      <c r="AM282" s="19" t="e">
        <f t="shared" si="157"/>
        <v>#N/A</v>
      </c>
      <c r="AN282" s="19">
        <f t="shared" si="158"/>
        <v>415.08</v>
      </c>
      <c r="AO282" s="19" t="e">
        <f t="shared" si="159"/>
        <v>#N/A</v>
      </c>
      <c r="AP282" s="19">
        <f t="shared" si="160"/>
        <v>215.07999999999998</v>
      </c>
      <c r="AQ282" s="19" t="e">
        <f t="shared" si="161"/>
        <v>#N/A</v>
      </c>
      <c r="AR282" s="19">
        <f t="shared" si="162"/>
        <v>15.079999999999998</v>
      </c>
      <c r="AS282" s="19" t="e">
        <f t="shared" si="163"/>
        <v>#N/A</v>
      </c>
      <c r="AT282"/>
      <c r="AU282"/>
      <c r="AV282"/>
      <c r="AW282"/>
      <c r="AX282"/>
      <c r="AY282"/>
      <c r="AZ282"/>
      <c r="BA282"/>
      <c r="BB282"/>
      <c r="BC282"/>
      <c r="BD282"/>
      <c r="BE282"/>
      <c r="BF282"/>
      <c r="BG282"/>
      <c r="BH282"/>
      <c r="BI282"/>
      <c r="BJ282"/>
      <c r="BK282"/>
      <c r="BL282"/>
      <c r="BM282"/>
      <c r="BN282"/>
      <c r="BO282"/>
      <c r="BP282"/>
      <c r="BQ282"/>
      <c r="CB282"/>
      <c r="CC282"/>
      <c r="CD282"/>
      <c r="CE282"/>
      <c r="CJ282"/>
      <c r="CK282"/>
      <c r="CL282"/>
      <c r="CM282"/>
      <c r="CN282"/>
    </row>
    <row r="283" spans="14:92" ht="11.25" customHeight="1" x14ac:dyDescent="0.2">
      <c r="N283" s="19">
        <v>173</v>
      </c>
      <c r="O283" s="19">
        <f t="shared" si="181"/>
        <v>957.9599999999914</v>
      </c>
      <c r="P283" s="19">
        <f t="shared" si="182"/>
        <v>757.9599999999914</v>
      </c>
      <c r="Q283"/>
      <c r="R283" s="19">
        <f t="shared" si="183"/>
        <v>557.95999999999788</v>
      </c>
      <c r="S283"/>
      <c r="T283"/>
      <c r="U283"/>
      <c r="V283"/>
      <c r="W283"/>
      <c r="X283"/>
      <c r="Y283"/>
      <c r="Z283" s="19">
        <f t="shared" si="184"/>
        <v>353.93500000000114</v>
      </c>
      <c r="AA283" s="19">
        <f t="shared" si="185"/>
        <v>153.93500000000074</v>
      </c>
      <c r="AB283" s="19" t="e">
        <f t="shared" si="186"/>
        <v>#N/A</v>
      </c>
      <c r="AC283"/>
      <c r="AD283"/>
      <c r="AE283" s="19">
        <v>192</v>
      </c>
      <c r="AG283" s="19">
        <f t="shared" si="151"/>
        <v>11</v>
      </c>
      <c r="AH283" s="19">
        <f t="shared" si="152"/>
        <v>1</v>
      </c>
      <c r="AI283" s="19">
        <f t="shared" si="153"/>
        <v>24.955000000000002</v>
      </c>
      <c r="AJ283" s="410">
        <f t="shared" si="154"/>
        <v>984.92</v>
      </c>
      <c r="AK283" s="19" t="e">
        <f t="shared" si="155"/>
        <v>#N/A</v>
      </c>
      <c r="AL283" s="19">
        <f t="shared" si="156"/>
        <v>784.92</v>
      </c>
      <c r="AM283" s="19" t="e">
        <f t="shared" si="157"/>
        <v>#N/A</v>
      </c>
      <c r="AN283" s="19">
        <f t="shared" si="158"/>
        <v>584.91999999999996</v>
      </c>
      <c r="AO283" s="19" t="e">
        <f t="shared" si="159"/>
        <v>#N/A</v>
      </c>
      <c r="AP283" s="19">
        <f t="shared" si="160"/>
        <v>384.92</v>
      </c>
      <c r="AQ283" s="19" t="e">
        <f t="shared" si="161"/>
        <v>#N/A</v>
      </c>
      <c r="AR283" s="19">
        <f t="shared" si="162"/>
        <v>184.92000000000002</v>
      </c>
      <c r="AS283" s="19" t="e">
        <f t="shared" si="163"/>
        <v>#N/A</v>
      </c>
      <c r="AT283"/>
      <c r="AU283"/>
      <c r="AV283"/>
      <c r="AW283"/>
      <c r="AX283"/>
      <c r="AY283"/>
      <c r="AZ283"/>
      <c r="BA283"/>
      <c r="BB283"/>
      <c r="BC283"/>
      <c r="BD283"/>
      <c r="BE283"/>
      <c r="BF283"/>
      <c r="BG283"/>
      <c r="BH283"/>
      <c r="BI283"/>
      <c r="BJ283"/>
      <c r="BK283"/>
      <c r="BL283"/>
      <c r="BM283"/>
      <c r="BN283"/>
      <c r="BO283"/>
      <c r="BP283"/>
      <c r="BQ283"/>
      <c r="CB283"/>
      <c r="CC283"/>
      <c r="CD283"/>
      <c r="CE283"/>
      <c r="CJ283"/>
      <c r="CK283"/>
      <c r="CL283"/>
      <c r="CM283"/>
      <c r="CN283"/>
    </row>
    <row r="284" spans="14:92" ht="11.25" customHeight="1" x14ac:dyDescent="0.2">
      <c r="N284" s="19">
        <v>174</v>
      </c>
      <c r="O284" s="19">
        <f t="shared" si="181"/>
        <v>958.76499999999135</v>
      </c>
      <c r="P284" s="19">
        <f t="shared" si="182"/>
        <v>758.76499999999135</v>
      </c>
      <c r="Q284"/>
      <c r="R284" s="19">
        <f t="shared" si="183"/>
        <v>558.76499999999783</v>
      </c>
      <c r="S284"/>
      <c r="T284"/>
      <c r="U284"/>
      <c r="V284"/>
      <c r="W284"/>
      <c r="X284"/>
      <c r="Y284"/>
      <c r="Z284" s="19">
        <f t="shared" si="184"/>
        <v>354.74000000000115</v>
      </c>
      <c r="AA284" s="19">
        <f t="shared" si="185"/>
        <v>154.74000000000075</v>
      </c>
      <c r="AB284" s="19" t="e">
        <f t="shared" si="186"/>
        <v>#N/A</v>
      </c>
      <c r="AC284"/>
      <c r="AD284"/>
      <c r="AE284" s="19">
        <v>193</v>
      </c>
      <c r="AG284" s="19">
        <f t="shared" ref="AG284:AG347" si="187">2*ROUNDUP((MOD(AE284-1,$AB$94)+1)/2,0)-1</f>
        <v>1</v>
      </c>
      <c r="AH284" s="19">
        <f t="shared" ref="AH284:AH347" si="188">IF(AG284=AG285,-1,1)</f>
        <v>-1</v>
      </c>
      <c r="AI284" s="19">
        <f t="shared" ref="AI284:AI347" si="189">IF($BR$7,$AB$87*(0.5+INT((AE284-0.5)/$AB$94)),NA())</f>
        <v>26.565000000000001</v>
      </c>
      <c r="AJ284" s="410">
        <f t="shared" ref="AJ284:AJ347" si="190">IF($BP$11,$AM$87+$AB$90*AH284*AG284,NA())</f>
        <v>892.28</v>
      </c>
      <c r="AK284" s="19" t="e">
        <f t="shared" ref="AK284:AK347" si="191">IF($AG$83&lt;AE284,NA(),AI284)</f>
        <v>#N/A</v>
      </c>
      <c r="AL284" s="19">
        <f t="shared" ref="AL284:AL347" si="192">IF($BP$11,$AN$87+$AB$90*AH284*AG284,NA())</f>
        <v>692.28</v>
      </c>
      <c r="AM284" s="19" t="e">
        <f t="shared" ref="AM284:AM347" si="193">IF($AH$83&lt;AE284,NA(),AI284)</f>
        <v>#N/A</v>
      </c>
      <c r="AN284" s="19">
        <f t="shared" ref="AN284:AN347" si="194">IF($BP$11,$AO$87+$AB$90*AH284*AG284,NA())</f>
        <v>492.28</v>
      </c>
      <c r="AO284" s="19" t="e">
        <f t="shared" ref="AO284:AO347" si="195">IF($AI$83&lt;AE284,NA(),AI284)</f>
        <v>#N/A</v>
      </c>
      <c r="AP284" s="19">
        <f t="shared" ref="AP284:AP347" si="196">IF($BP$11,$AP$87+$AB$90*AH284*AG284,NA())</f>
        <v>292.27999999999997</v>
      </c>
      <c r="AQ284" s="19" t="e">
        <f t="shared" ref="AQ284:AQ347" si="197">IF($AJ$83&lt;AE284,NA(),AI284)</f>
        <v>#N/A</v>
      </c>
      <c r="AR284" s="19">
        <f t="shared" ref="AR284:AR347" si="198">IF($BP$11,$AQ$87+$AB$90*AH284*AG284,NA())</f>
        <v>92.28</v>
      </c>
      <c r="AS284" s="19" t="e">
        <f t="shared" ref="AS284:AS347" si="199">IF($AK$83&lt;AE284,NA(),AI284)</f>
        <v>#N/A</v>
      </c>
      <c r="AT284"/>
      <c r="AU284"/>
      <c r="AV284"/>
      <c r="AW284"/>
      <c r="AX284"/>
      <c r="AY284"/>
      <c r="AZ284"/>
      <c r="BA284"/>
      <c r="BB284"/>
      <c r="BC284"/>
      <c r="BD284"/>
      <c r="BE284"/>
      <c r="BF284"/>
      <c r="BG284"/>
      <c r="BH284"/>
      <c r="BI284"/>
      <c r="BJ284"/>
      <c r="BK284"/>
      <c r="BL284"/>
      <c r="BM284"/>
      <c r="BN284"/>
      <c r="BO284"/>
      <c r="BP284"/>
      <c r="BQ284"/>
      <c r="CB284"/>
      <c r="CC284"/>
      <c r="CD284"/>
      <c r="CE284"/>
      <c r="CJ284"/>
      <c r="CK284"/>
      <c r="CL284"/>
      <c r="CM284"/>
      <c r="CN284"/>
    </row>
    <row r="285" spans="14:92" ht="11.25" customHeight="1" x14ac:dyDescent="0.2">
      <c r="N285" s="19">
        <v>175</v>
      </c>
      <c r="O285" s="19">
        <f t="shared" si="181"/>
        <v>959.5699999999913</v>
      </c>
      <c r="P285" s="19">
        <f t="shared" si="182"/>
        <v>759.5699999999913</v>
      </c>
      <c r="Q285"/>
      <c r="R285" s="19">
        <f t="shared" si="183"/>
        <v>559.56999999999778</v>
      </c>
      <c r="S285"/>
      <c r="T285"/>
      <c r="U285"/>
      <c r="V285"/>
      <c r="W285"/>
      <c r="X285"/>
      <c r="Y285"/>
      <c r="Z285" s="19">
        <f t="shared" si="184"/>
        <v>355.54500000000115</v>
      </c>
      <c r="AA285" s="19">
        <f t="shared" si="185"/>
        <v>155.54500000000075</v>
      </c>
      <c r="AB285" s="19" t="e">
        <f t="shared" si="186"/>
        <v>#N/A</v>
      </c>
      <c r="AC285"/>
      <c r="AD285"/>
      <c r="AE285" s="19">
        <v>194</v>
      </c>
      <c r="AG285" s="19">
        <f t="shared" si="187"/>
        <v>1</v>
      </c>
      <c r="AH285" s="19">
        <f t="shared" si="188"/>
        <v>1</v>
      </c>
      <c r="AI285" s="19">
        <f t="shared" si="189"/>
        <v>26.565000000000001</v>
      </c>
      <c r="AJ285" s="410">
        <f t="shared" si="190"/>
        <v>907.72</v>
      </c>
      <c r="AK285" s="19" t="e">
        <f t="shared" si="191"/>
        <v>#N/A</v>
      </c>
      <c r="AL285" s="19">
        <f t="shared" si="192"/>
        <v>707.72</v>
      </c>
      <c r="AM285" s="19" t="e">
        <f t="shared" si="193"/>
        <v>#N/A</v>
      </c>
      <c r="AN285" s="19">
        <f t="shared" si="194"/>
        <v>507.72</v>
      </c>
      <c r="AO285" s="19" t="e">
        <f t="shared" si="195"/>
        <v>#N/A</v>
      </c>
      <c r="AP285" s="19">
        <f t="shared" si="196"/>
        <v>307.72000000000003</v>
      </c>
      <c r="AQ285" s="19" t="e">
        <f t="shared" si="197"/>
        <v>#N/A</v>
      </c>
      <c r="AR285" s="19">
        <f t="shared" si="198"/>
        <v>107.72</v>
      </c>
      <c r="AS285" s="19" t="e">
        <f t="shared" si="199"/>
        <v>#N/A</v>
      </c>
      <c r="AT285"/>
      <c r="AU285"/>
      <c r="AV285"/>
      <c r="AW285"/>
      <c r="AX285"/>
      <c r="AY285"/>
      <c r="AZ285"/>
      <c r="BA285"/>
      <c r="BB285"/>
      <c r="BC285"/>
      <c r="BD285"/>
      <c r="BE285"/>
      <c r="BF285"/>
      <c r="BG285"/>
      <c r="BH285"/>
      <c r="BI285"/>
      <c r="BJ285"/>
      <c r="BK285"/>
      <c r="BL285"/>
      <c r="BM285"/>
      <c r="BN285"/>
      <c r="BO285"/>
      <c r="BP285"/>
      <c r="BQ285"/>
      <c r="CB285"/>
      <c r="CC285"/>
      <c r="CD285"/>
      <c r="CE285"/>
      <c r="CJ285"/>
      <c r="CK285"/>
      <c r="CL285"/>
      <c r="CM285"/>
      <c r="CN285"/>
    </row>
    <row r="286" spans="14:92" ht="11.25" customHeight="1" x14ac:dyDescent="0.2">
      <c r="N286" s="19">
        <v>176</v>
      </c>
      <c r="O286" s="19">
        <f t="shared" si="181"/>
        <v>960.37499999999125</v>
      </c>
      <c r="P286" s="19">
        <f t="shared" si="182"/>
        <v>760.37499999999125</v>
      </c>
      <c r="Q286"/>
      <c r="R286" s="19">
        <f t="shared" si="183"/>
        <v>560.37499999999773</v>
      </c>
      <c r="S286"/>
      <c r="T286"/>
      <c r="U286"/>
      <c r="V286"/>
      <c r="W286"/>
      <c r="X286"/>
      <c r="Y286"/>
      <c r="Z286" s="19">
        <f t="shared" si="184"/>
        <v>356.35000000000116</v>
      </c>
      <c r="AA286" s="19">
        <f t="shared" si="185"/>
        <v>156.35000000000076</v>
      </c>
      <c r="AB286" s="19" t="e">
        <f t="shared" si="186"/>
        <v>#N/A</v>
      </c>
      <c r="AC286"/>
      <c r="AD286"/>
      <c r="AE286" s="19">
        <v>195</v>
      </c>
      <c r="AG286" s="19">
        <f t="shared" si="187"/>
        <v>3</v>
      </c>
      <c r="AH286" s="19">
        <f t="shared" si="188"/>
        <v>-1</v>
      </c>
      <c r="AI286" s="19">
        <f t="shared" si="189"/>
        <v>26.565000000000001</v>
      </c>
      <c r="AJ286" s="410">
        <f t="shared" si="190"/>
        <v>876.84</v>
      </c>
      <c r="AK286" s="19" t="e">
        <f t="shared" si="191"/>
        <v>#N/A</v>
      </c>
      <c r="AL286" s="19">
        <f t="shared" si="192"/>
        <v>676.84</v>
      </c>
      <c r="AM286" s="19" t="e">
        <f t="shared" si="193"/>
        <v>#N/A</v>
      </c>
      <c r="AN286" s="19">
        <f t="shared" si="194"/>
        <v>476.84</v>
      </c>
      <c r="AO286" s="19" t="e">
        <f t="shared" si="195"/>
        <v>#N/A</v>
      </c>
      <c r="AP286" s="19">
        <f t="shared" si="196"/>
        <v>276.83999999999997</v>
      </c>
      <c r="AQ286" s="19" t="e">
        <f t="shared" si="197"/>
        <v>#N/A</v>
      </c>
      <c r="AR286" s="19">
        <f t="shared" si="198"/>
        <v>76.84</v>
      </c>
      <c r="AS286" s="19" t="e">
        <f t="shared" si="199"/>
        <v>#N/A</v>
      </c>
      <c r="AT286"/>
      <c r="AU286"/>
      <c r="AV286"/>
      <c r="AW286"/>
      <c r="AX286"/>
      <c r="AY286"/>
      <c r="AZ286"/>
      <c r="BA286"/>
      <c r="BB286"/>
      <c r="BC286"/>
      <c r="BD286"/>
      <c r="BE286"/>
      <c r="BF286"/>
      <c r="BG286"/>
      <c r="BH286"/>
      <c r="BI286"/>
      <c r="BJ286"/>
      <c r="BK286"/>
      <c r="BL286"/>
      <c r="BM286"/>
      <c r="BN286"/>
      <c r="BO286"/>
      <c r="BP286"/>
      <c r="BQ286"/>
      <c r="CB286"/>
      <c r="CC286"/>
      <c r="CD286"/>
      <c r="CE286"/>
      <c r="CJ286"/>
      <c r="CK286"/>
      <c r="CL286"/>
      <c r="CM286"/>
      <c r="CN286"/>
    </row>
    <row r="287" spans="14:92" ht="11.25" customHeight="1" x14ac:dyDescent="0.2">
      <c r="N287" s="19">
        <v>177</v>
      </c>
      <c r="O287" s="19">
        <f t="shared" si="181"/>
        <v>961.1799999999912</v>
      </c>
      <c r="P287" s="19">
        <f t="shared" si="182"/>
        <v>761.1799999999912</v>
      </c>
      <c r="Q287"/>
      <c r="R287" s="19">
        <f t="shared" si="183"/>
        <v>561.17999999999768</v>
      </c>
      <c r="S287"/>
      <c r="T287"/>
      <c r="U287"/>
      <c r="V287"/>
      <c r="W287"/>
      <c r="X287"/>
      <c r="Y287"/>
      <c r="Z287" s="19">
        <f t="shared" si="184"/>
        <v>357.15500000000117</v>
      </c>
      <c r="AA287" s="19">
        <f t="shared" si="185"/>
        <v>157.15500000000077</v>
      </c>
      <c r="AB287" s="19" t="e">
        <f t="shared" si="186"/>
        <v>#N/A</v>
      </c>
      <c r="AC287"/>
      <c r="AD287"/>
      <c r="AE287" s="19">
        <v>196</v>
      </c>
      <c r="AG287" s="19">
        <f t="shared" si="187"/>
        <v>3</v>
      </c>
      <c r="AH287" s="19">
        <f t="shared" si="188"/>
        <v>1</v>
      </c>
      <c r="AI287" s="19">
        <f t="shared" si="189"/>
        <v>26.565000000000001</v>
      </c>
      <c r="AJ287" s="410">
        <f t="shared" si="190"/>
        <v>923.16</v>
      </c>
      <c r="AK287" s="19" t="e">
        <f t="shared" si="191"/>
        <v>#N/A</v>
      </c>
      <c r="AL287" s="19">
        <f t="shared" si="192"/>
        <v>723.16</v>
      </c>
      <c r="AM287" s="19" t="e">
        <f t="shared" si="193"/>
        <v>#N/A</v>
      </c>
      <c r="AN287" s="19">
        <f t="shared" si="194"/>
        <v>523.16</v>
      </c>
      <c r="AO287" s="19" t="e">
        <f t="shared" si="195"/>
        <v>#N/A</v>
      </c>
      <c r="AP287" s="19">
        <f t="shared" si="196"/>
        <v>323.16000000000003</v>
      </c>
      <c r="AQ287" s="19" t="e">
        <f t="shared" si="197"/>
        <v>#N/A</v>
      </c>
      <c r="AR287" s="19">
        <f t="shared" si="198"/>
        <v>123.16</v>
      </c>
      <c r="AS287" s="19" t="e">
        <f t="shared" si="199"/>
        <v>#N/A</v>
      </c>
      <c r="AT287"/>
      <c r="AU287"/>
      <c r="AV287"/>
      <c r="AW287"/>
      <c r="AX287"/>
      <c r="AY287"/>
      <c r="AZ287"/>
      <c r="BA287"/>
      <c r="BB287"/>
      <c r="BC287"/>
      <c r="BD287"/>
      <c r="BE287"/>
      <c r="BF287"/>
      <c r="BG287"/>
      <c r="BH287"/>
      <c r="BI287"/>
      <c r="BJ287"/>
      <c r="BK287"/>
      <c r="BL287"/>
      <c r="BM287"/>
      <c r="BN287"/>
      <c r="BO287"/>
      <c r="BP287"/>
      <c r="BQ287"/>
      <c r="CB287"/>
      <c r="CC287"/>
      <c r="CD287"/>
      <c r="CE287"/>
      <c r="CJ287"/>
      <c r="CK287"/>
      <c r="CL287"/>
      <c r="CM287"/>
      <c r="CN287"/>
    </row>
    <row r="288" spans="14:92" ht="11.25" customHeight="1" x14ac:dyDescent="0.2">
      <c r="N288" s="19">
        <v>178</v>
      </c>
      <c r="O288" s="19">
        <f t="shared" si="181"/>
        <v>961.98499999999115</v>
      </c>
      <c r="P288" s="19">
        <f t="shared" si="182"/>
        <v>761.98499999999115</v>
      </c>
      <c r="Q288"/>
      <c r="R288" s="19">
        <f t="shared" si="183"/>
        <v>561.98499999999763</v>
      </c>
      <c r="S288"/>
      <c r="T288"/>
      <c r="U288"/>
      <c r="V288"/>
      <c r="W288"/>
      <c r="X288"/>
      <c r="Y288"/>
      <c r="Z288" s="19">
        <f t="shared" si="184"/>
        <v>357.96000000000117</v>
      </c>
      <c r="AA288" s="19">
        <f t="shared" si="185"/>
        <v>157.96000000000078</v>
      </c>
      <c r="AB288" s="19" t="e">
        <f t="shared" si="186"/>
        <v>#N/A</v>
      </c>
      <c r="AC288"/>
      <c r="AD288"/>
      <c r="AE288" s="19">
        <v>197</v>
      </c>
      <c r="AG288" s="19">
        <f t="shared" si="187"/>
        <v>5</v>
      </c>
      <c r="AH288" s="19">
        <f t="shared" si="188"/>
        <v>-1</v>
      </c>
      <c r="AI288" s="19">
        <f t="shared" si="189"/>
        <v>26.565000000000001</v>
      </c>
      <c r="AJ288" s="410">
        <f t="shared" si="190"/>
        <v>861.4</v>
      </c>
      <c r="AK288" s="19" t="e">
        <f t="shared" si="191"/>
        <v>#N/A</v>
      </c>
      <c r="AL288" s="19">
        <f t="shared" si="192"/>
        <v>661.4</v>
      </c>
      <c r="AM288" s="19" t="e">
        <f t="shared" si="193"/>
        <v>#N/A</v>
      </c>
      <c r="AN288" s="19">
        <f t="shared" si="194"/>
        <v>461.4</v>
      </c>
      <c r="AO288" s="19" t="e">
        <f t="shared" si="195"/>
        <v>#N/A</v>
      </c>
      <c r="AP288" s="19">
        <f t="shared" si="196"/>
        <v>261.39999999999998</v>
      </c>
      <c r="AQ288" s="19" t="e">
        <f t="shared" si="197"/>
        <v>#N/A</v>
      </c>
      <c r="AR288" s="19">
        <f t="shared" si="198"/>
        <v>61.4</v>
      </c>
      <c r="AS288" s="19" t="e">
        <f t="shared" si="199"/>
        <v>#N/A</v>
      </c>
      <c r="AT288"/>
      <c r="AU288"/>
      <c r="AV288"/>
      <c r="AW288"/>
      <c r="AX288"/>
      <c r="AY288"/>
      <c r="AZ288"/>
      <c r="BA288"/>
      <c r="BB288"/>
      <c r="BC288"/>
      <c r="BD288"/>
      <c r="BE288"/>
      <c r="BF288"/>
      <c r="BG288"/>
      <c r="BH288"/>
      <c r="BI288"/>
      <c r="BJ288"/>
      <c r="BK288"/>
      <c r="BL288"/>
      <c r="BM288"/>
      <c r="BN288"/>
      <c r="BO288"/>
      <c r="BP288"/>
      <c r="BQ288"/>
      <c r="CB288"/>
      <c r="CC288"/>
      <c r="CD288"/>
      <c r="CE288"/>
      <c r="CJ288"/>
      <c r="CK288"/>
      <c r="CL288"/>
      <c r="CM288"/>
      <c r="CN288"/>
    </row>
    <row r="289" spans="14:92" ht="11.25" customHeight="1" x14ac:dyDescent="0.2">
      <c r="N289" s="19">
        <v>179</v>
      </c>
      <c r="O289" s="19">
        <f t="shared" si="181"/>
        <v>962.7899999999911</v>
      </c>
      <c r="P289" s="19">
        <f t="shared" si="182"/>
        <v>762.7899999999911</v>
      </c>
      <c r="Q289"/>
      <c r="R289" s="19">
        <f t="shared" si="183"/>
        <v>562.78999999999758</v>
      </c>
      <c r="S289"/>
      <c r="T289"/>
      <c r="U289"/>
      <c r="V289"/>
      <c r="W289"/>
      <c r="X289"/>
      <c r="Y289"/>
      <c r="Z289" s="19">
        <f t="shared" si="184"/>
        <v>358.76500000000118</v>
      </c>
      <c r="AA289" s="19">
        <f t="shared" si="185"/>
        <v>158.76500000000078</v>
      </c>
      <c r="AB289" s="19" t="e">
        <f t="shared" si="186"/>
        <v>#N/A</v>
      </c>
      <c r="AC289"/>
      <c r="AD289"/>
      <c r="AE289" s="19">
        <v>198</v>
      </c>
      <c r="AG289" s="19">
        <f t="shared" si="187"/>
        <v>5</v>
      </c>
      <c r="AH289" s="19">
        <f t="shared" si="188"/>
        <v>1</v>
      </c>
      <c r="AI289" s="19">
        <f t="shared" si="189"/>
        <v>26.565000000000001</v>
      </c>
      <c r="AJ289" s="410">
        <f t="shared" si="190"/>
        <v>938.6</v>
      </c>
      <c r="AK289" s="19" t="e">
        <f t="shared" si="191"/>
        <v>#N/A</v>
      </c>
      <c r="AL289" s="19">
        <f t="shared" si="192"/>
        <v>738.6</v>
      </c>
      <c r="AM289" s="19" t="e">
        <f t="shared" si="193"/>
        <v>#N/A</v>
      </c>
      <c r="AN289" s="19">
        <f t="shared" si="194"/>
        <v>538.6</v>
      </c>
      <c r="AO289" s="19" t="e">
        <f t="shared" si="195"/>
        <v>#N/A</v>
      </c>
      <c r="AP289" s="19">
        <f t="shared" si="196"/>
        <v>338.6</v>
      </c>
      <c r="AQ289" s="19" t="e">
        <f t="shared" si="197"/>
        <v>#N/A</v>
      </c>
      <c r="AR289" s="19">
        <f t="shared" si="198"/>
        <v>138.6</v>
      </c>
      <c r="AS289" s="19" t="e">
        <f t="shared" si="199"/>
        <v>#N/A</v>
      </c>
      <c r="AT289"/>
      <c r="AU289"/>
      <c r="AV289"/>
      <c r="AW289"/>
      <c r="AX289"/>
      <c r="AY289"/>
      <c r="AZ289"/>
      <c r="BA289"/>
      <c r="BB289"/>
      <c r="BC289"/>
      <c r="BD289"/>
      <c r="BE289"/>
      <c r="BF289"/>
      <c r="BG289"/>
      <c r="BH289"/>
      <c r="BI289"/>
      <c r="BJ289"/>
      <c r="BK289"/>
      <c r="BL289"/>
      <c r="BM289"/>
      <c r="BN289"/>
      <c r="BO289"/>
      <c r="BP289"/>
      <c r="BQ289"/>
      <c r="CB289"/>
      <c r="CC289"/>
      <c r="CD289"/>
      <c r="CE289"/>
      <c r="CJ289"/>
      <c r="CK289"/>
      <c r="CL289"/>
      <c r="CM289"/>
      <c r="CN289"/>
    </row>
    <row r="290" spans="14:92" ht="11.25" customHeight="1" x14ac:dyDescent="0.2">
      <c r="N290" s="19">
        <v>180</v>
      </c>
      <c r="O290" s="19">
        <f t="shared" si="181"/>
        <v>963.59499999999105</v>
      </c>
      <c r="P290" s="19">
        <f t="shared" si="182"/>
        <v>763.59499999999105</v>
      </c>
      <c r="Q290"/>
      <c r="R290" s="19">
        <f t="shared" si="183"/>
        <v>563.59499999999753</v>
      </c>
      <c r="S290"/>
      <c r="T290"/>
      <c r="U290"/>
      <c r="V290"/>
      <c r="W290"/>
      <c r="X290"/>
      <c r="Y290"/>
      <c r="Z290" s="19">
        <f t="shared" si="184"/>
        <v>359.57000000000119</v>
      </c>
      <c r="AA290" s="19">
        <f t="shared" si="185"/>
        <v>159.57000000000079</v>
      </c>
      <c r="AB290" s="19" t="e">
        <f t="shared" si="186"/>
        <v>#N/A</v>
      </c>
      <c r="AC290"/>
      <c r="AD290"/>
      <c r="AE290" s="19">
        <v>199</v>
      </c>
      <c r="AG290" s="19">
        <f t="shared" si="187"/>
        <v>7</v>
      </c>
      <c r="AH290" s="19">
        <f t="shared" si="188"/>
        <v>-1</v>
      </c>
      <c r="AI290" s="19">
        <f t="shared" si="189"/>
        <v>26.565000000000001</v>
      </c>
      <c r="AJ290" s="410">
        <f t="shared" si="190"/>
        <v>845.96</v>
      </c>
      <c r="AK290" s="19" t="e">
        <f t="shared" si="191"/>
        <v>#N/A</v>
      </c>
      <c r="AL290" s="19">
        <f t="shared" si="192"/>
        <v>645.96</v>
      </c>
      <c r="AM290" s="19" t="e">
        <f t="shared" si="193"/>
        <v>#N/A</v>
      </c>
      <c r="AN290" s="19">
        <f t="shared" si="194"/>
        <v>445.96</v>
      </c>
      <c r="AO290" s="19" t="e">
        <f t="shared" si="195"/>
        <v>#N/A</v>
      </c>
      <c r="AP290" s="19">
        <f t="shared" si="196"/>
        <v>245.96</v>
      </c>
      <c r="AQ290" s="19" t="e">
        <f t="shared" si="197"/>
        <v>#N/A</v>
      </c>
      <c r="AR290" s="19">
        <f t="shared" si="198"/>
        <v>45.96</v>
      </c>
      <c r="AS290" s="19" t="e">
        <f t="shared" si="199"/>
        <v>#N/A</v>
      </c>
      <c r="AT290"/>
      <c r="AU290"/>
      <c r="AV290"/>
      <c r="AW290"/>
      <c r="AX290"/>
      <c r="AY290"/>
      <c r="AZ290"/>
      <c r="BA290"/>
      <c r="BB290"/>
      <c r="BC290"/>
      <c r="BD290"/>
      <c r="BE290"/>
      <c r="BF290"/>
      <c r="BG290"/>
      <c r="BH290"/>
      <c r="BI290"/>
      <c r="BJ290"/>
      <c r="BK290"/>
      <c r="BL290"/>
      <c r="BM290"/>
      <c r="BN290"/>
      <c r="BO290"/>
      <c r="BP290"/>
      <c r="BQ290"/>
      <c r="CB290"/>
      <c r="CC290"/>
      <c r="CD290"/>
      <c r="CE290"/>
      <c r="CJ290"/>
      <c r="CK290"/>
      <c r="CL290"/>
      <c r="CM290"/>
      <c r="CN290"/>
    </row>
    <row r="291" spans="14:92" ht="11.25" customHeight="1" x14ac:dyDescent="0.2">
      <c r="N291" s="19">
        <v>181</v>
      </c>
      <c r="O291" s="19">
        <f t="shared" si="181"/>
        <v>964.399999999991</v>
      </c>
      <c r="P291" s="19">
        <f t="shared" si="182"/>
        <v>764.399999999991</v>
      </c>
      <c r="Q291"/>
      <c r="R291" s="19">
        <f t="shared" si="183"/>
        <v>564.39999999999748</v>
      </c>
      <c r="S291"/>
      <c r="T291"/>
      <c r="U291"/>
      <c r="V291"/>
      <c r="W291"/>
      <c r="X291"/>
      <c r="Y291"/>
      <c r="Z291" s="19">
        <f t="shared" si="184"/>
        <v>360.37500000000119</v>
      </c>
      <c r="AA291" s="19">
        <f t="shared" si="185"/>
        <v>160.3750000000008</v>
      </c>
      <c r="AB291" s="19" t="e">
        <f t="shared" si="186"/>
        <v>#N/A</v>
      </c>
      <c r="AC291"/>
      <c r="AD291"/>
      <c r="AE291" s="19">
        <v>200</v>
      </c>
      <c r="AG291" s="19">
        <f t="shared" si="187"/>
        <v>7</v>
      </c>
      <c r="AH291" s="19">
        <f t="shared" si="188"/>
        <v>1</v>
      </c>
      <c r="AI291" s="19">
        <f t="shared" si="189"/>
        <v>26.565000000000001</v>
      </c>
      <c r="AJ291" s="410">
        <f t="shared" si="190"/>
        <v>954.04</v>
      </c>
      <c r="AK291" s="19" t="e">
        <f t="shared" si="191"/>
        <v>#N/A</v>
      </c>
      <c r="AL291" s="19">
        <f t="shared" si="192"/>
        <v>754.04</v>
      </c>
      <c r="AM291" s="19" t="e">
        <f t="shared" si="193"/>
        <v>#N/A</v>
      </c>
      <c r="AN291" s="19">
        <f t="shared" si="194"/>
        <v>554.04</v>
      </c>
      <c r="AO291" s="19" t="e">
        <f t="shared" si="195"/>
        <v>#N/A</v>
      </c>
      <c r="AP291" s="19">
        <f t="shared" si="196"/>
        <v>354.04</v>
      </c>
      <c r="AQ291" s="19" t="e">
        <f t="shared" si="197"/>
        <v>#N/A</v>
      </c>
      <c r="AR291" s="19">
        <f t="shared" si="198"/>
        <v>154.04</v>
      </c>
      <c r="AS291" s="19" t="e">
        <f t="shared" si="199"/>
        <v>#N/A</v>
      </c>
      <c r="AT291"/>
      <c r="AU291"/>
      <c r="AV291"/>
      <c r="AW291"/>
      <c r="AX291"/>
      <c r="AY291"/>
      <c r="AZ291"/>
      <c r="BA291"/>
      <c r="BB291"/>
      <c r="BC291"/>
      <c r="BD291"/>
      <c r="BE291"/>
      <c r="BF291"/>
      <c r="BG291"/>
      <c r="BH291"/>
      <c r="BI291"/>
      <c r="BJ291"/>
      <c r="BK291"/>
      <c r="BL291"/>
      <c r="BM291"/>
      <c r="BN291"/>
      <c r="BO291"/>
      <c r="BP291"/>
      <c r="BQ291"/>
      <c r="CB291"/>
      <c r="CC291"/>
      <c r="CD291"/>
      <c r="CE291"/>
      <c r="CJ291"/>
      <c r="CK291"/>
      <c r="CL291"/>
      <c r="CM291"/>
      <c r="CN291"/>
    </row>
    <row r="292" spans="14:92" ht="11.25" customHeight="1" x14ac:dyDescent="0.2">
      <c r="N292" s="19">
        <v>182</v>
      </c>
      <c r="O292" s="19">
        <f t="shared" si="181"/>
        <v>965.20499999999095</v>
      </c>
      <c r="P292" s="19">
        <f t="shared" si="182"/>
        <v>765.20499999999095</v>
      </c>
      <c r="Q292"/>
      <c r="R292" s="19">
        <f t="shared" si="183"/>
        <v>565.20499999999743</v>
      </c>
      <c r="S292"/>
      <c r="T292"/>
      <c r="U292"/>
      <c r="V292"/>
      <c r="W292"/>
      <c r="X292"/>
      <c r="Y292"/>
      <c r="Z292" s="19">
        <f t="shared" si="184"/>
        <v>361.1800000000012</v>
      </c>
      <c r="AA292" s="19">
        <f t="shared" si="185"/>
        <v>161.1800000000008</v>
      </c>
      <c r="AB292" s="19" t="e">
        <f t="shared" si="186"/>
        <v>#N/A</v>
      </c>
      <c r="AC292"/>
      <c r="AD292"/>
      <c r="AE292" s="19">
        <v>201</v>
      </c>
      <c r="AG292" s="19">
        <f t="shared" si="187"/>
        <v>9</v>
      </c>
      <c r="AH292" s="19">
        <f t="shared" si="188"/>
        <v>-1</v>
      </c>
      <c r="AI292" s="19">
        <f t="shared" si="189"/>
        <v>26.565000000000001</v>
      </c>
      <c r="AJ292" s="410">
        <f t="shared" si="190"/>
        <v>830.52</v>
      </c>
      <c r="AK292" s="19" t="e">
        <f t="shared" si="191"/>
        <v>#N/A</v>
      </c>
      <c r="AL292" s="19">
        <f t="shared" si="192"/>
        <v>630.52</v>
      </c>
      <c r="AM292" s="19" t="e">
        <f t="shared" si="193"/>
        <v>#N/A</v>
      </c>
      <c r="AN292" s="19">
        <f t="shared" si="194"/>
        <v>430.52</v>
      </c>
      <c r="AO292" s="19" t="e">
        <f t="shared" si="195"/>
        <v>#N/A</v>
      </c>
      <c r="AP292" s="19">
        <f t="shared" si="196"/>
        <v>230.51999999999998</v>
      </c>
      <c r="AQ292" s="19" t="e">
        <f t="shared" si="197"/>
        <v>#N/A</v>
      </c>
      <c r="AR292" s="19">
        <f t="shared" si="198"/>
        <v>30.519999999999996</v>
      </c>
      <c r="AS292" s="19" t="e">
        <f t="shared" si="199"/>
        <v>#N/A</v>
      </c>
      <c r="AT292"/>
      <c r="AU292"/>
      <c r="AV292"/>
      <c r="AW292"/>
      <c r="AX292"/>
      <c r="AY292"/>
      <c r="AZ292"/>
      <c r="BA292"/>
      <c r="BB292"/>
      <c r="BC292"/>
      <c r="BD292"/>
      <c r="BE292"/>
      <c r="BF292"/>
      <c r="BG292"/>
      <c r="BH292"/>
      <c r="BI292"/>
      <c r="BJ292"/>
      <c r="BK292"/>
      <c r="BL292"/>
      <c r="BM292"/>
      <c r="BN292"/>
      <c r="BO292"/>
      <c r="BP292"/>
      <c r="BQ292"/>
      <c r="CB292"/>
      <c r="CC292"/>
      <c r="CD292"/>
      <c r="CE292"/>
      <c r="CJ292"/>
      <c r="CK292"/>
      <c r="CL292"/>
      <c r="CM292"/>
      <c r="CN292"/>
    </row>
    <row r="293" spans="14:92" ht="11.25" customHeight="1" x14ac:dyDescent="0.2">
      <c r="N293" s="19">
        <v>183</v>
      </c>
      <c r="O293" s="19">
        <f t="shared" si="181"/>
        <v>966.0099999999909</v>
      </c>
      <c r="P293" s="19">
        <f t="shared" si="182"/>
        <v>766.0099999999909</v>
      </c>
      <c r="Q293"/>
      <c r="R293" s="19">
        <f t="shared" si="183"/>
        <v>566.00999999999738</v>
      </c>
      <c r="S293"/>
      <c r="T293"/>
      <c r="U293"/>
      <c r="V293"/>
      <c r="W293"/>
      <c r="X293"/>
      <c r="Y293"/>
      <c r="Z293" s="19">
        <f t="shared" si="184"/>
        <v>361.98500000000121</v>
      </c>
      <c r="AA293" s="19">
        <f t="shared" si="185"/>
        <v>161.98500000000081</v>
      </c>
      <c r="AB293" s="19" t="e">
        <f t="shared" si="186"/>
        <v>#N/A</v>
      </c>
      <c r="AC293"/>
      <c r="AD293"/>
      <c r="AE293" s="19">
        <v>202</v>
      </c>
      <c r="AG293" s="19">
        <f t="shared" si="187"/>
        <v>9</v>
      </c>
      <c r="AH293" s="19">
        <f t="shared" si="188"/>
        <v>1</v>
      </c>
      <c r="AI293" s="19">
        <f t="shared" si="189"/>
        <v>26.565000000000001</v>
      </c>
      <c r="AJ293" s="410">
        <f t="shared" si="190"/>
        <v>969.48</v>
      </c>
      <c r="AK293" s="19" t="e">
        <f t="shared" si="191"/>
        <v>#N/A</v>
      </c>
      <c r="AL293" s="19">
        <f t="shared" si="192"/>
        <v>769.48</v>
      </c>
      <c r="AM293" s="19" t="e">
        <f t="shared" si="193"/>
        <v>#N/A</v>
      </c>
      <c r="AN293" s="19">
        <f t="shared" si="194"/>
        <v>569.48</v>
      </c>
      <c r="AO293" s="19" t="e">
        <f t="shared" si="195"/>
        <v>#N/A</v>
      </c>
      <c r="AP293" s="19">
        <f t="shared" si="196"/>
        <v>369.48</v>
      </c>
      <c r="AQ293" s="19" t="e">
        <f t="shared" si="197"/>
        <v>#N/A</v>
      </c>
      <c r="AR293" s="19">
        <f t="shared" si="198"/>
        <v>169.48000000000002</v>
      </c>
      <c r="AS293" s="19" t="e">
        <f t="shared" si="199"/>
        <v>#N/A</v>
      </c>
      <c r="AT293"/>
      <c r="AU293"/>
      <c r="AV293"/>
      <c r="AW293"/>
      <c r="AX293"/>
      <c r="AY293"/>
      <c r="AZ293"/>
      <c r="BA293"/>
      <c r="BB293"/>
      <c r="BC293"/>
      <c r="BD293"/>
      <c r="BE293"/>
      <c r="BF293"/>
      <c r="BG293"/>
      <c r="BH293"/>
      <c r="BI293"/>
      <c r="BJ293"/>
      <c r="BK293"/>
      <c r="BL293"/>
      <c r="BM293"/>
      <c r="BN293"/>
      <c r="BO293"/>
      <c r="BP293"/>
      <c r="BQ293"/>
      <c r="CB293"/>
      <c r="CC293"/>
      <c r="CD293"/>
      <c r="CE293"/>
      <c r="CJ293"/>
      <c r="CK293"/>
      <c r="CL293"/>
      <c r="CM293"/>
      <c r="CN293"/>
    </row>
    <row r="294" spans="14:92" ht="11.25" customHeight="1" x14ac:dyDescent="0.2">
      <c r="N294" s="19">
        <v>184</v>
      </c>
      <c r="O294" s="19">
        <f t="shared" si="181"/>
        <v>966.81499999999085</v>
      </c>
      <c r="P294" s="19">
        <f t="shared" si="182"/>
        <v>766.81499999999085</v>
      </c>
      <c r="Q294"/>
      <c r="R294" s="19">
        <f t="shared" si="183"/>
        <v>566.81499999999733</v>
      </c>
      <c r="S294"/>
      <c r="T294"/>
      <c r="U294"/>
      <c r="V294"/>
      <c r="W294"/>
      <c r="X294"/>
      <c r="Y294"/>
      <c r="Z294" s="19">
        <f t="shared" si="184"/>
        <v>362.79000000000121</v>
      </c>
      <c r="AA294" s="19">
        <f t="shared" si="185"/>
        <v>162.79000000000082</v>
      </c>
      <c r="AB294" s="19" t="e">
        <f t="shared" si="186"/>
        <v>#N/A</v>
      </c>
      <c r="AC294"/>
      <c r="AD294"/>
      <c r="AE294" s="19">
        <v>203</v>
      </c>
      <c r="AG294" s="19">
        <f t="shared" si="187"/>
        <v>11</v>
      </c>
      <c r="AH294" s="19">
        <f t="shared" si="188"/>
        <v>-1</v>
      </c>
      <c r="AI294" s="19">
        <f t="shared" si="189"/>
        <v>26.565000000000001</v>
      </c>
      <c r="AJ294" s="410">
        <f t="shared" si="190"/>
        <v>815.08</v>
      </c>
      <c r="AK294" s="19" t="e">
        <f t="shared" si="191"/>
        <v>#N/A</v>
      </c>
      <c r="AL294" s="19">
        <f t="shared" si="192"/>
        <v>615.08000000000004</v>
      </c>
      <c r="AM294" s="19" t="e">
        <f t="shared" si="193"/>
        <v>#N/A</v>
      </c>
      <c r="AN294" s="19">
        <f t="shared" si="194"/>
        <v>415.08</v>
      </c>
      <c r="AO294" s="19" t="e">
        <f t="shared" si="195"/>
        <v>#N/A</v>
      </c>
      <c r="AP294" s="19">
        <f t="shared" si="196"/>
        <v>215.07999999999998</v>
      </c>
      <c r="AQ294" s="19" t="e">
        <f t="shared" si="197"/>
        <v>#N/A</v>
      </c>
      <c r="AR294" s="19">
        <f t="shared" si="198"/>
        <v>15.079999999999998</v>
      </c>
      <c r="AS294" s="19" t="e">
        <f t="shared" si="199"/>
        <v>#N/A</v>
      </c>
      <c r="AT294"/>
      <c r="AU294"/>
      <c r="AV294"/>
      <c r="AW294"/>
      <c r="AX294"/>
      <c r="AY294"/>
      <c r="AZ294"/>
      <c r="BA294"/>
      <c r="BB294"/>
      <c r="BC294"/>
      <c r="BD294"/>
      <c r="BE294"/>
      <c r="BF294"/>
      <c r="BG294"/>
      <c r="BH294"/>
      <c r="BI294"/>
      <c r="BJ294"/>
      <c r="BK294"/>
      <c r="BL294"/>
      <c r="BM294"/>
      <c r="BN294"/>
      <c r="BO294"/>
      <c r="BP294"/>
      <c r="BQ294"/>
      <c r="CB294"/>
      <c r="CC294"/>
      <c r="CD294"/>
      <c r="CE294"/>
      <c r="CJ294"/>
      <c r="CK294"/>
      <c r="CL294"/>
      <c r="CM294"/>
      <c r="CN294"/>
    </row>
    <row r="295" spans="14:92" ht="11.25" customHeight="1" x14ac:dyDescent="0.2">
      <c r="N295" s="19">
        <v>185</v>
      </c>
      <c r="O295" s="19">
        <f t="shared" si="181"/>
        <v>967.6199999999908</v>
      </c>
      <c r="P295" s="19">
        <f t="shared" si="182"/>
        <v>767.6199999999908</v>
      </c>
      <c r="Q295"/>
      <c r="R295" s="19">
        <f t="shared" si="183"/>
        <v>567.61999999999728</v>
      </c>
      <c r="S295"/>
      <c r="T295"/>
      <c r="U295"/>
      <c r="V295"/>
      <c r="W295"/>
      <c r="X295"/>
      <c r="Y295"/>
      <c r="Z295" s="19">
        <f t="shared" si="184"/>
        <v>363.59500000000122</v>
      </c>
      <c r="AA295" s="19">
        <f t="shared" si="185"/>
        <v>163.59500000000082</v>
      </c>
      <c r="AB295" s="19" t="e">
        <f t="shared" si="186"/>
        <v>#N/A</v>
      </c>
      <c r="AC295"/>
      <c r="AD295"/>
      <c r="AE295" s="19">
        <v>204</v>
      </c>
      <c r="AG295" s="19">
        <f t="shared" si="187"/>
        <v>11</v>
      </c>
      <c r="AH295" s="19">
        <f t="shared" si="188"/>
        <v>1</v>
      </c>
      <c r="AI295" s="19">
        <f t="shared" si="189"/>
        <v>26.565000000000001</v>
      </c>
      <c r="AJ295" s="410">
        <f t="shared" si="190"/>
        <v>984.92</v>
      </c>
      <c r="AK295" s="19" t="e">
        <f t="shared" si="191"/>
        <v>#N/A</v>
      </c>
      <c r="AL295" s="19">
        <f t="shared" si="192"/>
        <v>784.92</v>
      </c>
      <c r="AM295" s="19" t="e">
        <f t="shared" si="193"/>
        <v>#N/A</v>
      </c>
      <c r="AN295" s="19">
        <f t="shared" si="194"/>
        <v>584.91999999999996</v>
      </c>
      <c r="AO295" s="19" t="e">
        <f t="shared" si="195"/>
        <v>#N/A</v>
      </c>
      <c r="AP295" s="19">
        <f t="shared" si="196"/>
        <v>384.92</v>
      </c>
      <c r="AQ295" s="19" t="e">
        <f t="shared" si="197"/>
        <v>#N/A</v>
      </c>
      <c r="AR295" s="19">
        <f t="shared" si="198"/>
        <v>184.92000000000002</v>
      </c>
      <c r="AS295" s="19" t="e">
        <f t="shared" si="199"/>
        <v>#N/A</v>
      </c>
      <c r="AT295"/>
      <c r="AU295"/>
      <c r="AV295"/>
      <c r="AW295"/>
      <c r="AX295"/>
      <c r="AY295"/>
      <c r="AZ295"/>
      <c r="BA295"/>
      <c r="BB295"/>
      <c r="BC295"/>
      <c r="BD295"/>
      <c r="BE295"/>
      <c r="BF295"/>
      <c r="BG295"/>
      <c r="BH295"/>
      <c r="BI295"/>
      <c r="BJ295"/>
      <c r="BK295"/>
      <c r="BL295"/>
      <c r="BM295"/>
      <c r="BN295"/>
      <c r="BO295"/>
      <c r="BP295"/>
      <c r="BQ295"/>
      <c r="CB295"/>
      <c r="CC295"/>
      <c r="CD295"/>
      <c r="CE295"/>
      <c r="CJ295"/>
      <c r="CK295"/>
      <c r="CL295"/>
      <c r="CM295"/>
      <c r="CN295"/>
    </row>
    <row r="296" spans="14:92" ht="11.25" customHeight="1" x14ac:dyDescent="0.2">
      <c r="N296" s="19">
        <v>186</v>
      </c>
      <c r="O296" s="19">
        <f t="shared" si="181"/>
        <v>968.42499999999075</v>
      </c>
      <c r="P296" s="19">
        <f t="shared" si="182"/>
        <v>768.42499999999075</v>
      </c>
      <c r="Q296"/>
      <c r="R296" s="19">
        <f t="shared" si="183"/>
        <v>568.42499999999723</v>
      </c>
      <c r="S296"/>
      <c r="T296"/>
      <c r="U296"/>
      <c r="V296"/>
      <c r="W296"/>
      <c r="X296"/>
      <c r="Y296"/>
      <c r="Z296" s="19">
        <f t="shared" si="184"/>
        <v>364.40000000000123</v>
      </c>
      <c r="AA296" s="19">
        <f t="shared" si="185"/>
        <v>164.40000000000083</v>
      </c>
      <c r="AB296" s="19" t="e">
        <f t="shared" si="186"/>
        <v>#N/A</v>
      </c>
      <c r="AC296"/>
      <c r="AD296"/>
      <c r="AE296" s="19">
        <v>205</v>
      </c>
      <c r="AG296" s="19">
        <f t="shared" si="187"/>
        <v>1</v>
      </c>
      <c r="AH296" s="19">
        <f t="shared" si="188"/>
        <v>-1</v>
      </c>
      <c r="AI296" s="19">
        <f t="shared" si="189"/>
        <v>28.175000000000001</v>
      </c>
      <c r="AJ296" s="410">
        <f t="shared" si="190"/>
        <v>892.28</v>
      </c>
      <c r="AK296" s="19" t="e">
        <f t="shared" si="191"/>
        <v>#N/A</v>
      </c>
      <c r="AL296" s="19">
        <f t="shared" si="192"/>
        <v>692.28</v>
      </c>
      <c r="AM296" s="19" t="e">
        <f t="shared" si="193"/>
        <v>#N/A</v>
      </c>
      <c r="AN296" s="19">
        <f t="shared" si="194"/>
        <v>492.28</v>
      </c>
      <c r="AO296" s="19" t="e">
        <f t="shared" si="195"/>
        <v>#N/A</v>
      </c>
      <c r="AP296" s="19">
        <f t="shared" si="196"/>
        <v>292.27999999999997</v>
      </c>
      <c r="AQ296" s="19" t="e">
        <f t="shared" si="197"/>
        <v>#N/A</v>
      </c>
      <c r="AR296" s="19">
        <f t="shared" si="198"/>
        <v>92.28</v>
      </c>
      <c r="AS296" s="19" t="e">
        <f t="shared" si="199"/>
        <v>#N/A</v>
      </c>
      <c r="AT296"/>
      <c r="AU296"/>
      <c r="AV296"/>
      <c r="AW296"/>
      <c r="AX296"/>
      <c r="AY296"/>
      <c r="AZ296"/>
      <c r="BA296"/>
      <c r="BB296"/>
      <c r="BC296"/>
      <c r="BD296"/>
      <c r="BE296"/>
      <c r="BF296"/>
      <c r="BG296"/>
      <c r="BH296"/>
      <c r="BI296"/>
      <c r="BJ296"/>
      <c r="BK296"/>
      <c r="BL296"/>
      <c r="BM296"/>
      <c r="BN296"/>
      <c r="BO296"/>
      <c r="BP296"/>
      <c r="BQ296"/>
      <c r="CB296"/>
      <c r="CC296"/>
      <c r="CD296"/>
      <c r="CE296"/>
      <c r="CJ296"/>
      <c r="CK296"/>
      <c r="CL296"/>
      <c r="CM296"/>
      <c r="CN296"/>
    </row>
    <row r="297" spans="14:92" ht="11.25" customHeight="1" x14ac:dyDescent="0.2">
      <c r="N297" s="19">
        <v>187</v>
      </c>
      <c r="O297" s="19">
        <f t="shared" si="181"/>
        <v>969.2299999999907</v>
      </c>
      <c r="P297" s="19">
        <f t="shared" si="182"/>
        <v>769.2299999999907</v>
      </c>
      <c r="Q297"/>
      <c r="R297" s="19">
        <f t="shared" si="183"/>
        <v>569.22999999999718</v>
      </c>
      <c r="S297"/>
      <c r="T297"/>
      <c r="U297"/>
      <c r="V297"/>
      <c r="W297"/>
      <c r="X297"/>
      <c r="Y297"/>
      <c r="Z297" s="19">
        <f t="shared" si="184"/>
        <v>365.20500000000123</v>
      </c>
      <c r="AA297" s="19">
        <f t="shared" si="185"/>
        <v>165.20500000000084</v>
      </c>
      <c r="AB297" s="19" t="e">
        <f t="shared" si="186"/>
        <v>#N/A</v>
      </c>
      <c r="AC297"/>
      <c r="AD297"/>
      <c r="AE297" s="19">
        <v>206</v>
      </c>
      <c r="AG297" s="19">
        <f t="shared" si="187"/>
        <v>1</v>
      </c>
      <c r="AH297" s="19">
        <f t="shared" si="188"/>
        <v>1</v>
      </c>
      <c r="AI297" s="19">
        <f t="shared" si="189"/>
        <v>28.175000000000001</v>
      </c>
      <c r="AJ297" s="410">
        <f t="shared" si="190"/>
        <v>907.72</v>
      </c>
      <c r="AK297" s="19" t="e">
        <f t="shared" si="191"/>
        <v>#N/A</v>
      </c>
      <c r="AL297" s="19">
        <f t="shared" si="192"/>
        <v>707.72</v>
      </c>
      <c r="AM297" s="19" t="e">
        <f t="shared" si="193"/>
        <v>#N/A</v>
      </c>
      <c r="AN297" s="19">
        <f t="shared" si="194"/>
        <v>507.72</v>
      </c>
      <c r="AO297" s="19" t="e">
        <f t="shared" si="195"/>
        <v>#N/A</v>
      </c>
      <c r="AP297" s="19">
        <f t="shared" si="196"/>
        <v>307.72000000000003</v>
      </c>
      <c r="AQ297" s="19" t="e">
        <f t="shared" si="197"/>
        <v>#N/A</v>
      </c>
      <c r="AR297" s="19">
        <f t="shared" si="198"/>
        <v>107.72</v>
      </c>
      <c r="AS297" s="19" t="e">
        <f t="shared" si="199"/>
        <v>#N/A</v>
      </c>
      <c r="AT297"/>
      <c r="AU297"/>
      <c r="AV297"/>
      <c r="AW297"/>
      <c r="AX297"/>
      <c r="AY297"/>
      <c r="AZ297"/>
      <c r="BA297"/>
      <c r="BB297"/>
      <c r="BC297"/>
      <c r="BD297"/>
      <c r="BE297"/>
      <c r="BF297"/>
      <c r="BG297"/>
      <c r="BH297"/>
      <c r="BI297"/>
      <c r="BJ297"/>
      <c r="BK297"/>
      <c r="BL297"/>
      <c r="BM297"/>
      <c r="BN297"/>
      <c r="BO297"/>
      <c r="BP297"/>
      <c r="BQ297"/>
      <c r="CB297"/>
      <c r="CC297"/>
      <c r="CD297"/>
      <c r="CE297"/>
      <c r="CJ297"/>
      <c r="CK297"/>
      <c r="CL297"/>
      <c r="CM297"/>
      <c r="CN297"/>
    </row>
    <row r="298" spans="14:92" ht="11.25" customHeight="1" x14ac:dyDescent="0.2">
      <c r="N298" s="19">
        <v>188</v>
      </c>
      <c r="O298" s="19">
        <f t="shared" si="181"/>
        <v>970.03499999999065</v>
      </c>
      <c r="P298" s="19">
        <f t="shared" si="182"/>
        <v>770.03499999999065</v>
      </c>
      <c r="Q298"/>
      <c r="R298" s="19">
        <f t="shared" si="183"/>
        <v>570.03499999999713</v>
      </c>
      <c r="S298"/>
      <c r="T298"/>
      <c r="U298"/>
      <c r="V298"/>
      <c r="W298"/>
      <c r="X298"/>
      <c r="Y298"/>
      <c r="Z298" s="19">
        <f t="shared" si="184"/>
        <v>366.01000000000124</v>
      </c>
      <c r="AA298" s="19">
        <f t="shared" si="185"/>
        <v>166.01000000000084</v>
      </c>
      <c r="AB298" s="19" t="e">
        <f t="shared" si="186"/>
        <v>#N/A</v>
      </c>
      <c r="AC298"/>
      <c r="AD298"/>
      <c r="AE298" s="19">
        <v>207</v>
      </c>
      <c r="AG298" s="19">
        <f t="shared" si="187"/>
        <v>3</v>
      </c>
      <c r="AH298" s="19">
        <f t="shared" si="188"/>
        <v>-1</v>
      </c>
      <c r="AI298" s="19">
        <f t="shared" si="189"/>
        <v>28.175000000000001</v>
      </c>
      <c r="AJ298" s="410">
        <f t="shared" si="190"/>
        <v>876.84</v>
      </c>
      <c r="AK298" s="19" t="e">
        <f t="shared" si="191"/>
        <v>#N/A</v>
      </c>
      <c r="AL298" s="19">
        <f t="shared" si="192"/>
        <v>676.84</v>
      </c>
      <c r="AM298" s="19" t="e">
        <f t="shared" si="193"/>
        <v>#N/A</v>
      </c>
      <c r="AN298" s="19">
        <f t="shared" si="194"/>
        <v>476.84</v>
      </c>
      <c r="AO298" s="19" t="e">
        <f t="shared" si="195"/>
        <v>#N/A</v>
      </c>
      <c r="AP298" s="19">
        <f t="shared" si="196"/>
        <v>276.83999999999997</v>
      </c>
      <c r="AQ298" s="19" t="e">
        <f t="shared" si="197"/>
        <v>#N/A</v>
      </c>
      <c r="AR298" s="19">
        <f t="shared" si="198"/>
        <v>76.84</v>
      </c>
      <c r="AS298" s="19" t="e">
        <f t="shared" si="199"/>
        <v>#N/A</v>
      </c>
      <c r="AT298"/>
      <c r="AU298"/>
      <c r="AV298"/>
      <c r="AW298"/>
      <c r="AX298"/>
      <c r="AY298"/>
      <c r="AZ298"/>
      <c r="BA298"/>
      <c r="BB298"/>
      <c r="BC298"/>
      <c r="BD298"/>
      <c r="BE298"/>
      <c r="BF298"/>
      <c r="BG298"/>
      <c r="BH298"/>
      <c r="BI298"/>
      <c r="BJ298"/>
      <c r="BK298"/>
      <c r="BL298"/>
      <c r="BM298"/>
      <c r="BN298"/>
      <c r="BO298"/>
      <c r="BP298"/>
      <c r="BQ298"/>
      <c r="CB298"/>
      <c r="CC298"/>
      <c r="CD298"/>
      <c r="CE298"/>
      <c r="CJ298"/>
      <c r="CK298"/>
      <c r="CL298"/>
      <c r="CM298"/>
      <c r="CN298"/>
    </row>
    <row r="299" spans="14:92" ht="11.25" customHeight="1" x14ac:dyDescent="0.2">
      <c r="N299" s="19">
        <v>189</v>
      </c>
      <c r="O299" s="19">
        <f t="shared" si="181"/>
        <v>970.8399999999906</v>
      </c>
      <c r="P299" s="19">
        <f t="shared" si="182"/>
        <v>770.8399999999906</v>
      </c>
      <c r="Q299"/>
      <c r="R299" s="19">
        <f t="shared" si="183"/>
        <v>570.83999999999708</v>
      </c>
      <c r="S299"/>
      <c r="T299"/>
      <c r="U299"/>
      <c r="V299"/>
      <c r="W299"/>
      <c r="X299"/>
      <c r="Y299"/>
      <c r="Z299" s="19">
        <f t="shared" si="184"/>
        <v>366.81500000000125</v>
      </c>
      <c r="AA299" s="19">
        <f t="shared" si="185"/>
        <v>166.81500000000085</v>
      </c>
      <c r="AB299" s="19" t="e">
        <f t="shared" si="186"/>
        <v>#N/A</v>
      </c>
      <c r="AC299"/>
      <c r="AD299"/>
      <c r="AE299" s="19">
        <v>208</v>
      </c>
      <c r="AG299" s="19">
        <f t="shared" si="187"/>
        <v>3</v>
      </c>
      <c r="AH299" s="19">
        <f t="shared" si="188"/>
        <v>1</v>
      </c>
      <c r="AI299" s="19">
        <f t="shared" si="189"/>
        <v>28.175000000000001</v>
      </c>
      <c r="AJ299" s="410">
        <f t="shared" si="190"/>
        <v>923.16</v>
      </c>
      <c r="AK299" s="19" t="e">
        <f t="shared" si="191"/>
        <v>#N/A</v>
      </c>
      <c r="AL299" s="19">
        <f t="shared" si="192"/>
        <v>723.16</v>
      </c>
      <c r="AM299" s="19" t="e">
        <f t="shared" si="193"/>
        <v>#N/A</v>
      </c>
      <c r="AN299" s="19">
        <f t="shared" si="194"/>
        <v>523.16</v>
      </c>
      <c r="AO299" s="19" t="e">
        <f t="shared" si="195"/>
        <v>#N/A</v>
      </c>
      <c r="AP299" s="19">
        <f t="shared" si="196"/>
        <v>323.16000000000003</v>
      </c>
      <c r="AQ299" s="19" t="e">
        <f t="shared" si="197"/>
        <v>#N/A</v>
      </c>
      <c r="AR299" s="19">
        <f t="shared" si="198"/>
        <v>123.16</v>
      </c>
      <c r="AS299" s="19" t="e">
        <f t="shared" si="199"/>
        <v>#N/A</v>
      </c>
      <c r="AT299"/>
      <c r="AU299"/>
      <c r="AV299"/>
      <c r="AW299"/>
      <c r="AX299"/>
      <c r="AY299"/>
      <c r="AZ299"/>
      <c r="BA299"/>
      <c r="BB299"/>
      <c r="BC299"/>
      <c r="BD299"/>
      <c r="BE299"/>
      <c r="BF299"/>
      <c r="BG299"/>
      <c r="BH299"/>
      <c r="BI299"/>
      <c r="BJ299"/>
      <c r="BK299"/>
      <c r="BL299"/>
      <c r="BM299"/>
      <c r="BN299"/>
      <c r="BO299"/>
      <c r="BP299"/>
      <c r="BQ299"/>
      <c r="CB299"/>
      <c r="CC299"/>
      <c r="CD299"/>
      <c r="CE299"/>
      <c r="CJ299"/>
      <c r="CK299"/>
      <c r="CL299"/>
      <c r="CM299"/>
      <c r="CN299"/>
    </row>
    <row r="300" spans="14:92" ht="11.25" customHeight="1" x14ac:dyDescent="0.2">
      <c r="N300" s="19">
        <v>190</v>
      </c>
      <c r="O300" s="19">
        <f t="shared" si="181"/>
        <v>971.64499999999055</v>
      </c>
      <c r="P300" s="19">
        <f t="shared" si="182"/>
        <v>771.64499999999055</v>
      </c>
      <c r="Q300"/>
      <c r="R300" s="19">
        <f t="shared" si="183"/>
        <v>571.64499999999703</v>
      </c>
      <c r="S300"/>
      <c r="T300"/>
      <c r="U300"/>
      <c r="V300"/>
      <c r="W300"/>
      <c r="X300"/>
      <c r="Y300"/>
      <c r="Z300" s="19">
        <f t="shared" si="184"/>
        <v>367.62000000000126</v>
      </c>
      <c r="AA300" s="19">
        <f t="shared" si="185"/>
        <v>167.62000000000086</v>
      </c>
      <c r="AB300" s="19" t="e">
        <f t="shared" si="186"/>
        <v>#N/A</v>
      </c>
      <c r="AC300"/>
      <c r="AD300"/>
      <c r="AE300" s="19">
        <v>209</v>
      </c>
      <c r="AG300" s="19">
        <f t="shared" si="187"/>
        <v>5</v>
      </c>
      <c r="AH300" s="19">
        <f t="shared" si="188"/>
        <v>-1</v>
      </c>
      <c r="AI300" s="19">
        <f t="shared" si="189"/>
        <v>28.175000000000001</v>
      </c>
      <c r="AJ300" s="410">
        <f t="shared" si="190"/>
        <v>861.4</v>
      </c>
      <c r="AK300" s="19" t="e">
        <f t="shared" si="191"/>
        <v>#N/A</v>
      </c>
      <c r="AL300" s="19">
        <f t="shared" si="192"/>
        <v>661.4</v>
      </c>
      <c r="AM300" s="19" t="e">
        <f t="shared" si="193"/>
        <v>#N/A</v>
      </c>
      <c r="AN300" s="19">
        <f t="shared" si="194"/>
        <v>461.4</v>
      </c>
      <c r="AO300" s="19" t="e">
        <f t="shared" si="195"/>
        <v>#N/A</v>
      </c>
      <c r="AP300" s="19">
        <f t="shared" si="196"/>
        <v>261.39999999999998</v>
      </c>
      <c r="AQ300" s="19" t="e">
        <f t="shared" si="197"/>
        <v>#N/A</v>
      </c>
      <c r="AR300" s="19">
        <f t="shared" si="198"/>
        <v>61.4</v>
      </c>
      <c r="AS300" s="19" t="e">
        <f t="shared" si="199"/>
        <v>#N/A</v>
      </c>
      <c r="AT300"/>
      <c r="AU300"/>
      <c r="AV300"/>
      <c r="AW300"/>
      <c r="AX300"/>
      <c r="AY300"/>
      <c r="AZ300"/>
      <c r="BA300"/>
      <c r="BB300"/>
      <c r="BC300"/>
      <c r="BD300"/>
      <c r="BE300"/>
      <c r="BF300"/>
      <c r="BG300"/>
      <c r="BH300"/>
      <c r="BI300"/>
      <c r="BJ300"/>
      <c r="BK300"/>
      <c r="BL300"/>
      <c r="BM300"/>
      <c r="BN300"/>
      <c r="BO300"/>
      <c r="BP300"/>
      <c r="BQ300"/>
      <c r="CB300"/>
      <c r="CC300"/>
      <c r="CD300"/>
      <c r="CE300"/>
      <c r="CJ300"/>
      <c r="CK300"/>
      <c r="CL300"/>
      <c r="CM300"/>
      <c r="CN300"/>
    </row>
    <row r="301" spans="14:92" ht="11.25" customHeight="1" x14ac:dyDescent="0.2">
      <c r="N301" s="19">
        <v>191</v>
      </c>
      <c r="O301" s="19">
        <f t="shared" si="181"/>
        <v>972.4499999999905</v>
      </c>
      <c r="P301" s="19">
        <f t="shared" si="182"/>
        <v>772.4499999999905</v>
      </c>
      <c r="Q301"/>
      <c r="R301" s="19">
        <f t="shared" si="183"/>
        <v>572.44999999999698</v>
      </c>
      <c r="S301"/>
      <c r="T301"/>
      <c r="U301"/>
      <c r="V301"/>
      <c r="W301"/>
      <c r="X301"/>
      <c r="Y301"/>
      <c r="Z301" s="19">
        <f t="shared" si="184"/>
        <v>368.42500000000126</v>
      </c>
      <c r="AA301" s="19">
        <f t="shared" si="185"/>
        <v>168.42500000000086</v>
      </c>
      <c r="AB301" s="19" t="e">
        <f t="shared" si="186"/>
        <v>#N/A</v>
      </c>
      <c r="AC301"/>
      <c r="AD301"/>
      <c r="AE301" s="19">
        <v>210</v>
      </c>
      <c r="AG301" s="19">
        <f t="shared" si="187"/>
        <v>5</v>
      </c>
      <c r="AH301" s="19">
        <f t="shared" si="188"/>
        <v>1</v>
      </c>
      <c r="AI301" s="19">
        <f t="shared" si="189"/>
        <v>28.175000000000001</v>
      </c>
      <c r="AJ301" s="410">
        <f t="shared" si="190"/>
        <v>938.6</v>
      </c>
      <c r="AK301" s="19" t="e">
        <f t="shared" si="191"/>
        <v>#N/A</v>
      </c>
      <c r="AL301" s="19">
        <f t="shared" si="192"/>
        <v>738.6</v>
      </c>
      <c r="AM301" s="19" t="e">
        <f t="shared" si="193"/>
        <v>#N/A</v>
      </c>
      <c r="AN301" s="19">
        <f t="shared" si="194"/>
        <v>538.6</v>
      </c>
      <c r="AO301" s="19" t="e">
        <f t="shared" si="195"/>
        <v>#N/A</v>
      </c>
      <c r="AP301" s="19">
        <f t="shared" si="196"/>
        <v>338.6</v>
      </c>
      <c r="AQ301" s="19" t="e">
        <f t="shared" si="197"/>
        <v>#N/A</v>
      </c>
      <c r="AR301" s="19">
        <f t="shared" si="198"/>
        <v>138.6</v>
      </c>
      <c r="AS301" s="19" t="e">
        <f t="shared" si="199"/>
        <v>#N/A</v>
      </c>
      <c r="AT301"/>
      <c r="AU301"/>
      <c r="AV301"/>
      <c r="AW301"/>
      <c r="AX301"/>
      <c r="AY301"/>
      <c r="AZ301"/>
      <c r="BA301"/>
      <c r="BB301"/>
      <c r="BC301"/>
      <c r="BD301"/>
      <c r="BE301"/>
      <c r="BF301"/>
      <c r="BG301"/>
      <c r="BH301"/>
      <c r="BI301"/>
      <c r="BJ301"/>
      <c r="BK301"/>
      <c r="BL301"/>
      <c r="BM301"/>
      <c r="BN301"/>
      <c r="BO301"/>
      <c r="BP301"/>
      <c r="BQ301"/>
      <c r="CB301"/>
      <c r="CC301"/>
      <c r="CD301"/>
      <c r="CE301"/>
      <c r="CJ301"/>
      <c r="CK301"/>
      <c r="CL301"/>
      <c r="CM301"/>
      <c r="CN301"/>
    </row>
    <row r="302" spans="14:92" ht="11.25" customHeight="1" x14ac:dyDescent="0.2">
      <c r="N302" s="19">
        <v>192</v>
      </c>
      <c r="O302" s="19">
        <f t="shared" si="181"/>
        <v>973.25499999999045</v>
      </c>
      <c r="P302" s="19">
        <f t="shared" si="182"/>
        <v>773.25499999999045</v>
      </c>
      <c r="Q302"/>
      <c r="R302" s="19">
        <f t="shared" si="183"/>
        <v>573.25499999999693</v>
      </c>
      <c r="S302"/>
      <c r="T302"/>
      <c r="U302"/>
      <c r="V302"/>
      <c r="W302"/>
      <c r="X302"/>
      <c r="Y302"/>
      <c r="Z302" s="19">
        <f t="shared" si="184"/>
        <v>369.23000000000127</v>
      </c>
      <c r="AA302" s="19">
        <f t="shared" si="185"/>
        <v>169.23000000000087</v>
      </c>
      <c r="AB302" s="19" t="e">
        <f t="shared" si="186"/>
        <v>#N/A</v>
      </c>
      <c r="AC302"/>
      <c r="AD302"/>
      <c r="AE302" s="19">
        <v>211</v>
      </c>
      <c r="AG302" s="19">
        <f t="shared" si="187"/>
        <v>7</v>
      </c>
      <c r="AH302" s="19">
        <f t="shared" si="188"/>
        <v>-1</v>
      </c>
      <c r="AI302" s="19">
        <f t="shared" si="189"/>
        <v>28.175000000000001</v>
      </c>
      <c r="AJ302" s="410">
        <f t="shared" si="190"/>
        <v>845.96</v>
      </c>
      <c r="AK302" s="19" t="e">
        <f t="shared" si="191"/>
        <v>#N/A</v>
      </c>
      <c r="AL302" s="19">
        <f t="shared" si="192"/>
        <v>645.96</v>
      </c>
      <c r="AM302" s="19" t="e">
        <f t="shared" si="193"/>
        <v>#N/A</v>
      </c>
      <c r="AN302" s="19">
        <f t="shared" si="194"/>
        <v>445.96</v>
      </c>
      <c r="AO302" s="19" t="e">
        <f t="shared" si="195"/>
        <v>#N/A</v>
      </c>
      <c r="AP302" s="19">
        <f t="shared" si="196"/>
        <v>245.96</v>
      </c>
      <c r="AQ302" s="19" t="e">
        <f t="shared" si="197"/>
        <v>#N/A</v>
      </c>
      <c r="AR302" s="19">
        <f t="shared" si="198"/>
        <v>45.96</v>
      </c>
      <c r="AS302" s="19" t="e">
        <f t="shared" si="199"/>
        <v>#N/A</v>
      </c>
      <c r="AT302"/>
      <c r="AU302"/>
      <c r="AV302"/>
      <c r="AW302"/>
      <c r="AX302"/>
      <c r="AY302"/>
      <c r="AZ302"/>
      <c r="BA302"/>
      <c r="BB302"/>
      <c r="BC302"/>
      <c r="BD302"/>
      <c r="BE302"/>
      <c r="BF302"/>
      <c r="BG302"/>
      <c r="BH302"/>
      <c r="BI302"/>
      <c r="BJ302"/>
      <c r="BK302"/>
      <c r="BL302"/>
      <c r="BM302"/>
      <c r="BN302"/>
      <c r="BO302"/>
      <c r="BP302"/>
      <c r="BQ302"/>
      <c r="CB302"/>
      <c r="CC302"/>
      <c r="CD302"/>
      <c r="CE302"/>
      <c r="CJ302"/>
      <c r="CK302"/>
      <c r="CL302"/>
      <c r="CM302"/>
      <c r="CN302"/>
    </row>
    <row r="303" spans="14:92" ht="11.25" customHeight="1" x14ac:dyDescent="0.2">
      <c r="N303" s="19">
        <v>193</v>
      </c>
      <c r="O303" s="19">
        <f t="shared" si="181"/>
        <v>974.0599999999904</v>
      </c>
      <c r="P303" s="19">
        <f t="shared" si="182"/>
        <v>774.0599999999904</v>
      </c>
      <c r="Q303"/>
      <c r="R303" s="19">
        <f t="shared" si="183"/>
        <v>574.05999999999688</v>
      </c>
      <c r="S303"/>
      <c r="T303"/>
      <c r="U303"/>
      <c r="V303"/>
      <c r="W303"/>
      <c r="X303"/>
      <c r="Y303"/>
      <c r="Z303" s="19">
        <f t="shared" si="184"/>
        <v>370.03500000000128</v>
      </c>
      <c r="AA303" s="19">
        <f t="shared" si="185"/>
        <v>170.03500000000088</v>
      </c>
      <c r="AB303" s="19" t="e">
        <f t="shared" si="186"/>
        <v>#N/A</v>
      </c>
      <c r="AC303"/>
      <c r="AD303"/>
      <c r="AE303" s="19">
        <v>212</v>
      </c>
      <c r="AG303" s="19">
        <f t="shared" si="187"/>
        <v>7</v>
      </c>
      <c r="AH303" s="19">
        <f t="shared" si="188"/>
        <v>1</v>
      </c>
      <c r="AI303" s="19">
        <f t="shared" si="189"/>
        <v>28.175000000000001</v>
      </c>
      <c r="AJ303" s="410">
        <f t="shared" si="190"/>
        <v>954.04</v>
      </c>
      <c r="AK303" s="19" t="e">
        <f t="shared" si="191"/>
        <v>#N/A</v>
      </c>
      <c r="AL303" s="19">
        <f t="shared" si="192"/>
        <v>754.04</v>
      </c>
      <c r="AM303" s="19" t="e">
        <f t="shared" si="193"/>
        <v>#N/A</v>
      </c>
      <c r="AN303" s="19">
        <f t="shared" si="194"/>
        <v>554.04</v>
      </c>
      <c r="AO303" s="19" t="e">
        <f t="shared" si="195"/>
        <v>#N/A</v>
      </c>
      <c r="AP303" s="19">
        <f t="shared" si="196"/>
        <v>354.04</v>
      </c>
      <c r="AQ303" s="19" t="e">
        <f t="shared" si="197"/>
        <v>#N/A</v>
      </c>
      <c r="AR303" s="19">
        <f t="shared" si="198"/>
        <v>154.04</v>
      </c>
      <c r="AS303" s="19" t="e">
        <f t="shared" si="199"/>
        <v>#N/A</v>
      </c>
      <c r="AT303"/>
      <c r="AU303"/>
      <c r="AV303"/>
      <c r="AW303"/>
      <c r="AX303"/>
      <c r="AY303"/>
      <c r="AZ303"/>
      <c r="BA303"/>
      <c r="BB303"/>
      <c r="BC303"/>
      <c r="BD303"/>
      <c r="BE303"/>
      <c r="BF303"/>
      <c r="BG303"/>
      <c r="BH303"/>
      <c r="BI303"/>
      <c r="BJ303"/>
      <c r="BK303"/>
      <c r="BL303"/>
      <c r="BM303"/>
      <c r="BN303"/>
      <c r="BO303"/>
      <c r="BP303"/>
      <c r="BQ303"/>
      <c r="CB303"/>
      <c r="CC303"/>
      <c r="CD303"/>
      <c r="CE303"/>
      <c r="CJ303"/>
      <c r="CK303"/>
      <c r="CL303"/>
      <c r="CM303"/>
      <c r="CN303"/>
    </row>
    <row r="304" spans="14:92" ht="11.25" customHeight="1" x14ac:dyDescent="0.2">
      <c r="N304" s="19">
        <v>194</v>
      </c>
      <c r="O304" s="19">
        <f t="shared" ref="O304:O311" si="200">O303+$P$108</f>
        <v>974.86499999999035</v>
      </c>
      <c r="P304" s="19">
        <f t="shared" ref="P304:P311" si="201">P303+$P$108</f>
        <v>774.86499999999035</v>
      </c>
      <c r="Q304"/>
      <c r="R304" s="19">
        <f t="shared" ref="R304:R311" si="202">R303+$P$108</f>
        <v>574.86499999999683</v>
      </c>
      <c r="S304"/>
      <c r="T304"/>
      <c r="U304"/>
      <c r="V304"/>
      <c r="W304"/>
      <c r="X304"/>
      <c r="Y304"/>
      <c r="Z304" s="19">
        <f t="shared" si="184"/>
        <v>370.84000000000128</v>
      </c>
      <c r="AA304" s="19">
        <f t="shared" si="185"/>
        <v>170.84000000000088</v>
      </c>
      <c r="AB304" s="19" t="e">
        <f t="shared" si="186"/>
        <v>#N/A</v>
      </c>
      <c r="AC304"/>
      <c r="AD304"/>
      <c r="AE304" s="19">
        <v>213</v>
      </c>
      <c r="AG304" s="19">
        <f t="shared" si="187"/>
        <v>9</v>
      </c>
      <c r="AH304" s="19">
        <f t="shared" si="188"/>
        <v>-1</v>
      </c>
      <c r="AI304" s="19">
        <f t="shared" si="189"/>
        <v>28.175000000000001</v>
      </c>
      <c r="AJ304" s="410">
        <f t="shared" si="190"/>
        <v>830.52</v>
      </c>
      <c r="AK304" s="19" t="e">
        <f t="shared" si="191"/>
        <v>#N/A</v>
      </c>
      <c r="AL304" s="19">
        <f t="shared" si="192"/>
        <v>630.52</v>
      </c>
      <c r="AM304" s="19" t="e">
        <f t="shared" si="193"/>
        <v>#N/A</v>
      </c>
      <c r="AN304" s="19">
        <f t="shared" si="194"/>
        <v>430.52</v>
      </c>
      <c r="AO304" s="19" t="e">
        <f t="shared" si="195"/>
        <v>#N/A</v>
      </c>
      <c r="AP304" s="19">
        <f t="shared" si="196"/>
        <v>230.51999999999998</v>
      </c>
      <c r="AQ304" s="19" t="e">
        <f t="shared" si="197"/>
        <v>#N/A</v>
      </c>
      <c r="AR304" s="19">
        <f t="shared" si="198"/>
        <v>30.519999999999996</v>
      </c>
      <c r="AS304" s="19" t="e">
        <f t="shared" si="199"/>
        <v>#N/A</v>
      </c>
      <c r="AT304"/>
      <c r="AU304"/>
      <c r="AV304"/>
      <c r="AW304"/>
      <c r="AX304"/>
      <c r="AY304"/>
      <c r="AZ304"/>
      <c r="BA304"/>
      <c r="BB304"/>
      <c r="BC304"/>
      <c r="BD304"/>
      <c r="BE304"/>
      <c r="BF304"/>
      <c r="BG304"/>
      <c r="BH304"/>
      <c r="BI304"/>
      <c r="BJ304"/>
      <c r="BK304"/>
      <c r="BL304"/>
      <c r="BM304"/>
      <c r="BN304"/>
      <c r="BO304"/>
      <c r="BP304"/>
      <c r="BQ304"/>
      <c r="CB304"/>
      <c r="CC304"/>
      <c r="CD304"/>
      <c r="CE304"/>
      <c r="CJ304"/>
      <c r="CK304"/>
      <c r="CL304"/>
      <c r="CM304"/>
      <c r="CN304"/>
    </row>
    <row r="305" spans="14:92" ht="11.25" customHeight="1" x14ac:dyDescent="0.2">
      <c r="N305" s="19">
        <v>195</v>
      </c>
      <c r="O305" s="19">
        <f t="shared" si="200"/>
        <v>975.6699999999903</v>
      </c>
      <c r="P305" s="19">
        <f t="shared" si="201"/>
        <v>775.6699999999903</v>
      </c>
      <c r="Q305"/>
      <c r="R305" s="19">
        <f t="shared" si="202"/>
        <v>575.66999999999678</v>
      </c>
      <c r="S305"/>
      <c r="T305"/>
      <c r="U305"/>
      <c r="V305"/>
      <c r="W305"/>
      <c r="X305"/>
      <c r="Y305"/>
      <c r="Z305" s="19">
        <f t="shared" si="184"/>
        <v>371.64500000000129</v>
      </c>
      <c r="AA305" s="19">
        <f t="shared" si="185"/>
        <v>171.64500000000089</v>
      </c>
      <c r="AB305" s="19" t="e">
        <f t="shared" si="186"/>
        <v>#N/A</v>
      </c>
      <c r="AC305"/>
      <c r="AD305"/>
      <c r="AE305" s="19">
        <v>214</v>
      </c>
      <c r="AG305" s="19">
        <f t="shared" si="187"/>
        <v>9</v>
      </c>
      <c r="AH305" s="19">
        <f t="shared" si="188"/>
        <v>1</v>
      </c>
      <c r="AI305" s="19">
        <f t="shared" si="189"/>
        <v>28.175000000000001</v>
      </c>
      <c r="AJ305" s="410">
        <f t="shared" si="190"/>
        <v>969.48</v>
      </c>
      <c r="AK305" s="19" t="e">
        <f t="shared" si="191"/>
        <v>#N/A</v>
      </c>
      <c r="AL305" s="19">
        <f t="shared" si="192"/>
        <v>769.48</v>
      </c>
      <c r="AM305" s="19" t="e">
        <f t="shared" si="193"/>
        <v>#N/A</v>
      </c>
      <c r="AN305" s="19">
        <f t="shared" si="194"/>
        <v>569.48</v>
      </c>
      <c r="AO305" s="19" t="e">
        <f t="shared" si="195"/>
        <v>#N/A</v>
      </c>
      <c r="AP305" s="19">
        <f t="shared" si="196"/>
        <v>369.48</v>
      </c>
      <c r="AQ305" s="19" t="e">
        <f t="shared" si="197"/>
        <v>#N/A</v>
      </c>
      <c r="AR305" s="19">
        <f t="shared" si="198"/>
        <v>169.48000000000002</v>
      </c>
      <c r="AS305" s="19" t="e">
        <f t="shared" si="199"/>
        <v>#N/A</v>
      </c>
      <c r="AT305"/>
      <c r="AU305"/>
      <c r="AV305"/>
      <c r="AW305"/>
      <c r="AX305"/>
      <c r="AY305"/>
      <c r="AZ305"/>
      <c r="BA305"/>
      <c r="BB305"/>
      <c r="BC305"/>
      <c r="BD305"/>
      <c r="BE305"/>
      <c r="BF305"/>
      <c r="BG305"/>
      <c r="BH305"/>
      <c r="BI305"/>
      <c r="BJ305"/>
      <c r="BK305"/>
      <c r="BL305"/>
      <c r="BM305"/>
      <c r="BN305"/>
      <c r="BO305"/>
      <c r="BP305"/>
      <c r="BQ305"/>
      <c r="CB305"/>
      <c r="CC305"/>
      <c r="CD305"/>
      <c r="CE305"/>
      <c r="CJ305"/>
      <c r="CK305"/>
      <c r="CL305"/>
      <c r="CM305"/>
      <c r="CN305"/>
    </row>
    <row r="306" spans="14:92" ht="11.25" customHeight="1" x14ac:dyDescent="0.2">
      <c r="N306" s="19">
        <v>196</v>
      </c>
      <c r="O306" s="19">
        <f t="shared" si="200"/>
        <v>976.47499999999025</v>
      </c>
      <c r="P306" s="19">
        <f t="shared" si="201"/>
        <v>776.47499999999025</v>
      </c>
      <c r="Q306"/>
      <c r="R306" s="19">
        <f t="shared" si="202"/>
        <v>576.47499999999673</v>
      </c>
      <c r="S306"/>
      <c r="T306"/>
      <c r="U306"/>
      <c r="V306"/>
      <c r="W306"/>
      <c r="X306"/>
      <c r="Y306"/>
      <c r="Z306" s="19">
        <f t="shared" si="184"/>
        <v>372.4500000000013</v>
      </c>
      <c r="AA306" s="19">
        <f t="shared" si="185"/>
        <v>172.4500000000009</v>
      </c>
      <c r="AB306" s="19" t="e">
        <f t="shared" si="186"/>
        <v>#N/A</v>
      </c>
      <c r="AC306"/>
      <c r="AD306"/>
      <c r="AE306" s="19">
        <v>215</v>
      </c>
      <c r="AG306" s="19">
        <f t="shared" si="187"/>
        <v>11</v>
      </c>
      <c r="AH306" s="19">
        <f t="shared" si="188"/>
        <v>-1</v>
      </c>
      <c r="AI306" s="19">
        <f t="shared" si="189"/>
        <v>28.175000000000001</v>
      </c>
      <c r="AJ306" s="410">
        <f t="shared" si="190"/>
        <v>815.08</v>
      </c>
      <c r="AK306" s="19" t="e">
        <f t="shared" si="191"/>
        <v>#N/A</v>
      </c>
      <c r="AL306" s="19">
        <f t="shared" si="192"/>
        <v>615.08000000000004</v>
      </c>
      <c r="AM306" s="19" t="e">
        <f t="shared" si="193"/>
        <v>#N/A</v>
      </c>
      <c r="AN306" s="19">
        <f t="shared" si="194"/>
        <v>415.08</v>
      </c>
      <c r="AO306" s="19" t="e">
        <f t="shared" si="195"/>
        <v>#N/A</v>
      </c>
      <c r="AP306" s="19">
        <f t="shared" si="196"/>
        <v>215.07999999999998</v>
      </c>
      <c r="AQ306" s="19" t="e">
        <f t="shared" si="197"/>
        <v>#N/A</v>
      </c>
      <c r="AR306" s="19">
        <f t="shared" si="198"/>
        <v>15.079999999999998</v>
      </c>
      <c r="AS306" s="19" t="e">
        <f t="shared" si="199"/>
        <v>#N/A</v>
      </c>
      <c r="AT306"/>
      <c r="AU306"/>
      <c r="AV306"/>
      <c r="AW306"/>
      <c r="AX306"/>
      <c r="AY306"/>
      <c r="AZ306"/>
      <c r="BA306"/>
      <c r="BB306"/>
      <c r="BC306"/>
      <c r="BD306"/>
      <c r="BE306"/>
      <c r="BF306"/>
      <c r="BG306"/>
      <c r="BH306"/>
      <c r="BI306"/>
      <c r="BJ306"/>
      <c r="BK306"/>
      <c r="BL306"/>
      <c r="BM306"/>
      <c r="BN306"/>
      <c r="BO306"/>
      <c r="BP306"/>
      <c r="BQ306"/>
      <c r="CB306"/>
      <c r="CC306"/>
      <c r="CD306"/>
      <c r="CE306"/>
      <c r="CJ306"/>
      <c r="CK306"/>
      <c r="CL306"/>
      <c r="CM306"/>
      <c r="CN306"/>
    </row>
    <row r="307" spans="14:92" ht="11.25" customHeight="1" x14ac:dyDescent="0.2">
      <c r="N307" s="19">
        <v>197</v>
      </c>
      <c r="O307" s="19">
        <f t="shared" si="200"/>
        <v>977.2799999999902</v>
      </c>
      <c r="P307" s="19">
        <f t="shared" si="201"/>
        <v>777.2799999999902</v>
      </c>
      <c r="Q307"/>
      <c r="R307" s="19">
        <f t="shared" si="202"/>
        <v>577.27999999999668</v>
      </c>
      <c r="S307"/>
      <c r="T307"/>
      <c r="U307"/>
      <c r="V307"/>
      <c r="W307"/>
      <c r="X307"/>
      <c r="Y307"/>
      <c r="Z307" s="19">
        <f t="shared" si="184"/>
        <v>373.2550000000013</v>
      </c>
      <c r="AA307" s="19">
        <f t="shared" si="185"/>
        <v>173.2550000000009</v>
      </c>
      <c r="AB307" s="19" t="e">
        <f t="shared" si="186"/>
        <v>#N/A</v>
      </c>
      <c r="AC307"/>
      <c r="AD307"/>
      <c r="AE307" s="19">
        <v>216</v>
      </c>
      <c r="AG307" s="19">
        <f t="shared" si="187"/>
        <v>11</v>
      </c>
      <c r="AH307" s="19">
        <f t="shared" si="188"/>
        <v>1</v>
      </c>
      <c r="AI307" s="19">
        <f t="shared" si="189"/>
        <v>28.175000000000001</v>
      </c>
      <c r="AJ307" s="410">
        <f t="shared" si="190"/>
        <v>984.92</v>
      </c>
      <c r="AK307" s="19" t="e">
        <f t="shared" si="191"/>
        <v>#N/A</v>
      </c>
      <c r="AL307" s="19">
        <f t="shared" si="192"/>
        <v>784.92</v>
      </c>
      <c r="AM307" s="19" t="e">
        <f t="shared" si="193"/>
        <v>#N/A</v>
      </c>
      <c r="AN307" s="19">
        <f t="shared" si="194"/>
        <v>584.91999999999996</v>
      </c>
      <c r="AO307" s="19" t="e">
        <f t="shared" si="195"/>
        <v>#N/A</v>
      </c>
      <c r="AP307" s="19">
        <f t="shared" si="196"/>
        <v>384.92</v>
      </c>
      <c r="AQ307" s="19" t="e">
        <f t="shared" si="197"/>
        <v>#N/A</v>
      </c>
      <c r="AR307" s="19">
        <f t="shared" si="198"/>
        <v>184.92000000000002</v>
      </c>
      <c r="AS307" s="19" t="e">
        <f t="shared" si="199"/>
        <v>#N/A</v>
      </c>
      <c r="AT307"/>
      <c r="AU307"/>
      <c r="AV307"/>
      <c r="AW307"/>
      <c r="AX307"/>
      <c r="AY307"/>
      <c r="AZ307"/>
      <c r="BA307"/>
      <c r="BB307"/>
      <c r="BC307"/>
      <c r="BD307"/>
      <c r="BE307"/>
      <c r="BF307"/>
      <c r="BG307"/>
      <c r="BH307"/>
      <c r="BI307"/>
      <c r="BJ307"/>
      <c r="BK307"/>
      <c r="BL307"/>
      <c r="BM307"/>
      <c r="BN307"/>
      <c r="BO307"/>
      <c r="BP307"/>
      <c r="BQ307"/>
      <c r="CB307"/>
      <c r="CC307"/>
      <c r="CD307"/>
      <c r="CE307"/>
      <c r="CJ307"/>
      <c r="CK307"/>
      <c r="CL307"/>
      <c r="CM307"/>
      <c r="CN307"/>
    </row>
    <row r="308" spans="14:92" ht="11.25" customHeight="1" x14ac:dyDescent="0.2">
      <c r="N308" s="19">
        <v>198</v>
      </c>
      <c r="O308" s="19">
        <f t="shared" si="200"/>
        <v>978.08499999999015</v>
      </c>
      <c r="P308" s="19">
        <f t="shared" si="201"/>
        <v>778.08499999999015</v>
      </c>
      <c r="Q308"/>
      <c r="R308" s="19">
        <f t="shared" si="202"/>
        <v>578.08499999999663</v>
      </c>
      <c r="S308"/>
      <c r="T308"/>
      <c r="U308"/>
      <c r="V308"/>
      <c r="W308"/>
      <c r="X308"/>
      <c r="Y308"/>
      <c r="Z308" s="19">
        <f t="shared" si="184"/>
        <v>374.06000000000131</v>
      </c>
      <c r="AA308" s="19">
        <f t="shared" si="185"/>
        <v>174.06000000000091</v>
      </c>
      <c r="AB308" s="19" t="e">
        <f t="shared" si="186"/>
        <v>#N/A</v>
      </c>
      <c r="AC308"/>
      <c r="AD308"/>
      <c r="AE308" s="19">
        <v>217</v>
      </c>
      <c r="AG308" s="19">
        <f t="shared" si="187"/>
        <v>1</v>
      </c>
      <c r="AH308" s="19">
        <f t="shared" si="188"/>
        <v>-1</v>
      </c>
      <c r="AI308" s="19">
        <f t="shared" si="189"/>
        <v>29.785</v>
      </c>
      <c r="AJ308" s="410">
        <f t="shared" si="190"/>
        <v>892.28</v>
      </c>
      <c r="AK308" s="19" t="e">
        <f t="shared" si="191"/>
        <v>#N/A</v>
      </c>
      <c r="AL308" s="19">
        <f t="shared" si="192"/>
        <v>692.28</v>
      </c>
      <c r="AM308" s="19" t="e">
        <f t="shared" si="193"/>
        <v>#N/A</v>
      </c>
      <c r="AN308" s="19">
        <f t="shared" si="194"/>
        <v>492.28</v>
      </c>
      <c r="AO308" s="19" t="e">
        <f t="shared" si="195"/>
        <v>#N/A</v>
      </c>
      <c r="AP308" s="19">
        <f t="shared" si="196"/>
        <v>292.27999999999997</v>
      </c>
      <c r="AQ308" s="19" t="e">
        <f t="shared" si="197"/>
        <v>#N/A</v>
      </c>
      <c r="AR308" s="19">
        <f t="shared" si="198"/>
        <v>92.28</v>
      </c>
      <c r="AS308" s="19" t="e">
        <f t="shared" si="199"/>
        <v>#N/A</v>
      </c>
      <c r="AT308"/>
      <c r="AU308"/>
      <c r="AV308"/>
      <c r="AW308"/>
      <c r="AX308"/>
      <c r="AY308"/>
      <c r="AZ308"/>
      <c r="BA308"/>
      <c r="BB308"/>
      <c r="BC308"/>
      <c r="BD308"/>
      <c r="BE308"/>
      <c r="BF308"/>
      <c r="BG308"/>
      <c r="BH308"/>
      <c r="BI308"/>
      <c r="BJ308"/>
      <c r="BK308"/>
      <c r="BL308"/>
      <c r="BM308"/>
      <c r="BN308"/>
      <c r="BO308"/>
      <c r="BP308"/>
      <c r="BQ308"/>
      <c r="CB308"/>
      <c r="CC308"/>
      <c r="CD308"/>
      <c r="CE308"/>
      <c r="CJ308"/>
      <c r="CK308"/>
      <c r="CL308"/>
      <c r="CM308"/>
      <c r="CN308"/>
    </row>
    <row r="309" spans="14:92" ht="11.25" customHeight="1" x14ac:dyDescent="0.2">
      <c r="N309" s="19">
        <v>199</v>
      </c>
      <c r="O309" s="19">
        <f t="shared" si="200"/>
        <v>978.8899999999901</v>
      </c>
      <c r="P309" s="19">
        <f t="shared" si="201"/>
        <v>778.8899999999901</v>
      </c>
      <c r="Q309"/>
      <c r="R309" s="19">
        <f t="shared" si="202"/>
        <v>578.88999999999658</v>
      </c>
      <c r="S309"/>
      <c r="T309"/>
      <c r="U309"/>
      <c r="V309"/>
      <c r="W309"/>
      <c r="X309"/>
      <c r="Y309"/>
      <c r="Z309" s="19">
        <f t="shared" ref="Z309:Z316" si="203">Z308+$P$108</f>
        <v>374.86500000000132</v>
      </c>
      <c r="AA309" s="19">
        <f t="shared" ref="AA309:AA316" si="204">AA308+$P$108</f>
        <v>174.86500000000092</v>
      </c>
      <c r="AB309" s="19" t="e">
        <f t="shared" ref="AB309:AB316" si="205">AB308</f>
        <v>#N/A</v>
      </c>
      <c r="AC309"/>
      <c r="AD309"/>
      <c r="AE309" s="19">
        <v>218</v>
      </c>
      <c r="AG309" s="19">
        <f t="shared" si="187"/>
        <v>1</v>
      </c>
      <c r="AH309" s="19">
        <f t="shared" si="188"/>
        <v>1</v>
      </c>
      <c r="AI309" s="19">
        <f t="shared" si="189"/>
        <v>29.785</v>
      </c>
      <c r="AJ309" s="410">
        <f t="shared" si="190"/>
        <v>907.72</v>
      </c>
      <c r="AK309" s="19" t="e">
        <f t="shared" si="191"/>
        <v>#N/A</v>
      </c>
      <c r="AL309" s="19">
        <f t="shared" si="192"/>
        <v>707.72</v>
      </c>
      <c r="AM309" s="19" t="e">
        <f t="shared" si="193"/>
        <v>#N/A</v>
      </c>
      <c r="AN309" s="19">
        <f t="shared" si="194"/>
        <v>507.72</v>
      </c>
      <c r="AO309" s="19" t="e">
        <f t="shared" si="195"/>
        <v>#N/A</v>
      </c>
      <c r="AP309" s="19">
        <f t="shared" si="196"/>
        <v>307.72000000000003</v>
      </c>
      <c r="AQ309" s="19" t="e">
        <f t="shared" si="197"/>
        <v>#N/A</v>
      </c>
      <c r="AR309" s="19">
        <f t="shared" si="198"/>
        <v>107.72</v>
      </c>
      <c r="AS309" s="19" t="e">
        <f t="shared" si="199"/>
        <v>#N/A</v>
      </c>
      <c r="AT309"/>
      <c r="AU309"/>
      <c r="AV309"/>
      <c r="AW309"/>
      <c r="AX309"/>
      <c r="AY309"/>
      <c r="AZ309"/>
      <c r="BA309"/>
      <c r="BB309"/>
      <c r="BC309"/>
      <c r="BD309"/>
      <c r="BE309"/>
      <c r="BF309"/>
      <c r="BG309"/>
      <c r="BH309"/>
      <c r="BI309"/>
      <c r="BJ309"/>
      <c r="BK309"/>
      <c r="BL309"/>
      <c r="BM309"/>
      <c r="BN309"/>
      <c r="BO309"/>
      <c r="BP309"/>
      <c r="BQ309"/>
      <c r="CB309"/>
      <c r="CC309"/>
      <c r="CD309"/>
      <c r="CE309"/>
      <c r="CJ309"/>
      <c r="CK309"/>
      <c r="CL309"/>
      <c r="CM309"/>
      <c r="CN309"/>
    </row>
    <row r="310" spans="14:92" ht="11.25" customHeight="1" x14ac:dyDescent="0.2">
      <c r="N310" s="19">
        <v>200</v>
      </c>
      <c r="O310" s="19">
        <f t="shared" si="200"/>
        <v>979.69499999999005</v>
      </c>
      <c r="P310" s="19">
        <f t="shared" si="201"/>
        <v>779.69499999999005</v>
      </c>
      <c r="Q310"/>
      <c r="R310" s="19">
        <f t="shared" si="202"/>
        <v>579.69499999999653</v>
      </c>
      <c r="S310"/>
      <c r="T310"/>
      <c r="U310"/>
      <c r="V310"/>
      <c r="W310"/>
      <c r="X310"/>
      <c r="Y310"/>
      <c r="Z310" s="19">
        <f t="shared" si="203"/>
        <v>375.67000000000132</v>
      </c>
      <c r="AA310" s="19">
        <f t="shared" si="204"/>
        <v>175.67000000000093</v>
      </c>
      <c r="AB310" s="19" t="e">
        <f t="shared" si="205"/>
        <v>#N/A</v>
      </c>
      <c r="AC310"/>
      <c r="AD310"/>
      <c r="AE310" s="19">
        <v>219</v>
      </c>
      <c r="AG310" s="19">
        <f t="shared" si="187"/>
        <v>3</v>
      </c>
      <c r="AH310" s="19">
        <f t="shared" si="188"/>
        <v>-1</v>
      </c>
      <c r="AI310" s="19">
        <f t="shared" si="189"/>
        <v>29.785</v>
      </c>
      <c r="AJ310" s="410">
        <f t="shared" si="190"/>
        <v>876.84</v>
      </c>
      <c r="AK310" s="19" t="e">
        <f t="shared" si="191"/>
        <v>#N/A</v>
      </c>
      <c r="AL310" s="19">
        <f t="shared" si="192"/>
        <v>676.84</v>
      </c>
      <c r="AM310" s="19" t="e">
        <f t="shared" si="193"/>
        <v>#N/A</v>
      </c>
      <c r="AN310" s="19">
        <f t="shared" si="194"/>
        <v>476.84</v>
      </c>
      <c r="AO310" s="19" t="e">
        <f t="shared" si="195"/>
        <v>#N/A</v>
      </c>
      <c r="AP310" s="19">
        <f t="shared" si="196"/>
        <v>276.83999999999997</v>
      </c>
      <c r="AQ310" s="19" t="e">
        <f t="shared" si="197"/>
        <v>#N/A</v>
      </c>
      <c r="AR310" s="19">
        <f t="shared" si="198"/>
        <v>76.84</v>
      </c>
      <c r="AS310" s="19" t="e">
        <f t="shared" si="199"/>
        <v>#N/A</v>
      </c>
      <c r="AT310"/>
      <c r="AU310"/>
      <c r="AV310"/>
      <c r="AW310"/>
      <c r="AX310"/>
      <c r="AY310"/>
      <c r="AZ310"/>
      <c r="BA310"/>
      <c r="BB310"/>
      <c r="BC310"/>
      <c r="BD310"/>
      <c r="BE310"/>
      <c r="BF310"/>
      <c r="BG310"/>
      <c r="BH310"/>
      <c r="BI310"/>
      <c r="BJ310"/>
      <c r="BK310"/>
      <c r="BL310"/>
      <c r="BM310"/>
      <c r="BN310"/>
      <c r="BO310"/>
      <c r="BP310"/>
      <c r="BQ310"/>
      <c r="CB310"/>
      <c r="CC310"/>
      <c r="CD310"/>
      <c r="CE310"/>
      <c r="CJ310"/>
      <c r="CK310"/>
      <c r="CL310"/>
      <c r="CM310"/>
      <c r="CN310"/>
    </row>
    <row r="311" spans="14:92" ht="11.25" customHeight="1" x14ac:dyDescent="0.2">
      <c r="N311" s="19">
        <v>201</v>
      </c>
      <c r="O311" s="19">
        <f t="shared" si="200"/>
        <v>980.49999999999</v>
      </c>
      <c r="P311" s="19">
        <f t="shared" si="201"/>
        <v>780.49999999999</v>
      </c>
      <c r="Q311"/>
      <c r="R311" s="19">
        <f t="shared" si="202"/>
        <v>580.49999999999648</v>
      </c>
      <c r="S311"/>
      <c r="T311"/>
      <c r="U311"/>
      <c r="V311"/>
      <c r="W311"/>
      <c r="X311"/>
      <c r="Y311"/>
      <c r="Z311" s="19">
        <f t="shared" si="203"/>
        <v>376.47500000000133</v>
      </c>
      <c r="AA311" s="19">
        <f t="shared" si="204"/>
        <v>176.47500000000093</v>
      </c>
      <c r="AB311" s="19" t="e">
        <f t="shared" si="205"/>
        <v>#N/A</v>
      </c>
      <c r="AC311"/>
      <c r="AD311"/>
      <c r="AE311" s="19">
        <v>220</v>
      </c>
      <c r="AG311" s="19">
        <f t="shared" si="187"/>
        <v>3</v>
      </c>
      <c r="AH311" s="19">
        <f t="shared" si="188"/>
        <v>1</v>
      </c>
      <c r="AI311" s="19">
        <f t="shared" si="189"/>
        <v>29.785</v>
      </c>
      <c r="AJ311" s="410">
        <f t="shared" si="190"/>
        <v>923.16</v>
      </c>
      <c r="AK311" s="19" t="e">
        <f t="shared" si="191"/>
        <v>#N/A</v>
      </c>
      <c r="AL311" s="19">
        <f t="shared" si="192"/>
        <v>723.16</v>
      </c>
      <c r="AM311" s="19" t="e">
        <f t="shared" si="193"/>
        <v>#N/A</v>
      </c>
      <c r="AN311" s="19">
        <f t="shared" si="194"/>
        <v>523.16</v>
      </c>
      <c r="AO311" s="19" t="e">
        <f t="shared" si="195"/>
        <v>#N/A</v>
      </c>
      <c r="AP311" s="19">
        <f t="shared" si="196"/>
        <v>323.16000000000003</v>
      </c>
      <c r="AQ311" s="19" t="e">
        <f t="shared" si="197"/>
        <v>#N/A</v>
      </c>
      <c r="AR311" s="19">
        <f t="shared" si="198"/>
        <v>123.16</v>
      </c>
      <c r="AS311" s="19" t="e">
        <f t="shared" si="199"/>
        <v>#N/A</v>
      </c>
      <c r="AT311"/>
      <c r="AU311"/>
      <c r="AV311"/>
      <c r="AW311"/>
      <c r="AX311"/>
      <c r="AY311"/>
      <c r="AZ311"/>
      <c r="BA311"/>
      <c r="BB311"/>
      <c r="BC311"/>
      <c r="BD311"/>
      <c r="BE311"/>
      <c r="BF311"/>
      <c r="BG311"/>
      <c r="BH311"/>
      <c r="BI311"/>
      <c r="BJ311"/>
      <c r="BK311"/>
      <c r="BL311"/>
      <c r="BM311"/>
      <c r="BN311"/>
      <c r="BO311"/>
      <c r="BP311"/>
      <c r="BQ311"/>
      <c r="CB311"/>
      <c r="CC311"/>
      <c r="CD311"/>
      <c r="CE311"/>
      <c r="CJ311"/>
      <c r="CK311"/>
      <c r="CL311"/>
      <c r="CM311"/>
      <c r="CN311"/>
    </row>
    <row r="312" spans="14:92" ht="11.25" customHeight="1" x14ac:dyDescent="0.2">
      <c r="N312"/>
      <c r="O312"/>
      <c r="P312"/>
      <c r="Q312"/>
      <c r="R312"/>
      <c r="S312"/>
      <c r="T312"/>
      <c r="U312"/>
      <c r="V312"/>
      <c r="W312"/>
      <c r="X312"/>
      <c r="Y312"/>
      <c r="Z312" s="19">
        <f t="shared" si="203"/>
        <v>377.28000000000134</v>
      </c>
      <c r="AA312" s="19">
        <f t="shared" si="204"/>
        <v>177.28000000000094</v>
      </c>
      <c r="AB312" s="19" t="e">
        <f t="shared" si="205"/>
        <v>#N/A</v>
      </c>
      <c r="AC312"/>
      <c r="AD312"/>
      <c r="AE312" s="19">
        <v>221</v>
      </c>
      <c r="AG312" s="19">
        <f t="shared" si="187"/>
        <v>5</v>
      </c>
      <c r="AH312" s="19">
        <f t="shared" si="188"/>
        <v>-1</v>
      </c>
      <c r="AI312" s="19">
        <f t="shared" si="189"/>
        <v>29.785</v>
      </c>
      <c r="AJ312" s="410">
        <f t="shared" si="190"/>
        <v>861.4</v>
      </c>
      <c r="AK312" s="19" t="e">
        <f t="shared" si="191"/>
        <v>#N/A</v>
      </c>
      <c r="AL312" s="19">
        <f t="shared" si="192"/>
        <v>661.4</v>
      </c>
      <c r="AM312" s="19" t="e">
        <f t="shared" si="193"/>
        <v>#N/A</v>
      </c>
      <c r="AN312" s="19">
        <f t="shared" si="194"/>
        <v>461.4</v>
      </c>
      <c r="AO312" s="19" t="e">
        <f t="shared" si="195"/>
        <v>#N/A</v>
      </c>
      <c r="AP312" s="19">
        <f t="shared" si="196"/>
        <v>261.39999999999998</v>
      </c>
      <c r="AQ312" s="19" t="e">
        <f t="shared" si="197"/>
        <v>#N/A</v>
      </c>
      <c r="AR312" s="19">
        <f t="shared" si="198"/>
        <v>61.4</v>
      </c>
      <c r="AS312" s="19" t="e">
        <f t="shared" si="199"/>
        <v>#N/A</v>
      </c>
      <c r="AT312"/>
      <c r="AU312"/>
      <c r="AV312"/>
      <c r="AW312"/>
      <c r="AX312"/>
      <c r="AY312"/>
      <c r="AZ312"/>
      <c r="BA312"/>
      <c r="BB312"/>
      <c r="BC312"/>
      <c r="BD312"/>
      <c r="BE312"/>
      <c r="BF312"/>
      <c r="BG312"/>
      <c r="BH312"/>
      <c r="BI312"/>
      <c r="BJ312"/>
      <c r="BK312"/>
      <c r="BL312"/>
      <c r="BM312"/>
      <c r="BN312"/>
      <c r="BO312"/>
      <c r="BP312"/>
      <c r="BQ312"/>
      <c r="CB312"/>
      <c r="CC312"/>
      <c r="CD312"/>
      <c r="CE312"/>
      <c r="CJ312"/>
      <c r="CK312"/>
      <c r="CL312"/>
      <c r="CM312"/>
      <c r="CN312"/>
    </row>
    <row r="313" spans="14:92" ht="11.25" customHeight="1" x14ac:dyDescent="0.2">
      <c r="N313"/>
      <c r="O313"/>
      <c r="P313"/>
      <c r="Q313"/>
      <c r="R313"/>
      <c r="S313"/>
      <c r="T313"/>
      <c r="U313"/>
      <c r="V313"/>
      <c r="W313"/>
      <c r="X313"/>
      <c r="Y313"/>
      <c r="Z313" s="19">
        <f t="shared" si="203"/>
        <v>378.08500000000134</v>
      </c>
      <c r="AA313" s="19">
        <f t="shared" si="204"/>
        <v>178.08500000000095</v>
      </c>
      <c r="AB313" s="19" t="e">
        <f t="shared" si="205"/>
        <v>#N/A</v>
      </c>
      <c r="AC313"/>
      <c r="AD313"/>
      <c r="AE313" s="19">
        <v>222</v>
      </c>
      <c r="AG313" s="19">
        <f t="shared" si="187"/>
        <v>5</v>
      </c>
      <c r="AH313" s="19">
        <f t="shared" si="188"/>
        <v>1</v>
      </c>
      <c r="AI313" s="19">
        <f t="shared" si="189"/>
        <v>29.785</v>
      </c>
      <c r="AJ313" s="410">
        <f t="shared" si="190"/>
        <v>938.6</v>
      </c>
      <c r="AK313" s="19" t="e">
        <f t="shared" si="191"/>
        <v>#N/A</v>
      </c>
      <c r="AL313" s="19">
        <f t="shared" si="192"/>
        <v>738.6</v>
      </c>
      <c r="AM313" s="19" t="e">
        <f t="shared" si="193"/>
        <v>#N/A</v>
      </c>
      <c r="AN313" s="19">
        <f t="shared" si="194"/>
        <v>538.6</v>
      </c>
      <c r="AO313" s="19" t="e">
        <f t="shared" si="195"/>
        <v>#N/A</v>
      </c>
      <c r="AP313" s="19">
        <f t="shared" si="196"/>
        <v>338.6</v>
      </c>
      <c r="AQ313" s="19" t="e">
        <f t="shared" si="197"/>
        <v>#N/A</v>
      </c>
      <c r="AR313" s="19">
        <f t="shared" si="198"/>
        <v>138.6</v>
      </c>
      <c r="AS313" s="19" t="e">
        <f t="shared" si="199"/>
        <v>#N/A</v>
      </c>
      <c r="AT313"/>
      <c r="AU313"/>
      <c r="AV313"/>
      <c r="AW313"/>
      <c r="AX313"/>
      <c r="AY313"/>
      <c r="AZ313"/>
      <c r="BA313"/>
      <c r="BB313"/>
      <c r="BC313"/>
      <c r="BD313"/>
      <c r="BE313"/>
      <c r="BF313"/>
      <c r="BG313"/>
      <c r="BH313"/>
      <c r="BI313"/>
      <c r="BJ313"/>
      <c r="BK313"/>
      <c r="BL313"/>
      <c r="BM313"/>
      <c r="BN313"/>
      <c r="BO313"/>
      <c r="BP313"/>
      <c r="BQ313"/>
      <c r="CB313"/>
      <c r="CC313"/>
      <c r="CD313"/>
      <c r="CE313"/>
      <c r="CJ313"/>
      <c r="CK313"/>
      <c r="CL313"/>
      <c r="CM313"/>
      <c r="CN313"/>
    </row>
    <row r="314" spans="14:92" ht="11.25" customHeight="1" x14ac:dyDescent="0.2">
      <c r="N314"/>
      <c r="O314"/>
      <c r="P314"/>
      <c r="Q314"/>
      <c r="R314"/>
      <c r="S314"/>
      <c r="T314"/>
      <c r="U314"/>
      <c r="V314"/>
      <c r="W314"/>
      <c r="X314"/>
      <c r="Y314"/>
      <c r="Z314" s="19">
        <f t="shared" si="203"/>
        <v>378.89000000000135</v>
      </c>
      <c r="AA314" s="19">
        <f t="shared" si="204"/>
        <v>178.89000000000095</v>
      </c>
      <c r="AB314" s="19" t="e">
        <f t="shared" si="205"/>
        <v>#N/A</v>
      </c>
      <c r="AC314"/>
      <c r="AD314"/>
      <c r="AE314" s="19">
        <v>223</v>
      </c>
      <c r="AG314" s="19">
        <f t="shared" si="187"/>
        <v>7</v>
      </c>
      <c r="AH314" s="19">
        <f t="shared" si="188"/>
        <v>-1</v>
      </c>
      <c r="AI314" s="19">
        <f t="shared" si="189"/>
        <v>29.785</v>
      </c>
      <c r="AJ314" s="410">
        <f t="shared" si="190"/>
        <v>845.96</v>
      </c>
      <c r="AK314" s="19" t="e">
        <f t="shared" si="191"/>
        <v>#N/A</v>
      </c>
      <c r="AL314" s="19">
        <f t="shared" si="192"/>
        <v>645.96</v>
      </c>
      <c r="AM314" s="19" t="e">
        <f t="shared" si="193"/>
        <v>#N/A</v>
      </c>
      <c r="AN314" s="19">
        <f t="shared" si="194"/>
        <v>445.96</v>
      </c>
      <c r="AO314" s="19" t="e">
        <f t="shared" si="195"/>
        <v>#N/A</v>
      </c>
      <c r="AP314" s="19">
        <f t="shared" si="196"/>
        <v>245.96</v>
      </c>
      <c r="AQ314" s="19" t="e">
        <f t="shared" si="197"/>
        <v>#N/A</v>
      </c>
      <c r="AR314" s="19">
        <f t="shared" si="198"/>
        <v>45.96</v>
      </c>
      <c r="AS314" s="19" t="e">
        <f t="shared" si="199"/>
        <v>#N/A</v>
      </c>
      <c r="AT314"/>
      <c r="AU314"/>
      <c r="AV314"/>
      <c r="AW314"/>
      <c r="AX314"/>
      <c r="AY314"/>
      <c r="AZ314"/>
      <c r="BA314"/>
      <c r="BB314"/>
      <c r="BC314"/>
      <c r="BD314"/>
      <c r="BE314"/>
      <c r="BF314"/>
      <c r="BG314"/>
      <c r="BH314"/>
      <c r="BI314"/>
      <c r="BJ314"/>
      <c r="BK314"/>
      <c r="BL314"/>
      <c r="BM314"/>
      <c r="BN314"/>
      <c r="BO314"/>
      <c r="BP314"/>
      <c r="BQ314"/>
      <c r="CB314"/>
      <c r="CC314"/>
      <c r="CD314"/>
      <c r="CE314"/>
      <c r="CJ314"/>
      <c r="CK314"/>
      <c r="CL314"/>
      <c r="CM314"/>
      <c r="CN314"/>
    </row>
    <row r="315" spans="14:92" ht="11.25" customHeight="1" x14ac:dyDescent="0.2">
      <c r="N315"/>
      <c r="O315"/>
      <c r="P315"/>
      <c r="Q315"/>
      <c r="R315"/>
      <c r="S315"/>
      <c r="T315"/>
      <c r="U315"/>
      <c r="V315"/>
      <c r="W315"/>
      <c r="X315"/>
      <c r="Y315"/>
      <c r="Z315" s="19">
        <f t="shared" si="203"/>
        <v>379.69500000000136</v>
      </c>
      <c r="AA315" s="19">
        <f t="shared" si="204"/>
        <v>179.69500000000096</v>
      </c>
      <c r="AB315" s="19" t="e">
        <f t="shared" si="205"/>
        <v>#N/A</v>
      </c>
      <c r="AC315"/>
      <c r="AD315"/>
      <c r="AE315" s="19">
        <v>224</v>
      </c>
      <c r="AG315" s="19">
        <f t="shared" si="187"/>
        <v>7</v>
      </c>
      <c r="AH315" s="19">
        <f t="shared" si="188"/>
        <v>1</v>
      </c>
      <c r="AI315" s="19">
        <f t="shared" si="189"/>
        <v>29.785</v>
      </c>
      <c r="AJ315" s="410">
        <f t="shared" si="190"/>
        <v>954.04</v>
      </c>
      <c r="AK315" s="19" t="e">
        <f t="shared" si="191"/>
        <v>#N/A</v>
      </c>
      <c r="AL315" s="19">
        <f t="shared" si="192"/>
        <v>754.04</v>
      </c>
      <c r="AM315" s="19" t="e">
        <f t="shared" si="193"/>
        <v>#N/A</v>
      </c>
      <c r="AN315" s="19">
        <f t="shared" si="194"/>
        <v>554.04</v>
      </c>
      <c r="AO315" s="19" t="e">
        <f t="shared" si="195"/>
        <v>#N/A</v>
      </c>
      <c r="AP315" s="19">
        <f t="shared" si="196"/>
        <v>354.04</v>
      </c>
      <c r="AQ315" s="19" t="e">
        <f t="shared" si="197"/>
        <v>#N/A</v>
      </c>
      <c r="AR315" s="19">
        <f t="shared" si="198"/>
        <v>154.04</v>
      </c>
      <c r="AS315" s="19" t="e">
        <f t="shared" si="199"/>
        <v>#N/A</v>
      </c>
      <c r="AT315"/>
      <c r="AU315"/>
      <c r="AV315"/>
      <c r="AW315"/>
      <c r="AX315"/>
      <c r="AY315"/>
      <c r="AZ315"/>
      <c r="BA315"/>
      <c r="BB315"/>
      <c r="BC315"/>
      <c r="BD315"/>
      <c r="BE315"/>
      <c r="BF315"/>
      <c r="BG315"/>
      <c r="BH315"/>
      <c r="BI315"/>
      <c r="BJ315"/>
      <c r="BK315"/>
      <c r="BL315"/>
      <c r="BM315"/>
      <c r="BN315"/>
      <c r="BO315"/>
      <c r="BP315"/>
      <c r="BQ315"/>
      <c r="CB315"/>
      <c r="CC315"/>
      <c r="CD315"/>
      <c r="CE315"/>
      <c r="CJ315"/>
      <c r="CK315"/>
      <c r="CL315"/>
      <c r="CM315"/>
      <c r="CN315"/>
    </row>
    <row r="316" spans="14:92" ht="11.25" customHeight="1" x14ac:dyDescent="0.2">
      <c r="N316"/>
      <c r="O316"/>
      <c r="P316"/>
      <c r="Q316"/>
      <c r="R316"/>
      <c r="S316"/>
      <c r="T316"/>
      <c r="U316"/>
      <c r="V316"/>
      <c r="W316"/>
      <c r="X316"/>
      <c r="Y316"/>
      <c r="Z316" s="19">
        <f t="shared" si="203"/>
        <v>380.50000000000136</v>
      </c>
      <c r="AA316" s="19">
        <f t="shared" si="204"/>
        <v>180.50000000000097</v>
      </c>
      <c r="AB316" s="19" t="e">
        <f t="shared" si="205"/>
        <v>#N/A</v>
      </c>
      <c r="AC316"/>
      <c r="AD316"/>
      <c r="AE316" s="19">
        <v>225</v>
      </c>
      <c r="AG316" s="19">
        <f t="shared" si="187"/>
        <v>9</v>
      </c>
      <c r="AH316" s="19">
        <f t="shared" si="188"/>
        <v>-1</v>
      </c>
      <c r="AI316" s="19">
        <f t="shared" si="189"/>
        <v>29.785</v>
      </c>
      <c r="AJ316" s="410">
        <f t="shared" si="190"/>
        <v>830.52</v>
      </c>
      <c r="AK316" s="19" t="e">
        <f t="shared" si="191"/>
        <v>#N/A</v>
      </c>
      <c r="AL316" s="19">
        <f t="shared" si="192"/>
        <v>630.52</v>
      </c>
      <c r="AM316" s="19" t="e">
        <f t="shared" si="193"/>
        <v>#N/A</v>
      </c>
      <c r="AN316" s="19">
        <f t="shared" si="194"/>
        <v>430.52</v>
      </c>
      <c r="AO316" s="19" t="e">
        <f t="shared" si="195"/>
        <v>#N/A</v>
      </c>
      <c r="AP316" s="19">
        <f t="shared" si="196"/>
        <v>230.51999999999998</v>
      </c>
      <c r="AQ316" s="19" t="e">
        <f t="shared" si="197"/>
        <v>#N/A</v>
      </c>
      <c r="AR316" s="19">
        <f t="shared" si="198"/>
        <v>30.519999999999996</v>
      </c>
      <c r="AS316" s="19" t="e">
        <f t="shared" si="199"/>
        <v>#N/A</v>
      </c>
      <c r="AT316"/>
      <c r="AU316"/>
      <c r="AV316"/>
      <c r="AW316"/>
      <c r="AX316"/>
      <c r="AY316"/>
      <c r="AZ316"/>
      <c r="BA316"/>
      <c r="BB316"/>
      <c r="BC316"/>
      <c r="BD316"/>
      <c r="BE316"/>
      <c r="BF316"/>
      <c r="BG316"/>
      <c r="BH316"/>
      <c r="BI316"/>
      <c r="BJ316"/>
      <c r="BK316"/>
      <c r="BL316"/>
      <c r="BM316"/>
      <c r="BN316"/>
      <c r="BO316"/>
      <c r="BP316"/>
      <c r="BQ316"/>
      <c r="CB316"/>
      <c r="CC316"/>
      <c r="CD316"/>
      <c r="CE316"/>
      <c r="CJ316"/>
      <c r="CK316"/>
      <c r="CL316"/>
      <c r="CM316"/>
      <c r="CN316"/>
    </row>
    <row r="317" spans="14:92" ht="11.25" customHeight="1" x14ac:dyDescent="0.2">
      <c r="N317"/>
      <c r="O317"/>
      <c r="P317"/>
      <c r="Q317"/>
      <c r="R317"/>
      <c r="S317"/>
      <c r="T317"/>
      <c r="U317"/>
      <c r="V317"/>
      <c r="W317"/>
      <c r="X317"/>
      <c r="Y317"/>
      <c r="Z317"/>
      <c r="AA317"/>
      <c r="AB317"/>
      <c r="AC317"/>
      <c r="AD317"/>
      <c r="AE317" s="19">
        <v>226</v>
      </c>
      <c r="AG317" s="19">
        <f t="shared" si="187"/>
        <v>9</v>
      </c>
      <c r="AH317" s="19">
        <f t="shared" si="188"/>
        <v>1</v>
      </c>
      <c r="AI317" s="19">
        <f t="shared" si="189"/>
        <v>29.785</v>
      </c>
      <c r="AJ317" s="410">
        <f t="shared" si="190"/>
        <v>969.48</v>
      </c>
      <c r="AK317" s="19" t="e">
        <f t="shared" si="191"/>
        <v>#N/A</v>
      </c>
      <c r="AL317" s="19">
        <f t="shared" si="192"/>
        <v>769.48</v>
      </c>
      <c r="AM317" s="19" t="e">
        <f t="shared" si="193"/>
        <v>#N/A</v>
      </c>
      <c r="AN317" s="19">
        <f t="shared" si="194"/>
        <v>569.48</v>
      </c>
      <c r="AO317" s="19" t="e">
        <f t="shared" si="195"/>
        <v>#N/A</v>
      </c>
      <c r="AP317" s="19">
        <f t="shared" si="196"/>
        <v>369.48</v>
      </c>
      <c r="AQ317" s="19" t="e">
        <f t="shared" si="197"/>
        <v>#N/A</v>
      </c>
      <c r="AR317" s="19">
        <f t="shared" si="198"/>
        <v>169.48000000000002</v>
      </c>
      <c r="AS317" s="19" t="e">
        <f t="shared" si="199"/>
        <v>#N/A</v>
      </c>
      <c r="AT317"/>
      <c r="AU317"/>
      <c r="AV317"/>
      <c r="AW317"/>
      <c r="AX317"/>
      <c r="AY317"/>
      <c r="AZ317"/>
      <c r="BA317"/>
      <c r="BB317"/>
      <c r="BC317"/>
      <c r="BD317"/>
      <c r="BE317"/>
      <c r="BF317"/>
      <c r="BG317"/>
      <c r="BH317"/>
      <c r="BI317"/>
      <c r="BJ317"/>
      <c r="BK317"/>
      <c r="BL317"/>
      <c r="BM317"/>
      <c r="BN317"/>
      <c r="BO317"/>
      <c r="BP317"/>
      <c r="BQ317"/>
      <c r="CB317"/>
      <c r="CC317"/>
      <c r="CD317"/>
      <c r="CE317"/>
      <c r="CJ317"/>
      <c r="CK317"/>
      <c r="CL317"/>
      <c r="CM317"/>
      <c r="CN317"/>
    </row>
    <row r="318" spans="14:92" ht="11.25" customHeight="1" x14ac:dyDescent="0.2">
      <c r="N318"/>
      <c r="O318"/>
      <c r="P318"/>
      <c r="Q318"/>
      <c r="R318"/>
      <c r="S318"/>
      <c r="T318"/>
      <c r="U318"/>
      <c r="V318"/>
      <c r="W318"/>
      <c r="X318"/>
      <c r="Y318"/>
      <c r="Z318"/>
      <c r="AA318"/>
      <c r="AB318"/>
      <c r="AC318"/>
      <c r="AD318"/>
      <c r="AE318" s="19">
        <v>227</v>
      </c>
      <c r="AG318" s="19">
        <f t="shared" si="187"/>
        <v>11</v>
      </c>
      <c r="AH318" s="19">
        <f t="shared" si="188"/>
        <v>-1</v>
      </c>
      <c r="AI318" s="19">
        <f t="shared" si="189"/>
        <v>29.785</v>
      </c>
      <c r="AJ318" s="410">
        <f t="shared" si="190"/>
        <v>815.08</v>
      </c>
      <c r="AK318" s="19" t="e">
        <f t="shared" si="191"/>
        <v>#N/A</v>
      </c>
      <c r="AL318" s="19">
        <f t="shared" si="192"/>
        <v>615.08000000000004</v>
      </c>
      <c r="AM318" s="19" t="e">
        <f t="shared" si="193"/>
        <v>#N/A</v>
      </c>
      <c r="AN318" s="19">
        <f t="shared" si="194"/>
        <v>415.08</v>
      </c>
      <c r="AO318" s="19" t="e">
        <f t="shared" si="195"/>
        <v>#N/A</v>
      </c>
      <c r="AP318" s="19">
        <f t="shared" si="196"/>
        <v>215.07999999999998</v>
      </c>
      <c r="AQ318" s="19" t="e">
        <f t="shared" si="197"/>
        <v>#N/A</v>
      </c>
      <c r="AR318" s="19">
        <f t="shared" si="198"/>
        <v>15.079999999999998</v>
      </c>
      <c r="AS318" s="19" t="e">
        <f t="shared" si="199"/>
        <v>#N/A</v>
      </c>
      <c r="AT318"/>
      <c r="AU318"/>
      <c r="AV318"/>
      <c r="AW318"/>
      <c r="AX318"/>
      <c r="AY318"/>
      <c r="AZ318"/>
      <c r="BA318"/>
      <c r="BB318"/>
      <c r="BC318"/>
      <c r="BD318"/>
      <c r="BE318"/>
      <c r="BF318"/>
      <c r="BG318"/>
      <c r="BH318"/>
      <c r="BI318"/>
      <c r="BJ318"/>
      <c r="BK318"/>
      <c r="BL318"/>
      <c r="BM318"/>
      <c r="BN318"/>
      <c r="BO318"/>
      <c r="BP318"/>
      <c r="BQ318"/>
      <c r="CB318"/>
      <c r="CC318"/>
      <c r="CD318"/>
      <c r="CE318"/>
      <c r="CJ318"/>
      <c r="CK318"/>
      <c r="CL318"/>
      <c r="CM318"/>
      <c r="CN318"/>
    </row>
    <row r="319" spans="14:92" ht="11.25" customHeight="1" x14ac:dyDescent="0.2">
      <c r="N319"/>
      <c r="O319"/>
      <c r="P319"/>
      <c r="Q319"/>
      <c r="R319"/>
      <c r="S319"/>
      <c r="T319"/>
      <c r="U319"/>
      <c r="V319"/>
      <c r="W319"/>
      <c r="X319"/>
      <c r="Y319"/>
      <c r="Z319"/>
      <c r="AA319"/>
      <c r="AB319"/>
      <c r="AC319"/>
      <c r="AD319"/>
      <c r="AE319" s="19">
        <v>228</v>
      </c>
      <c r="AG319" s="19">
        <f t="shared" si="187"/>
        <v>11</v>
      </c>
      <c r="AH319" s="19">
        <f t="shared" si="188"/>
        <v>1</v>
      </c>
      <c r="AI319" s="19">
        <f t="shared" si="189"/>
        <v>29.785</v>
      </c>
      <c r="AJ319" s="410">
        <f t="shared" si="190"/>
        <v>984.92</v>
      </c>
      <c r="AK319" s="19" t="e">
        <f t="shared" si="191"/>
        <v>#N/A</v>
      </c>
      <c r="AL319" s="19">
        <f t="shared" si="192"/>
        <v>784.92</v>
      </c>
      <c r="AM319" s="19" t="e">
        <f t="shared" si="193"/>
        <v>#N/A</v>
      </c>
      <c r="AN319" s="19">
        <f t="shared" si="194"/>
        <v>584.91999999999996</v>
      </c>
      <c r="AO319" s="19" t="e">
        <f t="shared" si="195"/>
        <v>#N/A</v>
      </c>
      <c r="AP319" s="19">
        <f t="shared" si="196"/>
        <v>384.92</v>
      </c>
      <c r="AQ319" s="19" t="e">
        <f t="shared" si="197"/>
        <v>#N/A</v>
      </c>
      <c r="AR319" s="19">
        <f t="shared" si="198"/>
        <v>184.92000000000002</v>
      </c>
      <c r="AS319" s="19" t="e">
        <f t="shared" si="199"/>
        <v>#N/A</v>
      </c>
      <c r="AT319"/>
      <c r="AU319"/>
      <c r="AV319"/>
      <c r="AW319"/>
      <c r="AX319"/>
      <c r="AY319"/>
      <c r="AZ319"/>
      <c r="BA319"/>
      <c r="BB319"/>
      <c r="BC319"/>
      <c r="BD319"/>
      <c r="BE319"/>
      <c r="BF319"/>
      <c r="BG319"/>
      <c r="BH319"/>
      <c r="BI319"/>
      <c r="BJ319"/>
      <c r="BK319"/>
      <c r="BL319"/>
      <c r="BM319"/>
      <c r="BN319"/>
      <c r="BO319"/>
      <c r="BP319"/>
      <c r="BQ319"/>
      <c r="CB319"/>
      <c r="CC319"/>
      <c r="CD319"/>
      <c r="CE319"/>
      <c r="CJ319"/>
      <c r="CK319"/>
      <c r="CL319"/>
      <c r="CM319"/>
      <c r="CN319"/>
    </row>
    <row r="320" spans="14:92" ht="11.25" customHeight="1" x14ac:dyDescent="0.2">
      <c r="N320"/>
      <c r="O320"/>
      <c r="P320"/>
      <c r="Q320"/>
      <c r="R320"/>
      <c r="S320"/>
      <c r="T320"/>
      <c r="U320"/>
      <c r="V320"/>
      <c r="W320"/>
      <c r="X320"/>
      <c r="Y320"/>
      <c r="Z320"/>
      <c r="AA320"/>
      <c r="AB320"/>
      <c r="AC320"/>
      <c r="AD320"/>
      <c r="AE320" s="19">
        <v>229</v>
      </c>
      <c r="AG320" s="19">
        <f t="shared" si="187"/>
        <v>1</v>
      </c>
      <c r="AH320" s="19">
        <f t="shared" si="188"/>
        <v>-1</v>
      </c>
      <c r="AI320" s="19">
        <f t="shared" si="189"/>
        <v>31.395000000000003</v>
      </c>
      <c r="AJ320" s="410">
        <f t="shared" si="190"/>
        <v>892.28</v>
      </c>
      <c r="AK320" s="19" t="e">
        <f t="shared" si="191"/>
        <v>#N/A</v>
      </c>
      <c r="AL320" s="19">
        <f t="shared" si="192"/>
        <v>692.28</v>
      </c>
      <c r="AM320" s="19" t="e">
        <f t="shared" si="193"/>
        <v>#N/A</v>
      </c>
      <c r="AN320" s="19">
        <f t="shared" si="194"/>
        <v>492.28</v>
      </c>
      <c r="AO320" s="19" t="e">
        <f t="shared" si="195"/>
        <v>#N/A</v>
      </c>
      <c r="AP320" s="19">
        <f t="shared" si="196"/>
        <v>292.27999999999997</v>
      </c>
      <c r="AQ320" s="19" t="e">
        <f t="shared" si="197"/>
        <v>#N/A</v>
      </c>
      <c r="AR320" s="19">
        <f t="shared" si="198"/>
        <v>92.28</v>
      </c>
      <c r="AS320" s="19" t="e">
        <f t="shared" si="199"/>
        <v>#N/A</v>
      </c>
      <c r="AT320"/>
      <c r="AU320"/>
      <c r="AV320"/>
      <c r="AW320"/>
      <c r="AX320"/>
      <c r="AY320"/>
      <c r="AZ320"/>
      <c r="BA320"/>
      <c r="BB320"/>
      <c r="BC320"/>
      <c r="BD320"/>
      <c r="BE320"/>
      <c r="BF320"/>
      <c r="BG320"/>
      <c r="BH320"/>
      <c r="BI320"/>
      <c r="BJ320"/>
      <c r="BK320"/>
      <c r="BL320"/>
      <c r="BM320"/>
      <c r="BN320"/>
      <c r="BO320"/>
      <c r="BP320"/>
      <c r="BQ320"/>
      <c r="CB320"/>
      <c r="CC320"/>
      <c r="CD320"/>
      <c r="CE320"/>
      <c r="CJ320"/>
      <c r="CK320"/>
      <c r="CL320"/>
      <c r="CM320"/>
      <c r="CN320"/>
    </row>
    <row r="321" spans="14:92" ht="11.25" customHeight="1" x14ac:dyDescent="0.2">
      <c r="N321"/>
      <c r="O321"/>
      <c r="P321"/>
      <c r="Q321"/>
      <c r="R321"/>
      <c r="S321"/>
      <c r="T321"/>
      <c r="U321"/>
      <c r="V321"/>
      <c r="W321"/>
      <c r="X321"/>
      <c r="Y321"/>
      <c r="Z321"/>
      <c r="AA321"/>
      <c r="AB321"/>
      <c r="AC321"/>
      <c r="AD321"/>
      <c r="AE321" s="19">
        <v>230</v>
      </c>
      <c r="AG321" s="19">
        <f t="shared" si="187"/>
        <v>1</v>
      </c>
      <c r="AH321" s="19">
        <f t="shared" si="188"/>
        <v>1</v>
      </c>
      <c r="AI321" s="19">
        <f t="shared" si="189"/>
        <v>31.395000000000003</v>
      </c>
      <c r="AJ321" s="410">
        <f t="shared" si="190"/>
        <v>907.72</v>
      </c>
      <c r="AK321" s="19" t="e">
        <f t="shared" si="191"/>
        <v>#N/A</v>
      </c>
      <c r="AL321" s="19">
        <f t="shared" si="192"/>
        <v>707.72</v>
      </c>
      <c r="AM321" s="19" t="e">
        <f t="shared" si="193"/>
        <v>#N/A</v>
      </c>
      <c r="AN321" s="19">
        <f t="shared" si="194"/>
        <v>507.72</v>
      </c>
      <c r="AO321" s="19" t="e">
        <f t="shared" si="195"/>
        <v>#N/A</v>
      </c>
      <c r="AP321" s="19">
        <f t="shared" si="196"/>
        <v>307.72000000000003</v>
      </c>
      <c r="AQ321" s="19" t="e">
        <f t="shared" si="197"/>
        <v>#N/A</v>
      </c>
      <c r="AR321" s="19">
        <f t="shared" si="198"/>
        <v>107.72</v>
      </c>
      <c r="AS321" s="19" t="e">
        <f t="shared" si="199"/>
        <v>#N/A</v>
      </c>
      <c r="AT321"/>
      <c r="AU321"/>
      <c r="AV321"/>
      <c r="AW321"/>
      <c r="AX321"/>
      <c r="AY321"/>
      <c r="AZ321"/>
      <c r="BA321"/>
      <c r="BB321"/>
      <c r="BC321"/>
      <c r="BD321"/>
      <c r="BE321"/>
      <c r="BF321"/>
      <c r="BG321"/>
      <c r="BH321"/>
      <c r="BI321"/>
      <c r="BJ321"/>
      <c r="BK321"/>
      <c r="BL321"/>
      <c r="BM321"/>
      <c r="BN321"/>
      <c r="BO321"/>
      <c r="BP321"/>
      <c r="BQ321"/>
      <c r="CB321"/>
      <c r="CC321"/>
      <c r="CD321"/>
      <c r="CE321"/>
      <c r="CJ321"/>
      <c r="CK321"/>
      <c r="CL321"/>
      <c r="CM321"/>
      <c r="CN321"/>
    </row>
    <row r="322" spans="14:92" ht="11.25" customHeight="1" x14ac:dyDescent="0.2">
      <c r="N322"/>
      <c r="O322"/>
      <c r="P322"/>
      <c r="Q322"/>
      <c r="R322"/>
      <c r="S322"/>
      <c r="T322"/>
      <c r="U322"/>
      <c r="V322"/>
      <c r="W322"/>
      <c r="X322"/>
      <c r="Y322"/>
      <c r="Z322"/>
      <c r="AA322"/>
      <c r="AB322"/>
      <c r="AC322"/>
      <c r="AD322"/>
      <c r="AE322" s="19">
        <v>231</v>
      </c>
      <c r="AG322" s="19">
        <f t="shared" si="187"/>
        <v>3</v>
      </c>
      <c r="AH322" s="19">
        <f t="shared" si="188"/>
        <v>-1</v>
      </c>
      <c r="AI322" s="19">
        <f t="shared" si="189"/>
        <v>31.395000000000003</v>
      </c>
      <c r="AJ322" s="410">
        <f t="shared" si="190"/>
        <v>876.84</v>
      </c>
      <c r="AK322" s="19" t="e">
        <f t="shared" si="191"/>
        <v>#N/A</v>
      </c>
      <c r="AL322" s="19">
        <f t="shared" si="192"/>
        <v>676.84</v>
      </c>
      <c r="AM322" s="19" t="e">
        <f t="shared" si="193"/>
        <v>#N/A</v>
      </c>
      <c r="AN322" s="19">
        <f t="shared" si="194"/>
        <v>476.84</v>
      </c>
      <c r="AO322" s="19" t="e">
        <f t="shared" si="195"/>
        <v>#N/A</v>
      </c>
      <c r="AP322" s="19">
        <f t="shared" si="196"/>
        <v>276.83999999999997</v>
      </c>
      <c r="AQ322" s="19" t="e">
        <f t="shared" si="197"/>
        <v>#N/A</v>
      </c>
      <c r="AR322" s="19">
        <f t="shared" si="198"/>
        <v>76.84</v>
      </c>
      <c r="AS322" s="19" t="e">
        <f t="shared" si="199"/>
        <v>#N/A</v>
      </c>
      <c r="AT322"/>
      <c r="AU322"/>
      <c r="AV322"/>
      <c r="AW322"/>
      <c r="AX322"/>
      <c r="AY322"/>
      <c r="AZ322"/>
      <c r="BA322"/>
      <c r="BB322"/>
      <c r="BC322"/>
      <c r="BD322"/>
      <c r="BE322"/>
      <c r="BF322"/>
      <c r="BG322"/>
      <c r="BH322"/>
      <c r="BI322"/>
      <c r="BJ322"/>
      <c r="BK322"/>
      <c r="BL322"/>
      <c r="BM322"/>
      <c r="BN322"/>
      <c r="BO322"/>
      <c r="BP322"/>
      <c r="BQ322"/>
      <c r="CB322"/>
      <c r="CC322"/>
      <c r="CD322"/>
      <c r="CE322"/>
      <c r="CJ322"/>
      <c r="CK322"/>
      <c r="CL322"/>
      <c r="CM322"/>
      <c r="CN322"/>
    </row>
    <row r="323" spans="14:92" ht="11.25" customHeight="1" x14ac:dyDescent="0.2">
      <c r="N323"/>
      <c r="O323"/>
      <c r="P323"/>
      <c r="Q323"/>
      <c r="R323"/>
      <c r="S323"/>
      <c r="T323"/>
      <c r="U323"/>
      <c r="V323"/>
      <c r="W323"/>
      <c r="X323"/>
      <c r="Y323"/>
      <c r="Z323"/>
      <c r="AA323"/>
      <c r="AB323"/>
      <c r="AC323"/>
      <c r="AD323"/>
      <c r="AE323" s="19">
        <v>232</v>
      </c>
      <c r="AG323" s="19">
        <f t="shared" si="187"/>
        <v>3</v>
      </c>
      <c r="AH323" s="19">
        <f t="shared" si="188"/>
        <v>1</v>
      </c>
      <c r="AI323" s="19">
        <f t="shared" si="189"/>
        <v>31.395000000000003</v>
      </c>
      <c r="AJ323" s="410">
        <f t="shared" si="190"/>
        <v>923.16</v>
      </c>
      <c r="AK323" s="19" t="e">
        <f t="shared" si="191"/>
        <v>#N/A</v>
      </c>
      <c r="AL323" s="19">
        <f t="shared" si="192"/>
        <v>723.16</v>
      </c>
      <c r="AM323" s="19" t="e">
        <f t="shared" si="193"/>
        <v>#N/A</v>
      </c>
      <c r="AN323" s="19">
        <f t="shared" si="194"/>
        <v>523.16</v>
      </c>
      <c r="AO323" s="19" t="e">
        <f t="shared" si="195"/>
        <v>#N/A</v>
      </c>
      <c r="AP323" s="19">
        <f t="shared" si="196"/>
        <v>323.16000000000003</v>
      </c>
      <c r="AQ323" s="19" t="e">
        <f t="shared" si="197"/>
        <v>#N/A</v>
      </c>
      <c r="AR323" s="19">
        <f t="shared" si="198"/>
        <v>123.16</v>
      </c>
      <c r="AS323" s="19" t="e">
        <f t="shared" si="199"/>
        <v>#N/A</v>
      </c>
      <c r="AT323"/>
      <c r="AU323"/>
      <c r="AV323"/>
      <c r="AW323"/>
      <c r="AX323"/>
      <c r="AY323"/>
      <c r="AZ323"/>
      <c r="BA323"/>
      <c r="BB323"/>
      <c r="BC323"/>
      <c r="BD323"/>
      <c r="BE323"/>
      <c r="BF323"/>
      <c r="BG323"/>
      <c r="BH323"/>
      <c r="BI323"/>
      <c r="BJ323"/>
      <c r="BK323"/>
      <c r="BL323"/>
      <c r="BM323"/>
      <c r="BN323"/>
      <c r="BO323"/>
      <c r="BP323"/>
      <c r="BQ323"/>
      <c r="CB323"/>
      <c r="CC323"/>
      <c r="CD323"/>
      <c r="CE323"/>
      <c r="CJ323"/>
      <c r="CK323"/>
      <c r="CL323"/>
      <c r="CM323"/>
      <c r="CN323"/>
    </row>
    <row r="324" spans="14:92" ht="11.25" customHeight="1" x14ac:dyDescent="0.2">
      <c r="N324"/>
      <c r="O324"/>
      <c r="P324"/>
      <c r="Q324"/>
      <c r="R324"/>
      <c r="S324"/>
      <c r="T324"/>
      <c r="U324"/>
      <c r="V324"/>
      <c r="W324"/>
      <c r="X324"/>
      <c r="Y324"/>
      <c r="Z324"/>
      <c r="AA324"/>
      <c r="AB324"/>
      <c r="AC324"/>
      <c r="AD324"/>
      <c r="AE324" s="19">
        <v>233</v>
      </c>
      <c r="AG324" s="19">
        <f t="shared" si="187"/>
        <v>5</v>
      </c>
      <c r="AH324" s="19">
        <f t="shared" si="188"/>
        <v>-1</v>
      </c>
      <c r="AI324" s="19">
        <f t="shared" si="189"/>
        <v>31.395000000000003</v>
      </c>
      <c r="AJ324" s="410">
        <f t="shared" si="190"/>
        <v>861.4</v>
      </c>
      <c r="AK324" s="19" t="e">
        <f t="shared" si="191"/>
        <v>#N/A</v>
      </c>
      <c r="AL324" s="19">
        <f t="shared" si="192"/>
        <v>661.4</v>
      </c>
      <c r="AM324" s="19" t="e">
        <f t="shared" si="193"/>
        <v>#N/A</v>
      </c>
      <c r="AN324" s="19">
        <f t="shared" si="194"/>
        <v>461.4</v>
      </c>
      <c r="AO324" s="19" t="e">
        <f t="shared" si="195"/>
        <v>#N/A</v>
      </c>
      <c r="AP324" s="19">
        <f t="shared" si="196"/>
        <v>261.39999999999998</v>
      </c>
      <c r="AQ324" s="19" t="e">
        <f t="shared" si="197"/>
        <v>#N/A</v>
      </c>
      <c r="AR324" s="19">
        <f t="shared" si="198"/>
        <v>61.4</v>
      </c>
      <c r="AS324" s="19" t="e">
        <f t="shared" si="199"/>
        <v>#N/A</v>
      </c>
      <c r="AT324"/>
      <c r="AU324"/>
      <c r="AV324"/>
      <c r="AW324"/>
      <c r="AX324"/>
      <c r="AY324"/>
      <c r="AZ324"/>
      <c r="BA324"/>
      <c r="BB324"/>
      <c r="BC324"/>
      <c r="BD324"/>
      <c r="BE324"/>
      <c r="BF324"/>
      <c r="BG324"/>
      <c r="BH324"/>
      <c r="BI324"/>
      <c r="BJ324"/>
      <c r="BK324"/>
      <c r="BL324"/>
      <c r="BM324"/>
      <c r="BN324"/>
      <c r="BO324"/>
      <c r="BP324"/>
      <c r="BQ324"/>
      <c r="CB324"/>
      <c r="CC324"/>
      <c r="CD324"/>
      <c r="CE324"/>
      <c r="CJ324"/>
      <c r="CK324"/>
      <c r="CL324"/>
      <c r="CM324"/>
      <c r="CN324"/>
    </row>
    <row r="325" spans="14:92" ht="11.25" customHeight="1" x14ac:dyDescent="0.2">
      <c r="N325"/>
      <c r="O325"/>
      <c r="P325"/>
      <c r="Q325"/>
      <c r="R325"/>
      <c r="S325"/>
      <c r="T325"/>
      <c r="U325"/>
      <c r="V325"/>
      <c r="W325"/>
      <c r="X325"/>
      <c r="Y325"/>
      <c r="Z325"/>
      <c r="AA325"/>
      <c r="AB325"/>
      <c r="AC325"/>
      <c r="AD325"/>
      <c r="AE325" s="19">
        <v>234</v>
      </c>
      <c r="AG325" s="19">
        <f t="shared" si="187"/>
        <v>5</v>
      </c>
      <c r="AH325" s="19">
        <f t="shared" si="188"/>
        <v>1</v>
      </c>
      <c r="AI325" s="19">
        <f t="shared" si="189"/>
        <v>31.395000000000003</v>
      </c>
      <c r="AJ325" s="410">
        <f t="shared" si="190"/>
        <v>938.6</v>
      </c>
      <c r="AK325" s="19" t="e">
        <f t="shared" si="191"/>
        <v>#N/A</v>
      </c>
      <c r="AL325" s="19">
        <f t="shared" si="192"/>
        <v>738.6</v>
      </c>
      <c r="AM325" s="19" t="e">
        <f t="shared" si="193"/>
        <v>#N/A</v>
      </c>
      <c r="AN325" s="19">
        <f t="shared" si="194"/>
        <v>538.6</v>
      </c>
      <c r="AO325" s="19" t="e">
        <f t="shared" si="195"/>
        <v>#N/A</v>
      </c>
      <c r="AP325" s="19">
        <f t="shared" si="196"/>
        <v>338.6</v>
      </c>
      <c r="AQ325" s="19" t="e">
        <f t="shared" si="197"/>
        <v>#N/A</v>
      </c>
      <c r="AR325" s="19">
        <f t="shared" si="198"/>
        <v>138.6</v>
      </c>
      <c r="AS325" s="19" t="e">
        <f t="shared" si="199"/>
        <v>#N/A</v>
      </c>
      <c r="AT325"/>
      <c r="AU325"/>
      <c r="AV325"/>
      <c r="AW325"/>
      <c r="AX325"/>
      <c r="AY325"/>
      <c r="AZ325"/>
      <c r="BA325"/>
      <c r="BB325"/>
      <c r="BC325"/>
      <c r="BD325"/>
      <c r="BE325"/>
      <c r="BF325"/>
      <c r="BG325"/>
      <c r="BH325"/>
      <c r="BI325"/>
      <c r="BJ325"/>
      <c r="BK325"/>
      <c r="BL325"/>
      <c r="BM325"/>
      <c r="BN325"/>
      <c r="BO325"/>
      <c r="BP325"/>
      <c r="BQ325"/>
      <c r="CB325"/>
      <c r="CC325"/>
      <c r="CD325"/>
      <c r="CE325"/>
      <c r="CJ325"/>
      <c r="CK325"/>
      <c r="CL325"/>
      <c r="CM325"/>
      <c r="CN325"/>
    </row>
    <row r="326" spans="14:92" ht="11.25" customHeight="1" x14ac:dyDescent="0.2">
      <c r="N326"/>
      <c r="O326"/>
      <c r="P326"/>
      <c r="Q326"/>
      <c r="R326"/>
      <c r="S326"/>
      <c r="T326"/>
      <c r="U326"/>
      <c r="V326"/>
      <c r="W326"/>
      <c r="X326"/>
      <c r="Y326"/>
      <c r="Z326"/>
      <c r="AA326"/>
      <c r="AB326"/>
      <c r="AC326"/>
      <c r="AD326"/>
      <c r="AE326" s="19">
        <v>235</v>
      </c>
      <c r="AG326" s="19">
        <f t="shared" si="187"/>
        <v>7</v>
      </c>
      <c r="AH326" s="19">
        <f t="shared" si="188"/>
        <v>-1</v>
      </c>
      <c r="AI326" s="19">
        <f t="shared" si="189"/>
        <v>31.395000000000003</v>
      </c>
      <c r="AJ326" s="410">
        <f t="shared" si="190"/>
        <v>845.96</v>
      </c>
      <c r="AK326" s="19" t="e">
        <f t="shared" si="191"/>
        <v>#N/A</v>
      </c>
      <c r="AL326" s="19">
        <f t="shared" si="192"/>
        <v>645.96</v>
      </c>
      <c r="AM326" s="19" t="e">
        <f t="shared" si="193"/>
        <v>#N/A</v>
      </c>
      <c r="AN326" s="19">
        <f t="shared" si="194"/>
        <v>445.96</v>
      </c>
      <c r="AO326" s="19" t="e">
        <f t="shared" si="195"/>
        <v>#N/A</v>
      </c>
      <c r="AP326" s="19">
        <f t="shared" si="196"/>
        <v>245.96</v>
      </c>
      <c r="AQ326" s="19" t="e">
        <f t="shared" si="197"/>
        <v>#N/A</v>
      </c>
      <c r="AR326" s="19">
        <f t="shared" si="198"/>
        <v>45.96</v>
      </c>
      <c r="AS326" s="19" t="e">
        <f t="shared" si="199"/>
        <v>#N/A</v>
      </c>
      <c r="AT326"/>
      <c r="AU326"/>
      <c r="AV326"/>
      <c r="AW326"/>
      <c r="AX326"/>
      <c r="AY326"/>
      <c r="AZ326"/>
      <c r="BA326"/>
      <c r="BB326"/>
      <c r="BC326"/>
      <c r="BD326"/>
      <c r="BE326"/>
      <c r="BF326"/>
      <c r="BG326"/>
      <c r="BH326"/>
      <c r="BI326"/>
      <c r="BJ326"/>
      <c r="BK326"/>
      <c r="BL326"/>
      <c r="BM326"/>
      <c r="BN326"/>
      <c r="BO326"/>
      <c r="BP326"/>
      <c r="BQ326"/>
      <c r="CB326"/>
      <c r="CC326"/>
      <c r="CD326"/>
      <c r="CE326"/>
      <c r="CJ326"/>
      <c r="CK326"/>
      <c r="CL326"/>
      <c r="CM326"/>
      <c r="CN326"/>
    </row>
    <row r="327" spans="14:92" ht="11.25" customHeight="1" x14ac:dyDescent="0.2">
      <c r="N327"/>
      <c r="O327"/>
      <c r="P327"/>
      <c r="Q327"/>
      <c r="R327"/>
      <c r="S327"/>
      <c r="T327"/>
      <c r="U327"/>
      <c r="V327"/>
      <c r="W327"/>
      <c r="X327"/>
      <c r="Y327"/>
      <c r="Z327"/>
      <c r="AA327"/>
      <c r="AB327"/>
      <c r="AC327"/>
      <c r="AD327"/>
      <c r="AE327" s="19">
        <v>236</v>
      </c>
      <c r="AG327" s="19">
        <f t="shared" si="187"/>
        <v>7</v>
      </c>
      <c r="AH327" s="19">
        <f t="shared" si="188"/>
        <v>1</v>
      </c>
      <c r="AI327" s="19">
        <f t="shared" si="189"/>
        <v>31.395000000000003</v>
      </c>
      <c r="AJ327" s="410">
        <f t="shared" si="190"/>
        <v>954.04</v>
      </c>
      <c r="AK327" s="19" t="e">
        <f t="shared" si="191"/>
        <v>#N/A</v>
      </c>
      <c r="AL327" s="19">
        <f t="shared" si="192"/>
        <v>754.04</v>
      </c>
      <c r="AM327" s="19" t="e">
        <f t="shared" si="193"/>
        <v>#N/A</v>
      </c>
      <c r="AN327" s="19">
        <f t="shared" si="194"/>
        <v>554.04</v>
      </c>
      <c r="AO327" s="19" t="e">
        <f t="shared" si="195"/>
        <v>#N/A</v>
      </c>
      <c r="AP327" s="19">
        <f t="shared" si="196"/>
        <v>354.04</v>
      </c>
      <c r="AQ327" s="19" t="e">
        <f t="shared" si="197"/>
        <v>#N/A</v>
      </c>
      <c r="AR327" s="19">
        <f t="shared" si="198"/>
        <v>154.04</v>
      </c>
      <c r="AS327" s="19" t="e">
        <f t="shared" si="199"/>
        <v>#N/A</v>
      </c>
      <c r="AT327"/>
      <c r="AU327"/>
      <c r="AV327"/>
      <c r="AW327"/>
      <c r="AX327"/>
      <c r="AY327"/>
      <c r="AZ327"/>
      <c r="BA327"/>
      <c r="BB327"/>
      <c r="BC327"/>
      <c r="BD327"/>
      <c r="BE327"/>
      <c r="BF327"/>
      <c r="BG327"/>
      <c r="BH327"/>
      <c r="BI327"/>
      <c r="BJ327"/>
      <c r="BK327"/>
      <c r="BL327"/>
      <c r="BM327"/>
      <c r="BN327"/>
      <c r="BO327"/>
      <c r="BP327"/>
      <c r="BQ327"/>
      <c r="CB327"/>
      <c r="CC327"/>
      <c r="CD327"/>
      <c r="CE327"/>
      <c r="CJ327"/>
      <c r="CK327"/>
      <c r="CL327"/>
      <c r="CM327"/>
      <c r="CN327"/>
    </row>
    <row r="328" spans="14:92" ht="11.25" customHeight="1" x14ac:dyDescent="0.2">
      <c r="N328"/>
      <c r="O328"/>
      <c r="P328"/>
      <c r="Q328"/>
      <c r="R328"/>
      <c r="S328"/>
      <c r="T328"/>
      <c r="U328"/>
      <c r="V328"/>
      <c r="W328"/>
      <c r="X328"/>
      <c r="Y328"/>
      <c r="Z328"/>
      <c r="AA328"/>
      <c r="AB328"/>
      <c r="AC328"/>
      <c r="AD328"/>
      <c r="AE328" s="19">
        <v>237</v>
      </c>
      <c r="AG328" s="19">
        <f t="shared" si="187"/>
        <v>9</v>
      </c>
      <c r="AH328" s="19">
        <f t="shared" si="188"/>
        <v>-1</v>
      </c>
      <c r="AI328" s="19">
        <f t="shared" si="189"/>
        <v>31.395000000000003</v>
      </c>
      <c r="AJ328" s="410">
        <f t="shared" si="190"/>
        <v>830.52</v>
      </c>
      <c r="AK328" s="19" t="e">
        <f t="shared" si="191"/>
        <v>#N/A</v>
      </c>
      <c r="AL328" s="19">
        <f t="shared" si="192"/>
        <v>630.52</v>
      </c>
      <c r="AM328" s="19" t="e">
        <f t="shared" si="193"/>
        <v>#N/A</v>
      </c>
      <c r="AN328" s="19">
        <f t="shared" si="194"/>
        <v>430.52</v>
      </c>
      <c r="AO328" s="19" t="e">
        <f t="shared" si="195"/>
        <v>#N/A</v>
      </c>
      <c r="AP328" s="19">
        <f t="shared" si="196"/>
        <v>230.51999999999998</v>
      </c>
      <c r="AQ328" s="19" t="e">
        <f t="shared" si="197"/>
        <v>#N/A</v>
      </c>
      <c r="AR328" s="19">
        <f t="shared" si="198"/>
        <v>30.519999999999996</v>
      </c>
      <c r="AS328" s="19" t="e">
        <f t="shared" si="199"/>
        <v>#N/A</v>
      </c>
      <c r="AT328"/>
      <c r="AU328"/>
      <c r="AV328"/>
      <c r="AW328"/>
      <c r="AX328"/>
      <c r="AY328"/>
      <c r="AZ328"/>
      <c r="BA328"/>
      <c r="BB328"/>
      <c r="BC328"/>
      <c r="BD328"/>
      <c r="BE328"/>
      <c r="BF328"/>
      <c r="BG328"/>
      <c r="BH328"/>
      <c r="BI328"/>
      <c r="BJ328"/>
      <c r="BK328"/>
      <c r="BL328"/>
      <c r="BM328"/>
      <c r="BN328"/>
      <c r="BO328"/>
      <c r="BP328"/>
      <c r="BQ328"/>
      <c r="CB328"/>
      <c r="CC328"/>
      <c r="CD328"/>
      <c r="CE328"/>
      <c r="CJ328"/>
      <c r="CK328"/>
      <c r="CL328"/>
      <c r="CM328"/>
      <c r="CN328"/>
    </row>
    <row r="329" spans="14:92" ht="11.25" customHeight="1" x14ac:dyDescent="0.2">
      <c r="N329"/>
      <c r="O329"/>
      <c r="P329"/>
      <c r="Q329"/>
      <c r="R329"/>
      <c r="S329"/>
      <c r="T329"/>
      <c r="U329"/>
      <c r="V329"/>
      <c r="W329"/>
      <c r="X329"/>
      <c r="Y329"/>
      <c r="Z329"/>
      <c r="AA329"/>
      <c r="AB329"/>
      <c r="AC329"/>
      <c r="AD329"/>
      <c r="AE329" s="19">
        <v>238</v>
      </c>
      <c r="AG329" s="19">
        <f t="shared" si="187"/>
        <v>9</v>
      </c>
      <c r="AH329" s="19">
        <f t="shared" si="188"/>
        <v>1</v>
      </c>
      <c r="AI329" s="19">
        <f t="shared" si="189"/>
        <v>31.395000000000003</v>
      </c>
      <c r="AJ329" s="410">
        <f t="shared" si="190"/>
        <v>969.48</v>
      </c>
      <c r="AK329" s="19" t="e">
        <f t="shared" si="191"/>
        <v>#N/A</v>
      </c>
      <c r="AL329" s="19">
        <f t="shared" si="192"/>
        <v>769.48</v>
      </c>
      <c r="AM329" s="19" t="e">
        <f t="shared" si="193"/>
        <v>#N/A</v>
      </c>
      <c r="AN329" s="19">
        <f t="shared" si="194"/>
        <v>569.48</v>
      </c>
      <c r="AO329" s="19" t="e">
        <f t="shared" si="195"/>
        <v>#N/A</v>
      </c>
      <c r="AP329" s="19">
        <f t="shared" si="196"/>
        <v>369.48</v>
      </c>
      <c r="AQ329" s="19" t="e">
        <f t="shared" si="197"/>
        <v>#N/A</v>
      </c>
      <c r="AR329" s="19">
        <f t="shared" si="198"/>
        <v>169.48000000000002</v>
      </c>
      <c r="AS329" s="19" t="e">
        <f t="shared" si="199"/>
        <v>#N/A</v>
      </c>
      <c r="AT329"/>
      <c r="AU329"/>
      <c r="AV329"/>
      <c r="AW329"/>
      <c r="AX329"/>
      <c r="AY329"/>
      <c r="AZ329"/>
      <c r="BA329"/>
      <c r="BB329"/>
      <c r="BC329"/>
      <c r="BD329"/>
      <c r="BE329"/>
      <c r="BF329"/>
      <c r="BG329"/>
      <c r="BH329"/>
      <c r="BI329"/>
      <c r="BJ329"/>
      <c r="BK329"/>
      <c r="BL329"/>
      <c r="BM329"/>
      <c r="BN329"/>
      <c r="BO329"/>
      <c r="BP329"/>
      <c r="BQ329"/>
      <c r="CB329"/>
      <c r="CC329"/>
      <c r="CD329"/>
      <c r="CE329"/>
      <c r="CJ329"/>
      <c r="CK329"/>
      <c r="CL329"/>
      <c r="CM329"/>
      <c r="CN329"/>
    </row>
    <row r="330" spans="14:92" ht="11.25" customHeight="1" x14ac:dyDescent="0.2">
      <c r="N330"/>
      <c r="O330"/>
      <c r="P330"/>
      <c r="Q330"/>
      <c r="R330"/>
      <c r="S330"/>
      <c r="T330"/>
      <c r="U330"/>
      <c r="V330"/>
      <c r="W330"/>
      <c r="X330"/>
      <c r="Y330"/>
      <c r="Z330"/>
      <c r="AA330"/>
      <c r="AB330"/>
      <c r="AC330"/>
      <c r="AD330"/>
      <c r="AE330" s="19">
        <v>239</v>
      </c>
      <c r="AG330" s="19">
        <f t="shared" si="187"/>
        <v>11</v>
      </c>
      <c r="AH330" s="19">
        <f t="shared" si="188"/>
        <v>-1</v>
      </c>
      <c r="AI330" s="19">
        <f t="shared" si="189"/>
        <v>31.395000000000003</v>
      </c>
      <c r="AJ330" s="410">
        <f t="shared" si="190"/>
        <v>815.08</v>
      </c>
      <c r="AK330" s="19" t="e">
        <f t="shared" si="191"/>
        <v>#N/A</v>
      </c>
      <c r="AL330" s="19">
        <f t="shared" si="192"/>
        <v>615.08000000000004</v>
      </c>
      <c r="AM330" s="19" t="e">
        <f t="shared" si="193"/>
        <v>#N/A</v>
      </c>
      <c r="AN330" s="19">
        <f t="shared" si="194"/>
        <v>415.08</v>
      </c>
      <c r="AO330" s="19" t="e">
        <f t="shared" si="195"/>
        <v>#N/A</v>
      </c>
      <c r="AP330" s="19">
        <f t="shared" si="196"/>
        <v>215.07999999999998</v>
      </c>
      <c r="AQ330" s="19" t="e">
        <f t="shared" si="197"/>
        <v>#N/A</v>
      </c>
      <c r="AR330" s="19">
        <f t="shared" si="198"/>
        <v>15.079999999999998</v>
      </c>
      <c r="AS330" s="19" t="e">
        <f t="shared" si="199"/>
        <v>#N/A</v>
      </c>
      <c r="AT330"/>
      <c r="AU330"/>
      <c r="AV330"/>
      <c r="AW330"/>
      <c r="AX330"/>
      <c r="AY330"/>
      <c r="AZ330"/>
      <c r="BA330"/>
      <c r="BB330"/>
      <c r="BC330"/>
      <c r="BD330"/>
      <c r="BE330"/>
      <c r="BF330"/>
      <c r="BG330"/>
      <c r="BH330"/>
      <c r="BI330"/>
      <c r="BJ330"/>
      <c r="BK330"/>
      <c r="BL330"/>
      <c r="BM330"/>
      <c r="BN330"/>
      <c r="BO330"/>
      <c r="BP330"/>
      <c r="BQ330"/>
      <c r="CB330"/>
      <c r="CC330"/>
      <c r="CD330"/>
      <c r="CE330"/>
      <c r="CJ330"/>
      <c r="CK330"/>
      <c r="CL330"/>
      <c r="CM330"/>
      <c r="CN330"/>
    </row>
    <row r="331" spans="14:92" ht="11.25" customHeight="1" x14ac:dyDescent="0.2">
      <c r="N331"/>
      <c r="O331"/>
      <c r="P331"/>
      <c r="Q331"/>
      <c r="R331"/>
      <c r="S331"/>
      <c r="T331"/>
      <c r="U331"/>
      <c r="V331"/>
      <c r="W331"/>
      <c r="X331"/>
      <c r="Y331"/>
      <c r="Z331"/>
      <c r="AA331"/>
      <c r="AB331"/>
      <c r="AC331"/>
      <c r="AD331"/>
      <c r="AE331" s="19">
        <v>240</v>
      </c>
      <c r="AG331" s="19">
        <f t="shared" si="187"/>
        <v>11</v>
      </c>
      <c r="AH331" s="19">
        <f t="shared" si="188"/>
        <v>1</v>
      </c>
      <c r="AI331" s="19">
        <f t="shared" si="189"/>
        <v>31.395000000000003</v>
      </c>
      <c r="AJ331" s="410">
        <f t="shared" si="190"/>
        <v>984.92</v>
      </c>
      <c r="AK331" s="19" t="e">
        <f t="shared" si="191"/>
        <v>#N/A</v>
      </c>
      <c r="AL331" s="19">
        <f t="shared" si="192"/>
        <v>784.92</v>
      </c>
      <c r="AM331" s="19" t="e">
        <f t="shared" si="193"/>
        <v>#N/A</v>
      </c>
      <c r="AN331" s="19">
        <f t="shared" si="194"/>
        <v>584.91999999999996</v>
      </c>
      <c r="AO331" s="19" t="e">
        <f t="shared" si="195"/>
        <v>#N/A</v>
      </c>
      <c r="AP331" s="19">
        <f t="shared" si="196"/>
        <v>384.92</v>
      </c>
      <c r="AQ331" s="19" t="e">
        <f t="shared" si="197"/>
        <v>#N/A</v>
      </c>
      <c r="AR331" s="19">
        <f t="shared" si="198"/>
        <v>184.92000000000002</v>
      </c>
      <c r="AS331" s="19" t="e">
        <f t="shared" si="199"/>
        <v>#N/A</v>
      </c>
      <c r="AT331"/>
      <c r="AU331"/>
      <c r="AV331"/>
      <c r="AW331"/>
      <c r="AX331"/>
      <c r="AY331"/>
      <c r="AZ331"/>
      <c r="BA331"/>
      <c r="BB331"/>
      <c r="BC331"/>
      <c r="BD331"/>
      <c r="BE331"/>
      <c r="BF331"/>
      <c r="BG331"/>
      <c r="BH331"/>
      <c r="BI331"/>
      <c r="BJ331"/>
      <c r="BK331"/>
      <c r="BL331"/>
      <c r="BM331"/>
      <c r="BN331"/>
      <c r="BO331"/>
      <c r="BP331"/>
      <c r="BQ331"/>
      <c r="CB331"/>
      <c r="CC331"/>
      <c r="CD331"/>
      <c r="CE331"/>
      <c r="CJ331"/>
      <c r="CK331"/>
      <c r="CL331"/>
      <c r="CM331"/>
      <c r="CN331"/>
    </row>
    <row r="332" spans="14:92" ht="11.25" customHeight="1" x14ac:dyDescent="0.2">
      <c r="N332"/>
      <c r="O332"/>
      <c r="P332"/>
      <c r="Q332"/>
      <c r="R332"/>
      <c r="S332"/>
      <c r="T332"/>
      <c r="U332"/>
      <c r="V332"/>
      <c r="W332"/>
      <c r="X332"/>
      <c r="Y332"/>
      <c r="Z332"/>
      <c r="AA332"/>
      <c r="AB332"/>
      <c r="AC332"/>
      <c r="AD332"/>
      <c r="AE332" s="19">
        <v>241</v>
      </c>
      <c r="AG332" s="19">
        <f t="shared" si="187"/>
        <v>1</v>
      </c>
      <c r="AH332" s="19">
        <f t="shared" si="188"/>
        <v>-1</v>
      </c>
      <c r="AI332" s="19">
        <f t="shared" si="189"/>
        <v>33.005000000000003</v>
      </c>
      <c r="AJ332" s="410">
        <f t="shared" si="190"/>
        <v>892.28</v>
      </c>
      <c r="AK332" s="19" t="e">
        <f t="shared" si="191"/>
        <v>#N/A</v>
      </c>
      <c r="AL332" s="19">
        <f t="shared" si="192"/>
        <v>692.28</v>
      </c>
      <c r="AM332" s="19" t="e">
        <f t="shared" si="193"/>
        <v>#N/A</v>
      </c>
      <c r="AN332" s="19">
        <f t="shared" si="194"/>
        <v>492.28</v>
      </c>
      <c r="AO332" s="19" t="e">
        <f t="shared" si="195"/>
        <v>#N/A</v>
      </c>
      <c r="AP332" s="19">
        <f t="shared" si="196"/>
        <v>292.27999999999997</v>
      </c>
      <c r="AQ332" s="19" t="e">
        <f t="shared" si="197"/>
        <v>#N/A</v>
      </c>
      <c r="AR332" s="19">
        <f t="shared" si="198"/>
        <v>92.28</v>
      </c>
      <c r="AS332" s="19" t="e">
        <f t="shared" si="199"/>
        <v>#N/A</v>
      </c>
      <c r="AT332"/>
      <c r="AU332"/>
      <c r="AV332"/>
      <c r="AW332"/>
      <c r="AX332"/>
      <c r="AY332"/>
      <c r="AZ332"/>
      <c r="BA332"/>
      <c r="BB332"/>
      <c r="BC332"/>
      <c r="BD332"/>
      <c r="BE332"/>
      <c r="BF332"/>
      <c r="BG332"/>
      <c r="BH332"/>
      <c r="BI332"/>
      <c r="BJ332"/>
      <c r="BK332"/>
      <c r="BL332"/>
      <c r="BM332"/>
      <c r="BN332"/>
      <c r="BO332"/>
      <c r="BP332"/>
      <c r="BQ332"/>
      <c r="CB332"/>
      <c r="CC332"/>
      <c r="CD332"/>
      <c r="CE332"/>
      <c r="CJ332"/>
      <c r="CK332"/>
      <c r="CL332"/>
      <c r="CM332"/>
      <c r="CN332"/>
    </row>
    <row r="333" spans="14:92" ht="11.25" customHeight="1" x14ac:dyDescent="0.2">
      <c r="N333"/>
      <c r="O333"/>
      <c r="P333"/>
      <c r="Q333"/>
      <c r="R333"/>
      <c r="S333"/>
      <c r="T333"/>
      <c r="U333"/>
      <c r="V333"/>
      <c r="W333"/>
      <c r="X333"/>
      <c r="Y333"/>
      <c r="Z333"/>
      <c r="AA333"/>
      <c r="AB333"/>
      <c r="AC333"/>
      <c r="AD333"/>
      <c r="AE333" s="19">
        <v>242</v>
      </c>
      <c r="AG333" s="19">
        <f t="shared" si="187"/>
        <v>1</v>
      </c>
      <c r="AH333" s="19">
        <f t="shared" si="188"/>
        <v>1</v>
      </c>
      <c r="AI333" s="19">
        <f t="shared" si="189"/>
        <v>33.005000000000003</v>
      </c>
      <c r="AJ333" s="410">
        <f t="shared" si="190"/>
        <v>907.72</v>
      </c>
      <c r="AK333" s="19" t="e">
        <f t="shared" si="191"/>
        <v>#N/A</v>
      </c>
      <c r="AL333" s="19">
        <f t="shared" si="192"/>
        <v>707.72</v>
      </c>
      <c r="AM333" s="19" t="e">
        <f t="shared" si="193"/>
        <v>#N/A</v>
      </c>
      <c r="AN333" s="19">
        <f t="shared" si="194"/>
        <v>507.72</v>
      </c>
      <c r="AO333" s="19" t="e">
        <f t="shared" si="195"/>
        <v>#N/A</v>
      </c>
      <c r="AP333" s="19">
        <f t="shared" si="196"/>
        <v>307.72000000000003</v>
      </c>
      <c r="AQ333" s="19" t="e">
        <f t="shared" si="197"/>
        <v>#N/A</v>
      </c>
      <c r="AR333" s="19">
        <f t="shared" si="198"/>
        <v>107.72</v>
      </c>
      <c r="AS333" s="19" t="e">
        <f t="shared" si="199"/>
        <v>#N/A</v>
      </c>
      <c r="AT333"/>
      <c r="AU333"/>
      <c r="AV333"/>
      <c r="AW333"/>
      <c r="AX333"/>
      <c r="AY333"/>
      <c r="AZ333"/>
      <c r="BA333"/>
      <c r="BB333"/>
      <c r="BC333"/>
      <c r="BD333"/>
      <c r="BE333"/>
      <c r="BF333"/>
      <c r="BG333"/>
      <c r="BH333"/>
      <c r="BI333"/>
      <c r="BJ333"/>
      <c r="BK333"/>
      <c r="BL333"/>
      <c r="BM333"/>
      <c r="BN333"/>
      <c r="BO333"/>
      <c r="BP333"/>
      <c r="BQ333"/>
      <c r="CB333"/>
      <c r="CC333"/>
      <c r="CD333"/>
      <c r="CE333"/>
      <c r="CJ333"/>
      <c r="CK333"/>
      <c r="CL333"/>
      <c r="CM333"/>
      <c r="CN333"/>
    </row>
    <row r="334" spans="14:92" ht="11.25" customHeight="1" x14ac:dyDescent="0.2">
      <c r="N334"/>
      <c r="O334"/>
      <c r="P334"/>
      <c r="Q334"/>
      <c r="R334"/>
      <c r="S334"/>
      <c r="T334"/>
      <c r="U334"/>
      <c r="V334"/>
      <c r="W334"/>
      <c r="X334"/>
      <c r="Y334"/>
      <c r="Z334"/>
      <c r="AA334"/>
      <c r="AB334"/>
      <c r="AC334"/>
      <c r="AD334"/>
      <c r="AE334" s="19">
        <v>243</v>
      </c>
      <c r="AG334" s="19">
        <f t="shared" si="187"/>
        <v>3</v>
      </c>
      <c r="AH334" s="19">
        <f t="shared" si="188"/>
        <v>-1</v>
      </c>
      <c r="AI334" s="19">
        <f t="shared" si="189"/>
        <v>33.005000000000003</v>
      </c>
      <c r="AJ334" s="410">
        <f t="shared" si="190"/>
        <v>876.84</v>
      </c>
      <c r="AK334" s="19" t="e">
        <f t="shared" si="191"/>
        <v>#N/A</v>
      </c>
      <c r="AL334" s="19">
        <f t="shared" si="192"/>
        <v>676.84</v>
      </c>
      <c r="AM334" s="19" t="e">
        <f t="shared" si="193"/>
        <v>#N/A</v>
      </c>
      <c r="AN334" s="19">
        <f t="shared" si="194"/>
        <v>476.84</v>
      </c>
      <c r="AO334" s="19" t="e">
        <f t="shared" si="195"/>
        <v>#N/A</v>
      </c>
      <c r="AP334" s="19">
        <f t="shared" si="196"/>
        <v>276.83999999999997</v>
      </c>
      <c r="AQ334" s="19" t="e">
        <f t="shared" si="197"/>
        <v>#N/A</v>
      </c>
      <c r="AR334" s="19">
        <f t="shared" si="198"/>
        <v>76.84</v>
      </c>
      <c r="AS334" s="19" t="e">
        <f t="shared" si="199"/>
        <v>#N/A</v>
      </c>
      <c r="AT334"/>
      <c r="AU334"/>
      <c r="AV334"/>
      <c r="AW334"/>
      <c r="AX334"/>
      <c r="AY334"/>
      <c r="AZ334"/>
      <c r="BA334"/>
      <c r="BB334"/>
      <c r="BC334"/>
      <c r="BD334"/>
      <c r="BE334"/>
      <c r="BF334"/>
      <c r="BG334"/>
      <c r="BH334"/>
      <c r="BI334"/>
      <c r="BJ334"/>
      <c r="BK334"/>
      <c r="BL334"/>
      <c r="BM334"/>
      <c r="BN334"/>
      <c r="BO334"/>
      <c r="BP334"/>
      <c r="BQ334"/>
      <c r="CB334"/>
      <c r="CC334"/>
      <c r="CD334"/>
      <c r="CE334"/>
      <c r="CJ334"/>
      <c r="CK334"/>
      <c r="CL334"/>
      <c r="CM334"/>
      <c r="CN334"/>
    </row>
    <row r="335" spans="14:92" ht="11.25" customHeight="1" x14ac:dyDescent="0.2">
      <c r="N335"/>
      <c r="O335"/>
      <c r="P335"/>
      <c r="Q335"/>
      <c r="R335"/>
      <c r="S335"/>
      <c r="T335"/>
      <c r="U335"/>
      <c r="V335"/>
      <c r="W335"/>
      <c r="X335"/>
      <c r="Y335"/>
      <c r="Z335"/>
      <c r="AA335"/>
      <c r="AB335"/>
      <c r="AC335"/>
      <c r="AD335"/>
      <c r="AE335" s="19">
        <v>244</v>
      </c>
      <c r="AG335" s="19">
        <f t="shared" si="187"/>
        <v>3</v>
      </c>
      <c r="AH335" s="19">
        <f t="shared" si="188"/>
        <v>1</v>
      </c>
      <c r="AI335" s="19">
        <f t="shared" si="189"/>
        <v>33.005000000000003</v>
      </c>
      <c r="AJ335" s="410">
        <f t="shared" si="190"/>
        <v>923.16</v>
      </c>
      <c r="AK335" s="19" t="e">
        <f t="shared" si="191"/>
        <v>#N/A</v>
      </c>
      <c r="AL335" s="19">
        <f t="shared" si="192"/>
        <v>723.16</v>
      </c>
      <c r="AM335" s="19" t="e">
        <f t="shared" si="193"/>
        <v>#N/A</v>
      </c>
      <c r="AN335" s="19">
        <f t="shared" si="194"/>
        <v>523.16</v>
      </c>
      <c r="AO335" s="19" t="e">
        <f t="shared" si="195"/>
        <v>#N/A</v>
      </c>
      <c r="AP335" s="19">
        <f t="shared" si="196"/>
        <v>323.16000000000003</v>
      </c>
      <c r="AQ335" s="19" t="e">
        <f t="shared" si="197"/>
        <v>#N/A</v>
      </c>
      <c r="AR335" s="19">
        <f t="shared" si="198"/>
        <v>123.16</v>
      </c>
      <c r="AS335" s="19" t="e">
        <f t="shared" si="199"/>
        <v>#N/A</v>
      </c>
      <c r="AT335"/>
      <c r="AU335"/>
      <c r="AV335"/>
      <c r="AW335"/>
      <c r="AX335"/>
      <c r="AY335"/>
      <c r="AZ335"/>
      <c r="BA335"/>
      <c r="BB335"/>
      <c r="BC335"/>
      <c r="BD335"/>
      <c r="BE335"/>
      <c r="BF335"/>
      <c r="BG335"/>
      <c r="BH335"/>
      <c r="BI335"/>
      <c r="BJ335"/>
      <c r="BK335"/>
      <c r="BL335"/>
      <c r="BM335"/>
      <c r="BN335"/>
      <c r="BO335"/>
      <c r="BP335"/>
      <c r="BQ335"/>
      <c r="CB335"/>
      <c r="CC335"/>
      <c r="CD335"/>
      <c r="CE335"/>
      <c r="CJ335"/>
      <c r="CK335"/>
      <c r="CL335"/>
      <c r="CM335"/>
      <c r="CN335"/>
    </row>
    <row r="336" spans="14:92" ht="11.25" customHeight="1" x14ac:dyDescent="0.2">
      <c r="N336"/>
      <c r="O336"/>
      <c r="P336"/>
      <c r="Q336"/>
      <c r="R336"/>
      <c r="S336"/>
      <c r="T336"/>
      <c r="U336"/>
      <c r="V336"/>
      <c r="W336"/>
      <c r="X336"/>
      <c r="Y336"/>
      <c r="Z336"/>
      <c r="AA336"/>
      <c r="AB336"/>
      <c r="AC336"/>
      <c r="AD336"/>
      <c r="AE336" s="19">
        <v>245</v>
      </c>
      <c r="AG336" s="19">
        <f t="shared" si="187"/>
        <v>5</v>
      </c>
      <c r="AH336" s="19">
        <f t="shared" si="188"/>
        <v>-1</v>
      </c>
      <c r="AI336" s="19">
        <f t="shared" si="189"/>
        <v>33.005000000000003</v>
      </c>
      <c r="AJ336" s="410">
        <f t="shared" si="190"/>
        <v>861.4</v>
      </c>
      <c r="AK336" s="19" t="e">
        <f t="shared" si="191"/>
        <v>#N/A</v>
      </c>
      <c r="AL336" s="19">
        <f t="shared" si="192"/>
        <v>661.4</v>
      </c>
      <c r="AM336" s="19" t="e">
        <f t="shared" si="193"/>
        <v>#N/A</v>
      </c>
      <c r="AN336" s="19">
        <f t="shared" si="194"/>
        <v>461.4</v>
      </c>
      <c r="AO336" s="19" t="e">
        <f t="shared" si="195"/>
        <v>#N/A</v>
      </c>
      <c r="AP336" s="19">
        <f t="shared" si="196"/>
        <v>261.39999999999998</v>
      </c>
      <c r="AQ336" s="19" t="e">
        <f t="shared" si="197"/>
        <v>#N/A</v>
      </c>
      <c r="AR336" s="19">
        <f t="shared" si="198"/>
        <v>61.4</v>
      </c>
      <c r="AS336" s="19" t="e">
        <f t="shared" si="199"/>
        <v>#N/A</v>
      </c>
      <c r="AT336"/>
      <c r="AU336"/>
      <c r="AV336"/>
      <c r="AW336"/>
      <c r="AX336"/>
      <c r="AY336"/>
      <c r="AZ336"/>
      <c r="BA336"/>
      <c r="BB336"/>
      <c r="BC336"/>
      <c r="BD336"/>
      <c r="BE336"/>
      <c r="BF336"/>
      <c r="BG336"/>
      <c r="BH336"/>
      <c r="BI336"/>
      <c r="BJ336"/>
      <c r="BK336"/>
      <c r="BL336"/>
      <c r="BM336"/>
      <c r="BN336"/>
      <c r="BO336"/>
      <c r="BP336"/>
      <c r="BQ336"/>
      <c r="CB336"/>
      <c r="CC336"/>
      <c r="CD336"/>
      <c r="CE336"/>
      <c r="CJ336"/>
      <c r="CK336"/>
      <c r="CL336"/>
      <c r="CM336"/>
      <c r="CN336"/>
    </row>
    <row r="337" spans="14:92" ht="11.25" customHeight="1" x14ac:dyDescent="0.2">
      <c r="N337"/>
      <c r="O337"/>
      <c r="P337"/>
      <c r="Q337"/>
      <c r="R337"/>
      <c r="S337"/>
      <c r="T337"/>
      <c r="U337"/>
      <c r="V337"/>
      <c r="W337"/>
      <c r="X337"/>
      <c r="Y337"/>
      <c r="Z337"/>
      <c r="AA337"/>
      <c r="AB337"/>
      <c r="AC337"/>
      <c r="AD337"/>
      <c r="AE337" s="19">
        <v>246</v>
      </c>
      <c r="AG337" s="19">
        <f t="shared" si="187"/>
        <v>5</v>
      </c>
      <c r="AH337" s="19">
        <f t="shared" si="188"/>
        <v>1</v>
      </c>
      <c r="AI337" s="19">
        <f t="shared" si="189"/>
        <v>33.005000000000003</v>
      </c>
      <c r="AJ337" s="410">
        <f t="shared" si="190"/>
        <v>938.6</v>
      </c>
      <c r="AK337" s="19" t="e">
        <f t="shared" si="191"/>
        <v>#N/A</v>
      </c>
      <c r="AL337" s="19">
        <f t="shared" si="192"/>
        <v>738.6</v>
      </c>
      <c r="AM337" s="19" t="e">
        <f t="shared" si="193"/>
        <v>#N/A</v>
      </c>
      <c r="AN337" s="19">
        <f t="shared" si="194"/>
        <v>538.6</v>
      </c>
      <c r="AO337" s="19" t="e">
        <f t="shared" si="195"/>
        <v>#N/A</v>
      </c>
      <c r="AP337" s="19">
        <f t="shared" si="196"/>
        <v>338.6</v>
      </c>
      <c r="AQ337" s="19" t="e">
        <f t="shared" si="197"/>
        <v>#N/A</v>
      </c>
      <c r="AR337" s="19">
        <f t="shared" si="198"/>
        <v>138.6</v>
      </c>
      <c r="AS337" s="19" t="e">
        <f t="shared" si="199"/>
        <v>#N/A</v>
      </c>
      <c r="AT337"/>
      <c r="AU337"/>
      <c r="AV337"/>
      <c r="AW337"/>
      <c r="AX337"/>
      <c r="AY337"/>
      <c r="AZ337"/>
      <c r="BA337"/>
      <c r="BB337"/>
      <c r="BC337"/>
      <c r="BD337"/>
      <c r="BE337"/>
      <c r="BF337"/>
      <c r="BG337"/>
      <c r="BH337"/>
      <c r="BI337"/>
      <c r="BJ337"/>
      <c r="BK337"/>
      <c r="BL337"/>
      <c r="BM337"/>
      <c r="BN337"/>
      <c r="BO337"/>
      <c r="BP337"/>
      <c r="BQ337"/>
      <c r="CB337"/>
      <c r="CC337"/>
      <c r="CD337"/>
      <c r="CE337"/>
      <c r="CJ337"/>
      <c r="CK337"/>
      <c r="CL337"/>
      <c r="CM337"/>
      <c r="CN337"/>
    </row>
    <row r="338" spans="14:92" ht="11.25" customHeight="1" x14ac:dyDescent="0.2">
      <c r="N338"/>
      <c r="O338"/>
      <c r="P338"/>
      <c r="Q338"/>
      <c r="R338"/>
      <c r="S338"/>
      <c r="T338"/>
      <c r="U338"/>
      <c r="V338"/>
      <c r="W338"/>
      <c r="X338"/>
      <c r="Y338"/>
      <c r="Z338"/>
      <c r="AA338"/>
      <c r="AB338"/>
      <c r="AC338"/>
      <c r="AD338"/>
      <c r="AE338" s="19">
        <v>247</v>
      </c>
      <c r="AG338" s="19">
        <f t="shared" si="187"/>
        <v>7</v>
      </c>
      <c r="AH338" s="19">
        <f t="shared" si="188"/>
        <v>-1</v>
      </c>
      <c r="AI338" s="19">
        <f t="shared" si="189"/>
        <v>33.005000000000003</v>
      </c>
      <c r="AJ338" s="410">
        <f t="shared" si="190"/>
        <v>845.96</v>
      </c>
      <c r="AK338" s="19" t="e">
        <f t="shared" si="191"/>
        <v>#N/A</v>
      </c>
      <c r="AL338" s="19">
        <f t="shared" si="192"/>
        <v>645.96</v>
      </c>
      <c r="AM338" s="19" t="e">
        <f t="shared" si="193"/>
        <v>#N/A</v>
      </c>
      <c r="AN338" s="19">
        <f t="shared" si="194"/>
        <v>445.96</v>
      </c>
      <c r="AO338" s="19" t="e">
        <f t="shared" si="195"/>
        <v>#N/A</v>
      </c>
      <c r="AP338" s="19">
        <f t="shared" si="196"/>
        <v>245.96</v>
      </c>
      <c r="AQ338" s="19" t="e">
        <f t="shared" si="197"/>
        <v>#N/A</v>
      </c>
      <c r="AR338" s="19">
        <f t="shared" si="198"/>
        <v>45.96</v>
      </c>
      <c r="AS338" s="19" t="e">
        <f t="shared" si="199"/>
        <v>#N/A</v>
      </c>
      <c r="AT338"/>
      <c r="AU338"/>
      <c r="AV338"/>
      <c r="AW338"/>
      <c r="AX338"/>
      <c r="AY338"/>
      <c r="AZ338"/>
      <c r="BA338"/>
      <c r="BB338"/>
      <c r="BC338"/>
      <c r="BD338"/>
      <c r="BE338"/>
      <c r="BF338"/>
      <c r="BG338"/>
      <c r="BH338"/>
      <c r="BI338"/>
      <c r="BJ338"/>
      <c r="BK338"/>
      <c r="BL338"/>
      <c r="BM338"/>
      <c r="BN338"/>
      <c r="BO338"/>
      <c r="BP338"/>
      <c r="BQ338"/>
      <c r="CB338"/>
      <c r="CC338"/>
      <c r="CD338"/>
      <c r="CE338"/>
      <c r="CJ338"/>
      <c r="CK338"/>
      <c r="CL338"/>
      <c r="CM338"/>
      <c r="CN338"/>
    </row>
    <row r="339" spans="14:92" ht="11.25" customHeight="1" x14ac:dyDescent="0.2">
      <c r="N339"/>
      <c r="O339"/>
      <c r="P339"/>
      <c r="Q339"/>
      <c r="R339"/>
      <c r="S339"/>
      <c r="T339"/>
      <c r="U339"/>
      <c r="V339"/>
      <c r="W339"/>
      <c r="X339"/>
      <c r="Y339"/>
      <c r="Z339"/>
      <c r="AA339"/>
      <c r="AB339"/>
      <c r="AC339"/>
      <c r="AD339"/>
      <c r="AE339" s="19">
        <v>248</v>
      </c>
      <c r="AG339" s="19">
        <f t="shared" si="187"/>
        <v>7</v>
      </c>
      <c r="AH339" s="19">
        <f t="shared" si="188"/>
        <v>1</v>
      </c>
      <c r="AI339" s="19">
        <f t="shared" si="189"/>
        <v>33.005000000000003</v>
      </c>
      <c r="AJ339" s="410">
        <f t="shared" si="190"/>
        <v>954.04</v>
      </c>
      <c r="AK339" s="19" t="e">
        <f t="shared" si="191"/>
        <v>#N/A</v>
      </c>
      <c r="AL339" s="19">
        <f t="shared" si="192"/>
        <v>754.04</v>
      </c>
      <c r="AM339" s="19" t="e">
        <f t="shared" si="193"/>
        <v>#N/A</v>
      </c>
      <c r="AN339" s="19">
        <f t="shared" si="194"/>
        <v>554.04</v>
      </c>
      <c r="AO339" s="19" t="e">
        <f t="shared" si="195"/>
        <v>#N/A</v>
      </c>
      <c r="AP339" s="19">
        <f t="shared" si="196"/>
        <v>354.04</v>
      </c>
      <c r="AQ339" s="19" t="e">
        <f t="shared" si="197"/>
        <v>#N/A</v>
      </c>
      <c r="AR339" s="19">
        <f t="shared" si="198"/>
        <v>154.04</v>
      </c>
      <c r="AS339" s="19" t="e">
        <f t="shared" si="199"/>
        <v>#N/A</v>
      </c>
      <c r="AT339"/>
      <c r="AU339"/>
      <c r="AV339"/>
      <c r="AW339"/>
      <c r="AX339"/>
      <c r="AY339"/>
      <c r="AZ339"/>
      <c r="BA339"/>
      <c r="BB339"/>
      <c r="BC339"/>
      <c r="BD339"/>
      <c r="BE339"/>
      <c r="BF339"/>
      <c r="BG339"/>
      <c r="BH339"/>
      <c r="BI339"/>
      <c r="BJ339"/>
      <c r="BK339"/>
      <c r="BL339"/>
      <c r="BM339"/>
      <c r="BN339"/>
      <c r="BO339"/>
      <c r="BP339"/>
      <c r="BQ339"/>
      <c r="CB339"/>
      <c r="CC339"/>
      <c r="CD339"/>
      <c r="CE339"/>
      <c r="CJ339"/>
      <c r="CK339"/>
      <c r="CL339"/>
      <c r="CM339"/>
      <c r="CN339"/>
    </row>
    <row r="340" spans="14:92" ht="11.25" customHeight="1" x14ac:dyDescent="0.2">
      <c r="N340"/>
      <c r="O340"/>
      <c r="P340"/>
      <c r="Q340"/>
      <c r="R340"/>
      <c r="S340"/>
      <c r="T340"/>
      <c r="U340"/>
      <c r="V340"/>
      <c r="W340"/>
      <c r="X340"/>
      <c r="Y340"/>
      <c r="Z340"/>
      <c r="AA340"/>
      <c r="AB340"/>
      <c r="AC340"/>
      <c r="AD340"/>
      <c r="AE340" s="19">
        <v>249</v>
      </c>
      <c r="AG340" s="19">
        <f t="shared" si="187"/>
        <v>9</v>
      </c>
      <c r="AH340" s="19">
        <f t="shared" si="188"/>
        <v>-1</v>
      </c>
      <c r="AI340" s="19">
        <f t="shared" si="189"/>
        <v>33.005000000000003</v>
      </c>
      <c r="AJ340" s="410">
        <f t="shared" si="190"/>
        <v>830.52</v>
      </c>
      <c r="AK340" s="19" t="e">
        <f t="shared" si="191"/>
        <v>#N/A</v>
      </c>
      <c r="AL340" s="19">
        <f t="shared" si="192"/>
        <v>630.52</v>
      </c>
      <c r="AM340" s="19" t="e">
        <f t="shared" si="193"/>
        <v>#N/A</v>
      </c>
      <c r="AN340" s="19">
        <f t="shared" si="194"/>
        <v>430.52</v>
      </c>
      <c r="AO340" s="19" t="e">
        <f t="shared" si="195"/>
        <v>#N/A</v>
      </c>
      <c r="AP340" s="19">
        <f t="shared" si="196"/>
        <v>230.51999999999998</v>
      </c>
      <c r="AQ340" s="19" t="e">
        <f t="shared" si="197"/>
        <v>#N/A</v>
      </c>
      <c r="AR340" s="19">
        <f t="shared" si="198"/>
        <v>30.519999999999996</v>
      </c>
      <c r="AS340" s="19" t="e">
        <f t="shared" si="199"/>
        <v>#N/A</v>
      </c>
      <c r="AT340"/>
      <c r="AU340"/>
      <c r="AV340"/>
      <c r="AW340"/>
      <c r="AX340"/>
      <c r="AY340"/>
      <c r="AZ340"/>
      <c r="BA340"/>
      <c r="BB340"/>
      <c r="BC340"/>
      <c r="BD340"/>
      <c r="BE340"/>
      <c r="BF340"/>
      <c r="BG340"/>
      <c r="BH340"/>
      <c r="BI340"/>
      <c r="BJ340"/>
      <c r="BK340"/>
      <c r="BL340"/>
      <c r="BM340"/>
      <c r="BN340"/>
      <c r="BO340"/>
      <c r="BP340"/>
      <c r="BQ340"/>
      <c r="CB340"/>
      <c r="CC340"/>
      <c r="CD340"/>
      <c r="CE340"/>
      <c r="CJ340"/>
      <c r="CK340"/>
      <c r="CL340"/>
      <c r="CM340"/>
      <c r="CN340"/>
    </row>
    <row r="341" spans="14:92" ht="11.25" customHeight="1" x14ac:dyDescent="0.2">
      <c r="N341"/>
      <c r="O341"/>
      <c r="P341"/>
      <c r="Q341"/>
      <c r="R341"/>
      <c r="S341"/>
      <c r="T341"/>
      <c r="U341"/>
      <c r="V341"/>
      <c r="W341"/>
      <c r="X341"/>
      <c r="Y341"/>
      <c r="Z341"/>
      <c r="AA341"/>
      <c r="AB341"/>
      <c r="AC341"/>
      <c r="AD341"/>
      <c r="AE341" s="19">
        <v>250</v>
      </c>
      <c r="AG341" s="19">
        <f t="shared" si="187"/>
        <v>9</v>
      </c>
      <c r="AH341" s="19">
        <f t="shared" si="188"/>
        <v>1</v>
      </c>
      <c r="AI341" s="19">
        <f t="shared" si="189"/>
        <v>33.005000000000003</v>
      </c>
      <c r="AJ341" s="410">
        <f t="shared" si="190"/>
        <v>969.48</v>
      </c>
      <c r="AK341" s="19" t="e">
        <f t="shared" si="191"/>
        <v>#N/A</v>
      </c>
      <c r="AL341" s="19">
        <f t="shared" si="192"/>
        <v>769.48</v>
      </c>
      <c r="AM341" s="19" t="e">
        <f t="shared" si="193"/>
        <v>#N/A</v>
      </c>
      <c r="AN341" s="19">
        <f t="shared" si="194"/>
        <v>569.48</v>
      </c>
      <c r="AO341" s="19" t="e">
        <f t="shared" si="195"/>
        <v>#N/A</v>
      </c>
      <c r="AP341" s="19">
        <f t="shared" si="196"/>
        <v>369.48</v>
      </c>
      <c r="AQ341" s="19" t="e">
        <f t="shared" si="197"/>
        <v>#N/A</v>
      </c>
      <c r="AR341" s="19">
        <f t="shared" si="198"/>
        <v>169.48000000000002</v>
      </c>
      <c r="AS341" s="19" t="e">
        <f t="shared" si="199"/>
        <v>#N/A</v>
      </c>
      <c r="AT341"/>
      <c r="AU341"/>
      <c r="AV341"/>
      <c r="AW341"/>
      <c r="AX341"/>
      <c r="AY341"/>
      <c r="AZ341"/>
      <c r="BA341"/>
      <c r="BB341"/>
      <c r="BC341"/>
      <c r="BD341"/>
      <c r="BE341"/>
      <c r="BF341"/>
      <c r="BG341"/>
      <c r="BH341"/>
      <c r="BI341"/>
      <c r="BJ341"/>
      <c r="BK341"/>
      <c r="BL341"/>
      <c r="BM341"/>
      <c r="BN341"/>
      <c r="BO341"/>
      <c r="BP341"/>
      <c r="BQ341"/>
      <c r="CB341"/>
      <c r="CC341"/>
      <c r="CD341"/>
      <c r="CE341"/>
      <c r="CJ341"/>
      <c r="CK341"/>
      <c r="CL341"/>
      <c r="CM341"/>
      <c r="CN341"/>
    </row>
    <row r="342" spans="14:92" ht="11.25" customHeight="1" x14ac:dyDescent="0.2">
      <c r="N342"/>
      <c r="O342"/>
      <c r="P342"/>
      <c r="Q342"/>
      <c r="R342"/>
      <c r="S342"/>
      <c r="T342"/>
      <c r="U342"/>
      <c r="V342"/>
      <c r="W342"/>
      <c r="X342"/>
      <c r="Y342"/>
      <c r="Z342"/>
      <c r="AA342"/>
      <c r="AB342"/>
      <c r="AC342"/>
      <c r="AD342"/>
      <c r="AE342" s="19">
        <v>251</v>
      </c>
      <c r="AG342" s="19">
        <f t="shared" si="187"/>
        <v>11</v>
      </c>
      <c r="AH342" s="19">
        <f t="shared" si="188"/>
        <v>-1</v>
      </c>
      <c r="AI342" s="19">
        <f t="shared" si="189"/>
        <v>33.005000000000003</v>
      </c>
      <c r="AJ342" s="410">
        <f t="shared" si="190"/>
        <v>815.08</v>
      </c>
      <c r="AK342" s="19" t="e">
        <f t="shared" si="191"/>
        <v>#N/A</v>
      </c>
      <c r="AL342" s="19">
        <f t="shared" si="192"/>
        <v>615.08000000000004</v>
      </c>
      <c r="AM342" s="19" t="e">
        <f t="shared" si="193"/>
        <v>#N/A</v>
      </c>
      <c r="AN342" s="19">
        <f t="shared" si="194"/>
        <v>415.08</v>
      </c>
      <c r="AO342" s="19" t="e">
        <f t="shared" si="195"/>
        <v>#N/A</v>
      </c>
      <c r="AP342" s="19">
        <f t="shared" si="196"/>
        <v>215.07999999999998</v>
      </c>
      <c r="AQ342" s="19" t="e">
        <f t="shared" si="197"/>
        <v>#N/A</v>
      </c>
      <c r="AR342" s="19">
        <f t="shared" si="198"/>
        <v>15.079999999999998</v>
      </c>
      <c r="AS342" s="19" t="e">
        <f t="shared" si="199"/>
        <v>#N/A</v>
      </c>
      <c r="AT342"/>
      <c r="AU342"/>
      <c r="AV342"/>
      <c r="AW342"/>
      <c r="AX342"/>
      <c r="AY342"/>
      <c r="AZ342"/>
      <c r="BA342"/>
      <c r="BB342"/>
      <c r="BC342"/>
      <c r="BD342"/>
      <c r="BE342"/>
      <c r="BF342"/>
      <c r="BG342"/>
      <c r="BH342"/>
      <c r="BI342"/>
      <c r="BJ342"/>
      <c r="BK342"/>
      <c r="BL342"/>
      <c r="BM342"/>
      <c r="BN342"/>
      <c r="BO342"/>
      <c r="BP342"/>
      <c r="BQ342"/>
      <c r="CB342"/>
      <c r="CC342"/>
      <c r="CD342"/>
      <c r="CE342"/>
      <c r="CJ342"/>
      <c r="CK342"/>
      <c r="CL342"/>
      <c r="CM342"/>
      <c r="CN342"/>
    </row>
    <row r="343" spans="14:92" ht="11.25" customHeight="1" x14ac:dyDescent="0.2">
      <c r="N343"/>
      <c r="O343"/>
      <c r="P343"/>
      <c r="Q343"/>
      <c r="R343"/>
      <c r="S343"/>
      <c r="T343"/>
      <c r="U343"/>
      <c r="V343"/>
      <c r="W343"/>
      <c r="X343"/>
      <c r="Y343"/>
      <c r="Z343"/>
      <c r="AA343"/>
      <c r="AB343"/>
      <c r="AC343"/>
      <c r="AD343"/>
      <c r="AE343" s="19">
        <v>252</v>
      </c>
      <c r="AG343" s="19">
        <f t="shared" si="187"/>
        <v>11</v>
      </c>
      <c r="AH343" s="19">
        <f t="shared" si="188"/>
        <v>1</v>
      </c>
      <c r="AI343" s="19">
        <f t="shared" si="189"/>
        <v>33.005000000000003</v>
      </c>
      <c r="AJ343" s="410">
        <f t="shared" si="190"/>
        <v>984.92</v>
      </c>
      <c r="AK343" s="19" t="e">
        <f t="shared" si="191"/>
        <v>#N/A</v>
      </c>
      <c r="AL343" s="19">
        <f t="shared" si="192"/>
        <v>784.92</v>
      </c>
      <c r="AM343" s="19" t="e">
        <f t="shared" si="193"/>
        <v>#N/A</v>
      </c>
      <c r="AN343" s="19">
        <f t="shared" si="194"/>
        <v>584.91999999999996</v>
      </c>
      <c r="AO343" s="19" t="e">
        <f t="shared" si="195"/>
        <v>#N/A</v>
      </c>
      <c r="AP343" s="19">
        <f t="shared" si="196"/>
        <v>384.92</v>
      </c>
      <c r="AQ343" s="19" t="e">
        <f t="shared" si="197"/>
        <v>#N/A</v>
      </c>
      <c r="AR343" s="19">
        <f t="shared" si="198"/>
        <v>184.92000000000002</v>
      </c>
      <c r="AS343" s="19" t="e">
        <f t="shared" si="199"/>
        <v>#N/A</v>
      </c>
      <c r="AT343"/>
      <c r="AU343"/>
      <c r="AV343"/>
      <c r="AW343"/>
      <c r="AX343"/>
      <c r="AY343"/>
      <c r="AZ343"/>
      <c r="BA343"/>
      <c r="BB343"/>
      <c r="BC343"/>
      <c r="BD343"/>
      <c r="BE343"/>
      <c r="BF343"/>
      <c r="BG343"/>
      <c r="BH343"/>
      <c r="BI343"/>
      <c r="BJ343"/>
      <c r="BK343"/>
      <c r="BL343"/>
      <c r="BM343"/>
      <c r="BN343"/>
      <c r="BO343"/>
      <c r="BP343"/>
      <c r="BQ343"/>
      <c r="CB343"/>
      <c r="CC343"/>
      <c r="CD343"/>
      <c r="CE343"/>
      <c r="CJ343"/>
      <c r="CK343"/>
      <c r="CL343"/>
      <c r="CM343"/>
      <c r="CN343"/>
    </row>
    <row r="344" spans="14:92" ht="11.25" customHeight="1" x14ac:dyDescent="0.2">
      <c r="N344"/>
      <c r="O344"/>
      <c r="P344"/>
      <c r="Q344"/>
      <c r="R344"/>
      <c r="S344"/>
      <c r="T344"/>
      <c r="U344"/>
      <c r="V344"/>
      <c r="W344"/>
      <c r="X344"/>
      <c r="Y344"/>
      <c r="Z344"/>
      <c r="AA344"/>
      <c r="AB344"/>
      <c r="AC344"/>
      <c r="AD344"/>
      <c r="AE344" s="19">
        <v>253</v>
      </c>
      <c r="AG344" s="19">
        <f t="shared" si="187"/>
        <v>1</v>
      </c>
      <c r="AH344" s="19">
        <f t="shared" si="188"/>
        <v>-1</v>
      </c>
      <c r="AI344" s="19">
        <f t="shared" si="189"/>
        <v>34.615000000000002</v>
      </c>
      <c r="AJ344" s="410">
        <f t="shared" si="190"/>
        <v>892.28</v>
      </c>
      <c r="AK344" s="19" t="e">
        <f t="shared" si="191"/>
        <v>#N/A</v>
      </c>
      <c r="AL344" s="19">
        <f t="shared" si="192"/>
        <v>692.28</v>
      </c>
      <c r="AM344" s="19" t="e">
        <f t="shared" si="193"/>
        <v>#N/A</v>
      </c>
      <c r="AN344" s="19">
        <f t="shared" si="194"/>
        <v>492.28</v>
      </c>
      <c r="AO344" s="19" t="e">
        <f t="shared" si="195"/>
        <v>#N/A</v>
      </c>
      <c r="AP344" s="19">
        <f t="shared" si="196"/>
        <v>292.27999999999997</v>
      </c>
      <c r="AQ344" s="19" t="e">
        <f t="shared" si="197"/>
        <v>#N/A</v>
      </c>
      <c r="AR344" s="19">
        <f t="shared" si="198"/>
        <v>92.28</v>
      </c>
      <c r="AS344" s="19" t="e">
        <f t="shared" si="199"/>
        <v>#N/A</v>
      </c>
      <c r="AT344"/>
      <c r="AU344"/>
      <c r="AV344"/>
      <c r="AW344"/>
      <c r="AX344"/>
      <c r="AY344"/>
      <c r="AZ344"/>
      <c r="BA344"/>
      <c r="BB344"/>
      <c r="BC344"/>
      <c r="BD344"/>
      <c r="BE344"/>
      <c r="BF344"/>
      <c r="BG344"/>
      <c r="BH344"/>
      <c r="BI344"/>
      <c r="BJ344"/>
      <c r="BK344"/>
      <c r="BL344"/>
      <c r="BM344"/>
      <c r="BN344"/>
      <c r="BO344"/>
      <c r="BP344"/>
      <c r="BQ344"/>
      <c r="CB344"/>
      <c r="CC344"/>
      <c r="CD344"/>
      <c r="CE344"/>
      <c r="CJ344"/>
      <c r="CK344"/>
      <c r="CL344"/>
      <c r="CM344"/>
      <c r="CN344"/>
    </row>
    <row r="345" spans="14:92" ht="11.25" customHeight="1" x14ac:dyDescent="0.2">
      <c r="N345"/>
      <c r="O345"/>
      <c r="P345"/>
      <c r="Q345"/>
      <c r="R345"/>
      <c r="S345"/>
      <c r="T345"/>
      <c r="U345"/>
      <c r="V345"/>
      <c r="W345"/>
      <c r="X345"/>
      <c r="Y345"/>
      <c r="Z345"/>
      <c r="AA345"/>
      <c r="AB345"/>
      <c r="AC345"/>
      <c r="AD345"/>
      <c r="AE345" s="19">
        <v>254</v>
      </c>
      <c r="AG345" s="19">
        <f t="shared" si="187"/>
        <v>1</v>
      </c>
      <c r="AH345" s="19">
        <f t="shared" si="188"/>
        <v>1</v>
      </c>
      <c r="AI345" s="19">
        <f t="shared" si="189"/>
        <v>34.615000000000002</v>
      </c>
      <c r="AJ345" s="410">
        <f t="shared" si="190"/>
        <v>907.72</v>
      </c>
      <c r="AK345" s="19" t="e">
        <f t="shared" si="191"/>
        <v>#N/A</v>
      </c>
      <c r="AL345" s="19">
        <f t="shared" si="192"/>
        <v>707.72</v>
      </c>
      <c r="AM345" s="19" t="e">
        <f t="shared" si="193"/>
        <v>#N/A</v>
      </c>
      <c r="AN345" s="19">
        <f t="shared" si="194"/>
        <v>507.72</v>
      </c>
      <c r="AO345" s="19" t="e">
        <f t="shared" si="195"/>
        <v>#N/A</v>
      </c>
      <c r="AP345" s="19">
        <f t="shared" si="196"/>
        <v>307.72000000000003</v>
      </c>
      <c r="AQ345" s="19" t="e">
        <f t="shared" si="197"/>
        <v>#N/A</v>
      </c>
      <c r="AR345" s="19">
        <f t="shared" si="198"/>
        <v>107.72</v>
      </c>
      <c r="AS345" s="19" t="e">
        <f t="shared" si="199"/>
        <v>#N/A</v>
      </c>
      <c r="AT345"/>
      <c r="AU345"/>
      <c r="AV345"/>
      <c r="AW345"/>
      <c r="AX345"/>
      <c r="AY345"/>
      <c r="AZ345"/>
      <c r="BA345"/>
      <c r="BB345"/>
      <c r="BC345"/>
      <c r="BD345"/>
      <c r="BE345"/>
      <c r="BF345"/>
      <c r="BG345"/>
      <c r="BH345"/>
      <c r="BI345"/>
      <c r="BJ345"/>
      <c r="BK345"/>
      <c r="BL345"/>
      <c r="BM345"/>
      <c r="BN345"/>
      <c r="BO345"/>
      <c r="BP345"/>
      <c r="BQ345"/>
      <c r="CB345"/>
      <c r="CC345"/>
      <c r="CD345"/>
      <c r="CE345"/>
      <c r="CJ345"/>
      <c r="CK345"/>
      <c r="CL345"/>
      <c r="CM345"/>
      <c r="CN345"/>
    </row>
    <row r="346" spans="14:92" ht="11.25" customHeight="1" x14ac:dyDescent="0.2">
      <c r="N346"/>
      <c r="O346"/>
      <c r="P346"/>
      <c r="Q346"/>
      <c r="R346"/>
      <c r="S346"/>
      <c r="T346"/>
      <c r="U346"/>
      <c r="V346"/>
      <c r="W346"/>
      <c r="X346"/>
      <c r="Y346"/>
      <c r="Z346"/>
      <c r="AA346"/>
      <c r="AB346"/>
      <c r="AC346"/>
      <c r="AD346"/>
      <c r="AE346" s="19">
        <v>255</v>
      </c>
      <c r="AG346" s="19">
        <f t="shared" si="187"/>
        <v>3</v>
      </c>
      <c r="AH346" s="19">
        <f t="shared" si="188"/>
        <v>-1</v>
      </c>
      <c r="AI346" s="19">
        <f t="shared" si="189"/>
        <v>34.615000000000002</v>
      </c>
      <c r="AJ346" s="410">
        <f t="shared" si="190"/>
        <v>876.84</v>
      </c>
      <c r="AK346" s="19" t="e">
        <f t="shared" si="191"/>
        <v>#N/A</v>
      </c>
      <c r="AL346" s="19">
        <f t="shared" si="192"/>
        <v>676.84</v>
      </c>
      <c r="AM346" s="19" t="e">
        <f t="shared" si="193"/>
        <v>#N/A</v>
      </c>
      <c r="AN346" s="19">
        <f t="shared" si="194"/>
        <v>476.84</v>
      </c>
      <c r="AO346" s="19" t="e">
        <f t="shared" si="195"/>
        <v>#N/A</v>
      </c>
      <c r="AP346" s="19">
        <f t="shared" si="196"/>
        <v>276.83999999999997</v>
      </c>
      <c r="AQ346" s="19" t="e">
        <f t="shared" si="197"/>
        <v>#N/A</v>
      </c>
      <c r="AR346" s="19">
        <f t="shared" si="198"/>
        <v>76.84</v>
      </c>
      <c r="AS346" s="19" t="e">
        <f t="shared" si="199"/>
        <v>#N/A</v>
      </c>
      <c r="AT346"/>
      <c r="AU346"/>
      <c r="AV346"/>
      <c r="AW346"/>
      <c r="AX346"/>
      <c r="AY346"/>
      <c r="AZ346"/>
      <c r="BA346"/>
      <c r="BB346"/>
      <c r="BC346"/>
      <c r="BD346"/>
      <c r="BE346"/>
      <c r="BF346"/>
      <c r="BG346"/>
      <c r="BH346"/>
      <c r="BI346"/>
      <c r="BJ346"/>
      <c r="BK346"/>
      <c r="BL346"/>
      <c r="BM346"/>
      <c r="BN346"/>
      <c r="BO346"/>
      <c r="BP346"/>
      <c r="BQ346"/>
      <c r="CB346"/>
      <c r="CC346"/>
      <c r="CD346"/>
      <c r="CE346"/>
      <c r="CJ346"/>
      <c r="CK346"/>
      <c r="CL346"/>
      <c r="CM346"/>
      <c r="CN346"/>
    </row>
    <row r="347" spans="14:92" ht="11.25" customHeight="1" x14ac:dyDescent="0.2">
      <c r="N347"/>
      <c r="O347"/>
      <c r="P347"/>
      <c r="Q347"/>
      <c r="R347"/>
      <c r="S347"/>
      <c r="T347"/>
      <c r="U347"/>
      <c r="V347"/>
      <c r="W347"/>
      <c r="X347"/>
      <c r="Y347"/>
      <c r="Z347"/>
      <c r="AA347"/>
      <c r="AB347"/>
      <c r="AC347"/>
      <c r="AD347"/>
      <c r="AE347" s="19">
        <v>256</v>
      </c>
      <c r="AG347" s="19">
        <f t="shared" si="187"/>
        <v>3</v>
      </c>
      <c r="AH347" s="19">
        <f t="shared" si="188"/>
        <v>1</v>
      </c>
      <c r="AI347" s="19">
        <f t="shared" si="189"/>
        <v>34.615000000000002</v>
      </c>
      <c r="AJ347" s="410">
        <f t="shared" si="190"/>
        <v>923.16</v>
      </c>
      <c r="AK347" s="19" t="e">
        <f t="shared" si="191"/>
        <v>#N/A</v>
      </c>
      <c r="AL347" s="19">
        <f t="shared" si="192"/>
        <v>723.16</v>
      </c>
      <c r="AM347" s="19" t="e">
        <f t="shared" si="193"/>
        <v>#N/A</v>
      </c>
      <c r="AN347" s="19">
        <f t="shared" si="194"/>
        <v>523.16</v>
      </c>
      <c r="AO347" s="19" t="e">
        <f t="shared" si="195"/>
        <v>#N/A</v>
      </c>
      <c r="AP347" s="19">
        <f t="shared" si="196"/>
        <v>323.16000000000003</v>
      </c>
      <c r="AQ347" s="19" t="e">
        <f t="shared" si="197"/>
        <v>#N/A</v>
      </c>
      <c r="AR347" s="19">
        <f t="shared" si="198"/>
        <v>123.16</v>
      </c>
      <c r="AS347" s="19" t="e">
        <f t="shared" si="199"/>
        <v>#N/A</v>
      </c>
      <c r="AT347"/>
      <c r="AU347"/>
      <c r="AV347"/>
      <c r="AW347"/>
      <c r="AX347"/>
      <c r="AY347"/>
      <c r="AZ347"/>
      <c r="BA347"/>
      <c r="BB347"/>
      <c r="BC347"/>
      <c r="BD347"/>
      <c r="BE347"/>
      <c r="BF347"/>
      <c r="BG347"/>
      <c r="BH347"/>
      <c r="BI347"/>
      <c r="BJ347"/>
      <c r="BK347"/>
      <c r="BL347"/>
      <c r="BM347"/>
      <c r="BN347"/>
      <c r="BO347"/>
      <c r="BP347"/>
      <c r="BQ347"/>
      <c r="CB347"/>
      <c r="CC347"/>
      <c r="CD347"/>
      <c r="CE347"/>
      <c r="CJ347"/>
      <c r="CK347"/>
      <c r="CL347"/>
      <c r="CM347"/>
      <c r="CN347"/>
    </row>
    <row r="348" spans="14:92" ht="11.25" customHeight="1" x14ac:dyDescent="0.2">
      <c r="N348"/>
      <c r="O348"/>
      <c r="P348"/>
      <c r="Q348"/>
      <c r="R348"/>
      <c r="S348"/>
      <c r="T348"/>
      <c r="U348"/>
      <c r="V348"/>
      <c r="W348"/>
      <c r="X348"/>
      <c r="Y348"/>
      <c r="Z348"/>
      <c r="AA348"/>
      <c r="AB348"/>
      <c r="AC348"/>
      <c r="AD348"/>
      <c r="AE348" s="19">
        <v>257</v>
      </c>
      <c r="AG348" s="19">
        <f t="shared" ref="AG348:AG411" si="206">2*ROUNDUP((MOD(AE348-1,$AB$94)+1)/2,0)-1</f>
        <v>5</v>
      </c>
      <c r="AH348" s="19">
        <f t="shared" ref="AH348:AH411" si="207">IF(AG348=AG349,-1,1)</f>
        <v>-1</v>
      </c>
      <c r="AI348" s="19">
        <f t="shared" ref="AI348:AI411" si="208">IF($BR$7,$AB$87*(0.5+INT((AE348-0.5)/$AB$94)),NA())</f>
        <v>34.615000000000002</v>
      </c>
      <c r="AJ348" s="410">
        <f t="shared" ref="AJ348:AJ411" si="209">IF($BP$11,$AM$87+$AB$90*AH348*AG348,NA())</f>
        <v>861.4</v>
      </c>
      <c r="AK348" s="19" t="e">
        <f t="shared" ref="AK348:AK411" si="210">IF($AG$83&lt;AE348,NA(),AI348)</f>
        <v>#N/A</v>
      </c>
      <c r="AL348" s="19">
        <f t="shared" ref="AL348:AL411" si="211">IF($BP$11,$AN$87+$AB$90*AH348*AG348,NA())</f>
        <v>661.4</v>
      </c>
      <c r="AM348" s="19" t="e">
        <f t="shared" ref="AM348:AM411" si="212">IF($AH$83&lt;AE348,NA(),AI348)</f>
        <v>#N/A</v>
      </c>
      <c r="AN348" s="19">
        <f t="shared" ref="AN348:AN411" si="213">IF($BP$11,$AO$87+$AB$90*AH348*AG348,NA())</f>
        <v>461.4</v>
      </c>
      <c r="AO348" s="19" t="e">
        <f t="shared" ref="AO348:AO411" si="214">IF($AI$83&lt;AE348,NA(),AI348)</f>
        <v>#N/A</v>
      </c>
      <c r="AP348" s="19">
        <f t="shared" ref="AP348:AP411" si="215">IF($BP$11,$AP$87+$AB$90*AH348*AG348,NA())</f>
        <v>261.39999999999998</v>
      </c>
      <c r="AQ348" s="19" t="e">
        <f t="shared" ref="AQ348:AQ411" si="216">IF($AJ$83&lt;AE348,NA(),AI348)</f>
        <v>#N/A</v>
      </c>
      <c r="AR348" s="19">
        <f t="shared" ref="AR348:AR411" si="217">IF($BP$11,$AQ$87+$AB$90*AH348*AG348,NA())</f>
        <v>61.4</v>
      </c>
      <c r="AS348" s="19" t="e">
        <f t="shared" ref="AS348:AS411" si="218">IF($AK$83&lt;AE348,NA(),AI348)</f>
        <v>#N/A</v>
      </c>
      <c r="AT348"/>
      <c r="AU348"/>
      <c r="AV348"/>
      <c r="AW348"/>
      <c r="AX348"/>
      <c r="AY348"/>
      <c r="AZ348"/>
      <c r="BA348"/>
      <c r="BB348"/>
      <c r="BC348"/>
      <c r="BD348"/>
      <c r="BE348"/>
      <c r="BF348"/>
      <c r="BG348"/>
      <c r="BH348"/>
      <c r="BI348"/>
      <c r="BJ348"/>
      <c r="BK348"/>
      <c r="BL348"/>
      <c r="BM348"/>
      <c r="BN348"/>
      <c r="BO348"/>
      <c r="BP348"/>
      <c r="BQ348"/>
      <c r="CB348"/>
      <c r="CC348"/>
      <c r="CD348"/>
      <c r="CE348"/>
      <c r="CJ348"/>
      <c r="CK348"/>
      <c r="CL348"/>
      <c r="CM348"/>
      <c r="CN348"/>
    </row>
    <row r="349" spans="14:92" ht="11.25" customHeight="1" x14ac:dyDescent="0.2">
      <c r="N349"/>
      <c r="O349"/>
      <c r="P349"/>
      <c r="Q349"/>
      <c r="R349"/>
      <c r="S349"/>
      <c r="T349"/>
      <c r="U349"/>
      <c r="V349"/>
      <c r="W349"/>
      <c r="X349"/>
      <c r="Y349"/>
      <c r="Z349"/>
      <c r="AA349"/>
      <c r="AB349"/>
      <c r="AC349"/>
      <c r="AD349"/>
      <c r="AE349" s="19">
        <v>258</v>
      </c>
      <c r="AG349" s="19">
        <f t="shared" si="206"/>
        <v>5</v>
      </c>
      <c r="AH349" s="19">
        <f t="shared" si="207"/>
        <v>1</v>
      </c>
      <c r="AI349" s="19">
        <f t="shared" si="208"/>
        <v>34.615000000000002</v>
      </c>
      <c r="AJ349" s="410">
        <f t="shared" si="209"/>
        <v>938.6</v>
      </c>
      <c r="AK349" s="19" t="e">
        <f t="shared" si="210"/>
        <v>#N/A</v>
      </c>
      <c r="AL349" s="19">
        <f t="shared" si="211"/>
        <v>738.6</v>
      </c>
      <c r="AM349" s="19" t="e">
        <f t="shared" si="212"/>
        <v>#N/A</v>
      </c>
      <c r="AN349" s="19">
        <f t="shared" si="213"/>
        <v>538.6</v>
      </c>
      <c r="AO349" s="19" t="e">
        <f t="shared" si="214"/>
        <v>#N/A</v>
      </c>
      <c r="AP349" s="19">
        <f t="shared" si="215"/>
        <v>338.6</v>
      </c>
      <c r="AQ349" s="19" t="e">
        <f t="shared" si="216"/>
        <v>#N/A</v>
      </c>
      <c r="AR349" s="19">
        <f t="shared" si="217"/>
        <v>138.6</v>
      </c>
      <c r="AS349" s="19" t="e">
        <f t="shared" si="218"/>
        <v>#N/A</v>
      </c>
      <c r="AT349"/>
      <c r="AU349"/>
      <c r="AV349"/>
      <c r="AW349"/>
      <c r="AX349"/>
      <c r="AY349"/>
      <c r="AZ349"/>
      <c r="BA349"/>
      <c r="BB349"/>
      <c r="BC349"/>
      <c r="BD349"/>
      <c r="BE349"/>
      <c r="BF349"/>
      <c r="BG349"/>
      <c r="BH349"/>
      <c r="BI349"/>
      <c r="BJ349"/>
      <c r="BK349"/>
      <c r="BL349"/>
      <c r="BM349"/>
      <c r="BN349"/>
      <c r="BO349"/>
      <c r="BP349"/>
      <c r="BQ349"/>
      <c r="CB349"/>
      <c r="CC349"/>
      <c r="CD349"/>
      <c r="CE349"/>
      <c r="CJ349"/>
      <c r="CK349"/>
      <c r="CL349"/>
      <c r="CM349"/>
      <c r="CN349"/>
    </row>
    <row r="350" spans="14:92" ht="11.25" customHeight="1" x14ac:dyDescent="0.2">
      <c r="N350"/>
      <c r="O350"/>
      <c r="P350"/>
      <c r="Q350"/>
      <c r="R350"/>
      <c r="S350"/>
      <c r="T350"/>
      <c r="U350"/>
      <c r="V350"/>
      <c r="W350"/>
      <c r="X350"/>
      <c r="Y350"/>
      <c r="Z350"/>
      <c r="AA350"/>
      <c r="AB350"/>
      <c r="AC350"/>
      <c r="AD350"/>
      <c r="AE350" s="19">
        <v>259</v>
      </c>
      <c r="AG350" s="19">
        <f t="shared" si="206"/>
        <v>7</v>
      </c>
      <c r="AH350" s="19">
        <f t="shared" si="207"/>
        <v>-1</v>
      </c>
      <c r="AI350" s="19">
        <f t="shared" si="208"/>
        <v>34.615000000000002</v>
      </c>
      <c r="AJ350" s="410">
        <f t="shared" si="209"/>
        <v>845.96</v>
      </c>
      <c r="AK350" s="19" t="e">
        <f t="shared" si="210"/>
        <v>#N/A</v>
      </c>
      <c r="AL350" s="19">
        <f t="shared" si="211"/>
        <v>645.96</v>
      </c>
      <c r="AM350" s="19" t="e">
        <f t="shared" si="212"/>
        <v>#N/A</v>
      </c>
      <c r="AN350" s="19">
        <f t="shared" si="213"/>
        <v>445.96</v>
      </c>
      <c r="AO350" s="19" t="e">
        <f t="shared" si="214"/>
        <v>#N/A</v>
      </c>
      <c r="AP350" s="19">
        <f t="shared" si="215"/>
        <v>245.96</v>
      </c>
      <c r="AQ350" s="19" t="e">
        <f t="shared" si="216"/>
        <v>#N/A</v>
      </c>
      <c r="AR350" s="19">
        <f t="shared" si="217"/>
        <v>45.96</v>
      </c>
      <c r="AS350" s="19" t="e">
        <f t="shared" si="218"/>
        <v>#N/A</v>
      </c>
      <c r="AT350"/>
      <c r="AU350"/>
      <c r="AV350"/>
      <c r="AW350"/>
      <c r="AX350"/>
      <c r="AY350"/>
      <c r="AZ350"/>
      <c r="BA350"/>
      <c r="BB350"/>
      <c r="BC350"/>
      <c r="BD350"/>
      <c r="BE350"/>
      <c r="BF350"/>
      <c r="BG350"/>
      <c r="BH350"/>
      <c r="BI350"/>
      <c r="BJ350"/>
      <c r="BK350"/>
      <c r="BL350"/>
      <c r="BM350"/>
      <c r="BN350"/>
      <c r="BO350"/>
      <c r="BP350"/>
      <c r="BQ350"/>
      <c r="CB350"/>
      <c r="CC350"/>
      <c r="CD350"/>
      <c r="CE350"/>
      <c r="CJ350"/>
      <c r="CK350"/>
      <c r="CL350"/>
      <c r="CM350"/>
      <c r="CN350"/>
    </row>
    <row r="351" spans="14:92" ht="11.25" customHeight="1" x14ac:dyDescent="0.2">
      <c r="N351"/>
      <c r="O351"/>
      <c r="P351"/>
      <c r="Q351"/>
      <c r="R351"/>
      <c r="S351"/>
      <c r="T351"/>
      <c r="U351"/>
      <c r="V351"/>
      <c r="W351"/>
      <c r="X351"/>
      <c r="Y351"/>
      <c r="Z351"/>
      <c r="AA351"/>
      <c r="AB351"/>
      <c r="AC351"/>
      <c r="AD351"/>
      <c r="AE351" s="19">
        <v>260</v>
      </c>
      <c r="AG351" s="19">
        <f t="shared" si="206"/>
        <v>7</v>
      </c>
      <c r="AH351" s="19">
        <f t="shared" si="207"/>
        <v>1</v>
      </c>
      <c r="AI351" s="19">
        <f t="shared" si="208"/>
        <v>34.615000000000002</v>
      </c>
      <c r="AJ351" s="410">
        <f t="shared" si="209"/>
        <v>954.04</v>
      </c>
      <c r="AK351" s="19" t="e">
        <f t="shared" si="210"/>
        <v>#N/A</v>
      </c>
      <c r="AL351" s="19">
        <f t="shared" si="211"/>
        <v>754.04</v>
      </c>
      <c r="AM351" s="19" t="e">
        <f t="shared" si="212"/>
        <v>#N/A</v>
      </c>
      <c r="AN351" s="19">
        <f t="shared" si="213"/>
        <v>554.04</v>
      </c>
      <c r="AO351" s="19" t="e">
        <f t="shared" si="214"/>
        <v>#N/A</v>
      </c>
      <c r="AP351" s="19">
        <f t="shared" si="215"/>
        <v>354.04</v>
      </c>
      <c r="AQ351" s="19" t="e">
        <f t="shared" si="216"/>
        <v>#N/A</v>
      </c>
      <c r="AR351" s="19">
        <f t="shared" si="217"/>
        <v>154.04</v>
      </c>
      <c r="AS351" s="19" t="e">
        <f t="shared" si="218"/>
        <v>#N/A</v>
      </c>
      <c r="AT351"/>
      <c r="AU351"/>
      <c r="AV351"/>
      <c r="AW351"/>
      <c r="AX351"/>
      <c r="AY351"/>
      <c r="AZ351"/>
      <c r="BA351"/>
      <c r="BB351"/>
      <c r="BC351"/>
      <c r="BD351"/>
      <c r="BE351"/>
      <c r="BF351"/>
      <c r="BG351"/>
      <c r="BH351"/>
      <c r="BI351"/>
      <c r="BJ351"/>
      <c r="BK351"/>
      <c r="BL351"/>
      <c r="BM351"/>
      <c r="BN351"/>
      <c r="BO351"/>
      <c r="BP351"/>
      <c r="BQ351"/>
      <c r="CB351"/>
      <c r="CC351"/>
      <c r="CD351"/>
      <c r="CE351"/>
      <c r="CJ351"/>
      <c r="CK351"/>
      <c r="CL351"/>
      <c r="CM351"/>
      <c r="CN351"/>
    </row>
    <row r="352" spans="14:92" ht="11.25" customHeight="1" x14ac:dyDescent="0.2">
      <c r="N352"/>
      <c r="O352"/>
      <c r="P352"/>
      <c r="Q352"/>
      <c r="R352"/>
      <c r="S352"/>
      <c r="T352"/>
      <c r="U352"/>
      <c r="V352"/>
      <c r="W352"/>
      <c r="X352"/>
      <c r="Y352"/>
      <c r="Z352"/>
      <c r="AA352"/>
      <c r="AB352"/>
      <c r="AC352"/>
      <c r="AD352"/>
      <c r="AE352" s="19">
        <v>261</v>
      </c>
      <c r="AG352" s="19">
        <f t="shared" si="206"/>
        <v>9</v>
      </c>
      <c r="AH352" s="19">
        <f t="shared" si="207"/>
        <v>-1</v>
      </c>
      <c r="AI352" s="19">
        <f t="shared" si="208"/>
        <v>34.615000000000002</v>
      </c>
      <c r="AJ352" s="410">
        <f t="shared" si="209"/>
        <v>830.52</v>
      </c>
      <c r="AK352" s="19" t="e">
        <f t="shared" si="210"/>
        <v>#N/A</v>
      </c>
      <c r="AL352" s="19">
        <f t="shared" si="211"/>
        <v>630.52</v>
      </c>
      <c r="AM352" s="19" t="e">
        <f t="shared" si="212"/>
        <v>#N/A</v>
      </c>
      <c r="AN352" s="19">
        <f t="shared" si="213"/>
        <v>430.52</v>
      </c>
      <c r="AO352" s="19" t="e">
        <f t="shared" si="214"/>
        <v>#N/A</v>
      </c>
      <c r="AP352" s="19">
        <f t="shared" si="215"/>
        <v>230.51999999999998</v>
      </c>
      <c r="AQ352" s="19" t="e">
        <f t="shared" si="216"/>
        <v>#N/A</v>
      </c>
      <c r="AR352" s="19">
        <f t="shared" si="217"/>
        <v>30.519999999999996</v>
      </c>
      <c r="AS352" s="19" t="e">
        <f t="shared" si="218"/>
        <v>#N/A</v>
      </c>
      <c r="AT352"/>
      <c r="AU352"/>
      <c r="AV352"/>
      <c r="AW352"/>
      <c r="AX352"/>
      <c r="AY352"/>
      <c r="AZ352"/>
      <c r="BA352"/>
      <c r="BB352"/>
      <c r="BC352"/>
      <c r="BD352"/>
      <c r="BE352"/>
      <c r="BF352"/>
      <c r="BG352"/>
      <c r="BH352"/>
      <c r="BI352"/>
      <c r="BJ352"/>
      <c r="BK352"/>
      <c r="BL352"/>
      <c r="BM352"/>
      <c r="BN352"/>
      <c r="BO352"/>
      <c r="BP352"/>
      <c r="BQ352"/>
      <c r="CB352"/>
      <c r="CC352"/>
      <c r="CD352"/>
      <c r="CE352"/>
      <c r="CJ352"/>
      <c r="CK352"/>
      <c r="CL352"/>
      <c r="CM352"/>
      <c r="CN352"/>
    </row>
    <row r="353" spans="14:92" ht="11.25" customHeight="1" x14ac:dyDescent="0.2">
      <c r="N353"/>
      <c r="O353"/>
      <c r="P353"/>
      <c r="Q353"/>
      <c r="R353"/>
      <c r="S353"/>
      <c r="T353"/>
      <c r="U353"/>
      <c r="V353"/>
      <c r="W353"/>
      <c r="X353"/>
      <c r="Y353"/>
      <c r="Z353"/>
      <c r="AA353"/>
      <c r="AB353"/>
      <c r="AC353"/>
      <c r="AD353"/>
      <c r="AE353" s="19">
        <v>262</v>
      </c>
      <c r="AG353" s="19">
        <f t="shared" si="206"/>
        <v>9</v>
      </c>
      <c r="AH353" s="19">
        <f t="shared" si="207"/>
        <v>1</v>
      </c>
      <c r="AI353" s="19">
        <f t="shared" si="208"/>
        <v>34.615000000000002</v>
      </c>
      <c r="AJ353" s="410">
        <f t="shared" si="209"/>
        <v>969.48</v>
      </c>
      <c r="AK353" s="19" t="e">
        <f t="shared" si="210"/>
        <v>#N/A</v>
      </c>
      <c r="AL353" s="19">
        <f t="shared" si="211"/>
        <v>769.48</v>
      </c>
      <c r="AM353" s="19" t="e">
        <f t="shared" si="212"/>
        <v>#N/A</v>
      </c>
      <c r="AN353" s="19">
        <f t="shared" si="213"/>
        <v>569.48</v>
      </c>
      <c r="AO353" s="19" t="e">
        <f t="shared" si="214"/>
        <v>#N/A</v>
      </c>
      <c r="AP353" s="19">
        <f t="shared" si="215"/>
        <v>369.48</v>
      </c>
      <c r="AQ353" s="19" t="e">
        <f t="shared" si="216"/>
        <v>#N/A</v>
      </c>
      <c r="AR353" s="19">
        <f t="shared" si="217"/>
        <v>169.48000000000002</v>
      </c>
      <c r="AS353" s="19" t="e">
        <f t="shared" si="218"/>
        <v>#N/A</v>
      </c>
      <c r="AT353"/>
      <c r="AU353"/>
      <c r="AV353"/>
      <c r="AW353"/>
      <c r="AX353"/>
      <c r="AY353"/>
      <c r="AZ353"/>
      <c r="BA353"/>
      <c r="BB353"/>
      <c r="BC353"/>
      <c r="BD353"/>
      <c r="BE353"/>
      <c r="BF353"/>
      <c r="BG353"/>
      <c r="BH353"/>
      <c r="BI353"/>
      <c r="BJ353"/>
      <c r="BK353"/>
      <c r="BL353"/>
      <c r="BM353"/>
      <c r="BN353"/>
      <c r="BO353"/>
      <c r="BP353"/>
      <c r="BQ353"/>
      <c r="CB353"/>
      <c r="CC353"/>
      <c r="CD353"/>
      <c r="CE353"/>
      <c r="CJ353"/>
      <c r="CK353"/>
      <c r="CL353"/>
      <c r="CM353"/>
      <c r="CN353"/>
    </row>
    <row r="354" spans="14:92" ht="11.25" customHeight="1" x14ac:dyDescent="0.2">
      <c r="N354"/>
      <c r="O354"/>
      <c r="P354"/>
      <c r="Q354"/>
      <c r="R354"/>
      <c r="S354"/>
      <c r="T354"/>
      <c r="U354"/>
      <c r="V354"/>
      <c r="W354"/>
      <c r="X354"/>
      <c r="Y354"/>
      <c r="Z354"/>
      <c r="AA354"/>
      <c r="AB354"/>
      <c r="AC354"/>
      <c r="AD354"/>
      <c r="AE354" s="19">
        <v>263</v>
      </c>
      <c r="AG354" s="19">
        <f t="shared" si="206"/>
        <v>11</v>
      </c>
      <c r="AH354" s="19">
        <f t="shared" si="207"/>
        <v>-1</v>
      </c>
      <c r="AI354" s="19">
        <f t="shared" si="208"/>
        <v>34.615000000000002</v>
      </c>
      <c r="AJ354" s="410">
        <f t="shared" si="209"/>
        <v>815.08</v>
      </c>
      <c r="AK354" s="19" t="e">
        <f t="shared" si="210"/>
        <v>#N/A</v>
      </c>
      <c r="AL354" s="19">
        <f t="shared" si="211"/>
        <v>615.08000000000004</v>
      </c>
      <c r="AM354" s="19" t="e">
        <f t="shared" si="212"/>
        <v>#N/A</v>
      </c>
      <c r="AN354" s="19">
        <f t="shared" si="213"/>
        <v>415.08</v>
      </c>
      <c r="AO354" s="19" t="e">
        <f t="shared" si="214"/>
        <v>#N/A</v>
      </c>
      <c r="AP354" s="19">
        <f t="shared" si="215"/>
        <v>215.07999999999998</v>
      </c>
      <c r="AQ354" s="19" t="e">
        <f t="shared" si="216"/>
        <v>#N/A</v>
      </c>
      <c r="AR354" s="19">
        <f t="shared" si="217"/>
        <v>15.079999999999998</v>
      </c>
      <c r="AS354" s="19" t="e">
        <f t="shared" si="218"/>
        <v>#N/A</v>
      </c>
      <c r="AT354"/>
      <c r="AU354"/>
      <c r="AV354"/>
      <c r="AW354"/>
      <c r="AX354"/>
      <c r="AY354"/>
      <c r="AZ354"/>
      <c r="BA354"/>
      <c r="BB354"/>
      <c r="BC354"/>
      <c r="BD354"/>
      <c r="BE354"/>
      <c r="BF354"/>
      <c r="BG354"/>
      <c r="BH354"/>
      <c r="BI354"/>
      <c r="BJ354"/>
      <c r="BK354"/>
      <c r="BL354"/>
      <c r="BM354"/>
      <c r="BN354"/>
      <c r="BO354"/>
      <c r="BP354"/>
      <c r="BQ354"/>
      <c r="CB354"/>
      <c r="CC354"/>
      <c r="CD354"/>
      <c r="CE354"/>
      <c r="CJ354"/>
      <c r="CK354"/>
      <c r="CL354"/>
      <c r="CM354"/>
      <c r="CN354"/>
    </row>
    <row r="355" spans="14:92" ht="11.25" customHeight="1" x14ac:dyDescent="0.2">
      <c r="N355"/>
      <c r="O355"/>
      <c r="P355"/>
      <c r="Q355"/>
      <c r="R355"/>
      <c r="S355"/>
      <c r="T355"/>
      <c r="U355"/>
      <c r="V355"/>
      <c r="W355"/>
      <c r="X355"/>
      <c r="Y355"/>
      <c r="Z355"/>
      <c r="AA355"/>
      <c r="AB355"/>
      <c r="AC355"/>
      <c r="AD355"/>
      <c r="AE355" s="19">
        <v>264</v>
      </c>
      <c r="AG355" s="19">
        <f t="shared" si="206"/>
        <v>11</v>
      </c>
      <c r="AH355" s="19">
        <f t="shared" si="207"/>
        <v>1</v>
      </c>
      <c r="AI355" s="19">
        <f t="shared" si="208"/>
        <v>34.615000000000002</v>
      </c>
      <c r="AJ355" s="410">
        <f t="shared" si="209"/>
        <v>984.92</v>
      </c>
      <c r="AK355" s="19" t="e">
        <f t="shared" si="210"/>
        <v>#N/A</v>
      </c>
      <c r="AL355" s="19">
        <f t="shared" si="211"/>
        <v>784.92</v>
      </c>
      <c r="AM355" s="19" t="e">
        <f t="shared" si="212"/>
        <v>#N/A</v>
      </c>
      <c r="AN355" s="19">
        <f t="shared" si="213"/>
        <v>584.91999999999996</v>
      </c>
      <c r="AO355" s="19" t="e">
        <f t="shared" si="214"/>
        <v>#N/A</v>
      </c>
      <c r="AP355" s="19">
        <f t="shared" si="215"/>
        <v>384.92</v>
      </c>
      <c r="AQ355" s="19" t="e">
        <f t="shared" si="216"/>
        <v>#N/A</v>
      </c>
      <c r="AR355" s="19">
        <f t="shared" si="217"/>
        <v>184.92000000000002</v>
      </c>
      <c r="AS355" s="19" t="e">
        <f t="shared" si="218"/>
        <v>#N/A</v>
      </c>
      <c r="AT355"/>
      <c r="AU355"/>
      <c r="AV355"/>
      <c r="AW355"/>
      <c r="AX355"/>
      <c r="AY355"/>
      <c r="AZ355"/>
      <c r="BA355"/>
      <c r="BB355"/>
      <c r="BC355"/>
      <c r="BD355"/>
      <c r="BE355"/>
      <c r="BF355"/>
      <c r="BG355"/>
      <c r="BH355"/>
      <c r="BI355"/>
      <c r="BJ355"/>
      <c r="BK355"/>
      <c r="BL355"/>
      <c r="BM355"/>
      <c r="BN355"/>
      <c r="BO355"/>
      <c r="BP355"/>
      <c r="BQ355"/>
      <c r="CB355"/>
      <c r="CC355"/>
      <c r="CD355"/>
      <c r="CE355"/>
      <c r="CJ355"/>
      <c r="CK355"/>
      <c r="CL355"/>
      <c r="CM355"/>
      <c r="CN355"/>
    </row>
    <row r="356" spans="14:92" ht="11.25" customHeight="1" x14ac:dyDescent="0.2">
      <c r="N356"/>
      <c r="O356"/>
      <c r="P356"/>
      <c r="Q356"/>
      <c r="R356"/>
      <c r="S356"/>
      <c r="T356"/>
      <c r="U356"/>
      <c r="V356"/>
      <c r="W356"/>
      <c r="X356"/>
      <c r="Y356"/>
      <c r="Z356"/>
      <c r="AA356"/>
      <c r="AB356"/>
      <c r="AC356"/>
      <c r="AD356"/>
      <c r="AE356" s="19">
        <v>265</v>
      </c>
      <c r="AG356" s="19">
        <f t="shared" si="206"/>
        <v>1</v>
      </c>
      <c r="AH356" s="19">
        <f t="shared" si="207"/>
        <v>-1</v>
      </c>
      <c r="AI356" s="19">
        <f t="shared" si="208"/>
        <v>36.225000000000001</v>
      </c>
      <c r="AJ356" s="410">
        <f t="shared" si="209"/>
        <v>892.28</v>
      </c>
      <c r="AK356" s="19" t="e">
        <f t="shared" si="210"/>
        <v>#N/A</v>
      </c>
      <c r="AL356" s="19">
        <f t="shared" si="211"/>
        <v>692.28</v>
      </c>
      <c r="AM356" s="19" t="e">
        <f t="shared" si="212"/>
        <v>#N/A</v>
      </c>
      <c r="AN356" s="19">
        <f t="shared" si="213"/>
        <v>492.28</v>
      </c>
      <c r="AO356" s="19" t="e">
        <f t="shared" si="214"/>
        <v>#N/A</v>
      </c>
      <c r="AP356" s="19">
        <f t="shared" si="215"/>
        <v>292.27999999999997</v>
      </c>
      <c r="AQ356" s="19" t="e">
        <f t="shared" si="216"/>
        <v>#N/A</v>
      </c>
      <c r="AR356" s="19">
        <f t="shared" si="217"/>
        <v>92.28</v>
      </c>
      <c r="AS356" s="19" t="e">
        <f t="shared" si="218"/>
        <v>#N/A</v>
      </c>
      <c r="AT356"/>
      <c r="AU356"/>
      <c r="AV356"/>
      <c r="AW356"/>
      <c r="AX356"/>
      <c r="AY356"/>
      <c r="AZ356"/>
      <c r="BA356"/>
      <c r="BB356"/>
      <c r="BC356"/>
      <c r="BD356"/>
      <c r="BE356"/>
      <c r="BF356"/>
      <c r="BG356"/>
      <c r="BH356"/>
      <c r="BI356"/>
      <c r="BJ356"/>
      <c r="BK356"/>
      <c r="BL356"/>
      <c r="BM356"/>
      <c r="BN356"/>
      <c r="BO356"/>
      <c r="BP356"/>
      <c r="BQ356"/>
      <c r="CB356"/>
      <c r="CC356"/>
      <c r="CD356"/>
      <c r="CE356"/>
      <c r="CJ356"/>
      <c r="CK356"/>
      <c r="CL356"/>
      <c r="CM356"/>
      <c r="CN356"/>
    </row>
    <row r="357" spans="14:92" ht="11.25" customHeight="1" x14ac:dyDescent="0.2">
      <c r="N357"/>
      <c r="O357"/>
      <c r="P357"/>
      <c r="Q357"/>
      <c r="R357"/>
      <c r="S357"/>
      <c r="T357"/>
      <c r="U357"/>
      <c r="V357"/>
      <c r="W357"/>
      <c r="X357"/>
      <c r="Y357"/>
      <c r="Z357"/>
      <c r="AA357"/>
      <c r="AB357"/>
      <c r="AC357"/>
      <c r="AD357"/>
      <c r="AE357" s="19">
        <v>266</v>
      </c>
      <c r="AG357" s="19">
        <f t="shared" si="206"/>
        <v>1</v>
      </c>
      <c r="AH357" s="19">
        <f t="shared" si="207"/>
        <v>1</v>
      </c>
      <c r="AI357" s="19">
        <f t="shared" si="208"/>
        <v>36.225000000000001</v>
      </c>
      <c r="AJ357" s="410">
        <f t="shared" si="209"/>
        <v>907.72</v>
      </c>
      <c r="AK357" s="19" t="e">
        <f t="shared" si="210"/>
        <v>#N/A</v>
      </c>
      <c r="AL357" s="19">
        <f t="shared" si="211"/>
        <v>707.72</v>
      </c>
      <c r="AM357" s="19" t="e">
        <f t="shared" si="212"/>
        <v>#N/A</v>
      </c>
      <c r="AN357" s="19">
        <f t="shared" si="213"/>
        <v>507.72</v>
      </c>
      <c r="AO357" s="19" t="e">
        <f t="shared" si="214"/>
        <v>#N/A</v>
      </c>
      <c r="AP357" s="19">
        <f t="shared" si="215"/>
        <v>307.72000000000003</v>
      </c>
      <c r="AQ357" s="19" t="e">
        <f t="shared" si="216"/>
        <v>#N/A</v>
      </c>
      <c r="AR357" s="19">
        <f t="shared" si="217"/>
        <v>107.72</v>
      </c>
      <c r="AS357" s="19" t="e">
        <f t="shared" si="218"/>
        <v>#N/A</v>
      </c>
      <c r="AT357"/>
      <c r="AU357"/>
      <c r="AV357"/>
      <c r="AW357"/>
      <c r="AX357"/>
      <c r="AY357"/>
      <c r="AZ357"/>
      <c r="BA357"/>
      <c r="BB357"/>
      <c r="BC357"/>
      <c r="BD357"/>
      <c r="BE357"/>
      <c r="BF357"/>
      <c r="BG357"/>
      <c r="BH357"/>
      <c r="BI357"/>
      <c r="BJ357"/>
      <c r="BK357"/>
      <c r="BL357"/>
      <c r="BM357"/>
      <c r="BN357"/>
      <c r="BO357"/>
      <c r="BP357"/>
      <c r="BQ357"/>
      <c r="CB357"/>
      <c r="CC357"/>
      <c r="CD357"/>
      <c r="CE357"/>
      <c r="CJ357"/>
      <c r="CK357"/>
      <c r="CL357"/>
      <c r="CM357"/>
      <c r="CN357"/>
    </row>
    <row r="358" spans="14:92" ht="11.25" customHeight="1" x14ac:dyDescent="0.2">
      <c r="N358"/>
      <c r="O358"/>
      <c r="P358"/>
      <c r="Q358"/>
      <c r="R358"/>
      <c r="S358"/>
      <c r="T358"/>
      <c r="U358"/>
      <c r="V358"/>
      <c r="W358"/>
      <c r="X358"/>
      <c r="Y358"/>
      <c r="Z358"/>
      <c r="AA358"/>
      <c r="AB358"/>
      <c r="AC358"/>
      <c r="AD358"/>
      <c r="AE358" s="19">
        <v>267</v>
      </c>
      <c r="AG358" s="19">
        <f t="shared" si="206"/>
        <v>3</v>
      </c>
      <c r="AH358" s="19">
        <f t="shared" si="207"/>
        <v>-1</v>
      </c>
      <c r="AI358" s="19">
        <f t="shared" si="208"/>
        <v>36.225000000000001</v>
      </c>
      <c r="AJ358" s="410">
        <f t="shared" si="209"/>
        <v>876.84</v>
      </c>
      <c r="AK358" s="19" t="e">
        <f t="shared" si="210"/>
        <v>#N/A</v>
      </c>
      <c r="AL358" s="19">
        <f t="shared" si="211"/>
        <v>676.84</v>
      </c>
      <c r="AM358" s="19" t="e">
        <f t="shared" si="212"/>
        <v>#N/A</v>
      </c>
      <c r="AN358" s="19">
        <f t="shared" si="213"/>
        <v>476.84</v>
      </c>
      <c r="AO358" s="19" t="e">
        <f t="shared" si="214"/>
        <v>#N/A</v>
      </c>
      <c r="AP358" s="19">
        <f t="shared" si="215"/>
        <v>276.83999999999997</v>
      </c>
      <c r="AQ358" s="19" t="e">
        <f t="shared" si="216"/>
        <v>#N/A</v>
      </c>
      <c r="AR358" s="19">
        <f t="shared" si="217"/>
        <v>76.84</v>
      </c>
      <c r="AS358" s="19" t="e">
        <f t="shared" si="218"/>
        <v>#N/A</v>
      </c>
      <c r="AT358"/>
      <c r="AU358"/>
      <c r="AV358"/>
      <c r="AW358"/>
      <c r="AX358"/>
      <c r="AY358"/>
      <c r="AZ358"/>
      <c r="BA358"/>
      <c r="BB358"/>
      <c r="BC358"/>
      <c r="BD358"/>
      <c r="BE358"/>
      <c r="BF358"/>
      <c r="BG358"/>
      <c r="BH358"/>
      <c r="BI358"/>
      <c r="BJ358"/>
      <c r="BK358"/>
      <c r="BL358"/>
      <c r="BM358"/>
      <c r="BN358"/>
      <c r="BO358"/>
      <c r="BP358"/>
      <c r="BQ358"/>
      <c r="CB358"/>
      <c r="CC358"/>
      <c r="CD358"/>
      <c r="CE358"/>
      <c r="CJ358"/>
      <c r="CK358"/>
      <c r="CL358"/>
      <c r="CM358"/>
      <c r="CN358"/>
    </row>
    <row r="359" spans="14:92" ht="11.25" customHeight="1" x14ac:dyDescent="0.2">
      <c r="N359"/>
      <c r="O359"/>
      <c r="P359"/>
      <c r="Q359"/>
      <c r="R359"/>
      <c r="S359"/>
      <c r="T359"/>
      <c r="U359"/>
      <c r="V359"/>
      <c r="W359"/>
      <c r="X359"/>
      <c r="Y359"/>
      <c r="Z359"/>
      <c r="AA359"/>
      <c r="AB359"/>
      <c r="AC359"/>
      <c r="AD359"/>
      <c r="AE359" s="19">
        <v>268</v>
      </c>
      <c r="AG359" s="19">
        <f t="shared" si="206"/>
        <v>3</v>
      </c>
      <c r="AH359" s="19">
        <f t="shared" si="207"/>
        <v>1</v>
      </c>
      <c r="AI359" s="19">
        <f t="shared" si="208"/>
        <v>36.225000000000001</v>
      </c>
      <c r="AJ359" s="410">
        <f t="shared" si="209"/>
        <v>923.16</v>
      </c>
      <c r="AK359" s="19" t="e">
        <f t="shared" si="210"/>
        <v>#N/A</v>
      </c>
      <c r="AL359" s="19">
        <f t="shared" si="211"/>
        <v>723.16</v>
      </c>
      <c r="AM359" s="19" t="e">
        <f t="shared" si="212"/>
        <v>#N/A</v>
      </c>
      <c r="AN359" s="19">
        <f t="shared" si="213"/>
        <v>523.16</v>
      </c>
      <c r="AO359" s="19" t="e">
        <f t="shared" si="214"/>
        <v>#N/A</v>
      </c>
      <c r="AP359" s="19">
        <f t="shared" si="215"/>
        <v>323.16000000000003</v>
      </c>
      <c r="AQ359" s="19" t="e">
        <f t="shared" si="216"/>
        <v>#N/A</v>
      </c>
      <c r="AR359" s="19">
        <f t="shared" si="217"/>
        <v>123.16</v>
      </c>
      <c r="AS359" s="19" t="e">
        <f t="shared" si="218"/>
        <v>#N/A</v>
      </c>
      <c r="AT359"/>
      <c r="AU359"/>
      <c r="AV359"/>
      <c r="AW359"/>
      <c r="AX359"/>
      <c r="AY359"/>
      <c r="AZ359"/>
      <c r="BA359"/>
      <c r="BB359"/>
      <c r="BC359"/>
      <c r="BD359"/>
      <c r="BE359"/>
      <c r="BF359"/>
      <c r="BG359"/>
      <c r="BH359"/>
      <c r="BI359"/>
      <c r="BJ359"/>
      <c r="BK359"/>
      <c r="BL359"/>
      <c r="BM359"/>
      <c r="BN359"/>
      <c r="BO359"/>
      <c r="BP359"/>
      <c r="BQ359"/>
      <c r="CB359"/>
      <c r="CC359"/>
      <c r="CD359"/>
      <c r="CE359"/>
      <c r="CJ359"/>
      <c r="CK359"/>
      <c r="CL359"/>
      <c r="CM359"/>
      <c r="CN359"/>
    </row>
    <row r="360" spans="14:92" ht="11.25" customHeight="1" x14ac:dyDescent="0.2">
      <c r="N360"/>
      <c r="O360"/>
      <c r="P360"/>
      <c r="Q360"/>
      <c r="R360"/>
      <c r="S360"/>
      <c r="T360"/>
      <c r="U360"/>
      <c r="V360"/>
      <c r="W360"/>
      <c r="X360"/>
      <c r="Y360"/>
      <c r="Z360"/>
      <c r="AA360"/>
      <c r="AB360"/>
      <c r="AC360"/>
      <c r="AD360"/>
      <c r="AE360" s="19">
        <v>269</v>
      </c>
      <c r="AG360" s="19">
        <f t="shared" si="206"/>
        <v>5</v>
      </c>
      <c r="AH360" s="19">
        <f t="shared" si="207"/>
        <v>-1</v>
      </c>
      <c r="AI360" s="19">
        <f t="shared" si="208"/>
        <v>36.225000000000001</v>
      </c>
      <c r="AJ360" s="410">
        <f t="shared" si="209"/>
        <v>861.4</v>
      </c>
      <c r="AK360" s="19" t="e">
        <f t="shared" si="210"/>
        <v>#N/A</v>
      </c>
      <c r="AL360" s="19">
        <f t="shared" si="211"/>
        <v>661.4</v>
      </c>
      <c r="AM360" s="19" t="e">
        <f t="shared" si="212"/>
        <v>#N/A</v>
      </c>
      <c r="AN360" s="19">
        <f t="shared" si="213"/>
        <v>461.4</v>
      </c>
      <c r="AO360" s="19" t="e">
        <f t="shared" si="214"/>
        <v>#N/A</v>
      </c>
      <c r="AP360" s="19">
        <f t="shared" si="215"/>
        <v>261.39999999999998</v>
      </c>
      <c r="AQ360" s="19" t="e">
        <f t="shared" si="216"/>
        <v>#N/A</v>
      </c>
      <c r="AR360" s="19">
        <f t="shared" si="217"/>
        <v>61.4</v>
      </c>
      <c r="AS360" s="19" t="e">
        <f t="shared" si="218"/>
        <v>#N/A</v>
      </c>
      <c r="AT360"/>
      <c r="AU360"/>
      <c r="AV360"/>
      <c r="AW360"/>
      <c r="AX360"/>
      <c r="AY360"/>
      <c r="AZ360"/>
      <c r="BA360"/>
      <c r="BB360"/>
      <c r="BC360"/>
      <c r="BD360"/>
      <c r="BE360"/>
      <c r="BF360"/>
      <c r="BG360"/>
      <c r="BH360"/>
      <c r="BI360"/>
      <c r="BJ360"/>
      <c r="BK360"/>
      <c r="BL360"/>
      <c r="BM360"/>
      <c r="BN360"/>
      <c r="BO360"/>
      <c r="BP360"/>
      <c r="BQ360"/>
      <c r="CB360"/>
      <c r="CC360"/>
      <c r="CD360"/>
      <c r="CE360"/>
      <c r="CJ360"/>
      <c r="CK360"/>
      <c r="CL360"/>
      <c r="CM360"/>
      <c r="CN360"/>
    </row>
    <row r="361" spans="14:92" ht="11.25" customHeight="1" x14ac:dyDescent="0.2">
      <c r="N361"/>
      <c r="O361"/>
      <c r="P361"/>
      <c r="Q361"/>
      <c r="R361"/>
      <c r="S361"/>
      <c r="T361"/>
      <c r="U361"/>
      <c r="V361"/>
      <c r="W361"/>
      <c r="X361"/>
      <c r="Y361"/>
      <c r="Z361"/>
      <c r="AA361"/>
      <c r="AB361"/>
      <c r="AC361"/>
      <c r="AD361"/>
      <c r="AE361" s="19">
        <v>270</v>
      </c>
      <c r="AG361" s="19">
        <f t="shared" si="206"/>
        <v>5</v>
      </c>
      <c r="AH361" s="19">
        <f t="shared" si="207"/>
        <v>1</v>
      </c>
      <c r="AI361" s="19">
        <f t="shared" si="208"/>
        <v>36.225000000000001</v>
      </c>
      <c r="AJ361" s="410">
        <f t="shared" si="209"/>
        <v>938.6</v>
      </c>
      <c r="AK361" s="19" t="e">
        <f t="shared" si="210"/>
        <v>#N/A</v>
      </c>
      <c r="AL361" s="19">
        <f t="shared" si="211"/>
        <v>738.6</v>
      </c>
      <c r="AM361" s="19" t="e">
        <f t="shared" si="212"/>
        <v>#N/A</v>
      </c>
      <c r="AN361" s="19">
        <f t="shared" si="213"/>
        <v>538.6</v>
      </c>
      <c r="AO361" s="19" t="e">
        <f t="shared" si="214"/>
        <v>#N/A</v>
      </c>
      <c r="AP361" s="19">
        <f t="shared" si="215"/>
        <v>338.6</v>
      </c>
      <c r="AQ361" s="19" t="e">
        <f t="shared" si="216"/>
        <v>#N/A</v>
      </c>
      <c r="AR361" s="19">
        <f t="shared" si="217"/>
        <v>138.6</v>
      </c>
      <c r="AS361" s="19" t="e">
        <f t="shared" si="218"/>
        <v>#N/A</v>
      </c>
      <c r="AT361"/>
      <c r="AU361"/>
      <c r="AV361"/>
      <c r="AW361"/>
      <c r="AX361"/>
      <c r="AY361"/>
      <c r="AZ361"/>
      <c r="BA361"/>
      <c r="BB361"/>
      <c r="BC361"/>
      <c r="BD361"/>
      <c r="BE361"/>
      <c r="BF361"/>
      <c r="BG361"/>
      <c r="BH361"/>
      <c r="BI361"/>
      <c r="BJ361"/>
      <c r="BK361"/>
      <c r="BL361"/>
      <c r="BM361"/>
      <c r="BN361"/>
      <c r="BO361"/>
      <c r="BP361"/>
      <c r="BQ361"/>
      <c r="CB361"/>
      <c r="CC361"/>
      <c r="CD361"/>
      <c r="CE361"/>
      <c r="CJ361"/>
      <c r="CK361"/>
      <c r="CL361"/>
      <c r="CM361"/>
      <c r="CN361"/>
    </row>
    <row r="362" spans="14:92" ht="11.25" customHeight="1" x14ac:dyDescent="0.2">
      <c r="N362"/>
      <c r="O362"/>
      <c r="P362"/>
      <c r="Q362"/>
      <c r="R362"/>
      <c r="S362"/>
      <c r="T362"/>
      <c r="U362"/>
      <c r="V362"/>
      <c r="W362"/>
      <c r="X362"/>
      <c r="Y362"/>
      <c r="Z362"/>
      <c r="AA362"/>
      <c r="AB362"/>
      <c r="AC362"/>
      <c r="AD362"/>
      <c r="AE362" s="19">
        <v>271</v>
      </c>
      <c r="AG362" s="19">
        <f t="shared" si="206"/>
        <v>7</v>
      </c>
      <c r="AH362" s="19">
        <f t="shared" si="207"/>
        <v>-1</v>
      </c>
      <c r="AI362" s="19">
        <f t="shared" si="208"/>
        <v>36.225000000000001</v>
      </c>
      <c r="AJ362" s="410">
        <f t="shared" si="209"/>
        <v>845.96</v>
      </c>
      <c r="AK362" s="19" t="e">
        <f t="shared" si="210"/>
        <v>#N/A</v>
      </c>
      <c r="AL362" s="19">
        <f t="shared" si="211"/>
        <v>645.96</v>
      </c>
      <c r="AM362" s="19" t="e">
        <f t="shared" si="212"/>
        <v>#N/A</v>
      </c>
      <c r="AN362" s="19">
        <f t="shared" si="213"/>
        <v>445.96</v>
      </c>
      <c r="AO362" s="19" t="e">
        <f t="shared" si="214"/>
        <v>#N/A</v>
      </c>
      <c r="AP362" s="19">
        <f t="shared" si="215"/>
        <v>245.96</v>
      </c>
      <c r="AQ362" s="19" t="e">
        <f t="shared" si="216"/>
        <v>#N/A</v>
      </c>
      <c r="AR362" s="19">
        <f t="shared" si="217"/>
        <v>45.96</v>
      </c>
      <c r="AS362" s="19" t="e">
        <f t="shared" si="218"/>
        <v>#N/A</v>
      </c>
      <c r="AT362"/>
      <c r="AU362"/>
      <c r="AV362"/>
      <c r="AW362"/>
      <c r="AX362"/>
      <c r="AY362"/>
      <c r="AZ362"/>
      <c r="BA362"/>
      <c r="BB362"/>
      <c r="BC362"/>
      <c r="BD362"/>
      <c r="BE362"/>
      <c r="BF362"/>
      <c r="BG362"/>
      <c r="BH362"/>
      <c r="BI362"/>
      <c r="BJ362"/>
      <c r="BK362"/>
      <c r="BL362"/>
      <c r="BM362"/>
      <c r="BN362"/>
      <c r="BO362"/>
      <c r="BP362"/>
      <c r="BQ362"/>
      <c r="CB362"/>
      <c r="CC362"/>
      <c r="CD362"/>
      <c r="CE362"/>
      <c r="CJ362"/>
      <c r="CK362"/>
      <c r="CL362"/>
      <c r="CM362"/>
      <c r="CN362"/>
    </row>
    <row r="363" spans="14:92" ht="11.25" customHeight="1" x14ac:dyDescent="0.2">
      <c r="N363"/>
      <c r="O363"/>
      <c r="P363"/>
      <c r="Q363"/>
      <c r="R363"/>
      <c r="S363"/>
      <c r="T363"/>
      <c r="U363"/>
      <c r="V363"/>
      <c r="W363"/>
      <c r="X363"/>
      <c r="Y363"/>
      <c r="Z363"/>
      <c r="AA363"/>
      <c r="AB363"/>
      <c r="AC363"/>
      <c r="AD363"/>
      <c r="AE363" s="19">
        <v>272</v>
      </c>
      <c r="AG363" s="19">
        <f t="shared" si="206"/>
        <v>7</v>
      </c>
      <c r="AH363" s="19">
        <f t="shared" si="207"/>
        <v>1</v>
      </c>
      <c r="AI363" s="19">
        <f t="shared" si="208"/>
        <v>36.225000000000001</v>
      </c>
      <c r="AJ363" s="410">
        <f t="shared" si="209"/>
        <v>954.04</v>
      </c>
      <c r="AK363" s="19" t="e">
        <f t="shared" si="210"/>
        <v>#N/A</v>
      </c>
      <c r="AL363" s="19">
        <f t="shared" si="211"/>
        <v>754.04</v>
      </c>
      <c r="AM363" s="19" t="e">
        <f t="shared" si="212"/>
        <v>#N/A</v>
      </c>
      <c r="AN363" s="19">
        <f t="shared" si="213"/>
        <v>554.04</v>
      </c>
      <c r="AO363" s="19" t="e">
        <f t="shared" si="214"/>
        <v>#N/A</v>
      </c>
      <c r="AP363" s="19">
        <f t="shared" si="215"/>
        <v>354.04</v>
      </c>
      <c r="AQ363" s="19" t="e">
        <f t="shared" si="216"/>
        <v>#N/A</v>
      </c>
      <c r="AR363" s="19">
        <f t="shared" si="217"/>
        <v>154.04</v>
      </c>
      <c r="AS363" s="19" t="e">
        <f t="shared" si="218"/>
        <v>#N/A</v>
      </c>
      <c r="AT363"/>
      <c r="AU363"/>
      <c r="AV363"/>
      <c r="AW363"/>
      <c r="AX363"/>
      <c r="AY363"/>
      <c r="AZ363"/>
      <c r="BA363"/>
      <c r="BB363"/>
      <c r="BC363"/>
      <c r="BD363"/>
      <c r="BE363"/>
      <c r="BF363"/>
      <c r="BG363"/>
      <c r="BH363"/>
      <c r="BI363"/>
      <c r="BJ363"/>
      <c r="BK363"/>
      <c r="BL363"/>
      <c r="BM363"/>
      <c r="BN363"/>
      <c r="BO363"/>
      <c r="BP363"/>
      <c r="BQ363"/>
      <c r="CB363"/>
      <c r="CC363"/>
      <c r="CD363"/>
      <c r="CE363"/>
      <c r="CJ363"/>
      <c r="CK363"/>
      <c r="CL363"/>
      <c r="CM363"/>
      <c r="CN363"/>
    </row>
    <row r="364" spans="14:92" ht="11.25" customHeight="1" x14ac:dyDescent="0.2">
      <c r="N364"/>
      <c r="O364"/>
      <c r="P364"/>
      <c r="Q364"/>
      <c r="R364"/>
      <c r="S364"/>
      <c r="T364"/>
      <c r="U364"/>
      <c r="V364"/>
      <c r="W364"/>
      <c r="X364"/>
      <c r="Y364"/>
      <c r="Z364"/>
      <c r="AA364"/>
      <c r="AB364"/>
      <c r="AC364"/>
      <c r="AD364"/>
      <c r="AE364" s="19">
        <v>273</v>
      </c>
      <c r="AG364" s="19">
        <f t="shared" si="206"/>
        <v>9</v>
      </c>
      <c r="AH364" s="19">
        <f t="shared" si="207"/>
        <v>-1</v>
      </c>
      <c r="AI364" s="19">
        <f t="shared" si="208"/>
        <v>36.225000000000001</v>
      </c>
      <c r="AJ364" s="410">
        <f t="shared" si="209"/>
        <v>830.52</v>
      </c>
      <c r="AK364" s="19" t="e">
        <f t="shared" si="210"/>
        <v>#N/A</v>
      </c>
      <c r="AL364" s="19">
        <f t="shared" si="211"/>
        <v>630.52</v>
      </c>
      <c r="AM364" s="19" t="e">
        <f t="shared" si="212"/>
        <v>#N/A</v>
      </c>
      <c r="AN364" s="19">
        <f t="shared" si="213"/>
        <v>430.52</v>
      </c>
      <c r="AO364" s="19" t="e">
        <f t="shared" si="214"/>
        <v>#N/A</v>
      </c>
      <c r="AP364" s="19">
        <f t="shared" si="215"/>
        <v>230.51999999999998</v>
      </c>
      <c r="AQ364" s="19" t="e">
        <f t="shared" si="216"/>
        <v>#N/A</v>
      </c>
      <c r="AR364" s="19">
        <f t="shared" si="217"/>
        <v>30.519999999999996</v>
      </c>
      <c r="AS364" s="19" t="e">
        <f t="shared" si="218"/>
        <v>#N/A</v>
      </c>
      <c r="AT364"/>
      <c r="AU364"/>
      <c r="AV364"/>
      <c r="AW364"/>
      <c r="AX364"/>
      <c r="AY364"/>
      <c r="AZ364"/>
      <c r="BA364"/>
      <c r="BB364"/>
      <c r="BC364"/>
      <c r="BD364"/>
      <c r="BE364"/>
      <c r="BF364"/>
      <c r="BG364"/>
      <c r="BH364"/>
      <c r="BI364"/>
      <c r="BJ364"/>
      <c r="BK364"/>
      <c r="BL364"/>
      <c r="BM364"/>
      <c r="BN364"/>
      <c r="BO364"/>
      <c r="BP364"/>
      <c r="BQ364"/>
      <c r="CB364"/>
      <c r="CC364"/>
      <c r="CD364"/>
      <c r="CE364"/>
      <c r="CJ364"/>
      <c r="CK364"/>
      <c r="CL364"/>
      <c r="CM364"/>
      <c r="CN364"/>
    </row>
    <row r="365" spans="14:92" ht="11.25" customHeight="1" x14ac:dyDescent="0.2">
      <c r="N365"/>
      <c r="O365"/>
      <c r="P365"/>
      <c r="Q365"/>
      <c r="R365"/>
      <c r="S365"/>
      <c r="T365"/>
      <c r="U365"/>
      <c r="V365"/>
      <c r="W365"/>
      <c r="X365"/>
      <c r="Y365"/>
      <c r="Z365"/>
      <c r="AA365"/>
      <c r="AB365"/>
      <c r="AC365"/>
      <c r="AD365"/>
      <c r="AE365" s="19">
        <v>274</v>
      </c>
      <c r="AG365" s="19">
        <f t="shared" si="206"/>
        <v>9</v>
      </c>
      <c r="AH365" s="19">
        <f t="shared" si="207"/>
        <v>1</v>
      </c>
      <c r="AI365" s="19">
        <f t="shared" si="208"/>
        <v>36.225000000000001</v>
      </c>
      <c r="AJ365" s="410">
        <f t="shared" si="209"/>
        <v>969.48</v>
      </c>
      <c r="AK365" s="19" t="e">
        <f t="shared" si="210"/>
        <v>#N/A</v>
      </c>
      <c r="AL365" s="19">
        <f t="shared" si="211"/>
        <v>769.48</v>
      </c>
      <c r="AM365" s="19" t="e">
        <f t="shared" si="212"/>
        <v>#N/A</v>
      </c>
      <c r="AN365" s="19">
        <f t="shared" si="213"/>
        <v>569.48</v>
      </c>
      <c r="AO365" s="19" t="e">
        <f t="shared" si="214"/>
        <v>#N/A</v>
      </c>
      <c r="AP365" s="19">
        <f t="shared" si="215"/>
        <v>369.48</v>
      </c>
      <c r="AQ365" s="19" t="e">
        <f t="shared" si="216"/>
        <v>#N/A</v>
      </c>
      <c r="AR365" s="19">
        <f t="shared" si="217"/>
        <v>169.48000000000002</v>
      </c>
      <c r="AS365" s="19" t="e">
        <f t="shared" si="218"/>
        <v>#N/A</v>
      </c>
      <c r="AT365"/>
      <c r="AU365"/>
      <c r="AV365"/>
      <c r="AW365"/>
      <c r="AX365"/>
      <c r="AY365"/>
      <c r="AZ365"/>
      <c r="BA365"/>
      <c r="BB365"/>
      <c r="BC365"/>
      <c r="BD365"/>
      <c r="BE365"/>
      <c r="BF365"/>
      <c r="BG365"/>
      <c r="BH365"/>
      <c r="BI365"/>
      <c r="BJ365"/>
      <c r="BK365"/>
      <c r="BL365"/>
      <c r="BM365"/>
      <c r="BN365"/>
      <c r="BO365"/>
      <c r="BP365"/>
      <c r="BQ365"/>
      <c r="CB365"/>
      <c r="CC365"/>
      <c r="CD365"/>
      <c r="CE365"/>
      <c r="CJ365"/>
      <c r="CK365"/>
      <c r="CL365"/>
      <c r="CM365"/>
      <c r="CN365"/>
    </row>
    <row r="366" spans="14:92" ht="11.25" customHeight="1" x14ac:dyDescent="0.2">
      <c r="N366"/>
      <c r="O366"/>
      <c r="P366"/>
      <c r="Q366"/>
      <c r="R366"/>
      <c r="S366"/>
      <c r="T366"/>
      <c r="U366"/>
      <c r="V366"/>
      <c r="W366"/>
      <c r="X366"/>
      <c r="Y366"/>
      <c r="Z366"/>
      <c r="AA366"/>
      <c r="AB366"/>
      <c r="AC366"/>
      <c r="AD366"/>
      <c r="AE366" s="19">
        <v>275</v>
      </c>
      <c r="AG366" s="19">
        <f t="shared" si="206"/>
        <v>11</v>
      </c>
      <c r="AH366" s="19">
        <f t="shared" si="207"/>
        <v>-1</v>
      </c>
      <c r="AI366" s="19">
        <f t="shared" si="208"/>
        <v>36.225000000000001</v>
      </c>
      <c r="AJ366" s="410">
        <f t="shared" si="209"/>
        <v>815.08</v>
      </c>
      <c r="AK366" s="19" t="e">
        <f t="shared" si="210"/>
        <v>#N/A</v>
      </c>
      <c r="AL366" s="19">
        <f t="shared" si="211"/>
        <v>615.08000000000004</v>
      </c>
      <c r="AM366" s="19" t="e">
        <f t="shared" si="212"/>
        <v>#N/A</v>
      </c>
      <c r="AN366" s="19">
        <f t="shared" si="213"/>
        <v>415.08</v>
      </c>
      <c r="AO366" s="19" t="e">
        <f t="shared" si="214"/>
        <v>#N/A</v>
      </c>
      <c r="AP366" s="19">
        <f t="shared" si="215"/>
        <v>215.07999999999998</v>
      </c>
      <c r="AQ366" s="19" t="e">
        <f t="shared" si="216"/>
        <v>#N/A</v>
      </c>
      <c r="AR366" s="19">
        <f t="shared" si="217"/>
        <v>15.079999999999998</v>
      </c>
      <c r="AS366" s="19" t="e">
        <f t="shared" si="218"/>
        <v>#N/A</v>
      </c>
      <c r="AT366"/>
      <c r="AU366"/>
      <c r="AV366"/>
      <c r="AW366"/>
      <c r="AX366"/>
      <c r="AY366"/>
      <c r="AZ366"/>
      <c r="BA366"/>
      <c r="BB366"/>
      <c r="BC366"/>
      <c r="BD366"/>
      <c r="BE366"/>
      <c r="BF366"/>
      <c r="BG366"/>
      <c r="BH366"/>
      <c r="BI366"/>
      <c r="BJ366"/>
      <c r="BK366"/>
      <c r="BL366"/>
      <c r="BM366"/>
      <c r="BN366"/>
      <c r="BO366"/>
      <c r="BP366"/>
      <c r="BQ366"/>
      <c r="CB366"/>
      <c r="CC366"/>
      <c r="CD366"/>
      <c r="CE366"/>
      <c r="CJ366"/>
      <c r="CK366"/>
      <c r="CL366"/>
      <c r="CM366"/>
      <c r="CN366"/>
    </row>
    <row r="367" spans="14:92" ht="11.25" customHeight="1" x14ac:dyDescent="0.2">
      <c r="N367"/>
      <c r="O367"/>
      <c r="P367"/>
      <c r="Q367"/>
      <c r="R367"/>
      <c r="S367"/>
      <c r="T367"/>
      <c r="U367"/>
      <c r="V367"/>
      <c r="W367"/>
      <c r="X367"/>
      <c r="Y367"/>
      <c r="Z367"/>
      <c r="AA367"/>
      <c r="AB367"/>
      <c r="AC367"/>
      <c r="AD367"/>
      <c r="AE367" s="19">
        <v>276</v>
      </c>
      <c r="AG367" s="19">
        <f t="shared" si="206"/>
        <v>11</v>
      </c>
      <c r="AH367" s="19">
        <f t="shared" si="207"/>
        <v>1</v>
      </c>
      <c r="AI367" s="19">
        <f t="shared" si="208"/>
        <v>36.225000000000001</v>
      </c>
      <c r="AJ367" s="410">
        <f t="shared" si="209"/>
        <v>984.92</v>
      </c>
      <c r="AK367" s="19" t="e">
        <f t="shared" si="210"/>
        <v>#N/A</v>
      </c>
      <c r="AL367" s="19">
        <f t="shared" si="211"/>
        <v>784.92</v>
      </c>
      <c r="AM367" s="19" t="e">
        <f t="shared" si="212"/>
        <v>#N/A</v>
      </c>
      <c r="AN367" s="19">
        <f t="shared" si="213"/>
        <v>584.91999999999996</v>
      </c>
      <c r="AO367" s="19" t="e">
        <f t="shared" si="214"/>
        <v>#N/A</v>
      </c>
      <c r="AP367" s="19">
        <f t="shared" si="215"/>
        <v>384.92</v>
      </c>
      <c r="AQ367" s="19" t="e">
        <f t="shared" si="216"/>
        <v>#N/A</v>
      </c>
      <c r="AR367" s="19">
        <f t="shared" si="217"/>
        <v>184.92000000000002</v>
      </c>
      <c r="AS367" s="19" t="e">
        <f t="shared" si="218"/>
        <v>#N/A</v>
      </c>
      <c r="AT367"/>
      <c r="AU367"/>
      <c r="AV367"/>
      <c r="AW367"/>
      <c r="AX367"/>
      <c r="AY367"/>
      <c r="AZ367"/>
      <c r="BA367"/>
      <c r="BB367"/>
      <c r="BC367"/>
      <c r="BD367"/>
      <c r="BE367"/>
      <c r="BF367"/>
      <c r="BG367"/>
      <c r="BH367"/>
      <c r="BI367"/>
      <c r="BJ367"/>
      <c r="BK367"/>
      <c r="BL367"/>
      <c r="BM367"/>
      <c r="BN367"/>
      <c r="BO367"/>
      <c r="BP367"/>
      <c r="BQ367"/>
      <c r="CB367"/>
      <c r="CC367"/>
      <c r="CD367"/>
      <c r="CE367"/>
      <c r="CJ367"/>
      <c r="CK367"/>
      <c r="CL367"/>
      <c r="CM367"/>
      <c r="CN367"/>
    </row>
    <row r="368" spans="14:92" ht="11.25" customHeight="1" x14ac:dyDescent="0.2">
      <c r="N368"/>
      <c r="O368"/>
      <c r="P368"/>
      <c r="Q368"/>
      <c r="R368"/>
      <c r="S368"/>
      <c r="T368"/>
      <c r="U368"/>
      <c r="V368"/>
      <c r="W368"/>
      <c r="X368"/>
      <c r="Y368"/>
      <c r="Z368"/>
      <c r="AA368"/>
      <c r="AB368"/>
      <c r="AC368"/>
      <c r="AD368"/>
      <c r="AE368" s="19">
        <v>277</v>
      </c>
      <c r="AG368" s="19">
        <f t="shared" si="206"/>
        <v>1</v>
      </c>
      <c r="AH368" s="19">
        <f t="shared" si="207"/>
        <v>-1</v>
      </c>
      <c r="AI368" s="19">
        <f t="shared" si="208"/>
        <v>37.835000000000001</v>
      </c>
      <c r="AJ368" s="410">
        <f t="shared" si="209"/>
        <v>892.28</v>
      </c>
      <c r="AK368" s="19" t="e">
        <f t="shared" si="210"/>
        <v>#N/A</v>
      </c>
      <c r="AL368" s="19">
        <f t="shared" si="211"/>
        <v>692.28</v>
      </c>
      <c r="AM368" s="19" t="e">
        <f t="shared" si="212"/>
        <v>#N/A</v>
      </c>
      <c r="AN368" s="19">
        <f t="shared" si="213"/>
        <v>492.28</v>
      </c>
      <c r="AO368" s="19" t="e">
        <f t="shared" si="214"/>
        <v>#N/A</v>
      </c>
      <c r="AP368" s="19">
        <f t="shared" si="215"/>
        <v>292.27999999999997</v>
      </c>
      <c r="AQ368" s="19" t="e">
        <f t="shared" si="216"/>
        <v>#N/A</v>
      </c>
      <c r="AR368" s="19">
        <f t="shared" si="217"/>
        <v>92.28</v>
      </c>
      <c r="AS368" s="19" t="e">
        <f t="shared" si="218"/>
        <v>#N/A</v>
      </c>
      <c r="AT368"/>
      <c r="AU368"/>
      <c r="AV368"/>
      <c r="AW368"/>
      <c r="AX368"/>
      <c r="AY368"/>
      <c r="AZ368"/>
      <c r="BA368"/>
      <c r="BB368"/>
      <c r="BC368"/>
      <c r="BD368"/>
      <c r="BE368"/>
      <c r="BF368"/>
      <c r="BG368"/>
      <c r="BH368"/>
      <c r="BI368"/>
      <c r="BJ368"/>
      <c r="BK368"/>
      <c r="BL368"/>
      <c r="BM368"/>
      <c r="BN368"/>
      <c r="BO368"/>
      <c r="BP368"/>
      <c r="BQ368"/>
      <c r="CB368"/>
      <c r="CC368"/>
      <c r="CD368"/>
      <c r="CE368"/>
      <c r="CJ368"/>
      <c r="CK368"/>
      <c r="CL368"/>
      <c r="CM368"/>
      <c r="CN368"/>
    </row>
    <row r="369" spans="14:92" ht="11.25" customHeight="1" x14ac:dyDescent="0.2">
      <c r="N369"/>
      <c r="O369"/>
      <c r="P369"/>
      <c r="Q369"/>
      <c r="R369"/>
      <c r="S369"/>
      <c r="T369"/>
      <c r="U369"/>
      <c r="V369"/>
      <c r="W369"/>
      <c r="X369"/>
      <c r="Y369"/>
      <c r="Z369"/>
      <c r="AA369"/>
      <c r="AB369"/>
      <c r="AC369"/>
      <c r="AD369"/>
      <c r="AE369" s="19">
        <v>278</v>
      </c>
      <c r="AG369" s="19">
        <f t="shared" si="206"/>
        <v>1</v>
      </c>
      <c r="AH369" s="19">
        <f t="shared" si="207"/>
        <v>1</v>
      </c>
      <c r="AI369" s="19">
        <f t="shared" si="208"/>
        <v>37.835000000000001</v>
      </c>
      <c r="AJ369" s="410">
        <f t="shared" si="209"/>
        <v>907.72</v>
      </c>
      <c r="AK369" s="19" t="e">
        <f t="shared" si="210"/>
        <v>#N/A</v>
      </c>
      <c r="AL369" s="19">
        <f t="shared" si="211"/>
        <v>707.72</v>
      </c>
      <c r="AM369" s="19" t="e">
        <f t="shared" si="212"/>
        <v>#N/A</v>
      </c>
      <c r="AN369" s="19">
        <f t="shared" si="213"/>
        <v>507.72</v>
      </c>
      <c r="AO369" s="19" t="e">
        <f t="shared" si="214"/>
        <v>#N/A</v>
      </c>
      <c r="AP369" s="19">
        <f t="shared" si="215"/>
        <v>307.72000000000003</v>
      </c>
      <c r="AQ369" s="19" t="e">
        <f t="shared" si="216"/>
        <v>#N/A</v>
      </c>
      <c r="AR369" s="19">
        <f t="shared" si="217"/>
        <v>107.72</v>
      </c>
      <c r="AS369" s="19" t="e">
        <f t="shared" si="218"/>
        <v>#N/A</v>
      </c>
      <c r="AT369"/>
      <c r="AU369"/>
      <c r="AV369"/>
      <c r="AW369"/>
      <c r="AX369"/>
      <c r="AY369"/>
      <c r="AZ369"/>
      <c r="BA369"/>
      <c r="BB369"/>
      <c r="BC369"/>
      <c r="BD369"/>
      <c r="BE369"/>
      <c r="BF369"/>
      <c r="BG369"/>
      <c r="BH369"/>
      <c r="BI369"/>
      <c r="BJ369"/>
      <c r="BK369"/>
      <c r="BL369"/>
      <c r="BM369"/>
      <c r="BN369"/>
      <c r="BO369"/>
      <c r="BP369"/>
      <c r="BQ369"/>
      <c r="CB369"/>
      <c r="CC369"/>
      <c r="CD369"/>
      <c r="CE369"/>
      <c r="CJ369"/>
      <c r="CK369"/>
      <c r="CL369"/>
      <c r="CM369"/>
      <c r="CN369"/>
    </row>
    <row r="370" spans="14:92" ht="11.25" customHeight="1" x14ac:dyDescent="0.2">
      <c r="N370"/>
      <c r="O370"/>
      <c r="P370"/>
      <c r="Q370"/>
      <c r="R370"/>
      <c r="S370"/>
      <c r="T370"/>
      <c r="U370"/>
      <c r="V370"/>
      <c r="W370"/>
      <c r="X370"/>
      <c r="Y370"/>
      <c r="Z370"/>
      <c r="AA370"/>
      <c r="AB370"/>
      <c r="AC370"/>
      <c r="AD370"/>
      <c r="AE370" s="19">
        <v>279</v>
      </c>
      <c r="AG370" s="19">
        <f t="shared" si="206"/>
        <v>3</v>
      </c>
      <c r="AH370" s="19">
        <f t="shared" si="207"/>
        <v>-1</v>
      </c>
      <c r="AI370" s="19">
        <f t="shared" si="208"/>
        <v>37.835000000000001</v>
      </c>
      <c r="AJ370" s="410">
        <f t="shared" si="209"/>
        <v>876.84</v>
      </c>
      <c r="AK370" s="19" t="e">
        <f t="shared" si="210"/>
        <v>#N/A</v>
      </c>
      <c r="AL370" s="19">
        <f t="shared" si="211"/>
        <v>676.84</v>
      </c>
      <c r="AM370" s="19" t="e">
        <f t="shared" si="212"/>
        <v>#N/A</v>
      </c>
      <c r="AN370" s="19">
        <f t="shared" si="213"/>
        <v>476.84</v>
      </c>
      <c r="AO370" s="19" t="e">
        <f t="shared" si="214"/>
        <v>#N/A</v>
      </c>
      <c r="AP370" s="19">
        <f t="shared" si="215"/>
        <v>276.83999999999997</v>
      </c>
      <c r="AQ370" s="19" t="e">
        <f t="shared" si="216"/>
        <v>#N/A</v>
      </c>
      <c r="AR370" s="19">
        <f t="shared" si="217"/>
        <v>76.84</v>
      </c>
      <c r="AS370" s="19" t="e">
        <f t="shared" si="218"/>
        <v>#N/A</v>
      </c>
      <c r="AT370"/>
      <c r="AU370"/>
      <c r="AV370"/>
      <c r="AW370"/>
      <c r="AX370"/>
      <c r="AY370"/>
      <c r="AZ370"/>
      <c r="BA370"/>
      <c r="BB370"/>
      <c r="BC370"/>
      <c r="BD370"/>
      <c r="BE370"/>
      <c r="BF370"/>
      <c r="BG370"/>
      <c r="BH370"/>
      <c r="BI370"/>
      <c r="BJ370"/>
      <c r="BK370"/>
      <c r="BL370"/>
      <c r="BM370"/>
      <c r="BN370"/>
      <c r="BO370"/>
      <c r="BP370"/>
      <c r="BQ370"/>
      <c r="CB370"/>
      <c r="CC370"/>
      <c r="CD370"/>
      <c r="CE370"/>
      <c r="CJ370"/>
      <c r="CK370"/>
      <c r="CL370"/>
      <c r="CM370"/>
      <c r="CN370"/>
    </row>
    <row r="371" spans="14:92" ht="11.25" customHeight="1" x14ac:dyDescent="0.2">
      <c r="N371"/>
      <c r="O371"/>
      <c r="P371"/>
      <c r="Q371"/>
      <c r="R371"/>
      <c r="S371"/>
      <c r="T371"/>
      <c r="U371"/>
      <c r="V371"/>
      <c r="W371"/>
      <c r="X371"/>
      <c r="Y371"/>
      <c r="Z371"/>
      <c r="AA371"/>
      <c r="AB371"/>
      <c r="AC371"/>
      <c r="AD371"/>
      <c r="AE371" s="19">
        <v>280</v>
      </c>
      <c r="AG371" s="19">
        <f t="shared" si="206"/>
        <v>3</v>
      </c>
      <c r="AH371" s="19">
        <f t="shared" si="207"/>
        <v>1</v>
      </c>
      <c r="AI371" s="19">
        <f t="shared" si="208"/>
        <v>37.835000000000001</v>
      </c>
      <c r="AJ371" s="410">
        <f t="shared" si="209"/>
        <v>923.16</v>
      </c>
      <c r="AK371" s="19" t="e">
        <f t="shared" si="210"/>
        <v>#N/A</v>
      </c>
      <c r="AL371" s="19">
        <f t="shared" si="211"/>
        <v>723.16</v>
      </c>
      <c r="AM371" s="19" t="e">
        <f t="shared" si="212"/>
        <v>#N/A</v>
      </c>
      <c r="AN371" s="19">
        <f t="shared" si="213"/>
        <v>523.16</v>
      </c>
      <c r="AO371" s="19" t="e">
        <f t="shared" si="214"/>
        <v>#N/A</v>
      </c>
      <c r="AP371" s="19">
        <f t="shared" si="215"/>
        <v>323.16000000000003</v>
      </c>
      <c r="AQ371" s="19" t="e">
        <f t="shared" si="216"/>
        <v>#N/A</v>
      </c>
      <c r="AR371" s="19">
        <f t="shared" si="217"/>
        <v>123.16</v>
      </c>
      <c r="AS371" s="19" t="e">
        <f t="shared" si="218"/>
        <v>#N/A</v>
      </c>
      <c r="AT371"/>
      <c r="AU371"/>
      <c r="AV371"/>
      <c r="AW371"/>
      <c r="AX371"/>
      <c r="AY371"/>
      <c r="AZ371"/>
      <c r="BA371"/>
      <c r="BB371"/>
      <c r="BC371"/>
      <c r="BD371"/>
      <c r="BE371"/>
      <c r="BF371"/>
      <c r="BG371"/>
      <c r="BH371"/>
      <c r="BI371"/>
      <c r="BJ371"/>
      <c r="BK371"/>
      <c r="BL371"/>
      <c r="BM371"/>
      <c r="BN371"/>
      <c r="BO371"/>
      <c r="BP371"/>
      <c r="BQ371"/>
      <c r="CB371"/>
      <c r="CC371"/>
      <c r="CD371"/>
      <c r="CE371"/>
      <c r="CJ371"/>
      <c r="CK371"/>
      <c r="CL371"/>
      <c r="CM371"/>
      <c r="CN371"/>
    </row>
    <row r="372" spans="14:92" ht="11.25" customHeight="1" x14ac:dyDescent="0.2">
      <c r="N372"/>
      <c r="O372"/>
      <c r="P372"/>
      <c r="Q372"/>
      <c r="R372"/>
      <c r="S372"/>
      <c r="T372"/>
      <c r="U372"/>
      <c r="V372"/>
      <c r="W372"/>
      <c r="X372"/>
      <c r="Y372"/>
      <c r="Z372"/>
      <c r="AA372"/>
      <c r="AB372"/>
      <c r="AC372"/>
      <c r="AD372"/>
      <c r="AE372" s="19">
        <v>281</v>
      </c>
      <c r="AG372" s="19">
        <f t="shared" si="206"/>
        <v>5</v>
      </c>
      <c r="AH372" s="19">
        <f t="shared" si="207"/>
        <v>-1</v>
      </c>
      <c r="AI372" s="19">
        <f t="shared" si="208"/>
        <v>37.835000000000001</v>
      </c>
      <c r="AJ372" s="410">
        <f t="shared" si="209"/>
        <v>861.4</v>
      </c>
      <c r="AK372" s="19" t="e">
        <f t="shared" si="210"/>
        <v>#N/A</v>
      </c>
      <c r="AL372" s="19">
        <f t="shared" si="211"/>
        <v>661.4</v>
      </c>
      <c r="AM372" s="19" t="e">
        <f t="shared" si="212"/>
        <v>#N/A</v>
      </c>
      <c r="AN372" s="19">
        <f t="shared" si="213"/>
        <v>461.4</v>
      </c>
      <c r="AO372" s="19" t="e">
        <f t="shared" si="214"/>
        <v>#N/A</v>
      </c>
      <c r="AP372" s="19">
        <f t="shared" si="215"/>
        <v>261.39999999999998</v>
      </c>
      <c r="AQ372" s="19" t="e">
        <f t="shared" si="216"/>
        <v>#N/A</v>
      </c>
      <c r="AR372" s="19">
        <f t="shared" si="217"/>
        <v>61.4</v>
      </c>
      <c r="AS372" s="19" t="e">
        <f t="shared" si="218"/>
        <v>#N/A</v>
      </c>
      <c r="AT372"/>
      <c r="AU372"/>
      <c r="AV372"/>
      <c r="AW372"/>
      <c r="AX372"/>
      <c r="AY372"/>
      <c r="AZ372"/>
      <c r="BA372"/>
      <c r="BB372"/>
      <c r="BC372"/>
      <c r="BD372"/>
      <c r="BE372"/>
      <c r="BF372"/>
      <c r="BG372"/>
      <c r="BH372"/>
      <c r="BI372"/>
      <c r="BJ372"/>
      <c r="BK372"/>
      <c r="BL372"/>
      <c r="BM372"/>
      <c r="BN372"/>
      <c r="BO372"/>
      <c r="BP372"/>
      <c r="BQ372"/>
      <c r="CB372"/>
      <c r="CC372"/>
      <c r="CD372"/>
      <c r="CE372"/>
      <c r="CJ372"/>
      <c r="CK372"/>
      <c r="CL372"/>
      <c r="CM372"/>
      <c r="CN372"/>
    </row>
    <row r="373" spans="14:92" ht="11.25" customHeight="1" x14ac:dyDescent="0.2">
      <c r="N373"/>
      <c r="O373"/>
      <c r="P373"/>
      <c r="Q373"/>
      <c r="R373"/>
      <c r="S373"/>
      <c r="T373"/>
      <c r="U373"/>
      <c r="V373"/>
      <c r="W373"/>
      <c r="X373"/>
      <c r="Y373"/>
      <c r="Z373"/>
      <c r="AA373"/>
      <c r="AB373"/>
      <c r="AC373"/>
      <c r="AD373"/>
      <c r="AE373" s="19">
        <v>282</v>
      </c>
      <c r="AG373" s="19">
        <f t="shared" si="206"/>
        <v>5</v>
      </c>
      <c r="AH373" s="19">
        <f t="shared" si="207"/>
        <v>1</v>
      </c>
      <c r="AI373" s="19">
        <f t="shared" si="208"/>
        <v>37.835000000000001</v>
      </c>
      <c r="AJ373" s="410">
        <f t="shared" si="209"/>
        <v>938.6</v>
      </c>
      <c r="AK373" s="19" t="e">
        <f t="shared" si="210"/>
        <v>#N/A</v>
      </c>
      <c r="AL373" s="19">
        <f t="shared" si="211"/>
        <v>738.6</v>
      </c>
      <c r="AM373" s="19" t="e">
        <f t="shared" si="212"/>
        <v>#N/A</v>
      </c>
      <c r="AN373" s="19">
        <f t="shared" si="213"/>
        <v>538.6</v>
      </c>
      <c r="AO373" s="19" t="e">
        <f t="shared" si="214"/>
        <v>#N/A</v>
      </c>
      <c r="AP373" s="19">
        <f t="shared" si="215"/>
        <v>338.6</v>
      </c>
      <c r="AQ373" s="19" t="e">
        <f t="shared" si="216"/>
        <v>#N/A</v>
      </c>
      <c r="AR373" s="19">
        <f t="shared" si="217"/>
        <v>138.6</v>
      </c>
      <c r="AS373" s="19" t="e">
        <f t="shared" si="218"/>
        <v>#N/A</v>
      </c>
      <c r="AT373"/>
      <c r="AU373"/>
      <c r="AV373"/>
      <c r="AW373"/>
      <c r="AX373"/>
      <c r="AY373"/>
      <c r="AZ373"/>
      <c r="BA373"/>
      <c r="BB373"/>
      <c r="BC373"/>
      <c r="BD373"/>
      <c r="BE373"/>
      <c r="BF373"/>
      <c r="BG373"/>
      <c r="BH373"/>
      <c r="BI373"/>
      <c r="BJ373"/>
      <c r="BK373"/>
      <c r="BL373"/>
      <c r="BM373"/>
      <c r="BN373"/>
      <c r="CB373"/>
      <c r="CC373"/>
      <c r="CD373"/>
      <c r="CE373"/>
      <c r="CJ373"/>
      <c r="CK373"/>
      <c r="CL373"/>
      <c r="CM373"/>
      <c r="CN373"/>
    </row>
    <row r="374" spans="14:92" ht="11.25" customHeight="1" x14ac:dyDescent="0.2">
      <c r="N374"/>
      <c r="O374"/>
      <c r="P374"/>
      <c r="Q374"/>
      <c r="R374"/>
      <c r="S374"/>
      <c r="T374"/>
      <c r="U374"/>
      <c r="V374"/>
      <c r="W374"/>
      <c r="X374"/>
      <c r="Y374"/>
      <c r="Z374"/>
      <c r="AA374"/>
      <c r="AB374"/>
      <c r="AC374"/>
      <c r="AD374"/>
      <c r="AE374" s="19">
        <v>283</v>
      </c>
      <c r="AG374" s="19">
        <f t="shared" si="206"/>
        <v>7</v>
      </c>
      <c r="AH374" s="19">
        <f t="shared" si="207"/>
        <v>-1</v>
      </c>
      <c r="AI374" s="19">
        <f t="shared" si="208"/>
        <v>37.835000000000001</v>
      </c>
      <c r="AJ374" s="410">
        <f t="shared" si="209"/>
        <v>845.96</v>
      </c>
      <c r="AK374" s="19" t="e">
        <f t="shared" si="210"/>
        <v>#N/A</v>
      </c>
      <c r="AL374" s="19">
        <f t="shared" si="211"/>
        <v>645.96</v>
      </c>
      <c r="AM374" s="19" t="e">
        <f t="shared" si="212"/>
        <v>#N/A</v>
      </c>
      <c r="AN374" s="19">
        <f t="shared" si="213"/>
        <v>445.96</v>
      </c>
      <c r="AO374" s="19" t="e">
        <f t="shared" si="214"/>
        <v>#N/A</v>
      </c>
      <c r="AP374" s="19">
        <f t="shared" si="215"/>
        <v>245.96</v>
      </c>
      <c r="AQ374" s="19" t="e">
        <f t="shared" si="216"/>
        <v>#N/A</v>
      </c>
      <c r="AR374" s="19">
        <f t="shared" si="217"/>
        <v>45.96</v>
      </c>
      <c r="AS374" s="19" t="e">
        <f t="shared" si="218"/>
        <v>#N/A</v>
      </c>
      <c r="AT374"/>
      <c r="AU374"/>
      <c r="AV374"/>
      <c r="AW374"/>
      <c r="AX374"/>
      <c r="AY374"/>
      <c r="AZ374"/>
      <c r="BA374"/>
      <c r="BB374"/>
      <c r="BC374"/>
      <c r="BD374"/>
      <c r="BE374"/>
      <c r="BF374"/>
      <c r="BG374"/>
      <c r="BH374"/>
      <c r="BI374"/>
      <c r="BJ374"/>
      <c r="BK374"/>
      <c r="BL374"/>
      <c r="BM374"/>
      <c r="BN374"/>
      <c r="CB374"/>
      <c r="CC374"/>
      <c r="CD374"/>
      <c r="CE374"/>
      <c r="CJ374"/>
      <c r="CK374"/>
      <c r="CL374"/>
      <c r="CM374"/>
      <c r="CN374"/>
    </row>
    <row r="375" spans="14:92" ht="11.25" customHeight="1" x14ac:dyDescent="0.2">
      <c r="N375"/>
      <c r="O375"/>
      <c r="P375"/>
      <c r="Q375"/>
      <c r="R375"/>
      <c r="S375"/>
      <c r="T375"/>
      <c r="U375"/>
      <c r="V375"/>
      <c r="W375"/>
      <c r="X375"/>
      <c r="Y375"/>
      <c r="Z375"/>
      <c r="AA375"/>
      <c r="AB375"/>
      <c r="AC375"/>
      <c r="AD375"/>
      <c r="AE375" s="19">
        <v>284</v>
      </c>
      <c r="AG375" s="19">
        <f t="shared" si="206"/>
        <v>7</v>
      </c>
      <c r="AH375" s="19">
        <f t="shared" si="207"/>
        <v>1</v>
      </c>
      <c r="AI375" s="19">
        <f t="shared" si="208"/>
        <v>37.835000000000001</v>
      </c>
      <c r="AJ375" s="410">
        <f t="shared" si="209"/>
        <v>954.04</v>
      </c>
      <c r="AK375" s="19" t="e">
        <f t="shared" si="210"/>
        <v>#N/A</v>
      </c>
      <c r="AL375" s="19">
        <f t="shared" si="211"/>
        <v>754.04</v>
      </c>
      <c r="AM375" s="19" t="e">
        <f t="shared" si="212"/>
        <v>#N/A</v>
      </c>
      <c r="AN375" s="19">
        <f t="shared" si="213"/>
        <v>554.04</v>
      </c>
      <c r="AO375" s="19" t="e">
        <f t="shared" si="214"/>
        <v>#N/A</v>
      </c>
      <c r="AP375" s="19">
        <f t="shared" si="215"/>
        <v>354.04</v>
      </c>
      <c r="AQ375" s="19" t="e">
        <f t="shared" si="216"/>
        <v>#N/A</v>
      </c>
      <c r="AR375" s="19">
        <f t="shared" si="217"/>
        <v>154.04</v>
      </c>
      <c r="AS375" s="19" t="e">
        <f t="shared" si="218"/>
        <v>#N/A</v>
      </c>
      <c r="AT375"/>
      <c r="AU375"/>
      <c r="AV375"/>
      <c r="AW375"/>
      <c r="AX375"/>
      <c r="AY375"/>
      <c r="AZ375"/>
      <c r="BA375"/>
      <c r="BB375"/>
      <c r="BC375"/>
      <c r="BD375"/>
      <c r="BE375"/>
      <c r="BF375"/>
      <c r="BG375"/>
      <c r="BH375"/>
      <c r="BI375"/>
      <c r="BJ375"/>
      <c r="BK375"/>
      <c r="BL375"/>
      <c r="BM375"/>
      <c r="BN375"/>
      <c r="CB375"/>
      <c r="CC375"/>
      <c r="CD375"/>
      <c r="CE375"/>
      <c r="CJ375"/>
      <c r="CK375"/>
      <c r="CL375"/>
      <c r="CM375"/>
      <c r="CN375"/>
    </row>
    <row r="376" spans="14:92" ht="11.25" customHeight="1" x14ac:dyDescent="0.2">
      <c r="N376"/>
      <c r="O376"/>
      <c r="P376"/>
      <c r="Q376"/>
      <c r="R376"/>
      <c r="S376"/>
      <c r="T376"/>
      <c r="U376"/>
      <c r="V376"/>
      <c r="W376"/>
      <c r="X376"/>
      <c r="Y376"/>
      <c r="Z376"/>
      <c r="AA376"/>
      <c r="AB376"/>
      <c r="AC376"/>
      <c r="AD376"/>
      <c r="AE376" s="19">
        <v>285</v>
      </c>
      <c r="AG376" s="19">
        <f t="shared" si="206"/>
        <v>9</v>
      </c>
      <c r="AH376" s="19">
        <f t="shared" si="207"/>
        <v>-1</v>
      </c>
      <c r="AI376" s="19">
        <f t="shared" si="208"/>
        <v>37.835000000000001</v>
      </c>
      <c r="AJ376" s="410">
        <f t="shared" si="209"/>
        <v>830.52</v>
      </c>
      <c r="AK376" s="19" t="e">
        <f t="shared" si="210"/>
        <v>#N/A</v>
      </c>
      <c r="AL376" s="19">
        <f t="shared" si="211"/>
        <v>630.52</v>
      </c>
      <c r="AM376" s="19" t="e">
        <f t="shared" si="212"/>
        <v>#N/A</v>
      </c>
      <c r="AN376" s="19">
        <f t="shared" si="213"/>
        <v>430.52</v>
      </c>
      <c r="AO376" s="19" t="e">
        <f t="shared" si="214"/>
        <v>#N/A</v>
      </c>
      <c r="AP376" s="19">
        <f t="shared" si="215"/>
        <v>230.51999999999998</v>
      </c>
      <c r="AQ376" s="19" t="e">
        <f t="shared" si="216"/>
        <v>#N/A</v>
      </c>
      <c r="AR376" s="19">
        <f t="shared" si="217"/>
        <v>30.519999999999996</v>
      </c>
      <c r="AS376" s="19" t="e">
        <f t="shared" si="218"/>
        <v>#N/A</v>
      </c>
      <c r="AT376"/>
      <c r="AU376"/>
      <c r="AV376"/>
      <c r="AW376"/>
      <c r="AX376"/>
      <c r="AY376"/>
      <c r="AZ376"/>
      <c r="BA376"/>
      <c r="BB376"/>
      <c r="BC376"/>
      <c r="BD376"/>
      <c r="BE376"/>
      <c r="BF376"/>
      <c r="BG376"/>
      <c r="BH376"/>
      <c r="BI376"/>
      <c r="BJ376"/>
      <c r="BK376"/>
      <c r="BL376"/>
      <c r="BM376"/>
      <c r="BN376"/>
      <c r="CB376"/>
      <c r="CC376"/>
      <c r="CD376"/>
      <c r="CE376"/>
      <c r="CJ376"/>
      <c r="CK376"/>
      <c r="CL376"/>
      <c r="CM376"/>
      <c r="CN376"/>
    </row>
    <row r="377" spans="14:92" ht="11.25" customHeight="1" x14ac:dyDescent="0.2">
      <c r="N377"/>
      <c r="O377"/>
      <c r="P377"/>
      <c r="Q377"/>
      <c r="R377"/>
      <c r="S377"/>
      <c r="T377"/>
      <c r="U377"/>
      <c r="V377"/>
      <c r="W377"/>
      <c r="X377"/>
      <c r="Y377"/>
      <c r="Z377"/>
      <c r="AA377"/>
      <c r="AB377"/>
      <c r="AC377"/>
      <c r="AD377"/>
      <c r="AE377" s="19">
        <v>286</v>
      </c>
      <c r="AG377" s="19">
        <f t="shared" si="206"/>
        <v>9</v>
      </c>
      <c r="AH377" s="19">
        <f t="shared" si="207"/>
        <v>1</v>
      </c>
      <c r="AI377" s="19">
        <f t="shared" si="208"/>
        <v>37.835000000000001</v>
      </c>
      <c r="AJ377" s="410">
        <f t="shared" si="209"/>
        <v>969.48</v>
      </c>
      <c r="AK377" s="19" t="e">
        <f t="shared" si="210"/>
        <v>#N/A</v>
      </c>
      <c r="AL377" s="19">
        <f t="shared" si="211"/>
        <v>769.48</v>
      </c>
      <c r="AM377" s="19" t="e">
        <f t="shared" si="212"/>
        <v>#N/A</v>
      </c>
      <c r="AN377" s="19">
        <f t="shared" si="213"/>
        <v>569.48</v>
      </c>
      <c r="AO377" s="19" t="e">
        <f t="shared" si="214"/>
        <v>#N/A</v>
      </c>
      <c r="AP377" s="19">
        <f t="shared" si="215"/>
        <v>369.48</v>
      </c>
      <c r="AQ377" s="19" t="e">
        <f t="shared" si="216"/>
        <v>#N/A</v>
      </c>
      <c r="AR377" s="19">
        <f t="shared" si="217"/>
        <v>169.48000000000002</v>
      </c>
      <c r="AS377" s="19" t="e">
        <f t="shared" si="218"/>
        <v>#N/A</v>
      </c>
      <c r="AT377"/>
      <c r="AU377"/>
      <c r="AV377"/>
      <c r="AW377"/>
      <c r="AX377"/>
      <c r="AY377"/>
      <c r="AZ377"/>
      <c r="BA377"/>
      <c r="BB377"/>
      <c r="BC377"/>
      <c r="BD377"/>
      <c r="BE377"/>
      <c r="BF377"/>
      <c r="BG377"/>
      <c r="BH377"/>
      <c r="BI377"/>
      <c r="BJ377"/>
      <c r="BK377"/>
      <c r="BL377"/>
      <c r="BM377"/>
      <c r="BN377"/>
      <c r="CB377"/>
      <c r="CC377"/>
      <c r="CD377"/>
      <c r="CE377"/>
      <c r="CJ377"/>
      <c r="CK377"/>
      <c r="CL377"/>
      <c r="CM377"/>
      <c r="CN377"/>
    </row>
    <row r="378" spans="14:92" ht="11.25" customHeight="1" x14ac:dyDescent="0.2">
      <c r="N378"/>
      <c r="O378"/>
      <c r="P378"/>
      <c r="Q378"/>
      <c r="R378"/>
      <c r="S378"/>
      <c r="T378"/>
      <c r="U378"/>
      <c r="V378"/>
      <c r="W378"/>
      <c r="X378"/>
      <c r="Y378"/>
      <c r="Z378"/>
      <c r="AA378"/>
      <c r="AB378"/>
      <c r="AC378"/>
      <c r="AD378"/>
      <c r="AE378" s="19">
        <v>287</v>
      </c>
      <c r="AG378" s="19">
        <f t="shared" si="206"/>
        <v>11</v>
      </c>
      <c r="AH378" s="19">
        <f t="shared" si="207"/>
        <v>-1</v>
      </c>
      <c r="AI378" s="19">
        <f t="shared" si="208"/>
        <v>37.835000000000001</v>
      </c>
      <c r="AJ378" s="410">
        <f t="shared" si="209"/>
        <v>815.08</v>
      </c>
      <c r="AK378" s="19" t="e">
        <f t="shared" si="210"/>
        <v>#N/A</v>
      </c>
      <c r="AL378" s="19">
        <f t="shared" si="211"/>
        <v>615.08000000000004</v>
      </c>
      <c r="AM378" s="19" t="e">
        <f t="shared" si="212"/>
        <v>#N/A</v>
      </c>
      <c r="AN378" s="19">
        <f t="shared" si="213"/>
        <v>415.08</v>
      </c>
      <c r="AO378" s="19" t="e">
        <f t="shared" si="214"/>
        <v>#N/A</v>
      </c>
      <c r="AP378" s="19">
        <f t="shared" si="215"/>
        <v>215.07999999999998</v>
      </c>
      <c r="AQ378" s="19" t="e">
        <f t="shared" si="216"/>
        <v>#N/A</v>
      </c>
      <c r="AR378" s="19">
        <f t="shared" si="217"/>
        <v>15.079999999999998</v>
      </c>
      <c r="AS378" s="19" t="e">
        <f t="shared" si="218"/>
        <v>#N/A</v>
      </c>
      <c r="AT378"/>
      <c r="AU378"/>
      <c r="AV378"/>
      <c r="AW378"/>
      <c r="AX378"/>
      <c r="AY378"/>
      <c r="AZ378"/>
      <c r="BA378"/>
      <c r="BB378"/>
      <c r="BC378"/>
      <c r="BD378"/>
      <c r="BE378"/>
      <c r="BF378"/>
      <c r="BG378"/>
      <c r="BH378"/>
      <c r="BI378"/>
      <c r="BJ378"/>
      <c r="BK378"/>
      <c r="BL378"/>
      <c r="BM378"/>
      <c r="BN378"/>
      <c r="CB378"/>
      <c r="CC378"/>
      <c r="CD378"/>
      <c r="CE378"/>
      <c r="CJ378"/>
      <c r="CK378"/>
      <c r="CL378"/>
      <c r="CM378"/>
      <c r="CN378"/>
    </row>
    <row r="379" spans="14:92" ht="11.25" customHeight="1" x14ac:dyDescent="0.2">
      <c r="N379"/>
      <c r="O379"/>
      <c r="P379"/>
      <c r="Q379"/>
      <c r="R379"/>
      <c r="S379"/>
      <c r="T379"/>
      <c r="U379"/>
      <c r="V379"/>
      <c r="W379"/>
      <c r="X379"/>
      <c r="Y379"/>
      <c r="Z379"/>
      <c r="AA379"/>
      <c r="AB379"/>
      <c r="AC379"/>
      <c r="AD379"/>
      <c r="AE379" s="19">
        <v>288</v>
      </c>
      <c r="AG379" s="19">
        <f t="shared" si="206"/>
        <v>11</v>
      </c>
      <c r="AH379" s="19">
        <f t="shared" si="207"/>
        <v>1</v>
      </c>
      <c r="AI379" s="19">
        <f t="shared" si="208"/>
        <v>37.835000000000001</v>
      </c>
      <c r="AJ379" s="410">
        <f t="shared" si="209"/>
        <v>984.92</v>
      </c>
      <c r="AK379" s="19" t="e">
        <f t="shared" si="210"/>
        <v>#N/A</v>
      </c>
      <c r="AL379" s="19">
        <f t="shared" si="211"/>
        <v>784.92</v>
      </c>
      <c r="AM379" s="19" t="e">
        <f t="shared" si="212"/>
        <v>#N/A</v>
      </c>
      <c r="AN379" s="19">
        <f t="shared" si="213"/>
        <v>584.91999999999996</v>
      </c>
      <c r="AO379" s="19" t="e">
        <f t="shared" si="214"/>
        <v>#N/A</v>
      </c>
      <c r="AP379" s="19">
        <f t="shared" si="215"/>
        <v>384.92</v>
      </c>
      <c r="AQ379" s="19" t="e">
        <f t="shared" si="216"/>
        <v>#N/A</v>
      </c>
      <c r="AR379" s="19">
        <f t="shared" si="217"/>
        <v>184.92000000000002</v>
      </c>
      <c r="AS379" s="19" t="e">
        <f t="shared" si="218"/>
        <v>#N/A</v>
      </c>
      <c r="AT379"/>
      <c r="AU379"/>
      <c r="AV379"/>
      <c r="AW379"/>
      <c r="AX379"/>
      <c r="AY379"/>
      <c r="AZ379"/>
      <c r="BA379"/>
      <c r="BB379"/>
      <c r="BC379"/>
      <c r="BD379"/>
      <c r="BE379"/>
      <c r="BF379"/>
      <c r="BG379"/>
      <c r="BH379"/>
      <c r="BI379"/>
      <c r="BJ379"/>
      <c r="BK379"/>
      <c r="BL379"/>
      <c r="BM379"/>
      <c r="BN379"/>
      <c r="CB379"/>
      <c r="CC379"/>
      <c r="CD379"/>
      <c r="CE379"/>
      <c r="CJ379"/>
      <c r="CK379"/>
      <c r="CL379"/>
      <c r="CM379"/>
      <c r="CN379"/>
    </row>
    <row r="380" spans="14:92" ht="11.25" customHeight="1" x14ac:dyDescent="0.2">
      <c r="N380"/>
      <c r="O380"/>
      <c r="P380"/>
      <c r="Q380"/>
      <c r="R380"/>
      <c r="S380"/>
      <c r="T380"/>
      <c r="U380"/>
      <c r="V380"/>
      <c r="W380"/>
      <c r="X380"/>
      <c r="Y380"/>
      <c r="Z380"/>
      <c r="AA380"/>
      <c r="AB380"/>
      <c r="AC380"/>
      <c r="AD380"/>
      <c r="AE380" s="19">
        <v>289</v>
      </c>
      <c r="AG380" s="19">
        <f t="shared" si="206"/>
        <v>1</v>
      </c>
      <c r="AH380" s="19">
        <f t="shared" si="207"/>
        <v>-1</v>
      </c>
      <c r="AI380" s="19">
        <f t="shared" si="208"/>
        <v>39.445</v>
      </c>
      <c r="AJ380" s="410">
        <f t="shared" si="209"/>
        <v>892.28</v>
      </c>
      <c r="AK380" s="19" t="e">
        <f t="shared" si="210"/>
        <v>#N/A</v>
      </c>
      <c r="AL380" s="19">
        <f t="shared" si="211"/>
        <v>692.28</v>
      </c>
      <c r="AM380" s="19" t="e">
        <f t="shared" si="212"/>
        <v>#N/A</v>
      </c>
      <c r="AN380" s="19">
        <f t="shared" si="213"/>
        <v>492.28</v>
      </c>
      <c r="AO380" s="19" t="e">
        <f t="shared" si="214"/>
        <v>#N/A</v>
      </c>
      <c r="AP380" s="19">
        <f t="shared" si="215"/>
        <v>292.27999999999997</v>
      </c>
      <c r="AQ380" s="19" t="e">
        <f t="shared" si="216"/>
        <v>#N/A</v>
      </c>
      <c r="AR380" s="19">
        <f t="shared" si="217"/>
        <v>92.28</v>
      </c>
      <c r="AS380" s="19" t="e">
        <f t="shared" si="218"/>
        <v>#N/A</v>
      </c>
      <c r="AT380"/>
      <c r="AU380"/>
      <c r="AV380"/>
      <c r="AW380"/>
      <c r="AX380"/>
      <c r="AY380"/>
      <c r="AZ380"/>
      <c r="BA380"/>
      <c r="BB380"/>
      <c r="BC380"/>
      <c r="BD380"/>
      <c r="BE380"/>
      <c r="BF380"/>
      <c r="BG380"/>
      <c r="BH380"/>
      <c r="BI380"/>
      <c r="BJ380"/>
      <c r="BK380"/>
      <c r="BL380"/>
      <c r="BM380"/>
      <c r="BN380"/>
      <c r="CB380"/>
      <c r="CC380"/>
      <c r="CD380"/>
      <c r="CE380"/>
      <c r="CJ380"/>
      <c r="CK380"/>
      <c r="CL380"/>
      <c r="CM380"/>
      <c r="CN380"/>
    </row>
    <row r="381" spans="14:92" ht="11.25" customHeight="1" x14ac:dyDescent="0.2">
      <c r="N381"/>
      <c r="O381"/>
      <c r="P381"/>
      <c r="Q381"/>
      <c r="R381"/>
      <c r="S381"/>
      <c r="T381"/>
      <c r="U381"/>
      <c r="V381"/>
      <c r="W381"/>
      <c r="X381"/>
      <c r="Y381"/>
      <c r="Z381"/>
      <c r="AA381"/>
      <c r="AB381"/>
      <c r="AC381"/>
      <c r="AD381"/>
      <c r="AE381" s="19">
        <v>290</v>
      </c>
      <c r="AG381" s="19">
        <f t="shared" si="206"/>
        <v>1</v>
      </c>
      <c r="AH381" s="19">
        <f t="shared" si="207"/>
        <v>1</v>
      </c>
      <c r="AI381" s="19">
        <f t="shared" si="208"/>
        <v>39.445</v>
      </c>
      <c r="AJ381" s="410">
        <f t="shared" si="209"/>
        <v>907.72</v>
      </c>
      <c r="AK381" s="19" t="e">
        <f t="shared" si="210"/>
        <v>#N/A</v>
      </c>
      <c r="AL381" s="19">
        <f t="shared" si="211"/>
        <v>707.72</v>
      </c>
      <c r="AM381" s="19" t="e">
        <f t="shared" si="212"/>
        <v>#N/A</v>
      </c>
      <c r="AN381" s="19">
        <f t="shared" si="213"/>
        <v>507.72</v>
      </c>
      <c r="AO381" s="19" t="e">
        <f t="shared" si="214"/>
        <v>#N/A</v>
      </c>
      <c r="AP381" s="19">
        <f t="shared" si="215"/>
        <v>307.72000000000003</v>
      </c>
      <c r="AQ381" s="19" t="e">
        <f t="shared" si="216"/>
        <v>#N/A</v>
      </c>
      <c r="AR381" s="19">
        <f t="shared" si="217"/>
        <v>107.72</v>
      </c>
      <c r="AS381" s="19" t="e">
        <f t="shared" si="218"/>
        <v>#N/A</v>
      </c>
      <c r="AT381"/>
      <c r="AU381"/>
      <c r="AV381"/>
      <c r="AW381"/>
      <c r="AX381"/>
      <c r="AY381"/>
      <c r="AZ381"/>
      <c r="BA381"/>
      <c r="BB381"/>
      <c r="BC381"/>
      <c r="BD381"/>
      <c r="BE381"/>
      <c r="BF381"/>
      <c r="BG381"/>
      <c r="BH381"/>
      <c r="BI381"/>
      <c r="BJ381"/>
      <c r="BK381"/>
      <c r="BL381"/>
      <c r="BM381"/>
      <c r="BN381"/>
      <c r="CB381"/>
      <c r="CC381"/>
      <c r="CD381"/>
      <c r="CE381"/>
      <c r="CJ381"/>
      <c r="CK381"/>
      <c r="CL381"/>
      <c r="CM381"/>
      <c r="CN381"/>
    </row>
    <row r="382" spans="14:92" ht="11.25" customHeight="1" x14ac:dyDescent="0.2">
      <c r="N382"/>
      <c r="O382"/>
      <c r="P382"/>
      <c r="Q382"/>
      <c r="R382"/>
      <c r="S382"/>
      <c r="T382"/>
      <c r="U382"/>
      <c r="V382"/>
      <c r="W382"/>
      <c r="X382"/>
      <c r="Y382"/>
      <c r="Z382"/>
      <c r="AA382"/>
      <c r="AB382"/>
      <c r="AC382"/>
      <c r="AD382"/>
      <c r="AE382" s="19">
        <v>291</v>
      </c>
      <c r="AG382" s="19">
        <f t="shared" si="206"/>
        <v>3</v>
      </c>
      <c r="AH382" s="19">
        <f t="shared" si="207"/>
        <v>-1</v>
      </c>
      <c r="AI382" s="19">
        <f t="shared" si="208"/>
        <v>39.445</v>
      </c>
      <c r="AJ382" s="410">
        <f t="shared" si="209"/>
        <v>876.84</v>
      </c>
      <c r="AK382" s="19" t="e">
        <f t="shared" si="210"/>
        <v>#N/A</v>
      </c>
      <c r="AL382" s="19">
        <f t="shared" si="211"/>
        <v>676.84</v>
      </c>
      <c r="AM382" s="19" t="e">
        <f t="shared" si="212"/>
        <v>#N/A</v>
      </c>
      <c r="AN382" s="19">
        <f t="shared" si="213"/>
        <v>476.84</v>
      </c>
      <c r="AO382" s="19" t="e">
        <f t="shared" si="214"/>
        <v>#N/A</v>
      </c>
      <c r="AP382" s="19">
        <f t="shared" si="215"/>
        <v>276.83999999999997</v>
      </c>
      <c r="AQ382" s="19" t="e">
        <f t="shared" si="216"/>
        <v>#N/A</v>
      </c>
      <c r="AR382" s="19">
        <f t="shared" si="217"/>
        <v>76.84</v>
      </c>
      <c r="AS382" s="19" t="e">
        <f t="shared" si="218"/>
        <v>#N/A</v>
      </c>
      <c r="AT382"/>
      <c r="AU382"/>
      <c r="AV382"/>
      <c r="AW382"/>
      <c r="AX382"/>
      <c r="AY382"/>
      <c r="AZ382"/>
      <c r="BA382"/>
      <c r="BB382"/>
      <c r="BC382"/>
      <c r="CB382"/>
      <c r="CC382"/>
      <c r="CD382"/>
      <c r="CE382"/>
      <c r="CJ382"/>
      <c r="CK382"/>
      <c r="CL382"/>
      <c r="CM382"/>
      <c r="CN382"/>
    </row>
    <row r="383" spans="14:92" ht="11.25" customHeight="1" x14ac:dyDescent="0.2">
      <c r="N383"/>
      <c r="O383"/>
      <c r="P383"/>
      <c r="Q383"/>
      <c r="R383"/>
      <c r="S383"/>
      <c r="T383"/>
      <c r="U383"/>
      <c r="V383"/>
      <c r="W383"/>
      <c r="X383"/>
      <c r="Y383"/>
      <c r="Z383"/>
      <c r="AA383"/>
      <c r="AB383"/>
      <c r="AC383"/>
      <c r="AD383"/>
      <c r="AE383" s="19">
        <v>292</v>
      </c>
      <c r="AG383" s="19">
        <f t="shared" si="206"/>
        <v>3</v>
      </c>
      <c r="AH383" s="19">
        <f t="shared" si="207"/>
        <v>1</v>
      </c>
      <c r="AI383" s="19">
        <f t="shared" si="208"/>
        <v>39.445</v>
      </c>
      <c r="AJ383" s="410">
        <f t="shared" si="209"/>
        <v>923.16</v>
      </c>
      <c r="AK383" s="19" t="e">
        <f t="shared" si="210"/>
        <v>#N/A</v>
      </c>
      <c r="AL383" s="19">
        <f t="shared" si="211"/>
        <v>723.16</v>
      </c>
      <c r="AM383" s="19" t="e">
        <f t="shared" si="212"/>
        <v>#N/A</v>
      </c>
      <c r="AN383" s="19">
        <f t="shared" si="213"/>
        <v>523.16</v>
      </c>
      <c r="AO383" s="19" t="e">
        <f t="shared" si="214"/>
        <v>#N/A</v>
      </c>
      <c r="AP383" s="19">
        <f t="shared" si="215"/>
        <v>323.16000000000003</v>
      </c>
      <c r="AQ383" s="19" t="e">
        <f t="shared" si="216"/>
        <v>#N/A</v>
      </c>
      <c r="AR383" s="19">
        <f t="shared" si="217"/>
        <v>123.16</v>
      </c>
      <c r="AS383" s="19" t="e">
        <f t="shared" si="218"/>
        <v>#N/A</v>
      </c>
      <c r="AT383"/>
      <c r="AU383"/>
      <c r="AV383"/>
      <c r="AW383"/>
      <c r="AX383"/>
      <c r="AY383"/>
      <c r="AZ383"/>
      <c r="BA383"/>
      <c r="BB383"/>
      <c r="BC383"/>
      <c r="CB383"/>
      <c r="CC383"/>
      <c r="CD383"/>
      <c r="CE383"/>
      <c r="CJ383"/>
      <c r="CK383"/>
      <c r="CL383"/>
      <c r="CM383"/>
      <c r="CN383"/>
    </row>
    <row r="384" spans="14:92" ht="11.25" customHeight="1" x14ac:dyDescent="0.2">
      <c r="N384"/>
      <c r="O384"/>
      <c r="P384"/>
      <c r="Q384"/>
      <c r="R384"/>
      <c r="S384"/>
      <c r="T384"/>
      <c r="U384"/>
      <c r="V384"/>
      <c r="W384"/>
      <c r="X384"/>
      <c r="Y384"/>
      <c r="Z384"/>
      <c r="AA384"/>
      <c r="AB384"/>
      <c r="AC384"/>
      <c r="AD384"/>
      <c r="AE384" s="19">
        <v>293</v>
      </c>
      <c r="AG384" s="19">
        <f t="shared" si="206"/>
        <v>5</v>
      </c>
      <c r="AH384" s="19">
        <f t="shared" si="207"/>
        <v>-1</v>
      </c>
      <c r="AI384" s="19">
        <f t="shared" si="208"/>
        <v>39.445</v>
      </c>
      <c r="AJ384" s="410">
        <f t="shared" si="209"/>
        <v>861.4</v>
      </c>
      <c r="AK384" s="19" t="e">
        <f t="shared" si="210"/>
        <v>#N/A</v>
      </c>
      <c r="AL384" s="19">
        <f t="shared" si="211"/>
        <v>661.4</v>
      </c>
      <c r="AM384" s="19" t="e">
        <f t="shared" si="212"/>
        <v>#N/A</v>
      </c>
      <c r="AN384" s="19">
        <f t="shared" si="213"/>
        <v>461.4</v>
      </c>
      <c r="AO384" s="19" t="e">
        <f t="shared" si="214"/>
        <v>#N/A</v>
      </c>
      <c r="AP384" s="19">
        <f t="shared" si="215"/>
        <v>261.39999999999998</v>
      </c>
      <c r="AQ384" s="19" t="e">
        <f t="shared" si="216"/>
        <v>#N/A</v>
      </c>
      <c r="AR384" s="19">
        <f t="shared" si="217"/>
        <v>61.4</v>
      </c>
      <c r="AS384" s="19" t="e">
        <f t="shared" si="218"/>
        <v>#N/A</v>
      </c>
      <c r="AT384"/>
      <c r="AU384"/>
      <c r="AV384"/>
      <c r="AW384"/>
      <c r="AX384"/>
      <c r="AY384"/>
      <c r="AZ384"/>
      <c r="BA384"/>
      <c r="BB384"/>
      <c r="BC384"/>
      <c r="CB384"/>
      <c r="CC384"/>
      <c r="CD384"/>
      <c r="CE384"/>
      <c r="CJ384"/>
      <c r="CK384"/>
      <c r="CL384"/>
      <c r="CM384"/>
      <c r="CN384"/>
    </row>
    <row r="385" spans="14:92" ht="11.25" customHeight="1" x14ac:dyDescent="0.2">
      <c r="N385"/>
      <c r="O385"/>
      <c r="P385"/>
      <c r="Q385"/>
      <c r="R385"/>
      <c r="S385"/>
      <c r="T385"/>
      <c r="U385"/>
      <c r="V385"/>
      <c r="W385"/>
      <c r="X385"/>
      <c r="Y385"/>
      <c r="Z385"/>
      <c r="AA385"/>
      <c r="AB385"/>
      <c r="AC385"/>
      <c r="AD385"/>
      <c r="AE385" s="19">
        <v>294</v>
      </c>
      <c r="AG385" s="19">
        <f t="shared" si="206"/>
        <v>5</v>
      </c>
      <c r="AH385" s="19">
        <f t="shared" si="207"/>
        <v>1</v>
      </c>
      <c r="AI385" s="19">
        <f t="shared" si="208"/>
        <v>39.445</v>
      </c>
      <c r="AJ385" s="410">
        <f t="shared" si="209"/>
        <v>938.6</v>
      </c>
      <c r="AK385" s="19" t="e">
        <f t="shared" si="210"/>
        <v>#N/A</v>
      </c>
      <c r="AL385" s="19">
        <f t="shared" si="211"/>
        <v>738.6</v>
      </c>
      <c r="AM385" s="19" t="e">
        <f t="shared" si="212"/>
        <v>#N/A</v>
      </c>
      <c r="AN385" s="19">
        <f t="shared" si="213"/>
        <v>538.6</v>
      </c>
      <c r="AO385" s="19" t="e">
        <f t="shared" si="214"/>
        <v>#N/A</v>
      </c>
      <c r="AP385" s="19">
        <f t="shared" si="215"/>
        <v>338.6</v>
      </c>
      <c r="AQ385" s="19" t="e">
        <f t="shared" si="216"/>
        <v>#N/A</v>
      </c>
      <c r="AR385" s="19">
        <f t="shared" si="217"/>
        <v>138.6</v>
      </c>
      <c r="AS385" s="19" t="e">
        <f t="shared" si="218"/>
        <v>#N/A</v>
      </c>
      <c r="AT385"/>
      <c r="AU385"/>
      <c r="AV385"/>
      <c r="AW385"/>
      <c r="AX385"/>
      <c r="AY385"/>
      <c r="AZ385"/>
      <c r="BA385"/>
      <c r="BB385"/>
      <c r="BC385"/>
      <c r="CB385"/>
      <c r="CC385"/>
      <c r="CD385"/>
      <c r="CE385"/>
      <c r="CJ385"/>
      <c r="CK385"/>
      <c r="CL385"/>
      <c r="CM385"/>
      <c r="CN385"/>
    </row>
    <row r="386" spans="14:92" ht="11.25" customHeight="1" x14ac:dyDescent="0.2">
      <c r="N386"/>
      <c r="O386"/>
      <c r="P386"/>
      <c r="Q386"/>
      <c r="R386"/>
      <c r="S386"/>
      <c r="T386"/>
      <c r="U386"/>
      <c r="V386"/>
      <c r="W386"/>
      <c r="X386"/>
      <c r="Y386"/>
      <c r="Z386"/>
      <c r="AA386"/>
      <c r="AB386"/>
      <c r="AC386"/>
      <c r="AD386"/>
      <c r="AE386" s="19">
        <v>295</v>
      </c>
      <c r="AG386" s="19">
        <f t="shared" si="206"/>
        <v>7</v>
      </c>
      <c r="AH386" s="19">
        <f t="shared" si="207"/>
        <v>-1</v>
      </c>
      <c r="AI386" s="19">
        <f t="shared" si="208"/>
        <v>39.445</v>
      </c>
      <c r="AJ386" s="410">
        <f t="shared" si="209"/>
        <v>845.96</v>
      </c>
      <c r="AK386" s="19" t="e">
        <f t="shared" si="210"/>
        <v>#N/A</v>
      </c>
      <c r="AL386" s="19">
        <f t="shared" si="211"/>
        <v>645.96</v>
      </c>
      <c r="AM386" s="19" t="e">
        <f t="shared" si="212"/>
        <v>#N/A</v>
      </c>
      <c r="AN386" s="19">
        <f t="shared" si="213"/>
        <v>445.96</v>
      </c>
      <c r="AO386" s="19" t="e">
        <f t="shared" si="214"/>
        <v>#N/A</v>
      </c>
      <c r="AP386" s="19">
        <f t="shared" si="215"/>
        <v>245.96</v>
      </c>
      <c r="AQ386" s="19" t="e">
        <f t="shared" si="216"/>
        <v>#N/A</v>
      </c>
      <c r="AR386" s="19">
        <f t="shared" si="217"/>
        <v>45.96</v>
      </c>
      <c r="AS386" s="19" t="e">
        <f t="shared" si="218"/>
        <v>#N/A</v>
      </c>
      <c r="AT386"/>
      <c r="AU386"/>
      <c r="AV386"/>
      <c r="AW386"/>
      <c r="AX386"/>
      <c r="AY386"/>
      <c r="AZ386"/>
      <c r="BA386"/>
      <c r="BB386"/>
      <c r="BC386"/>
      <c r="CB386"/>
      <c r="CC386"/>
      <c r="CD386"/>
      <c r="CE386"/>
      <c r="CJ386"/>
      <c r="CK386"/>
      <c r="CL386"/>
      <c r="CM386"/>
      <c r="CN386"/>
    </row>
    <row r="387" spans="14:92" ht="11.25" customHeight="1" x14ac:dyDescent="0.2">
      <c r="N387"/>
      <c r="O387"/>
      <c r="P387"/>
      <c r="Q387"/>
      <c r="R387"/>
      <c r="S387"/>
      <c r="T387"/>
      <c r="U387"/>
      <c r="V387"/>
      <c r="W387"/>
      <c r="X387"/>
      <c r="Y387"/>
      <c r="Z387"/>
      <c r="AA387"/>
      <c r="AB387"/>
      <c r="AC387"/>
      <c r="AD387"/>
      <c r="AE387" s="19">
        <v>296</v>
      </c>
      <c r="AG387" s="19">
        <f t="shared" si="206"/>
        <v>7</v>
      </c>
      <c r="AH387" s="19">
        <f t="shared" si="207"/>
        <v>1</v>
      </c>
      <c r="AI387" s="19">
        <f t="shared" si="208"/>
        <v>39.445</v>
      </c>
      <c r="AJ387" s="410">
        <f t="shared" si="209"/>
        <v>954.04</v>
      </c>
      <c r="AK387" s="19" t="e">
        <f t="shared" si="210"/>
        <v>#N/A</v>
      </c>
      <c r="AL387" s="19">
        <f t="shared" si="211"/>
        <v>754.04</v>
      </c>
      <c r="AM387" s="19" t="e">
        <f t="shared" si="212"/>
        <v>#N/A</v>
      </c>
      <c r="AN387" s="19">
        <f t="shared" si="213"/>
        <v>554.04</v>
      </c>
      <c r="AO387" s="19" t="e">
        <f t="shared" si="214"/>
        <v>#N/A</v>
      </c>
      <c r="AP387" s="19">
        <f t="shared" si="215"/>
        <v>354.04</v>
      </c>
      <c r="AQ387" s="19" t="e">
        <f t="shared" si="216"/>
        <v>#N/A</v>
      </c>
      <c r="AR387" s="19">
        <f t="shared" si="217"/>
        <v>154.04</v>
      </c>
      <c r="AS387" s="19" t="e">
        <f t="shared" si="218"/>
        <v>#N/A</v>
      </c>
      <c r="AT387"/>
      <c r="AU387"/>
      <c r="AV387"/>
      <c r="AW387"/>
      <c r="AX387"/>
      <c r="AY387"/>
      <c r="AZ387"/>
      <c r="BA387"/>
      <c r="BB387"/>
      <c r="BC387"/>
      <c r="CB387"/>
      <c r="CC387"/>
      <c r="CD387"/>
      <c r="CE387"/>
      <c r="CJ387"/>
      <c r="CK387"/>
      <c r="CL387"/>
      <c r="CM387"/>
      <c r="CN387"/>
    </row>
    <row r="388" spans="14:92" ht="11.25" customHeight="1" x14ac:dyDescent="0.2">
      <c r="N388"/>
      <c r="O388"/>
      <c r="P388"/>
      <c r="Q388"/>
      <c r="R388"/>
      <c r="S388"/>
      <c r="T388"/>
      <c r="U388"/>
      <c r="V388"/>
      <c r="W388"/>
      <c r="X388"/>
      <c r="Y388"/>
      <c r="Z388"/>
      <c r="AA388"/>
      <c r="AB388"/>
      <c r="AC388"/>
      <c r="AD388"/>
      <c r="AE388" s="19">
        <v>297</v>
      </c>
      <c r="AG388" s="19">
        <f t="shared" si="206"/>
        <v>9</v>
      </c>
      <c r="AH388" s="19">
        <f t="shared" si="207"/>
        <v>-1</v>
      </c>
      <c r="AI388" s="19">
        <f t="shared" si="208"/>
        <v>39.445</v>
      </c>
      <c r="AJ388" s="410">
        <f t="shared" si="209"/>
        <v>830.52</v>
      </c>
      <c r="AK388" s="19" t="e">
        <f t="shared" si="210"/>
        <v>#N/A</v>
      </c>
      <c r="AL388" s="19">
        <f t="shared" si="211"/>
        <v>630.52</v>
      </c>
      <c r="AM388" s="19" t="e">
        <f t="shared" si="212"/>
        <v>#N/A</v>
      </c>
      <c r="AN388" s="19">
        <f t="shared" si="213"/>
        <v>430.52</v>
      </c>
      <c r="AO388" s="19" t="e">
        <f t="shared" si="214"/>
        <v>#N/A</v>
      </c>
      <c r="AP388" s="19">
        <f t="shared" si="215"/>
        <v>230.51999999999998</v>
      </c>
      <c r="AQ388" s="19" t="e">
        <f t="shared" si="216"/>
        <v>#N/A</v>
      </c>
      <c r="AR388" s="19">
        <f t="shared" si="217"/>
        <v>30.519999999999996</v>
      </c>
      <c r="AS388" s="19" t="e">
        <f t="shared" si="218"/>
        <v>#N/A</v>
      </c>
      <c r="AT388"/>
      <c r="AU388"/>
      <c r="AV388"/>
      <c r="AW388"/>
      <c r="AX388"/>
      <c r="AY388"/>
      <c r="AZ388"/>
      <c r="BA388"/>
      <c r="BB388"/>
      <c r="BC388"/>
      <c r="CB388"/>
      <c r="CC388"/>
      <c r="CD388"/>
      <c r="CE388"/>
      <c r="CJ388"/>
      <c r="CK388"/>
      <c r="CL388"/>
      <c r="CM388"/>
      <c r="CN388"/>
    </row>
    <row r="389" spans="14:92" ht="11.25" customHeight="1" x14ac:dyDescent="0.2">
      <c r="N389"/>
      <c r="O389"/>
      <c r="P389"/>
      <c r="Q389"/>
      <c r="R389"/>
      <c r="S389"/>
      <c r="T389"/>
      <c r="U389"/>
      <c r="V389"/>
      <c r="W389"/>
      <c r="X389"/>
      <c r="Y389"/>
      <c r="Z389"/>
      <c r="AA389"/>
      <c r="AB389"/>
      <c r="AC389"/>
      <c r="AD389"/>
      <c r="AE389" s="19">
        <v>298</v>
      </c>
      <c r="AG389" s="19">
        <f t="shared" si="206"/>
        <v>9</v>
      </c>
      <c r="AH389" s="19">
        <f t="shared" si="207"/>
        <v>1</v>
      </c>
      <c r="AI389" s="19">
        <f t="shared" si="208"/>
        <v>39.445</v>
      </c>
      <c r="AJ389" s="410">
        <f t="shared" si="209"/>
        <v>969.48</v>
      </c>
      <c r="AK389" s="19" t="e">
        <f t="shared" si="210"/>
        <v>#N/A</v>
      </c>
      <c r="AL389" s="19">
        <f t="shared" si="211"/>
        <v>769.48</v>
      </c>
      <c r="AM389" s="19" t="e">
        <f t="shared" si="212"/>
        <v>#N/A</v>
      </c>
      <c r="AN389" s="19">
        <f t="shared" si="213"/>
        <v>569.48</v>
      </c>
      <c r="AO389" s="19" t="e">
        <f t="shared" si="214"/>
        <v>#N/A</v>
      </c>
      <c r="AP389" s="19">
        <f t="shared" si="215"/>
        <v>369.48</v>
      </c>
      <c r="AQ389" s="19" t="e">
        <f t="shared" si="216"/>
        <v>#N/A</v>
      </c>
      <c r="AR389" s="19">
        <f t="shared" si="217"/>
        <v>169.48000000000002</v>
      </c>
      <c r="AS389" s="19" t="e">
        <f t="shared" si="218"/>
        <v>#N/A</v>
      </c>
      <c r="AT389"/>
      <c r="AU389"/>
      <c r="AV389"/>
      <c r="AW389"/>
      <c r="AX389"/>
      <c r="AY389"/>
      <c r="AZ389"/>
      <c r="BA389"/>
      <c r="BB389"/>
      <c r="BC389"/>
      <c r="CB389"/>
      <c r="CC389"/>
      <c r="CD389"/>
      <c r="CE389"/>
      <c r="CJ389"/>
      <c r="CK389"/>
      <c r="CL389"/>
      <c r="CM389"/>
      <c r="CN389"/>
    </row>
    <row r="390" spans="14:92" ht="11.25" customHeight="1" x14ac:dyDescent="0.2">
      <c r="N390"/>
      <c r="O390"/>
      <c r="P390"/>
      <c r="Q390"/>
      <c r="R390"/>
      <c r="S390"/>
      <c r="T390"/>
      <c r="U390"/>
      <c r="V390"/>
      <c r="W390"/>
      <c r="X390"/>
      <c r="Y390"/>
      <c r="Z390"/>
      <c r="AA390"/>
      <c r="AB390"/>
      <c r="AC390"/>
      <c r="AD390"/>
      <c r="AE390" s="19">
        <v>299</v>
      </c>
      <c r="AG390" s="19">
        <f t="shared" si="206"/>
        <v>11</v>
      </c>
      <c r="AH390" s="19">
        <f t="shared" si="207"/>
        <v>-1</v>
      </c>
      <c r="AI390" s="19">
        <f t="shared" si="208"/>
        <v>39.445</v>
      </c>
      <c r="AJ390" s="410">
        <f t="shared" si="209"/>
        <v>815.08</v>
      </c>
      <c r="AK390" s="19" t="e">
        <f t="shared" si="210"/>
        <v>#N/A</v>
      </c>
      <c r="AL390" s="19">
        <f t="shared" si="211"/>
        <v>615.08000000000004</v>
      </c>
      <c r="AM390" s="19" t="e">
        <f t="shared" si="212"/>
        <v>#N/A</v>
      </c>
      <c r="AN390" s="19">
        <f t="shared" si="213"/>
        <v>415.08</v>
      </c>
      <c r="AO390" s="19" t="e">
        <f t="shared" si="214"/>
        <v>#N/A</v>
      </c>
      <c r="AP390" s="19">
        <f t="shared" si="215"/>
        <v>215.07999999999998</v>
      </c>
      <c r="AQ390" s="19" t="e">
        <f t="shared" si="216"/>
        <v>#N/A</v>
      </c>
      <c r="AR390" s="19">
        <f t="shared" si="217"/>
        <v>15.079999999999998</v>
      </c>
      <c r="AS390" s="19" t="e">
        <f t="shared" si="218"/>
        <v>#N/A</v>
      </c>
      <c r="AT390"/>
      <c r="AU390"/>
      <c r="AV390"/>
      <c r="AW390"/>
      <c r="AX390"/>
      <c r="AY390"/>
      <c r="AZ390"/>
      <c r="BA390"/>
      <c r="BB390"/>
      <c r="BC390"/>
      <c r="CB390"/>
      <c r="CC390"/>
      <c r="CD390"/>
      <c r="CE390"/>
      <c r="CJ390"/>
      <c r="CK390"/>
      <c r="CL390"/>
      <c r="CM390"/>
      <c r="CN390"/>
    </row>
    <row r="391" spans="14:92" ht="11.25" customHeight="1" x14ac:dyDescent="0.2">
      <c r="N391"/>
      <c r="O391"/>
      <c r="P391"/>
      <c r="Q391"/>
      <c r="R391"/>
      <c r="S391"/>
      <c r="T391"/>
      <c r="U391"/>
      <c r="V391"/>
      <c r="W391"/>
      <c r="X391"/>
      <c r="Y391"/>
      <c r="Z391"/>
      <c r="AA391"/>
      <c r="AB391"/>
      <c r="AC391"/>
      <c r="AD391"/>
      <c r="AE391" s="19">
        <v>300</v>
      </c>
      <c r="AG391" s="19">
        <f t="shared" si="206"/>
        <v>11</v>
      </c>
      <c r="AH391" s="19">
        <f t="shared" si="207"/>
        <v>1</v>
      </c>
      <c r="AI391" s="19">
        <f t="shared" si="208"/>
        <v>39.445</v>
      </c>
      <c r="AJ391" s="410">
        <f t="shared" si="209"/>
        <v>984.92</v>
      </c>
      <c r="AK391" s="19" t="e">
        <f t="shared" si="210"/>
        <v>#N/A</v>
      </c>
      <c r="AL391" s="19">
        <f t="shared" si="211"/>
        <v>784.92</v>
      </c>
      <c r="AM391" s="19" t="e">
        <f t="shared" si="212"/>
        <v>#N/A</v>
      </c>
      <c r="AN391" s="19">
        <f t="shared" si="213"/>
        <v>584.91999999999996</v>
      </c>
      <c r="AO391" s="19" t="e">
        <f t="shared" si="214"/>
        <v>#N/A</v>
      </c>
      <c r="AP391" s="19">
        <f t="shared" si="215"/>
        <v>384.92</v>
      </c>
      <c r="AQ391" s="19" t="e">
        <f t="shared" si="216"/>
        <v>#N/A</v>
      </c>
      <c r="AR391" s="19">
        <f t="shared" si="217"/>
        <v>184.92000000000002</v>
      </c>
      <c r="AS391" s="19" t="e">
        <f t="shared" si="218"/>
        <v>#N/A</v>
      </c>
      <c r="AT391"/>
      <c r="AU391"/>
      <c r="AV391"/>
      <c r="AW391"/>
      <c r="AX391"/>
      <c r="AY391"/>
      <c r="AZ391"/>
      <c r="BA391"/>
      <c r="BB391"/>
      <c r="BC391"/>
      <c r="CB391"/>
      <c r="CC391"/>
      <c r="CD391"/>
      <c r="CE391"/>
      <c r="CJ391"/>
      <c r="CK391"/>
      <c r="CL391"/>
      <c r="CM391"/>
      <c r="CN391"/>
    </row>
    <row r="392" spans="14:92" ht="11.25" customHeight="1" x14ac:dyDescent="0.2">
      <c r="N392"/>
      <c r="O392"/>
      <c r="P392"/>
      <c r="Q392"/>
      <c r="R392"/>
      <c r="S392"/>
      <c r="T392"/>
      <c r="U392"/>
      <c r="V392"/>
      <c r="W392"/>
      <c r="X392"/>
      <c r="Y392"/>
      <c r="Z392"/>
      <c r="AA392"/>
      <c r="AB392"/>
      <c r="AC392"/>
      <c r="AD392"/>
      <c r="AE392" s="19">
        <v>301</v>
      </c>
      <c r="AG392" s="19">
        <f t="shared" si="206"/>
        <v>1</v>
      </c>
      <c r="AH392" s="19">
        <f t="shared" si="207"/>
        <v>-1</v>
      </c>
      <c r="AI392" s="19">
        <f t="shared" si="208"/>
        <v>41.055</v>
      </c>
      <c r="AJ392" s="410">
        <f t="shared" si="209"/>
        <v>892.28</v>
      </c>
      <c r="AK392" s="19" t="e">
        <f t="shared" si="210"/>
        <v>#N/A</v>
      </c>
      <c r="AL392" s="19">
        <f t="shared" si="211"/>
        <v>692.28</v>
      </c>
      <c r="AM392" s="19" t="e">
        <f t="shared" si="212"/>
        <v>#N/A</v>
      </c>
      <c r="AN392" s="19">
        <f t="shared" si="213"/>
        <v>492.28</v>
      </c>
      <c r="AO392" s="19" t="e">
        <f t="shared" si="214"/>
        <v>#N/A</v>
      </c>
      <c r="AP392" s="19">
        <f t="shared" si="215"/>
        <v>292.27999999999997</v>
      </c>
      <c r="AQ392" s="19" t="e">
        <f t="shared" si="216"/>
        <v>#N/A</v>
      </c>
      <c r="AR392" s="19">
        <f t="shared" si="217"/>
        <v>92.28</v>
      </c>
      <c r="AS392" s="19" t="e">
        <f t="shared" si="218"/>
        <v>#N/A</v>
      </c>
      <c r="AT392"/>
      <c r="AU392"/>
      <c r="AV392"/>
      <c r="AW392"/>
      <c r="AX392"/>
      <c r="AY392"/>
      <c r="AZ392"/>
      <c r="BA392"/>
      <c r="BB392"/>
      <c r="BC392"/>
      <c r="CB392"/>
      <c r="CC392"/>
      <c r="CD392"/>
      <c r="CE392"/>
      <c r="CJ392"/>
      <c r="CK392"/>
      <c r="CL392"/>
      <c r="CM392"/>
      <c r="CN392"/>
    </row>
    <row r="393" spans="14:92" ht="11.25" customHeight="1" x14ac:dyDescent="0.2">
      <c r="N393"/>
      <c r="O393"/>
      <c r="P393"/>
      <c r="Q393"/>
      <c r="R393"/>
      <c r="S393"/>
      <c r="T393"/>
      <c r="U393"/>
      <c r="V393"/>
      <c r="W393"/>
      <c r="X393"/>
      <c r="Y393"/>
      <c r="Z393"/>
      <c r="AA393"/>
      <c r="AB393"/>
      <c r="AC393"/>
      <c r="AD393"/>
      <c r="AE393" s="19">
        <v>302</v>
      </c>
      <c r="AG393" s="19">
        <f t="shared" si="206"/>
        <v>1</v>
      </c>
      <c r="AH393" s="19">
        <f t="shared" si="207"/>
        <v>1</v>
      </c>
      <c r="AI393" s="19">
        <f t="shared" si="208"/>
        <v>41.055</v>
      </c>
      <c r="AJ393" s="410">
        <f t="shared" si="209"/>
        <v>907.72</v>
      </c>
      <c r="AK393" s="19" t="e">
        <f t="shared" si="210"/>
        <v>#N/A</v>
      </c>
      <c r="AL393" s="19">
        <f t="shared" si="211"/>
        <v>707.72</v>
      </c>
      <c r="AM393" s="19" t="e">
        <f t="shared" si="212"/>
        <v>#N/A</v>
      </c>
      <c r="AN393" s="19">
        <f t="shared" si="213"/>
        <v>507.72</v>
      </c>
      <c r="AO393" s="19" t="e">
        <f t="shared" si="214"/>
        <v>#N/A</v>
      </c>
      <c r="AP393" s="19">
        <f t="shared" si="215"/>
        <v>307.72000000000003</v>
      </c>
      <c r="AQ393" s="19" t="e">
        <f t="shared" si="216"/>
        <v>#N/A</v>
      </c>
      <c r="AR393" s="19">
        <f t="shared" si="217"/>
        <v>107.72</v>
      </c>
      <c r="AS393" s="19" t="e">
        <f t="shared" si="218"/>
        <v>#N/A</v>
      </c>
      <c r="AT393"/>
      <c r="AU393"/>
      <c r="AV393"/>
      <c r="AW393"/>
      <c r="AX393"/>
      <c r="AY393"/>
      <c r="AZ393"/>
      <c r="BA393"/>
      <c r="BB393"/>
      <c r="BC393"/>
      <c r="CB393"/>
      <c r="CC393"/>
      <c r="CD393"/>
      <c r="CE393"/>
      <c r="CJ393"/>
      <c r="CK393"/>
      <c r="CL393"/>
      <c r="CM393"/>
      <c r="CN393"/>
    </row>
    <row r="394" spans="14:92" ht="11.25" customHeight="1" x14ac:dyDescent="0.2">
      <c r="N394"/>
      <c r="O394"/>
      <c r="P394"/>
      <c r="Q394"/>
      <c r="R394"/>
      <c r="S394"/>
      <c r="T394"/>
      <c r="U394"/>
      <c r="V394"/>
      <c r="W394"/>
      <c r="X394"/>
      <c r="Y394"/>
      <c r="Z394"/>
      <c r="AA394"/>
      <c r="AB394"/>
      <c r="AC394"/>
      <c r="AD394"/>
      <c r="AE394" s="19">
        <v>303</v>
      </c>
      <c r="AG394" s="19">
        <f t="shared" si="206"/>
        <v>3</v>
      </c>
      <c r="AH394" s="19">
        <f t="shared" si="207"/>
        <v>-1</v>
      </c>
      <c r="AI394" s="19">
        <f t="shared" si="208"/>
        <v>41.055</v>
      </c>
      <c r="AJ394" s="410">
        <f t="shared" si="209"/>
        <v>876.84</v>
      </c>
      <c r="AK394" s="19" t="e">
        <f t="shared" si="210"/>
        <v>#N/A</v>
      </c>
      <c r="AL394" s="19">
        <f t="shared" si="211"/>
        <v>676.84</v>
      </c>
      <c r="AM394" s="19" t="e">
        <f t="shared" si="212"/>
        <v>#N/A</v>
      </c>
      <c r="AN394" s="19">
        <f t="shared" si="213"/>
        <v>476.84</v>
      </c>
      <c r="AO394" s="19" t="e">
        <f t="shared" si="214"/>
        <v>#N/A</v>
      </c>
      <c r="AP394" s="19">
        <f t="shared" si="215"/>
        <v>276.83999999999997</v>
      </c>
      <c r="AQ394" s="19" t="e">
        <f t="shared" si="216"/>
        <v>#N/A</v>
      </c>
      <c r="AR394" s="19">
        <f t="shared" si="217"/>
        <v>76.84</v>
      </c>
      <c r="AS394" s="19" t="e">
        <f t="shared" si="218"/>
        <v>#N/A</v>
      </c>
      <c r="AT394"/>
      <c r="AU394"/>
      <c r="AV394"/>
      <c r="AW394"/>
      <c r="AX394"/>
      <c r="AY394"/>
      <c r="AZ394"/>
      <c r="BA394"/>
      <c r="BB394"/>
      <c r="BC394"/>
      <c r="CB394"/>
      <c r="CC394"/>
      <c r="CD394"/>
      <c r="CE394"/>
      <c r="CJ394"/>
      <c r="CK394"/>
      <c r="CL394"/>
      <c r="CM394"/>
      <c r="CN394"/>
    </row>
    <row r="395" spans="14:92" ht="11.25" customHeight="1" x14ac:dyDescent="0.2">
      <c r="N395"/>
      <c r="O395"/>
      <c r="P395"/>
      <c r="Q395"/>
      <c r="R395"/>
      <c r="S395"/>
      <c r="T395"/>
      <c r="U395"/>
      <c r="V395"/>
      <c r="W395"/>
      <c r="X395"/>
      <c r="Y395"/>
      <c r="Z395"/>
      <c r="AA395"/>
      <c r="AB395"/>
      <c r="AC395"/>
      <c r="AD395"/>
      <c r="AE395" s="19">
        <v>304</v>
      </c>
      <c r="AG395" s="19">
        <f t="shared" si="206"/>
        <v>3</v>
      </c>
      <c r="AH395" s="19">
        <f t="shared" si="207"/>
        <v>1</v>
      </c>
      <c r="AI395" s="19">
        <f t="shared" si="208"/>
        <v>41.055</v>
      </c>
      <c r="AJ395" s="410">
        <f t="shared" si="209"/>
        <v>923.16</v>
      </c>
      <c r="AK395" s="19" t="e">
        <f t="shared" si="210"/>
        <v>#N/A</v>
      </c>
      <c r="AL395" s="19">
        <f t="shared" si="211"/>
        <v>723.16</v>
      </c>
      <c r="AM395" s="19" t="e">
        <f t="shared" si="212"/>
        <v>#N/A</v>
      </c>
      <c r="AN395" s="19">
        <f t="shared" si="213"/>
        <v>523.16</v>
      </c>
      <c r="AO395" s="19" t="e">
        <f t="shared" si="214"/>
        <v>#N/A</v>
      </c>
      <c r="AP395" s="19">
        <f t="shared" si="215"/>
        <v>323.16000000000003</v>
      </c>
      <c r="AQ395" s="19" t="e">
        <f t="shared" si="216"/>
        <v>#N/A</v>
      </c>
      <c r="AR395" s="19">
        <f t="shared" si="217"/>
        <v>123.16</v>
      </c>
      <c r="AS395" s="19" t="e">
        <f t="shared" si="218"/>
        <v>#N/A</v>
      </c>
      <c r="AT395"/>
      <c r="AU395"/>
      <c r="AV395"/>
      <c r="AW395"/>
      <c r="AX395"/>
      <c r="AY395"/>
      <c r="AZ395"/>
      <c r="BA395"/>
      <c r="BB395"/>
      <c r="BC395"/>
      <c r="CB395"/>
      <c r="CC395"/>
      <c r="CD395"/>
      <c r="CE395"/>
      <c r="CJ395"/>
      <c r="CK395"/>
      <c r="CL395"/>
      <c r="CM395"/>
      <c r="CN395"/>
    </row>
    <row r="396" spans="14:92" ht="11.25" customHeight="1" x14ac:dyDescent="0.2">
      <c r="N396"/>
      <c r="O396"/>
      <c r="P396"/>
      <c r="Q396"/>
      <c r="R396"/>
      <c r="S396"/>
      <c r="T396"/>
      <c r="U396"/>
      <c r="V396"/>
      <c r="W396"/>
      <c r="X396"/>
      <c r="Y396"/>
      <c r="Z396"/>
      <c r="AA396"/>
      <c r="AB396"/>
      <c r="AC396"/>
      <c r="AD396"/>
      <c r="AE396" s="19">
        <v>305</v>
      </c>
      <c r="AG396" s="19">
        <f t="shared" si="206"/>
        <v>5</v>
      </c>
      <c r="AH396" s="19">
        <f t="shared" si="207"/>
        <v>-1</v>
      </c>
      <c r="AI396" s="19">
        <f t="shared" si="208"/>
        <v>41.055</v>
      </c>
      <c r="AJ396" s="410">
        <f t="shared" si="209"/>
        <v>861.4</v>
      </c>
      <c r="AK396" s="19" t="e">
        <f t="shared" si="210"/>
        <v>#N/A</v>
      </c>
      <c r="AL396" s="19">
        <f t="shared" si="211"/>
        <v>661.4</v>
      </c>
      <c r="AM396" s="19" t="e">
        <f t="shared" si="212"/>
        <v>#N/A</v>
      </c>
      <c r="AN396" s="19">
        <f t="shared" si="213"/>
        <v>461.4</v>
      </c>
      <c r="AO396" s="19" t="e">
        <f t="shared" si="214"/>
        <v>#N/A</v>
      </c>
      <c r="AP396" s="19">
        <f t="shared" si="215"/>
        <v>261.39999999999998</v>
      </c>
      <c r="AQ396" s="19" t="e">
        <f t="shared" si="216"/>
        <v>#N/A</v>
      </c>
      <c r="AR396" s="19">
        <f t="shared" si="217"/>
        <v>61.4</v>
      </c>
      <c r="AS396" s="19" t="e">
        <f t="shared" si="218"/>
        <v>#N/A</v>
      </c>
      <c r="AT396"/>
      <c r="AU396"/>
      <c r="AV396"/>
      <c r="AW396"/>
      <c r="AX396"/>
      <c r="AY396"/>
      <c r="AZ396"/>
      <c r="BA396"/>
      <c r="BB396"/>
      <c r="BC396"/>
      <c r="CB396"/>
      <c r="CC396"/>
      <c r="CD396"/>
      <c r="CE396"/>
      <c r="CJ396"/>
      <c r="CK396"/>
      <c r="CL396"/>
      <c r="CM396"/>
      <c r="CN396"/>
    </row>
    <row r="397" spans="14:92" ht="11.25" customHeight="1" x14ac:dyDescent="0.2">
      <c r="N397"/>
      <c r="O397"/>
      <c r="P397"/>
      <c r="Q397"/>
      <c r="R397"/>
      <c r="S397"/>
      <c r="T397"/>
      <c r="U397"/>
      <c r="V397"/>
      <c r="W397"/>
      <c r="X397"/>
      <c r="Y397"/>
      <c r="Z397"/>
      <c r="AA397"/>
      <c r="AB397"/>
      <c r="AC397"/>
      <c r="AD397"/>
      <c r="AE397" s="19">
        <v>306</v>
      </c>
      <c r="AG397" s="19">
        <f t="shared" si="206"/>
        <v>5</v>
      </c>
      <c r="AH397" s="19">
        <f t="shared" si="207"/>
        <v>1</v>
      </c>
      <c r="AI397" s="19">
        <f t="shared" si="208"/>
        <v>41.055</v>
      </c>
      <c r="AJ397" s="410">
        <f t="shared" si="209"/>
        <v>938.6</v>
      </c>
      <c r="AK397" s="19" t="e">
        <f t="shared" si="210"/>
        <v>#N/A</v>
      </c>
      <c r="AL397" s="19">
        <f t="shared" si="211"/>
        <v>738.6</v>
      </c>
      <c r="AM397" s="19" t="e">
        <f t="shared" si="212"/>
        <v>#N/A</v>
      </c>
      <c r="AN397" s="19">
        <f t="shared" si="213"/>
        <v>538.6</v>
      </c>
      <c r="AO397" s="19" t="e">
        <f t="shared" si="214"/>
        <v>#N/A</v>
      </c>
      <c r="AP397" s="19">
        <f t="shared" si="215"/>
        <v>338.6</v>
      </c>
      <c r="AQ397" s="19" t="e">
        <f t="shared" si="216"/>
        <v>#N/A</v>
      </c>
      <c r="AR397" s="19">
        <f t="shared" si="217"/>
        <v>138.6</v>
      </c>
      <c r="AS397" s="19" t="e">
        <f t="shared" si="218"/>
        <v>#N/A</v>
      </c>
      <c r="AT397"/>
      <c r="AU397"/>
      <c r="AV397"/>
      <c r="AW397"/>
      <c r="AX397"/>
      <c r="AY397"/>
      <c r="AZ397"/>
      <c r="BA397"/>
      <c r="BB397"/>
      <c r="BC397"/>
      <c r="CB397"/>
      <c r="CC397"/>
      <c r="CD397"/>
      <c r="CE397"/>
      <c r="CJ397"/>
      <c r="CK397"/>
      <c r="CL397"/>
      <c r="CM397"/>
      <c r="CN397"/>
    </row>
    <row r="398" spans="14:92" ht="11.25" customHeight="1" x14ac:dyDescent="0.2">
      <c r="N398"/>
      <c r="O398"/>
      <c r="P398"/>
      <c r="Q398"/>
      <c r="R398"/>
      <c r="S398"/>
      <c r="T398"/>
      <c r="U398"/>
      <c r="V398"/>
      <c r="W398"/>
      <c r="X398"/>
      <c r="Y398"/>
      <c r="Z398"/>
      <c r="AA398"/>
      <c r="AB398"/>
      <c r="AC398"/>
      <c r="AD398"/>
      <c r="AE398" s="19">
        <v>307</v>
      </c>
      <c r="AG398" s="19">
        <f t="shared" si="206"/>
        <v>7</v>
      </c>
      <c r="AH398" s="19">
        <f t="shared" si="207"/>
        <v>-1</v>
      </c>
      <c r="AI398" s="19">
        <f t="shared" si="208"/>
        <v>41.055</v>
      </c>
      <c r="AJ398" s="410">
        <f t="shared" si="209"/>
        <v>845.96</v>
      </c>
      <c r="AK398" s="19" t="e">
        <f t="shared" si="210"/>
        <v>#N/A</v>
      </c>
      <c r="AL398" s="19">
        <f t="shared" si="211"/>
        <v>645.96</v>
      </c>
      <c r="AM398" s="19" t="e">
        <f t="shared" si="212"/>
        <v>#N/A</v>
      </c>
      <c r="AN398" s="19">
        <f t="shared" si="213"/>
        <v>445.96</v>
      </c>
      <c r="AO398" s="19" t="e">
        <f t="shared" si="214"/>
        <v>#N/A</v>
      </c>
      <c r="AP398" s="19">
        <f t="shared" si="215"/>
        <v>245.96</v>
      </c>
      <c r="AQ398" s="19" t="e">
        <f t="shared" si="216"/>
        <v>#N/A</v>
      </c>
      <c r="AR398" s="19">
        <f t="shared" si="217"/>
        <v>45.96</v>
      </c>
      <c r="AS398" s="19" t="e">
        <f t="shared" si="218"/>
        <v>#N/A</v>
      </c>
      <c r="AT398"/>
      <c r="AU398"/>
      <c r="AV398"/>
      <c r="AW398"/>
      <c r="AX398"/>
      <c r="AY398"/>
      <c r="AZ398"/>
      <c r="BA398"/>
      <c r="BB398"/>
      <c r="BC398"/>
      <c r="CB398"/>
      <c r="CC398"/>
      <c r="CD398"/>
      <c r="CE398"/>
      <c r="CJ398"/>
      <c r="CK398"/>
      <c r="CL398"/>
      <c r="CM398"/>
      <c r="CN398"/>
    </row>
    <row r="399" spans="14:92" ht="11.25" customHeight="1" x14ac:dyDescent="0.2">
      <c r="N399"/>
      <c r="O399"/>
      <c r="P399"/>
      <c r="Q399"/>
      <c r="R399"/>
      <c r="S399"/>
      <c r="T399"/>
      <c r="U399"/>
      <c r="V399"/>
      <c r="W399"/>
      <c r="X399"/>
      <c r="Y399"/>
      <c r="Z399"/>
      <c r="AA399"/>
      <c r="AB399"/>
      <c r="AC399"/>
      <c r="AD399"/>
      <c r="AE399" s="19">
        <v>308</v>
      </c>
      <c r="AG399" s="19">
        <f t="shared" si="206"/>
        <v>7</v>
      </c>
      <c r="AH399" s="19">
        <f t="shared" si="207"/>
        <v>1</v>
      </c>
      <c r="AI399" s="19">
        <f t="shared" si="208"/>
        <v>41.055</v>
      </c>
      <c r="AJ399" s="410">
        <f t="shared" si="209"/>
        <v>954.04</v>
      </c>
      <c r="AK399" s="19" t="e">
        <f t="shared" si="210"/>
        <v>#N/A</v>
      </c>
      <c r="AL399" s="19">
        <f t="shared" si="211"/>
        <v>754.04</v>
      </c>
      <c r="AM399" s="19" t="e">
        <f t="shared" si="212"/>
        <v>#N/A</v>
      </c>
      <c r="AN399" s="19">
        <f t="shared" si="213"/>
        <v>554.04</v>
      </c>
      <c r="AO399" s="19" t="e">
        <f t="shared" si="214"/>
        <v>#N/A</v>
      </c>
      <c r="AP399" s="19">
        <f t="shared" si="215"/>
        <v>354.04</v>
      </c>
      <c r="AQ399" s="19" t="e">
        <f t="shared" si="216"/>
        <v>#N/A</v>
      </c>
      <c r="AR399" s="19">
        <f t="shared" si="217"/>
        <v>154.04</v>
      </c>
      <c r="AS399" s="19" t="e">
        <f t="shared" si="218"/>
        <v>#N/A</v>
      </c>
      <c r="AT399"/>
      <c r="AU399"/>
      <c r="AV399"/>
      <c r="AW399"/>
      <c r="AX399"/>
      <c r="AY399"/>
      <c r="AZ399"/>
      <c r="BA399"/>
      <c r="BB399"/>
      <c r="BC399"/>
      <c r="CB399"/>
      <c r="CC399"/>
      <c r="CD399"/>
      <c r="CE399"/>
      <c r="CJ399"/>
      <c r="CK399"/>
      <c r="CL399"/>
      <c r="CM399"/>
      <c r="CN399"/>
    </row>
    <row r="400" spans="14:92" ht="11.25" customHeight="1" x14ac:dyDescent="0.2">
      <c r="N400"/>
      <c r="O400"/>
      <c r="P400"/>
      <c r="Q400"/>
      <c r="R400"/>
      <c r="S400"/>
      <c r="T400"/>
      <c r="U400"/>
      <c r="V400"/>
      <c r="W400"/>
      <c r="X400"/>
      <c r="Y400"/>
      <c r="Z400"/>
      <c r="AA400"/>
      <c r="AB400"/>
      <c r="AC400"/>
      <c r="AD400"/>
      <c r="AE400" s="19">
        <v>309</v>
      </c>
      <c r="AG400" s="19">
        <f t="shared" si="206"/>
        <v>9</v>
      </c>
      <c r="AH400" s="19">
        <f t="shared" si="207"/>
        <v>-1</v>
      </c>
      <c r="AI400" s="19">
        <f t="shared" si="208"/>
        <v>41.055</v>
      </c>
      <c r="AJ400" s="410">
        <f t="shared" si="209"/>
        <v>830.52</v>
      </c>
      <c r="AK400" s="19" t="e">
        <f t="shared" si="210"/>
        <v>#N/A</v>
      </c>
      <c r="AL400" s="19">
        <f t="shared" si="211"/>
        <v>630.52</v>
      </c>
      <c r="AM400" s="19" t="e">
        <f t="shared" si="212"/>
        <v>#N/A</v>
      </c>
      <c r="AN400" s="19">
        <f t="shared" si="213"/>
        <v>430.52</v>
      </c>
      <c r="AO400" s="19" t="e">
        <f t="shared" si="214"/>
        <v>#N/A</v>
      </c>
      <c r="AP400" s="19">
        <f t="shared" si="215"/>
        <v>230.51999999999998</v>
      </c>
      <c r="AQ400" s="19" t="e">
        <f t="shared" si="216"/>
        <v>#N/A</v>
      </c>
      <c r="AR400" s="19">
        <f t="shared" si="217"/>
        <v>30.519999999999996</v>
      </c>
      <c r="AS400" s="19" t="e">
        <f t="shared" si="218"/>
        <v>#N/A</v>
      </c>
      <c r="AT400"/>
      <c r="AU400"/>
      <c r="AV400"/>
      <c r="AW400"/>
      <c r="AX400"/>
      <c r="AY400"/>
      <c r="AZ400"/>
      <c r="BA400"/>
      <c r="BB400"/>
      <c r="BC400"/>
      <c r="CB400"/>
      <c r="CC400"/>
      <c r="CD400"/>
      <c r="CE400"/>
      <c r="CJ400"/>
      <c r="CK400"/>
      <c r="CL400"/>
      <c r="CM400"/>
      <c r="CN400"/>
    </row>
    <row r="401" spans="14:92" ht="11.25" customHeight="1" x14ac:dyDescent="0.2">
      <c r="N401"/>
      <c r="O401"/>
      <c r="P401"/>
      <c r="Q401"/>
      <c r="R401"/>
      <c r="S401"/>
      <c r="T401"/>
      <c r="U401"/>
      <c r="V401"/>
      <c r="W401"/>
      <c r="X401"/>
      <c r="Y401"/>
      <c r="Z401"/>
      <c r="AA401"/>
      <c r="AB401"/>
      <c r="AC401"/>
      <c r="AD401"/>
      <c r="AE401" s="19">
        <v>310</v>
      </c>
      <c r="AG401" s="19">
        <f t="shared" si="206"/>
        <v>9</v>
      </c>
      <c r="AH401" s="19">
        <f t="shared" si="207"/>
        <v>1</v>
      </c>
      <c r="AI401" s="19">
        <f t="shared" si="208"/>
        <v>41.055</v>
      </c>
      <c r="AJ401" s="410">
        <f t="shared" si="209"/>
        <v>969.48</v>
      </c>
      <c r="AK401" s="19" t="e">
        <f t="shared" si="210"/>
        <v>#N/A</v>
      </c>
      <c r="AL401" s="19">
        <f t="shared" si="211"/>
        <v>769.48</v>
      </c>
      <c r="AM401" s="19" t="e">
        <f t="shared" si="212"/>
        <v>#N/A</v>
      </c>
      <c r="AN401" s="19">
        <f t="shared" si="213"/>
        <v>569.48</v>
      </c>
      <c r="AO401" s="19" t="e">
        <f t="shared" si="214"/>
        <v>#N/A</v>
      </c>
      <c r="AP401" s="19">
        <f t="shared" si="215"/>
        <v>369.48</v>
      </c>
      <c r="AQ401" s="19" t="e">
        <f t="shared" si="216"/>
        <v>#N/A</v>
      </c>
      <c r="AR401" s="19">
        <f t="shared" si="217"/>
        <v>169.48000000000002</v>
      </c>
      <c r="AS401" s="19" t="e">
        <f t="shared" si="218"/>
        <v>#N/A</v>
      </c>
      <c r="AT401"/>
      <c r="AU401"/>
      <c r="AV401"/>
      <c r="AW401"/>
      <c r="AX401"/>
      <c r="AY401"/>
      <c r="AZ401"/>
      <c r="BA401"/>
      <c r="BB401"/>
      <c r="BC401"/>
      <c r="CB401"/>
      <c r="CC401"/>
      <c r="CD401"/>
      <c r="CE401"/>
      <c r="CJ401"/>
      <c r="CK401"/>
      <c r="CL401"/>
      <c r="CM401"/>
      <c r="CN401"/>
    </row>
    <row r="402" spans="14:92" ht="11.25" customHeight="1" x14ac:dyDescent="0.2">
      <c r="N402"/>
      <c r="O402"/>
      <c r="P402"/>
      <c r="Q402"/>
      <c r="R402"/>
      <c r="S402"/>
      <c r="T402"/>
      <c r="U402"/>
      <c r="V402"/>
      <c r="W402"/>
      <c r="X402"/>
      <c r="Y402"/>
      <c r="Z402"/>
      <c r="AA402"/>
      <c r="AB402"/>
      <c r="AC402"/>
      <c r="AD402"/>
      <c r="AE402" s="19">
        <v>311</v>
      </c>
      <c r="AG402" s="19">
        <f t="shared" si="206"/>
        <v>11</v>
      </c>
      <c r="AH402" s="19">
        <f t="shared" si="207"/>
        <v>-1</v>
      </c>
      <c r="AI402" s="19">
        <f t="shared" si="208"/>
        <v>41.055</v>
      </c>
      <c r="AJ402" s="410">
        <f t="shared" si="209"/>
        <v>815.08</v>
      </c>
      <c r="AK402" s="19" t="e">
        <f t="shared" si="210"/>
        <v>#N/A</v>
      </c>
      <c r="AL402" s="19">
        <f t="shared" si="211"/>
        <v>615.08000000000004</v>
      </c>
      <c r="AM402" s="19" t="e">
        <f t="shared" si="212"/>
        <v>#N/A</v>
      </c>
      <c r="AN402" s="19">
        <f t="shared" si="213"/>
        <v>415.08</v>
      </c>
      <c r="AO402" s="19" t="e">
        <f t="shared" si="214"/>
        <v>#N/A</v>
      </c>
      <c r="AP402" s="19">
        <f t="shared" si="215"/>
        <v>215.07999999999998</v>
      </c>
      <c r="AQ402" s="19" t="e">
        <f t="shared" si="216"/>
        <v>#N/A</v>
      </c>
      <c r="AR402" s="19">
        <f t="shared" si="217"/>
        <v>15.079999999999998</v>
      </c>
      <c r="AS402" s="19" t="e">
        <f t="shared" si="218"/>
        <v>#N/A</v>
      </c>
      <c r="AT402"/>
      <c r="AU402"/>
      <c r="AV402"/>
      <c r="AW402"/>
      <c r="AX402"/>
      <c r="AY402"/>
      <c r="AZ402"/>
      <c r="BA402"/>
      <c r="BB402"/>
      <c r="BC402"/>
      <c r="CB402"/>
      <c r="CC402"/>
      <c r="CD402"/>
      <c r="CE402"/>
      <c r="CJ402"/>
      <c r="CK402"/>
      <c r="CL402"/>
      <c r="CM402"/>
      <c r="CN402"/>
    </row>
    <row r="403" spans="14:92" ht="11.25" customHeight="1" x14ac:dyDescent="0.2">
      <c r="N403"/>
      <c r="O403"/>
      <c r="P403"/>
      <c r="Q403"/>
      <c r="R403"/>
      <c r="S403"/>
      <c r="T403"/>
      <c r="U403"/>
      <c r="V403"/>
      <c r="W403"/>
      <c r="X403"/>
      <c r="Y403"/>
      <c r="Z403"/>
      <c r="AA403"/>
      <c r="AB403"/>
      <c r="AC403"/>
      <c r="AD403"/>
      <c r="AE403" s="19">
        <v>312</v>
      </c>
      <c r="AG403" s="19">
        <f t="shared" si="206"/>
        <v>11</v>
      </c>
      <c r="AH403" s="19">
        <f t="shared" si="207"/>
        <v>1</v>
      </c>
      <c r="AI403" s="19">
        <f t="shared" si="208"/>
        <v>41.055</v>
      </c>
      <c r="AJ403" s="410">
        <f t="shared" si="209"/>
        <v>984.92</v>
      </c>
      <c r="AK403" s="19" t="e">
        <f t="shared" si="210"/>
        <v>#N/A</v>
      </c>
      <c r="AL403" s="19">
        <f t="shared" si="211"/>
        <v>784.92</v>
      </c>
      <c r="AM403" s="19" t="e">
        <f t="shared" si="212"/>
        <v>#N/A</v>
      </c>
      <c r="AN403" s="19">
        <f t="shared" si="213"/>
        <v>584.91999999999996</v>
      </c>
      <c r="AO403" s="19" t="e">
        <f t="shared" si="214"/>
        <v>#N/A</v>
      </c>
      <c r="AP403" s="19">
        <f t="shared" si="215"/>
        <v>384.92</v>
      </c>
      <c r="AQ403" s="19" t="e">
        <f t="shared" si="216"/>
        <v>#N/A</v>
      </c>
      <c r="AR403" s="19">
        <f t="shared" si="217"/>
        <v>184.92000000000002</v>
      </c>
      <c r="AS403" s="19" t="e">
        <f t="shared" si="218"/>
        <v>#N/A</v>
      </c>
      <c r="AT403"/>
      <c r="AU403"/>
      <c r="AV403"/>
      <c r="AW403"/>
      <c r="AX403"/>
      <c r="AY403"/>
      <c r="AZ403"/>
      <c r="BA403"/>
      <c r="BB403"/>
      <c r="BC403"/>
      <c r="CB403"/>
      <c r="CC403"/>
      <c r="CD403"/>
      <c r="CE403"/>
      <c r="CJ403"/>
      <c r="CK403"/>
      <c r="CL403"/>
      <c r="CM403"/>
      <c r="CN403"/>
    </row>
    <row r="404" spans="14:92" ht="11.25" customHeight="1" x14ac:dyDescent="0.2">
      <c r="N404"/>
      <c r="O404"/>
      <c r="P404"/>
      <c r="Q404"/>
      <c r="R404"/>
      <c r="S404"/>
      <c r="T404"/>
      <c r="U404"/>
      <c r="V404"/>
      <c r="W404"/>
      <c r="X404"/>
      <c r="Y404"/>
      <c r="Z404"/>
      <c r="AA404"/>
      <c r="AB404"/>
      <c r="AC404"/>
      <c r="AD404"/>
      <c r="AE404" s="19">
        <v>313</v>
      </c>
      <c r="AG404" s="19">
        <f t="shared" si="206"/>
        <v>1</v>
      </c>
      <c r="AH404" s="19">
        <f t="shared" si="207"/>
        <v>-1</v>
      </c>
      <c r="AI404" s="19">
        <f t="shared" si="208"/>
        <v>42.664999999999999</v>
      </c>
      <c r="AJ404" s="410">
        <f t="shared" si="209"/>
        <v>892.28</v>
      </c>
      <c r="AK404" s="19" t="e">
        <f t="shared" si="210"/>
        <v>#N/A</v>
      </c>
      <c r="AL404" s="19">
        <f t="shared" si="211"/>
        <v>692.28</v>
      </c>
      <c r="AM404" s="19" t="e">
        <f t="shared" si="212"/>
        <v>#N/A</v>
      </c>
      <c r="AN404" s="19">
        <f t="shared" si="213"/>
        <v>492.28</v>
      </c>
      <c r="AO404" s="19" t="e">
        <f t="shared" si="214"/>
        <v>#N/A</v>
      </c>
      <c r="AP404" s="19">
        <f t="shared" si="215"/>
        <v>292.27999999999997</v>
      </c>
      <c r="AQ404" s="19" t="e">
        <f t="shared" si="216"/>
        <v>#N/A</v>
      </c>
      <c r="AR404" s="19">
        <f t="shared" si="217"/>
        <v>92.28</v>
      </c>
      <c r="AS404" s="19" t="e">
        <f t="shared" si="218"/>
        <v>#N/A</v>
      </c>
      <c r="AT404"/>
      <c r="AU404"/>
      <c r="AV404"/>
      <c r="AW404"/>
      <c r="AX404"/>
      <c r="AY404"/>
      <c r="AZ404"/>
      <c r="BA404"/>
      <c r="BB404"/>
      <c r="BC404"/>
      <c r="CB404"/>
      <c r="CC404"/>
      <c r="CD404"/>
      <c r="CE404"/>
      <c r="CJ404"/>
      <c r="CK404"/>
      <c r="CL404"/>
      <c r="CM404"/>
      <c r="CN404"/>
    </row>
    <row r="405" spans="14:92" ht="11.25" customHeight="1" x14ac:dyDescent="0.2">
      <c r="N405"/>
      <c r="O405"/>
      <c r="P405"/>
      <c r="Q405"/>
      <c r="R405"/>
      <c r="S405"/>
      <c r="T405"/>
      <c r="U405"/>
      <c r="V405"/>
      <c r="W405"/>
      <c r="X405"/>
      <c r="Y405"/>
      <c r="Z405"/>
      <c r="AA405"/>
      <c r="AB405"/>
      <c r="AC405"/>
      <c r="AD405"/>
      <c r="AE405" s="19">
        <v>314</v>
      </c>
      <c r="AG405" s="19">
        <f t="shared" si="206"/>
        <v>1</v>
      </c>
      <c r="AH405" s="19">
        <f t="shared" si="207"/>
        <v>1</v>
      </c>
      <c r="AI405" s="19">
        <f t="shared" si="208"/>
        <v>42.664999999999999</v>
      </c>
      <c r="AJ405" s="410">
        <f t="shared" si="209"/>
        <v>907.72</v>
      </c>
      <c r="AK405" s="19" t="e">
        <f t="shared" si="210"/>
        <v>#N/A</v>
      </c>
      <c r="AL405" s="19">
        <f t="shared" si="211"/>
        <v>707.72</v>
      </c>
      <c r="AM405" s="19" t="e">
        <f t="shared" si="212"/>
        <v>#N/A</v>
      </c>
      <c r="AN405" s="19">
        <f t="shared" si="213"/>
        <v>507.72</v>
      </c>
      <c r="AO405" s="19" t="e">
        <f t="shared" si="214"/>
        <v>#N/A</v>
      </c>
      <c r="AP405" s="19">
        <f t="shared" si="215"/>
        <v>307.72000000000003</v>
      </c>
      <c r="AQ405" s="19" t="e">
        <f t="shared" si="216"/>
        <v>#N/A</v>
      </c>
      <c r="AR405" s="19">
        <f t="shared" si="217"/>
        <v>107.72</v>
      </c>
      <c r="AS405" s="19" t="e">
        <f t="shared" si="218"/>
        <v>#N/A</v>
      </c>
      <c r="AT405"/>
      <c r="AU405"/>
      <c r="AV405"/>
      <c r="AW405"/>
      <c r="AX405"/>
      <c r="AY405"/>
      <c r="AZ405"/>
      <c r="BA405"/>
      <c r="BB405"/>
      <c r="BC405"/>
      <c r="CB405"/>
      <c r="CC405"/>
      <c r="CD405"/>
      <c r="CE405"/>
      <c r="CJ405"/>
      <c r="CK405"/>
      <c r="CL405"/>
      <c r="CM405"/>
      <c r="CN405"/>
    </row>
    <row r="406" spans="14:92" ht="11.25" customHeight="1" x14ac:dyDescent="0.2">
      <c r="N406"/>
      <c r="O406"/>
      <c r="P406"/>
      <c r="Q406"/>
      <c r="R406"/>
      <c r="S406"/>
      <c r="T406"/>
      <c r="U406"/>
      <c r="V406"/>
      <c r="W406"/>
      <c r="X406"/>
      <c r="Y406"/>
      <c r="Z406"/>
      <c r="AA406"/>
      <c r="AB406"/>
      <c r="AC406"/>
      <c r="AD406"/>
      <c r="AE406" s="19">
        <v>315</v>
      </c>
      <c r="AG406" s="19">
        <f t="shared" si="206"/>
        <v>3</v>
      </c>
      <c r="AH406" s="19">
        <f t="shared" si="207"/>
        <v>-1</v>
      </c>
      <c r="AI406" s="19">
        <f t="shared" si="208"/>
        <v>42.664999999999999</v>
      </c>
      <c r="AJ406" s="410">
        <f t="shared" si="209"/>
        <v>876.84</v>
      </c>
      <c r="AK406" s="19" t="e">
        <f t="shared" si="210"/>
        <v>#N/A</v>
      </c>
      <c r="AL406" s="19">
        <f t="shared" si="211"/>
        <v>676.84</v>
      </c>
      <c r="AM406" s="19" t="e">
        <f t="shared" si="212"/>
        <v>#N/A</v>
      </c>
      <c r="AN406" s="19">
        <f t="shared" si="213"/>
        <v>476.84</v>
      </c>
      <c r="AO406" s="19" t="e">
        <f t="shared" si="214"/>
        <v>#N/A</v>
      </c>
      <c r="AP406" s="19">
        <f t="shared" si="215"/>
        <v>276.83999999999997</v>
      </c>
      <c r="AQ406" s="19" t="e">
        <f t="shared" si="216"/>
        <v>#N/A</v>
      </c>
      <c r="AR406" s="19">
        <f t="shared" si="217"/>
        <v>76.84</v>
      </c>
      <c r="AS406" s="19" t="e">
        <f t="shared" si="218"/>
        <v>#N/A</v>
      </c>
      <c r="AT406"/>
      <c r="AU406"/>
      <c r="AV406"/>
      <c r="AW406"/>
      <c r="AX406"/>
      <c r="AY406"/>
      <c r="AZ406"/>
      <c r="CB406"/>
      <c r="CC406"/>
      <c r="CD406"/>
      <c r="CE406"/>
      <c r="CJ406"/>
      <c r="CK406"/>
      <c r="CL406"/>
      <c r="CM406"/>
      <c r="CN406"/>
    </row>
    <row r="407" spans="14:92" ht="11.25" customHeight="1" x14ac:dyDescent="0.2">
      <c r="N407"/>
      <c r="O407"/>
      <c r="P407"/>
      <c r="Q407"/>
      <c r="R407"/>
      <c r="S407"/>
      <c r="T407"/>
      <c r="U407"/>
      <c r="V407"/>
      <c r="W407"/>
      <c r="X407"/>
      <c r="Y407"/>
      <c r="Z407"/>
      <c r="AA407"/>
      <c r="AB407"/>
      <c r="AC407"/>
      <c r="AD407"/>
      <c r="AE407" s="19">
        <v>316</v>
      </c>
      <c r="AG407" s="19">
        <f t="shared" si="206"/>
        <v>3</v>
      </c>
      <c r="AH407" s="19">
        <f t="shared" si="207"/>
        <v>1</v>
      </c>
      <c r="AI407" s="19">
        <f t="shared" si="208"/>
        <v>42.664999999999999</v>
      </c>
      <c r="AJ407" s="410">
        <f t="shared" si="209"/>
        <v>923.16</v>
      </c>
      <c r="AK407" s="19" t="e">
        <f t="shared" si="210"/>
        <v>#N/A</v>
      </c>
      <c r="AL407" s="19">
        <f t="shared" si="211"/>
        <v>723.16</v>
      </c>
      <c r="AM407" s="19" t="e">
        <f t="shared" si="212"/>
        <v>#N/A</v>
      </c>
      <c r="AN407" s="19">
        <f t="shared" si="213"/>
        <v>523.16</v>
      </c>
      <c r="AO407" s="19" t="e">
        <f t="shared" si="214"/>
        <v>#N/A</v>
      </c>
      <c r="AP407" s="19">
        <f t="shared" si="215"/>
        <v>323.16000000000003</v>
      </c>
      <c r="AQ407" s="19" t="e">
        <f t="shared" si="216"/>
        <v>#N/A</v>
      </c>
      <c r="AR407" s="19">
        <f t="shared" si="217"/>
        <v>123.16</v>
      </c>
      <c r="AS407" s="19" t="e">
        <f t="shared" si="218"/>
        <v>#N/A</v>
      </c>
      <c r="AT407"/>
      <c r="AU407"/>
      <c r="AV407"/>
      <c r="AW407"/>
      <c r="AX407"/>
      <c r="AY407"/>
      <c r="AZ407"/>
      <c r="CB407"/>
      <c r="CC407"/>
      <c r="CD407"/>
      <c r="CE407"/>
      <c r="CJ407"/>
      <c r="CK407"/>
      <c r="CL407"/>
      <c r="CM407"/>
      <c r="CN407"/>
    </row>
    <row r="408" spans="14:92" ht="11.25" customHeight="1" x14ac:dyDescent="0.2">
      <c r="N408"/>
      <c r="O408"/>
      <c r="P408"/>
      <c r="Q408"/>
      <c r="R408"/>
      <c r="S408"/>
      <c r="T408"/>
      <c r="U408"/>
      <c r="V408"/>
      <c r="W408"/>
      <c r="X408"/>
      <c r="Y408"/>
      <c r="Z408"/>
      <c r="AA408"/>
      <c r="AB408"/>
      <c r="AC408"/>
      <c r="AD408"/>
      <c r="AE408" s="19">
        <v>317</v>
      </c>
      <c r="AG408" s="19">
        <f t="shared" si="206"/>
        <v>5</v>
      </c>
      <c r="AH408" s="19">
        <f t="shared" si="207"/>
        <v>-1</v>
      </c>
      <c r="AI408" s="19">
        <f t="shared" si="208"/>
        <v>42.664999999999999</v>
      </c>
      <c r="AJ408" s="410">
        <f t="shared" si="209"/>
        <v>861.4</v>
      </c>
      <c r="AK408" s="19" t="e">
        <f t="shared" si="210"/>
        <v>#N/A</v>
      </c>
      <c r="AL408" s="19">
        <f t="shared" si="211"/>
        <v>661.4</v>
      </c>
      <c r="AM408" s="19" t="e">
        <f t="shared" si="212"/>
        <v>#N/A</v>
      </c>
      <c r="AN408" s="19">
        <f t="shared" si="213"/>
        <v>461.4</v>
      </c>
      <c r="AO408" s="19" t="e">
        <f t="shared" si="214"/>
        <v>#N/A</v>
      </c>
      <c r="AP408" s="19">
        <f t="shared" si="215"/>
        <v>261.39999999999998</v>
      </c>
      <c r="AQ408" s="19" t="e">
        <f t="shared" si="216"/>
        <v>#N/A</v>
      </c>
      <c r="AR408" s="19">
        <f t="shared" si="217"/>
        <v>61.4</v>
      </c>
      <c r="AS408" s="19" t="e">
        <f t="shared" si="218"/>
        <v>#N/A</v>
      </c>
      <c r="AT408"/>
      <c r="AU408"/>
      <c r="AV408"/>
      <c r="AW408"/>
      <c r="AX408"/>
      <c r="AY408"/>
      <c r="AZ408"/>
      <c r="CB408"/>
      <c r="CC408"/>
      <c r="CD408"/>
      <c r="CE408"/>
      <c r="CJ408"/>
      <c r="CK408"/>
      <c r="CL408"/>
      <c r="CM408"/>
      <c r="CN408"/>
    </row>
    <row r="409" spans="14:92" ht="11.25" customHeight="1" x14ac:dyDescent="0.2">
      <c r="N409"/>
      <c r="O409"/>
      <c r="P409"/>
      <c r="Q409"/>
      <c r="R409"/>
      <c r="S409"/>
      <c r="T409"/>
      <c r="U409"/>
      <c r="V409"/>
      <c r="W409"/>
      <c r="X409"/>
      <c r="Y409"/>
      <c r="Z409"/>
      <c r="AA409"/>
      <c r="AB409"/>
      <c r="AC409"/>
      <c r="AD409"/>
      <c r="AE409" s="19">
        <v>318</v>
      </c>
      <c r="AG409" s="19">
        <f t="shared" si="206"/>
        <v>5</v>
      </c>
      <c r="AH409" s="19">
        <f t="shared" si="207"/>
        <v>1</v>
      </c>
      <c r="AI409" s="19">
        <f t="shared" si="208"/>
        <v>42.664999999999999</v>
      </c>
      <c r="AJ409" s="410">
        <f t="shared" si="209"/>
        <v>938.6</v>
      </c>
      <c r="AK409" s="19" t="e">
        <f t="shared" si="210"/>
        <v>#N/A</v>
      </c>
      <c r="AL409" s="19">
        <f t="shared" si="211"/>
        <v>738.6</v>
      </c>
      <c r="AM409" s="19" t="e">
        <f t="shared" si="212"/>
        <v>#N/A</v>
      </c>
      <c r="AN409" s="19">
        <f t="shared" si="213"/>
        <v>538.6</v>
      </c>
      <c r="AO409" s="19" t="e">
        <f t="shared" si="214"/>
        <v>#N/A</v>
      </c>
      <c r="AP409" s="19">
        <f t="shared" si="215"/>
        <v>338.6</v>
      </c>
      <c r="AQ409" s="19" t="e">
        <f t="shared" si="216"/>
        <v>#N/A</v>
      </c>
      <c r="AR409" s="19">
        <f t="shared" si="217"/>
        <v>138.6</v>
      </c>
      <c r="AS409" s="19" t="e">
        <f t="shared" si="218"/>
        <v>#N/A</v>
      </c>
      <c r="AT409"/>
      <c r="AU409"/>
      <c r="AV409"/>
      <c r="AW409"/>
      <c r="AX409"/>
      <c r="AY409"/>
      <c r="AZ409"/>
      <c r="CB409"/>
      <c r="CC409"/>
      <c r="CD409"/>
      <c r="CE409"/>
      <c r="CJ409"/>
      <c r="CK409"/>
      <c r="CL409"/>
      <c r="CM409"/>
      <c r="CN409"/>
    </row>
    <row r="410" spans="14:92" ht="11.25" customHeight="1" x14ac:dyDescent="0.2">
      <c r="N410"/>
      <c r="O410"/>
      <c r="P410"/>
      <c r="Q410"/>
      <c r="R410"/>
      <c r="S410"/>
      <c r="T410"/>
      <c r="U410"/>
      <c r="V410"/>
      <c r="W410"/>
      <c r="X410"/>
      <c r="Y410"/>
      <c r="Z410"/>
      <c r="AA410"/>
      <c r="AB410"/>
      <c r="AC410"/>
      <c r="AD410"/>
      <c r="AE410" s="19">
        <v>319</v>
      </c>
      <c r="AG410" s="19">
        <f t="shared" si="206"/>
        <v>7</v>
      </c>
      <c r="AH410" s="19">
        <f t="shared" si="207"/>
        <v>-1</v>
      </c>
      <c r="AI410" s="19">
        <f t="shared" si="208"/>
        <v>42.664999999999999</v>
      </c>
      <c r="AJ410" s="410">
        <f t="shared" si="209"/>
        <v>845.96</v>
      </c>
      <c r="AK410" s="19" t="e">
        <f t="shared" si="210"/>
        <v>#N/A</v>
      </c>
      <c r="AL410" s="19">
        <f t="shared" si="211"/>
        <v>645.96</v>
      </c>
      <c r="AM410" s="19" t="e">
        <f t="shared" si="212"/>
        <v>#N/A</v>
      </c>
      <c r="AN410" s="19">
        <f t="shared" si="213"/>
        <v>445.96</v>
      </c>
      <c r="AO410" s="19" t="e">
        <f t="shared" si="214"/>
        <v>#N/A</v>
      </c>
      <c r="AP410" s="19">
        <f t="shared" si="215"/>
        <v>245.96</v>
      </c>
      <c r="AQ410" s="19" t="e">
        <f t="shared" si="216"/>
        <v>#N/A</v>
      </c>
      <c r="AR410" s="19">
        <f t="shared" si="217"/>
        <v>45.96</v>
      </c>
      <c r="AS410" s="19" t="e">
        <f t="shared" si="218"/>
        <v>#N/A</v>
      </c>
      <c r="AT410"/>
      <c r="AU410"/>
      <c r="AV410"/>
      <c r="AW410"/>
      <c r="AX410"/>
      <c r="AY410"/>
      <c r="AZ410"/>
      <c r="CB410"/>
      <c r="CC410"/>
      <c r="CD410"/>
      <c r="CE410"/>
      <c r="CJ410"/>
      <c r="CK410"/>
      <c r="CL410"/>
      <c r="CM410"/>
      <c r="CN410"/>
    </row>
    <row r="411" spans="14:92" ht="11.25" customHeight="1" x14ac:dyDescent="0.2">
      <c r="N411"/>
      <c r="O411"/>
      <c r="P411"/>
      <c r="Q411"/>
      <c r="R411"/>
      <c r="S411"/>
      <c r="T411"/>
      <c r="U411"/>
      <c r="V411"/>
      <c r="W411"/>
      <c r="X411"/>
      <c r="Y411"/>
      <c r="Z411"/>
      <c r="AA411"/>
      <c r="AB411"/>
      <c r="AC411"/>
      <c r="AD411"/>
      <c r="AE411" s="19">
        <v>320</v>
      </c>
      <c r="AG411" s="19">
        <f t="shared" si="206"/>
        <v>7</v>
      </c>
      <c r="AH411" s="19">
        <f t="shared" si="207"/>
        <v>1</v>
      </c>
      <c r="AI411" s="19">
        <f t="shared" si="208"/>
        <v>42.664999999999999</v>
      </c>
      <c r="AJ411" s="410">
        <f t="shared" si="209"/>
        <v>954.04</v>
      </c>
      <c r="AK411" s="19" t="e">
        <f t="shared" si="210"/>
        <v>#N/A</v>
      </c>
      <c r="AL411" s="19">
        <f t="shared" si="211"/>
        <v>754.04</v>
      </c>
      <c r="AM411" s="19" t="e">
        <f t="shared" si="212"/>
        <v>#N/A</v>
      </c>
      <c r="AN411" s="19">
        <f t="shared" si="213"/>
        <v>554.04</v>
      </c>
      <c r="AO411" s="19" t="e">
        <f t="shared" si="214"/>
        <v>#N/A</v>
      </c>
      <c r="AP411" s="19">
        <f t="shared" si="215"/>
        <v>354.04</v>
      </c>
      <c r="AQ411" s="19" t="e">
        <f t="shared" si="216"/>
        <v>#N/A</v>
      </c>
      <c r="AR411" s="19">
        <f t="shared" si="217"/>
        <v>154.04</v>
      </c>
      <c r="AS411" s="19" t="e">
        <f t="shared" si="218"/>
        <v>#N/A</v>
      </c>
      <c r="AT411"/>
      <c r="AU411"/>
      <c r="AV411"/>
      <c r="AW411"/>
      <c r="AX411"/>
      <c r="AY411"/>
      <c r="AZ411"/>
      <c r="CB411"/>
      <c r="CC411"/>
      <c r="CD411"/>
      <c r="CE411"/>
      <c r="CJ411"/>
      <c r="CK411"/>
      <c r="CL411"/>
      <c r="CM411"/>
      <c r="CN411"/>
    </row>
    <row r="412" spans="14:92" ht="11.25" customHeight="1" x14ac:dyDescent="0.2">
      <c r="N412"/>
      <c r="O412"/>
      <c r="P412"/>
      <c r="Q412"/>
      <c r="R412"/>
      <c r="S412"/>
      <c r="T412"/>
      <c r="U412"/>
      <c r="V412"/>
      <c r="W412"/>
      <c r="X412"/>
      <c r="Y412"/>
      <c r="Z412"/>
      <c r="AA412"/>
      <c r="AB412"/>
      <c r="AC412"/>
      <c r="AD412"/>
      <c r="AE412" s="19">
        <v>321</v>
      </c>
      <c r="AG412" s="19">
        <f t="shared" ref="AG412:AG475" si="219">2*ROUNDUP((MOD(AE412-1,$AB$94)+1)/2,0)-1</f>
        <v>9</v>
      </c>
      <c r="AH412" s="19">
        <f t="shared" ref="AH412:AH475" si="220">IF(AG412=AG413,-1,1)</f>
        <v>-1</v>
      </c>
      <c r="AI412" s="19">
        <f t="shared" ref="AI412:AI475" si="221">IF($BR$7,$AB$87*(0.5+INT((AE412-0.5)/$AB$94)),NA())</f>
        <v>42.664999999999999</v>
      </c>
      <c r="AJ412" s="410">
        <f t="shared" ref="AJ412:AJ475" si="222">IF($BP$11,$AM$87+$AB$90*AH412*AG412,NA())</f>
        <v>830.52</v>
      </c>
      <c r="AK412" s="19" t="e">
        <f t="shared" ref="AK412:AK475" si="223">IF($AG$83&lt;AE412,NA(),AI412)</f>
        <v>#N/A</v>
      </c>
      <c r="AL412" s="19">
        <f t="shared" ref="AL412:AL475" si="224">IF($BP$11,$AN$87+$AB$90*AH412*AG412,NA())</f>
        <v>630.52</v>
      </c>
      <c r="AM412" s="19" t="e">
        <f t="shared" ref="AM412:AM475" si="225">IF($AH$83&lt;AE412,NA(),AI412)</f>
        <v>#N/A</v>
      </c>
      <c r="AN412" s="19">
        <f t="shared" ref="AN412:AN475" si="226">IF($BP$11,$AO$87+$AB$90*AH412*AG412,NA())</f>
        <v>430.52</v>
      </c>
      <c r="AO412" s="19" t="e">
        <f t="shared" ref="AO412:AO475" si="227">IF($AI$83&lt;AE412,NA(),AI412)</f>
        <v>#N/A</v>
      </c>
      <c r="AP412" s="19">
        <f t="shared" ref="AP412:AP475" si="228">IF($BP$11,$AP$87+$AB$90*AH412*AG412,NA())</f>
        <v>230.51999999999998</v>
      </c>
      <c r="AQ412" s="19" t="e">
        <f t="shared" ref="AQ412:AQ475" si="229">IF($AJ$83&lt;AE412,NA(),AI412)</f>
        <v>#N/A</v>
      </c>
      <c r="AR412" s="19">
        <f t="shared" ref="AR412:AR475" si="230">IF($BP$11,$AQ$87+$AB$90*AH412*AG412,NA())</f>
        <v>30.519999999999996</v>
      </c>
      <c r="AS412" s="19" t="e">
        <f t="shared" ref="AS412:AS475" si="231">IF($AK$83&lt;AE412,NA(),AI412)</f>
        <v>#N/A</v>
      </c>
      <c r="AT412"/>
      <c r="AU412"/>
      <c r="AV412"/>
      <c r="AW412"/>
      <c r="AX412"/>
      <c r="AY412"/>
      <c r="AZ412"/>
      <c r="CB412"/>
      <c r="CC412"/>
      <c r="CD412"/>
      <c r="CE412"/>
      <c r="CJ412"/>
      <c r="CK412"/>
      <c r="CL412"/>
      <c r="CM412"/>
      <c r="CN412"/>
    </row>
    <row r="413" spans="14:92" ht="11.25" customHeight="1" x14ac:dyDescent="0.2">
      <c r="N413"/>
      <c r="O413"/>
      <c r="P413"/>
      <c r="Q413"/>
      <c r="R413"/>
      <c r="S413"/>
      <c r="T413"/>
      <c r="U413"/>
      <c r="V413"/>
      <c r="W413"/>
      <c r="X413"/>
      <c r="Y413"/>
      <c r="Z413"/>
      <c r="AA413"/>
      <c r="AB413"/>
      <c r="AC413"/>
      <c r="AD413"/>
      <c r="AE413" s="19">
        <v>322</v>
      </c>
      <c r="AG413" s="19">
        <f t="shared" si="219"/>
        <v>9</v>
      </c>
      <c r="AH413" s="19">
        <f t="shared" si="220"/>
        <v>1</v>
      </c>
      <c r="AI413" s="19">
        <f t="shared" si="221"/>
        <v>42.664999999999999</v>
      </c>
      <c r="AJ413" s="410">
        <f t="shared" si="222"/>
        <v>969.48</v>
      </c>
      <c r="AK413" s="19" t="e">
        <f t="shared" si="223"/>
        <v>#N/A</v>
      </c>
      <c r="AL413" s="19">
        <f t="shared" si="224"/>
        <v>769.48</v>
      </c>
      <c r="AM413" s="19" t="e">
        <f t="shared" si="225"/>
        <v>#N/A</v>
      </c>
      <c r="AN413" s="19">
        <f t="shared" si="226"/>
        <v>569.48</v>
      </c>
      <c r="AO413" s="19" t="e">
        <f t="shared" si="227"/>
        <v>#N/A</v>
      </c>
      <c r="AP413" s="19">
        <f t="shared" si="228"/>
        <v>369.48</v>
      </c>
      <c r="AQ413" s="19" t="e">
        <f t="shared" si="229"/>
        <v>#N/A</v>
      </c>
      <c r="AR413" s="19">
        <f t="shared" si="230"/>
        <v>169.48000000000002</v>
      </c>
      <c r="AS413" s="19" t="e">
        <f t="shared" si="231"/>
        <v>#N/A</v>
      </c>
      <c r="AT413"/>
      <c r="AU413"/>
      <c r="AV413"/>
      <c r="AW413"/>
      <c r="AX413"/>
      <c r="AY413"/>
      <c r="AZ413"/>
      <c r="CB413"/>
      <c r="CC413"/>
      <c r="CD413"/>
      <c r="CE413"/>
      <c r="CJ413"/>
      <c r="CK413"/>
      <c r="CL413"/>
      <c r="CM413"/>
      <c r="CN413"/>
    </row>
    <row r="414" spans="14:92" ht="11.25" customHeight="1" x14ac:dyDescent="0.2">
      <c r="N414"/>
      <c r="O414"/>
      <c r="P414"/>
      <c r="Q414"/>
      <c r="R414"/>
      <c r="S414"/>
      <c r="T414"/>
      <c r="U414"/>
      <c r="V414"/>
      <c r="W414"/>
      <c r="X414"/>
      <c r="Y414"/>
      <c r="Z414"/>
      <c r="AA414"/>
      <c r="AB414"/>
      <c r="AC414"/>
      <c r="AD414"/>
      <c r="AE414" s="19">
        <v>323</v>
      </c>
      <c r="AG414" s="19">
        <f t="shared" si="219"/>
        <v>11</v>
      </c>
      <c r="AH414" s="19">
        <f t="shared" si="220"/>
        <v>-1</v>
      </c>
      <c r="AI414" s="19">
        <f t="shared" si="221"/>
        <v>42.664999999999999</v>
      </c>
      <c r="AJ414" s="410">
        <f t="shared" si="222"/>
        <v>815.08</v>
      </c>
      <c r="AK414" s="19" t="e">
        <f t="shared" si="223"/>
        <v>#N/A</v>
      </c>
      <c r="AL414" s="19">
        <f t="shared" si="224"/>
        <v>615.08000000000004</v>
      </c>
      <c r="AM414" s="19" t="e">
        <f t="shared" si="225"/>
        <v>#N/A</v>
      </c>
      <c r="AN414" s="19">
        <f t="shared" si="226"/>
        <v>415.08</v>
      </c>
      <c r="AO414" s="19" t="e">
        <f t="shared" si="227"/>
        <v>#N/A</v>
      </c>
      <c r="AP414" s="19">
        <f t="shared" si="228"/>
        <v>215.07999999999998</v>
      </c>
      <c r="AQ414" s="19" t="e">
        <f t="shared" si="229"/>
        <v>#N/A</v>
      </c>
      <c r="AR414" s="19">
        <f t="shared" si="230"/>
        <v>15.079999999999998</v>
      </c>
      <c r="AS414" s="19" t="e">
        <f t="shared" si="231"/>
        <v>#N/A</v>
      </c>
      <c r="AT414"/>
      <c r="AU414"/>
      <c r="AV414"/>
      <c r="AW414"/>
      <c r="AX414"/>
      <c r="AY414"/>
      <c r="AZ414"/>
      <c r="CB414"/>
      <c r="CC414"/>
      <c r="CD414"/>
      <c r="CE414"/>
      <c r="CJ414"/>
      <c r="CK414"/>
      <c r="CL414"/>
      <c r="CM414"/>
      <c r="CN414"/>
    </row>
    <row r="415" spans="14:92" ht="11.25" customHeight="1" x14ac:dyDescent="0.2">
      <c r="N415"/>
      <c r="O415"/>
      <c r="P415"/>
      <c r="Q415"/>
      <c r="R415"/>
      <c r="S415"/>
      <c r="T415"/>
      <c r="U415"/>
      <c r="V415"/>
      <c r="W415"/>
      <c r="X415"/>
      <c r="Y415"/>
      <c r="Z415"/>
      <c r="AA415"/>
      <c r="AB415"/>
      <c r="AC415"/>
      <c r="AD415"/>
      <c r="AE415" s="19">
        <v>324</v>
      </c>
      <c r="AG415" s="19">
        <f t="shared" si="219"/>
        <v>11</v>
      </c>
      <c r="AH415" s="19">
        <f t="shared" si="220"/>
        <v>1</v>
      </c>
      <c r="AI415" s="19">
        <f t="shared" si="221"/>
        <v>42.664999999999999</v>
      </c>
      <c r="AJ415" s="410">
        <f t="shared" si="222"/>
        <v>984.92</v>
      </c>
      <c r="AK415" s="19" t="e">
        <f t="shared" si="223"/>
        <v>#N/A</v>
      </c>
      <c r="AL415" s="19">
        <f t="shared" si="224"/>
        <v>784.92</v>
      </c>
      <c r="AM415" s="19" t="e">
        <f t="shared" si="225"/>
        <v>#N/A</v>
      </c>
      <c r="AN415" s="19">
        <f t="shared" si="226"/>
        <v>584.91999999999996</v>
      </c>
      <c r="AO415" s="19" t="e">
        <f t="shared" si="227"/>
        <v>#N/A</v>
      </c>
      <c r="AP415" s="19">
        <f t="shared" si="228"/>
        <v>384.92</v>
      </c>
      <c r="AQ415" s="19" t="e">
        <f t="shared" si="229"/>
        <v>#N/A</v>
      </c>
      <c r="AR415" s="19">
        <f t="shared" si="230"/>
        <v>184.92000000000002</v>
      </c>
      <c r="AS415" s="19" t="e">
        <f t="shared" si="231"/>
        <v>#N/A</v>
      </c>
      <c r="AT415"/>
      <c r="AU415"/>
      <c r="AV415"/>
      <c r="AW415"/>
      <c r="AX415"/>
      <c r="AY415"/>
      <c r="AZ415"/>
      <c r="CB415"/>
      <c r="CC415"/>
      <c r="CD415"/>
      <c r="CE415"/>
      <c r="CJ415"/>
      <c r="CK415"/>
      <c r="CL415"/>
      <c r="CM415"/>
      <c r="CN415"/>
    </row>
    <row r="416" spans="14:92" ht="11.25" customHeight="1" x14ac:dyDescent="0.2">
      <c r="N416"/>
      <c r="O416"/>
      <c r="P416"/>
      <c r="Q416"/>
      <c r="R416"/>
      <c r="S416"/>
      <c r="T416"/>
      <c r="U416"/>
      <c r="V416"/>
      <c r="W416"/>
      <c r="X416"/>
      <c r="Y416"/>
      <c r="Z416"/>
      <c r="AA416"/>
      <c r="AB416"/>
      <c r="AC416"/>
      <c r="AD416"/>
      <c r="AE416" s="19">
        <v>325</v>
      </c>
      <c r="AG416" s="19">
        <f t="shared" si="219"/>
        <v>1</v>
      </c>
      <c r="AH416" s="19">
        <f t="shared" si="220"/>
        <v>-1</v>
      </c>
      <c r="AI416" s="19">
        <f t="shared" si="221"/>
        <v>44.275000000000006</v>
      </c>
      <c r="AJ416" s="410">
        <f t="shared" si="222"/>
        <v>892.28</v>
      </c>
      <c r="AK416" s="19" t="e">
        <f t="shared" si="223"/>
        <v>#N/A</v>
      </c>
      <c r="AL416" s="19">
        <f t="shared" si="224"/>
        <v>692.28</v>
      </c>
      <c r="AM416" s="19" t="e">
        <f t="shared" si="225"/>
        <v>#N/A</v>
      </c>
      <c r="AN416" s="19">
        <f t="shared" si="226"/>
        <v>492.28</v>
      </c>
      <c r="AO416" s="19" t="e">
        <f t="shared" si="227"/>
        <v>#N/A</v>
      </c>
      <c r="AP416" s="19">
        <f t="shared" si="228"/>
        <v>292.27999999999997</v>
      </c>
      <c r="AQ416" s="19" t="e">
        <f t="shared" si="229"/>
        <v>#N/A</v>
      </c>
      <c r="AR416" s="19">
        <f t="shared" si="230"/>
        <v>92.28</v>
      </c>
      <c r="AS416" s="19" t="e">
        <f t="shared" si="231"/>
        <v>#N/A</v>
      </c>
      <c r="AT416"/>
      <c r="AU416"/>
      <c r="AV416"/>
      <c r="AW416"/>
      <c r="AX416"/>
      <c r="AY416"/>
      <c r="AZ416"/>
      <c r="CB416"/>
      <c r="CC416"/>
      <c r="CD416"/>
      <c r="CE416"/>
      <c r="CJ416"/>
      <c r="CK416"/>
      <c r="CL416"/>
      <c r="CM416"/>
      <c r="CN416"/>
    </row>
    <row r="417" spans="14:92" ht="11.25" customHeight="1" x14ac:dyDescent="0.2">
      <c r="N417"/>
      <c r="O417"/>
      <c r="P417"/>
      <c r="Q417"/>
      <c r="R417"/>
      <c r="S417"/>
      <c r="T417"/>
      <c r="U417"/>
      <c r="V417"/>
      <c r="W417"/>
      <c r="X417"/>
      <c r="Y417"/>
      <c r="Z417"/>
      <c r="AA417"/>
      <c r="AB417"/>
      <c r="AC417"/>
      <c r="AD417"/>
      <c r="AE417" s="19">
        <v>326</v>
      </c>
      <c r="AG417" s="19">
        <f t="shared" si="219"/>
        <v>1</v>
      </c>
      <c r="AH417" s="19">
        <f t="shared" si="220"/>
        <v>1</v>
      </c>
      <c r="AI417" s="19">
        <f t="shared" si="221"/>
        <v>44.275000000000006</v>
      </c>
      <c r="AJ417" s="410">
        <f t="shared" si="222"/>
        <v>907.72</v>
      </c>
      <c r="AK417" s="19" t="e">
        <f t="shared" si="223"/>
        <v>#N/A</v>
      </c>
      <c r="AL417" s="19">
        <f t="shared" si="224"/>
        <v>707.72</v>
      </c>
      <c r="AM417" s="19" t="e">
        <f t="shared" si="225"/>
        <v>#N/A</v>
      </c>
      <c r="AN417" s="19">
        <f t="shared" si="226"/>
        <v>507.72</v>
      </c>
      <c r="AO417" s="19" t="e">
        <f t="shared" si="227"/>
        <v>#N/A</v>
      </c>
      <c r="AP417" s="19">
        <f t="shared" si="228"/>
        <v>307.72000000000003</v>
      </c>
      <c r="AQ417" s="19" t="e">
        <f t="shared" si="229"/>
        <v>#N/A</v>
      </c>
      <c r="AR417" s="19">
        <f t="shared" si="230"/>
        <v>107.72</v>
      </c>
      <c r="AS417" s="19" t="e">
        <f t="shared" si="231"/>
        <v>#N/A</v>
      </c>
      <c r="AT417"/>
      <c r="AU417"/>
      <c r="AV417"/>
      <c r="AW417"/>
      <c r="AX417"/>
      <c r="AY417"/>
      <c r="AZ417"/>
      <c r="CB417"/>
      <c r="CC417"/>
      <c r="CD417"/>
      <c r="CE417"/>
      <c r="CJ417"/>
      <c r="CK417"/>
      <c r="CL417"/>
      <c r="CM417"/>
      <c r="CN417"/>
    </row>
    <row r="418" spans="14:92" ht="11.25" customHeight="1" x14ac:dyDescent="0.2">
      <c r="N418"/>
      <c r="O418"/>
      <c r="P418"/>
      <c r="Q418"/>
      <c r="R418"/>
      <c r="S418"/>
      <c r="T418"/>
      <c r="U418"/>
      <c r="V418"/>
      <c r="W418"/>
      <c r="X418"/>
      <c r="Y418"/>
      <c r="Z418"/>
      <c r="AA418"/>
      <c r="AB418"/>
      <c r="AC418"/>
      <c r="AD418"/>
      <c r="AE418" s="19">
        <v>327</v>
      </c>
      <c r="AG418" s="19">
        <f t="shared" si="219"/>
        <v>3</v>
      </c>
      <c r="AH418" s="19">
        <f t="shared" si="220"/>
        <v>-1</v>
      </c>
      <c r="AI418" s="19">
        <f t="shared" si="221"/>
        <v>44.275000000000006</v>
      </c>
      <c r="AJ418" s="410">
        <f t="shared" si="222"/>
        <v>876.84</v>
      </c>
      <c r="AK418" s="19" t="e">
        <f t="shared" si="223"/>
        <v>#N/A</v>
      </c>
      <c r="AL418" s="19">
        <f t="shared" si="224"/>
        <v>676.84</v>
      </c>
      <c r="AM418" s="19" t="e">
        <f t="shared" si="225"/>
        <v>#N/A</v>
      </c>
      <c r="AN418" s="19">
        <f t="shared" si="226"/>
        <v>476.84</v>
      </c>
      <c r="AO418" s="19" t="e">
        <f t="shared" si="227"/>
        <v>#N/A</v>
      </c>
      <c r="AP418" s="19">
        <f t="shared" si="228"/>
        <v>276.83999999999997</v>
      </c>
      <c r="AQ418" s="19" t="e">
        <f t="shared" si="229"/>
        <v>#N/A</v>
      </c>
      <c r="AR418" s="19">
        <f t="shared" si="230"/>
        <v>76.84</v>
      </c>
      <c r="AS418" s="19" t="e">
        <f t="shared" si="231"/>
        <v>#N/A</v>
      </c>
      <c r="AT418"/>
      <c r="AU418"/>
      <c r="AV418"/>
      <c r="AW418"/>
      <c r="AX418"/>
      <c r="AY418"/>
      <c r="AZ418"/>
      <c r="CB418"/>
      <c r="CC418"/>
      <c r="CD418"/>
      <c r="CE418"/>
      <c r="CJ418"/>
      <c r="CK418"/>
      <c r="CL418"/>
      <c r="CM418"/>
      <c r="CN418"/>
    </row>
    <row r="419" spans="14:92" ht="11.25" customHeight="1" x14ac:dyDescent="0.2">
      <c r="N419"/>
      <c r="O419"/>
      <c r="P419"/>
      <c r="Q419"/>
      <c r="R419"/>
      <c r="S419"/>
      <c r="T419"/>
      <c r="U419"/>
      <c r="V419"/>
      <c r="W419"/>
      <c r="X419"/>
      <c r="Y419"/>
      <c r="Z419"/>
      <c r="AA419"/>
      <c r="AB419"/>
      <c r="AC419"/>
      <c r="AD419"/>
      <c r="AE419" s="19">
        <v>328</v>
      </c>
      <c r="AG419" s="19">
        <f t="shared" si="219"/>
        <v>3</v>
      </c>
      <c r="AH419" s="19">
        <f t="shared" si="220"/>
        <v>1</v>
      </c>
      <c r="AI419" s="19">
        <f t="shared" si="221"/>
        <v>44.275000000000006</v>
      </c>
      <c r="AJ419" s="410">
        <f t="shared" si="222"/>
        <v>923.16</v>
      </c>
      <c r="AK419" s="19" t="e">
        <f t="shared" si="223"/>
        <v>#N/A</v>
      </c>
      <c r="AL419" s="19">
        <f t="shared" si="224"/>
        <v>723.16</v>
      </c>
      <c r="AM419" s="19" t="e">
        <f t="shared" si="225"/>
        <v>#N/A</v>
      </c>
      <c r="AN419" s="19">
        <f t="shared" si="226"/>
        <v>523.16</v>
      </c>
      <c r="AO419" s="19" t="e">
        <f t="shared" si="227"/>
        <v>#N/A</v>
      </c>
      <c r="AP419" s="19">
        <f t="shared" si="228"/>
        <v>323.16000000000003</v>
      </c>
      <c r="AQ419" s="19" t="e">
        <f t="shared" si="229"/>
        <v>#N/A</v>
      </c>
      <c r="AR419" s="19">
        <f t="shared" si="230"/>
        <v>123.16</v>
      </c>
      <c r="AS419" s="19" t="e">
        <f t="shared" si="231"/>
        <v>#N/A</v>
      </c>
      <c r="AT419"/>
      <c r="AU419"/>
      <c r="AV419"/>
      <c r="AW419"/>
      <c r="AX419"/>
      <c r="AY419"/>
      <c r="AZ419"/>
      <c r="CB419"/>
      <c r="CC419"/>
      <c r="CD419"/>
      <c r="CE419"/>
      <c r="CJ419"/>
      <c r="CK419"/>
      <c r="CL419"/>
      <c r="CM419"/>
      <c r="CN419"/>
    </row>
    <row r="420" spans="14:92" ht="11.25" customHeight="1" x14ac:dyDescent="0.2">
      <c r="N420"/>
      <c r="O420"/>
      <c r="P420"/>
      <c r="Q420"/>
      <c r="R420"/>
      <c r="S420"/>
      <c r="T420"/>
      <c r="U420"/>
      <c r="V420"/>
      <c r="W420"/>
      <c r="X420"/>
      <c r="Y420"/>
      <c r="Z420"/>
      <c r="AA420"/>
      <c r="AB420"/>
      <c r="AC420"/>
      <c r="AD420"/>
      <c r="AE420" s="19">
        <v>329</v>
      </c>
      <c r="AG420" s="19">
        <f t="shared" si="219"/>
        <v>5</v>
      </c>
      <c r="AH420" s="19">
        <f t="shared" si="220"/>
        <v>-1</v>
      </c>
      <c r="AI420" s="19">
        <f t="shared" si="221"/>
        <v>44.275000000000006</v>
      </c>
      <c r="AJ420" s="410">
        <f t="shared" si="222"/>
        <v>861.4</v>
      </c>
      <c r="AK420" s="19" t="e">
        <f t="shared" si="223"/>
        <v>#N/A</v>
      </c>
      <c r="AL420" s="19">
        <f t="shared" si="224"/>
        <v>661.4</v>
      </c>
      <c r="AM420" s="19" t="e">
        <f t="shared" si="225"/>
        <v>#N/A</v>
      </c>
      <c r="AN420" s="19">
        <f t="shared" si="226"/>
        <v>461.4</v>
      </c>
      <c r="AO420" s="19" t="e">
        <f t="shared" si="227"/>
        <v>#N/A</v>
      </c>
      <c r="AP420" s="19">
        <f t="shared" si="228"/>
        <v>261.39999999999998</v>
      </c>
      <c r="AQ420" s="19" t="e">
        <f t="shared" si="229"/>
        <v>#N/A</v>
      </c>
      <c r="AR420" s="19">
        <f t="shared" si="230"/>
        <v>61.4</v>
      </c>
      <c r="AS420" s="19" t="e">
        <f t="shared" si="231"/>
        <v>#N/A</v>
      </c>
      <c r="AT420"/>
      <c r="AU420"/>
      <c r="AV420"/>
      <c r="AW420"/>
      <c r="AX420"/>
      <c r="AY420"/>
      <c r="AZ420"/>
      <c r="CB420"/>
      <c r="CC420"/>
      <c r="CD420"/>
      <c r="CE420"/>
      <c r="CJ420"/>
      <c r="CK420"/>
      <c r="CL420"/>
      <c r="CM420"/>
      <c r="CN420"/>
    </row>
    <row r="421" spans="14:92" ht="11.25" customHeight="1" x14ac:dyDescent="0.2">
      <c r="N421"/>
      <c r="O421"/>
      <c r="P421"/>
      <c r="Q421"/>
      <c r="R421"/>
      <c r="S421"/>
      <c r="T421"/>
      <c r="U421"/>
      <c r="V421"/>
      <c r="W421"/>
      <c r="X421"/>
      <c r="Y421"/>
      <c r="Z421"/>
      <c r="AA421"/>
      <c r="AB421"/>
      <c r="AC421"/>
      <c r="AD421"/>
      <c r="AE421" s="19">
        <v>330</v>
      </c>
      <c r="AG421" s="19">
        <f t="shared" si="219"/>
        <v>5</v>
      </c>
      <c r="AH421" s="19">
        <f t="shared" si="220"/>
        <v>1</v>
      </c>
      <c r="AI421" s="19">
        <f t="shared" si="221"/>
        <v>44.275000000000006</v>
      </c>
      <c r="AJ421" s="410">
        <f t="shared" si="222"/>
        <v>938.6</v>
      </c>
      <c r="AK421" s="19" t="e">
        <f t="shared" si="223"/>
        <v>#N/A</v>
      </c>
      <c r="AL421" s="19">
        <f t="shared" si="224"/>
        <v>738.6</v>
      </c>
      <c r="AM421" s="19" t="e">
        <f t="shared" si="225"/>
        <v>#N/A</v>
      </c>
      <c r="AN421" s="19">
        <f t="shared" si="226"/>
        <v>538.6</v>
      </c>
      <c r="AO421" s="19" t="e">
        <f t="shared" si="227"/>
        <v>#N/A</v>
      </c>
      <c r="AP421" s="19">
        <f t="shared" si="228"/>
        <v>338.6</v>
      </c>
      <c r="AQ421" s="19" t="e">
        <f t="shared" si="229"/>
        <v>#N/A</v>
      </c>
      <c r="AR421" s="19">
        <f t="shared" si="230"/>
        <v>138.6</v>
      </c>
      <c r="AS421" s="19" t="e">
        <f t="shared" si="231"/>
        <v>#N/A</v>
      </c>
      <c r="AT421"/>
      <c r="AU421"/>
      <c r="AV421"/>
      <c r="AW421"/>
      <c r="AX421"/>
      <c r="AY421"/>
      <c r="AZ421"/>
      <c r="CB421"/>
      <c r="CC421"/>
      <c r="CD421"/>
      <c r="CE421"/>
      <c r="CJ421"/>
      <c r="CK421"/>
      <c r="CL421"/>
      <c r="CM421"/>
      <c r="CN421"/>
    </row>
    <row r="422" spans="14:92" ht="11.25" customHeight="1" x14ac:dyDescent="0.2">
      <c r="N422"/>
      <c r="O422"/>
      <c r="P422"/>
      <c r="Q422"/>
      <c r="R422"/>
      <c r="S422"/>
      <c r="T422"/>
      <c r="U422"/>
      <c r="V422"/>
      <c r="W422"/>
      <c r="X422"/>
      <c r="Y422"/>
      <c r="Z422"/>
      <c r="AA422"/>
      <c r="AB422"/>
      <c r="AC422"/>
      <c r="AD422"/>
      <c r="AE422" s="19">
        <v>331</v>
      </c>
      <c r="AG422" s="19">
        <f t="shared" si="219"/>
        <v>7</v>
      </c>
      <c r="AH422" s="19">
        <f t="shared" si="220"/>
        <v>-1</v>
      </c>
      <c r="AI422" s="19">
        <f t="shared" si="221"/>
        <v>44.275000000000006</v>
      </c>
      <c r="AJ422" s="410">
        <f t="shared" si="222"/>
        <v>845.96</v>
      </c>
      <c r="AK422" s="19" t="e">
        <f t="shared" si="223"/>
        <v>#N/A</v>
      </c>
      <c r="AL422" s="19">
        <f t="shared" si="224"/>
        <v>645.96</v>
      </c>
      <c r="AM422" s="19" t="e">
        <f t="shared" si="225"/>
        <v>#N/A</v>
      </c>
      <c r="AN422" s="19">
        <f t="shared" si="226"/>
        <v>445.96</v>
      </c>
      <c r="AO422" s="19" t="e">
        <f t="shared" si="227"/>
        <v>#N/A</v>
      </c>
      <c r="AP422" s="19">
        <f t="shared" si="228"/>
        <v>245.96</v>
      </c>
      <c r="AQ422" s="19" t="e">
        <f t="shared" si="229"/>
        <v>#N/A</v>
      </c>
      <c r="AR422" s="19">
        <f t="shared" si="230"/>
        <v>45.96</v>
      </c>
      <c r="AS422" s="19" t="e">
        <f t="shared" si="231"/>
        <v>#N/A</v>
      </c>
      <c r="AT422"/>
      <c r="AU422"/>
      <c r="AV422"/>
      <c r="AW422"/>
      <c r="AX422"/>
      <c r="AY422"/>
      <c r="AZ422"/>
      <c r="CB422"/>
      <c r="CC422"/>
      <c r="CD422"/>
      <c r="CE422"/>
      <c r="CJ422"/>
      <c r="CK422"/>
      <c r="CL422"/>
      <c r="CM422"/>
      <c r="CN422"/>
    </row>
    <row r="423" spans="14:92" ht="11.25" customHeight="1" x14ac:dyDescent="0.2">
      <c r="N423"/>
      <c r="O423"/>
      <c r="P423"/>
      <c r="Q423"/>
      <c r="R423"/>
      <c r="S423"/>
      <c r="T423"/>
      <c r="U423"/>
      <c r="V423"/>
      <c r="W423"/>
      <c r="X423"/>
      <c r="Y423"/>
      <c r="Z423"/>
      <c r="AA423"/>
      <c r="AB423"/>
      <c r="AC423"/>
      <c r="AD423"/>
      <c r="AE423" s="19">
        <v>332</v>
      </c>
      <c r="AG423" s="19">
        <f t="shared" si="219"/>
        <v>7</v>
      </c>
      <c r="AH423" s="19">
        <f t="shared" si="220"/>
        <v>1</v>
      </c>
      <c r="AI423" s="19">
        <f t="shared" si="221"/>
        <v>44.275000000000006</v>
      </c>
      <c r="AJ423" s="410">
        <f t="shared" si="222"/>
        <v>954.04</v>
      </c>
      <c r="AK423" s="19" t="e">
        <f t="shared" si="223"/>
        <v>#N/A</v>
      </c>
      <c r="AL423" s="19">
        <f t="shared" si="224"/>
        <v>754.04</v>
      </c>
      <c r="AM423" s="19" t="e">
        <f t="shared" si="225"/>
        <v>#N/A</v>
      </c>
      <c r="AN423" s="19">
        <f t="shared" si="226"/>
        <v>554.04</v>
      </c>
      <c r="AO423" s="19" t="e">
        <f t="shared" si="227"/>
        <v>#N/A</v>
      </c>
      <c r="AP423" s="19">
        <f t="shared" si="228"/>
        <v>354.04</v>
      </c>
      <c r="AQ423" s="19" t="e">
        <f t="shared" si="229"/>
        <v>#N/A</v>
      </c>
      <c r="AR423" s="19">
        <f t="shared" si="230"/>
        <v>154.04</v>
      </c>
      <c r="AS423" s="19" t="e">
        <f t="shared" si="231"/>
        <v>#N/A</v>
      </c>
      <c r="AT423"/>
      <c r="AU423"/>
      <c r="AV423"/>
      <c r="AW423"/>
      <c r="AX423"/>
      <c r="AY423"/>
      <c r="AZ423"/>
      <c r="CB423"/>
      <c r="CC423"/>
      <c r="CD423"/>
      <c r="CE423"/>
      <c r="CJ423"/>
      <c r="CK423"/>
      <c r="CL423"/>
      <c r="CM423"/>
      <c r="CN423"/>
    </row>
    <row r="424" spans="14:92" ht="11.25" customHeight="1" x14ac:dyDescent="0.2">
      <c r="N424"/>
      <c r="O424"/>
      <c r="P424"/>
      <c r="Q424"/>
      <c r="R424"/>
      <c r="S424"/>
      <c r="T424"/>
      <c r="U424"/>
      <c r="V424"/>
      <c r="W424"/>
      <c r="X424"/>
      <c r="Y424"/>
      <c r="Z424"/>
      <c r="AA424"/>
      <c r="AB424"/>
      <c r="AC424"/>
      <c r="AD424"/>
      <c r="AE424" s="19">
        <v>333</v>
      </c>
      <c r="AG424" s="19">
        <f t="shared" si="219"/>
        <v>9</v>
      </c>
      <c r="AH424" s="19">
        <f t="shared" si="220"/>
        <v>-1</v>
      </c>
      <c r="AI424" s="19">
        <f t="shared" si="221"/>
        <v>44.275000000000006</v>
      </c>
      <c r="AJ424" s="410">
        <f t="shared" si="222"/>
        <v>830.52</v>
      </c>
      <c r="AK424" s="19" t="e">
        <f t="shared" si="223"/>
        <v>#N/A</v>
      </c>
      <c r="AL424" s="19">
        <f t="shared" si="224"/>
        <v>630.52</v>
      </c>
      <c r="AM424" s="19" t="e">
        <f t="shared" si="225"/>
        <v>#N/A</v>
      </c>
      <c r="AN424" s="19">
        <f t="shared" si="226"/>
        <v>430.52</v>
      </c>
      <c r="AO424" s="19" t="e">
        <f t="shared" si="227"/>
        <v>#N/A</v>
      </c>
      <c r="AP424" s="19">
        <f t="shared" si="228"/>
        <v>230.51999999999998</v>
      </c>
      <c r="AQ424" s="19" t="e">
        <f t="shared" si="229"/>
        <v>#N/A</v>
      </c>
      <c r="AR424" s="19">
        <f t="shared" si="230"/>
        <v>30.519999999999996</v>
      </c>
      <c r="AS424" s="19" t="e">
        <f t="shared" si="231"/>
        <v>#N/A</v>
      </c>
      <c r="AT424"/>
      <c r="AU424"/>
      <c r="AV424"/>
      <c r="AW424"/>
      <c r="AX424"/>
      <c r="AY424"/>
      <c r="AZ424"/>
      <c r="CB424"/>
      <c r="CC424"/>
      <c r="CD424"/>
      <c r="CE424"/>
      <c r="CJ424"/>
      <c r="CK424"/>
      <c r="CL424"/>
      <c r="CM424"/>
      <c r="CN424"/>
    </row>
    <row r="425" spans="14:92" ht="11.25" customHeight="1" x14ac:dyDescent="0.2">
      <c r="N425"/>
      <c r="O425"/>
      <c r="P425"/>
      <c r="Q425"/>
      <c r="R425"/>
      <c r="S425"/>
      <c r="T425"/>
      <c r="U425"/>
      <c r="V425"/>
      <c r="W425"/>
      <c r="X425"/>
      <c r="Y425"/>
      <c r="Z425"/>
      <c r="AA425"/>
      <c r="AB425"/>
      <c r="AC425"/>
      <c r="AD425"/>
      <c r="AE425" s="19">
        <v>334</v>
      </c>
      <c r="AG425" s="19">
        <f t="shared" si="219"/>
        <v>9</v>
      </c>
      <c r="AH425" s="19">
        <f t="shared" si="220"/>
        <v>1</v>
      </c>
      <c r="AI425" s="19">
        <f t="shared" si="221"/>
        <v>44.275000000000006</v>
      </c>
      <c r="AJ425" s="410">
        <f t="shared" si="222"/>
        <v>969.48</v>
      </c>
      <c r="AK425" s="19" t="e">
        <f t="shared" si="223"/>
        <v>#N/A</v>
      </c>
      <c r="AL425" s="19">
        <f t="shared" si="224"/>
        <v>769.48</v>
      </c>
      <c r="AM425" s="19" t="e">
        <f t="shared" si="225"/>
        <v>#N/A</v>
      </c>
      <c r="AN425" s="19">
        <f t="shared" si="226"/>
        <v>569.48</v>
      </c>
      <c r="AO425" s="19" t="e">
        <f t="shared" si="227"/>
        <v>#N/A</v>
      </c>
      <c r="AP425" s="19">
        <f t="shared" si="228"/>
        <v>369.48</v>
      </c>
      <c r="AQ425" s="19" t="e">
        <f t="shared" si="229"/>
        <v>#N/A</v>
      </c>
      <c r="AR425" s="19">
        <f t="shared" si="230"/>
        <v>169.48000000000002</v>
      </c>
      <c r="AS425" s="19" t="e">
        <f t="shared" si="231"/>
        <v>#N/A</v>
      </c>
      <c r="AT425"/>
      <c r="AU425"/>
      <c r="AV425"/>
      <c r="AW425"/>
      <c r="AX425"/>
      <c r="AY425"/>
      <c r="AZ425"/>
      <c r="CB425"/>
      <c r="CC425"/>
      <c r="CD425"/>
      <c r="CE425"/>
      <c r="CJ425"/>
      <c r="CK425"/>
      <c r="CL425"/>
      <c r="CM425"/>
      <c r="CN425"/>
    </row>
    <row r="426" spans="14:92" ht="11.25" customHeight="1" x14ac:dyDescent="0.2">
      <c r="N426"/>
      <c r="O426"/>
      <c r="P426"/>
      <c r="Q426"/>
      <c r="R426"/>
      <c r="S426"/>
      <c r="T426"/>
      <c r="U426"/>
      <c r="V426"/>
      <c r="W426"/>
      <c r="X426"/>
      <c r="Y426"/>
      <c r="Z426"/>
      <c r="AA426"/>
      <c r="AB426"/>
      <c r="AC426"/>
      <c r="AD426"/>
      <c r="AE426" s="19">
        <v>335</v>
      </c>
      <c r="AG426" s="19">
        <f t="shared" si="219"/>
        <v>11</v>
      </c>
      <c r="AH426" s="19">
        <f t="shared" si="220"/>
        <v>-1</v>
      </c>
      <c r="AI426" s="19">
        <f t="shared" si="221"/>
        <v>44.275000000000006</v>
      </c>
      <c r="AJ426" s="410">
        <f t="shared" si="222"/>
        <v>815.08</v>
      </c>
      <c r="AK426" s="19" t="e">
        <f t="shared" si="223"/>
        <v>#N/A</v>
      </c>
      <c r="AL426" s="19">
        <f t="shared" si="224"/>
        <v>615.08000000000004</v>
      </c>
      <c r="AM426" s="19" t="e">
        <f t="shared" si="225"/>
        <v>#N/A</v>
      </c>
      <c r="AN426" s="19">
        <f t="shared" si="226"/>
        <v>415.08</v>
      </c>
      <c r="AO426" s="19" t="e">
        <f t="shared" si="227"/>
        <v>#N/A</v>
      </c>
      <c r="AP426" s="19">
        <f t="shared" si="228"/>
        <v>215.07999999999998</v>
      </c>
      <c r="AQ426" s="19" t="e">
        <f t="shared" si="229"/>
        <v>#N/A</v>
      </c>
      <c r="AR426" s="19">
        <f t="shared" si="230"/>
        <v>15.079999999999998</v>
      </c>
      <c r="AS426" s="19" t="e">
        <f t="shared" si="231"/>
        <v>#N/A</v>
      </c>
      <c r="AT426"/>
      <c r="AU426"/>
      <c r="AV426"/>
      <c r="AW426"/>
      <c r="AX426"/>
      <c r="AY426"/>
      <c r="AZ426"/>
      <c r="CB426"/>
      <c r="CC426"/>
      <c r="CD426"/>
      <c r="CE426"/>
      <c r="CJ426"/>
      <c r="CK426"/>
      <c r="CL426"/>
      <c r="CM426"/>
      <c r="CN426"/>
    </row>
    <row r="427" spans="14:92" ht="11.25" customHeight="1" x14ac:dyDescent="0.2">
      <c r="N427"/>
      <c r="O427"/>
      <c r="P427"/>
      <c r="Q427"/>
      <c r="R427"/>
      <c r="S427"/>
      <c r="T427"/>
      <c r="U427"/>
      <c r="V427"/>
      <c r="W427"/>
      <c r="X427"/>
      <c r="Y427"/>
      <c r="Z427"/>
      <c r="AA427"/>
      <c r="AB427"/>
      <c r="AC427"/>
      <c r="AD427"/>
      <c r="AE427" s="19">
        <v>336</v>
      </c>
      <c r="AG427" s="19">
        <f t="shared" si="219"/>
        <v>11</v>
      </c>
      <c r="AH427" s="19">
        <f t="shared" si="220"/>
        <v>1</v>
      </c>
      <c r="AI427" s="19">
        <f t="shared" si="221"/>
        <v>44.275000000000006</v>
      </c>
      <c r="AJ427" s="410">
        <f t="shared" si="222"/>
        <v>984.92</v>
      </c>
      <c r="AK427" s="19" t="e">
        <f t="shared" si="223"/>
        <v>#N/A</v>
      </c>
      <c r="AL427" s="19">
        <f t="shared" si="224"/>
        <v>784.92</v>
      </c>
      <c r="AM427" s="19" t="e">
        <f t="shared" si="225"/>
        <v>#N/A</v>
      </c>
      <c r="AN427" s="19">
        <f t="shared" si="226"/>
        <v>584.91999999999996</v>
      </c>
      <c r="AO427" s="19" t="e">
        <f t="shared" si="227"/>
        <v>#N/A</v>
      </c>
      <c r="AP427" s="19">
        <f t="shared" si="228"/>
        <v>384.92</v>
      </c>
      <c r="AQ427" s="19" t="e">
        <f t="shared" si="229"/>
        <v>#N/A</v>
      </c>
      <c r="AR427" s="19">
        <f t="shared" si="230"/>
        <v>184.92000000000002</v>
      </c>
      <c r="AS427" s="19" t="e">
        <f t="shared" si="231"/>
        <v>#N/A</v>
      </c>
      <c r="AT427"/>
      <c r="AU427"/>
      <c r="AV427"/>
      <c r="AW427"/>
      <c r="AX427"/>
      <c r="AY427"/>
      <c r="AZ427"/>
      <c r="CB427"/>
      <c r="CC427"/>
      <c r="CD427"/>
      <c r="CE427"/>
      <c r="CJ427"/>
      <c r="CK427"/>
      <c r="CL427"/>
      <c r="CM427"/>
      <c r="CN427"/>
    </row>
    <row r="428" spans="14:92" ht="11.25" customHeight="1" x14ac:dyDescent="0.2">
      <c r="N428"/>
      <c r="O428"/>
      <c r="P428"/>
      <c r="Q428"/>
      <c r="R428"/>
      <c r="S428"/>
      <c r="T428"/>
      <c r="U428"/>
      <c r="V428"/>
      <c r="W428"/>
      <c r="X428"/>
      <c r="Y428"/>
      <c r="Z428"/>
      <c r="AA428"/>
      <c r="AB428"/>
      <c r="AC428"/>
      <c r="AD428"/>
      <c r="AE428" s="19">
        <v>337</v>
      </c>
      <c r="AG428" s="19">
        <f t="shared" si="219"/>
        <v>1</v>
      </c>
      <c r="AH428" s="19">
        <f t="shared" si="220"/>
        <v>-1</v>
      </c>
      <c r="AI428" s="19">
        <f t="shared" si="221"/>
        <v>45.885000000000005</v>
      </c>
      <c r="AJ428" s="410">
        <f t="shared" si="222"/>
        <v>892.28</v>
      </c>
      <c r="AK428" s="19" t="e">
        <f t="shared" si="223"/>
        <v>#N/A</v>
      </c>
      <c r="AL428" s="19">
        <f t="shared" si="224"/>
        <v>692.28</v>
      </c>
      <c r="AM428" s="19" t="e">
        <f t="shared" si="225"/>
        <v>#N/A</v>
      </c>
      <c r="AN428" s="19">
        <f t="shared" si="226"/>
        <v>492.28</v>
      </c>
      <c r="AO428" s="19" t="e">
        <f t="shared" si="227"/>
        <v>#N/A</v>
      </c>
      <c r="AP428" s="19">
        <f t="shared" si="228"/>
        <v>292.27999999999997</v>
      </c>
      <c r="AQ428" s="19" t="e">
        <f t="shared" si="229"/>
        <v>#N/A</v>
      </c>
      <c r="AR428" s="19">
        <f t="shared" si="230"/>
        <v>92.28</v>
      </c>
      <c r="AS428" s="19" t="e">
        <f t="shared" si="231"/>
        <v>#N/A</v>
      </c>
      <c r="AT428"/>
      <c r="AU428"/>
      <c r="AV428"/>
      <c r="AW428"/>
      <c r="AX428"/>
      <c r="AY428"/>
      <c r="AZ428"/>
      <c r="CB428"/>
      <c r="CC428"/>
      <c r="CD428"/>
      <c r="CE428"/>
      <c r="CJ428"/>
      <c r="CK428"/>
      <c r="CL428"/>
      <c r="CM428"/>
      <c r="CN428"/>
    </row>
    <row r="429" spans="14:92" ht="11.25" customHeight="1" x14ac:dyDescent="0.2">
      <c r="N429"/>
      <c r="O429"/>
      <c r="P429"/>
      <c r="Q429"/>
      <c r="R429"/>
      <c r="S429"/>
      <c r="T429"/>
      <c r="U429"/>
      <c r="V429"/>
      <c r="W429"/>
      <c r="X429"/>
      <c r="Y429"/>
      <c r="Z429"/>
      <c r="AA429"/>
      <c r="AB429"/>
      <c r="AC429"/>
      <c r="AD429"/>
      <c r="AE429" s="19">
        <v>338</v>
      </c>
      <c r="AG429" s="19">
        <f t="shared" si="219"/>
        <v>1</v>
      </c>
      <c r="AH429" s="19">
        <f t="shared" si="220"/>
        <v>1</v>
      </c>
      <c r="AI429" s="19">
        <f t="shared" si="221"/>
        <v>45.885000000000005</v>
      </c>
      <c r="AJ429" s="410">
        <f t="shared" si="222"/>
        <v>907.72</v>
      </c>
      <c r="AK429" s="19" t="e">
        <f t="shared" si="223"/>
        <v>#N/A</v>
      </c>
      <c r="AL429" s="19">
        <f t="shared" si="224"/>
        <v>707.72</v>
      </c>
      <c r="AM429" s="19" t="e">
        <f t="shared" si="225"/>
        <v>#N/A</v>
      </c>
      <c r="AN429" s="19">
        <f t="shared" si="226"/>
        <v>507.72</v>
      </c>
      <c r="AO429" s="19" t="e">
        <f t="shared" si="227"/>
        <v>#N/A</v>
      </c>
      <c r="AP429" s="19">
        <f t="shared" si="228"/>
        <v>307.72000000000003</v>
      </c>
      <c r="AQ429" s="19" t="e">
        <f t="shared" si="229"/>
        <v>#N/A</v>
      </c>
      <c r="AR429" s="19">
        <f t="shared" si="230"/>
        <v>107.72</v>
      </c>
      <c r="AS429" s="19" t="e">
        <f t="shared" si="231"/>
        <v>#N/A</v>
      </c>
      <c r="AT429"/>
      <c r="AU429"/>
      <c r="AV429"/>
      <c r="AW429"/>
      <c r="AX429"/>
      <c r="AY429"/>
      <c r="AZ429"/>
      <c r="CB429"/>
      <c r="CC429"/>
      <c r="CD429"/>
      <c r="CE429"/>
      <c r="CJ429"/>
      <c r="CK429"/>
      <c r="CL429"/>
      <c r="CM429"/>
      <c r="CN429"/>
    </row>
    <row r="430" spans="14:92" ht="11.25" customHeight="1" x14ac:dyDescent="0.2">
      <c r="N430"/>
      <c r="O430"/>
      <c r="P430"/>
      <c r="Q430"/>
      <c r="R430"/>
      <c r="S430"/>
      <c r="T430"/>
      <c r="U430"/>
      <c r="V430"/>
      <c r="W430"/>
      <c r="X430"/>
      <c r="Y430"/>
      <c r="Z430"/>
      <c r="AA430"/>
      <c r="AB430"/>
      <c r="AC430"/>
      <c r="AD430"/>
      <c r="AE430" s="19">
        <v>339</v>
      </c>
      <c r="AG430" s="19">
        <f t="shared" si="219"/>
        <v>3</v>
      </c>
      <c r="AH430" s="19">
        <f t="shared" si="220"/>
        <v>-1</v>
      </c>
      <c r="AI430" s="19">
        <f t="shared" si="221"/>
        <v>45.885000000000005</v>
      </c>
      <c r="AJ430" s="410">
        <f t="shared" si="222"/>
        <v>876.84</v>
      </c>
      <c r="AK430" s="19" t="e">
        <f t="shared" si="223"/>
        <v>#N/A</v>
      </c>
      <c r="AL430" s="19">
        <f t="shared" si="224"/>
        <v>676.84</v>
      </c>
      <c r="AM430" s="19" t="e">
        <f t="shared" si="225"/>
        <v>#N/A</v>
      </c>
      <c r="AN430" s="19">
        <f t="shared" si="226"/>
        <v>476.84</v>
      </c>
      <c r="AO430" s="19" t="e">
        <f t="shared" si="227"/>
        <v>#N/A</v>
      </c>
      <c r="AP430" s="19">
        <f t="shared" si="228"/>
        <v>276.83999999999997</v>
      </c>
      <c r="AQ430" s="19" t="e">
        <f t="shared" si="229"/>
        <v>#N/A</v>
      </c>
      <c r="AR430" s="19">
        <f t="shared" si="230"/>
        <v>76.84</v>
      </c>
      <c r="AS430" s="19" t="e">
        <f t="shared" si="231"/>
        <v>#N/A</v>
      </c>
      <c r="AT430"/>
      <c r="AU430"/>
      <c r="AV430"/>
      <c r="AW430"/>
      <c r="AX430"/>
      <c r="AY430"/>
      <c r="AZ430"/>
      <c r="CB430"/>
      <c r="CC430"/>
      <c r="CD430"/>
      <c r="CE430"/>
      <c r="CJ430"/>
      <c r="CK430"/>
      <c r="CL430"/>
      <c r="CM430"/>
      <c r="CN430"/>
    </row>
    <row r="431" spans="14:92" ht="11.25" customHeight="1" x14ac:dyDescent="0.2">
      <c r="N431"/>
      <c r="O431"/>
      <c r="P431"/>
      <c r="Q431"/>
      <c r="R431"/>
      <c r="S431"/>
      <c r="T431"/>
      <c r="U431"/>
      <c r="V431"/>
      <c r="W431"/>
      <c r="X431"/>
      <c r="Y431"/>
      <c r="Z431"/>
      <c r="AA431"/>
      <c r="AB431"/>
      <c r="AC431"/>
      <c r="AD431"/>
      <c r="AE431" s="19">
        <v>340</v>
      </c>
      <c r="AG431" s="19">
        <f t="shared" si="219"/>
        <v>3</v>
      </c>
      <c r="AH431" s="19">
        <f t="shared" si="220"/>
        <v>1</v>
      </c>
      <c r="AI431" s="19">
        <f t="shared" si="221"/>
        <v>45.885000000000005</v>
      </c>
      <c r="AJ431" s="410">
        <f t="shared" si="222"/>
        <v>923.16</v>
      </c>
      <c r="AK431" s="19" t="e">
        <f t="shared" si="223"/>
        <v>#N/A</v>
      </c>
      <c r="AL431" s="19">
        <f t="shared" si="224"/>
        <v>723.16</v>
      </c>
      <c r="AM431" s="19" t="e">
        <f t="shared" si="225"/>
        <v>#N/A</v>
      </c>
      <c r="AN431" s="19">
        <f t="shared" si="226"/>
        <v>523.16</v>
      </c>
      <c r="AO431" s="19" t="e">
        <f t="shared" si="227"/>
        <v>#N/A</v>
      </c>
      <c r="AP431" s="19">
        <f t="shared" si="228"/>
        <v>323.16000000000003</v>
      </c>
      <c r="AQ431" s="19" t="e">
        <f t="shared" si="229"/>
        <v>#N/A</v>
      </c>
      <c r="AR431" s="19">
        <f t="shared" si="230"/>
        <v>123.16</v>
      </c>
      <c r="AS431" s="19" t="e">
        <f t="shared" si="231"/>
        <v>#N/A</v>
      </c>
      <c r="AT431"/>
      <c r="AU431"/>
      <c r="AV431"/>
      <c r="AW431"/>
      <c r="AX431"/>
      <c r="AY431"/>
      <c r="AZ431"/>
      <c r="CB431"/>
      <c r="CC431"/>
      <c r="CD431"/>
      <c r="CE431"/>
      <c r="CJ431"/>
      <c r="CK431"/>
      <c r="CL431"/>
      <c r="CM431"/>
      <c r="CN431"/>
    </row>
    <row r="432" spans="14:92" ht="11.25" customHeight="1" x14ac:dyDescent="0.2">
      <c r="N432"/>
      <c r="O432"/>
      <c r="P432"/>
      <c r="Q432"/>
      <c r="R432"/>
      <c r="S432"/>
      <c r="T432"/>
      <c r="U432"/>
      <c r="V432"/>
      <c r="W432"/>
      <c r="X432"/>
      <c r="Y432"/>
      <c r="Z432"/>
      <c r="AA432"/>
      <c r="AB432"/>
      <c r="AC432"/>
      <c r="AD432"/>
      <c r="AE432" s="19">
        <v>341</v>
      </c>
      <c r="AG432" s="19">
        <f t="shared" si="219"/>
        <v>5</v>
      </c>
      <c r="AH432" s="19">
        <f t="shared" si="220"/>
        <v>-1</v>
      </c>
      <c r="AI432" s="19">
        <f t="shared" si="221"/>
        <v>45.885000000000005</v>
      </c>
      <c r="AJ432" s="410">
        <f t="shared" si="222"/>
        <v>861.4</v>
      </c>
      <c r="AK432" s="19" t="e">
        <f t="shared" si="223"/>
        <v>#N/A</v>
      </c>
      <c r="AL432" s="19">
        <f t="shared" si="224"/>
        <v>661.4</v>
      </c>
      <c r="AM432" s="19" t="e">
        <f t="shared" si="225"/>
        <v>#N/A</v>
      </c>
      <c r="AN432" s="19">
        <f t="shared" si="226"/>
        <v>461.4</v>
      </c>
      <c r="AO432" s="19" t="e">
        <f t="shared" si="227"/>
        <v>#N/A</v>
      </c>
      <c r="AP432" s="19">
        <f t="shared" si="228"/>
        <v>261.39999999999998</v>
      </c>
      <c r="AQ432" s="19" t="e">
        <f t="shared" si="229"/>
        <v>#N/A</v>
      </c>
      <c r="AR432" s="19">
        <f t="shared" si="230"/>
        <v>61.4</v>
      </c>
      <c r="AS432" s="19" t="e">
        <f t="shared" si="231"/>
        <v>#N/A</v>
      </c>
      <c r="AT432"/>
      <c r="AU432"/>
      <c r="AV432"/>
      <c r="AW432"/>
      <c r="AX432"/>
      <c r="AY432"/>
      <c r="AZ432"/>
      <c r="CB432"/>
      <c r="CC432"/>
      <c r="CD432"/>
      <c r="CE432"/>
      <c r="CJ432"/>
      <c r="CK432"/>
      <c r="CL432"/>
      <c r="CM432"/>
      <c r="CN432"/>
    </row>
    <row r="433" spans="14:92" ht="11.25" customHeight="1" x14ac:dyDescent="0.2">
      <c r="N433"/>
      <c r="O433"/>
      <c r="P433"/>
      <c r="Q433"/>
      <c r="R433"/>
      <c r="S433"/>
      <c r="T433"/>
      <c r="U433"/>
      <c r="V433"/>
      <c r="W433"/>
      <c r="X433"/>
      <c r="Y433"/>
      <c r="Z433"/>
      <c r="AA433"/>
      <c r="AB433"/>
      <c r="AC433"/>
      <c r="AD433"/>
      <c r="AE433" s="19">
        <v>342</v>
      </c>
      <c r="AG433" s="19">
        <f t="shared" si="219"/>
        <v>5</v>
      </c>
      <c r="AH433" s="19">
        <f t="shared" si="220"/>
        <v>1</v>
      </c>
      <c r="AI433" s="19">
        <f t="shared" si="221"/>
        <v>45.885000000000005</v>
      </c>
      <c r="AJ433" s="410">
        <f t="shared" si="222"/>
        <v>938.6</v>
      </c>
      <c r="AK433" s="19" t="e">
        <f t="shared" si="223"/>
        <v>#N/A</v>
      </c>
      <c r="AL433" s="19">
        <f t="shared" si="224"/>
        <v>738.6</v>
      </c>
      <c r="AM433" s="19" t="e">
        <f t="shared" si="225"/>
        <v>#N/A</v>
      </c>
      <c r="AN433" s="19">
        <f t="shared" si="226"/>
        <v>538.6</v>
      </c>
      <c r="AO433" s="19" t="e">
        <f t="shared" si="227"/>
        <v>#N/A</v>
      </c>
      <c r="AP433" s="19">
        <f t="shared" si="228"/>
        <v>338.6</v>
      </c>
      <c r="AQ433" s="19" t="e">
        <f t="shared" si="229"/>
        <v>#N/A</v>
      </c>
      <c r="AR433" s="19">
        <f t="shared" si="230"/>
        <v>138.6</v>
      </c>
      <c r="AS433" s="19" t="e">
        <f t="shared" si="231"/>
        <v>#N/A</v>
      </c>
      <c r="AT433"/>
      <c r="AU433"/>
      <c r="AV433"/>
      <c r="AW433"/>
      <c r="AX433"/>
      <c r="AY433"/>
      <c r="AZ433"/>
      <c r="CB433"/>
      <c r="CC433"/>
      <c r="CD433"/>
      <c r="CE433"/>
      <c r="CJ433"/>
      <c r="CK433"/>
      <c r="CL433"/>
      <c r="CM433"/>
      <c r="CN433"/>
    </row>
    <row r="434" spans="14:92" ht="11.25" customHeight="1" x14ac:dyDescent="0.2">
      <c r="N434"/>
      <c r="O434"/>
      <c r="P434"/>
      <c r="Q434"/>
      <c r="R434"/>
      <c r="S434"/>
      <c r="T434"/>
      <c r="U434"/>
      <c r="V434"/>
      <c r="W434"/>
      <c r="X434"/>
      <c r="Y434"/>
      <c r="Z434"/>
      <c r="AA434"/>
      <c r="AB434"/>
      <c r="AC434"/>
      <c r="AD434"/>
      <c r="AE434" s="19">
        <v>343</v>
      </c>
      <c r="AG434" s="19">
        <f t="shared" si="219"/>
        <v>7</v>
      </c>
      <c r="AH434" s="19">
        <f t="shared" si="220"/>
        <v>-1</v>
      </c>
      <c r="AI434" s="19">
        <f t="shared" si="221"/>
        <v>45.885000000000005</v>
      </c>
      <c r="AJ434" s="410">
        <f t="shared" si="222"/>
        <v>845.96</v>
      </c>
      <c r="AK434" s="19" t="e">
        <f t="shared" si="223"/>
        <v>#N/A</v>
      </c>
      <c r="AL434" s="19">
        <f t="shared" si="224"/>
        <v>645.96</v>
      </c>
      <c r="AM434" s="19" t="e">
        <f t="shared" si="225"/>
        <v>#N/A</v>
      </c>
      <c r="AN434" s="19">
        <f t="shared" si="226"/>
        <v>445.96</v>
      </c>
      <c r="AO434" s="19" t="e">
        <f t="shared" si="227"/>
        <v>#N/A</v>
      </c>
      <c r="AP434" s="19">
        <f t="shared" si="228"/>
        <v>245.96</v>
      </c>
      <c r="AQ434" s="19" t="e">
        <f t="shared" si="229"/>
        <v>#N/A</v>
      </c>
      <c r="AR434" s="19">
        <f t="shared" si="230"/>
        <v>45.96</v>
      </c>
      <c r="AS434" s="19" t="e">
        <f t="shared" si="231"/>
        <v>#N/A</v>
      </c>
      <c r="AT434"/>
      <c r="AU434"/>
      <c r="AV434"/>
      <c r="AW434"/>
      <c r="AX434"/>
      <c r="AY434"/>
      <c r="AZ434"/>
      <c r="CB434"/>
      <c r="CC434"/>
      <c r="CD434"/>
      <c r="CE434"/>
      <c r="CJ434"/>
      <c r="CK434"/>
      <c r="CL434"/>
      <c r="CM434"/>
      <c r="CN434"/>
    </row>
    <row r="435" spans="14:92" ht="11.25" customHeight="1" x14ac:dyDescent="0.2">
      <c r="N435"/>
      <c r="O435"/>
      <c r="P435"/>
      <c r="Q435"/>
      <c r="R435"/>
      <c r="S435"/>
      <c r="T435"/>
      <c r="U435"/>
      <c r="V435"/>
      <c r="W435"/>
      <c r="X435"/>
      <c r="Y435"/>
      <c r="Z435"/>
      <c r="AA435"/>
      <c r="AB435"/>
      <c r="AC435"/>
      <c r="AD435"/>
      <c r="AE435" s="19">
        <v>344</v>
      </c>
      <c r="AG435" s="19">
        <f t="shared" si="219"/>
        <v>7</v>
      </c>
      <c r="AH435" s="19">
        <f t="shared" si="220"/>
        <v>1</v>
      </c>
      <c r="AI435" s="19">
        <f t="shared" si="221"/>
        <v>45.885000000000005</v>
      </c>
      <c r="AJ435" s="410">
        <f t="shared" si="222"/>
        <v>954.04</v>
      </c>
      <c r="AK435" s="19" t="e">
        <f t="shared" si="223"/>
        <v>#N/A</v>
      </c>
      <c r="AL435" s="19">
        <f t="shared" si="224"/>
        <v>754.04</v>
      </c>
      <c r="AM435" s="19" t="e">
        <f t="shared" si="225"/>
        <v>#N/A</v>
      </c>
      <c r="AN435" s="19">
        <f t="shared" si="226"/>
        <v>554.04</v>
      </c>
      <c r="AO435" s="19" t="e">
        <f t="shared" si="227"/>
        <v>#N/A</v>
      </c>
      <c r="AP435" s="19">
        <f t="shared" si="228"/>
        <v>354.04</v>
      </c>
      <c r="AQ435" s="19" t="e">
        <f t="shared" si="229"/>
        <v>#N/A</v>
      </c>
      <c r="AR435" s="19">
        <f t="shared" si="230"/>
        <v>154.04</v>
      </c>
      <c r="AS435" s="19" t="e">
        <f t="shared" si="231"/>
        <v>#N/A</v>
      </c>
      <c r="AT435"/>
      <c r="AU435"/>
      <c r="AV435"/>
      <c r="AW435"/>
      <c r="AX435"/>
      <c r="AY435"/>
      <c r="AZ435"/>
      <c r="CB435"/>
      <c r="CC435"/>
      <c r="CD435"/>
      <c r="CE435"/>
      <c r="CJ435"/>
      <c r="CK435"/>
      <c r="CL435"/>
      <c r="CM435"/>
      <c r="CN435"/>
    </row>
    <row r="436" spans="14:92" ht="11.25" customHeight="1" x14ac:dyDescent="0.2">
      <c r="N436"/>
      <c r="O436"/>
      <c r="P436"/>
      <c r="Q436"/>
      <c r="R436"/>
      <c r="S436"/>
      <c r="T436"/>
      <c r="U436"/>
      <c r="V436"/>
      <c r="W436"/>
      <c r="X436"/>
      <c r="Y436"/>
      <c r="Z436"/>
      <c r="AA436"/>
      <c r="AB436"/>
      <c r="AC436"/>
      <c r="AD436"/>
      <c r="AE436" s="19">
        <v>345</v>
      </c>
      <c r="AG436" s="19">
        <f t="shared" si="219"/>
        <v>9</v>
      </c>
      <c r="AH436" s="19">
        <f t="shared" si="220"/>
        <v>-1</v>
      </c>
      <c r="AI436" s="19">
        <f t="shared" si="221"/>
        <v>45.885000000000005</v>
      </c>
      <c r="AJ436" s="410">
        <f t="shared" si="222"/>
        <v>830.52</v>
      </c>
      <c r="AK436" s="19" t="e">
        <f t="shared" si="223"/>
        <v>#N/A</v>
      </c>
      <c r="AL436" s="19">
        <f t="shared" si="224"/>
        <v>630.52</v>
      </c>
      <c r="AM436" s="19" t="e">
        <f t="shared" si="225"/>
        <v>#N/A</v>
      </c>
      <c r="AN436" s="19">
        <f t="shared" si="226"/>
        <v>430.52</v>
      </c>
      <c r="AO436" s="19" t="e">
        <f t="shared" si="227"/>
        <v>#N/A</v>
      </c>
      <c r="AP436" s="19">
        <f t="shared" si="228"/>
        <v>230.51999999999998</v>
      </c>
      <c r="AQ436" s="19" t="e">
        <f t="shared" si="229"/>
        <v>#N/A</v>
      </c>
      <c r="AR436" s="19">
        <f t="shared" si="230"/>
        <v>30.519999999999996</v>
      </c>
      <c r="AS436" s="19" t="e">
        <f t="shared" si="231"/>
        <v>#N/A</v>
      </c>
      <c r="AT436"/>
      <c r="AU436"/>
      <c r="AV436"/>
      <c r="AW436"/>
      <c r="AX436"/>
      <c r="AY436"/>
      <c r="AZ436"/>
      <c r="CB436"/>
      <c r="CC436"/>
      <c r="CD436"/>
      <c r="CE436"/>
      <c r="CJ436"/>
      <c r="CK436"/>
      <c r="CL436"/>
      <c r="CM436"/>
      <c r="CN436"/>
    </row>
    <row r="437" spans="14:92" ht="11.25" customHeight="1" x14ac:dyDescent="0.2">
      <c r="N437"/>
      <c r="O437"/>
      <c r="P437"/>
      <c r="Q437"/>
      <c r="R437"/>
      <c r="S437"/>
      <c r="T437"/>
      <c r="U437"/>
      <c r="V437"/>
      <c r="W437"/>
      <c r="X437"/>
      <c r="Y437"/>
      <c r="Z437"/>
      <c r="AA437"/>
      <c r="AB437"/>
      <c r="AC437"/>
      <c r="AD437"/>
      <c r="AE437" s="19">
        <v>346</v>
      </c>
      <c r="AG437" s="19">
        <f t="shared" si="219"/>
        <v>9</v>
      </c>
      <c r="AH437" s="19">
        <f t="shared" si="220"/>
        <v>1</v>
      </c>
      <c r="AI437" s="19">
        <f t="shared" si="221"/>
        <v>45.885000000000005</v>
      </c>
      <c r="AJ437" s="410">
        <f t="shared" si="222"/>
        <v>969.48</v>
      </c>
      <c r="AK437" s="19" t="e">
        <f t="shared" si="223"/>
        <v>#N/A</v>
      </c>
      <c r="AL437" s="19">
        <f t="shared" si="224"/>
        <v>769.48</v>
      </c>
      <c r="AM437" s="19" t="e">
        <f t="shared" si="225"/>
        <v>#N/A</v>
      </c>
      <c r="AN437" s="19">
        <f t="shared" si="226"/>
        <v>569.48</v>
      </c>
      <c r="AO437" s="19" t="e">
        <f t="shared" si="227"/>
        <v>#N/A</v>
      </c>
      <c r="AP437" s="19">
        <f t="shared" si="228"/>
        <v>369.48</v>
      </c>
      <c r="AQ437" s="19" t="e">
        <f t="shared" si="229"/>
        <v>#N/A</v>
      </c>
      <c r="AR437" s="19">
        <f t="shared" si="230"/>
        <v>169.48000000000002</v>
      </c>
      <c r="AS437" s="19" t="e">
        <f t="shared" si="231"/>
        <v>#N/A</v>
      </c>
      <c r="AT437"/>
      <c r="AU437"/>
      <c r="AV437"/>
      <c r="AW437"/>
      <c r="AX437"/>
      <c r="AY437"/>
      <c r="AZ437"/>
      <c r="CB437"/>
      <c r="CC437"/>
      <c r="CD437"/>
      <c r="CE437"/>
      <c r="CJ437"/>
      <c r="CK437"/>
      <c r="CL437"/>
      <c r="CM437"/>
      <c r="CN437"/>
    </row>
    <row r="438" spans="14:92" ht="11.25" customHeight="1" x14ac:dyDescent="0.2">
      <c r="N438"/>
      <c r="O438"/>
      <c r="P438"/>
      <c r="Q438"/>
      <c r="R438"/>
      <c r="S438"/>
      <c r="T438"/>
      <c r="U438"/>
      <c r="V438"/>
      <c r="W438"/>
      <c r="X438"/>
      <c r="Y438"/>
      <c r="Z438"/>
      <c r="AA438"/>
      <c r="AB438"/>
      <c r="AC438"/>
      <c r="AD438"/>
      <c r="AE438" s="19">
        <v>347</v>
      </c>
      <c r="AG438" s="19">
        <f t="shared" si="219"/>
        <v>11</v>
      </c>
      <c r="AH438" s="19">
        <f t="shared" si="220"/>
        <v>-1</v>
      </c>
      <c r="AI438" s="19">
        <f t="shared" si="221"/>
        <v>45.885000000000005</v>
      </c>
      <c r="AJ438" s="410">
        <f t="shared" si="222"/>
        <v>815.08</v>
      </c>
      <c r="AK438" s="19" t="e">
        <f t="shared" si="223"/>
        <v>#N/A</v>
      </c>
      <c r="AL438" s="19">
        <f t="shared" si="224"/>
        <v>615.08000000000004</v>
      </c>
      <c r="AM438" s="19" t="e">
        <f t="shared" si="225"/>
        <v>#N/A</v>
      </c>
      <c r="AN438" s="19">
        <f t="shared" si="226"/>
        <v>415.08</v>
      </c>
      <c r="AO438" s="19" t="e">
        <f t="shared" si="227"/>
        <v>#N/A</v>
      </c>
      <c r="AP438" s="19">
        <f t="shared" si="228"/>
        <v>215.07999999999998</v>
      </c>
      <c r="AQ438" s="19" t="e">
        <f t="shared" si="229"/>
        <v>#N/A</v>
      </c>
      <c r="AR438" s="19">
        <f t="shared" si="230"/>
        <v>15.079999999999998</v>
      </c>
      <c r="AS438" s="19" t="e">
        <f t="shared" si="231"/>
        <v>#N/A</v>
      </c>
      <c r="AT438"/>
      <c r="AU438"/>
      <c r="AV438"/>
      <c r="AW438"/>
      <c r="AX438"/>
      <c r="AY438"/>
      <c r="AZ438"/>
      <c r="CB438"/>
      <c r="CC438"/>
      <c r="CD438"/>
      <c r="CE438"/>
      <c r="CJ438"/>
      <c r="CK438"/>
      <c r="CL438"/>
      <c r="CM438"/>
      <c r="CN438"/>
    </row>
    <row r="439" spans="14:92" ht="11.25" customHeight="1" x14ac:dyDescent="0.2">
      <c r="N439"/>
      <c r="O439"/>
      <c r="P439"/>
      <c r="Q439"/>
      <c r="R439"/>
      <c r="S439"/>
      <c r="T439"/>
      <c r="U439"/>
      <c r="V439"/>
      <c r="W439"/>
      <c r="X439"/>
      <c r="Y439"/>
      <c r="Z439"/>
      <c r="AA439"/>
      <c r="AB439"/>
      <c r="AC439"/>
      <c r="AD439"/>
      <c r="AE439" s="19">
        <v>348</v>
      </c>
      <c r="AG439" s="19">
        <f t="shared" si="219"/>
        <v>11</v>
      </c>
      <c r="AH439" s="19">
        <f t="shared" si="220"/>
        <v>1</v>
      </c>
      <c r="AI439" s="19">
        <f t="shared" si="221"/>
        <v>45.885000000000005</v>
      </c>
      <c r="AJ439" s="410">
        <f t="shared" si="222"/>
        <v>984.92</v>
      </c>
      <c r="AK439" s="19" t="e">
        <f t="shared" si="223"/>
        <v>#N/A</v>
      </c>
      <c r="AL439" s="19">
        <f t="shared" si="224"/>
        <v>784.92</v>
      </c>
      <c r="AM439" s="19" t="e">
        <f t="shared" si="225"/>
        <v>#N/A</v>
      </c>
      <c r="AN439" s="19">
        <f t="shared" si="226"/>
        <v>584.91999999999996</v>
      </c>
      <c r="AO439" s="19" t="e">
        <f t="shared" si="227"/>
        <v>#N/A</v>
      </c>
      <c r="AP439" s="19">
        <f t="shared" si="228"/>
        <v>384.92</v>
      </c>
      <c r="AQ439" s="19" t="e">
        <f t="shared" si="229"/>
        <v>#N/A</v>
      </c>
      <c r="AR439" s="19">
        <f t="shared" si="230"/>
        <v>184.92000000000002</v>
      </c>
      <c r="AS439" s="19" t="e">
        <f t="shared" si="231"/>
        <v>#N/A</v>
      </c>
      <c r="AT439"/>
      <c r="AU439"/>
      <c r="AV439"/>
      <c r="AW439"/>
      <c r="AX439"/>
      <c r="AY439"/>
      <c r="AZ439"/>
      <c r="CB439"/>
      <c r="CC439"/>
      <c r="CD439"/>
      <c r="CE439"/>
      <c r="CJ439"/>
      <c r="CK439"/>
      <c r="CL439"/>
      <c r="CM439"/>
      <c r="CN439"/>
    </row>
    <row r="440" spans="14:92" ht="11.25" customHeight="1" x14ac:dyDescent="0.2">
      <c r="N440"/>
      <c r="O440"/>
      <c r="P440"/>
      <c r="Q440"/>
      <c r="R440"/>
      <c r="S440"/>
      <c r="T440"/>
      <c r="U440"/>
      <c r="V440"/>
      <c r="W440"/>
      <c r="X440"/>
      <c r="Y440"/>
      <c r="Z440"/>
      <c r="AA440"/>
      <c r="AB440"/>
      <c r="AC440"/>
      <c r="AD440"/>
      <c r="AE440" s="19">
        <v>349</v>
      </c>
      <c r="AG440" s="19">
        <f t="shared" si="219"/>
        <v>1</v>
      </c>
      <c r="AH440" s="19">
        <f t="shared" si="220"/>
        <v>-1</v>
      </c>
      <c r="AI440" s="19">
        <f t="shared" si="221"/>
        <v>47.495000000000005</v>
      </c>
      <c r="AJ440" s="410">
        <f t="shared" si="222"/>
        <v>892.28</v>
      </c>
      <c r="AK440" s="19" t="e">
        <f t="shared" si="223"/>
        <v>#N/A</v>
      </c>
      <c r="AL440" s="19">
        <f t="shared" si="224"/>
        <v>692.28</v>
      </c>
      <c r="AM440" s="19" t="e">
        <f t="shared" si="225"/>
        <v>#N/A</v>
      </c>
      <c r="AN440" s="19">
        <f t="shared" si="226"/>
        <v>492.28</v>
      </c>
      <c r="AO440" s="19" t="e">
        <f t="shared" si="227"/>
        <v>#N/A</v>
      </c>
      <c r="AP440" s="19">
        <f t="shared" si="228"/>
        <v>292.27999999999997</v>
      </c>
      <c r="AQ440" s="19" t="e">
        <f t="shared" si="229"/>
        <v>#N/A</v>
      </c>
      <c r="AR440" s="19">
        <f t="shared" si="230"/>
        <v>92.28</v>
      </c>
      <c r="AS440" s="19" t="e">
        <f t="shared" si="231"/>
        <v>#N/A</v>
      </c>
      <c r="AT440"/>
      <c r="AU440"/>
      <c r="AV440"/>
      <c r="AW440"/>
      <c r="AX440"/>
      <c r="AY440"/>
      <c r="AZ440"/>
      <c r="CB440"/>
      <c r="CC440"/>
      <c r="CD440"/>
      <c r="CE440"/>
      <c r="CJ440"/>
      <c r="CK440"/>
      <c r="CL440"/>
      <c r="CM440"/>
      <c r="CN440"/>
    </row>
    <row r="441" spans="14:92" ht="11.25" customHeight="1" x14ac:dyDescent="0.2">
      <c r="N441"/>
      <c r="O441"/>
      <c r="P441"/>
      <c r="Q441"/>
      <c r="R441"/>
      <c r="S441"/>
      <c r="T441"/>
      <c r="U441"/>
      <c r="V441"/>
      <c r="W441"/>
      <c r="X441"/>
      <c r="Y441"/>
      <c r="Z441"/>
      <c r="AA441"/>
      <c r="AB441"/>
      <c r="AC441"/>
      <c r="AD441"/>
      <c r="AE441" s="19">
        <v>350</v>
      </c>
      <c r="AG441" s="19">
        <f t="shared" si="219"/>
        <v>1</v>
      </c>
      <c r="AH441" s="19">
        <f t="shared" si="220"/>
        <v>1</v>
      </c>
      <c r="AI441" s="19">
        <f t="shared" si="221"/>
        <v>47.495000000000005</v>
      </c>
      <c r="AJ441" s="410">
        <f t="shared" si="222"/>
        <v>907.72</v>
      </c>
      <c r="AK441" s="19" t="e">
        <f t="shared" si="223"/>
        <v>#N/A</v>
      </c>
      <c r="AL441" s="19">
        <f t="shared" si="224"/>
        <v>707.72</v>
      </c>
      <c r="AM441" s="19" t="e">
        <f t="shared" si="225"/>
        <v>#N/A</v>
      </c>
      <c r="AN441" s="19">
        <f t="shared" si="226"/>
        <v>507.72</v>
      </c>
      <c r="AO441" s="19" t="e">
        <f t="shared" si="227"/>
        <v>#N/A</v>
      </c>
      <c r="AP441" s="19">
        <f t="shared" si="228"/>
        <v>307.72000000000003</v>
      </c>
      <c r="AQ441" s="19" t="e">
        <f t="shared" si="229"/>
        <v>#N/A</v>
      </c>
      <c r="AR441" s="19">
        <f t="shared" si="230"/>
        <v>107.72</v>
      </c>
      <c r="AS441" s="19" t="e">
        <f t="shared" si="231"/>
        <v>#N/A</v>
      </c>
      <c r="AT441"/>
      <c r="AU441"/>
      <c r="AV441"/>
      <c r="AW441"/>
      <c r="AX441"/>
      <c r="AY441"/>
      <c r="AZ441"/>
      <c r="CB441"/>
      <c r="CC441"/>
      <c r="CD441"/>
      <c r="CE441"/>
      <c r="CJ441"/>
      <c r="CK441"/>
      <c r="CL441"/>
      <c r="CM441"/>
      <c r="CN441"/>
    </row>
    <row r="442" spans="14:92" ht="11.25" customHeight="1" x14ac:dyDescent="0.2">
      <c r="N442"/>
      <c r="O442"/>
      <c r="P442"/>
      <c r="Q442"/>
      <c r="R442"/>
      <c r="S442"/>
      <c r="T442"/>
      <c r="U442"/>
      <c r="V442"/>
      <c r="W442"/>
      <c r="X442"/>
      <c r="Y442"/>
      <c r="Z442"/>
      <c r="AA442"/>
      <c r="AB442"/>
      <c r="AC442"/>
      <c r="AD442"/>
      <c r="AE442" s="19">
        <v>351</v>
      </c>
      <c r="AG442" s="19">
        <f t="shared" si="219"/>
        <v>3</v>
      </c>
      <c r="AH442" s="19">
        <f t="shared" si="220"/>
        <v>-1</v>
      </c>
      <c r="AI442" s="19">
        <f t="shared" si="221"/>
        <v>47.495000000000005</v>
      </c>
      <c r="AJ442" s="410">
        <f t="shared" si="222"/>
        <v>876.84</v>
      </c>
      <c r="AK442" s="19" t="e">
        <f t="shared" si="223"/>
        <v>#N/A</v>
      </c>
      <c r="AL442" s="19">
        <f t="shared" si="224"/>
        <v>676.84</v>
      </c>
      <c r="AM442" s="19" t="e">
        <f t="shared" si="225"/>
        <v>#N/A</v>
      </c>
      <c r="AN442" s="19">
        <f t="shared" si="226"/>
        <v>476.84</v>
      </c>
      <c r="AO442" s="19" t="e">
        <f t="shared" si="227"/>
        <v>#N/A</v>
      </c>
      <c r="AP442" s="19">
        <f t="shared" si="228"/>
        <v>276.83999999999997</v>
      </c>
      <c r="AQ442" s="19" t="e">
        <f t="shared" si="229"/>
        <v>#N/A</v>
      </c>
      <c r="AR442" s="19">
        <f t="shared" si="230"/>
        <v>76.84</v>
      </c>
      <c r="AS442" s="19" t="e">
        <f t="shared" si="231"/>
        <v>#N/A</v>
      </c>
      <c r="AT442"/>
      <c r="AU442"/>
      <c r="AV442"/>
      <c r="AW442"/>
      <c r="AX442"/>
      <c r="AY442"/>
      <c r="AZ442"/>
      <c r="CB442"/>
      <c r="CC442"/>
      <c r="CD442"/>
      <c r="CE442"/>
      <c r="CJ442"/>
      <c r="CK442"/>
      <c r="CL442"/>
      <c r="CM442"/>
      <c r="CN442"/>
    </row>
    <row r="443" spans="14:92" ht="11.25" customHeight="1" x14ac:dyDescent="0.2">
      <c r="N443"/>
      <c r="O443"/>
      <c r="P443"/>
      <c r="Q443"/>
      <c r="R443"/>
      <c r="S443"/>
      <c r="T443"/>
      <c r="U443"/>
      <c r="V443"/>
      <c r="W443"/>
      <c r="X443"/>
      <c r="Y443"/>
      <c r="Z443"/>
      <c r="AA443"/>
      <c r="AB443"/>
      <c r="AC443"/>
      <c r="AD443"/>
      <c r="AE443" s="19">
        <v>352</v>
      </c>
      <c r="AG443" s="19">
        <f t="shared" si="219"/>
        <v>3</v>
      </c>
      <c r="AH443" s="19">
        <f t="shared" si="220"/>
        <v>1</v>
      </c>
      <c r="AI443" s="19">
        <f t="shared" si="221"/>
        <v>47.495000000000005</v>
      </c>
      <c r="AJ443" s="410">
        <f t="shared" si="222"/>
        <v>923.16</v>
      </c>
      <c r="AK443" s="19" t="e">
        <f t="shared" si="223"/>
        <v>#N/A</v>
      </c>
      <c r="AL443" s="19">
        <f t="shared" si="224"/>
        <v>723.16</v>
      </c>
      <c r="AM443" s="19" t="e">
        <f t="shared" si="225"/>
        <v>#N/A</v>
      </c>
      <c r="AN443" s="19">
        <f t="shared" si="226"/>
        <v>523.16</v>
      </c>
      <c r="AO443" s="19" t="e">
        <f t="shared" si="227"/>
        <v>#N/A</v>
      </c>
      <c r="AP443" s="19">
        <f t="shared" si="228"/>
        <v>323.16000000000003</v>
      </c>
      <c r="AQ443" s="19" t="e">
        <f t="shared" si="229"/>
        <v>#N/A</v>
      </c>
      <c r="AR443" s="19">
        <f t="shared" si="230"/>
        <v>123.16</v>
      </c>
      <c r="AS443" s="19" t="e">
        <f t="shared" si="231"/>
        <v>#N/A</v>
      </c>
      <c r="AT443"/>
      <c r="AU443"/>
      <c r="AV443"/>
      <c r="AW443"/>
      <c r="AX443"/>
      <c r="AY443"/>
      <c r="AZ443"/>
      <c r="CB443"/>
      <c r="CC443"/>
      <c r="CD443"/>
      <c r="CE443"/>
      <c r="CJ443"/>
      <c r="CK443"/>
      <c r="CL443"/>
      <c r="CM443"/>
      <c r="CN443"/>
    </row>
    <row r="444" spans="14:92" ht="11.25" customHeight="1" x14ac:dyDescent="0.2">
      <c r="N444"/>
      <c r="O444"/>
      <c r="P444"/>
      <c r="Q444"/>
      <c r="R444"/>
      <c r="S444"/>
      <c r="T444"/>
      <c r="U444"/>
      <c r="V444"/>
      <c r="W444"/>
      <c r="X444"/>
      <c r="Y444"/>
      <c r="Z444"/>
      <c r="AA444"/>
      <c r="AB444"/>
      <c r="AC444"/>
      <c r="AD444"/>
      <c r="AE444" s="19">
        <v>353</v>
      </c>
      <c r="AG444" s="19">
        <f t="shared" si="219"/>
        <v>5</v>
      </c>
      <c r="AH444" s="19">
        <f t="shared" si="220"/>
        <v>-1</v>
      </c>
      <c r="AI444" s="19">
        <f t="shared" si="221"/>
        <v>47.495000000000005</v>
      </c>
      <c r="AJ444" s="410">
        <f t="shared" si="222"/>
        <v>861.4</v>
      </c>
      <c r="AK444" s="19" t="e">
        <f t="shared" si="223"/>
        <v>#N/A</v>
      </c>
      <c r="AL444" s="19">
        <f t="shared" si="224"/>
        <v>661.4</v>
      </c>
      <c r="AM444" s="19" t="e">
        <f t="shared" si="225"/>
        <v>#N/A</v>
      </c>
      <c r="AN444" s="19">
        <f t="shared" si="226"/>
        <v>461.4</v>
      </c>
      <c r="AO444" s="19" t="e">
        <f t="shared" si="227"/>
        <v>#N/A</v>
      </c>
      <c r="AP444" s="19">
        <f t="shared" si="228"/>
        <v>261.39999999999998</v>
      </c>
      <c r="AQ444" s="19" t="e">
        <f t="shared" si="229"/>
        <v>#N/A</v>
      </c>
      <c r="AR444" s="19">
        <f t="shared" si="230"/>
        <v>61.4</v>
      </c>
      <c r="AS444" s="19" t="e">
        <f t="shared" si="231"/>
        <v>#N/A</v>
      </c>
      <c r="AT444"/>
      <c r="AU444"/>
      <c r="AV444"/>
      <c r="AW444"/>
      <c r="AX444"/>
      <c r="AY444"/>
      <c r="AZ444"/>
      <c r="CB444"/>
      <c r="CC444"/>
      <c r="CD444"/>
      <c r="CE444"/>
      <c r="CJ444"/>
      <c r="CK444"/>
      <c r="CL444"/>
      <c r="CM444"/>
      <c r="CN444"/>
    </row>
    <row r="445" spans="14:92" ht="11.25" customHeight="1" x14ac:dyDescent="0.2">
      <c r="N445"/>
      <c r="O445"/>
      <c r="P445"/>
      <c r="Q445"/>
      <c r="R445"/>
      <c r="S445"/>
      <c r="T445"/>
      <c r="U445"/>
      <c r="V445"/>
      <c r="W445"/>
      <c r="X445"/>
      <c r="Y445"/>
      <c r="Z445"/>
      <c r="AA445"/>
      <c r="AB445"/>
      <c r="AC445"/>
      <c r="AD445"/>
      <c r="AE445" s="19">
        <v>354</v>
      </c>
      <c r="AG445" s="19">
        <f t="shared" si="219"/>
        <v>5</v>
      </c>
      <c r="AH445" s="19">
        <f t="shared" si="220"/>
        <v>1</v>
      </c>
      <c r="AI445" s="19">
        <f t="shared" si="221"/>
        <v>47.495000000000005</v>
      </c>
      <c r="AJ445" s="410">
        <f t="shared" si="222"/>
        <v>938.6</v>
      </c>
      <c r="AK445" s="19" t="e">
        <f t="shared" si="223"/>
        <v>#N/A</v>
      </c>
      <c r="AL445" s="19">
        <f t="shared" si="224"/>
        <v>738.6</v>
      </c>
      <c r="AM445" s="19" t="e">
        <f t="shared" si="225"/>
        <v>#N/A</v>
      </c>
      <c r="AN445" s="19">
        <f t="shared" si="226"/>
        <v>538.6</v>
      </c>
      <c r="AO445" s="19" t="e">
        <f t="shared" si="227"/>
        <v>#N/A</v>
      </c>
      <c r="AP445" s="19">
        <f t="shared" si="228"/>
        <v>338.6</v>
      </c>
      <c r="AQ445" s="19" t="e">
        <f t="shared" si="229"/>
        <v>#N/A</v>
      </c>
      <c r="AR445" s="19">
        <f t="shared" si="230"/>
        <v>138.6</v>
      </c>
      <c r="AS445" s="19" t="e">
        <f t="shared" si="231"/>
        <v>#N/A</v>
      </c>
      <c r="AT445"/>
      <c r="AU445"/>
      <c r="AV445"/>
      <c r="AW445"/>
      <c r="AX445"/>
      <c r="AY445"/>
      <c r="AZ445"/>
      <c r="CB445"/>
      <c r="CC445"/>
      <c r="CD445"/>
      <c r="CE445"/>
      <c r="CJ445"/>
      <c r="CK445"/>
      <c r="CL445"/>
      <c r="CM445"/>
      <c r="CN445"/>
    </row>
    <row r="446" spans="14:92" ht="11.25" customHeight="1" x14ac:dyDescent="0.2">
      <c r="N446"/>
      <c r="O446"/>
      <c r="P446"/>
      <c r="Q446"/>
      <c r="R446"/>
      <c r="S446"/>
      <c r="T446"/>
      <c r="U446"/>
      <c r="V446"/>
      <c r="W446"/>
      <c r="X446"/>
      <c r="Y446"/>
      <c r="Z446"/>
      <c r="AA446"/>
      <c r="AB446"/>
      <c r="AC446"/>
      <c r="AD446"/>
      <c r="AE446" s="19">
        <v>355</v>
      </c>
      <c r="AG446" s="19">
        <f t="shared" si="219"/>
        <v>7</v>
      </c>
      <c r="AH446" s="19">
        <f t="shared" si="220"/>
        <v>-1</v>
      </c>
      <c r="AI446" s="19">
        <f t="shared" si="221"/>
        <v>47.495000000000005</v>
      </c>
      <c r="AJ446" s="410">
        <f t="shared" si="222"/>
        <v>845.96</v>
      </c>
      <c r="AK446" s="19" t="e">
        <f t="shared" si="223"/>
        <v>#N/A</v>
      </c>
      <c r="AL446" s="19">
        <f t="shared" si="224"/>
        <v>645.96</v>
      </c>
      <c r="AM446" s="19" t="e">
        <f t="shared" si="225"/>
        <v>#N/A</v>
      </c>
      <c r="AN446" s="19">
        <f t="shared" si="226"/>
        <v>445.96</v>
      </c>
      <c r="AO446" s="19" t="e">
        <f t="shared" si="227"/>
        <v>#N/A</v>
      </c>
      <c r="AP446" s="19">
        <f t="shared" si="228"/>
        <v>245.96</v>
      </c>
      <c r="AQ446" s="19" t="e">
        <f t="shared" si="229"/>
        <v>#N/A</v>
      </c>
      <c r="AR446" s="19">
        <f t="shared" si="230"/>
        <v>45.96</v>
      </c>
      <c r="AS446" s="19" t="e">
        <f t="shared" si="231"/>
        <v>#N/A</v>
      </c>
      <c r="AT446"/>
      <c r="AU446"/>
      <c r="AV446"/>
      <c r="AW446"/>
      <c r="AX446"/>
      <c r="AY446"/>
      <c r="AZ446"/>
      <c r="CB446"/>
      <c r="CC446"/>
      <c r="CD446"/>
      <c r="CE446"/>
      <c r="CJ446"/>
      <c r="CK446"/>
      <c r="CL446"/>
      <c r="CM446"/>
      <c r="CN446"/>
    </row>
    <row r="447" spans="14:92" ht="11.25" customHeight="1" x14ac:dyDescent="0.2">
      <c r="N447"/>
      <c r="O447"/>
      <c r="P447"/>
      <c r="Q447"/>
      <c r="R447"/>
      <c r="S447"/>
      <c r="T447"/>
      <c r="U447"/>
      <c r="V447"/>
      <c r="W447"/>
      <c r="X447"/>
      <c r="Y447"/>
      <c r="Z447"/>
      <c r="AA447"/>
      <c r="AB447"/>
      <c r="AC447"/>
      <c r="AD447"/>
      <c r="AE447" s="19">
        <v>356</v>
      </c>
      <c r="AG447" s="19">
        <f t="shared" si="219"/>
        <v>7</v>
      </c>
      <c r="AH447" s="19">
        <f t="shared" si="220"/>
        <v>1</v>
      </c>
      <c r="AI447" s="19">
        <f t="shared" si="221"/>
        <v>47.495000000000005</v>
      </c>
      <c r="AJ447" s="410">
        <f t="shared" si="222"/>
        <v>954.04</v>
      </c>
      <c r="AK447" s="19" t="e">
        <f t="shared" si="223"/>
        <v>#N/A</v>
      </c>
      <c r="AL447" s="19">
        <f t="shared" si="224"/>
        <v>754.04</v>
      </c>
      <c r="AM447" s="19" t="e">
        <f t="shared" si="225"/>
        <v>#N/A</v>
      </c>
      <c r="AN447" s="19">
        <f t="shared" si="226"/>
        <v>554.04</v>
      </c>
      <c r="AO447" s="19" t="e">
        <f t="shared" si="227"/>
        <v>#N/A</v>
      </c>
      <c r="AP447" s="19">
        <f t="shared" si="228"/>
        <v>354.04</v>
      </c>
      <c r="AQ447" s="19" t="e">
        <f t="shared" si="229"/>
        <v>#N/A</v>
      </c>
      <c r="AR447" s="19">
        <f t="shared" si="230"/>
        <v>154.04</v>
      </c>
      <c r="AS447" s="19" t="e">
        <f t="shared" si="231"/>
        <v>#N/A</v>
      </c>
      <c r="AT447"/>
      <c r="AU447"/>
      <c r="AV447"/>
      <c r="AW447"/>
      <c r="AX447"/>
      <c r="AY447"/>
      <c r="AZ447"/>
      <c r="CB447"/>
      <c r="CC447"/>
      <c r="CD447"/>
      <c r="CE447"/>
      <c r="CJ447"/>
      <c r="CK447"/>
      <c r="CL447"/>
      <c r="CM447"/>
      <c r="CN447"/>
    </row>
    <row r="448" spans="14:92" ht="11.25" customHeight="1" x14ac:dyDescent="0.2">
      <c r="N448"/>
      <c r="O448"/>
      <c r="P448"/>
      <c r="Q448"/>
      <c r="R448"/>
      <c r="S448"/>
      <c r="T448"/>
      <c r="U448"/>
      <c r="V448"/>
      <c r="W448"/>
      <c r="X448"/>
      <c r="Y448"/>
      <c r="Z448"/>
      <c r="AA448"/>
      <c r="AB448"/>
      <c r="AC448"/>
      <c r="AD448"/>
      <c r="AE448" s="19">
        <v>357</v>
      </c>
      <c r="AG448" s="19">
        <f t="shared" si="219"/>
        <v>9</v>
      </c>
      <c r="AH448" s="19">
        <f t="shared" si="220"/>
        <v>-1</v>
      </c>
      <c r="AI448" s="19">
        <f t="shared" si="221"/>
        <v>47.495000000000005</v>
      </c>
      <c r="AJ448" s="410">
        <f t="shared" si="222"/>
        <v>830.52</v>
      </c>
      <c r="AK448" s="19" t="e">
        <f t="shared" si="223"/>
        <v>#N/A</v>
      </c>
      <c r="AL448" s="19">
        <f t="shared" si="224"/>
        <v>630.52</v>
      </c>
      <c r="AM448" s="19" t="e">
        <f t="shared" si="225"/>
        <v>#N/A</v>
      </c>
      <c r="AN448" s="19">
        <f t="shared" si="226"/>
        <v>430.52</v>
      </c>
      <c r="AO448" s="19" t="e">
        <f t="shared" si="227"/>
        <v>#N/A</v>
      </c>
      <c r="AP448" s="19">
        <f t="shared" si="228"/>
        <v>230.51999999999998</v>
      </c>
      <c r="AQ448" s="19" t="e">
        <f t="shared" si="229"/>
        <v>#N/A</v>
      </c>
      <c r="AR448" s="19">
        <f t="shared" si="230"/>
        <v>30.519999999999996</v>
      </c>
      <c r="AS448" s="19" t="e">
        <f t="shared" si="231"/>
        <v>#N/A</v>
      </c>
      <c r="AT448"/>
      <c r="AU448"/>
      <c r="AV448"/>
      <c r="AW448"/>
      <c r="AX448"/>
      <c r="AY448"/>
      <c r="AZ448"/>
      <c r="CB448"/>
      <c r="CC448"/>
      <c r="CD448"/>
      <c r="CE448"/>
      <c r="CJ448"/>
      <c r="CK448"/>
      <c r="CL448"/>
      <c r="CM448"/>
      <c r="CN448"/>
    </row>
    <row r="449" spans="14:92" ht="11.25" customHeight="1" x14ac:dyDescent="0.2">
      <c r="N449"/>
      <c r="O449"/>
      <c r="P449"/>
      <c r="Q449"/>
      <c r="R449"/>
      <c r="S449"/>
      <c r="T449"/>
      <c r="U449"/>
      <c r="V449"/>
      <c r="W449"/>
      <c r="X449"/>
      <c r="Y449"/>
      <c r="Z449"/>
      <c r="AA449"/>
      <c r="AB449"/>
      <c r="AC449"/>
      <c r="AD449"/>
      <c r="AE449" s="19">
        <v>358</v>
      </c>
      <c r="AG449" s="19">
        <f t="shared" si="219"/>
        <v>9</v>
      </c>
      <c r="AH449" s="19">
        <f t="shared" si="220"/>
        <v>1</v>
      </c>
      <c r="AI449" s="19">
        <f t="shared" si="221"/>
        <v>47.495000000000005</v>
      </c>
      <c r="AJ449" s="410">
        <f t="shared" si="222"/>
        <v>969.48</v>
      </c>
      <c r="AK449" s="19" t="e">
        <f t="shared" si="223"/>
        <v>#N/A</v>
      </c>
      <c r="AL449" s="19">
        <f t="shared" si="224"/>
        <v>769.48</v>
      </c>
      <c r="AM449" s="19" t="e">
        <f t="shared" si="225"/>
        <v>#N/A</v>
      </c>
      <c r="AN449" s="19">
        <f t="shared" si="226"/>
        <v>569.48</v>
      </c>
      <c r="AO449" s="19" t="e">
        <f t="shared" si="227"/>
        <v>#N/A</v>
      </c>
      <c r="AP449" s="19">
        <f t="shared" si="228"/>
        <v>369.48</v>
      </c>
      <c r="AQ449" s="19" t="e">
        <f t="shared" si="229"/>
        <v>#N/A</v>
      </c>
      <c r="AR449" s="19">
        <f t="shared" si="230"/>
        <v>169.48000000000002</v>
      </c>
      <c r="AS449" s="19" t="e">
        <f t="shared" si="231"/>
        <v>#N/A</v>
      </c>
      <c r="AT449"/>
      <c r="AU449"/>
      <c r="AV449"/>
      <c r="AW449"/>
      <c r="AX449"/>
      <c r="AY449"/>
      <c r="AZ449"/>
      <c r="CB449"/>
      <c r="CC449"/>
      <c r="CD449"/>
      <c r="CE449"/>
      <c r="CJ449"/>
      <c r="CK449"/>
      <c r="CL449"/>
      <c r="CM449"/>
      <c r="CN449"/>
    </row>
    <row r="450" spans="14:92" ht="11.25" customHeight="1" x14ac:dyDescent="0.2">
      <c r="N450"/>
      <c r="O450"/>
      <c r="P450"/>
      <c r="Q450"/>
      <c r="R450"/>
      <c r="S450"/>
      <c r="T450"/>
      <c r="U450"/>
      <c r="V450"/>
      <c r="W450"/>
      <c r="X450"/>
      <c r="Y450"/>
      <c r="Z450"/>
      <c r="AA450"/>
      <c r="AB450"/>
      <c r="AC450"/>
      <c r="AD450"/>
      <c r="AE450" s="19">
        <v>359</v>
      </c>
      <c r="AG450" s="19">
        <f t="shared" si="219"/>
        <v>11</v>
      </c>
      <c r="AH450" s="19">
        <f t="shared" si="220"/>
        <v>-1</v>
      </c>
      <c r="AI450" s="19">
        <f t="shared" si="221"/>
        <v>47.495000000000005</v>
      </c>
      <c r="AJ450" s="410">
        <f t="shared" si="222"/>
        <v>815.08</v>
      </c>
      <c r="AK450" s="19" t="e">
        <f t="shared" si="223"/>
        <v>#N/A</v>
      </c>
      <c r="AL450" s="19">
        <f t="shared" si="224"/>
        <v>615.08000000000004</v>
      </c>
      <c r="AM450" s="19" t="e">
        <f t="shared" si="225"/>
        <v>#N/A</v>
      </c>
      <c r="AN450" s="19">
        <f t="shared" si="226"/>
        <v>415.08</v>
      </c>
      <c r="AO450" s="19" t="e">
        <f t="shared" si="227"/>
        <v>#N/A</v>
      </c>
      <c r="AP450" s="19">
        <f t="shared" si="228"/>
        <v>215.07999999999998</v>
      </c>
      <c r="AQ450" s="19" t="e">
        <f t="shared" si="229"/>
        <v>#N/A</v>
      </c>
      <c r="AR450" s="19">
        <f t="shared" si="230"/>
        <v>15.079999999999998</v>
      </c>
      <c r="AS450" s="19" t="e">
        <f t="shared" si="231"/>
        <v>#N/A</v>
      </c>
      <c r="AT450"/>
      <c r="AU450"/>
      <c r="AV450"/>
      <c r="AW450"/>
      <c r="AX450"/>
      <c r="AY450"/>
      <c r="AZ450"/>
      <c r="CB450"/>
      <c r="CC450"/>
      <c r="CD450"/>
      <c r="CE450"/>
      <c r="CJ450"/>
      <c r="CK450"/>
      <c r="CL450"/>
      <c r="CM450"/>
      <c r="CN450"/>
    </row>
    <row r="451" spans="14:92" ht="11.25" customHeight="1" x14ac:dyDescent="0.2">
      <c r="N451"/>
      <c r="O451"/>
      <c r="P451"/>
      <c r="Q451"/>
      <c r="R451"/>
      <c r="S451"/>
      <c r="T451"/>
      <c r="U451"/>
      <c r="V451"/>
      <c r="W451"/>
      <c r="X451"/>
      <c r="Y451"/>
      <c r="Z451"/>
      <c r="AA451"/>
      <c r="AB451"/>
      <c r="AC451"/>
      <c r="AD451"/>
      <c r="AE451" s="19">
        <v>360</v>
      </c>
      <c r="AG451" s="19">
        <f t="shared" si="219"/>
        <v>11</v>
      </c>
      <c r="AH451" s="19">
        <f t="shared" si="220"/>
        <v>1</v>
      </c>
      <c r="AI451" s="19">
        <f t="shared" si="221"/>
        <v>47.495000000000005</v>
      </c>
      <c r="AJ451" s="410">
        <f t="shared" si="222"/>
        <v>984.92</v>
      </c>
      <c r="AK451" s="19" t="e">
        <f t="shared" si="223"/>
        <v>#N/A</v>
      </c>
      <c r="AL451" s="19">
        <f t="shared" si="224"/>
        <v>784.92</v>
      </c>
      <c r="AM451" s="19" t="e">
        <f t="shared" si="225"/>
        <v>#N/A</v>
      </c>
      <c r="AN451" s="19">
        <f t="shared" si="226"/>
        <v>584.91999999999996</v>
      </c>
      <c r="AO451" s="19" t="e">
        <f t="shared" si="227"/>
        <v>#N/A</v>
      </c>
      <c r="AP451" s="19">
        <f t="shared" si="228"/>
        <v>384.92</v>
      </c>
      <c r="AQ451" s="19" t="e">
        <f t="shared" si="229"/>
        <v>#N/A</v>
      </c>
      <c r="AR451" s="19">
        <f t="shared" si="230"/>
        <v>184.92000000000002</v>
      </c>
      <c r="AS451" s="19" t="e">
        <f t="shared" si="231"/>
        <v>#N/A</v>
      </c>
      <c r="AT451"/>
      <c r="AU451"/>
      <c r="AV451"/>
      <c r="AW451"/>
      <c r="AX451"/>
      <c r="AY451"/>
      <c r="AZ451"/>
      <c r="CB451"/>
      <c r="CC451"/>
      <c r="CD451"/>
      <c r="CE451"/>
      <c r="CJ451"/>
      <c r="CK451"/>
      <c r="CL451"/>
      <c r="CM451"/>
      <c r="CN451"/>
    </row>
    <row r="452" spans="14:92" ht="11.25" customHeight="1" x14ac:dyDescent="0.2">
      <c r="N452"/>
      <c r="O452"/>
      <c r="P452"/>
      <c r="Q452"/>
      <c r="R452"/>
      <c r="S452"/>
      <c r="T452"/>
      <c r="U452"/>
      <c r="V452"/>
      <c r="W452"/>
      <c r="X452"/>
      <c r="Y452"/>
      <c r="Z452"/>
      <c r="AA452"/>
      <c r="AB452"/>
      <c r="AC452"/>
      <c r="AD452"/>
      <c r="AE452" s="19">
        <v>361</v>
      </c>
      <c r="AG452" s="19">
        <f t="shared" si="219"/>
        <v>1</v>
      </c>
      <c r="AH452" s="19">
        <f t="shared" si="220"/>
        <v>-1</v>
      </c>
      <c r="AI452" s="19">
        <f t="shared" si="221"/>
        <v>49.105000000000004</v>
      </c>
      <c r="AJ452" s="410">
        <f t="shared" si="222"/>
        <v>892.28</v>
      </c>
      <c r="AK452" s="19" t="e">
        <f t="shared" si="223"/>
        <v>#N/A</v>
      </c>
      <c r="AL452" s="19">
        <f t="shared" si="224"/>
        <v>692.28</v>
      </c>
      <c r="AM452" s="19" t="e">
        <f t="shared" si="225"/>
        <v>#N/A</v>
      </c>
      <c r="AN452" s="19">
        <f t="shared" si="226"/>
        <v>492.28</v>
      </c>
      <c r="AO452" s="19" t="e">
        <f t="shared" si="227"/>
        <v>#N/A</v>
      </c>
      <c r="AP452" s="19">
        <f t="shared" si="228"/>
        <v>292.27999999999997</v>
      </c>
      <c r="AQ452" s="19" t="e">
        <f t="shared" si="229"/>
        <v>#N/A</v>
      </c>
      <c r="AR452" s="19">
        <f t="shared" si="230"/>
        <v>92.28</v>
      </c>
      <c r="AS452" s="19" t="e">
        <f t="shared" si="231"/>
        <v>#N/A</v>
      </c>
      <c r="AT452"/>
      <c r="AU452"/>
      <c r="AV452"/>
      <c r="AW452"/>
      <c r="AX452"/>
      <c r="AY452"/>
      <c r="AZ452"/>
      <c r="CB452"/>
      <c r="CC452"/>
      <c r="CD452"/>
      <c r="CE452"/>
      <c r="CJ452"/>
      <c r="CK452"/>
      <c r="CL452"/>
      <c r="CM452"/>
      <c r="CN452"/>
    </row>
    <row r="453" spans="14:92" ht="11.25" customHeight="1" x14ac:dyDescent="0.2">
      <c r="N453"/>
      <c r="O453"/>
      <c r="P453"/>
      <c r="Q453"/>
      <c r="R453"/>
      <c r="S453"/>
      <c r="T453"/>
      <c r="U453"/>
      <c r="V453"/>
      <c r="W453"/>
      <c r="X453"/>
      <c r="Y453"/>
      <c r="Z453"/>
      <c r="AA453"/>
      <c r="AB453"/>
      <c r="AC453"/>
      <c r="AD453"/>
      <c r="AE453" s="19">
        <v>362</v>
      </c>
      <c r="AG453" s="19">
        <f t="shared" si="219"/>
        <v>1</v>
      </c>
      <c r="AH453" s="19">
        <f t="shared" si="220"/>
        <v>1</v>
      </c>
      <c r="AI453" s="19">
        <f t="shared" si="221"/>
        <v>49.105000000000004</v>
      </c>
      <c r="AJ453" s="410">
        <f t="shared" si="222"/>
        <v>907.72</v>
      </c>
      <c r="AK453" s="19" t="e">
        <f t="shared" si="223"/>
        <v>#N/A</v>
      </c>
      <c r="AL453" s="19">
        <f t="shared" si="224"/>
        <v>707.72</v>
      </c>
      <c r="AM453" s="19" t="e">
        <f t="shared" si="225"/>
        <v>#N/A</v>
      </c>
      <c r="AN453" s="19">
        <f t="shared" si="226"/>
        <v>507.72</v>
      </c>
      <c r="AO453" s="19" t="e">
        <f t="shared" si="227"/>
        <v>#N/A</v>
      </c>
      <c r="AP453" s="19">
        <f t="shared" si="228"/>
        <v>307.72000000000003</v>
      </c>
      <c r="AQ453" s="19" t="e">
        <f t="shared" si="229"/>
        <v>#N/A</v>
      </c>
      <c r="AR453" s="19">
        <f t="shared" si="230"/>
        <v>107.72</v>
      </c>
      <c r="AS453" s="19" t="e">
        <f t="shared" si="231"/>
        <v>#N/A</v>
      </c>
      <c r="AT453"/>
      <c r="AU453"/>
      <c r="AV453"/>
      <c r="AW453"/>
      <c r="AX453"/>
      <c r="AY453"/>
      <c r="AZ453"/>
      <c r="CB453"/>
      <c r="CC453"/>
      <c r="CD453"/>
      <c r="CE453"/>
      <c r="CJ453"/>
      <c r="CK453"/>
      <c r="CL453"/>
      <c r="CM453"/>
      <c r="CN453"/>
    </row>
    <row r="454" spans="14:92" ht="11.25" customHeight="1" x14ac:dyDescent="0.2">
      <c r="N454"/>
      <c r="O454"/>
      <c r="P454"/>
      <c r="Q454"/>
      <c r="R454"/>
      <c r="S454"/>
      <c r="T454"/>
      <c r="U454"/>
      <c r="V454"/>
      <c r="W454"/>
      <c r="X454"/>
      <c r="Y454"/>
      <c r="Z454"/>
      <c r="AA454"/>
      <c r="AB454"/>
      <c r="AC454"/>
      <c r="AD454"/>
      <c r="AE454" s="19">
        <v>363</v>
      </c>
      <c r="AG454" s="19">
        <f t="shared" si="219"/>
        <v>3</v>
      </c>
      <c r="AH454" s="19">
        <f t="shared" si="220"/>
        <v>-1</v>
      </c>
      <c r="AI454" s="19">
        <f t="shared" si="221"/>
        <v>49.105000000000004</v>
      </c>
      <c r="AJ454" s="410">
        <f t="shared" si="222"/>
        <v>876.84</v>
      </c>
      <c r="AK454" s="19" t="e">
        <f t="shared" si="223"/>
        <v>#N/A</v>
      </c>
      <c r="AL454" s="19">
        <f t="shared" si="224"/>
        <v>676.84</v>
      </c>
      <c r="AM454" s="19" t="e">
        <f t="shared" si="225"/>
        <v>#N/A</v>
      </c>
      <c r="AN454" s="19">
        <f t="shared" si="226"/>
        <v>476.84</v>
      </c>
      <c r="AO454" s="19" t="e">
        <f t="shared" si="227"/>
        <v>#N/A</v>
      </c>
      <c r="AP454" s="19">
        <f t="shared" si="228"/>
        <v>276.83999999999997</v>
      </c>
      <c r="AQ454" s="19" t="e">
        <f t="shared" si="229"/>
        <v>#N/A</v>
      </c>
      <c r="AR454" s="19">
        <f t="shared" si="230"/>
        <v>76.84</v>
      </c>
      <c r="AS454" s="19" t="e">
        <f t="shared" si="231"/>
        <v>#N/A</v>
      </c>
      <c r="AT454"/>
      <c r="AU454"/>
      <c r="AV454"/>
      <c r="AW454"/>
      <c r="AX454"/>
      <c r="AY454"/>
      <c r="AZ454"/>
      <c r="CB454"/>
      <c r="CC454"/>
      <c r="CD454"/>
      <c r="CE454"/>
      <c r="CJ454"/>
      <c r="CK454"/>
      <c r="CL454"/>
      <c r="CM454"/>
      <c r="CN454"/>
    </row>
    <row r="455" spans="14:92" ht="11.25" customHeight="1" x14ac:dyDescent="0.2">
      <c r="N455"/>
      <c r="O455"/>
      <c r="P455"/>
      <c r="Q455"/>
      <c r="R455"/>
      <c r="S455"/>
      <c r="T455"/>
      <c r="U455"/>
      <c r="V455"/>
      <c r="W455"/>
      <c r="X455"/>
      <c r="Y455"/>
      <c r="Z455"/>
      <c r="AA455"/>
      <c r="AB455"/>
      <c r="AC455"/>
      <c r="AD455"/>
      <c r="AE455" s="19">
        <v>364</v>
      </c>
      <c r="AG455" s="19">
        <f t="shared" si="219"/>
        <v>3</v>
      </c>
      <c r="AH455" s="19">
        <f t="shared" si="220"/>
        <v>1</v>
      </c>
      <c r="AI455" s="19">
        <f t="shared" si="221"/>
        <v>49.105000000000004</v>
      </c>
      <c r="AJ455" s="410">
        <f t="shared" si="222"/>
        <v>923.16</v>
      </c>
      <c r="AK455" s="19" t="e">
        <f t="shared" si="223"/>
        <v>#N/A</v>
      </c>
      <c r="AL455" s="19">
        <f t="shared" si="224"/>
        <v>723.16</v>
      </c>
      <c r="AM455" s="19" t="e">
        <f t="shared" si="225"/>
        <v>#N/A</v>
      </c>
      <c r="AN455" s="19">
        <f t="shared" si="226"/>
        <v>523.16</v>
      </c>
      <c r="AO455" s="19" t="e">
        <f t="shared" si="227"/>
        <v>#N/A</v>
      </c>
      <c r="AP455" s="19">
        <f t="shared" si="228"/>
        <v>323.16000000000003</v>
      </c>
      <c r="AQ455" s="19" t="e">
        <f t="shared" si="229"/>
        <v>#N/A</v>
      </c>
      <c r="AR455" s="19">
        <f t="shared" si="230"/>
        <v>123.16</v>
      </c>
      <c r="AS455" s="19" t="e">
        <f t="shared" si="231"/>
        <v>#N/A</v>
      </c>
      <c r="AT455"/>
      <c r="AU455"/>
      <c r="AV455"/>
      <c r="AW455"/>
      <c r="AX455"/>
      <c r="AY455"/>
      <c r="AZ455"/>
      <c r="CB455"/>
      <c r="CC455"/>
      <c r="CD455"/>
      <c r="CE455"/>
      <c r="CJ455"/>
      <c r="CK455"/>
      <c r="CL455"/>
      <c r="CM455"/>
      <c r="CN455"/>
    </row>
    <row r="456" spans="14:92" ht="11.25" customHeight="1" x14ac:dyDescent="0.2">
      <c r="N456"/>
      <c r="O456"/>
      <c r="P456"/>
      <c r="Q456"/>
      <c r="R456"/>
      <c r="S456"/>
      <c r="T456"/>
      <c r="U456"/>
      <c r="V456"/>
      <c r="W456"/>
      <c r="X456"/>
      <c r="Y456"/>
      <c r="Z456"/>
      <c r="AA456"/>
      <c r="AB456"/>
      <c r="AC456"/>
      <c r="AD456"/>
      <c r="AE456" s="19">
        <v>365</v>
      </c>
      <c r="AG456" s="19">
        <f t="shared" si="219"/>
        <v>5</v>
      </c>
      <c r="AH456" s="19">
        <f t="shared" si="220"/>
        <v>-1</v>
      </c>
      <c r="AI456" s="19">
        <f t="shared" si="221"/>
        <v>49.105000000000004</v>
      </c>
      <c r="AJ456" s="410">
        <f t="shared" si="222"/>
        <v>861.4</v>
      </c>
      <c r="AK456" s="19" t="e">
        <f t="shared" si="223"/>
        <v>#N/A</v>
      </c>
      <c r="AL456" s="19">
        <f t="shared" si="224"/>
        <v>661.4</v>
      </c>
      <c r="AM456" s="19" t="e">
        <f t="shared" si="225"/>
        <v>#N/A</v>
      </c>
      <c r="AN456" s="19">
        <f t="shared" si="226"/>
        <v>461.4</v>
      </c>
      <c r="AO456" s="19" t="e">
        <f t="shared" si="227"/>
        <v>#N/A</v>
      </c>
      <c r="AP456" s="19">
        <f t="shared" si="228"/>
        <v>261.39999999999998</v>
      </c>
      <c r="AQ456" s="19" t="e">
        <f t="shared" si="229"/>
        <v>#N/A</v>
      </c>
      <c r="AR456" s="19">
        <f t="shared" si="230"/>
        <v>61.4</v>
      </c>
      <c r="AS456" s="19" t="e">
        <f t="shared" si="231"/>
        <v>#N/A</v>
      </c>
      <c r="AT456"/>
      <c r="AU456"/>
      <c r="AV456"/>
      <c r="AW456"/>
      <c r="AX456"/>
      <c r="AY456"/>
      <c r="AZ456"/>
      <c r="CB456"/>
      <c r="CC456"/>
      <c r="CD456"/>
      <c r="CE456"/>
      <c r="CJ456"/>
      <c r="CK456"/>
      <c r="CL456"/>
      <c r="CM456"/>
      <c r="CN456"/>
    </row>
    <row r="457" spans="14:92" ht="11.25" customHeight="1" x14ac:dyDescent="0.2">
      <c r="N457"/>
      <c r="O457"/>
      <c r="P457"/>
      <c r="Q457"/>
      <c r="R457"/>
      <c r="S457"/>
      <c r="T457"/>
      <c r="U457"/>
      <c r="V457"/>
      <c r="W457"/>
      <c r="X457"/>
      <c r="Y457"/>
      <c r="Z457"/>
      <c r="AA457"/>
      <c r="AB457"/>
      <c r="AC457"/>
      <c r="AD457"/>
      <c r="AE457" s="19">
        <v>366</v>
      </c>
      <c r="AG457" s="19">
        <f t="shared" si="219"/>
        <v>5</v>
      </c>
      <c r="AH457" s="19">
        <f t="shared" si="220"/>
        <v>1</v>
      </c>
      <c r="AI457" s="19">
        <f t="shared" si="221"/>
        <v>49.105000000000004</v>
      </c>
      <c r="AJ457" s="410">
        <f t="shared" si="222"/>
        <v>938.6</v>
      </c>
      <c r="AK457" s="19" t="e">
        <f t="shared" si="223"/>
        <v>#N/A</v>
      </c>
      <c r="AL457" s="19">
        <f t="shared" si="224"/>
        <v>738.6</v>
      </c>
      <c r="AM457" s="19" t="e">
        <f t="shared" si="225"/>
        <v>#N/A</v>
      </c>
      <c r="AN457" s="19">
        <f t="shared" si="226"/>
        <v>538.6</v>
      </c>
      <c r="AO457" s="19" t="e">
        <f t="shared" si="227"/>
        <v>#N/A</v>
      </c>
      <c r="AP457" s="19">
        <f t="shared" si="228"/>
        <v>338.6</v>
      </c>
      <c r="AQ457" s="19" t="e">
        <f t="shared" si="229"/>
        <v>#N/A</v>
      </c>
      <c r="AR457" s="19">
        <f t="shared" si="230"/>
        <v>138.6</v>
      </c>
      <c r="AS457" s="19" t="e">
        <f t="shared" si="231"/>
        <v>#N/A</v>
      </c>
      <c r="AT457"/>
      <c r="AU457"/>
      <c r="AV457"/>
      <c r="AW457"/>
      <c r="AX457"/>
      <c r="AY457"/>
      <c r="AZ457"/>
      <c r="CB457"/>
      <c r="CC457"/>
      <c r="CD457"/>
      <c r="CE457"/>
      <c r="CJ457"/>
      <c r="CK457"/>
      <c r="CL457"/>
      <c r="CM457"/>
      <c r="CN457"/>
    </row>
    <row r="458" spans="14:92" ht="11.25" customHeight="1" x14ac:dyDescent="0.2">
      <c r="N458"/>
      <c r="O458"/>
      <c r="P458"/>
      <c r="Q458"/>
      <c r="R458"/>
      <c r="S458"/>
      <c r="T458"/>
      <c r="U458"/>
      <c r="V458"/>
      <c r="W458"/>
      <c r="X458"/>
      <c r="Y458"/>
      <c r="Z458"/>
      <c r="AA458"/>
      <c r="AB458"/>
      <c r="AC458"/>
      <c r="AD458"/>
      <c r="AE458" s="19">
        <v>367</v>
      </c>
      <c r="AG458" s="19">
        <f t="shared" si="219"/>
        <v>7</v>
      </c>
      <c r="AH458" s="19">
        <f t="shared" si="220"/>
        <v>-1</v>
      </c>
      <c r="AI458" s="19">
        <f t="shared" si="221"/>
        <v>49.105000000000004</v>
      </c>
      <c r="AJ458" s="410">
        <f t="shared" si="222"/>
        <v>845.96</v>
      </c>
      <c r="AK458" s="19" t="e">
        <f t="shared" si="223"/>
        <v>#N/A</v>
      </c>
      <c r="AL458" s="19">
        <f t="shared" si="224"/>
        <v>645.96</v>
      </c>
      <c r="AM458" s="19" t="e">
        <f t="shared" si="225"/>
        <v>#N/A</v>
      </c>
      <c r="AN458" s="19">
        <f t="shared" si="226"/>
        <v>445.96</v>
      </c>
      <c r="AO458" s="19" t="e">
        <f t="shared" si="227"/>
        <v>#N/A</v>
      </c>
      <c r="AP458" s="19">
        <f t="shared" si="228"/>
        <v>245.96</v>
      </c>
      <c r="AQ458" s="19" t="e">
        <f t="shared" si="229"/>
        <v>#N/A</v>
      </c>
      <c r="AR458" s="19">
        <f t="shared" si="230"/>
        <v>45.96</v>
      </c>
      <c r="AS458" s="19" t="e">
        <f t="shared" si="231"/>
        <v>#N/A</v>
      </c>
      <c r="AT458"/>
      <c r="AU458"/>
      <c r="AV458"/>
      <c r="AW458"/>
      <c r="AX458"/>
      <c r="AY458"/>
      <c r="AZ458"/>
      <c r="CB458"/>
      <c r="CC458"/>
      <c r="CD458"/>
      <c r="CE458"/>
      <c r="CJ458"/>
      <c r="CK458"/>
      <c r="CL458"/>
      <c r="CM458"/>
      <c r="CN458"/>
    </row>
    <row r="459" spans="14:92" ht="11.25" customHeight="1" x14ac:dyDescent="0.2">
      <c r="N459"/>
      <c r="O459"/>
      <c r="P459"/>
      <c r="Q459"/>
      <c r="R459"/>
      <c r="S459"/>
      <c r="T459"/>
      <c r="U459"/>
      <c r="V459"/>
      <c r="W459"/>
      <c r="X459"/>
      <c r="Y459"/>
      <c r="Z459"/>
      <c r="AA459"/>
      <c r="AB459"/>
      <c r="AC459"/>
      <c r="AD459"/>
      <c r="AE459" s="19">
        <v>368</v>
      </c>
      <c r="AG459" s="19">
        <f t="shared" si="219"/>
        <v>7</v>
      </c>
      <c r="AH459" s="19">
        <f t="shared" si="220"/>
        <v>1</v>
      </c>
      <c r="AI459" s="19">
        <f t="shared" si="221"/>
        <v>49.105000000000004</v>
      </c>
      <c r="AJ459" s="410">
        <f t="shared" si="222"/>
        <v>954.04</v>
      </c>
      <c r="AK459" s="19" t="e">
        <f t="shared" si="223"/>
        <v>#N/A</v>
      </c>
      <c r="AL459" s="19">
        <f t="shared" si="224"/>
        <v>754.04</v>
      </c>
      <c r="AM459" s="19" t="e">
        <f t="shared" si="225"/>
        <v>#N/A</v>
      </c>
      <c r="AN459" s="19">
        <f t="shared" si="226"/>
        <v>554.04</v>
      </c>
      <c r="AO459" s="19" t="e">
        <f t="shared" si="227"/>
        <v>#N/A</v>
      </c>
      <c r="AP459" s="19">
        <f t="shared" si="228"/>
        <v>354.04</v>
      </c>
      <c r="AQ459" s="19" t="e">
        <f t="shared" si="229"/>
        <v>#N/A</v>
      </c>
      <c r="AR459" s="19">
        <f t="shared" si="230"/>
        <v>154.04</v>
      </c>
      <c r="AS459" s="19" t="e">
        <f t="shared" si="231"/>
        <v>#N/A</v>
      </c>
      <c r="AT459"/>
      <c r="AU459"/>
      <c r="AV459"/>
      <c r="AW459"/>
      <c r="AX459"/>
      <c r="AY459"/>
      <c r="AZ459"/>
      <c r="CB459"/>
      <c r="CC459"/>
      <c r="CD459"/>
      <c r="CE459"/>
      <c r="CJ459"/>
      <c r="CK459"/>
      <c r="CL459"/>
      <c r="CM459"/>
      <c r="CN459"/>
    </row>
    <row r="460" spans="14:92" ht="11.25" customHeight="1" x14ac:dyDescent="0.2">
      <c r="N460"/>
      <c r="O460"/>
      <c r="P460"/>
      <c r="Q460"/>
      <c r="R460"/>
      <c r="S460"/>
      <c r="T460"/>
      <c r="U460"/>
      <c r="V460"/>
      <c r="W460"/>
      <c r="X460"/>
      <c r="Y460"/>
      <c r="Z460"/>
      <c r="AA460"/>
      <c r="AB460"/>
      <c r="AC460"/>
      <c r="AD460"/>
      <c r="AE460" s="19">
        <v>369</v>
      </c>
      <c r="AG460" s="19">
        <f t="shared" si="219"/>
        <v>9</v>
      </c>
      <c r="AH460" s="19">
        <f t="shared" si="220"/>
        <v>-1</v>
      </c>
      <c r="AI460" s="19">
        <f t="shared" si="221"/>
        <v>49.105000000000004</v>
      </c>
      <c r="AJ460" s="410">
        <f t="shared" si="222"/>
        <v>830.52</v>
      </c>
      <c r="AK460" s="19" t="e">
        <f t="shared" si="223"/>
        <v>#N/A</v>
      </c>
      <c r="AL460" s="19">
        <f t="shared" si="224"/>
        <v>630.52</v>
      </c>
      <c r="AM460" s="19" t="e">
        <f t="shared" si="225"/>
        <v>#N/A</v>
      </c>
      <c r="AN460" s="19">
        <f t="shared" si="226"/>
        <v>430.52</v>
      </c>
      <c r="AO460" s="19" t="e">
        <f t="shared" si="227"/>
        <v>#N/A</v>
      </c>
      <c r="AP460" s="19">
        <f t="shared" si="228"/>
        <v>230.51999999999998</v>
      </c>
      <c r="AQ460" s="19" t="e">
        <f t="shared" si="229"/>
        <v>#N/A</v>
      </c>
      <c r="AR460" s="19">
        <f t="shared" si="230"/>
        <v>30.519999999999996</v>
      </c>
      <c r="AS460" s="19" t="e">
        <f t="shared" si="231"/>
        <v>#N/A</v>
      </c>
      <c r="AT460"/>
      <c r="AU460"/>
      <c r="AV460"/>
      <c r="AW460"/>
      <c r="AX460"/>
      <c r="AY460"/>
      <c r="AZ460"/>
      <c r="CB460"/>
      <c r="CC460"/>
      <c r="CD460"/>
      <c r="CE460"/>
      <c r="CJ460"/>
      <c r="CK460"/>
      <c r="CL460"/>
      <c r="CM460"/>
      <c r="CN460"/>
    </row>
    <row r="461" spans="14:92" ht="11.25" customHeight="1" x14ac:dyDescent="0.2">
      <c r="N461"/>
      <c r="O461"/>
      <c r="P461"/>
      <c r="Q461"/>
      <c r="R461"/>
      <c r="S461"/>
      <c r="T461"/>
      <c r="U461"/>
      <c r="V461"/>
      <c r="W461"/>
      <c r="X461"/>
      <c r="Y461"/>
      <c r="Z461"/>
      <c r="AA461"/>
      <c r="AB461"/>
      <c r="AC461"/>
      <c r="AD461"/>
      <c r="AE461" s="19">
        <v>370</v>
      </c>
      <c r="AG461" s="19">
        <f t="shared" si="219"/>
        <v>9</v>
      </c>
      <c r="AH461" s="19">
        <f t="shared" si="220"/>
        <v>1</v>
      </c>
      <c r="AI461" s="19">
        <f t="shared" si="221"/>
        <v>49.105000000000004</v>
      </c>
      <c r="AJ461" s="410">
        <f t="shared" si="222"/>
        <v>969.48</v>
      </c>
      <c r="AK461" s="19" t="e">
        <f t="shared" si="223"/>
        <v>#N/A</v>
      </c>
      <c r="AL461" s="19">
        <f t="shared" si="224"/>
        <v>769.48</v>
      </c>
      <c r="AM461" s="19" t="e">
        <f t="shared" si="225"/>
        <v>#N/A</v>
      </c>
      <c r="AN461" s="19">
        <f t="shared" si="226"/>
        <v>569.48</v>
      </c>
      <c r="AO461" s="19" t="e">
        <f t="shared" si="227"/>
        <v>#N/A</v>
      </c>
      <c r="AP461" s="19">
        <f t="shared" si="228"/>
        <v>369.48</v>
      </c>
      <c r="AQ461" s="19" t="e">
        <f t="shared" si="229"/>
        <v>#N/A</v>
      </c>
      <c r="AR461" s="19">
        <f t="shared" si="230"/>
        <v>169.48000000000002</v>
      </c>
      <c r="AS461" s="19" t="e">
        <f t="shared" si="231"/>
        <v>#N/A</v>
      </c>
      <c r="AT461"/>
      <c r="AU461"/>
      <c r="AV461"/>
      <c r="AW461"/>
      <c r="AX461"/>
      <c r="AY461"/>
      <c r="AZ461"/>
      <c r="CB461"/>
      <c r="CC461"/>
      <c r="CD461"/>
      <c r="CE461"/>
      <c r="CJ461"/>
      <c r="CK461"/>
      <c r="CL461"/>
      <c r="CM461"/>
      <c r="CN461"/>
    </row>
    <row r="462" spans="14:92" ht="11.25" customHeight="1" x14ac:dyDescent="0.2">
      <c r="N462"/>
      <c r="O462"/>
      <c r="P462"/>
      <c r="Q462"/>
      <c r="R462"/>
      <c r="S462"/>
      <c r="T462"/>
      <c r="U462"/>
      <c r="V462"/>
      <c r="W462"/>
      <c r="X462"/>
      <c r="Y462"/>
      <c r="Z462"/>
      <c r="AA462"/>
      <c r="AB462"/>
      <c r="AC462"/>
      <c r="AD462"/>
      <c r="AE462" s="19">
        <v>371</v>
      </c>
      <c r="AG462" s="19">
        <f t="shared" si="219"/>
        <v>11</v>
      </c>
      <c r="AH462" s="19">
        <f t="shared" si="220"/>
        <v>-1</v>
      </c>
      <c r="AI462" s="19">
        <f t="shared" si="221"/>
        <v>49.105000000000004</v>
      </c>
      <c r="AJ462" s="410">
        <f t="shared" si="222"/>
        <v>815.08</v>
      </c>
      <c r="AK462" s="19" t="e">
        <f t="shared" si="223"/>
        <v>#N/A</v>
      </c>
      <c r="AL462" s="19">
        <f t="shared" si="224"/>
        <v>615.08000000000004</v>
      </c>
      <c r="AM462" s="19" t="e">
        <f t="shared" si="225"/>
        <v>#N/A</v>
      </c>
      <c r="AN462" s="19">
        <f t="shared" si="226"/>
        <v>415.08</v>
      </c>
      <c r="AO462" s="19" t="e">
        <f t="shared" si="227"/>
        <v>#N/A</v>
      </c>
      <c r="AP462" s="19">
        <f t="shared" si="228"/>
        <v>215.07999999999998</v>
      </c>
      <c r="AQ462" s="19" t="e">
        <f t="shared" si="229"/>
        <v>#N/A</v>
      </c>
      <c r="AR462" s="19">
        <f t="shared" si="230"/>
        <v>15.079999999999998</v>
      </c>
      <c r="AS462" s="19" t="e">
        <f t="shared" si="231"/>
        <v>#N/A</v>
      </c>
      <c r="AT462"/>
      <c r="AU462"/>
      <c r="AV462"/>
      <c r="AW462"/>
      <c r="AX462"/>
      <c r="AY462"/>
      <c r="AZ462"/>
      <c r="CB462"/>
      <c r="CC462"/>
      <c r="CD462"/>
      <c r="CE462"/>
      <c r="CJ462"/>
      <c r="CK462"/>
      <c r="CL462"/>
      <c r="CM462"/>
      <c r="CN462"/>
    </row>
    <row r="463" spans="14:92" ht="11.25" customHeight="1" x14ac:dyDescent="0.2">
      <c r="N463"/>
      <c r="O463"/>
      <c r="P463"/>
      <c r="Q463"/>
      <c r="R463"/>
      <c r="S463"/>
      <c r="T463"/>
      <c r="U463"/>
      <c r="V463"/>
      <c r="W463"/>
      <c r="X463"/>
      <c r="Y463"/>
      <c r="Z463"/>
      <c r="AA463"/>
      <c r="AB463"/>
      <c r="AC463"/>
      <c r="AD463"/>
      <c r="AE463" s="19">
        <v>372</v>
      </c>
      <c r="AG463" s="19">
        <f t="shared" si="219"/>
        <v>11</v>
      </c>
      <c r="AH463" s="19">
        <f t="shared" si="220"/>
        <v>1</v>
      </c>
      <c r="AI463" s="19">
        <f t="shared" si="221"/>
        <v>49.105000000000004</v>
      </c>
      <c r="AJ463" s="410">
        <f t="shared" si="222"/>
        <v>984.92</v>
      </c>
      <c r="AK463" s="19" t="e">
        <f t="shared" si="223"/>
        <v>#N/A</v>
      </c>
      <c r="AL463" s="19">
        <f t="shared" si="224"/>
        <v>784.92</v>
      </c>
      <c r="AM463" s="19" t="e">
        <f t="shared" si="225"/>
        <v>#N/A</v>
      </c>
      <c r="AN463" s="19">
        <f t="shared" si="226"/>
        <v>584.91999999999996</v>
      </c>
      <c r="AO463" s="19" t="e">
        <f t="shared" si="227"/>
        <v>#N/A</v>
      </c>
      <c r="AP463" s="19">
        <f t="shared" si="228"/>
        <v>384.92</v>
      </c>
      <c r="AQ463" s="19" t="e">
        <f t="shared" si="229"/>
        <v>#N/A</v>
      </c>
      <c r="AR463" s="19">
        <f t="shared" si="230"/>
        <v>184.92000000000002</v>
      </c>
      <c r="AS463" s="19" t="e">
        <f t="shared" si="231"/>
        <v>#N/A</v>
      </c>
      <c r="AT463"/>
      <c r="AU463"/>
      <c r="AV463"/>
      <c r="AW463"/>
      <c r="AX463"/>
      <c r="AY463"/>
      <c r="AZ463"/>
      <c r="CB463"/>
      <c r="CC463"/>
      <c r="CD463"/>
      <c r="CE463"/>
      <c r="CJ463"/>
      <c r="CK463"/>
      <c r="CL463"/>
      <c r="CM463"/>
      <c r="CN463"/>
    </row>
    <row r="464" spans="14:92" ht="11.25" customHeight="1" x14ac:dyDescent="0.2">
      <c r="N464"/>
      <c r="O464"/>
      <c r="P464"/>
      <c r="Q464"/>
      <c r="R464"/>
      <c r="S464"/>
      <c r="T464"/>
      <c r="U464"/>
      <c r="V464"/>
      <c r="W464"/>
      <c r="X464"/>
      <c r="Y464"/>
      <c r="Z464"/>
      <c r="AA464"/>
      <c r="AB464"/>
      <c r="AC464"/>
      <c r="AD464"/>
      <c r="AE464" s="19">
        <v>373</v>
      </c>
      <c r="AG464" s="19">
        <f t="shared" si="219"/>
        <v>1</v>
      </c>
      <c r="AH464" s="19">
        <f t="shared" si="220"/>
        <v>-1</v>
      </c>
      <c r="AI464" s="19">
        <f t="shared" si="221"/>
        <v>50.715000000000003</v>
      </c>
      <c r="AJ464" s="410">
        <f t="shared" si="222"/>
        <v>892.28</v>
      </c>
      <c r="AK464" s="19" t="e">
        <f t="shared" si="223"/>
        <v>#N/A</v>
      </c>
      <c r="AL464" s="19">
        <f t="shared" si="224"/>
        <v>692.28</v>
      </c>
      <c r="AM464" s="19" t="e">
        <f t="shared" si="225"/>
        <v>#N/A</v>
      </c>
      <c r="AN464" s="19">
        <f t="shared" si="226"/>
        <v>492.28</v>
      </c>
      <c r="AO464" s="19" t="e">
        <f t="shared" si="227"/>
        <v>#N/A</v>
      </c>
      <c r="AP464" s="19">
        <f t="shared" si="228"/>
        <v>292.27999999999997</v>
      </c>
      <c r="AQ464" s="19" t="e">
        <f t="shared" si="229"/>
        <v>#N/A</v>
      </c>
      <c r="AR464" s="19">
        <f t="shared" si="230"/>
        <v>92.28</v>
      </c>
      <c r="AS464" s="19" t="e">
        <f t="shared" si="231"/>
        <v>#N/A</v>
      </c>
      <c r="AT464"/>
      <c r="AU464"/>
      <c r="AV464"/>
      <c r="AW464"/>
      <c r="AX464"/>
      <c r="AY464"/>
      <c r="AZ464"/>
      <c r="CB464"/>
      <c r="CC464"/>
      <c r="CD464"/>
      <c r="CE464"/>
      <c r="CJ464"/>
      <c r="CK464"/>
      <c r="CL464"/>
      <c r="CM464"/>
      <c r="CN464"/>
    </row>
    <row r="465" spans="14:92" ht="11.25" customHeight="1" x14ac:dyDescent="0.2">
      <c r="N465"/>
      <c r="O465"/>
      <c r="P465"/>
      <c r="Q465"/>
      <c r="R465"/>
      <c r="S465"/>
      <c r="T465"/>
      <c r="U465"/>
      <c r="V465"/>
      <c r="W465"/>
      <c r="X465"/>
      <c r="Y465"/>
      <c r="Z465"/>
      <c r="AA465"/>
      <c r="AB465"/>
      <c r="AC465"/>
      <c r="AD465"/>
      <c r="AE465" s="19">
        <v>374</v>
      </c>
      <c r="AG465" s="19">
        <f t="shared" si="219"/>
        <v>1</v>
      </c>
      <c r="AH465" s="19">
        <f t="shared" si="220"/>
        <v>1</v>
      </c>
      <c r="AI465" s="19">
        <f t="shared" si="221"/>
        <v>50.715000000000003</v>
      </c>
      <c r="AJ465" s="410">
        <f t="shared" si="222"/>
        <v>907.72</v>
      </c>
      <c r="AK465" s="19" t="e">
        <f t="shared" si="223"/>
        <v>#N/A</v>
      </c>
      <c r="AL465" s="19">
        <f t="shared" si="224"/>
        <v>707.72</v>
      </c>
      <c r="AM465" s="19" t="e">
        <f t="shared" si="225"/>
        <v>#N/A</v>
      </c>
      <c r="AN465" s="19">
        <f t="shared" si="226"/>
        <v>507.72</v>
      </c>
      <c r="AO465" s="19" t="e">
        <f t="shared" si="227"/>
        <v>#N/A</v>
      </c>
      <c r="AP465" s="19">
        <f t="shared" si="228"/>
        <v>307.72000000000003</v>
      </c>
      <c r="AQ465" s="19" t="e">
        <f t="shared" si="229"/>
        <v>#N/A</v>
      </c>
      <c r="AR465" s="19">
        <f t="shared" si="230"/>
        <v>107.72</v>
      </c>
      <c r="AS465" s="19" t="e">
        <f t="shared" si="231"/>
        <v>#N/A</v>
      </c>
      <c r="AT465"/>
      <c r="AU465"/>
      <c r="AV465"/>
      <c r="AW465"/>
      <c r="AX465"/>
      <c r="AY465"/>
      <c r="AZ465"/>
      <c r="CB465"/>
      <c r="CC465"/>
      <c r="CD465"/>
      <c r="CE465"/>
      <c r="CJ465"/>
      <c r="CK465"/>
      <c r="CL465"/>
      <c r="CM465"/>
      <c r="CN465"/>
    </row>
    <row r="466" spans="14:92" ht="11.25" customHeight="1" x14ac:dyDescent="0.2">
      <c r="N466"/>
      <c r="O466"/>
      <c r="P466"/>
      <c r="Q466"/>
      <c r="R466"/>
      <c r="S466"/>
      <c r="T466"/>
      <c r="U466"/>
      <c r="V466"/>
      <c r="W466"/>
      <c r="X466"/>
      <c r="Y466"/>
      <c r="Z466"/>
      <c r="AA466"/>
      <c r="AB466"/>
      <c r="AC466"/>
      <c r="AD466"/>
      <c r="AE466" s="19">
        <v>375</v>
      </c>
      <c r="AG466" s="19">
        <f t="shared" si="219"/>
        <v>3</v>
      </c>
      <c r="AH466" s="19">
        <f t="shared" si="220"/>
        <v>-1</v>
      </c>
      <c r="AI466" s="19">
        <f t="shared" si="221"/>
        <v>50.715000000000003</v>
      </c>
      <c r="AJ466" s="410">
        <f t="shared" si="222"/>
        <v>876.84</v>
      </c>
      <c r="AK466" s="19" t="e">
        <f t="shared" si="223"/>
        <v>#N/A</v>
      </c>
      <c r="AL466" s="19">
        <f t="shared" si="224"/>
        <v>676.84</v>
      </c>
      <c r="AM466" s="19" t="e">
        <f t="shared" si="225"/>
        <v>#N/A</v>
      </c>
      <c r="AN466" s="19">
        <f t="shared" si="226"/>
        <v>476.84</v>
      </c>
      <c r="AO466" s="19" t="e">
        <f t="shared" si="227"/>
        <v>#N/A</v>
      </c>
      <c r="AP466" s="19">
        <f t="shared" si="228"/>
        <v>276.83999999999997</v>
      </c>
      <c r="AQ466" s="19" t="e">
        <f t="shared" si="229"/>
        <v>#N/A</v>
      </c>
      <c r="AR466" s="19">
        <f t="shared" si="230"/>
        <v>76.84</v>
      </c>
      <c r="AS466" s="19" t="e">
        <f t="shared" si="231"/>
        <v>#N/A</v>
      </c>
      <c r="AT466"/>
      <c r="AU466"/>
      <c r="AV466"/>
      <c r="AW466"/>
      <c r="AX466"/>
      <c r="AY466"/>
      <c r="AZ466"/>
      <c r="CB466"/>
      <c r="CC466"/>
      <c r="CD466"/>
      <c r="CE466"/>
      <c r="CJ466"/>
      <c r="CK466"/>
      <c r="CL466"/>
      <c r="CM466"/>
      <c r="CN466"/>
    </row>
    <row r="467" spans="14:92" ht="11.25" customHeight="1" x14ac:dyDescent="0.2">
      <c r="N467"/>
      <c r="O467"/>
      <c r="P467"/>
      <c r="Q467"/>
      <c r="R467"/>
      <c r="S467"/>
      <c r="T467"/>
      <c r="U467"/>
      <c r="V467"/>
      <c r="W467"/>
      <c r="X467"/>
      <c r="Y467"/>
      <c r="Z467"/>
      <c r="AA467"/>
      <c r="AB467"/>
      <c r="AC467"/>
      <c r="AD467"/>
      <c r="AE467" s="19">
        <v>376</v>
      </c>
      <c r="AG467" s="19">
        <f t="shared" si="219"/>
        <v>3</v>
      </c>
      <c r="AH467" s="19">
        <f t="shared" si="220"/>
        <v>1</v>
      </c>
      <c r="AI467" s="19">
        <f t="shared" si="221"/>
        <v>50.715000000000003</v>
      </c>
      <c r="AJ467" s="410">
        <f t="shared" si="222"/>
        <v>923.16</v>
      </c>
      <c r="AK467" s="19" t="e">
        <f t="shared" si="223"/>
        <v>#N/A</v>
      </c>
      <c r="AL467" s="19">
        <f t="shared" si="224"/>
        <v>723.16</v>
      </c>
      <c r="AM467" s="19" t="e">
        <f t="shared" si="225"/>
        <v>#N/A</v>
      </c>
      <c r="AN467" s="19">
        <f t="shared" si="226"/>
        <v>523.16</v>
      </c>
      <c r="AO467" s="19" t="e">
        <f t="shared" si="227"/>
        <v>#N/A</v>
      </c>
      <c r="AP467" s="19">
        <f t="shared" si="228"/>
        <v>323.16000000000003</v>
      </c>
      <c r="AQ467" s="19" t="e">
        <f t="shared" si="229"/>
        <v>#N/A</v>
      </c>
      <c r="AR467" s="19">
        <f t="shared" si="230"/>
        <v>123.16</v>
      </c>
      <c r="AS467" s="19" t="e">
        <f t="shared" si="231"/>
        <v>#N/A</v>
      </c>
      <c r="AT467"/>
      <c r="AU467"/>
      <c r="AV467"/>
      <c r="AW467"/>
      <c r="AX467"/>
      <c r="AY467"/>
      <c r="AZ467"/>
      <c r="CB467"/>
      <c r="CC467"/>
      <c r="CD467"/>
      <c r="CE467"/>
      <c r="CJ467"/>
      <c r="CK467"/>
      <c r="CL467"/>
      <c r="CM467"/>
      <c r="CN467"/>
    </row>
    <row r="468" spans="14:92" ht="11.25" customHeight="1" x14ac:dyDescent="0.2">
      <c r="N468"/>
      <c r="O468"/>
      <c r="P468"/>
      <c r="Q468"/>
      <c r="R468"/>
      <c r="S468"/>
      <c r="T468"/>
      <c r="U468"/>
      <c r="V468"/>
      <c r="W468"/>
      <c r="X468"/>
      <c r="Y468"/>
      <c r="Z468"/>
      <c r="AA468"/>
      <c r="AB468"/>
      <c r="AC468"/>
      <c r="AD468"/>
      <c r="AE468" s="19">
        <v>377</v>
      </c>
      <c r="AG468" s="19">
        <f t="shared" si="219"/>
        <v>5</v>
      </c>
      <c r="AH468" s="19">
        <f t="shared" si="220"/>
        <v>-1</v>
      </c>
      <c r="AI468" s="19">
        <f t="shared" si="221"/>
        <v>50.715000000000003</v>
      </c>
      <c r="AJ468" s="410">
        <f t="shared" si="222"/>
        <v>861.4</v>
      </c>
      <c r="AK468" s="19" t="e">
        <f t="shared" si="223"/>
        <v>#N/A</v>
      </c>
      <c r="AL468" s="19">
        <f t="shared" si="224"/>
        <v>661.4</v>
      </c>
      <c r="AM468" s="19" t="e">
        <f t="shared" si="225"/>
        <v>#N/A</v>
      </c>
      <c r="AN468" s="19">
        <f t="shared" si="226"/>
        <v>461.4</v>
      </c>
      <c r="AO468" s="19" t="e">
        <f t="shared" si="227"/>
        <v>#N/A</v>
      </c>
      <c r="AP468" s="19">
        <f t="shared" si="228"/>
        <v>261.39999999999998</v>
      </c>
      <c r="AQ468" s="19" t="e">
        <f t="shared" si="229"/>
        <v>#N/A</v>
      </c>
      <c r="AR468" s="19">
        <f t="shared" si="230"/>
        <v>61.4</v>
      </c>
      <c r="AS468" s="19" t="e">
        <f t="shared" si="231"/>
        <v>#N/A</v>
      </c>
      <c r="AT468"/>
      <c r="AU468"/>
      <c r="AV468"/>
      <c r="AW468"/>
      <c r="AX468"/>
      <c r="AY468"/>
      <c r="AZ468"/>
      <c r="CB468"/>
      <c r="CC468"/>
      <c r="CD468"/>
      <c r="CE468"/>
      <c r="CJ468"/>
      <c r="CK468"/>
      <c r="CL468"/>
      <c r="CM468"/>
      <c r="CN468"/>
    </row>
    <row r="469" spans="14:92" ht="11.25" customHeight="1" x14ac:dyDescent="0.2">
      <c r="N469"/>
      <c r="O469"/>
      <c r="P469"/>
      <c r="Q469"/>
      <c r="R469"/>
      <c r="S469"/>
      <c r="T469"/>
      <c r="U469"/>
      <c r="V469"/>
      <c r="W469"/>
      <c r="X469"/>
      <c r="Y469"/>
      <c r="Z469"/>
      <c r="AA469"/>
      <c r="AB469"/>
      <c r="AC469"/>
      <c r="AD469"/>
      <c r="AE469" s="19">
        <v>378</v>
      </c>
      <c r="AG469" s="19">
        <f t="shared" si="219"/>
        <v>5</v>
      </c>
      <c r="AH469" s="19">
        <f t="shared" si="220"/>
        <v>1</v>
      </c>
      <c r="AI469" s="19">
        <f t="shared" si="221"/>
        <v>50.715000000000003</v>
      </c>
      <c r="AJ469" s="410">
        <f t="shared" si="222"/>
        <v>938.6</v>
      </c>
      <c r="AK469" s="19" t="e">
        <f t="shared" si="223"/>
        <v>#N/A</v>
      </c>
      <c r="AL469" s="19">
        <f t="shared" si="224"/>
        <v>738.6</v>
      </c>
      <c r="AM469" s="19" t="e">
        <f t="shared" si="225"/>
        <v>#N/A</v>
      </c>
      <c r="AN469" s="19">
        <f t="shared" si="226"/>
        <v>538.6</v>
      </c>
      <c r="AO469" s="19" t="e">
        <f t="shared" si="227"/>
        <v>#N/A</v>
      </c>
      <c r="AP469" s="19">
        <f t="shared" si="228"/>
        <v>338.6</v>
      </c>
      <c r="AQ469" s="19" t="e">
        <f t="shared" si="229"/>
        <v>#N/A</v>
      </c>
      <c r="AR469" s="19">
        <f t="shared" si="230"/>
        <v>138.6</v>
      </c>
      <c r="AS469" s="19" t="e">
        <f t="shared" si="231"/>
        <v>#N/A</v>
      </c>
      <c r="AT469"/>
      <c r="AU469"/>
      <c r="AV469"/>
      <c r="AW469"/>
      <c r="AX469"/>
      <c r="AY469"/>
      <c r="AZ469"/>
      <c r="CB469"/>
      <c r="CC469"/>
      <c r="CD469"/>
      <c r="CE469"/>
      <c r="CJ469"/>
      <c r="CK469"/>
      <c r="CL469"/>
      <c r="CM469"/>
      <c r="CN469"/>
    </row>
    <row r="470" spans="14:92" ht="11.25" customHeight="1" x14ac:dyDescent="0.2">
      <c r="N470"/>
      <c r="O470"/>
      <c r="P470"/>
      <c r="Q470"/>
      <c r="R470"/>
      <c r="S470"/>
      <c r="T470"/>
      <c r="U470"/>
      <c r="V470"/>
      <c r="W470"/>
      <c r="X470"/>
      <c r="Y470"/>
      <c r="Z470"/>
      <c r="AA470"/>
      <c r="AB470"/>
      <c r="AC470"/>
      <c r="AD470"/>
      <c r="AE470" s="19">
        <v>379</v>
      </c>
      <c r="AG470" s="19">
        <f t="shared" si="219"/>
        <v>7</v>
      </c>
      <c r="AH470" s="19">
        <f t="shared" si="220"/>
        <v>-1</v>
      </c>
      <c r="AI470" s="19">
        <f t="shared" si="221"/>
        <v>50.715000000000003</v>
      </c>
      <c r="AJ470" s="410">
        <f t="shared" si="222"/>
        <v>845.96</v>
      </c>
      <c r="AK470" s="19" t="e">
        <f t="shared" si="223"/>
        <v>#N/A</v>
      </c>
      <c r="AL470" s="19">
        <f t="shared" si="224"/>
        <v>645.96</v>
      </c>
      <c r="AM470" s="19" t="e">
        <f t="shared" si="225"/>
        <v>#N/A</v>
      </c>
      <c r="AN470" s="19">
        <f t="shared" si="226"/>
        <v>445.96</v>
      </c>
      <c r="AO470" s="19" t="e">
        <f t="shared" si="227"/>
        <v>#N/A</v>
      </c>
      <c r="AP470" s="19">
        <f t="shared" si="228"/>
        <v>245.96</v>
      </c>
      <c r="AQ470" s="19" t="e">
        <f t="shared" si="229"/>
        <v>#N/A</v>
      </c>
      <c r="AR470" s="19">
        <f t="shared" si="230"/>
        <v>45.96</v>
      </c>
      <c r="AS470" s="19" t="e">
        <f t="shared" si="231"/>
        <v>#N/A</v>
      </c>
      <c r="AT470"/>
      <c r="AU470"/>
      <c r="AV470"/>
      <c r="AW470"/>
      <c r="AX470"/>
      <c r="AY470"/>
      <c r="AZ470"/>
      <c r="CB470"/>
      <c r="CC470"/>
      <c r="CD470"/>
      <c r="CE470"/>
      <c r="CJ470"/>
      <c r="CK470"/>
      <c r="CL470"/>
      <c r="CM470"/>
      <c r="CN470"/>
    </row>
    <row r="471" spans="14:92" ht="11.25" customHeight="1" x14ac:dyDescent="0.2">
      <c r="N471"/>
      <c r="O471"/>
      <c r="P471"/>
      <c r="Q471"/>
      <c r="R471"/>
      <c r="S471"/>
      <c r="T471"/>
      <c r="U471"/>
      <c r="V471"/>
      <c r="W471"/>
      <c r="X471"/>
      <c r="Y471"/>
      <c r="Z471"/>
      <c r="AA471"/>
      <c r="AB471"/>
      <c r="AC471"/>
      <c r="AD471"/>
      <c r="AE471" s="19">
        <v>380</v>
      </c>
      <c r="AG471" s="19">
        <f t="shared" si="219"/>
        <v>7</v>
      </c>
      <c r="AH471" s="19">
        <f t="shared" si="220"/>
        <v>1</v>
      </c>
      <c r="AI471" s="19">
        <f t="shared" si="221"/>
        <v>50.715000000000003</v>
      </c>
      <c r="AJ471" s="410">
        <f t="shared" si="222"/>
        <v>954.04</v>
      </c>
      <c r="AK471" s="19" t="e">
        <f t="shared" si="223"/>
        <v>#N/A</v>
      </c>
      <c r="AL471" s="19">
        <f t="shared" si="224"/>
        <v>754.04</v>
      </c>
      <c r="AM471" s="19" t="e">
        <f t="shared" si="225"/>
        <v>#N/A</v>
      </c>
      <c r="AN471" s="19">
        <f t="shared" si="226"/>
        <v>554.04</v>
      </c>
      <c r="AO471" s="19" t="e">
        <f t="shared" si="227"/>
        <v>#N/A</v>
      </c>
      <c r="AP471" s="19">
        <f t="shared" si="228"/>
        <v>354.04</v>
      </c>
      <c r="AQ471" s="19" t="e">
        <f t="shared" si="229"/>
        <v>#N/A</v>
      </c>
      <c r="AR471" s="19">
        <f t="shared" si="230"/>
        <v>154.04</v>
      </c>
      <c r="AS471" s="19" t="e">
        <f t="shared" si="231"/>
        <v>#N/A</v>
      </c>
      <c r="AT471"/>
      <c r="AU471"/>
      <c r="AV471"/>
      <c r="AW471"/>
      <c r="AX471"/>
      <c r="AY471"/>
      <c r="AZ471"/>
      <c r="CB471"/>
      <c r="CC471"/>
      <c r="CD471"/>
      <c r="CE471"/>
      <c r="CJ471"/>
      <c r="CK471"/>
      <c r="CL471"/>
      <c r="CM471"/>
      <c r="CN471"/>
    </row>
    <row r="472" spans="14:92" ht="11.25" customHeight="1" x14ac:dyDescent="0.2">
      <c r="N472"/>
      <c r="O472"/>
      <c r="P472"/>
      <c r="Q472"/>
      <c r="R472"/>
      <c r="S472"/>
      <c r="T472"/>
      <c r="U472"/>
      <c r="V472"/>
      <c r="W472"/>
      <c r="X472"/>
      <c r="Y472"/>
      <c r="Z472"/>
      <c r="AA472"/>
      <c r="AB472"/>
      <c r="AC472"/>
      <c r="AD472"/>
      <c r="AE472" s="19">
        <v>381</v>
      </c>
      <c r="AG472" s="19">
        <f t="shared" si="219"/>
        <v>9</v>
      </c>
      <c r="AH472" s="19">
        <f t="shared" si="220"/>
        <v>-1</v>
      </c>
      <c r="AI472" s="19">
        <f t="shared" si="221"/>
        <v>50.715000000000003</v>
      </c>
      <c r="AJ472" s="410">
        <f t="shared" si="222"/>
        <v>830.52</v>
      </c>
      <c r="AK472" s="19" t="e">
        <f t="shared" si="223"/>
        <v>#N/A</v>
      </c>
      <c r="AL472" s="19">
        <f t="shared" si="224"/>
        <v>630.52</v>
      </c>
      <c r="AM472" s="19" t="e">
        <f t="shared" si="225"/>
        <v>#N/A</v>
      </c>
      <c r="AN472" s="19">
        <f t="shared" si="226"/>
        <v>430.52</v>
      </c>
      <c r="AO472" s="19" t="e">
        <f t="shared" si="227"/>
        <v>#N/A</v>
      </c>
      <c r="AP472" s="19">
        <f t="shared" si="228"/>
        <v>230.51999999999998</v>
      </c>
      <c r="AQ472" s="19" t="e">
        <f t="shared" si="229"/>
        <v>#N/A</v>
      </c>
      <c r="AR472" s="19">
        <f t="shared" si="230"/>
        <v>30.519999999999996</v>
      </c>
      <c r="AS472" s="19" t="e">
        <f t="shared" si="231"/>
        <v>#N/A</v>
      </c>
      <c r="AT472"/>
      <c r="AU472"/>
      <c r="AV472"/>
      <c r="AW472"/>
      <c r="AX472"/>
      <c r="AY472"/>
      <c r="AZ472"/>
      <c r="CB472"/>
      <c r="CC472"/>
      <c r="CD472"/>
      <c r="CE472"/>
      <c r="CJ472"/>
      <c r="CK472"/>
      <c r="CL472"/>
      <c r="CM472"/>
      <c r="CN472"/>
    </row>
    <row r="473" spans="14:92" ht="11.25" customHeight="1" x14ac:dyDescent="0.2">
      <c r="N473"/>
      <c r="O473"/>
      <c r="P473"/>
      <c r="Q473"/>
      <c r="R473"/>
      <c r="S473"/>
      <c r="T473"/>
      <c r="U473"/>
      <c r="V473"/>
      <c r="W473"/>
      <c r="X473"/>
      <c r="Y473"/>
      <c r="Z473"/>
      <c r="AA473"/>
      <c r="AB473"/>
      <c r="AC473"/>
      <c r="AD473"/>
      <c r="AE473" s="19">
        <v>382</v>
      </c>
      <c r="AG473" s="19">
        <f t="shared" si="219"/>
        <v>9</v>
      </c>
      <c r="AH473" s="19">
        <f t="shared" si="220"/>
        <v>1</v>
      </c>
      <c r="AI473" s="19">
        <f t="shared" si="221"/>
        <v>50.715000000000003</v>
      </c>
      <c r="AJ473" s="410">
        <f t="shared" si="222"/>
        <v>969.48</v>
      </c>
      <c r="AK473" s="19" t="e">
        <f t="shared" si="223"/>
        <v>#N/A</v>
      </c>
      <c r="AL473" s="19">
        <f t="shared" si="224"/>
        <v>769.48</v>
      </c>
      <c r="AM473" s="19" t="e">
        <f t="shared" si="225"/>
        <v>#N/A</v>
      </c>
      <c r="AN473" s="19">
        <f t="shared" si="226"/>
        <v>569.48</v>
      </c>
      <c r="AO473" s="19" t="e">
        <f t="shared" si="227"/>
        <v>#N/A</v>
      </c>
      <c r="AP473" s="19">
        <f t="shared" si="228"/>
        <v>369.48</v>
      </c>
      <c r="AQ473" s="19" t="e">
        <f t="shared" si="229"/>
        <v>#N/A</v>
      </c>
      <c r="AR473" s="19">
        <f t="shared" si="230"/>
        <v>169.48000000000002</v>
      </c>
      <c r="AS473" s="19" t="e">
        <f t="shared" si="231"/>
        <v>#N/A</v>
      </c>
      <c r="AT473"/>
      <c r="AU473"/>
      <c r="AV473"/>
      <c r="AW473"/>
      <c r="AX473"/>
      <c r="AY473"/>
      <c r="AZ473"/>
      <c r="CB473"/>
      <c r="CC473"/>
      <c r="CD473"/>
      <c r="CE473"/>
      <c r="CJ473"/>
      <c r="CK473"/>
      <c r="CL473"/>
      <c r="CM473"/>
      <c r="CN473"/>
    </row>
    <row r="474" spans="14:92" ht="11.25" customHeight="1" x14ac:dyDescent="0.2">
      <c r="N474"/>
      <c r="O474"/>
      <c r="P474"/>
      <c r="Q474"/>
      <c r="R474"/>
      <c r="S474"/>
      <c r="T474"/>
      <c r="U474"/>
      <c r="V474"/>
      <c r="W474"/>
      <c r="X474"/>
      <c r="Y474"/>
      <c r="Z474"/>
      <c r="AA474"/>
      <c r="AB474"/>
      <c r="AC474"/>
      <c r="AD474"/>
      <c r="AE474" s="19">
        <v>383</v>
      </c>
      <c r="AG474" s="19">
        <f t="shared" si="219"/>
        <v>11</v>
      </c>
      <c r="AH474" s="19">
        <f t="shared" si="220"/>
        <v>-1</v>
      </c>
      <c r="AI474" s="19">
        <f t="shared" si="221"/>
        <v>50.715000000000003</v>
      </c>
      <c r="AJ474" s="410">
        <f t="shared" si="222"/>
        <v>815.08</v>
      </c>
      <c r="AK474" s="19" t="e">
        <f t="shared" si="223"/>
        <v>#N/A</v>
      </c>
      <c r="AL474" s="19">
        <f t="shared" si="224"/>
        <v>615.08000000000004</v>
      </c>
      <c r="AM474" s="19" t="e">
        <f t="shared" si="225"/>
        <v>#N/A</v>
      </c>
      <c r="AN474" s="19">
        <f t="shared" si="226"/>
        <v>415.08</v>
      </c>
      <c r="AO474" s="19" t="e">
        <f t="shared" si="227"/>
        <v>#N/A</v>
      </c>
      <c r="AP474" s="19">
        <f t="shared" si="228"/>
        <v>215.07999999999998</v>
      </c>
      <c r="AQ474" s="19" t="e">
        <f t="shared" si="229"/>
        <v>#N/A</v>
      </c>
      <c r="AR474" s="19">
        <f t="shared" si="230"/>
        <v>15.079999999999998</v>
      </c>
      <c r="AS474" s="19" t="e">
        <f t="shared" si="231"/>
        <v>#N/A</v>
      </c>
      <c r="AT474"/>
      <c r="AU474"/>
      <c r="AV474"/>
      <c r="AW474"/>
      <c r="AX474"/>
      <c r="AY474"/>
      <c r="AZ474"/>
      <c r="CB474"/>
      <c r="CC474"/>
      <c r="CD474"/>
      <c r="CE474"/>
      <c r="CJ474"/>
      <c r="CK474"/>
      <c r="CL474"/>
      <c r="CM474"/>
      <c r="CN474"/>
    </row>
    <row r="475" spans="14:92" ht="11.25" customHeight="1" x14ac:dyDescent="0.2">
      <c r="N475"/>
      <c r="O475"/>
      <c r="P475"/>
      <c r="Q475"/>
      <c r="R475"/>
      <c r="S475"/>
      <c r="T475"/>
      <c r="U475"/>
      <c r="V475"/>
      <c r="W475"/>
      <c r="X475"/>
      <c r="Y475"/>
      <c r="Z475"/>
      <c r="AA475"/>
      <c r="AB475"/>
      <c r="AC475"/>
      <c r="AD475"/>
      <c r="AE475" s="19">
        <v>384</v>
      </c>
      <c r="AG475" s="19">
        <f t="shared" si="219"/>
        <v>11</v>
      </c>
      <c r="AH475" s="19">
        <f t="shared" si="220"/>
        <v>1</v>
      </c>
      <c r="AI475" s="19">
        <f t="shared" si="221"/>
        <v>50.715000000000003</v>
      </c>
      <c r="AJ475" s="410">
        <f t="shared" si="222"/>
        <v>984.92</v>
      </c>
      <c r="AK475" s="19" t="e">
        <f t="shared" si="223"/>
        <v>#N/A</v>
      </c>
      <c r="AL475" s="19">
        <f t="shared" si="224"/>
        <v>784.92</v>
      </c>
      <c r="AM475" s="19" t="e">
        <f t="shared" si="225"/>
        <v>#N/A</v>
      </c>
      <c r="AN475" s="19">
        <f t="shared" si="226"/>
        <v>584.91999999999996</v>
      </c>
      <c r="AO475" s="19" t="e">
        <f t="shared" si="227"/>
        <v>#N/A</v>
      </c>
      <c r="AP475" s="19">
        <f t="shared" si="228"/>
        <v>384.92</v>
      </c>
      <c r="AQ475" s="19" t="e">
        <f t="shared" si="229"/>
        <v>#N/A</v>
      </c>
      <c r="AR475" s="19">
        <f t="shared" si="230"/>
        <v>184.92000000000002</v>
      </c>
      <c r="AS475" s="19" t="e">
        <f t="shared" si="231"/>
        <v>#N/A</v>
      </c>
      <c r="AT475"/>
      <c r="AU475"/>
      <c r="AV475"/>
      <c r="AW475"/>
      <c r="AX475"/>
      <c r="AY475"/>
      <c r="AZ475"/>
      <c r="CB475"/>
      <c r="CC475"/>
      <c r="CD475"/>
      <c r="CE475"/>
      <c r="CJ475"/>
      <c r="CK475"/>
      <c r="CL475"/>
      <c r="CM475"/>
      <c r="CN475"/>
    </row>
    <row r="476" spans="14:92" ht="11.25" customHeight="1" x14ac:dyDescent="0.2">
      <c r="N476"/>
      <c r="O476"/>
      <c r="P476"/>
      <c r="Q476"/>
      <c r="R476"/>
      <c r="S476"/>
      <c r="T476"/>
      <c r="U476"/>
      <c r="V476"/>
      <c r="W476"/>
      <c r="X476"/>
      <c r="Y476"/>
      <c r="Z476"/>
      <c r="AA476"/>
      <c r="AB476"/>
      <c r="AC476"/>
      <c r="AD476"/>
      <c r="AE476" s="19">
        <v>385</v>
      </c>
      <c r="AG476" s="19">
        <f t="shared" ref="AG476:AG539" si="232">2*ROUNDUP((MOD(AE476-1,$AB$94)+1)/2,0)-1</f>
        <v>1</v>
      </c>
      <c r="AH476" s="19">
        <f t="shared" ref="AH476:AH539" si="233">IF(AG476=AG477,-1,1)</f>
        <v>-1</v>
      </c>
      <c r="AI476" s="19">
        <f t="shared" ref="AI476:AI539" si="234">IF($BR$7,$AB$87*(0.5+INT((AE476-0.5)/$AB$94)),NA())</f>
        <v>52.325000000000003</v>
      </c>
      <c r="AJ476" s="410">
        <f t="shared" ref="AJ476:AJ539" si="235">IF($BP$11,$AM$87+$AB$90*AH476*AG476,NA())</f>
        <v>892.28</v>
      </c>
      <c r="AK476" s="19" t="e">
        <f t="shared" ref="AK476:AK539" si="236">IF($AG$83&lt;AE476,NA(),AI476)</f>
        <v>#N/A</v>
      </c>
      <c r="AL476" s="19">
        <f t="shared" ref="AL476:AL539" si="237">IF($BP$11,$AN$87+$AB$90*AH476*AG476,NA())</f>
        <v>692.28</v>
      </c>
      <c r="AM476" s="19" t="e">
        <f t="shared" ref="AM476:AM539" si="238">IF($AH$83&lt;AE476,NA(),AI476)</f>
        <v>#N/A</v>
      </c>
      <c r="AN476" s="19">
        <f t="shared" ref="AN476:AN539" si="239">IF($BP$11,$AO$87+$AB$90*AH476*AG476,NA())</f>
        <v>492.28</v>
      </c>
      <c r="AO476" s="19" t="e">
        <f t="shared" ref="AO476:AO539" si="240">IF($AI$83&lt;AE476,NA(),AI476)</f>
        <v>#N/A</v>
      </c>
      <c r="AP476" s="19">
        <f t="shared" ref="AP476:AP539" si="241">IF($BP$11,$AP$87+$AB$90*AH476*AG476,NA())</f>
        <v>292.27999999999997</v>
      </c>
      <c r="AQ476" s="19" t="e">
        <f t="shared" ref="AQ476:AQ539" si="242">IF($AJ$83&lt;AE476,NA(),AI476)</f>
        <v>#N/A</v>
      </c>
      <c r="AR476" s="19">
        <f t="shared" ref="AR476:AR539" si="243">IF($BP$11,$AQ$87+$AB$90*AH476*AG476,NA())</f>
        <v>92.28</v>
      </c>
      <c r="AS476" s="19" t="e">
        <f t="shared" ref="AS476:AS539" si="244">IF($AK$83&lt;AE476,NA(),AI476)</f>
        <v>#N/A</v>
      </c>
      <c r="AT476"/>
      <c r="AU476"/>
      <c r="AV476"/>
      <c r="AW476"/>
      <c r="AX476"/>
      <c r="AY476"/>
      <c r="AZ476"/>
      <c r="CB476"/>
      <c r="CC476"/>
      <c r="CD476"/>
      <c r="CE476"/>
      <c r="CJ476"/>
      <c r="CK476"/>
      <c r="CL476"/>
      <c r="CM476"/>
      <c r="CN476"/>
    </row>
    <row r="477" spans="14:92" ht="11.25" customHeight="1" x14ac:dyDescent="0.2">
      <c r="N477"/>
      <c r="O477"/>
      <c r="P477"/>
      <c r="Q477"/>
      <c r="R477"/>
      <c r="S477"/>
      <c r="T477"/>
      <c r="U477"/>
      <c r="V477"/>
      <c r="W477"/>
      <c r="X477"/>
      <c r="Y477"/>
      <c r="Z477"/>
      <c r="AA477"/>
      <c r="AB477"/>
      <c r="AC477"/>
      <c r="AD477"/>
      <c r="AE477" s="19">
        <v>386</v>
      </c>
      <c r="AG477" s="19">
        <f t="shared" si="232"/>
        <v>1</v>
      </c>
      <c r="AH477" s="19">
        <f t="shared" si="233"/>
        <v>1</v>
      </c>
      <c r="AI477" s="19">
        <f t="shared" si="234"/>
        <v>52.325000000000003</v>
      </c>
      <c r="AJ477" s="410">
        <f t="shared" si="235"/>
        <v>907.72</v>
      </c>
      <c r="AK477" s="19" t="e">
        <f t="shared" si="236"/>
        <v>#N/A</v>
      </c>
      <c r="AL477" s="19">
        <f t="shared" si="237"/>
        <v>707.72</v>
      </c>
      <c r="AM477" s="19" t="e">
        <f t="shared" si="238"/>
        <v>#N/A</v>
      </c>
      <c r="AN477" s="19">
        <f t="shared" si="239"/>
        <v>507.72</v>
      </c>
      <c r="AO477" s="19" t="e">
        <f t="shared" si="240"/>
        <v>#N/A</v>
      </c>
      <c r="AP477" s="19">
        <f t="shared" si="241"/>
        <v>307.72000000000003</v>
      </c>
      <c r="AQ477" s="19" t="e">
        <f t="shared" si="242"/>
        <v>#N/A</v>
      </c>
      <c r="AR477" s="19">
        <f t="shared" si="243"/>
        <v>107.72</v>
      </c>
      <c r="AS477" s="19" t="e">
        <f t="shared" si="244"/>
        <v>#N/A</v>
      </c>
      <c r="AT477"/>
      <c r="AU477"/>
      <c r="AV477"/>
      <c r="AW477"/>
      <c r="AX477"/>
      <c r="AY477"/>
      <c r="AZ477"/>
      <c r="CB477"/>
      <c r="CC477"/>
      <c r="CD477"/>
      <c r="CE477"/>
      <c r="CJ477"/>
      <c r="CK477"/>
      <c r="CL477"/>
      <c r="CM477"/>
      <c r="CN477"/>
    </row>
    <row r="478" spans="14:92" ht="11.25" customHeight="1" x14ac:dyDescent="0.2">
      <c r="N478"/>
      <c r="O478"/>
      <c r="P478"/>
      <c r="Q478"/>
      <c r="R478"/>
      <c r="S478"/>
      <c r="T478"/>
      <c r="U478"/>
      <c r="V478"/>
      <c r="W478"/>
      <c r="X478"/>
      <c r="Y478"/>
      <c r="Z478"/>
      <c r="AA478"/>
      <c r="AB478"/>
      <c r="AC478"/>
      <c r="AD478"/>
      <c r="AE478" s="19">
        <v>387</v>
      </c>
      <c r="AG478" s="19">
        <f t="shared" si="232"/>
        <v>3</v>
      </c>
      <c r="AH478" s="19">
        <f t="shared" si="233"/>
        <v>-1</v>
      </c>
      <c r="AI478" s="19">
        <f t="shared" si="234"/>
        <v>52.325000000000003</v>
      </c>
      <c r="AJ478" s="410">
        <f t="shared" si="235"/>
        <v>876.84</v>
      </c>
      <c r="AK478" s="19" t="e">
        <f t="shared" si="236"/>
        <v>#N/A</v>
      </c>
      <c r="AL478" s="19">
        <f t="shared" si="237"/>
        <v>676.84</v>
      </c>
      <c r="AM478" s="19" t="e">
        <f t="shared" si="238"/>
        <v>#N/A</v>
      </c>
      <c r="AN478" s="19">
        <f t="shared" si="239"/>
        <v>476.84</v>
      </c>
      <c r="AO478" s="19" t="e">
        <f t="shared" si="240"/>
        <v>#N/A</v>
      </c>
      <c r="AP478" s="19">
        <f t="shared" si="241"/>
        <v>276.83999999999997</v>
      </c>
      <c r="AQ478" s="19" t="e">
        <f t="shared" si="242"/>
        <v>#N/A</v>
      </c>
      <c r="AR478" s="19">
        <f t="shared" si="243"/>
        <v>76.84</v>
      </c>
      <c r="AS478" s="19" t="e">
        <f t="shared" si="244"/>
        <v>#N/A</v>
      </c>
      <c r="AT478"/>
      <c r="AU478"/>
      <c r="AV478"/>
      <c r="AW478"/>
      <c r="AX478"/>
      <c r="AY478"/>
      <c r="AZ478"/>
      <c r="CB478"/>
      <c r="CC478"/>
      <c r="CD478"/>
      <c r="CE478"/>
      <c r="CJ478"/>
      <c r="CK478"/>
      <c r="CL478"/>
      <c r="CM478"/>
      <c r="CN478"/>
    </row>
    <row r="479" spans="14:92" ht="11.25" customHeight="1" x14ac:dyDescent="0.2">
      <c r="N479"/>
      <c r="O479"/>
      <c r="P479"/>
      <c r="Q479"/>
      <c r="R479"/>
      <c r="S479"/>
      <c r="T479"/>
      <c r="U479"/>
      <c r="V479"/>
      <c r="W479"/>
      <c r="X479"/>
      <c r="Y479"/>
      <c r="Z479"/>
      <c r="AA479"/>
      <c r="AB479"/>
      <c r="AC479"/>
      <c r="AD479"/>
      <c r="AE479" s="19">
        <v>388</v>
      </c>
      <c r="AG479" s="19">
        <f t="shared" si="232"/>
        <v>3</v>
      </c>
      <c r="AH479" s="19">
        <f t="shared" si="233"/>
        <v>1</v>
      </c>
      <c r="AI479" s="19">
        <f t="shared" si="234"/>
        <v>52.325000000000003</v>
      </c>
      <c r="AJ479" s="410">
        <f t="shared" si="235"/>
        <v>923.16</v>
      </c>
      <c r="AK479" s="19" t="e">
        <f t="shared" si="236"/>
        <v>#N/A</v>
      </c>
      <c r="AL479" s="19">
        <f t="shared" si="237"/>
        <v>723.16</v>
      </c>
      <c r="AM479" s="19" t="e">
        <f t="shared" si="238"/>
        <v>#N/A</v>
      </c>
      <c r="AN479" s="19">
        <f t="shared" si="239"/>
        <v>523.16</v>
      </c>
      <c r="AO479" s="19" t="e">
        <f t="shared" si="240"/>
        <v>#N/A</v>
      </c>
      <c r="AP479" s="19">
        <f t="shared" si="241"/>
        <v>323.16000000000003</v>
      </c>
      <c r="AQ479" s="19" t="e">
        <f t="shared" si="242"/>
        <v>#N/A</v>
      </c>
      <c r="AR479" s="19">
        <f t="shared" si="243"/>
        <v>123.16</v>
      </c>
      <c r="AS479" s="19" t="e">
        <f t="shared" si="244"/>
        <v>#N/A</v>
      </c>
      <c r="AT479"/>
      <c r="AU479"/>
      <c r="AV479"/>
      <c r="AW479"/>
      <c r="AX479"/>
      <c r="AY479"/>
      <c r="AZ479"/>
      <c r="CB479"/>
      <c r="CC479"/>
      <c r="CD479"/>
      <c r="CE479"/>
      <c r="CJ479"/>
      <c r="CK479"/>
      <c r="CL479"/>
      <c r="CM479"/>
      <c r="CN479"/>
    </row>
    <row r="480" spans="14:92" ht="11.25" customHeight="1" x14ac:dyDescent="0.2">
      <c r="N480"/>
      <c r="O480"/>
      <c r="P480"/>
      <c r="Q480"/>
      <c r="R480"/>
      <c r="S480"/>
      <c r="T480"/>
      <c r="U480"/>
      <c r="V480"/>
      <c r="W480"/>
      <c r="X480"/>
      <c r="Y480"/>
      <c r="Z480"/>
      <c r="AA480"/>
      <c r="AB480"/>
      <c r="AC480"/>
      <c r="AD480"/>
      <c r="AE480" s="19">
        <v>389</v>
      </c>
      <c r="AG480" s="19">
        <f t="shared" si="232"/>
        <v>5</v>
      </c>
      <c r="AH480" s="19">
        <f t="shared" si="233"/>
        <v>-1</v>
      </c>
      <c r="AI480" s="19">
        <f t="shared" si="234"/>
        <v>52.325000000000003</v>
      </c>
      <c r="AJ480" s="410">
        <f t="shared" si="235"/>
        <v>861.4</v>
      </c>
      <c r="AK480" s="19" t="e">
        <f t="shared" si="236"/>
        <v>#N/A</v>
      </c>
      <c r="AL480" s="19">
        <f t="shared" si="237"/>
        <v>661.4</v>
      </c>
      <c r="AM480" s="19" t="e">
        <f t="shared" si="238"/>
        <v>#N/A</v>
      </c>
      <c r="AN480" s="19">
        <f t="shared" si="239"/>
        <v>461.4</v>
      </c>
      <c r="AO480" s="19" t="e">
        <f t="shared" si="240"/>
        <v>#N/A</v>
      </c>
      <c r="AP480" s="19">
        <f t="shared" si="241"/>
        <v>261.39999999999998</v>
      </c>
      <c r="AQ480" s="19" t="e">
        <f t="shared" si="242"/>
        <v>#N/A</v>
      </c>
      <c r="AR480" s="19">
        <f t="shared" si="243"/>
        <v>61.4</v>
      </c>
      <c r="AS480" s="19" t="e">
        <f t="shared" si="244"/>
        <v>#N/A</v>
      </c>
      <c r="AT480"/>
      <c r="AU480"/>
      <c r="AV480"/>
      <c r="AW480"/>
      <c r="AX480"/>
      <c r="AY480"/>
      <c r="AZ480"/>
      <c r="CB480"/>
      <c r="CC480"/>
      <c r="CD480"/>
      <c r="CE480"/>
      <c r="CJ480"/>
      <c r="CK480"/>
      <c r="CL480"/>
      <c r="CM480"/>
      <c r="CN480"/>
    </row>
    <row r="481" spans="14:92" ht="11.25" customHeight="1" x14ac:dyDescent="0.2">
      <c r="N481"/>
      <c r="O481"/>
      <c r="P481"/>
      <c r="Q481"/>
      <c r="R481"/>
      <c r="S481"/>
      <c r="T481"/>
      <c r="U481"/>
      <c r="V481"/>
      <c r="W481"/>
      <c r="X481"/>
      <c r="Y481"/>
      <c r="Z481"/>
      <c r="AA481"/>
      <c r="AB481"/>
      <c r="AC481"/>
      <c r="AD481"/>
      <c r="AE481" s="19">
        <v>390</v>
      </c>
      <c r="AG481" s="19">
        <f t="shared" si="232"/>
        <v>5</v>
      </c>
      <c r="AH481" s="19">
        <f t="shared" si="233"/>
        <v>1</v>
      </c>
      <c r="AI481" s="19">
        <f t="shared" si="234"/>
        <v>52.325000000000003</v>
      </c>
      <c r="AJ481" s="410">
        <f t="shared" si="235"/>
        <v>938.6</v>
      </c>
      <c r="AK481" s="19" t="e">
        <f t="shared" si="236"/>
        <v>#N/A</v>
      </c>
      <c r="AL481" s="19">
        <f t="shared" si="237"/>
        <v>738.6</v>
      </c>
      <c r="AM481" s="19" t="e">
        <f t="shared" si="238"/>
        <v>#N/A</v>
      </c>
      <c r="AN481" s="19">
        <f t="shared" si="239"/>
        <v>538.6</v>
      </c>
      <c r="AO481" s="19" t="e">
        <f t="shared" si="240"/>
        <v>#N/A</v>
      </c>
      <c r="AP481" s="19">
        <f t="shared" si="241"/>
        <v>338.6</v>
      </c>
      <c r="AQ481" s="19" t="e">
        <f t="shared" si="242"/>
        <v>#N/A</v>
      </c>
      <c r="AR481" s="19">
        <f t="shared" si="243"/>
        <v>138.6</v>
      </c>
      <c r="AS481" s="19" t="e">
        <f t="shared" si="244"/>
        <v>#N/A</v>
      </c>
      <c r="AT481"/>
      <c r="AU481"/>
      <c r="AV481"/>
      <c r="AW481"/>
      <c r="AX481"/>
      <c r="AY481"/>
      <c r="AZ481"/>
      <c r="CB481"/>
      <c r="CC481"/>
      <c r="CD481"/>
      <c r="CE481"/>
      <c r="CJ481"/>
      <c r="CK481"/>
      <c r="CL481"/>
      <c r="CM481"/>
      <c r="CN481"/>
    </row>
    <row r="482" spans="14:92" ht="11.25" customHeight="1" x14ac:dyDescent="0.2">
      <c r="N482"/>
      <c r="O482"/>
      <c r="P482"/>
      <c r="Q482"/>
      <c r="R482"/>
      <c r="S482"/>
      <c r="T482"/>
      <c r="U482"/>
      <c r="V482"/>
      <c r="W482"/>
      <c r="X482"/>
      <c r="Y482"/>
      <c r="Z482"/>
      <c r="AA482"/>
      <c r="AB482"/>
      <c r="AC482"/>
      <c r="AD482"/>
      <c r="AE482" s="19">
        <v>391</v>
      </c>
      <c r="AG482" s="19">
        <f t="shared" si="232"/>
        <v>7</v>
      </c>
      <c r="AH482" s="19">
        <f t="shared" si="233"/>
        <v>-1</v>
      </c>
      <c r="AI482" s="19">
        <f t="shared" si="234"/>
        <v>52.325000000000003</v>
      </c>
      <c r="AJ482" s="410">
        <f t="shared" si="235"/>
        <v>845.96</v>
      </c>
      <c r="AK482" s="19" t="e">
        <f t="shared" si="236"/>
        <v>#N/A</v>
      </c>
      <c r="AL482" s="19">
        <f t="shared" si="237"/>
        <v>645.96</v>
      </c>
      <c r="AM482" s="19" t="e">
        <f t="shared" si="238"/>
        <v>#N/A</v>
      </c>
      <c r="AN482" s="19">
        <f t="shared" si="239"/>
        <v>445.96</v>
      </c>
      <c r="AO482" s="19" t="e">
        <f t="shared" si="240"/>
        <v>#N/A</v>
      </c>
      <c r="AP482" s="19">
        <f t="shared" si="241"/>
        <v>245.96</v>
      </c>
      <c r="AQ482" s="19" t="e">
        <f t="shared" si="242"/>
        <v>#N/A</v>
      </c>
      <c r="AR482" s="19">
        <f t="shared" si="243"/>
        <v>45.96</v>
      </c>
      <c r="AS482" s="19" t="e">
        <f t="shared" si="244"/>
        <v>#N/A</v>
      </c>
      <c r="AT482"/>
      <c r="AU482"/>
      <c r="AV482"/>
      <c r="AW482"/>
      <c r="AX482"/>
      <c r="AY482"/>
      <c r="AZ482"/>
      <c r="CB482"/>
      <c r="CC482"/>
      <c r="CD482"/>
      <c r="CE482"/>
      <c r="CJ482"/>
      <c r="CK482"/>
      <c r="CL482"/>
      <c r="CM482"/>
      <c r="CN482"/>
    </row>
    <row r="483" spans="14:92" ht="11.25" customHeight="1" x14ac:dyDescent="0.2">
      <c r="N483"/>
      <c r="O483"/>
      <c r="P483"/>
      <c r="Q483"/>
      <c r="R483"/>
      <c r="S483"/>
      <c r="T483"/>
      <c r="U483"/>
      <c r="V483"/>
      <c r="W483"/>
      <c r="X483"/>
      <c r="Y483"/>
      <c r="Z483"/>
      <c r="AA483"/>
      <c r="AB483"/>
      <c r="AC483"/>
      <c r="AD483"/>
      <c r="AE483" s="19">
        <v>392</v>
      </c>
      <c r="AG483" s="19">
        <f t="shared" si="232"/>
        <v>7</v>
      </c>
      <c r="AH483" s="19">
        <f t="shared" si="233"/>
        <v>1</v>
      </c>
      <c r="AI483" s="19">
        <f t="shared" si="234"/>
        <v>52.325000000000003</v>
      </c>
      <c r="AJ483" s="410">
        <f t="shared" si="235"/>
        <v>954.04</v>
      </c>
      <c r="AK483" s="19" t="e">
        <f t="shared" si="236"/>
        <v>#N/A</v>
      </c>
      <c r="AL483" s="19">
        <f t="shared" si="237"/>
        <v>754.04</v>
      </c>
      <c r="AM483" s="19" t="e">
        <f t="shared" si="238"/>
        <v>#N/A</v>
      </c>
      <c r="AN483" s="19">
        <f t="shared" si="239"/>
        <v>554.04</v>
      </c>
      <c r="AO483" s="19" t="e">
        <f t="shared" si="240"/>
        <v>#N/A</v>
      </c>
      <c r="AP483" s="19">
        <f t="shared" si="241"/>
        <v>354.04</v>
      </c>
      <c r="AQ483" s="19" t="e">
        <f t="shared" si="242"/>
        <v>#N/A</v>
      </c>
      <c r="AR483" s="19">
        <f t="shared" si="243"/>
        <v>154.04</v>
      </c>
      <c r="AS483" s="19" t="e">
        <f t="shared" si="244"/>
        <v>#N/A</v>
      </c>
      <c r="AT483"/>
      <c r="AU483"/>
      <c r="AV483"/>
      <c r="AW483"/>
      <c r="AX483"/>
      <c r="AY483"/>
      <c r="AZ483"/>
      <c r="CB483"/>
      <c r="CC483"/>
      <c r="CD483"/>
      <c r="CE483"/>
      <c r="CJ483"/>
      <c r="CK483"/>
      <c r="CL483"/>
      <c r="CM483"/>
      <c r="CN483"/>
    </row>
    <row r="484" spans="14:92" ht="11.25" customHeight="1" x14ac:dyDescent="0.2">
      <c r="N484"/>
      <c r="O484"/>
      <c r="P484"/>
      <c r="Q484"/>
      <c r="R484"/>
      <c r="S484"/>
      <c r="T484"/>
      <c r="U484"/>
      <c r="V484"/>
      <c r="W484"/>
      <c r="X484"/>
      <c r="Y484"/>
      <c r="Z484"/>
      <c r="AA484"/>
      <c r="AB484"/>
      <c r="AC484"/>
      <c r="AD484"/>
      <c r="AE484" s="19">
        <v>393</v>
      </c>
      <c r="AG484" s="19">
        <f t="shared" si="232"/>
        <v>9</v>
      </c>
      <c r="AH484" s="19">
        <f t="shared" si="233"/>
        <v>-1</v>
      </c>
      <c r="AI484" s="19">
        <f t="shared" si="234"/>
        <v>52.325000000000003</v>
      </c>
      <c r="AJ484" s="410">
        <f t="shared" si="235"/>
        <v>830.52</v>
      </c>
      <c r="AK484" s="19" t="e">
        <f t="shared" si="236"/>
        <v>#N/A</v>
      </c>
      <c r="AL484" s="19">
        <f t="shared" si="237"/>
        <v>630.52</v>
      </c>
      <c r="AM484" s="19" t="e">
        <f t="shared" si="238"/>
        <v>#N/A</v>
      </c>
      <c r="AN484" s="19">
        <f t="shared" si="239"/>
        <v>430.52</v>
      </c>
      <c r="AO484" s="19" t="e">
        <f t="shared" si="240"/>
        <v>#N/A</v>
      </c>
      <c r="AP484" s="19">
        <f t="shared" si="241"/>
        <v>230.51999999999998</v>
      </c>
      <c r="AQ484" s="19" t="e">
        <f t="shared" si="242"/>
        <v>#N/A</v>
      </c>
      <c r="AR484" s="19">
        <f t="shared" si="243"/>
        <v>30.519999999999996</v>
      </c>
      <c r="AS484" s="19" t="e">
        <f t="shared" si="244"/>
        <v>#N/A</v>
      </c>
      <c r="AT484"/>
      <c r="AU484"/>
      <c r="AV484"/>
      <c r="AW484"/>
      <c r="AX484"/>
      <c r="AY484"/>
      <c r="AZ484"/>
      <c r="CB484"/>
      <c r="CC484"/>
      <c r="CD484"/>
      <c r="CE484"/>
      <c r="CJ484"/>
      <c r="CK484"/>
      <c r="CL484"/>
      <c r="CM484"/>
      <c r="CN484"/>
    </row>
    <row r="485" spans="14:92" ht="11.25" customHeight="1" x14ac:dyDescent="0.2">
      <c r="N485"/>
      <c r="O485"/>
      <c r="P485"/>
      <c r="Q485"/>
      <c r="R485"/>
      <c r="S485"/>
      <c r="T485"/>
      <c r="U485"/>
      <c r="V485"/>
      <c r="W485"/>
      <c r="X485"/>
      <c r="Y485"/>
      <c r="Z485"/>
      <c r="AA485"/>
      <c r="AB485"/>
      <c r="AC485"/>
      <c r="AD485"/>
      <c r="AE485" s="19">
        <v>394</v>
      </c>
      <c r="AG485" s="19">
        <f t="shared" si="232"/>
        <v>9</v>
      </c>
      <c r="AH485" s="19">
        <f t="shared" si="233"/>
        <v>1</v>
      </c>
      <c r="AI485" s="19">
        <f t="shared" si="234"/>
        <v>52.325000000000003</v>
      </c>
      <c r="AJ485" s="410">
        <f t="shared" si="235"/>
        <v>969.48</v>
      </c>
      <c r="AK485" s="19" t="e">
        <f t="shared" si="236"/>
        <v>#N/A</v>
      </c>
      <c r="AL485" s="19">
        <f t="shared" si="237"/>
        <v>769.48</v>
      </c>
      <c r="AM485" s="19" t="e">
        <f t="shared" si="238"/>
        <v>#N/A</v>
      </c>
      <c r="AN485" s="19">
        <f t="shared" si="239"/>
        <v>569.48</v>
      </c>
      <c r="AO485" s="19" t="e">
        <f t="shared" si="240"/>
        <v>#N/A</v>
      </c>
      <c r="AP485" s="19">
        <f t="shared" si="241"/>
        <v>369.48</v>
      </c>
      <c r="AQ485" s="19" t="e">
        <f t="shared" si="242"/>
        <v>#N/A</v>
      </c>
      <c r="AR485" s="19">
        <f t="shared" si="243"/>
        <v>169.48000000000002</v>
      </c>
      <c r="AS485" s="19" t="e">
        <f t="shared" si="244"/>
        <v>#N/A</v>
      </c>
      <c r="AT485"/>
      <c r="AU485"/>
      <c r="AV485"/>
      <c r="AW485"/>
      <c r="AX485"/>
      <c r="AY485"/>
      <c r="AZ485"/>
      <c r="CB485"/>
      <c r="CC485"/>
      <c r="CD485"/>
      <c r="CE485"/>
      <c r="CJ485"/>
      <c r="CK485"/>
      <c r="CL485"/>
      <c r="CM485"/>
      <c r="CN485"/>
    </row>
    <row r="486" spans="14:92" ht="11.25" customHeight="1" x14ac:dyDescent="0.2">
      <c r="N486"/>
      <c r="O486"/>
      <c r="P486"/>
      <c r="Q486"/>
      <c r="R486"/>
      <c r="S486"/>
      <c r="T486"/>
      <c r="U486"/>
      <c r="V486"/>
      <c r="W486"/>
      <c r="X486"/>
      <c r="Y486"/>
      <c r="Z486"/>
      <c r="AA486"/>
      <c r="AB486"/>
      <c r="AC486"/>
      <c r="AD486"/>
      <c r="AE486" s="19">
        <v>395</v>
      </c>
      <c r="AG486" s="19">
        <f t="shared" si="232"/>
        <v>11</v>
      </c>
      <c r="AH486" s="19">
        <f t="shared" si="233"/>
        <v>-1</v>
      </c>
      <c r="AI486" s="19">
        <f t="shared" si="234"/>
        <v>52.325000000000003</v>
      </c>
      <c r="AJ486" s="410">
        <f t="shared" si="235"/>
        <v>815.08</v>
      </c>
      <c r="AK486" s="19" t="e">
        <f t="shared" si="236"/>
        <v>#N/A</v>
      </c>
      <c r="AL486" s="19">
        <f t="shared" si="237"/>
        <v>615.08000000000004</v>
      </c>
      <c r="AM486" s="19" t="e">
        <f t="shared" si="238"/>
        <v>#N/A</v>
      </c>
      <c r="AN486" s="19">
        <f t="shared" si="239"/>
        <v>415.08</v>
      </c>
      <c r="AO486" s="19" t="e">
        <f t="shared" si="240"/>
        <v>#N/A</v>
      </c>
      <c r="AP486" s="19">
        <f t="shared" si="241"/>
        <v>215.07999999999998</v>
      </c>
      <c r="AQ486" s="19" t="e">
        <f t="shared" si="242"/>
        <v>#N/A</v>
      </c>
      <c r="AR486" s="19">
        <f t="shared" si="243"/>
        <v>15.079999999999998</v>
      </c>
      <c r="AS486" s="19" t="e">
        <f t="shared" si="244"/>
        <v>#N/A</v>
      </c>
      <c r="AT486"/>
      <c r="AU486"/>
      <c r="AV486"/>
      <c r="AW486"/>
      <c r="AX486"/>
      <c r="AY486"/>
      <c r="AZ486"/>
      <c r="CB486"/>
      <c r="CC486"/>
      <c r="CD486"/>
      <c r="CE486"/>
      <c r="CJ486"/>
      <c r="CK486"/>
      <c r="CL486"/>
      <c r="CM486"/>
      <c r="CN486"/>
    </row>
    <row r="487" spans="14:92" ht="11.25" customHeight="1" x14ac:dyDescent="0.2">
      <c r="N487"/>
      <c r="O487"/>
      <c r="P487"/>
      <c r="Q487"/>
      <c r="R487"/>
      <c r="S487"/>
      <c r="T487"/>
      <c r="U487"/>
      <c r="V487"/>
      <c r="W487"/>
      <c r="X487"/>
      <c r="Y487"/>
      <c r="Z487"/>
      <c r="AA487"/>
      <c r="AB487"/>
      <c r="AC487"/>
      <c r="AD487"/>
      <c r="AE487" s="19">
        <v>396</v>
      </c>
      <c r="AG487" s="19">
        <f t="shared" si="232"/>
        <v>11</v>
      </c>
      <c r="AH487" s="19">
        <f t="shared" si="233"/>
        <v>1</v>
      </c>
      <c r="AI487" s="19">
        <f t="shared" si="234"/>
        <v>52.325000000000003</v>
      </c>
      <c r="AJ487" s="410">
        <f t="shared" si="235"/>
        <v>984.92</v>
      </c>
      <c r="AK487" s="19" t="e">
        <f t="shared" si="236"/>
        <v>#N/A</v>
      </c>
      <c r="AL487" s="19">
        <f t="shared" si="237"/>
        <v>784.92</v>
      </c>
      <c r="AM487" s="19" t="e">
        <f t="shared" si="238"/>
        <v>#N/A</v>
      </c>
      <c r="AN487" s="19">
        <f t="shared" si="239"/>
        <v>584.91999999999996</v>
      </c>
      <c r="AO487" s="19" t="e">
        <f t="shared" si="240"/>
        <v>#N/A</v>
      </c>
      <c r="AP487" s="19">
        <f t="shared" si="241"/>
        <v>384.92</v>
      </c>
      <c r="AQ487" s="19" t="e">
        <f t="shared" si="242"/>
        <v>#N/A</v>
      </c>
      <c r="AR487" s="19">
        <f t="shared" si="243"/>
        <v>184.92000000000002</v>
      </c>
      <c r="AS487" s="19" t="e">
        <f t="shared" si="244"/>
        <v>#N/A</v>
      </c>
      <c r="AT487"/>
      <c r="AU487"/>
      <c r="AV487"/>
      <c r="AW487"/>
      <c r="AX487"/>
      <c r="AY487"/>
      <c r="AZ487"/>
      <c r="CB487"/>
      <c r="CC487"/>
      <c r="CD487"/>
      <c r="CE487"/>
      <c r="CJ487"/>
      <c r="CK487"/>
      <c r="CL487"/>
      <c r="CM487"/>
      <c r="CN487"/>
    </row>
    <row r="488" spans="14:92" ht="11.25" customHeight="1" x14ac:dyDescent="0.2">
      <c r="Z488"/>
      <c r="AA488"/>
      <c r="AB488"/>
      <c r="AC488"/>
      <c r="AD488"/>
      <c r="AE488" s="19">
        <v>397</v>
      </c>
      <c r="AG488" s="19">
        <f t="shared" si="232"/>
        <v>1</v>
      </c>
      <c r="AH488" s="19">
        <f t="shared" si="233"/>
        <v>-1</v>
      </c>
      <c r="AI488" s="19">
        <f t="shared" si="234"/>
        <v>53.935000000000002</v>
      </c>
      <c r="AJ488" s="410">
        <f t="shared" si="235"/>
        <v>892.28</v>
      </c>
      <c r="AK488" s="19" t="e">
        <f t="shared" si="236"/>
        <v>#N/A</v>
      </c>
      <c r="AL488" s="19">
        <f t="shared" si="237"/>
        <v>692.28</v>
      </c>
      <c r="AM488" s="19" t="e">
        <f t="shared" si="238"/>
        <v>#N/A</v>
      </c>
      <c r="AN488" s="19">
        <f t="shared" si="239"/>
        <v>492.28</v>
      </c>
      <c r="AO488" s="19" t="e">
        <f t="shared" si="240"/>
        <v>#N/A</v>
      </c>
      <c r="AP488" s="19">
        <f t="shared" si="241"/>
        <v>292.27999999999997</v>
      </c>
      <c r="AQ488" s="19" t="e">
        <f t="shared" si="242"/>
        <v>#N/A</v>
      </c>
      <c r="AR488" s="19">
        <f t="shared" si="243"/>
        <v>92.28</v>
      </c>
      <c r="AS488" s="19" t="e">
        <f t="shared" si="244"/>
        <v>#N/A</v>
      </c>
      <c r="AT488"/>
      <c r="AU488"/>
      <c r="AV488"/>
      <c r="AW488"/>
      <c r="AX488"/>
      <c r="AY488"/>
      <c r="AZ488"/>
      <c r="CB488"/>
      <c r="CC488"/>
      <c r="CD488"/>
      <c r="CE488"/>
      <c r="CJ488"/>
      <c r="CK488"/>
      <c r="CL488"/>
      <c r="CM488"/>
      <c r="CN488"/>
    </row>
    <row r="489" spans="14:92" ht="11.25" customHeight="1" x14ac:dyDescent="0.2">
      <c r="Z489"/>
      <c r="AA489"/>
      <c r="AB489"/>
      <c r="AC489"/>
      <c r="AD489"/>
      <c r="AE489" s="19">
        <v>398</v>
      </c>
      <c r="AG489" s="19">
        <f t="shared" si="232"/>
        <v>1</v>
      </c>
      <c r="AH489" s="19">
        <f t="shared" si="233"/>
        <v>1</v>
      </c>
      <c r="AI489" s="19">
        <f t="shared" si="234"/>
        <v>53.935000000000002</v>
      </c>
      <c r="AJ489" s="410">
        <f t="shared" si="235"/>
        <v>907.72</v>
      </c>
      <c r="AK489" s="19" t="e">
        <f t="shared" si="236"/>
        <v>#N/A</v>
      </c>
      <c r="AL489" s="19">
        <f t="shared" si="237"/>
        <v>707.72</v>
      </c>
      <c r="AM489" s="19" t="e">
        <f t="shared" si="238"/>
        <v>#N/A</v>
      </c>
      <c r="AN489" s="19">
        <f t="shared" si="239"/>
        <v>507.72</v>
      </c>
      <c r="AO489" s="19" t="e">
        <f t="shared" si="240"/>
        <v>#N/A</v>
      </c>
      <c r="AP489" s="19">
        <f t="shared" si="241"/>
        <v>307.72000000000003</v>
      </c>
      <c r="AQ489" s="19" t="e">
        <f t="shared" si="242"/>
        <v>#N/A</v>
      </c>
      <c r="AR489" s="19">
        <f t="shared" si="243"/>
        <v>107.72</v>
      </c>
      <c r="AS489" s="19" t="e">
        <f t="shared" si="244"/>
        <v>#N/A</v>
      </c>
      <c r="AT489"/>
      <c r="AU489"/>
      <c r="AV489"/>
      <c r="AW489"/>
      <c r="AX489"/>
      <c r="AY489"/>
      <c r="AZ489"/>
      <c r="CB489"/>
      <c r="CC489"/>
      <c r="CD489"/>
      <c r="CE489"/>
      <c r="CJ489"/>
      <c r="CK489"/>
      <c r="CL489"/>
      <c r="CM489"/>
      <c r="CN489"/>
    </row>
    <row r="490" spans="14:92" ht="11.25" customHeight="1" x14ac:dyDescent="0.2">
      <c r="Z490"/>
      <c r="AA490"/>
      <c r="AB490"/>
      <c r="AC490"/>
      <c r="AD490"/>
      <c r="AE490" s="19">
        <v>399</v>
      </c>
      <c r="AG490" s="19">
        <f t="shared" si="232"/>
        <v>3</v>
      </c>
      <c r="AH490" s="19">
        <f t="shared" si="233"/>
        <v>-1</v>
      </c>
      <c r="AI490" s="19">
        <f t="shared" si="234"/>
        <v>53.935000000000002</v>
      </c>
      <c r="AJ490" s="410">
        <f t="shared" si="235"/>
        <v>876.84</v>
      </c>
      <c r="AK490" s="19" t="e">
        <f t="shared" si="236"/>
        <v>#N/A</v>
      </c>
      <c r="AL490" s="19">
        <f t="shared" si="237"/>
        <v>676.84</v>
      </c>
      <c r="AM490" s="19" t="e">
        <f t="shared" si="238"/>
        <v>#N/A</v>
      </c>
      <c r="AN490" s="19">
        <f t="shared" si="239"/>
        <v>476.84</v>
      </c>
      <c r="AO490" s="19" t="e">
        <f t="shared" si="240"/>
        <v>#N/A</v>
      </c>
      <c r="AP490" s="19">
        <f t="shared" si="241"/>
        <v>276.83999999999997</v>
      </c>
      <c r="AQ490" s="19" t="e">
        <f t="shared" si="242"/>
        <v>#N/A</v>
      </c>
      <c r="AR490" s="19">
        <f t="shared" si="243"/>
        <v>76.84</v>
      </c>
      <c r="AS490" s="19" t="e">
        <f t="shared" si="244"/>
        <v>#N/A</v>
      </c>
      <c r="AT490"/>
      <c r="AU490"/>
      <c r="AV490"/>
      <c r="AW490"/>
      <c r="CB490"/>
      <c r="CC490"/>
      <c r="CD490"/>
      <c r="CE490"/>
      <c r="CJ490"/>
      <c r="CK490"/>
      <c r="CL490"/>
      <c r="CM490"/>
      <c r="CN490"/>
    </row>
    <row r="491" spans="14:92" ht="11.25" customHeight="1" x14ac:dyDescent="0.2">
      <c r="Z491"/>
      <c r="AA491"/>
      <c r="AB491"/>
      <c r="AE491" s="19">
        <v>400</v>
      </c>
      <c r="AG491" s="19">
        <f t="shared" si="232"/>
        <v>3</v>
      </c>
      <c r="AH491" s="19">
        <f t="shared" si="233"/>
        <v>1</v>
      </c>
      <c r="AI491" s="19">
        <f t="shared" si="234"/>
        <v>53.935000000000002</v>
      </c>
      <c r="AJ491" s="410">
        <f t="shared" si="235"/>
        <v>923.16</v>
      </c>
      <c r="AK491" s="19" t="e">
        <f t="shared" si="236"/>
        <v>#N/A</v>
      </c>
      <c r="AL491" s="19">
        <f t="shared" si="237"/>
        <v>723.16</v>
      </c>
      <c r="AM491" s="19" t="e">
        <f t="shared" si="238"/>
        <v>#N/A</v>
      </c>
      <c r="AN491" s="19">
        <f t="shared" si="239"/>
        <v>523.16</v>
      </c>
      <c r="AO491" s="19" t="e">
        <f t="shared" si="240"/>
        <v>#N/A</v>
      </c>
      <c r="AP491" s="19">
        <f t="shared" si="241"/>
        <v>323.16000000000003</v>
      </c>
      <c r="AQ491" s="19" t="e">
        <f t="shared" si="242"/>
        <v>#N/A</v>
      </c>
      <c r="AR491" s="19">
        <f t="shared" si="243"/>
        <v>123.16</v>
      </c>
      <c r="AS491" s="19" t="e">
        <f t="shared" si="244"/>
        <v>#N/A</v>
      </c>
      <c r="AT491"/>
      <c r="AU491"/>
      <c r="AV491"/>
      <c r="AW491"/>
      <c r="CB491"/>
      <c r="CC491"/>
      <c r="CD491"/>
      <c r="CE491"/>
      <c r="CJ491"/>
      <c r="CK491"/>
      <c r="CL491"/>
      <c r="CM491"/>
      <c r="CN491"/>
    </row>
    <row r="492" spans="14:92" ht="11.25" customHeight="1" x14ac:dyDescent="0.2">
      <c r="Z492"/>
      <c r="AA492"/>
      <c r="AB492"/>
      <c r="AE492" s="19">
        <v>401</v>
      </c>
      <c r="AG492" s="19">
        <f t="shared" si="232"/>
        <v>5</v>
      </c>
      <c r="AH492" s="19">
        <f t="shared" si="233"/>
        <v>-1</v>
      </c>
      <c r="AI492" s="19">
        <f t="shared" si="234"/>
        <v>53.935000000000002</v>
      </c>
      <c r="AJ492" s="410">
        <f t="shared" si="235"/>
        <v>861.4</v>
      </c>
      <c r="AK492" s="19" t="e">
        <f t="shared" si="236"/>
        <v>#N/A</v>
      </c>
      <c r="AL492" s="19">
        <f t="shared" si="237"/>
        <v>661.4</v>
      </c>
      <c r="AM492" s="19" t="e">
        <f t="shared" si="238"/>
        <v>#N/A</v>
      </c>
      <c r="AN492" s="19">
        <f t="shared" si="239"/>
        <v>461.4</v>
      </c>
      <c r="AO492" s="19" t="e">
        <f t="shared" si="240"/>
        <v>#N/A</v>
      </c>
      <c r="AP492" s="19">
        <f t="shared" si="241"/>
        <v>261.39999999999998</v>
      </c>
      <c r="AQ492" s="19" t="e">
        <f t="shared" si="242"/>
        <v>#N/A</v>
      </c>
      <c r="AR492" s="19">
        <f t="shared" si="243"/>
        <v>61.4</v>
      </c>
      <c r="AS492" s="19" t="e">
        <f t="shared" si="244"/>
        <v>#N/A</v>
      </c>
      <c r="AT492"/>
      <c r="AU492"/>
      <c r="AV492"/>
      <c r="AW492"/>
      <c r="CB492"/>
      <c r="CC492"/>
      <c r="CD492"/>
      <c r="CE492"/>
      <c r="CJ492"/>
      <c r="CK492"/>
      <c r="CL492"/>
      <c r="CM492"/>
      <c r="CN492"/>
    </row>
    <row r="493" spans="14:92" ht="11.25" customHeight="1" x14ac:dyDescent="0.2">
      <c r="Z493"/>
      <c r="AA493"/>
      <c r="AB493"/>
      <c r="AE493" s="19">
        <v>402</v>
      </c>
      <c r="AG493" s="19">
        <f t="shared" si="232"/>
        <v>5</v>
      </c>
      <c r="AH493" s="19">
        <f t="shared" si="233"/>
        <v>1</v>
      </c>
      <c r="AI493" s="19">
        <f t="shared" si="234"/>
        <v>53.935000000000002</v>
      </c>
      <c r="AJ493" s="410">
        <f t="shared" si="235"/>
        <v>938.6</v>
      </c>
      <c r="AK493" s="19" t="e">
        <f t="shared" si="236"/>
        <v>#N/A</v>
      </c>
      <c r="AL493" s="19">
        <f t="shared" si="237"/>
        <v>738.6</v>
      </c>
      <c r="AM493" s="19" t="e">
        <f t="shared" si="238"/>
        <v>#N/A</v>
      </c>
      <c r="AN493" s="19">
        <f t="shared" si="239"/>
        <v>538.6</v>
      </c>
      <c r="AO493" s="19" t="e">
        <f t="shared" si="240"/>
        <v>#N/A</v>
      </c>
      <c r="AP493" s="19">
        <f t="shared" si="241"/>
        <v>338.6</v>
      </c>
      <c r="AQ493" s="19" t="e">
        <f t="shared" si="242"/>
        <v>#N/A</v>
      </c>
      <c r="AR493" s="19">
        <f t="shared" si="243"/>
        <v>138.6</v>
      </c>
      <c r="AS493" s="19" t="e">
        <f t="shared" si="244"/>
        <v>#N/A</v>
      </c>
      <c r="CB493"/>
      <c r="CC493"/>
      <c r="CD493"/>
      <c r="CE493"/>
      <c r="CJ493"/>
      <c r="CK493"/>
      <c r="CL493"/>
      <c r="CM493"/>
      <c r="CN493"/>
    </row>
    <row r="494" spans="14:92" ht="11.25" customHeight="1" x14ac:dyDescent="0.2">
      <c r="Z494"/>
      <c r="AA494"/>
      <c r="AB494"/>
      <c r="AE494" s="19">
        <v>403</v>
      </c>
      <c r="AG494" s="19">
        <f t="shared" si="232"/>
        <v>7</v>
      </c>
      <c r="AH494" s="19">
        <f t="shared" si="233"/>
        <v>-1</v>
      </c>
      <c r="AI494" s="19">
        <f t="shared" si="234"/>
        <v>53.935000000000002</v>
      </c>
      <c r="AJ494" s="410">
        <f t="shared" si="235"/>
        <v>845.96</v>
      </c>
      <c r="AK494" s="19" t="e">
        <f t="shared" si="236"/>
        <v>#N/A</v>
      </c>
      <c r="AL494" s="19">
        <f t="shared" si="237"/>
        <v>645.96</v>
      </c>
      <c r="AM494" s="19" t="e">
        <f t="shared" si="238"/>
        <v>#N/A</v>
      </c>
      <c r="AN494" s="19">
        <f t="shared" si="239"/>
        <v>445.96</v>
      </c>
      <c r="AO494" s="19" t="e">
        <f t="shared" si="240"/>
        <v>#N/A</v>
      </c>
      <c r="AP494" s="19">
        <f t="shared" si="241"/>
        <v>245.96</v>
      </c>
      <c r="AQ494" s="19" t="e">
        <f t="shared" si="242"/>
        <v>#N/A</v>
      </c>
      <c r="AR494" s="19">
        <f t="shared" si="243"/>
        <v>45.96</v>
      </c>
      <c r="AS494" s="19" t="e">
        <f t="shared" si="244"/>
        <v>#N/A</v>
      </c>
      <c r="CB494"/>
      <c r="CC494"/>
      <c r="CD494"/>
      <c r="CE494"/>
      <c r="CJ494"/>
      <c r="CK494"/>
      <c r="CL494"/>
      <c r="CM494"/>
      <c r="CN494"/>
    </row>
    <row r="495" spans="14:92" ht="11.25" customHeight="1" x14ac:dyDescent="0.2">
      <c r="Z495"/>
      <c r="AA495"/>
      <c r="AB495"/>
      <c r="AE495" s="19">
        <v>404</v>
      </c>
      <c r="AG495" s="19">
        <f t="shared" si="232"/>
        <v>7</v>
      </c>
      <c r="AH495" s="19">
        <f t="shared" si="233"/>
        <v>1</v>
      </c>
      <c r="AI495" s="19">
        <f t="shared" si="234"/>
        <v>53.935000000000002</v>
      </c>
      <c r="AJ495" s="410">
        <f t="shared" si="235"/>
        <v>954.04</v>
      </c>
      <c r="AK495" s="19" t="e">
        <f t="shared" si="236"/>
        <v>#N/A</v>
      </c>
      <c r="AL495" s="19">
        <f t="shared" si="237"/>
        <v>754.04</v>
      </c>
      <c r="AM495" s="19" t="e">
        <f t="shared" si="238"/>
        <v>#N/A</v>
      </c>
      <c r="AN495" s="19">
        <f t="shared" si="239"/>
        <v>554.04</v>
      </c>
      <c r="AO495" s="19" t="e">
        <f t="shared" si="240"/>
        <v>#N/A</v>
      </c>
      <c r="AP495" s="19">
        <f t="shared" si="241"/>
        <v>354.04</v>
      </c>
      <c r="AQ495" s="19" t="e">
        <f t="shared" si="242"/>
        <v>#N/A</v>
      </c>
      <c r="AR495" s="19">
        <f t="shared" si="243"/>
        <v>154.04</v>
      </c>
      <c r="AS495" s="19" t="e">
        <f t="shared" si="244"/>
        <v>#N/A</v>
      </c>
      <c r="CB495"/>
      <c r="CC495"/>
      <c r="CD495"/>
      <c r="CE495"/>
      <c r="CJ495"/>
      <c r="CK495"/>
      <c r="CL495"/>
      <c r="CM495"/>
      <c r="CN495"/>
    </row>
    <row r="496" spans="14:92" ht="11.25" customHeight="1" x14ac:dyDescent="0.2">
      <c r="AE496" s="19">
        <v>405</v>
      </c>
      <c r="AG496" s="19">
        <f t="shared" si="232"/>
        <v>9</v>
      </c>
      <c r="AH496" s="19">
        <f t="shared" si="233"/>
        <v>-1</v>
      </c>
      <c r="AI496" s="19">
        <f t="shared" si="234"/>
        <v>53.935000000000002</v>
      </c>
      <c r="AJ496" s="410">
        <f t="shared" si="235"/>
        <v>830.52</v>
      </c>
      <c r="AK496" s="19" t="e">
        <f t="shared" si="236"/>
        <v>#N/A</v>
      </c>
      <c r="AL496" s="19">
        <f t="shared" si="237"/>
        <v>630.52</v>
      </c>
      <c r="AM496" s="19" t="e">
        <f t="shared" si="238"/>
        <v>#N/A</v>
      </c>
      <c r="AN496" s="19">
        <f t="shared" si="239"/>
        <v>430.52</v>
      </c>
      <c r="AO496" s="19" t="e">
        <f t="shared" si="240"/>
        <v>#N/A</v>
      </c>
      <c r="AP496" s="19">
        <f t="shared" si="241"/>
        <v>230.51999999999998</v>
      </c>
      <c r="AQ496" s="19" t="e">
        <f t="shared" si="242"/>
        <v>#N/A</v>
      </c>
      <c r="AR496" s="19">
        <f t="shared" si="243"/>
        <v>30.519999999999996</v>
      </c>
      <c r="AS496" s="19" t="e">
        <f t="shared" si="244"/>
        <v>#N/A</v>
      </c>
      <c r="CB496"/>
      <c r="CC496"/>
      <c r="CD496"/>
      <c r="CE496"/>
      <c r="CJ496"/>
      <c r="CK496"/>
      <c r="CL496"/>
      <c r="CM496"/>
      <c r="CN496"/>
    </row>
    <row r="497" spans="31:92" ht="11.25" customHeight="1" x14ac:dyDescent="0.2">
      <c r="AE497" s="19">
        <v>406</v>
      </c>
      <c r="AG497" s="19">
        <f t="shared" si="232"/>
        <v>9</v>
      </c>
      <c r="AH497" s="19">
        <f t="shared" si="233"/>
        <v>1</v>
      </c>
      <c r="AI497" s="19">
        <f t="shared" si="234"/>
        <v>53.935000000000002</v>
      </c>
      <c r="AJ497" s="410">
        <f t="shared" si="235"/>
        <v>969.48</v>
      </c>
      <c r="AK497" s="19" t="e">
        <f t="shared" si="236"/>
        <v>#N/A</v>
      </c>
      <c r="AL497" s="19">
        <f t="shared" si="237"/>
        <v>769.48</v>
      </c>
      <c r="AM497" s="19" t="e">
        <f t="shared" si="238"/>
        <v>#N/A</v>
      </c>
      <c r="AN497" s="19">
        <f t="shared" si="239"/>
        <v>569.48</v>
      </c>
      <c r="AO497" s="19" t="e">
        <f t="shared" si="240"/>
        <v>#N/A</v>
      </c>
      <c r="AP497" s="19">
        <f t="shared" si="241"/>
        <v>369.48</v>
      </c>
      <c r="AQ497" s="19" t="e">
        <f t="shared" si="242"/>
        <v>#N/A</v>
      </c>
      <c r="AR497" s="19">
        <f t="shared" si="243"/>
        <v>169.48000000000002</v>
      </c>
      <c r="AS497" s="19" t="e">
        <f t="shared" si="244"/>
        <v>#N/A</v>
      </c>
      <c r="CB497"/>
      <c r="CC497"/>
      <c r="CD497"/>
      <c r="CE497"/>
      <c r="CJ497"/>
      <c r="CK497"/>
      <c r="CL497"/>
      <c r="CM497"/>
      <c r="CN497"/>
    </row>
    <row r="498" spans="31:92" ht="11.25" customHeight="1" x14ac:dyDescent="0.2">
      <c r="AE498" s="19">
        <v>407</v>
      </c>
      <c r="AG498" s="19">
        <f t="shared" si="232"/>
        <v>11</v>
      </c>
      <c r="AH498" s="19">
        <f t="shared" si="233"/>
        <v>-1</v>
      </c>
      <c r="AI498" s="19">
        <f t="shared" si="234"/>
        <v>53.935000000000002</v>
      </c>
      <c r="AJ498" s="410">
        <f t="shared" si="235"/>
        <v>815.08</v>
      </c>
      <c r="AK498" s="19" t="e">
        <f t="shared" si="236"/>
        <v>#N/A</v>
      </c>
      <c r="AL498" s="19">
        <f t="shared" si="237"/>
        <v>615.08000000000004</v>
      </c>
      <c r="AM498" s="19" t="e">
        <f t="shared" si="238"/>
        <v>#N/A</v>
      </c>
      <c r="AN498" s="19">
        <f t="shared" si="239"/>
        <v>415.08</v>
      </c>
      <c r="AO498" s="19" t="e">
        <f t="shared" si="240"/>
        <v>#N/A</v>
      </c>
      <c r="AP498" s="19">
        <f t="shared" si="241"/>
        <v>215.07999999999998</v>
      </c>
      <c r="AQ498" s="19" t="e">
        <f t="shared" si="242"/>
        <v>#N/A</v>
      </c>
      <c r="AR498" s="19">
        <f t="shared" si="243"/>
        <v>15.079999999999998</v>
      </c>
      <c r="AS498" s="19" t="e">
        <f t="shared" si="244"/>
        <v>#N/A</v>
      </c>
      <c r="CB498"/>
      <c r="CC498"/>
      <c r="CD498"/>
      <c r="CE498"/>
      <c r="CJ498"/>
      <c r="CK498"/>
      <c r="CL498"/>
      <c r="CM498"/>
      <c r="CN498"/>
    </row>
    <row r="499" spans="31:92" ht="11.25" customHeight="1" x14ac:dyDescent="0.2">
      <c r="AE499" s="19">
        <v>408</v>
      </c>
      <c r="AG499" s="19">
        <f t="shared" si="232"/>
        <v>11</v>
      </c>
      <c r="AH499" s="19">
        <f t="shared" si="233"/>
        <v>1</v>
      </c>
      <c r="AI499" s="19">
        <f t="shared" si="234"/>
        <v>53.935000000000002</v>
      </c>
      <c r="AJ499" s="410">
        <f t="shared" si="235"/>
        <v>984.92</v>
      </c>
      <c r="AK499" s="19" t="e">
        <f t="shared" si="236"/>
        <v>#N/A</v>
      </c>
      <c r="AL499" s="19">
        <f t="shared" si="237"/>
        <v>784.92</v>
      </c>
      <c r="AM499" s="19" t="e">
        <f t="shared" si="238"/>
        <v>#N/A</v>
      </c>
      <c r="AN499" s="19">
        <f t="shared" si="239"/>
        <v>584.91999999999996</v>
      </c>
      <c r="AO499" s="19" t="e">
        <f t="shared" si="240"/>
        <v>#N/A</v>
      </c>
      <c r="AP499" s="19">
        <f t="shared" si="241"/>
        <v>384.92</v>
      </c>
      <c r="AQ499" s="19" t="e">
        <f t="shared" si="242"/>
        <v>#N/A</v>
      </c>
      <c r="AR499" s="19">
        <f t="shared" si="243"/>
        <v>184.92000000000002</v>
      </c>
      <c r="AS499" s="19" t="e">
        <f t="shared" si="244"/>
        <v>#N/A</v>
      </c>
      <c r="CB499"/>
      <c r="CC499"/>
      <c r="CD499"/>
      <c r="CE499"/>
      <c r="CJ499"/>
      <c r="CK499"/>
      <c r="CL499"/>
      <c r="CM499"/>
      <c r="CN499"/>
    </row>
    <row r="500" spans="31:92" ht="11.25" customHeight="1" x14ac:dyDescent="0.2">
      <c r="AE500" s="19">
        <v>409</v>
      </c>
      <c r="AG500" s="19">
        <f t="shared" si="232"/>
        <v>1</v>
      </c>
      <c r="AH500" s="19">
        <f t="shared" si="233"/>
        <v>-1</v>
      </c>
      <c r="AI500" s="19">
        <f t="shared" si="234"/>
        <v>55.545000000000002</v>
      </c>
      <c r="AJ500" s="410">
        <f t="shared" si="235"/>
        <v>892.28</v>
      </c>
      <c r="AK500" s="19" t="e">
        <f t="shared" si="236"/>
        <v>#N/A</v>
      </c>
      <c r="AL500" s="19">
        <f t="shared" si="237"/>
        <v>692.28</v>
      </c>
      <c r="AM500" s="19" t="e">
        <f t="shared" si="238"/>
        <v>#N/A</v>
      </c>
      <c r="AN500" s="19">
        <f t="shared" si="239"/>
        <v>492.28</v>
      </c>
      <c r="AO500" s="19" t="e">
        <f t="shared" si="240"/>
        <v>#N/A</v>
      </c>
      <c r="AP500" s="19">
        <f t="shared" si="241"/>
        <v>292.27999999999997</v>
      </c>
      <c r="AQ500" s="19" t="e">
        <f t="shared" si="242"/>
        <v>#N/A</v>
      </c>
      <c r="AR500" s="19">
        <f t="shared" si="243"/>
        <v>92.28</v>
      </c>
      <c r="AS500" s="19" t="e">
        <f t="shared" si="244"/>
        <v>#N/A</v>
      </c>
      <c r="CB500"/>
      <c r="CC500"/>
      <c r="CD500"/>
      <c r="CE500"/>
      <c r="CJ500"/>
      <c r="CK500"/>
      <c r="CL500"/>
      <c r="CM500"/>
      <c r="CN500"/>
    </row>
    <row r="501" spans="31:92" ht="11.25" customHeight="1" x14ac:dyDescent="0.2">
      <c r="AE501" s="19">
        <v>410</v>
      </c>
      <c r="AG501" s="19">
        <f t="shared" si="232"/>
        <v>1</v>
      </c>
      <c r="AH501" s="19">
        <f t="shared" si="233"/>
        <v>1</v>
      </c>
      <c r="AI501" s="19">
        <f t="shared" si="234"/>
        <v>55.545000000000002</v>
      </c>
      <c r="AJ501" s="410">
        <f t="shared" si="235"/>
        <v>907.72</v>
      </c>
      <c r="AK501" s="19" t="e">
        <f t="shared" si="236"/>
        <v>#N/A</v>
      </c>
      <c r="AL501" s="19">
        <f t="shared" si="237"/>
        <v>707.72</v>
      </c>
      <c r="AM501" s="19" t="e">
        <f t="shared" si="238"/>
        <v>#N/A</v>
      </c>
      <c r="AN501" s="19">
        <f t="shared" si="239"/>
        <v>507.72</v>
      </c>
      <c r="AO501" s="19" t="e">
        <f t="shared" si="240"/>
        <v>#N/A</v>
      </c>
      <c r="AP501" s="19">
        <f t="shared" si="241"/>
        <v>307.72000000000003</v>
      </c>
      <c r="AQ501" s="19" t="e">
        <f t="shared" si="242"/>
        <v>#N/A</v>
      </c>
      <c r="AR501" s="19">
        <f t="shared" si="243"/>
        <v>107.72</v>
      </c>
      <c r="AS501" s="19" t="e">
        <f t="shared" si="244"/>
        <v>#N/A</v>
      </c>
      <c r="CB501"/>
      <c r="CC501"/>
      <c r="CD501"/>
      <c r="CE501"/>
      <c r="CJ501"/>
      <c r="CK501"/>
      <c r="CL501"/>
      <c r="CM501"/>
      <c r="CN501"/>
    </row>
    <row r="502" spans="31:92" ht="11.25" customHeight="1" x14ac:dyDescent="0.2">
      <c r="AE502" s="19">
        <v>411</v>
      </c>
      <c r="AG502" s="19">
        <f t="shared" si="232"/>
        <v>3</v>
      </c>
      <c r="AH502" s="19">
        <f t="shared" si="233"/>
        <v>-1</v>
      </c>
      <c r="AI502" s="19">
        <f t="shared" si="234"/>
        <v>55.545000000000002</v>
      </c>
      <c r="AJ502" s="410">
        <f t="shared" si="235"/>
        <v>876.84</v>
      </c>
      <c r="AK502" s="19" t="e">
        <f t="shared" si="236"/>
        <v>#N/A</v>
      </c>
      <c r="AL502" s="19">
        <f t="shared" si="237"/>
        <v>676.84</v>
      </c>
      <c r="AM502" s="19" t="e">
        <f t="shared" si="238"/>
        <v>#N/A</v>
      </c>
      <c r="AN502" s="19">
        <f t="shared" si="239"/>
        <v>476.84</v>
      </c>
      <c r="AO502" s="19" t="e">
        <f t="shared" si="240"/>
        <v>#N/A</v>
      </c>
      <c r="AP502" s="19">
        <f t="shared" si="241"/>
        <v>276.83999999999997</v>
      </c>
      <c r="AQ502" s="19" t="e">
        <f t="shared" si="242"/>
        <v>#N/A</v>
      </c>
      <c r="AR502" s="19">
        <f t="shared" si="243"/>
        <v>76.84</v>
      </c>
      <c r="AS502" s="19" t="e">
        <f t="shared" si="244"/>
        <v>#N/A</v>
      </c>
      <c r="CB502"/>
      <c r="CC502"/>
      <c r="CD502"/>
      <c r="CE502"/>
      <c r="CJ502"/>
      <c r="CK502"/>
      <c r="CL502"/>
      <c r="CM502"/>
      <c r="CN502"/>
    </row>
    <row r="503" spans="31:92" ht="11.25" customHeight="1" x14ac:dyDescent="0.2">
      <c r="AE503" s="19">
        <v>412</v>
      </c>
      <c r="AG503" s="19">
        <f t="shared" si="232"/>
        <v>3</v>
      </c>
      <c r="AH503" s="19">
        <f t="shared" si="233"/>
        <v>1</v>
      </c>
      <c r="AI503" s="19">
        <f t="shared" si="234"/>
        <v>55.545000000000002</v>
      </c>
      <c r="AJ503" s="410">
        <f t="shared" si="235"/>
        <v>923.16</v>
      </c>
      <c r="AK503" s="19" t="e">
        <f t="shared" si="236"/>
        <v>#N/A</v>
      </c>
      <c r="AL503" s="19">
        <f t="shared" si="237"/>
        <v>723.16</v>
      </c>
      <c r="AM503" s="19" t="e">
        <f t="shared" si="238"/>
        <v>#N/A</v>
      </c>
      <c r="AN503" s="19">
        <f t="shared" si="239"/>
        <v>523.16</v>
      </c>
      <c r="AO503" s="19" t="e">
        <f t="shared" si="240"/>
        <v>#N/A</v>
      </c>
      <c r="AP503" s="19">
        <f t="shared" si="241"/>
        <v>323.16000000000003</v>
      </c>
      <c r="AQ503" s="19" t="e">
        <f t="shared" si="242"/>
        <v>#N/A</v>
      </c>
      <c r="AR503" s="19">
        <f t="shared" si="243"/>
        <v>123.16</v>
      </c>
      <c r="AS503" s="19" t="e">
        <f t="shared" si="244"/>
        <v>#N/A</v>
      </c>
      <c r="CB503"/>
      <c r="CC503"/>
      <c r="CD503"/>
      <c r="CE503"/>
      <c r="CJ503"/>
      <c r="CK503"/>
      <c r="CL503"/>
      <c r="CM503"/>
      <c r="CN503"/>
    </row>
    <row r="504" spans="31:92" ht="11.25" customHeight="1" x14ac:dyDescent="0.2">
      <c r="AE504" s="19">
        <v>413</v>
      </c>
      <c r="AG504" s="19">
        <f t="shared" si="232"/>
        <v>5</v>
      </c>
      <c r="AH504" s="19">
        <f t="shared" si="233"/>
        <v>-1</v>
      </c>
      <c r="AI504" s="19">
        <f t="shared" si="234"/>
        <v>55.545000000000002</v>
      </c>
      <c r="AJ504" s="410">
        <f t="shared" si="235"/>
        <v>861.4</v>
      </c>
      <c r="AK504" s="19" t="e">
        <f t="shared" si="236"/>
        <v>#N/A</v>
      </c>
      <c r="AL504" s="19">
        <f t="shared" si="237"/>
        <v>661.4</v>
      </c>
      <c r="AM504" s="19" t="e">
        <f t="shared" si="238"/>
        <v>#N/A</v>
      </c>
      <c r="AN504" s="19">
        <f t="shared" si="239"/>
        <v>461.4</v>
      </c>
      <c r="AO504" s="19" t="e">
        <f t="shared" si="240"/>
        <v>#N/A</v>
      </c>
      <c r="AP504" s="19">
        <f t="shared" si="241"/>
        <v>261.39999999999998</v>
      </c>
      <c r="AQ504" s="19" t="e">
        <f t="shared" si="242"/>
        <v>#N/A</v>
      </c>
      <c r="AR504" s="19">
        <f t="shared" si="243"/>
        <v>61.4</v>
      </c>
      <c r="AS504" s="19" t="e">
        <f t="shared" si="244"/>
        <v>#N/A</v>
      </c>
      <c r="CB504"/>
      <c r="CC504"/>
      <c r="CD504"/>
      <c r="CE504"/>
      <c r="CJ504"/>
      <c r="CK504"/>
      <c r="CL504"/>
      <c r="CM504"/>
      <c r="CN504"/>
    </row>
    <row r="505" spans="31:92" ht="11.25" customHeight="1" x14ac:dyDescent="0.2">
      <c r="AE505" s="19">
        <v>414</v>
      </c>
      <c r="AG505" s="19">
        <f t="shared" si="232"/>
        <v>5</v>
      </c>
      <c r="AH505" s="19">
        <f t="shared" si="233"/>
        <v>1</v>
      </c>
      <c r="AI505" s="19">
        <f t="shared" si="234"/>
        <v>55.545000000000002</v>
      </c>
      <c r="AJ505" s="410">
        <f t="shared" si="235"/>
        <v>938.6</v>
      </c>
      <c r="AK505" s="19" t="e">
        <f t="shared" si="236"/>
        <v>#N/A</v>
      </c>
      <c r="AL505" s="19">
        <f t="shared" si="237"/>
        <v>738.6</v>
      </c>
      <c r="AM505" s="19" t="e">
        <f t="shared" si="238"/>
        <v>#N/A</v>
      </c>
      <c r="AN505" s="19">
        <f t="shared" si="239"/>
        <v>538.6</v>
      </c>
      <c r="AO505" s="19" t="e">
        <f t="shared" si="240"/>
        <v>#N/A</v>
      </c>
      <c r="AP505" s="19">
        <f t="shared" si="241"/>
        <v>338.6</v>
      </c>
      <c r="AQ505" s="19" t="e">
        <f t="shared" si="242"/>
        <v>#N/A</v>
      </c>
      <c r="AR505" s="19">
        <f t="shared" si="243"/>
        <v>138.6</v>
      </c>
      <c r="AS505" s="19" t="e">
        <f t="shared" si="244"/>
        <v>#N/A</v>
      </c>
      <c r="CB505"/>
      <c r="CC505"/>
      <c r="CD505"/>
      <c r="CE505"/>
      <c r="CJ505"/>
      <c r="CK505"/>
      <c r="CL505"/>
      <c r="CM505"/>
      <c r="CN505"/>
    </row>
    <row r="506" spans="31:92" ht="11.25" customHeight="1" x14ac:dyDescent="0.2">
      <c r="AE506" s="19">
        <v>415</v>
      </c>
      <c r="AG506" s="19">
        <f t="shared" si="232"/>
        <v>7</v>
      </c>
      <c r="AH506" s="19">
        <f t="shared" si="233"/>
        <v>-1</v>
      </c>
      <c r="AI506" s="19">
        <f t="shared" si="234"/>
        <v>55.545000000000002</v>
      </c>
      <c r="AJ506" s="410">
        <f t="shared" si="235"/>
        <v>845.96</v>
      </c>
      <c r="AK506" s="19" t="e">
        <f t="shared" si="236"/>
        <v>#N/A</v>
      </c>
      <c r="AL506" s="19">
        <f t="shared" si="237"/>
        <v>645.96</v>
      </c>
      <c r="AM506" s="19" t="e">
        <f t="shared" si="238"/>
        <v>#N/A</v>
      </c>
      <c r="AN506" s="19">
        <f t="shared" si="239"/>
        <v>445.96</v>
      </c>
      <c r="AO506" s="19" t="e">
        <f t="shared" si="240"/>
        <v>#N/A</v>
      </c>
      <c r="AP506" s="19">
        <f t="shared" si="241"/>
        <v>245.96</v>
      </c>
      <c r="AQ506" s="19" t="e">
        <f t="shared" si="242"/>
        <v>#N/A</v>
      </c>
      <c r="AR506" s="19">
        <f t="shared" si="243"/>
        <v>45.96</v>
      </c>
      <c r="AS506" s="19" t="e">
        <f t="shared" si="244"/>
        <v>#N/A</v>
      </c>
      <c r="CB506"/>
      <c r="CC506"/>
      <c r="CD506"/>
      <c r="CE506"/>
      <c r="CJ506"/>
      <c r="CK506"/>
      <c r="CL506"/>
      <c r="CM506"/>
      <c r="CN506"/>
    </row>
    <row r="507" spans="31:92" ht="11.25" customHeight="1" x14ac:dyDescent="0.2">
      <c r="AE507" s="19">
        <v>416</v>
      </c>
      <c r="AG507" s="19">
        <f t="shared" si="232"/>
        <v>7</v>
      </c>
      <c r="AH507" s="19">
        <f t="shared" si="233"/>
        <v>1</v>
      </c>
      <c r="AI507" s="19">
        <f t="shared" si="234"/>
        <v>55.545000000000002</v>
      </c>
      <c r="AJ507" s="410">
        <f t="shared" si="235"/>
        <v>954.04</v>
      </c>
      <c r="AK507" s="19" t="e">
        <f t="shared" si="236"/>
        <v>#N/A</v>
      </c>
      <c r="AL507" s="19">
        <f t="shared" si="237"/>
        <v>754.04</v>
      </c>
      <c r="AM507" s="19" t="e">
        <f t="shared" si="238"/>
        <v>#N/A</v>
      </c>
      <c r="AN507" s="19">
        <f t="shared" si="239"/>
        <v>554.04</v>
      </c>
      <c r="AO507" s="19" t="e">
        <f t="shared" si="240"/>
        <v>#N/A</v>
      </c>
      <c r="AP507" s="19">
        <f t="shared" si="241"/>
        <v>354.04</v>
      </c>
      <c r="AQ507" s="19" t="e">
        <f t="shared" si="242"/>
        <v>#N/A</v>
      </c>
      <c r="AR507" s="19">
        <f t="shared" si="243"/>
        <v>154.04</v>
      </c>
      <c r="AS507" s="19" t="e">
        <f t="shared" si="244"/>
        <v>#N/A</v>
      </c>
      <c r="CB507"/>
      <c r="CC507"/>
      <c r="CD507"/>
      <c r="CE507"/>
      <c r="CJ507"/>
      <c r="CK507"/>
      <c r="CL507"/>
      <c r="CM507"/>
      <c r="CN507"/>
    </row>
    <row r="508" spans="31:92" ht="11.25" customHeight="1" x14ac:dyDescent="0.2">
      <c r="AE508" s="19">
        <v>417</v>
      </c>
      <c r="AG508" s="19">
        <f t="shared" si="232"/>
        <v>9</v>
      </c>
      <c r="AH508" s="19">
        <f t="shared" si="233"/>
        <v>-1</v>
      </c>
      <c r="AI508" s="19">
        <f t="shared" si="234"/>
        <v>55.545000000000002</v>
      </c>
      <c r="AJ508" s="410">
        <f t="shared" si="235"/>
        <v>830.52</v>
      </c>
      <c r="AK508" s="19" t="e">
        <f t="shared" si="236"/>
        <v>#N/A</v>
      </c>
      <c r="AL508" s="19">
        <f t="shared" si="237"/>
        <v>630.52</v>
      </c>
      <c r="AM508" s="19" t="e">
        <f t="shared" si="238"/>
        <v>#N/A</v>
      </c>
      <c r="AN508" s="19">
        <f t="shared" si="239"/>
        <v>430.52</v>
      </c>
      <c r="AO508" s="19" t="e">
        <f t="shared" si="240"/>
        <v>#N/A</v>
      </c>
      <c r="AP508" s="19">
        <f t="shared" si="241"/>
        <v>230.51999999999998</v>
      </c>
      <c r="AQ508" s="19" t="e">
        <f t="shared" si="242"/>
        <v>#N/A</v>
      </c>
      <c r="AR508" s="19">
        <f t="shared" si="243"/>
        <v>30.519999999999996</v>
      </c>
      <c r="AS508" s="19" t="e">
        <f t="shared" si="244"/>
        <v>#N/A</v>
      </c>
      <c r="CB508"/>
      <c r="CC508"/>
      <c r="CD508"/>
      <c r="CE508"/>
      <c r="CJ508"/>
      <c r="CK508"/>
      <c r="CL508"/>
      <c r="CM508"/>
      <c r="CN508"/>
    </row>
    <row r="509" spans="31:92" ht="11.25" customHeight="1" x14ac:dyDescent="0.2">
      <c r="AE509" s="19">
        <v>418</v>
      </c>
      <c r="AG509" s="19">
        <f t="shared" si="232"/>
        <v>9</v>
      </c>
      <c r="AH509" s="19">
        <f t="shared" si="233"/>
        <v>1</v>
      </c>
      <c r="AI509" s="19">
        <f t="shared" si="234"/>
        <v>55.545000000000002</v>
      </c>
      <c r="AJ509" s="410">
        <f t="shared" si="235"/>
        <v>969.48</v>
      </c>
      <c r="AK509" s="19" t="e">
        <f t="shared" si="236"/>
        <v>#N/A</v>
      </c>
      <c r="AL509" s="19">
        <f t="shared" si="237"/>
        <v>769.48</v>
      </c>
      <c r="AM509" s="19" t="e">
        <f t="shared" si="238"/>
        <v>#N/A</v>
      </c>
      <c r="AN509" s="19">
        <f t="shared" si="239"/>
        <v>569.48</v>
      </c>
      <c r="AO509" s="19" t="e">
        <f t="shared" si="240"/>
        <v>#N/A</v>
      </c>
      <c r="AP509" s="19">
        <f t="shared" si="241"/>
        <v>369.48</v>
      </c>
      <c r="AQ509" s="19" t="e">
        <f t="shared" si="242"/>
        <v>#N/A</v>
      </c>
      <c r="AR509" s="19">
        <f t="shared" si="243"/>
        <v>169.48000000000002</v>
      </c>
      <c r="AS509" s="19" t="e">
        <f t="shared" si="244"/>
        <v>#N/A</v>
      </c>
      <c r="CB509"/>
      <c r="CC509"/>
      <c r="CD509"/>
      <c r="CE509"/>
      <c r="CJ509"/>
      <c r="CK509"/>
      <c r="CL509"/>
      <c r="CM509"/>
      <c r="CN509"/>
    </row>
    <row r="510" spans="31:92" ht="11.25" customHeight="1" x14ac:dyDescent="0.2">
      <c r="AE510" s="19">
        <v>419</v>
      </c>
      <c r="AG510" s="19">
        <f t="shared" si="232"/>
        <v>11</v>
      </c>
      <c r="AH510" s="19">
        <f t="shared" si="233"/>
        <v>-1</v>
      </c>
      <c r="AI510" s="19">
        <f t="shared" si="234"/>
        <v>55.545000000000002</v>
      </c>
      <c r="AJ510" s="410">
        <f t="shared" si="235"/>
        <v>815.08</v>
      </c>
      <c r="AK510" s="19" t="e">
        <f t="shared" si="236"/>
        <v>#N/A</v>
      </c>
      <c r="AL510" s="19">
        <f t="shared" si="237"/>
        <v>615.08000000000004</v>
      </c>
      <c r="AM510" s="19" t="e">
        <f t="shared" si="238"/>
        <v>#N/A</v>
      </c>
      <c r="AN510" s="19">
        <f t="shared" si="239"/>
        <v>415.08</v>
      </c>
      <c r="AO510" s="19" t="e">
        <f t="shared" si="240"/>
        <v>#N/A</v>
      </c>
      <c r="AP510" s="19">
        <f t="shared" si="241"/>
        <v>215.07999999999998</v>
      </c>
      <c r="AQ510" s="19" t="e">
        <f t="shared" si="242"/>
        <v>#N/A</v>
      </c>
      <c r="AR510" s="19">
        <f t="shared" si="243"/>
        <v>15.079999999999998</v>
      </c>
      <c r="AS510" s="19" t="e">
        <f t="shared" si="244"/>
        <v>#N/A</v>
      </c>
      <c r="CB510"/>
      <c r="CC510"/>
      <c r="CD510"/>
      <c r="CE510"/>
      <c r="CJ510"/>
      <c r="CK510"/>
      <c r="CL510"/>
      <c r="CM510"/>
      <c r="CN510"/>
    </row>
    <row r="511" spans="31:92" ht="11.25" customHeight="1" x14ac:dyDescent="0.2">
      <c r="AE511" s="19">
        <v>420</v>
      </c>
      <c r="AG511" s="19">
        <f t="shared" si="232"/>
        <v>11</v>
      </c>
      <c r="AH511" s="19">
        <f t="shared" si="233"/>
        <v>1</v>
      </c>
      <c r="AI511" s="19">
        <f t="shared" si="234"/>
        <v>55.545000000000002</v>
      </c>
      <c r="AJ511" s="410">
        <f t="shared" si="235"/>
        <v>984.92</v>
      </c>
      <c r="AK511" s="19" t="e">
        <f t="shared" si="236"/>
        <v>#N/A</v>
      </c>
      <c r="AL511" s="19">
        <f t="shared" si="237"/>
        <v>784.92</v>
      </c>
      <c r="AM511" s="19" t="e">
        <f t="shared" si="238"/>
        <v>#N/A</v>
      </c>
      <c r="AN511" s="19">
        <f t="shared" si="239"/>
        <v>584.91999999999996</v>
      </c>
      <c r="AO511" s="19" t="e">
        <f t="shared" si="240"/>
        <v>#N/A</v>
      </c>
      <c r="AP511" s="19">
        <f t="shared" si="241"/>
        <v>384.92</v>
      </c>
      <c r="AQ511" s="19" t="e">
        <f t="shared" si="242"/>
        <v>#N/A</v>
      </c>
      <c r="AR511" s="19">
        <f t="shared" si="243"/>
        <v>184.92000000000002</v>
      </c>
      <c r="AS511" s="19" t="e">
        <f t="shared" si="244"/>
        <v>#N/A</v>
      </c>
      <c r="CB511"/>
      <c r="CC511"/>
      <c r="CD511"/>
      <c r="CE511"/>
      <c r="CJ511"/>
      <c r="CK511"/>
      <c r="CL511"/>
      <c r="CM511"/>
      <c r="CN511"/>
    </row>
    <row r="512" spans="31:92" ht="11.25" customHeight="1" x14ac:dyDescent="0.2">
      <c r="AE512" s="19">
        <v>421</v>
      </c>
      <c r="AG512" s="19">
        <f t="shared" si="232"/>
        <v>1</v>
      </c>
      <c r="AH512" s="19">
        <f t="shared" si="233"/>
        <v>-1</v>
      </c>
      <c r="AI512" s="19">
        <f t="shared" si="234"/>
        <v>57.155000000000001</v>
      </c>
      <c r="AJ512" s="410">
        <f t="shared" si="235"/>
        <v>892.28</v>
      </c>
      <c r="AK512" s="19" t="e">
        <f t="shared" si="236"/>
        <v>#N/A</v>
      </c>
      <c r="AL512" s="19">
        <f t="shared" si="237"/>
        <v>692.28</v>
      </c>
      <c r="AM512" s="19" t="e">
        <f t="shared" si="238"/>
        <v>#N/A</v>
      </c>
      <c r="AN512" s="19">
        <f t="shared" si="239"/>
        <v>492.28</v>
      </c>
      <c r="AO512" s="19" t="e">
        <f t="shared" si="240"/>
        <v>#N/A</v>
      </c>
      <c r="AP512" s="19">
        <f t="shared" si="241"/>
        <v>292.27999999999997</v>
      </c>
      <c r="AQ512" s="19" t="e">
        <f t="shared" si="242"/>
        <v>#N/A</v>
      </c>
      <c r="AR512" s="19">
        <f t="shared" si="243"/>
        <v>92.28</v>
      </c>
      <c r="AS512" s="19" t="e">
        <f t="shared" si="244"/>
        <v>#N/A</v>
      </c>
      <c r="CB512"/>
      <c r="CC512"/>
      <c r="CD512"/>
      <c r="CE512"/>
      <c r="CJ512"/>
      <c r="CK512"/>
      <c r="CL512"/>
      <c r="CM512"/>
      <c r="CN512"/>
    </row>
    <row r="513" spans="31:92" ht="11.25" customHeight="1" x14ac:dyDescent="0.2">
      <c r="AE513" s="19">
        <v>422</v>
      </c>
      <c r="AG513" s="19">
        <f t="shared" si="232"/>
        <v>1</v>
      </c>
      <c r="AH513" s="19">
        <f t="shared" si="233"/>
        <v>1</v>
      </c>
      <c r="AI513" s="19">
        <f t="shared" si="234"/>
        <v>57.155000000000001</v>
      </c>
      <c r="AJ513" s="410">
        <f t="shared" si="235"/>
        <v>907.72</v>
      </c>
      <c r="AK513" s="19" t="e">
        <f t="shared" si="236"/>
        <v>#N/A</v>
      </c>
      <c r="AL513" s="19">
        <f t="shared" si="237"/>
        <v>707.72</v>
      </c>
      <c r="AM513" s="19" t="e">
        <f t="shared" si="238"/>
        <v>#N/A</v>
      </c>
      <c r="AN513" s="19">
        <f t="shared" si="239"/>
        <v>507.72</v>
      </c>
      <c r="AO513" s="19" t="e">
        <f t="shared" si="240"/>
        <v>#N/A</v>
      </c>
      <c r="AP513" s="19">
        <f t="shared" si="241"/>
        <v>307.72000000000003</v>
      </c>
      <c r="AQ513" s="19" t="e">
        <f t="shared" si="242"/>
        <v>#N/A</v>
      </c>
      <c r="AR513" s="19">
        <f t="shared" si="243"/>
        <v>107.72</v>
      </c>
      <c r="AS513" s="19" t="e">
        <f t="shared" si="244"/>
        <v>#N/A</v>
      </c>
      <c r="CB513"/>
      <c r="CC513"/>
      <c r="CD513"/>
      <c r="CE513"/>
      <c r="CJ513"/>
      <c r="CK513"/>
      <c r="CL513"/>
      <c r="CM513"/>
      <c r="CN513"/>
    </row>
    <row r="514" spans="31:92" ht="11.25" customHeight="1" x14ac:dyDescent="0.2">
      <c r="AE514" s="19">
        <v>423</v>
      </c>
      <c r="AG514" s="19">
        <f t="shared" si="232"/>
        <v>3</v>
      </c>
      <c r="AH514" s="19">
        <f t="shared" si="233"/>
        <v>-1</v>
      </c>
      <c r="AI514" s="19">
        <f t="shared" si="234"/>
        <v>57.155000000000001</v>
      </c>
      <c r="AJ514" s="410">
        <f t="shared" si="235"/>
        <v>876.84</v>
      </c>
      <c r="AK514" s="19" t="e">
        <f t="shared" si="236"/>
        <v>#N/A</v>
      </c>
      <c r="AL514" s="19">
        <f t="shared" si="237"/>
        <v>676.84</v>
      </c>
      <c r="AM514" s="19" t="e">
        <f t="shared" si="238"/>
        <v>#N/A</v>
      </c>
      <c r="AN514" s="19">
        <f t="shared" si="239"/>
        <v>476.84</v>
      </c>
      <c r="AO514" s="19" t="e">
        <f t="shared" si="240"/>
        <v>#N/A</v>
      </c>
      <c r="AP514" s="19">
        <f t="shared" si="241"/>
        <v>276.83999999999997</v>
      </c>
      <c r="AQ514" s="19" t="e">
        <f t="shared" si="242"/>
        <v>#N/A</v>
      </c>
      <c r="AR514" s="19">
        <f t="shared" si="243"/>
        <v>76.84</v>
      </c>
      <c r="AS514" s="19" t="e">
        <f t="shared" si="244"/>
        <v>#N/A</v>
      </c>
      <c r="CB514"/>
      <c r="CC514"/>
      <c r="CD514"/>
      <c r="CE514"/>
      <c r="CJ514"/>
      <c r="CK514"/>
      <c r="CL514"/>
      <c r="CM514"/>
      <c r="CN514"/>
    </row>
    <row r="515" spans="31:92" ht="11.25" customHeight="1" x14ac:dyDescent="0.2">
      <c r="AE515" s="19">
        <v>424</v>
      </c>
      <c r="AG515" s="19">
        <f t="shared" si="232"/>
        <v>3</v>
      </c>
      <c r="AH515" s="19">
        <f t="shared" si="233"/>
        <v>1</v>
      </c>
      <c r="AI515" s="19">
        <f t="shared" si="234"/>
        <v>57.155000000000001</v>
      </c>
      <c r="AJ515" s="410">
        <f t="shared" si="235"/>
        <v>923.16</v>
      </c>
      <c r="AK515" s="19" t="e">
        <f t="shared" si="236"/>
        <v>#N/A</v>
      </c>
      <c r="AL515" s="19">
        <f t="shared" si="237"/>
        <v>723.16</v>
      </c>
      <c r="AM515" s="19" t="e">
        <f t="shared" si="238"/>
        <v>#N/A</v>
      </c>
      <c r="AN515" s="19">
        <f t="shared" si="239"/>
        <v>523.16</v>
      </c>
      <c r="AO515" s="19" t="e">
        <f t="shared" si="240"/>
        <v>#N/A</v>
      </c>
      <c r="AP515" s="19">
        <f t="shared" si="241"/>
        <v>323.16000000000003</v>
      </c>
      <c r="AQ515" s="19" t="e">
        <f t="shared" si="242"/>
        <v>#N/A</v>
      </c>
      <c r="AR515" s="19">
        <f t="shared" si="243"/>
        <v>123.16</v>
      </c>
      <c r="AS515" s="19" t="e">
        <f t="shared" si="244"/>
        <v>#N/A</v>
      </c>
      <c r="CB515"/>
      <c r="CC515"/>
      <c r="CD515"/>
      <c r="CE515"/>
      <c r="CJ515"/>
      <c r="CK515"/>
      <c r="CL515"/>
      <c r="CM515"/>
      <c r="CN515"/>
    </row>
    <row r="516" spans="31:92" ht="11.25" customHeight="1" x14ac:dyDescent="0.2">
      <c r="AE516" s="19">
        <v>425</v>
      </c>
      <c r="AG516" s="19">
        <f t="shared" si="232"/>
        <v>5</v>
      </c>
      <c r="AH516" s="19">
        <f t="shared" si="233"/>
        <v>-1</v>
      </c>
      <c r="AI516" s="19">
        <f t="shared" si="234"/>
        <v>57.155000000000001</v>
      </c>
      <c r="AJ516" s="410">
        <f t="shared" si="235"/>
        <v>861.4</v>
      </c>
      <c r="AK516" s="19" t="e">
        <f t="shared" si="236"/>
        <v>#N/A</v>
      </c>
      <c r="AL516" s="19">
        <f t="shared" si="237"/>
        <v>661.4</v>
      </c>
      <c r="AM516" s="19" t="e">
        <f t="shared" si="238"/>
        <v>#N/A</v>
      </c>
      <c r="AN516" s="19">
        <f t="shared" si="239"/>
        <v>461.4</v>
      </c>
      <c r="AO516" s="19" t="e">
        <f t="shared" si="240"/>
        <v>#N/A</v>
      </c>
      <c r="AP516" s="19">
        <f t="shared" si="241"/>
        <v>261.39999999999998</v>
      </c>
      <c r="AQ516" s="19" t="e">
        <f t="shared" si="242"/>
        <v>#N/A</v>
      </c>
      <c r="AR516" s="19">
        <f t="shared" si="243"/>
        <v>61.4</v>
      </c>
      <c r="AS516" s="19" t="e">
        <f t="shared" si="244"/>
        <v>#N/A</v>
      </c>
      <c r="CB516"/>
      <c r="CC516"/>
      <c r="CD516"/>
      <c r="CE516"/>
      <c r="CJ516"/>
      <c r="CK516"/>
      <c r="CL516"/>
      <c r="CM516"/>
      <c r="CN516"/>
    </row>
    <row r="517" spans="31:92" ht="11.25" customHeight="1" x14ac:dyDescent="0.2">
      <c r="AE517" s="19">
        <v>426</v>
      </c>
      <c r="AG517" s="19">
        <f t="shared" si="232"/>
        <v>5</v>
      </c>
      <c r="AH517" s="19">
        <f t="shared" si="233"/>
        <v>1</v>
      </c>
      <c r="AI517" s="19">
        <f t="shared" si="234"/>
        <v>57.155000000000001</v>
      </c>
      <c r="AJ517" s="410">
        <f t="shared" si="235"/>
        <v>938.6</v>
      </c>
      <c r="AK517" s="19" t="e">
        <f t="shared" si="236"/>
        <v>#N/A</v>
      </c>
      <c r="AL517" s="19">
        <f t="shared" si="237"/>
        <v>738.6</v>
      </c>
      <c r="AM517" s="19" t="e">
        <f t="shared" si="238"/>
        <v>#N/A</v>
      </c>
      <c r="AN517" s="19">
        <f t="shared" si="239"/>
        <v>538.6</v>
      </c>
      <c r="AO517" s="19" t="e">
        <f t="shared" si="240"/>
        <v>#N/A</v>
      </c>
      <c r="AP517" s="19">
        <f t="shared" si="241"/>
        <v>338.6</v>
      </c>
      <c r="AQ517" s="19" t="e">
        <f t="shared" si="242"/>
        <v>#N/A</v>
      </c>
      <c r="AR517" s="19">
        <f t="shared" si="243"/>
        <v>138.6</v>
      </c>
      <c r="AS517" s="19" t="e">
        <f t="shared" si="244"/>
        <v>#N/A</v>
      </c>
      <c r="CB517"/>
      <c r="CC517"/>
      <c r="CD517"/>
      <c r="CE517"/>
      <c r="CJ517"/>
      <c r="CK517"/>
      <c r="CL517"/>
      <c r="CM517"/>
      <c r="CN517"/>
    </row>
    <row r="518" spans="31:92" ht="11.25" customHeight="1" x14ac:dyDescent="0.2">
      <c r="AE518" s="19">
        <v>427</v>
      </c>
      <c r="AG518" s="19">
        <f t="shared" si="232"/>
        <v>7</v>
      </c>
      <c r="AH518" s="19">
        <f t="shared" si="233"/>
        <v>-1</v>
      </c>
      <c r="AI518" s="19">
        <f t="shared" si="234"/>
        <v>57.155000000000001</v>
      </c>
      <c r="AJ518" s="410">
        <f t="shared" si="235"/>
        <v>845.96</v>
      </c>
      <c r="AK518" s="19" t="e">
        <f t="shared" si="236"/>
        <v>#N/A</v>
      </c>
      <c r="AL518" s="19">
        <f t="shared" si="237"/>
        <v>645.96</v>
      </c>
      <c r="AM518" s="19" t="e">
        <f t="shared" si="238"/>
        <v>#N/A</v>
      </c>
      <c r="AN518" s="19">
        <f t="shared" si="239"/>
        <v>445.96</v>
      </c>
      <c r="AO518" s="19" t="e">
        <f t="shared" si="240"/>
        <v>#N/A</v>
      </c>
      <c r="AP518" s="19">
        <f t="shared" si="241"/>
        <v>245.96</v>
      </c>
      <c r="AQ518" s="19" t="e">
        <f t="shared" si="242"/>
        <v>#N/A</v>
      </c>
      <c r="AR518" s="19">
        <f t="shared" si="243"/>
        <v>45.96</v>
      </c>
      <c r="AS518" s="19" t="e">
        <f t="shared" si="244"/>
        <v>#N/A</v>
      </c>
      <c r="CB518"/>
      <c r="CC518"/>
      <c r="CD518"/>
      <c r="CE518"/>
      <c r="CJ518"/>
      <c r="CK518"/>
      <c r="CL518"/>
      <c r="CM518"/>
      <c r="CN518"/>
    </row>
    <row r="519" spans="31:92" ht="11.25" customHeight="1" x14ac:dyDescent="0.2">
      <c r="AE519" s="19">
        <v>428</v>
      </c>
      <c r="AG519" s="19">
        <f t="shared" si="232"/>
        <v>7</v>
      </c>
      <c r="AH519" s="19">
        <f t="shared" si="233"/>
        <v>1</v>
      </c>
      <c r="AI519" s="19">
        <f t="shared" si="234"/>
        <v>57.155000000000001</v>
      </c>
      <c r="AJ519" s="410">
        <f t="shared" si="235"/>
        <v>954.04</v>
      </c>
      <c r="AK519" s="19" t="e">
        <f t="shared" si="236"/>
        <v>#N/A</v>
      </c>
      <c r="AL519" s="19">
        <f t="shared" si="237"/>
        <v>754.04</v>
      </c>
      <c r="AM519" s="19" t="e">
        <f t="shared" si="238"/>
        <v>#N/A</v>
      </c>
      <c r="AN519" s="19">
        <f t="shared" si="239"/>
        <v>554.04</v>
      </c>
      <c r="AO519" s="19" t="e">
        <f t="shared" si="240"/>
        <v>#N/A</v>
      </c>
      <c r="AP519" s="19">
        <f t="shared" si="241"/>
        <v>354.04</v>
      </c>
      <c r="AQ519" s="19" t="e">
        <f t="shared" si="242"/>
        <v>#N/A</v>
      </c>
      <c r="AR519" s="19">
        <f t="shared" si="243"/>
        <v>154.04</v>
      </c>
      <c r="AS519" s="19" t="e">
        <f t="shared" si="244"/>
        <v>#N/A</v>
      </c>
      <c r="CB519"/>
      <c r="CC519"/>
      <c r="CD519"/>
      <c r="CE519"/>
      <c r="CJ519"/>
      <c r="CK519"/>
      <c r="CL519"/>
      <c r="CM519"/>
      <c r="CN519"/>
    </row>
    <row r="520" spans="31:92" ht="11.25" customHeight="1" x14ac:dyDescent="0.2">
      <c r="AE520" s="19">
        <v>429</v>
      </c>
      <c r="AG520" s="19">
        <f t="shared" si="232"/>
        <v>9</v>
      </c>
      <c r="AH520" s="19">
        <f t="shared" si="233"/>
        <v>-1</v>
      </c>
      <c r="AI520" s="19">
        <f t="shared" si="234"/>
        <v>57.155000000000001</v>
      </c>
      <c r="AJ520" s="410">
        <f t="shared" si="235"/>
        <v>830.52</v>
      </c>
      <c r="AK520" s="19" t="e">
        <f t="shared" si="236"/>
        <v>#N/A</v>
      </c>
      <c r="AL520" s="19">
        <f t="shared" si="237"/>
        <v>630.52</v>
      </c>
      <c r="AM520" s="19" t="e">
        <f t="shared" si="238"/>
        <v>#N/A</v>
      </c>
      <c r="AN520" s="19">
        <f t="shared" si="239"/>
        <v>430.52</v>
      </c>
      <c r="AO520" s="19" t="e">
        <f t="shared" si="240"/>
        <v>#N/A</v>
      </c>
      <c r="AP520" s="19">
        <f t="shared" si="241"/>
        <v>230.51999999999998</v>
      </c>
      <c r="AQ520" s="19" t="e">
        <f t="shared" si="242"/>
        <v>#N/A</v>
      </c>
      <c r="AR520" s="19">
        <f t="shared" si="243"/>
        <v>30.519999999999996</v>
      </c>
      <c r="AS520" s="19" t="e">
        <f t="shared" si="244"/>
        <v>#N/A</v>
      </c>
      <c r="CB520"/>
      <c r="CC520"/>
      <c r="CD520"/>
      <c r="CE520"/>
      <c r="CJ520"/>
      <c r="CK520"/>
      <c r="CL520"/>
      <c r="CM520"/>
      <c r="CN520"/>
    </row>
    <row r="521" spans="31:92" ht="11.25" customHeight="1" x14ac:dyDescent="0.2">
      <c r="AE521" s="19">
        <v>430</v>
      </c>
      <c r="AG521" s="19">
        <f t="shared" si="232"/>
        <v>9</v>
      </c>
      <c r="AH521" s="19">
        <f t="shared" si="233"/>
        <v>1</v>
      </c>
      <c r="AI521" s="19">
        <f t="shared" si="234"/>
        <v>57.155000000000001</v>
      </c>
      <c r="AJ521" s="410">
        <f t="shared" si="235"/>
        <v>969.48</v>
      </c>
      <c r="AK521" s="19" t="e">
        <f t="shared" si="236"/>
        <v>#N/A</v>
      </c>
      <c r="AL521" s="19">
        <f t="shared" si="237"/>
        <v>769.48</v>
      </c>
      <c r="AM521" s="19" t="e">
        <f t="shared" si="238"/>
        <v>#N/A</v>
      </c>
      <c r="AN521" s="19">
        <f t="shared" si="239"/>
        <v>569.48</v>
      </c>
      <c r="AO521" s="19" t="e">
        <f t="shared" si="240"/>
        <v>#N/A</v>
      </c>
      <c r="AP521" s="19">
        <f t="shared" si="241"/>
        <v>369.48</v>
      </c>
      <c r="AQ521" s="19" t="e">
        <f t="shared" si="242"/>
        <v>#N/A</v>
      </c>
      <c r="AR521" s="19">
        <f t="shared" si="243"/>
        <v>169.48000000000002</v>
      </c>
      <c r="AS521" s="19" t="e">
        <f t="shared" si="244"/>
        <v>#N/A</v>
      </c>
      <c r="CB521"/>
      <c r="CC521"/>
      <c r="CD521"/>
      <c r="CE521"/>
      <c r="CJ521"/>
      <c r="CK521"/>
      <c r="CL521"/>
      <c r="CM521"/>
      <c r="CN521"/>
    </row>
    <row r="522" spans="31:92" ht="11.25" customHeight="1" x14ac:dyDescent="0.2">
      <c r="AE522" s="19">
        <v>431</v>
      </c>
      <c r="AG522" s="19">
        <f t="shared" si="232"/>
        <v>11</v>
      </c>
      <c r="AH522" s="19">
        <f t="shared" si="233"/>
        <v>-1</v>
      </c>
      <c r="AI522" s="19">
        <f t="shared" si="234"/>
        <v>57.155000000000001</v>
      </c>
      <c r="AJ522" s="410">
        <f t="shared" si="235"/>
        <v>815.08</v>
      </c>
      <c r="AK522" s="19" t="e">
        <f t="shared" si="236"/>
        <v>#N/A</v>
      </c>
      <c r="AL522" s="19">
        <f t="shared" si="237"/>
        <v>615.08000000000004</v>
      </c>
      <c r="AM522" s="19" t="e">
        <f t="shared" si="238"/>
        <v>#N/A</v>
      </c>
      <c r="AN522" s="19">
        <f t="shared" si="239"/>
        <v>415.08</v>
      </c>
      <c r="AO522" s="19" t="e">
        <f t="shared" si="240"/>
        <v>#N/A</v>
      </c>
      <c r="AP522" s="19">
        <f t="shared" si="241"/>
        <v>215.07999999999998</v>
      </c>
      <c r="AQ522" s="19" t="e">
        <f t="shared" si="242"/>
        <v>#N/A</v>
      </c>
      <c r="AR522" s="19">
        <f t="shared" si="243"/>
        <v>15.079999999999998</v>
      </c>
      <c r="AS522" s="19" t="e">
        <f t="shared" si="244"/>
        <v>#N/A</v>
      </c>
      <c r="CB522"/>
      <c r="CC522"/>
      <c r="CD522"/>
      <c r="CE522"/>
      <c r="CJ522"/>
      <c r="CK522"/>
      <c r="CL522"/>
      <c r="CM522"/>
      <c r="CN522"/>
    </row>
    <row r="523" spans="31:92" ht="11.25" customHeight="1" x14ac:dyDescent="0.2">
      <c r="AE523" s="19">
        <v>432</v>
      </c>
      <c r="AG523" s="19">
        <f t="shared" si="232"/>
        <v>11</v>
      </c>
      <c r="AH523" s="19">
        <f t="shared" si="233"/>
        <v>1</v>
      </c>
      <c r="AI523" s="19">
        <f t="shared" si="234"/>
        <v>57.155000000000001</v>
      </c>
      <c r="AJ523" s="410">
        <f t="shared" si="235"/>
        <v>984.92</v>
      </c>
      <c r="AK523" s="19" t="e">
        <f t="shared" si="236"/>
        <v>#N/A</v>
      </c>
      <c r="AL523" s="19">
        <f t="shared" si="237"/>
        <v>784.92</v>
      </c>
      <c r="AM523" s="19" t="e">
        <f t="shared" si="238"/>
        <v>#N/A</v>
      </c>
      <c r="AN523" s="19">
        <f t="shared" si="239"/>
        <v>584.91999999999996</v>
      </c>
      <c r="AO523" s="19" t="e">
        <f t="shared" si="240"/>
        <v>#N/A</v>
      </c>
      <c r="AP523" s="19">
        <f t="shared" si="241"/>
        <v>384.92</v>
      </c>
      <c r="AQ523" s="19" t="e">
        <f t="shared" si="242"/>
        <v>#N/A</v>
      </c>
      <c r="AR523" s="19">
        <f t="shared" si="243"/>
        <v>184.92000000000002</v>
      </c>
      <c r="AS523" s="19" t="e">
        <f t="shared" si="244"/>
        <v>#N/A</v>
      </c>
      <c r="CB523"/>
      <c r="CC523"/>
      <c r="CD523"/>
      <c r="CE523"/>
      <c r="CJ523"/>
      <c r="CK523"/>
      <c r="CL523"/>
      <c r="CM523"/>
      <c r="CN523"/>
    </row>
    <row r="524" spans="31:92" ht="11.25" customHeight="1" x14ac:dyDescent="0.2">
      <c r="AE524" s="19">
        <v>433</v>
      </c>
      <c r="AG524" s="19">
        <f t="shared" si="232"/>
        <v>1</v>
      </c>
      <c r="AH524" s="19">
        <f t="shared" si="233"/>
        <v>-1</v>
      </c>
      <c r="AI524" s="19">
        <f t="shared" si="234"/>
        <v>58.765000000000001</v>
      </c>
      <c r="AJ524" s="410">
        <f t="shared" si="235"/>
        <v>892.28</v>
      </c>
      <c r="AK524" s="19" t="e">
        <f t="shared" si="236"/>
        <v>#N/A</v>
      </c>
      <c r="AL524" s="19">
        <f t="shared" si="237"/>
        <v>692.28</v>
      </c>
      <c r="AM524" s="19" t="e">
        <f t="shared" si="238"/>
        <v>#N/A</v>
      </c>
      <c r="AN524" s="19">
        <f t="shared" si="239"/>
        <v>492.28</v>
      </c>
      <c r="AO524" s="19" t="e">
        <f t="shared" si="240"/>
        <v>#N/A</v>
      </c>
      <c r="AP524" s="19">
        <f t="shared" si="241"/>
        <v>292.27999999999997</v>
      </c>
      <c r="AQ524" s="19" t="e">
        <f t="shared" si="242"/>
        <v>#N/A</v>
      </c>
      <c r="AR524" s="19">
        <f t="shared" si="243"/>
        <v>92.28</v>
      </c>
      <c r="AS524" s="19" t="e">
        <f t="shared" si="244"/>
        <v>#N/A</v>
      </c>
      <c r="CB524"/>
      <c r="CC524"/>
      <c r="CD524"/>
      <c r="CE524"/>
      <c r="CJ524"/>
      <c r="CK524"/>
      <c r="CL524"/>
      <c r="CM524"/>
      <c r="CN524"/>
    </row>
    <row r="525" spans="31:92" ht="11.25" customHeight="1" x14ac:dyDescent="0.2">
      <c r="AE525" s="19">
        <v>434</v>
      </c>
      <c r="AG525" s="19">
        <f t="shared" si="232"/>
        <v>1</v>
      </c>
      <c r="AH525" s="19">
        <f t="shared" si="233"/>
        <v>1</v>
      </c>
      <c r="AI525" s="19">
        <f t="shared" si="234"/>
        <v>58.765000000000001</v>
      </c>
      <c r="AJ525" s="410">
        <f t="shared" si="235"/>
        <v>907.72</v>
      </c>
      <c r="AK525" s="19" t="e">
        <f t="shared" si="236"/>
        <v>#N/A</v>
      </c>
      <c r="AL525" s="19">
        <f t="shared" si="237"/>
        <v>707.72</v>
      </c>
      <c r="AM525" s="19" t="e">
        <f t="shared" si="238"/>
        <v>#N/A</v>
      </c>
      <c r="AN525" s="19">
        <f t="shared" si="239"/>
        <v>507.72</v>
      </c>
      <c r="AO525" s="19" t="e">
        <f t="shared" si="240"/>
        <v>#N/A</v>
      </c>
      <c r="AP525" s="19">
        <f t="shared" si="241"/>
        <v>307.72000000000003</v>
      </c>
      <c r="AQ525" s="19" t="e">
        <f t="shared" si="242"/>
        <v>#N/A</v>
      </c>
      <c r="AR525" s="19">
        <f t="shared" si="243"/>
        <v>107.72</v>
      </c>
      <c r="AS525" s="19" t="e">
        <f t="shared" si="244"/>
        <v>#N/A</v>
      </c>
      <c r="CB525"/>
      <c r="CC525"/>
      <c r="CD525"/>
      <c r="CE525"/>
      <c r="CJ525"/>
      <c r="CK525"/>
      <c r="CL525"/>
      <c r="CM525"/>
      <c r="CN525"/>
    </row>
    <row r="526" spans="31:92" ht="11.25" customHeight="1" x14ac:dyDescent="0.2">
      <c r="AE526" s="19">
        <v>435</v>
      </c>
      <c r="AG526" s="19">
        <f t="shared" si="232"/>
        <v>3</v>
      </c>
      <c r="AH526" s="19">
        <f t="shared" si="233"/>
        <v>-1</v>
      </c>
      <c r="AI526" s="19">
        <f t="shared" si="234"/>
        <v>58.765000000000001</v>
      </c>
      <c r="AJ526" s="410">
        <f t="shared" si="235"/>
        <v>876.84</v>
      </c>
      <c r="AK526" s="19" t="e">
        <f t="shared" si="236"/>
        <v>#N/A</v>
      </c>
      <c r="AL526" s="19">
        <f t="shared" si="237"/>
        <v>676.84</v>
      </c>
      <c r="AM526" s="19" t="e">
        <f t="shared" si="238"/>
        <v>#N/A</v>
      </c>
      <c r="AN526" s="19">
        <f t="shared" si="239"/>
        <v>476.84</v>
      </c>
      <c r="AO526" s="19" t="e">
        <f t="shared" si="240"/>
        <v>#N/A</v>
      </c>
      <c r="AP526" s="19">
        <f t="shared" si="241"/>
        <v>276.83999999999997</v>
      </c>
      <c r="AQ526" s="19" t="e">
        <f t="shared" si="242"/>
        <v>#N/A</v>
      </c>
      <c r="AR526" s="19">
        <f t="shared" si="243"/>
        <v>76.84</v>
      </c>
      <c r="AS526" s="19" t="e">
        <f t="shared" si="244"/>
        <v>#N/A</v>
      </c>
      <c r="CB526"/>
      <c r="CC526"/>
      <c r="CD526"/>
      <c r="CE526"/>
      <c r="CJ526"/>
      <c r="CK526"/>
      <c r="CL526"/>
      <c r="CM526"/>
      <c r="CN526"/>
    </row>
    <row r="527" spans="31:92" ht="11.25" customHeight="1" x14ac:dyDescent="0.2">
      <c r="AE527" s="19">
        <v>436</v>
      </c>
      <c r="AG527" s="19">
        <f t="shared" si="232"/>
        <v>3</v>
      </c>
      <c r="AH527" s="19">
        <f t="shared" si="233"/>
        <v>1</v>
      </c>
      <c r="AI527" s="19">
        <f t="shared" si="234"/>
        <v>58.765000000000001</v>
      </c>
      <c r="AJ527" s="410">
        <f t="shared" si="235"/>
        <v>923.16</v>
      </c>
      <c r="AK527" s="19" t="e">
        <f t="shared" si="236"/>
        <v>#N/A</v>
      </c>
      <c r="AL527" s="19">
        <f t="shared" si="237"/>
        <v>723.16</v>
      </c>
      <c r="AM527" s="19" t="e">
        <f t="shared" si="238"/>
        <v>#N/A</v>
      </c>
      <c r="AN527" s="19">
        <f t="shared" si="239"/>
        <v>523.16</v>
      </c>
      <c r="AO527" s="19" t="e">
        <f t="shared" si="240"/>
        <v>#N/A</v>
      </c>
      <c r="AP527" s="19">
        <f t="shared" si="241"/>
        <v>323.16000000000003</v>
      </c>
      <c r="AQ527" s="19" t="e">
        <f t="shared" si="242"/>
        <v>#N/A</v>
      </c>
      <c r="AR527" s="19">
        <f t="shared" si="243"/>
        <v>123.16</v>
      </c>
      <c r="AS527" s="19" t="e">
        <f t="shared" si="244"/>
        <v>#N/A</v>
      </c>
      <c r="CB527"/>
      <c r="CC527"/>
      <c r="CD527"/>
      <c r="CE527"/>
      <c r="CJ527"/>
      <c r="CK527"/>
      <c r="CL527"/>
      <c r="CM527"/>
      <c r="CN527"/>
    </row>
    <row r="528" spans="31:92" ht="11.25" customHeight="1" x14ac:dyDescent="0.2">
      <c r="AE528" s="19">
        <v>437</v>
      </c>
      <c r="AG528" s="19">
        <f t="shared" si="232"/>
        <v>5</v>
      </c>
      <c r="AH528" s="19">
        <f t="shared" si="233"/>
        <v>-1</v>
      </c>
      <c r="AI528" s="19">
        <f t="shared" si="234"/>
        <v>58.765000000000001</v>
      </c>
      <c r="AJ528" s="410">
        <f t="shared" si="235"/>
        <v>861.4</v>
      </c>
      <c r="AK528" s="19" t="e">
        <f t="shared" si="236"/>
        <v>#N/A</v>
      </c>
      <c r="AL528" s="19">
        <f t="shared" si="237"/>
        <v>661.4</v>
      </c>
      <c r="AM528" s="19" t="e">
        <f t="shared" si="238"/>
        <v>#N/A</v>
      </c>
      <c r="AN528" s="19">
        <f t="shared" si="239"/>
        <v>461.4</v>
      </c>
      <c r="AO528" s="19" t="e">
        <f t="shared" si="240"/>
        <v>#N/A</v>
      </c>
      <c r="AP528" s="19">
        <f t="shared" si="241"/>
        <v>261.39999999999998</v>
      </c>
      <c r="AQ528" s="19" t="e">
        <f t="shared" si="242"/>
        <v>#N/A</v>
      </c>
      <c r="AR528" s="19">
        <f t="shared" si="243"/>
        <v>61.4</v>
      </c>
      <c r="AS528" s="19" t="e">
        <f t="shared" si="244"/>
        <v>#N/A</v>
      </c>
      <c r="CB528"/>
      <c r="CC528"/>
      <c r="CD528"/>
      <c r="CE528"/>
      <c r="CJ528"/>
      <c r="CK528"/>
      <c r="CL528"/>
      <c r="CM528"/>
      <c r="CN528"/>
    </row>
    <row r="529" spans="31:92" ht="11.25" customHeight="1" x14ac:dyDescent="0.2">
      <c r="AE529" s="19">
        <v>438</v>
      </c>
      <c r="AG529" s="19">
        <f t="shared" si="232"/>
        <v>5</v>
      </c>
      <c r="AH529" s="19">
        <f t="shared" si="233"/>
        <v>1</v>
      </c>
      <c r="AI529" s="19">
        <f t="shared" si="234"/>
        <v>58.765000000000001</v>
      </c>
      <c r="AJ529" s="410">
        <f t="shared" si="235"/>
        <v>938.6</v>
      </c>
      <c r="AK529" s="19" t="e">
        <f t="shared" si="236"/>
        <v>#N/A</v>
      </c>
      <c r="AL529" s="19">
        <f t="shared" si="237"/>
        <v>738.6</v>
      </c>
      <c r="AM529" s="19" t="e">
        <f t="shared" si="238"/>
        <v>#N/A</v>
      </c>
      <c r="AN529" s="19">
        <f t="shared" si="239"/>
        <v>538.6</v>
      </c>
      <c r="AO529" s="19" t="e">
        <f t="shared" si="240"/>
        <v>#N/A</v>
      </c>
      <c r="AP529" s="19">
        <f t="shared" si="241"/>
        <v>338.6</v>
      </c>
      <c r="AQ529" s="19" t="e">
        <f t="shared" si="242"/>
        <v>#N/A</v>
      </c>
      <c r="AR529" s="19">
        <f t="shared" si="243"/>
        <v>138.6</v>
      </c>
      <c r="AS529" s="19" t="e">
        <f t="shared" si="244"/>
        <v>#N/A</v>
      </c>
      <c r="CB529"/>
      <c r="CC529"/>
      <c r="CD529"/>
      <c r="CE529"/>
      <c r="CJ529"/>
      <c r="CK529"/>
      <c r="CL529"/>
      <c r="CM529"/>
      <c r="CN529"/>
    </row>
    <row r="530" spans="31:92" ht="11.25" customHeight="1" x14ac:dyDescent="0.2">
      <c r="AE530" s="19">
        <v>439</v>
      </c>
      <c r="AG530" s="19">
        <f t="shared" si="232"/>
        <v>7</v>
      </c>
      <c r="AH530" s="19">
        <f t="shared" si="233"/>
        <v>-1</v>
      </c>
      <c r="AI530" s="19">
        <f t="shared" si="234"/>
        <v>58.765000000000001</v>
      </c>
      <c r="AJ530" s="410">
        <f t="shared" si="235"/>
        <v>845.96</v>
      </c>
      <c r="AK530" s="19" t="e">
        <f t="shared" si="236"/>
        <v>#N/A</v>
      </c>
      <c r="AL530" s="19">
        <f t="shared" si="237"/>
        <v>645.96</v>
      </c>
      <c r="AM530" s="19" t="e">
        <f t="shared" si="238"/>
        <v>#N/A</v>
      </c>
      <c r="AN530" s="19">
        <f t="shared" si="239"/>
        <v>445.96</v>
      </c>
      <c r="AO530" s="19" t="e">
        <f t="shared" si="240"/>
        <v>#N/A</v>
      </c>
      <c r="AP530" s="19">
        <f t="shared" si="241"/>
        <v>245.96</v>
      </c>
      <c r="AQ530" s="19" t="e">
        <f t="shared" si="242"/>
        <v>#N/A</v>
      </c>
      <c r="AR530" s="19">
        <f t="shared" si="243"/>
        <v>45.96</v>
      </c>
      <c r="AS530" s="19" t="e">
        <f t="shared" si="244"/>
        <v>#N/A</v>
      </c>
      <c r="CB530"/>
      <c r="CC530"/>
      <c r="CD530"/>
      <c r="CE530"/>
      <c r="CJ530"/>
      <c r="CK530"/>
      <c r="CL530"/>
      <c r="CM530"/>
      <c r="CN530"/>
    </row>
    <row r="531" spans="31:92" ht="11.25" customHeight="1" x14ac:dyDescent="0.2">
      <c r="AE531" s="19">
        <v>440</v>
      </c>
      <c r="AG531" s="19">
        <f t="shared" si="232"/>
        <v>7</v>
      </c>
      <c r="AH531" s="19">
        <f t="shared" si="233"/>
        <v>1</v>
      </c>
      <c r="AI531" s="19">
        <f t="shared" si="234"/>
        <v>58.765000000000001</v>
      </c>
      <c r="AJ531" s="410">
        <f t="shared" si="235"/>
        <v>954.04</v>
      </c>
      <c r="AK531" s="19" t="e">
        <f t="shared" si="236"/>
        <v>#N/A</v>
      </c>
      <c r="AL531" s="19">
        <f t="shared" si="237"/>
        <v>754.04</v>
      </c>
      <c r="AM531" s="19" t="e">
        <f t="shared" si="238"/>
        <v>#N/A</v>
      </c>
      <c r="AN531" s="19">
        <f t="shared" si="239"/>
        <v>554.04</v>
      </c>
      <c r="AO531" s="19" t="e">
        <f t="shared" si="240"/>
        <v>#N/A</v>
      </c>
      <c r="AP531" s="19">
        <f t="shared" si="241"/>
        <v>354.04</v>
      </c>
      <c r="AQ531" s="19" t="e">
        <f t="shared" si="242"/>
        <v>#N/A</v>
      </c>
      <c r="AR531" s="19">
        <f t="shared" si="243"/>
        <v>154.04</v>
      </c>
      <c r="AS531" s="19" t="e">
        <f t="shared" si="244"/>
        <v>#N/A</v>
      </c>
      <c r="CB531"/>
      <c r="CC531"/>
      <c r="CD531"/>
      <c r="CE531"/>
      <c r="CJ531"/>
      <c r="CK531"/>
      <c r="CL531"/>
      <c r="CM531"/>
      <c r="CN531"/>
    </row>
    <row r="532" spans="31:92" ht="11.25" customHeight="1" x14ac:dyDescent="0.2">
      <c r="AE532" s="19">
        <v>441</v>
      </c>
      <c r="AG532" s="19">
        <f t="shared" si="232"/>
        <v>9</v>
      </c>
      <c r="AH532" s="19">
        <f t="shared" si="233"/>
        <v>-1</v>
      </c>
      <c r="AI532" s="19">
        <f t="shared" si="234"/>
        <v>58.765000000000001</v>
      </c>
      <c r="AJ532" s="410">
        <f t="shared" si="235"/>
        <v>830.52</v>
      </c>
      <c r="AK532" s="19" t="e">
        <f t="shared" si="236"/>
        <v>#N/A</v>
      </c>
      <c r="AL532" s="19">
        <f t="shared" si="237"/>
        <v>630.52</v>
      </c>
      <c r="AM532" s="19" t="e">
        <f t="shared" si="238"/>
        <v>#N/A</v>
      </c>
      <c r="AN532" s="19">
        <f t="shared" si="239"/>
        <v>430.52</v>
      </c>
      <c r="AO532" s="19" t="e">
        <f t="shared" si="240"/>
        <v>#N/A</v>
      </c>
      <c r="AP532" s="19">
        <f t="shared" si="241"/>
        <v>230.51999999999998</v>
      </c>
      <c r="AQ532" s="19" t="e">
        <f t="shared" si="242"/>
        <v>#N/A</v>
      </c>
      <c r="AR532" s="19">
        <f t="shared" si="243"/>
        <v>30.519999999999996</v>
      </c>
      <c r="AS532" s="19" t="e">
        <f t="shared" si="244"/>
        <v>#N/A</v>
      </c>
      <c r="CB532"/>
      <c r="CC532"/>
      <c r="CD532"/>
      <c r="CE532"/>
      <c r="CJ532"/>
      <c r="CK532"/>
      <c r="CL532"/>
      <c r="CM532"/>
      <c r="CN532"/>
    </row>
    <row r="533" spans="31:92" ht="11.25" customHeight="1" x14ac:dyDescent="0.2">
      <c r="AE533" s="19">
        <v>442</v>
      </c>
      <c r="AG533" s="19">
        <f t="shared" si="232"/>
        <v>9</v>
      </c>
      <c r="AH533" s="19">
        <f t="shared" si="233"/>
        <v>1</v>
      </c>
      <c r="AI533" s="19">
        <f t="shared" si="234"/>
        <v>58.765000000000001</v>
      </c>
      <c r="AJ533" s="410">
        <f t="shared" si="235"/>
        <v>969.48</v>
      </c>
      <c r="AK533" s="19" t="e">
        <f t="shared" si="236"/>
        <v>#N/A</v>
      </c>
      <c r="AL533" s="19">
        <f t="shared" si="237"/>
        <v>769.48</v>
      </c>
      <c r="AM533" s="19" t="e">
        <f t="shared" si="238"/>
        <v>#N/A</v>
      </c>
      <c r="AN533" s="19">
        <f t="shared" si="239"/>
        <v>569.48</v>
      </c>
      <c r="AO533" s="19" t="e">
        <f t="shared" si="240"/>
        <v>#N/A</v>
      </c>
      <c r="AP533" s="19">
        <f t="shared" si="241"/>
        <v>369.48</v>
      </c>
      <c r="AQ533" s="19" t="e">
        <f t="shared" si="242"/>
        <v>#N/A</v>
      </c>
      <c r="AR533" s="19">
        <f t="shared" si="243"/>
        <v>169.48000000000002</v>
      </c>
      <c r="AS533" s="19" t="e">
        <f t="shared" si="244"/>
        <v>#N/A</v>
      </c>
      <c r="CB533"/>
      <c r="CC533"/>
      <c r="CD533"/>
      <c r="CE533"/>
      <c r="CJ533"/>
      <c r="CK533"/>
      <c r="CL533"/>
      <c r="CM533"/>
      <c r="CN533"/>
    </row>
    <row r="534" spans="31:92" ht="11.25" customHeight="1" x14ac:dyDescent="0.2">
      <c r="AE534" s="19">
        <v>443</v>
      </c>
      <c r="AG534" s="19">
        <f t="shared" si="232"/>
        <v>11</v>
      </c>
      <c r="AH534" s="19">
        <f t="shared" si="233"/>
        <v>-1</v>
      </c>
      <c r="AI534" s="19">
        <f t="shared" si="234"/>
        <v>58.765000000000001</v>
      </c>
      <c r="AJ534" s="410">
        <f t="shared" si="235"/>
        <v>815.08</v>
      </c>
      <c r="AK534" s="19" t="e">
        <f t="shared" si="236"/>
        <v>#N/A</v>
      </c>
      <c r="AL534" s="19">
        <f t="shared" si="237"/>
        <v>615.08000000000004</v>
      </c>
      <c r="AM534" s="19" t="e">
        <f t="shared" si="238"/>
        <v>#N/A</v>
      </c>
      <c r="AN534" s="19">
        <f t="shared" si="239"/>
        <v>415.08</v>
      </c>
      <c r="AO534" s="19" t="e">
        <f t="shared" si="240"/>
        <v>#N/A</v>
      </c>
      <c r="AP534" s="19">
        <f t="shared" si="241"/>
        <v>215.07999999999998</v>
      </c>
      <c r="AQ534" s="19" t="e">
        <f t="shared" si="242"/>
        <v>#N/A</v>
      </c>
      <c r="AR534" s="19">
        <f t="shared" si="243"/>
        <v>15.079999999999998</v>
      </c>
      <c r="AS534" s="19" t="e">
        <f t="shared" si="244"/>
        <v>#N/A</v>
      </c>
      <c r="CB534"/>
      <c r="CC534"/>
      <c r="CD534"/>
      <c r="CE534"/>
      <c r="CJ534"/>
      <c r="CK534"/>
      <c r="CL534"/>
      <c r="CM534"/>
      <c r="CN534"/>
    </row>
    <row r="535" spans="31:92" ht="11.25" customHeight="1" x14ac:dyDescent="0.2">
      <c r="AE535" s="19">
        <v>444</v>
      </c>
      <c r="AG535" s="19">
        <f t="shared" si="232"/>
        <v>11</v>
      </c>
      <c r="AH535" s="19">
        <f t="shared" si="233"/>
        <v>1</v>
      </c>
      <c r="AI535" s="19">
        <f t="shared" si="234"/>
        <v>58.765000000000001</v>
      </c>
      <c r="AJ535" s="410">
        <f t="shared" si="235"/>
        <v>984.92</v>
      </c>
      <c r="AK535" s="19" t="e">
        <f t="shared" si="236"/>
        <v>#N/A</v>
      </c>
      <c r="AL535" s="19">
        <f t="shared" si="237"/>
        <v>784.92</v>
      </c>
      <c r="AM535" s="19" t="e">
        <f t="shared" si="238"/>
        <v>#N/A</v>
      </c>
      <c r="AN535" s="19">
        <f t="shared" si="239"/>
        <v>584.91999999999996</v>
      </c>
      <c r="AO535" s="19" t="e">
        <f t="shared" si="240"/>
        <v>#N/A</v>
      </c>
      <c r="AP535" s="19">
        <f t="shared" si="241"/>
        <v>384.92</v>
      </c>
      <c r="AQ535" s="19" t="e">
        <f t="shared" si="242"/>
        <v>#N/A</v>
      </c>
      <c r="AR535" s="19">
        <f t="shared" si="243"/>
        <v>184.92000000000002</v>
      </c>
      <c r="AS535" s="19" t="e">
        <f t="shared" si="244"/>
        <v>#N/A</v>
      </c>
      <c r="CB535"/>
      <c r="CC535"/>
      <c r="CD535"/>
      <c r="CE535"/>
      <c r="CJ535"/>
      <c r="CK535"/>
      <c r="CL535"/>
      <c r="CM535"/>
      <c r="CN535"/>
    </row>
    <row r="536" spans="31:92" ht="11.25" customHeight="1" x14ac:dyDescent="0.2">
      <c r="AE536" s="19">
        <v>445</v>
      </c>
      <c r="AG536" s="19">
        <f t="shared" si="232"/>
        <v>1</v>
      </c>
      <c r="AH536" s="19">
        <f t="shared" si="233"/>
        <v>-1</v>
      </c>
      <c r="AI536" s="19">
        <f t="shared" si="234"/>
        <v>60.375000000000007</v>
      </c>
      <c r="AJ536" s="410">
        <f t="shared" si="235"/>
        <v>892.28</v>
      </c>
      <c r="AK536" s="19" t="e">
        <f t="shared" si="236"/>
        <v>#N/A</v>
      </c>
      <c r="AL536" s="19">
        <f t="shared" si="237"/>
        <v>692.28</v>
      </c>
      <c r="AM536" s="19" t="e">
        <f t="shared" si="238"/>
        <v>#N/A</v>
      </c>
      <c r="AN536" s="19">
        <f t="shared" si="239"/>
        <v>492.28</v>
      </c>
      <c r="AO536" s="19" t="e">
        <f t="shared" si="240"/>
        <v>#N/A</v>
      </c>
      <c r="AP536" s="19">
        <f t="shared" si="241"/>
        <v>292.27999999999997</v>
      </c>
      <c r="AQ536" s="19" t="e">
        <f t="shared" si="242"/>
        <v>#N/A</v>
      </c>
      <c r="AR536" s="19">
        <f t="shared" si="243"/>
        <v>92.28</v>
      </c>
      <c r="AS536" s="19" t="e">
        <f t="shared" si="244"/>
        <v>#N/A</v>
      </c>
      <c r="CB536"/>
      <c r="CC536"/>
      <c r="CD536"/>
      <c r="CE536"/>
      <c r="CJ536"/>
      <c r="CK536"/>
      <c r="CL536"/>
      <c r="CM536"/>
      <c r="CN536"/>
    </row>
    <row r="537" spans="31:92" ht="11.25" customHeight="1" x14ac:dyDescent="0.2">
      <c r="AE537" s="19">
        <v>446</v>
      </c>
      <c r="AG537" s="19">
        <f t="shared" si="232"/>
        <v>1</v>
      </c>
      <c r="AH537" s="19">
        <f t="shared" si="233"/>
        <v>1</v>
      </c>
      <c r="AI537" s="19">
        <f t="shared" si="234"/>
        <v>60.375000000000007</v>
      </c>
      <c r="AJ537" s="410">
        <f t="shared" si="235"/>
        <v>907.72</v>
      </c>
      <c r="AK537" s="19" t="e">
        <f t="shared" si="236"/>
        <v>#N/A</v>
      </c>
      <c r="AL537" s="19">
        <f t="shared" si="237"/>
        <v>707.72</v>
      </c>
      <c r="AM537" s="19" t="e">
        <f t="shared" si="238"/>
        <v>#N/A</v>
      </c>
      <c r="AN537" s="19">
        <f t="shared" si="239"/>
        <v>507.72</v>
      </c>
      <c r="AO537" s="19" t="e">
        <f t="shared" si="240"/>
        <v>#N/A</v>
      </c>
      <c r="AP537" s="19">
        <f t="shared" si="241"/>
        <v>307.72000000000003</v>
      </c>
      <c r="AQ537" s="19" t="e">
        <f t="shared" si="242"/>
        <v>#N/A</v>
      </c>
      <c r="AR537" s="19">
        <f t="shared" si="243"/>
        <v>107.72</v>
      </c>
      <c r="AS537" s="19" t="e">
        <f t="shared" si="244"/>
        <v>#N/A</v>
      </c>
      <c r="CB537"/>
      <c r="CC537"/>
      <c r="CD537"/>
      <c r="CE537"/>
      <c r="CJ537"/>
      <c r="CK537"/>
      <c r="CL537"/>
      <c r="CM537"/>
      <c r="CN537"/>
    </row>
    <row r="538" spans="31:92" ht="11.25" customHeight="1" x14ac:dyDescent="0.2">
      <c r="AE538" s="19">
        <v>447</v>
      </c>
      <c r="AG538" s="19">
        <f t="shared" si="232"/>
        <v>3</v>
      </c>
      <c r="AH538" s="19">
        <f t="shared" si="233"/>
        <v>-1</v>
      </c>
      <c r="AI538" s="19">
        <f t="shared" si="234"/>
        <v>60.375000000000007</v>
      </c>
      <c r="AJ538" s="410">
        <f t="shared" si="235"/>
        <v>876.84</v>
      </c>
      <c r="AK538" s="19" t="e">
        <f t="shared" si="236"/>
        <v>#N/A</v>
      </c>
      <c r="AL538" s="19">
        <f t="shared" si="237"/>
        <v>676.84</v>
      </c>
      <c r="AM538" s="19" t="e">
        <f t="shared" si="238"/>
        <v>#N/A</v>
      </c>
      <c r="AN538" s="19">
        <f t="shared" si="239"/>
        <v>476.84</v>
      </c>
      <c r="AO538" s="19" t="e">
        <f t="shared" si="240"/>
        <v>#N/A</v>
      </c>
      <c r="AP538" s="19">
        <f t="shared" si="241"/>
        <v>276.83999999999997</v>
      </c>
      <c r="AQ538" s="19" t="e">
        <f t="shared" si="242"/>
        <v>#N/A</v>
      </c>
      <c r="AR538" s="19">
        <f t="shared" si="243"/>
        <v>76.84</v>
      </c>
      <c r="AS538" s="19" t="e">
        <f t="shared" si="244"/>
        <v>#N/A</v>
      </c>
      <c r="CB538"/>
      <c r="CC538"/>
      <c r="CD538"/>
      <c r="CE538"/>
      <c r="CJ538"/>
      <c r="CK538"/>
      <c r="CL538"/>
      <c r="CM538"/>
      <c r="CN538"/>
    </row>
    <row r="539" spans="31:92" ht="11.25" customHeight="1" x14ac:dyDescent="0.2">
      <c r="AE539" s="19">
        <v>448</v>
      </c>
      <c r="AG539" s="19">
        <f t="shared" si="232"/>
        <v>3</v>
      </c>
      <c r="AH539" s="19">
        <f t="shared" si="233"/>
        <v>1</v>
      </c>
      <c r="AI539" s="19">
        <f t="shared" si="234"/>
        <v>60.375000000000007</v>
      </c>
      <c r="AJ539" s="410">
        <f t="shared" si="235"/>
        <v>923.16</v>
      </c>
      <c r="AK539" s="19" t="e">
        <f t="shared" si="236"/>
        <v>#N/A</v>
      </c>
      <c r="AL539" s="19">
        <f t="shared" si="237"/>
        <v>723.16</v>
      </c>
      <c r="AM539" s="19" t="e">
        <f t="shared" si="238"/>
        <v>#N/A</v>
      </c>
      <c r="AN539" s="19">
        <f t="shared" si="239"/>
        <v>523.16</v>
      </c>
      <c r="AO539" s="19" t="e">
        <f t="shared" si="240"/>
        <v>#N/A</v>
      </c>
      <c r="AP539" s="19">
        <f t="shared" si="241"/>
        <v>323.16000000000003</v>
      </c>
      <c r="AQ539" s="19" t="e">
        <f t="shared" si="242"/>
        <v>#N/A</v>
      </c>
      <c r="AR539" s="19">
        <f t="shared" si="243"/>
        <v>123.16</v>
      </c>
      <c r="AS539" s="19" t="e">
        <f t="shared" si="244"/>
        <v>#N/A</v>
      </c>
      <c r="CB539"/>
      <c r="CC539"/>
      <c r="CD539"/>
      <c r="CE539"/>
      <c r="CJ539"/>
      <c r="CK539"/>
      <c r="CL539"/>
      <c r="CM539"/>
      <c r="CN539"/>
    </row>
    <row r="540" spans="31:92" ht="11.25" customHeight="1" x14ac:dyDescent="0.2">
      <c r="AE540" s="19">
        <v>449</v>
      </c>
      <c r="AG540" s="19">
        <f t="shared" ref="AG540:AG603" si="245">2*ROUNDUP((MOD(AE540-1,$AB$94)+1)/2,0)-1</f>
        <v>5</v>
      </c>
      <c r="AH540" s="19">
        <f t="shared" ref="AH540:AH603" si="246">IF(AG540=AG541,-1,1)</f>
        <v>-1</v>
      </c>
      <c r="AI540" s="19">
        <f t="shared" ref="AI540:AI603" si="247">IF($BR$7,$AB$87*(0.5+INT((AE540-0.5)/$AB$94)),NA())</f>
        <v>60.375000000000007</v>
      </c>
      <c r="AJ540" s="410">
        <f t="shared" ref="AJ540:AJ603" si="248">IF($BP$11,$AM$87+$AB$90*AH540*AG540,NA())</f>
        <v>861.4</v>
      </c>
      <c r="AK540" s="19" t="e">
        <f t="shared" ref="AK540:AK603" si="249">IF($AG$83&lt;AE540,NA(),AI540)</f>
        <v>#N/A</v>
      </c>
      <c r="AL540" s="19">
        <f t="shared" ref="AL540:AL603" si="250">IF($BP$11,$AN$87+$AB$90*AH540*AG540,NA())</f>
        <v>661.4</v>
      </c>
      <c r="AM540" s="19" t="e">
        <f t="shared" ref="AM540:AM603" si="251">IF($AH$83&lt;AE540,NA(),AI540)</f>
        <v>#N/A</v>
      </c>
      <c r="AN540" s="19">
        <f t="shared" ref="AN540:AN603" si="252">IF($BP$11,$AO$87+$AB$90*AH540*AG540,NA())</f>
        <v>461.4</v>
      </c>
      <c r="AO540" s="19" t="e">
        <f t="shared" ref="AO540:AO603" si="253">IF($AI$83&lt;AE540,NA(),AI540)</f>
        <v>#N/A</v>
      </c>
      <c r="AP540" s="19">
        <f t="shared" ref="AP540:AP603" si="254">IF($BP$11,$AP$87+$AB$90*AH540*AG540,NA())</f>
        <v>261.39999999999998</v>
      </c>
      <c r="AQ540" s="19" t="e">
        <f t="shared" ref="AQ540:AQ603" si="255">IF($AJ$83&lt;AE540,NA(),AI540)</f>
        <v>#N/A</v>
      </c>
      <c r="AR540" s="19">
        <f t="shared" ref="AR540:AR603" si="256">IF($BP$11,$AQ$87+$AB$90*AH540*AG540,NA())</f>
        <v>61.4</v>
      </c>
      <c r="AS540" s="19" t="e">
        <f t="shared" ref="AS540:AS603" si="257">IF($AK$83&lt;AE540,NA(),AI540)</f>
        <v>#N/A</v>
      </c>
      <c r="CB540"/>
      <c r="CC540"/>
      <c r="CD540"/>
      <c r="CE540"/>
      <c r="CJ540"/>
      <c r="CK540"/>
      <c r="CL540"/>
      <c r="CM540"/>
      <c r="CN540"/>
    </row>
    <row r="541" spans="31:92" ht="11.25" customHeight="1" x14ac:dyDescent="0.2">
      <c r="AE541" s="19">
        <v>450</v>
      </c>
      <c r="AG541" s="19">
        <f t="shared" si="245"/>
        <v>5</v>
      </c>
      <c r="AH541" s="19">
        <f t="shared" si="246"/>
        <v>1</v>
      </c>
      <c r="AI541" s="19">
        <f t="shared" si="247"/>
        <v>60.375000000000007</v>
      </c>
      <c r="AJ541" s="410">
        <f t="shared" si="248"/>
        <v>938.6</v>
      </c>
      <c r="AK541" s="19" t="e">
        <f t="shared" si="249"/>
        <v>#N/A</v>
      </c>
      <c r="AL541" s="19">
        <f t="shared" si="250"/>
        <v>738.6</v>
      </c>
      <c r="AM541" s="19" t="e">
        <f t="shared" si="251"/>
        <v>#N/A</v>
      </c>
      <c r="AN541" s="19">
        <f t="shared" si="252"/>
        <v>538.6</v>
      </c>
      <c r="AO541" s="19" t="e">
        <f t="shared" si="253"/>
        <v>#N/A</v>
      </c>
      <c r="AP541" s="19">
        <f t="shared" si="254"/>
        <v>338.6</v>
      </c>
      <c r="AQ541" s="19" t="e">
        <f t="shared" si="255"/>
        <v>#N/A</v>
      </c>
      <c r="AR541" s="19">
        <f t="shared" si="256"/>
        <v>138.6</v>
      </c>
      <c r="AS541" s="19" t="e">
        <f t="shared" si="257"/>
        <v>#N/A</v>
      </c>
      <c r="CB541"/>
      <c r="CC541"/>
      <c r="CD541"/>
      <c r="CE541"/>
      <c r="CJ541"/>
      <c r="CK541"/>
      <c r="CL541"/>
      <c r="CM541"/>
      <c r="CN541"/>
    </row>
    <row r="542" spans="31:92" ht="11.25" customHeight="1" x14ac:dyDescent="0.2">
      <c r="AE542" s="19">
        <v>451</v>
      </c>
      <c r="AG542" s="19">
        <f t="shared" si="245"/>
        <v>7</v>
      </c>
      <c r="AH542" s="19">
        <f t="shared" si="246"/>
        <v>-1</v>
      </c>
      <c r="AI542" s="19">
        <f t="shared" si="247"/>
        <v>60.375000000000007</v>
      </c>
      <c r="AJ542" s="410">
        <f t="shared" si="248"/>
        <v>845.96</v>
      </c>
      <c r="AK542" s="19" t="e">
        <f t="shared" si="249"/>
        <v>#N/A</v>
      </c>
      <c r="AL542" s="19">
        <f t="shared" si="250"/>
        <v>645.96</v>
      </c>
      <c r="AM542" s="19" t="e">
        <f t="shared" si="251"/>
        <v>#N/A</v>
      </c>
      <c r="AN542" s="19">
        <f t="shared" si="252"/>
        <v>445.96</v>
      </c>
      <c r="AO542" s="19" t="e">
        <f t="shared" si="253"/>
        <v>#N/A</v>
      </c>
      <c r="AP542" s="19">
        <f t="shared" si="254"/>
        <v>245.96</v>
      </c>
      <c r="AQ542" s="19" t="e">
        <f t="shared" si="255"/>
        <v>#N/A</v>
      </c>
      <c r="AR542" s="19">
        <f t="shared" si="256"/>
        <v>45.96</v>
      </c>
      <c r="AS542" s="19" t="e">
        <f t="shared" si="257"/>
        <v>#N/A</v>
      </c>
      <c r="CB542"/>
      <c r="CC542"/>
      <c r="CD542"/>
      <c r="CE542"/>
      <c r="CJ542"/>
      <c r="CK542"/>
      <c r="CL542"/>
      <c r="CM542"/>
      <c r="CN542"/>
    </row>
    <row r="543" spans="31:92" ht="11.25" customHeight="1" x14ac:dyDescent="0.2">
      <c r="AE543" s="19">
        <v>452</v>
      </c>
      <c r="AG543" s="19">
        <f t="shared" si="245"/>
        <v>7</v>
      </c>
      <c r="AH543" s="19">
        <f t="shared" si="246"/>
        <v>1</v>
      </c>
      <c r="AI543" s="19">
        <f t="shared" si="247"/>
        <v>60.375000000000007</v>
      </c>
      <c r="AJ543" s="410">
        <f t="shared" si="248"/>
        <v>954.04</v>
      </c>
      <c r="AK543" s="19" t="e">
        <f t="shared" si="249"/>
        <v>#N/A</v>
      </c>
      <c r="AL543" s="19">
        <f t="shared" si="250"/>
        <v>754.04</v>
      </c>
      <c r="AM543" s="19" t="e">
        <f t="shared" si="251"/>
        <v>#N/A</v>
      </c>
      <c r="AN543" s="19">
        <f t="shared" si="252"/>
        <v>554.04</v>
      </c>
      <c r="AO543" s="19" t="e">
        <f t="shared" si="253"/>
        <v>#N/A</v>
      </c>
      <c r="AP543" s="19">
        <f t="shared" si="254"/>
        <v>354.04</v>
      </c>
      <c r="AQ543" s="19" t="e">
        <f t="shared" si="255"/>
        <v>#N/A</v>
      </c>
      <c r="AR543" s="19">
        <f t="shared" si="256"/>
        <v>154.04</v>
      </c>
      <c r="AS543" s="19" t="e">
        <f t="shared" si="257"/>
        <v>#N/A</v>
      </c>
      <c r="CB543"/>
      <c r="CC543"/>
      <c r="CD543"/>
      <c r="CE543"/>
      <c r="CJ543"/>
      <c r="CK543"/>
      <c r="CL543"/>
      <c r="CM543"/>
      <c r="CN543"/>
    </row>
    <row r="544" spans="31:92" ht="11.25" customHeight="1" x14ac:dyDescent="0.2">
      <c r="AE544" s="19">
        <v>453</v>
      </c>
      <c r="AG544" s="19">
        <f t="shared" si="245"/>
        <v>9</v>
      </c>
      <c r="AH544" s="19">
        <f t="shared" si="246"/>
        <v>-1</v>
      </c>
      <c r="AI544" s="19">
        <f t="shared" si="247"/>
        <v>60.375000000000007</v>
      </c>
      <c r="AJ544" s="410">
        <f t="shared" si="248"/>
        <v>830.52</v>
      </c>
      <c r="AK544" s="19" t="e">
        <f t="shared" si="249"/>
        <v>#N/A</v>
      </c>
      <c r="AL544" s="19">
        <f t="shared" si="250"/>
        <v>630.52</v>
      </c>
      <c r="AM544" s="19" t="e">
        <f t="shared" si="251"/>
        <v>#N/A</v>
      </c>
      <c r="AN544" s="19">
        <f t="shared" si="252"/>
        <v>430.52</v>
      </c>
      <c r="AO544" s="19" t="e">
        <f t="shared" si="253"/>
        <v>#N/A</v>
      </c>
      <c r="AP544" s="19">
        <f t="shared" si="254"/>
        <v>230.51999999999998</v>
      </c>
      <c r="AQ544" s="19" t="e">
        <f t="shared" si="255"/>
        <v>#N/A</v>
      </c>
      <c r="AR544" s="19">
        <f t="shared" si="256"/>
        <v>30.519999999999996</v>
      </c>
      <c r="AS544" s="19" t="e">
        <f t="shared" si="257"/>
        <v>#N/A</v>
      </c>
      <c r="CB544"/>
      <c r="CC544"/>
      <c r="CD544"/>
      <c r="CE544"/>
      <c r="CJ544"/>
      <c r="CK544"/>
      <c r="CL544"/>
      <c r="CM544"/>
      <c r="CN544"/>
    </row>
    <row r="545" spans="31:45" ht="11.25" customHeight="1" x14ac:dyDescent="0.2">
      <c r="AE545" s="19">
        <v>454</v>
      </c>
      <c r="AG545" s="19">
        <f t="shared" si="245"/>
        <v>9</v>
      </c>
      <c r="AH545" s="19">
        <f t="shared" si="246"/>
        <v>1</v>
      </c>
      <c r="AI545" s="19">
        <f t="shared" si="247"/>
        <v>60.375000000000007</v>
      </c>
      <c r="AJ545" s="410">
        <f t="shared" si="248"/>
        <v>969.48</v>
      </c>
      <c r="AK545" s="19" t="e">
        <f t="shared" si="249"/>
        <v>#N/A</v>
      </c>
      <c r="AL545" s="19">
        <f t="shared" si="250"/>
        <v>769.48</v>
      </c>
      <c r="AM545" s="19" t="e">
        <f t="shared" si="251"/>
        <v>#N/A</v>
      </c>
      <c r="AN545" s="19">
        <f t="shared" si="252"/>
        <v>569.48</v>
      </c>
      <c r="AO545" s="19" t="e">
        <f t="shared" si="253"/>
        <v>#N/A</v>
      </c>
      <c r="AP545" s="19">
        <f t="shared" si="254"/>
        <v>369.48</v>
      </c>
      <c r="AQ545" s="19" t="e">
        <f t="shared" si="255"/>
        <v>#N/A</v>
      </c>
      <c r="AR545" s="19">
        <f t="shared" si="256"/>
        <v>169.48000000000002</v>
      </c>
      <c r="AS545" s="19" t="e">
        <f t="shared" si="257"/>
        <v>#N/A</v>
      </c>
    </row>
    <row r="546" spans="31:45" ht="11.25" customHeight="1" x14ac:dyDescent="0.2">
      <c r="AE546" s="19">
        <v>455</v>
      </c>
      <c r="AG546" s="19">
        <f t="shared" si="245"/>
        <v>11</v>
      </c>
      <c r="AH546" s="19">
        <f t="shared" si="246"/>
        <v>-1</v>
      </c>
      <c r="AI546" s="19">
        <f t="shared" si="247"/>
        <v>60.375000000000007</v>
      </c>
      <c r="AJ546" s="410">
        <f t="shared" si="248"/>
        <v>815.08</v>
      </c>
      <c r="AK546" s="19" t="e">
        <f t="shared" si="249"/>
        <v>#N/A</v>
      </c>
      <c r="AL546" s="19">
        <f t="shared" si="250"/>
        <v>615.08000000000004</v>
      </c>
      <c r="AM546" s="19" t="e">
        <f t="shared" si="251"/>
        <v>#N/A</v>
      </c>
      <c r="AN546" s="19">
        <f t="shared" si="252"/>
        <v>415.08</v>
      </c>
      <c r="AO546" s="19" t="e">
        <f t="shared" si="253"/>
        <v>#N/A</v>
      </c>
      <c r="AP546" s="19">
        <f t="shared" si="254"/>
        <v>215.07999999999998</v>
      </c>
      <c r="AQ546" s="19" t="e">
        <f t="shared" si="255"/>
        <v>#N/A</v>
      </c>
      <c r="AR546" s="19">
        <f t="shared" si="256"/>
        <v>15.079999999999998</v>
      </c>
      <c r="AS546" s="19" t="e">
        <f t="shared" si="257"/>
        <v>#N/A</v>
      </c>
    </row>
    <row r="547" spans="31:45" ht="11.25" customHeight="1" x14ac:dyDescent="0.2">
      <c r="AE547" s="19">
        <v>456</v>
      </c>
      <c r="AG547" s="19">
        <f t="shared" si="245"/>
        <v>11</v>
      </c>
      <c r="AH547" s="19">
        <f t="shared" si="246"/>
        <v>1</v>
      </c>
      <c r="AI547" s="19">
        <f t="shared" si="247"/>
        <v>60.375000000000007</v>
      </c>
      <c r="AJ547" s="410">
        <f t="shared" si="248"/>
        <v>984.92</v>
      </c>
      <c r="AK547" s="19" t="e">
        <f t="shared" si="249"/>
        <v>#N/A</v>
      </c>
      <c r="AL547" s="19">
        <f t="shared" si="250"/>
        <v>784.92</v>
      </c>
      <c r="AM547" s="19" t="e">
        <f t="shared" si="251"/>
        <v>#N/A</v>
      </c>
      <c r="AN547" s="19">
        <f t="shared" si="252"/>
        <v>584.91999999999996</v>
      </c>
      <c r="AO547" s="19" t="e">
        <f t="shared" si="253"/>
        <v>#N/A</v>
      </c>
      <c r="AP547" s="19">
        <f t="shared" si="254"/>
        <v>384.92</v>
      </c>
      <c r="AQ547" s="19" t="e">
        <f t="shared" si="255"/>
        <v>#N/A</v>
      </c>
      <c r="AR547" s="19">
        <f t="shared" si="256"/>
        <v>184.92000000000002</v>
      </c>
      <c r="AS547" s="19" t="e">
        <f t="shared" si="257"/>
        <v>#N/A</v>
      </c>
    </row>
    <row r="548" spans="31:45" ht="11.25" customHeight="1" x14ac:dyDescent="0.2">
      <c r="AE548" s="19">
        <v>457</v>
      </c>
      <c r="AG548" s="19">
        <f t="shared" si="245"/>
        <v>1</v>
      </c>
      <c r="AH548" s="19">
        <f t="shared" si="246"/>
        <v>-1</v>
      </c>
      <c r="AI548" s="19">
        <f t="shared" si="247"/>
        <v>61.985000000000007</v>
      </c>
      <c r="AJ548" s="410">
        <f t="shared" si="248"/>
        <v>892.28</v>
      </c>
      <c r="AK548" s="19" t="e">
        <f t="shared" si="249"/>
        <v>#N/A</v>
      </c>
      <c r="AL548" s="19">
        <f t="shared" si="250"/>
        <v>692.28</v>
      </c>
      <c r="AM548" s="19" t="e">
        <f t="shared" si="251"/>
        <v>#N/A</v>
      </c>
      <c r="AN548" s="19">
        <f t="shared" si="252"/>
        <v>492.28</v>
      </c>
      <c r="AO548" s="19" t="e">
        <f t="shared" si="253"/>
        <v>#N/A</v>
      </c>
      <c r="AP548" s="19">
        <f t="shared" si="254"/>
        <v>292.27999999999997</v>
      </c>
      <c r="AQ548" s="19" t="e">
        <f t="shared" si="255"/>
        <v>#N/A</v>
      </c>
      <c r="AR548" s="19">
        <f t="shared" si="256"/>
        <v>92.28</v>
      </c>
      <c r="AS548" s="19" t="e">
        <f t="shared" si="257"/>
        <v>#N/A</v>
      </c>
    </row>
    <row r="549" spans="31:45" ht="11.25" customHeight="1" x14ac:dyDescent="0.2">
      <c r="AE549" s="19">
        <v>458</v>
      </c>
      <c r="AG549" s="19">
        <f t="shared" si="245"/>
        <v>1</v>
      </c>
      <c r="AH549" s="19">
        <f t="shared" si="246"/>
        <v>1</v>
      </c>
      <c r="AI549" s="19">
        <f t="shared" si="247"/>
        <v>61.985000000000007</v>
      </c>
      <c r="AJ549" s="410">
        <f t="shared" si="248"/>
        <v>907.72</v>
      </c>
      <c r="AK549" s="19" t="e">
        <f t="shared" si="249"/>
        <v>#N/A</v>
      </c>
      <c r="AL549" s="19">
        <f t="shared" si="250"/>
        <v>707.72</v>
      </c>
      <c r="AM549" s="19" t="e">
        <f t="shared" si="251"/>
        <v>#N/A</v>
      </c>
      <c r="AN549" s="19">
        <f t="shared" si="252"/>
        <v>507.72</v>
      </c>
      <c r="AO549" s="19" t="e">
        <f t="shared" si="253"/>
        <v>#N/A</v>
      </c>
      <c r="AP549" s="19">
        <f t="shared" si="254"/>
        <v>307.72000000000003</v>
      </c>
      <c r="AQ549" s="19" t="e">
        <f t="shared" si="255"/>
        <v>#N/A</v>
      </c>
      <c r="AR549" s="19">
        <f t="shared" si="256"/>
        <v>107.72</v>
      </c>
      <c r="AS549" s="19" t="e">
        <f t="shared" si="257"/>
        <v>#N/A</v>
      </c>
    </row>
    <row r="550" spans="31:45" ht="11.25" customHeight="1" x14ac:dyDescent="0.2">
      <c r="AE550" s="19">
        <v>459</v>
      </c>
      <c r="AG550" s="19">
        <f t="shared" si="245"/>
        <v>3</v>
      </c>
      <c r="AH550" s="19">
        <f t="shared" si="246"/>
        <v>-1</v>
      </c>
      <c r="AI550" s="19">
        <f t="shared" si="247"/>
        <v>61.985000000000007</v>
      </c>
      <c r="AJ550" s="410">
        <f t="shared" si="248"/>
        <v>876.84</v>
      </c>
      <c r="AK550" s="19" t="e">
        <f t="shared" si="249"/>
        <v>#N/A</v>
      </c>
      <c r="AL550" s="19">
        <f t="shared" si="250"/>
        <v>676.84</v>
      </c>
      <c r="AM550" s="19" t="e">
        <f t="shared" si="251"/>
        <v>#N/A</v>
      </c>
      <c r="AN550" s="19">
        <f t="shared" si="252"/>
        <v>476.84</v>
      </c>
      <c r="AO550" s="19" t="e">
        <f t="shared" si="253"/>
        <v>#N/A</v>
      </c>
      <c r="AP550" s="19">
        <f t="shared" si="254"/>
        <v>276.83999999999997</v>
      </c>
      <c r="AQ550" s="19" t="e">
        <f t="shared" si="255"/>
        <v>#N/A</v>
      </c>
      <c r="AR550" s="19">
        <f t="shared" si="256"/>
        <v>76.84</v>
      </c>
      <c r="AS550" s="19" t="e">
        <f t="shared" si="257"/>
        <v>#N/A</v>
      </c>
    </row>
    <row r="551" spans="31:45" ht="11.25" customHeight="1" x14ac:dyDescent="0.2">
      <c r="AE551" s="19">
        <v>460</v>
      </c>
      <c r="AG551" s="19">
        <f t="shared" si="245"/>
        <v>3</v>
      </c>
      <c r="AH551" s="19">
        <f t="shared" si="246"/>
        <v>1</v>
      </c>
      <c r="AI551" s="19">
        <f t="shared" si="247"/>
        <v>61.985000000000007</v>
      </c>
      <c r="AJ551" s="410">
        <f t="shared" si="248"/>
        <v>923.16</v>
      </c>
      <c r="AK551" s="19" t="e">
        <f t="shared" si="249"/>
        <v>#N/A</v>
      </c>
      <c r="AL551" s="19">
        <f t="shared" si="250"/>
        <v>723.16</v>
      </c>
      <c r="AM551" s="19" t="e">
        <f t="shared" si="251"/>
        <v>#N/A</v>
      </c>
      <c r="AN551" s="19">
        <f t="shared" si="252"/>
        <v>523.16</v>
      </c>
      <c r="AO551" s="19" t="e">
        <f t="shared" si="253"/>
        <v>#N/A</v>
      </c>
      <c r="AP551" s="19">
        <f t="shared" si="254"/>
        <v>323.16000000000003</v>
      </c>
      <c r="AQ551" s="19" t="e">
        <f t="shared" si="255"/>
        <v>#N/A</v>
      </c>
      <c r="AR551" s="19">
        <f t="shared" si="256"/>
        <v>123.16</v>
      </c>
      <c r="AS551" s="19" t="e">
        <f t="shared" si="257"/>
        <v>#N/A</v>
      </c>
    </row>
    <row r="552" spans="31:45" ht="11.25" customHeight="1" x14ac:dyDescent="0.2">
      <c r="AE552" s="19">
        <v>461</v>
      </c>
      <c r="AG552" s="19">
        <f t="shared" si="245"/>
        <v>5</v>
      </c>
      <c r="AH552" s="19">
        <f t="shared" si="246"/>
        <v>-1</v>
      </c>
      <c r="AI552" s="19">
        <f t="shared" si="247"/>
        <v>61.985000000000007</v>
      </c>
      <c r="AJ552" s="410">
        <f t="shared" si="248"/>
        <v>861.4</v>
      </c>
      <c r="AK552" s="19" t="e">
        <f t="shared" si="249"/>
        <v>#N/A</v>
      </c>
      <c r="AL552" s="19">
        <f t="shared" si="250"/>
        <v>661.4</v>
      </c>
      <c r="AM552" s="19" t="e">
        <f t="shared" si="251"/>
        <v>#N/A</v>
      </c>
      <c r="AN552" s="19">
        <f t="shared" si="252"/>
        <v>461.4</v>
      </c>
      <c r="AO552" s="19" t="e">
        <f t="shared" si="253"/>
        <v>#N/A</v>
      </c>
      <c r="AP552" s="19">
        <f t="shared" si="254"/>
        <v>261.39999999999998</v>
      </c>
      <c r="AQ552" s="19" t="e">
        <f t="shared" si="255"/>
        <v>#N/A</v>
      </c>
      <c r="AR552" s="19">
        <f t="shared" si="256"/>
        <v>61.4</v>
      </c>
      <c r="AS552" s="19" t="e">
        <f t="shared" si="257"/>
        <v>#N/A</v>
      </c>
    </row>
    <row r="553" spans="31:45" ht="11.25" customHeight="1" x14ac:dyDescent="0.2">
      <c r="AE553" s="19">
        <v>462</v>
      </c>
      <c r="AG553" s="19">
        <f t="shared" si="245"/>
        <v>5</v>
      </c>
      <c r="AH553" s="19">
        <f t="shared" si="246"/>
        <v>1</v>
      </c>
      <c r="AI553" s="19">
        <f t="shared" si="247"/>
        <v>61.985000000000007</v>
      </c>
      <c r="AJ553" s="410">
        <f t="shared" si="248"/>
        <v>938.6</v>
      </c>
      <c r="AK553" s="19" t="e">
        <f t="shared" si="249"/>
        <v>#N/A</v>
      </c>
      <c r="AL553" s="19">
        <f t="shared" si="250"/>
        <v>738.6</v>
      </c>
      <c r="AM553" s="19" t="e">
        <f t="shared" si="251"/>
        <v>#N/A</v>
      </c>
      <c r="AN553" s="19">
        <f t="shared" si="252"/>
        <v>538.6</v>
      </c>
      <c r="AO553" s="19" t="e">
        <f t="shared" si="253"/>
        <v>#N/A</v>
      </c>
      <c r="AP553" s="19">
        <f t="shared" si="254"/>
        <v>338.6</v>
      </c>
      <c r="AQ553" s="19" t="e">
        <f t="shared" si="255"/>
        <v>#N/A</v>
      </c>
      <c r="AR553" s="19">
        <f t="shared" si="256"/>
        <v>138.6</v>
      </c>
      <c r="AS553" s="19" t="e">
        <f t="shared" si="257"/>
        <v>#N/A</v>
      </c>
    </row>
    <row r="554" spans="31:45" ht="11.25" customHeight="1" x14ac:dyDescent="0.2">
      <c r="AE554" s="19">
        <v>463</v>
      </c>
      <c r="AG554" s="19">
        <f t="shared" si="245"/>
        <v>7</v>
      </c>
      <c r="AH554" s="19">
        <f t="shared" si="246"/>
        <v>-1</v>
      </c>
      <c r="AI554" s="19">
        <f t="shared" si="247"/>
        <v>61.985000000000007</v>
      </c>
      <c r="AJ554" s="410">
        <f t="shared" si="248"/>
        <v>845.96</v>
      </c>
      <c r="AK554" s="19" t="e">
        <f t="shared" si="249"/>
        <v>#N/A</v>
      </c>
      <c r="AL554" s="19">
        <f t="shared" si="250"/>
        <v>645.96</v>
      </c>
      <c r="AM554" s="19" t="e">
        <f t="shared" si="251"/>
        <v>#N/A</v>
      </c>
      <c r="AN554" s="19">
        <f t="shared" si="252"/>
        <v>445.96</v>
      </c>
      <c r="AO554" s="19" t="e">
        <f t="shared" si="253"/>
        <v>#N/A</v>
      </c>
      <c r="AP554" s="19">
        <f t="shared" si="254"/>
        <v>245.96</v>
      </c>
      <c r="AQ554" s="19" t="e">
        <f t="shared" si="255"/>
        <v>#N/A</v>
      </c>
      <c r="AR554" s="19">
        <f t="shared" si="256"/>
        <v>45.96</v>
      </c>
      <c r="AS554" s="19" t="e">
        <f t="shared" si="257"/>
        <v>#N/A</v>
      </c>
    </row>
    <row r="555" spans="31:45" ht="11.25" customHeight="1" x14ac:dyDescent="0.2">
      <c r="AE555" s="19">
        <v>464</v>
      </c>
      <c r="AG555" s="19">
        <f t="shared" si="245"/>
        <v>7</v>
      </c>
      <c r="AH555" s="19">
        <f t="shared" si="246"/>
        <v>1</v>
      </c>
      <c r="AI555" s="19">
        <f t="shared" si="247"/>
        <v>61.985000000000007</v>
      </c>
      <c r="AJ555" s="410">
        <f t="shared" si="248"/>
        <v>954.04</v>
      </c>
      <c r="AK555" s="19" t="e">
        <f t="shared" si="249"/>
        <v>#N/A</v>
      </c>
      <c r="AL555" s="19">
        <f t="shared" si="250"/>
        <v>754.04</v>
      </c>
      <c r="AM555" s="19" t="e">
        <f t="shared" si="251"/>
        <v>#N/A</v>
      </c>
      <c r="AN555" s="19">
        <f t="shared" si="252"/>
        <v>554.04</v>
      </c>
      <c r="AO555" s="19" t="e">
        <f t="shared" si="253"/>
        <v>#N/A</v>
      </c>
      <c r="AP555" s="19">
        <f t="shared" si="254"/>
        <v>354.04</v>
      </c>
      <c r="AQ555" s="19" t="e">
        <f t="shared" si="255"/>
        <v>#N/A</v>
      </c>
      <c r="AR555" s="19">
        <f t="shared" si="256"/>
        <v>154.04</v>
      </c>
      <c r="AS555" s="19" t="e">
        <f t="shared" si="257"/>
        <v>#N/A</v>
      </c>
    </row>
    <row r="556" spans="31:45" ht="11.25" customHeight="1" x14ac:dyDescent="0.2">
      <c r="AE556" s="19">
        <v>465</v>
      </c>
      <c r="AG556" s="19">
        <f t="shared" si="245"/>
        <v>9</v>
      </c>
      <c r="AH556" s="19">
        <f t="shared" si="246"/>
        <v>-1</v>
      </c>
      <c r="AI556" s="19">
        <f t="shared" si="247"/>
        <v>61.985000000000007</v>
      </c>
      <c r="AJ556" s="410">
        <f t="shared" si="248"/>
        <v>830.52</v>
      </c>
      <c r="AK556" s="19" t="e">
        <f t="shared" si="249"/>
        <v>#N/A</v>
      </c>
      <c r="AL556" s="19">
        <f t="shared" si="250"/>
        <v>630.52</v>
      </c>
      <c r="AM556" s="19" t="e">
        <f t="shared" si="251"/>
        <v>#N/A</v>
      </c>
      <c r="AN556" s="19">
        <f t="shared" si="252"/>
        <v>430.52</v>
      </c>
      <c r="AO556" s="19" t="e">
        <f t="shared" si="253"/>
        <v>#N/A</v>
      </c>
      <c r="AP556" s="19">
        <f t="shared" si="254"/>
        <v>230.51999999999998</v>
      </c>
      <c r="AQ556" s="19" t="e">
        <f t="shared" si="255"/>
        <v>#N/A</v>
      </c>
      <c r="AR556" s="19">
        <f t="shared" si="256"/>
        <v>30.519999999999996</v>
      </c>
      <c r="AS556" s="19" t="e">
        <f t="shared" si="257"/>
        <v>#N/A</v>
      </c>
    </row>
    <row r="557" spans="31:45" ht="11.25" customHeight="1" x14ac:dyDescent="0.2">
      <c r="AE557" s="19">
        <v>466</v>
      </c>
      <c r="AG557" s="19">
        <f t="shared" si="245"/>
        <v>9</v>
      </c>
      <c r="AH557" s="19">
        <f t="shared" si="246"/>
        <v>1</v>
      </c>
      <c r="AI557" s="19">
        <f t="shared" si="247"/>
        <v>61.985000000000007</v>
      </c>
      <c r="AJ557" s="410">
        <f t="shared" si="248"/>
        <v>969.48</v>
      </c>
      <c r="AK557" s="19" t="e">
        <f t="shared" si="249"/>
        <v>#N/A</v>
      </c>
      <c r="AL557" s="19">
        <f t="shared" si="250"/>
        <v>769.48</v>
      </c>
      <c r="AM557" s="19" t="e">
        <f t="shared" si="251"/>
        <v>#N/A</v>
      </c>
      <c r="AN557" s="19">
        <f t="shared" si="252"/>
        <v>569.48</v>
      </c>
      <c r="AO557" s="19" t="e">
        <f t="shared" si="253"/>
        <v>#N/A</v>
      </c>
      <c r="AP557" s="19">
        <f t="shared" si="254"/>
        <v>369.48</v>
      </c>
      <c r="AQ557" s="19" t="e">
        <f t="shared" si="255"/>
        <v>#N/A</v>
      </c>
      <c r="AR557" s="19">
        <f t="shared" si="256"/>
        <v>169.48000000000002</v>
      </c>
      <c r="AS557" s="19" t="e">
        <f t="shared" si="257"/>
        <v>#N/A</v>
      </c>
    </row>
    <row r="558" spans="31:45" ht="11.25" customHeight="1" x14ac:dyDescent="0.2">
      <c r="AE558" s="19">
        <v>467</v>
      </c>
      <c r="AG558" s="19">
        <f t="shared" si="245"/>
        <v>11</v>
      </c>
      <c r="AH558" s="19">
        <f t="shared" si="246"/>
        <v>-1</v>
      </c>
      <c r="AI558" s="19">
        <f t="shared" si="247"/>
        <v>61.985000000000007</v>
      </c>
      <c r="AJ558" s="410">
        <f t="shared" si="248"/>
        <v>815.08</v>
      </c>
      <c r="AK558" s="19" t="e">
        <f t="shared" si="249"/>
        <v>#N/A</v>
      </c>
      <c r="AL558" s="19">
        <f t="shared" si="250"/>
        <v>615.08000000000004</v>
      </c>
      <c r="AM558" s="19" t="e">
        <f t="shared" si="251"/>
        <v>#N/A</v>
      </c>
      <c r="AN558" s="19">
        <f t="shared" si="252"/>
        <v>415.08</v>
      </c>
      <c r="AO558" s="19" t="e">
        <f t="shared" si="253"/>
        <v>#N/A</v>
      </c>
      <c r="AP558" s="19">
        <f t="shared" si="254"/>
        <v>215.07999999999998</v>
      </c>
      <c r="AQ558" s="19" t="e">
        <f t="shared" si="255"/>
        <v>#N/A</v>
      </c>
      <c r="AR558" s="19">
        <f t="shared" si="256"/>
        <v>15.079999999999998</v>
      </c>
      <c r="AS558" s="19" t="e">
        <f t="shared" si="257"/>
        <v>#N/A</v>
      </c>
    </row>
    <row r="559" spans="31:45" ht="11.25" customHeight="1" x14ac:dyDescent="0.2">
      <c r="AE559" s="19">
        <v>468</v>
      </c>
      <c r="AG559" s="19">
        <f t="shared" si="245"/>
        <v>11</v>
      </c>
      <c r="AH559" s="19">
        <f t="shared" si="246"/>
        <v>1</v>
      </c>
      <c r="AI559" s="19">
        <f t="shared" si="247"/>
        <v>61.985000000000007</v>
      </c>
      <c r="AJ559" s="410">
        <f t="shared" si="248"/>
        <v>984.92</v>
      </c>
      <c r="AK559" s="19" t="e">
        <f t="shared" si="249"/>
        <v>#N/A</v>
      </c>
      <c r="AL559" s="19">
        <f t="shared" si="250"/>
        <v>784.92</v>
      </c>
      <c r="AM559" s="19" t="e">
        <f t="shared" si="251"/>
        <v>#N/A</v>
      </c>
      <c r="AN559" s="19">
        <f t="shared" si="252"/>
        <v>584.91999999999996</v>
      </c>
      <c r="AO559" s="19" t="e">
        <f t="shared" si="253"/>
        <v>#N/A</v>
      </c>
      <c r="AP559" s="19">
        <f t="shared" si="254"/>
        <v>384.92</v>
      </c>
      <c r="AQ559" s="19" t="e">
        <f t="shared" si="255"/>
        <v>#N/A</v>
      </c>
      <c r="AR559" s="19">
        <f t="shared" si="256"/>
        <v>184.92000000000002</v>
      </c>
      <c r="AS559" s="19" t="e">
        <f t="shared" si="257"/>
        <v>#N/A</v>
      </c>
    </row>
    <row r="560" spans="31:45" ht="11.25" customHeight="1" x14ac:dyDescent="0.2">
      <c r="AE560" s="19">
        <v>469</v>
      </c>
      <c r="AG560" s="19">
        <f t="shared" si="245"/>
        <v>1</v>
      </c>
      <c r="AH560" s="19">
        <f t="shared" si="246"/>
        <v>-1</v>
      </c>
      <c r="AI560" s="19">
        <f t="shared" si="247"/>
        <v>63.595000000000006</v>
      </c>
      <c r="AJ560" s="410">
        <f t="shared" si="248"/>
        <v>892.28</v>
      </c>
      <c r="AK560" s="19" t="e">
        <f t="shared" si="249"/>
        <v>#N/A</v>
      </c>
      <c r="AL560" s="19">
        <f t="shared" si="250"/>
        <v>692.28</v>
      </c>
      <c r="AM560" s="19" t="e">
        <f t="shared" si="251"/>
        <v>#N/A</v>
      </c>
      <c r="AN560" s="19">
        <f t="shared" si="252"/>
        <v>492.28</v>
      </c>
      <c r="AO560" s="19" t="e">
        <f t="shared" si="253"/>
        <v>#N/A</v>
      </c>
      <c r="AP560" s="19">
        <f t="shared" si="254"/>
        <v>292.27999999999997</v>
      </c>
      <c r="AQ560" s="19" t="e">
        <f t="shared" si="255"/>
        <v>#N/A</v>
      </c>
      <c r="AR560" s="19">
        <f t="shared" si="256"/>
        <v>92.28</v>
      </c>
      <c r="AS560" s="19" t="e">
        <f t="shared" si="257"/>
        <v>#N/A</v>
      </c>
    </row>
    <row r="561" spans="31:45" ht="11.25" customHeight="1" x14ac:dyDescent="0.2">
      <c r="AE561" s="19">
        <v>470</v>
      </c>
      <c r="AG561" s="19">
        <f t="shared" si="245"/>
        <v>1</v>
      </c>
      <c r="AH561" s="19">
        <f t="shared" si="246"/>
        <v>1</v>
      </c>
      <c r="AI561" s="19">
        <f t="shared" si="247"/>
        <v>63.595000000000006</v>
      </c>
      <c r="AJ561" s="410">
        <f t="shared" si="248"/>
        <v>907.72</v>
      </c>
      <c r="AK561" s="19" t="e">
        <f t="shared" si="249"/>
        <v>#N/A</v>
      </c>
      <c r="AL561" s="19">
        <f t="shared" si="250"/>
        <v>707.72</v>
      </c>
      <c r="AM561" s="19" t="e">
        <f t="shared" si="251"/>
        <v>#N/A</v>
      </c>
      <c r="AN561" s="19">
        <f t="shared" si="252"/>
        <v>507.72</v>
      </c>
      <c r="AO561" s="19" t="e">
        <f t="shared" si="253"/>
        <v>#N/A</v>
      </c>
      <c r="AP561" s="19">
        <f t="shared" si="254"/>
        <v>307.72000000000003</v>
      </c>
      <c r="AQ561" s="19" t="e">
        <f t="shared" si="255"/>
        <v>#N/A</v>
      </c>
      <c r="AR561" s="19">
        <f t="shared" si="256"/>
        <v>107.72</v>
      </c>
      <c r="AS561" s="19" t="e">
        <f t="shared" si="257"/>
        <v>#N/A</v>
      </c>
    </row>
    <row r="562" spans="31:45" ht="11.25" customHeight="1" x14ac:dyDescent="0.2">
      <c r="AE562" s="19">
        <v>471</v>
      </c>
      <c r="AG562" s="19">
        <f t="shared" si="245"/>
        <v>3</v>
      </c>
      <c r="AH562" s="19">
        <f t="shared" si="246"/>
        <v>-1</v>
      </c>
      <c r="AI562" s="19">
        <f t="shared" si="247"/>
        <v>63.595000000000006</v>
      </c>
      <c r="AJ562" s="410">
        <f t="shared" si="248"/>
        <v>876.84</v>
      </c>
      <c r="AK562" s="19" t="e">
        <f t="shared" si="249"/>
        <v>#N/A</v>
      </c>
      <c r="AL562" s="19">
        <f t="shared" si="250"/>
        <v>676.84</v>
      </c>
      <c r="AM562" s="19" t="e">
        <f t="shared" si="251"/>
        <v>#N/A</v>
      </c>
      <c r="AN562" s="19">
        <f t="shared" si="252"/>
        <v>476.84</v>
      </c>
      <c r="AO562" s="19" t="e">
        <f t="shared" si="253"/>
        <v>#N/A</v>
      </c>
      <c r="AP562" s="19">
        <f t="shared" si="254"/>
        <v>276.83999999999997</v>
      </c>
      <c r="AQ562" s="19" t="e">
        <f t="shared" si="255"/>
        <v>#N/A</v>
      </c>
      <c r="AR562" s="19">
        <f t="shared" si="256"/>
        <v>76.84</v>
      </c>
      <c r="AS562" s="19" t="e">
        <f t="shared" si="257"/>
        <v>#N/A</v>
      </c>
    </row>
    <row r="563" spans="31:45" ht="11.25" customHeight="1" x14ac:dyDescent="0.2">
      <c r="AE563" s="19">
        <v>472</v>
      </c>
      <c r="AG563" s="19">
        <f t="shared" si="245"/>
        <v>3</v>
      </c>
      <c r="AH563" s="19">
        <f t="shared" si="246"/>
        <v>1</v>
      </c>
      <c r="AI563" s="19">
        <f t="shared" si="247"/>
        <v>63.595000000000006</v>
      </c>
      <c r="AJ563" s="410">
        <f t="shared" si="248"/>
        <v>923.16</v>
      </c>
      <c r="AK563" s="19" t="e">
        <f t="shared" si="249"/>
        <v>#N/A</v>
      </c>
      <c r="AL563" s="19">
        <f t="shared" si="250"/>
        <v>723.16</v>
      </c>
      <c r="AM563" s="19" t="e">
        <f t="shared" si="251"/>
        <v>#N/A</v>
      </c>
      <c r="AN563" s="19">
        <f t="shared" si="252"/>
        <v>523.16</v>
      </c>
      <c r="AO563" s="19" t="e">
        <f t="shared" si="253"/>
        <v>#N/A</v>
      </c>
      <c r="AP563" s="19">
        <f t="shared" si="254"/>
        <v>323.16000000000003</v>
      </c>
      <c r="AQ563" s="19" t="e">
        <f t="shared" si="255"/>
        <v>#N/A</v>
      </c>
      <c r="AR563" s="19">
        <f t="shared" si="256"/>
        <v>123.16</v>
      </c>
      <c r="AS563" s="19" t="e">
        <f t="shared" si="257"/>
        <v>#N/A</v>
      </c>
    </row>
    <row r="564" spans="31:45" ht="11.25" customHeight="1" x14ac:dyDescent="0.2">
      <c r="AE564" s="19">
        <v>473</v>
      </c>
      <c r="AG564" s="19">
        <f t="shared" si="245"/>
        <v>5</v>
      </c>
      <c r="AH564" s="19">
        <f t="shared" si="246"/>
        <v>-1</v>
      </c>
      <c r="AI564" s="19">
        <f t="shared" si="247"/>
        <v>63.595000000000006</v>
      </c>
      <c r="AJ564" s="410">
        <f t="shared" si="248"/>
        <v>861.4</v>
      </c>
      <c r="AK564" s="19" t="e">
        <f t="shared" si="249"/>
        <v>#N/A</v>
      </c>
      <c r="AL564" s="19">
        <f t="shared" si="250"/>
        <v>661.4</v>
      </c>
      <c r="AM564" s="19" t="e">
        <f t="shared" si="251"/>
        <v>#N/A</v>
      </c>
      <c r="AN564" s="19">
        <f t="shared" si="252"/>
        <v>461.4</v>
      </c>
      <c r="AO564" s="19" t="e">
        <f t="shared" si="253"/>
        <v>#N/A</v>
      </c>
      <c r="AP564" s="19">
        <f t="shared" si="254"/>
        <v>261.39999999999998</v>
      </c>
      <c r="AQ564" s="19" t="e">
        <f t="shared" si="255"/>
        <v>#N/A</v>
      </c>
      <c r="AR564" s="19">
        <f t="shared" si="256"/>
        <v>61.4</v>
      </c>
      <c r="AS564" s="19" t="e">
        <f t="shared" si="257"/>
        <v>#N/A</v>
      </c>
    </row>
    <row r="565" spans="31:45" ht="11.25" customHeight="1" x14ac:dyDescent="0.2">
      <c r="AE565" s="19">
        <v>474</v>
      </c>
      <c r="AG565" s="19">
        <f t="shared" si="245"/>
        <v>5</v>
      </c>
      <c r="AH565" s="19">
        <f t="shared" si="246"/>
        <v>1</v>
      </c>
      <c r="AI565" s="19">
        <f t="shared" si="247"/>
        <v>63.595000000000006</v>
      </c>
      <c r="AJ565" s="410">
        <f t="shared" si="248"/>
        <v>938.6</v>
      </c>
      <c r="AK565" s="19" t="e">
        <f t="shared" si="249"/>
        <v>#N/A</v>
      </c>
      <c r="AL565" s="19">
        <f t="shared" si="250"/>
        <v>738.6</v>
      </c>
      <c r="AM565" s="19" t="e">
        <f t="shared" si="251"/>
        <v>#N/A</v>
      </c>
      <c r="AN565" s="19">
        <f t="shared" si="252"/>
        <v>538.6</v>
      </c>
      <c r="AO565" s="19" t="e">
        <f t="shared" si="253"/>
        <v>#N/A</v>
      </c>
      <c r="AP565" s="19">
        <f t="shared" si="254"/>
        <v>338.6</v>
      </c>
      <c r="AQ565" s="19" t="e">
        <f t="shared" si="255"/>
        <v>#N/A</v>
      </c>
      <c r="AR565" s="19">
        <f t="shared" si="256"/>
        <v>138.6</v>
      </c>
      <c r="AS565" s="19" t="e">
        <f t="shared" si="257"/>
        <v>#N/A</v>
      </c>
    </row>
    <row r="566" spans="31:45" ht="11.25" customHeight="1" x14ac:dyDescent="0.2">
      <c r="AE566" s="19">
        <v>475</v>
      </c>
      <c r="AG566" s="19">
        <f t="shared" si="245"/>
        <v>7</v>
      </c>
      <c r="AH566" s="19">
        <f t="shared" si="246"/>
        <v>-1</v>
      </c>
      <c r="AI566" s="19">
        <f t="shared" si="247"/>
        <v>63.595000000000006</v>
      </c>
      <c r="AJ566" s="410">
        <f t="shared" si="248"/>
        <v>845.96</v>
      </c>
      <c r="AK566" s="19" t="e">
        <f t="shared" si="249"/>
        <v>#N/A</v>
      </c>
      <c r="AL566" s="19">
        <f t="shared" si="250"/>
        <v>645.96</v>
      </c>
      <c r="AM566" s="19" t="e">
        <f t="shared" si="251"/>
        <v>#N/A</v>
      </c>
      <c r="AN566" s="19">
        <f t="shared" si="252"/>
        <v>445.96</v>
      </c>
      <c r="AO566" s="19" t="e">
        <f t="shared" si="253"/>
        <v>#N/A</v>
      </c>
      <c r="AP566" s="19">
        <f t="shared" si="254"/>
        <v>245.96</v>
      </c>
      <c r="AQ566" s="19" t="e">
        <f t="shared" si="255"/>
        <v>#N/A</v>
      </c>
      <c r="AR566" s="19">
        <f t="shared" si="256"/>
        <v>45.96</v>
      </c>
      <c r="AS566" s="19" t="e">
        <f t="shared" si="257"/>
        <v>#N/A</v>
      </c>
    </row>
    <row r="567" spans="31:45" ht="11.25" customHeight="1" x14ac:dyDescent="0.2">
      <c r="AE567" s="19">
        <v>476</v>
      </c>
      <c r="AG567" s="19">
        <f t="shared" si="245"/>
        <v>7</v>
      </c>
      <c r="AH567" s="19">
        <f t="shared" si="246"/>
        <v>1</v>
      </c>
      <c r="AI567" s="19">
        <f t="shared" si="247"/>
        <v>63.595000000000006</v>
      </c>
      <c r="AJ567" s="410">
        <f t="shared" si="248"/>
        <v>954.04</v>
      </c>
      <c r="AK567" s="19" t="e">
        <f t="shared" si="249"/>
        <v>#N/A</v>
      </c>
      <c r="AL567" s="19">
        <f t="shared" si="250"/>
        <v>754.04</v>
      </c>
      <c r="AM567" s="19" t="e">
        <f t="shared" si="251"/>
        <v>#N/A</v>
      </c>
      <c r="AN567" s="19">
        <f t="shared" si="252"/>
        <v>554.04</v>
      </c>
      <c r="AO567" s="19" t="e">
        <f t="shared" si="253"/>
        <v>#N/A</v>
      </c>
      <c r="AP567" s="19">
        <f t="shared" si="254"/>
        <v>354.04</v>
      </c>
      <c r="AQ567" s="19" t="e">
        <f t="shared" si="255"/>
        <v>#N/A</v>
      </c>
      <c r="AR567" s="19">
        <f t="shared" si="256"/>
        <v>154.04</v>
      </c>
      <c r="AS567" s="19" t="e">
        <f t="shared" si="257"/>
        <v>#N/A</v>
      </c>
    </row>
    <row r="568" spans="31:45" ht="11.25" customHeight="1" x14ac:dyDescent="0.2">
      <c r="AE568" s="19">
        <v>477</v>
      </c>
      <c r="AG568" s="19">
        <f t="shared" si="245"/>
        <v>9</v>
      </c>
      <c r="AH568" s="19">
        <f t="shared" si="246"/>
        <v>-1</v>
      </c>
      <c r="AI568" s="19">
        <f t="shared" si="247"/>
        <v>63.595000000000006</v>
      </c>
      <c r="AJ568" s="410">
        <f t="shared" si="248"/>
        <v>830.52</v>
      </c>
      <c r="AK568" s="19" t="e">
        <f t="shared" si="249"/>
        <v>#N/A</v>
      </c>
      <c r="AL568" s="19">
        <f t="shared" si="250"/>
        <v>630.52</v>
      </c>
      <c r="AM568" s="19" t="e">
        <f t="shared" si="251"/>
        <v>#N/A</v>
      </c>
      <c r="AN568" s="19">
        <f t="shared" si="252"/>
        <v>430.52</v>
      </c>
      <c r="AO568" s="19" t="e">
        <f t="shared" si="253"/>
        <v>#N/A</v>
      </c>
      <c r="AP568" s="19">
        <f t="shared" si="254"/>
        <v>230.51999999999998</v>
      </c>
      <c r="AQ568" s="19" t="e">
        <f t="shared" si="255"/>
        <v>#N/A</v>
      </c>
      <c r="AR568" s="19">
        <f t="shared" si="256"/>
        <v>30.519999999999996</v>
      </c>
      <c r="AS568" s="19" t="e">
        <f t="shared" si="257"/>
        <v>#N/A</v>
      </c>
    </row>
    <row r="569" spans="31:45" ht="11.25" customHeight="1" x14ac:dyDescent="0.2">
      <c r="AE569" s="19">
        <v>478</v>
      </c>
      <c r="AG569" s="19">
        <f t="shared" si="245"/>
        <v>9</v>
      </c>
      <c r="AH569" s="19">
        <f t="shared" si="246"/>
        <v>1</v>
      </c>
      <c r="AI569" s="19">
        <f t="shared" si="247"/>
        <v>63.595000000000006</v>
      </c>
      <c r="AJ569" s="410">
        <f t="shared" si="248"/>
        <v>969.48</v>
      </c>
      <c r="AK569" s="19" t="e">
        <f t="shared" si="249"/>
        <v>#N/A</v>
      </c>
      <c r="AL569" s="19">
        <f t="shared" si="250"/>
        <v>769.48</v>
      </c>
      <c r="AM569" s="19" t="e">
        <f t="shared" si="251"/>
        <v>#N/A</v>
      </c>
      <c r="AN569" s="19">
        <f t="shared" si="252"/>
        <v>569.48</v>
      </c>
      <c r="AO569" s="19" t="e">
        <f t="shared" si="253"/>
        <v>#N/A</v>
      </c>
      <c r="AP569" s="19">
        <f t="shared" si="254"/>
        <v>369.48</v>
      </c>
      <c r="AQ569" s="19" t="e">
        <f t="shared" si="255"/>
        <v>#N/A</v>
      </c>
      <c r="AR569" s="19">
        <f t="shared" si="256"/>
        <v>169.48000000000002</v>
      </c>
      <c r="AS569" s="19" t="e">
        <f t="shared" si="257"/>
        <v>#N/A</v>
      </c>
    </row>
    <row r="570" spans="31:45" ht="11.25" customHeight="1" x14ac:dyDescent="0.2">
      <c r="AE570" s="19">
        <v>479</v>
      </c>
      <c r="AG570" s="19">
        <f t="shared" si="245"/>
        <v>11</v>
      </c>
      <c r="AH570" s="19">
        <f t="shared" si="246"/>
        <v>-1</v>
      </c>
      <c r="AI570" s="19">
        <f t="shared" si="247"/>
        <v>63.595000000000006</v>
      </c>
      <c r="AJ570" s="410">
        <f t="shared" si="248"/>
        <v>815.08</v>
      </c>
      <c r="AK570" s="19" t="e">
        <f t="shared" si="249"/>
        <v>#N/A</v>
      </c>
      <c r="AL570" s="19">
        <f t="shared" si="250"/>
        <v>615.08000000000004</v>
      </c>
      <c r="AM570" s="19" t="e">
        <f t="shared" si="251"/>
        <v>#N/A</v>
      </c>
      <c r="AN570" s="19">
        <f t="shared" si="252"/>
        <v>415.08</v>
      </c>
      <c r="AO570" s="19" t="e">
        <f t="shared" si="253"/>
        <v>#N/A</v>
      </c>
      <c r="AP570" s="19">
        <f t="shared" si="254"/>
        <v>215.07999999999998</v>
      </c>
      <c r="AQ570" s="19" t="e">
        <f t="shared" si="255"/>
        <v>#N/A</v>
      </c>
      <c r="AR570" s="19">
        <f t="shared" si="256"/>
        <v>15.079999999999998</v>
      </c>
      <c r="AS570" s="19" t="e">
        <f t="shared" si="257"/>
        <v>#N/A</v>
      </c>
    </row>
    <row r="571" spans="31:45" ht="11.25" customHeight="1" x14ac:dyDescent="0.2">
      <c r="AE571" s="19">
        <v>480</v>
      </c>
      <c r="AG571" s="19">
        <f t="shared" si="245"/>
        <v>11</v>
      </c>
      <c r="AH571" s="19">
        <f t="shared" si="246"/>
        <v>1</v>
      </c>
      <c r="AI571" s="19">
        <f t="shared" si="247"/>
        <v>63.595000000000006</v>
      </c>
      <c r="AJ571" s="410">
        <f t="shared" si="248"/>
        <v>984.92</v>
      </c>
      <c r="AK571" s="19" t="e">
        <f t="shared" si="249"/>
        <v>#N/A</v>
      </c>
      <c r="AL571" s="19">
        <f t="shared" si="250"/>
        <v>784.92</v>
      </c>
      <c r="AM571" s="19" t="e">
        <f t="shared" si="251"/>
        <v>#N/A</v>
      </c>
      <c r="AN571" s="19">
        <f t="shared" si="252"/>
        <v>584.91999999999996</v>
      </c>
      <c r="AO571" s="19" t="e">
        <f t="shared" si="253"/>
        <v>#N/A</v>
      </c>
      <c r="AP571" s="19">
        <f t="shared" si="254"/>
        <v>384.92</v>
      </c>
      <c r="AQ571" s="19" t="e">
        <f t="shared" si="255"/>
        <v>#N/A</v>
      </c>
      <c r="AR571" s="19">
        <f t="shared" si="256"/>
        <v>184.92000000000002</v>
      </c>
      <c r="AS571" s="19" t="e">
        <f t="shared" si="257"/>
        <v>#N/A</v>
      </c>
    </row>
    <row r="572" spans="31:45" ht="11.25" customHeight="1" x14ac:dyDescent="0.2">
      <c r="AE572" s="19">
        <v>481</v>
      </c>
      <c r="AG572" s="19">
        <f t="shared" si="245"/>
        <v>1</v>
      </c>
      <c r="AH572" s="19">
        <f t="shared" si="246"/>
        <v>-1</v>
      </c>
      <c r="AI572" s="19">
        <f t="shared" si="247"/>
        <v>65.204999999999998</v>
      </c>
      <c r="AJ572" s="410">
        <f t="shared" si="248"/>
        <v>892.28</v>
      </c>
      <c r="AK572" s="19" t="e">
        <f t="shared" si="249"/>
        <v>#N/A</v>
      </c>
      <c r="AL572" s="19">
        <f t="shared" si="250"/>
        <v>692.28</v>
      </c>
      <c r="AM572" s="19" t="e">
        <f t="shared" si="251"/>
        <v>#N/A</v>
      </c>
      <c r="AN572" s="19">
        <f t="shared" si="252"/>
        <v>492.28</v>
      </c>
      <c r="AO572" s="19" t="e">
        <f t="shared" si="253"/>
        <v>#N/A</v>
      </c>
      <c r="AP572" s="19">
        <f t="shared" si="254"/>
        <v>292.27999999999997</v>
      </c>
      <c r="AQ572" s="19" t="e">
        <f t="shared" si="255"/>
        <v>#N/A</v>
      </c>
      <c r="AR572" s="19">
        <f t="shared" si="256"/>
        <v>92.28</v>
      </c>
      <c r="AS572" s="19" t="e">
        <f t="shared" si="257"/>
        <v>#N/A</v>
      </c>
    </row>
    <row r="573" spans="31:45" ht="11.25" customHeight="1" x14ac:dyDescent="0.2">
      <c r="AE573" s="19">
        <v>482</v>
      </c>
      <c r="AG573" s="19">
        <f t="shared" si="245"/>
        <v>1</v>
      </c>
      <c r="AH573" s="19">
        <f t="shared" si="246"/>
        <v>1</v>
      </c>
      <c r="AI573" s="19">
        <f t="shared" si="247"/>
        <v>65.204999999999998</v>
      </c>
      <c r="AJ573" s="410">
        <f t="shared" si="248"/>
        <v>907.72</v>
      </c>
      <c r="AK573" s="19" t="e">
        <f t="shared" si="249"/>
        <v>#N/A</v>
      </c>
      <c r="AL573" s="19">
        <f t="shared" si="250"/>
        <v>707.72</v>
      </c>
      <c r="AM573" s="19" t="e">
        <f t="shared" si="251"/>
        <v>#N/A</v>
      </c>
      <c r="AN573" s="19">
        <f t="shared" si="252"/>
        <v>507.72</v>
      </c>
      <c r="AO573" s="19" t="e">
        <f t="shared" si="253"/>
        <v>#N/A</v>
      </c>
      <c r="AP573" s="19">
        <f t="shared" si="254"/>
        <v>307.72000000000003</v>
      </c>
      <c r="AQ573" s="19" t="e">
        <f t="shared" si="255"/>
        <v>#N/A</v>
      </c>
      <c r="AR573" s="19">
        <f t="shared" si="256"/>
        <v>107.72</v>
      </c>
      <c r="AS573" s="19" t="e">
        <f t="shared" si="257"/>
        <v>#N/A</v>
      </c>
    </row>
    <row r="574" spans="31:45" ht="11.25" customHeight="1" x14ac:dyDescent="0.2">
      <c r="AE574" s="19">
        <v>483</v>
      </c>
      <c r="AG574" s="19">
        <f t="shared" si="245"/>
        <v>3</v>
      </c>
      <c r="AH574" s="19">
        <f t="shared" si="246"/>
        <v>-1</v>
      </c>
      <c r="AI574" s="19">
        <f t="shared" si="247"/>
        <v>65.204999999999998</v>
      </c>
      <c r="AJ574" s="410">
        <f t="shared" si="248"/>
        <v>876.84</v>
      </c>
      <c r="AK574" s="19" t="e">
        <f t="shared" si="249"/>
        <v>#N/A</v>
      </c>
      <c r="AL574" s="19">
        <f t="shared" si="250"/>
        <v>676.84</v>
      </c>
      <c r="AM574" s="19" t="e">
        <f t="shared" si="251"/>
        <v>#N/A</v>
      </c>
      <c r="AN574" s="19">
        <f t="shared" si="252"/>
        <v>476.84</v>
      </c>
      <c r="AO574" s="19" t="e">
        <f t="shared" si="253"/>
        <v>#N/A</v>
      </c>
      <c r="AP574" s="19">
        <f t="shared" si="254"/>
        <v>276.83999999999997</v>
      </c>
      <c r="AQ574" s="19" t="e">
        <f t="shared" si="255"/>
        <v>#N/A</v>
      </c>
      <c r="AR574" s="19">
        <f t="shared" si="256"/>
        <v>76.84</v>
      </c>
      <c r="AS574" s="19" t="e">
        <f t="shared" si="257"/>
        <v>#N/A</v>
      </c>
    </row>
    <row r="575" spans="31:45" ht="11.25" customHeight="1" x14ac:dyDescent="0.2">
      <c r="AE575" s="19">
        <v>484</v>
      </c>
      <c r="AG575" s="19">
        <f t="shared" si="245"/>
        <v>3</v>
      </c>
      <c r="AH575" s="19">
        <f t="shared" si="246"/>
        <v>1</v>
      </c>
      <c r="AI575" s="19">
        <f t="shared" si="247"/>
        <v>65.204999999999998</v>
      </c>
      <c r="AJ575" s="410">
        <f t="shared" si="248"/>
        <v>923.16</v>
      </c>
      <c r="AK575" s="19" t="e">
        <f t="shared" si="249"/>
        <v>#N/A</v>
      </c>
      <c r="AL575" s="19">
        <f t="shared" si="250"/>
        <v>723.16</v>
      </c>
      <c r="AM575" s="19" t="e">
        <f t="shared" si="251"/>
        <v>#N/A</v>
      </c>
      <c r="AN575" s="19">
        <f t="shared" si="252"/>
        <v>523.16</v>
      </c>
      <c r="AO575" s="19" t="e">
        <f t="shared" si="253"/>
        <v>#N/A</v>
      </c>
      <c r="AP575" s="19">
        <f t="shared" si="254"/>
        <v>323.16000000000003</v>
      </c>
      <c r="AQ575" s="19" t="e">
        <f t="shared" si="255"/>
        <v>#N/A</v>
      </c>
      <c r="AR575" s="19">
        <f t="shared" si="256"/>
        <v>123.16</v>
      </c>
      <c r="AS575" s="19" t="e">
        <f t="shared" si="257"/>
        <v>#N/A</v>
      </c>
    </row>
    <row r="576" spans="31:45" ht="11.25" customHeight="1" x14ac:dyDescent="0.2">
      <c r="AE576" s="19">
        <v>485</v>
      </c>
      <c r="AG576" s="19">
        <f t="shared" si="245"/>
        <v>5</v>
      </c>
      <c r="AH576" s="19">
        <f t="shared" si="246"/>
        <v>-1</v>
      </c>
      <c r="AI576" s="19">
        <f t="shared" si="247"/>
        <v>65.204999999999998</v>
      </c>
      <c r="AJ576" s="410">
        <f t="shared" si="248"/>
        <v>861.4</v>
      </c>
      <c r="AK576" s="19" t="e">
        <f t="shared" si="249"/>
        <v>#N/A</v>
      </c>
      <c r="AL576" s="19">
        <f t="shared" si="250"/>
        <v>661.4</v>
      </c>
      <c r="AM576" s="19" t="e">
        <f t="shared" si="251"/>
        <v>#N/A</v>
      </c>
      <c r="AN576" s="19">
        <f t="shared" si="252"/>
        <v>461.4</v>
      </c>
      <c r="AO576" s="19" t="e">
        <f t="shared" si="253"/>
        <v>#N/A</v>
      </c>
      <c r="AP576" s="19">
        <f t="shared" si="254"/>
        <v>261.39999999999998</v>
      </c>
      <c r="AQ576" s="19" t="e">
        <f t="shared" si="255"/>
        <v>#N/A</v>
      </c>
      <c r="AR576" s="19">
        <f t="shared" si="256"/>
        <v>61.4</v>
      </c>
      <c r="AS576" s="19" t="e">
        <f t="shared" si="257"/>
        <v>#N/A</v>
      </c>
    </row>
    <row r="577" spans="31:45" ht="11.25" customHeight="1" x14ac:dyDescent="0.2">
      <c r="AE577" s="19">
        <v>486</v>
      </c>
      <c r="AG577" s="19">
        <f t="shared" si="245"/>
        <v>5</v>
      </c>
      <c r="AH577" s="19">
        <f t="shared" si="246"/>
        <v>1</v>
      </c>
      <c r="AI577" s="19">
        <f t="shared" si="247"/>
        <v>65.204999999999998</v>
      </c>
      <c r="AJ577" s="410">
        <f t="shared" si="248"/>
        <v>938.6</v>
      </c>
      <c r="AK577" s="19" t="e">
        <f t="shared" si="249"/>
        <v>#N/A</v>
      </c>
      <c r="AL577" s="19">
        <f t="shared" si="250"/>
        <v>738.6</v>
      </c>
      <c r="AM577" s="19" t="e">
        <f t="shared" si="251"/>
        <v>#N/A</v>
      </c>
      <c r="AN577" s="19">
        <f t="shared" si="252"/>
        <v>538.6</v>
      </c>
      <c r="AO577" s="19" t="e">
        <f t="shared" si="253"/>
        <v>#N/A</v>
      </c>
      <c r="AP577" s="19">
        <f t="shared" si="254"/>
        <v>338.6</v>
      </c>
      <c r="AQ577" s="19" t="e">
        <f t="shared" si="255"/>
        <v>#N/A</v>
      </c>
      <c r="AR577" s="19">
        <f t="shared" si="256"/>
        <v>138.6</v>
      </c>
      <c r="AS577" s="19" t="e">
        <f t="shared" si="257"/>
        <v>#N/A</v>
      </c>
    </row>
    <row r="578" spans="31:45" ht="11.25" customHeight="1" x14ac:dyDescent="0.2">
      <c r="AE578" s="19">
        <v>487</v>
      </c>
      <c r="AG578" s="19">
        <f t="shared" si="245"/>
        <v>7</v>
      </c>
      <c r="AH578" s="19">
        <f t="shared" si="246"/>
        <v>-1</v>
      </c>
      <c r="AI578" s="19">
        <f t="shared" si="247"/>
        <v>65.204999999999998</v>
      </c>
      <c r="AJ578" s="410">
        <f t="shared" si="248"/>
        <v>845.96</v>
      </c>
      <c r="AK578" s="19" t="e">
        <f t="shared" si="249"/>
        <v>#N/A</v>
      </c>
      <c r="AL578" s="19">
        <f t="shared" si="250"/>
        <v>645.96</v>
      </c>
      <c r="AM578" s="19" t="e">
        <f t="shared" si="251"/>
        <v>#N/A</v>
      </c>
      <c r="AN578" s="19">
        <f t="shared" si="252"/>
        <v>445.96</v>
      </c>
      <c r="AO578" s="19" t="e">
        <f t="shared" si="253"/>
        <v>#N/A</v>
      </c>
      <c r="AP578" s="19">
        <f t="shared" si="254"/>
        <v>245.96</v>
      </c>
      <c r="AQ578" s="19" t="e">
        <f t="shared" si="255"/>
        <v>#N/A</v>
      </c>
      <c r="AR578" s="19">
        <f t="shared" si="256"/>
        <v>45.96</v>
      </c>
      <c r="AS578" s="19" t="e">
        <f t="shared" si="257"/>
        <v>#N/A</v>
      </c>
    </row>
    <row r="579" spans="31:45" ht="11.25" customHeight="1" x14ac:dyDescent="0.2">
      <c r="AE579" s="19">
        <v>488</v>
      </c>
      <c r="AG579" s="19">
        <f t="shared" si="245"/>
        <v>7</v>
      </c>
      <c r="AH579" s="19">
        <f t="shared" si="246"/>
        <v>1</v>
      </c>
      <c r="AI579" s="19">
        <f t="shared" si="247"/>
        <v>65.204999999999998</v>
      </c>
      <c r="AJ579" s="410">
        <f t="shared" si="248"/>
        <v>954.04</v>
      </c>
      <c r="AK579" s="19" t="e">
        <f t="shared" si="249"/>
        <v>#N/A</v>
      </c>
      <c r="AL579" s="19">
        <f t="shared" si="250"/>
        <v>754.04</v>
      </c>
      <c r="AM579" s="19" t="e">
        <f t="shared" si="251"/>
        <v>#N/A</v>
      </c>
      <c r="AN579" s="19">
        <f t="shared" si="252"/>
        <v>554.04</v>
      </c>
      <c r="AO579" s="19" t="e">
        <f t="shared" si="253"/>
        <v>#N/A</v>
      </c>
      <c r="AP579" s="19">
        <f t="shared" si="254"/>
        <v>354.04</v>
      </c>
      <c r="AQ579" s="19" t="e">
        <f t="shared" si="255"/>
        <v>#N/A</v>
      </c>
      <c r="AR579" s="19">
        <f t="shared" si="256"/>
        <v>154.04</v>
      </c>
      <c r="AS579" s="19" t="e">
        <f t="shared" si="257"/>
        <v>#N/A</v>
      </c>
    </row>
    <row r="580" spans="31:45" ht="11.25" customHeight="1" x14ac:dyDescent="0.2">
      <c r="AE580" s="19">
        <v>489</v>
      </c>
      <c r="AG580" s="19">
        <f t="shared" si="245"/>
        <v>9</v>
      </c>
      <c r="AH580" s="19">
        <f t="shared" si="246"/>
        <v>-1</v>
      </c>
      <c r="AI580" s="19">
        <f t="shared" si="247"/>
        <v>65.204999999999998</v>
      </c>
      <c r="AJ580" s="410">
        <f t="shared" si="248"/>
        <v>830.52</v>
      </c>
      <c r="AK580" s="19" t="e">
        <f t="shared" si="249"/>
        <v>#N/A</v>
      </c>
      <c r="AL580" s="19">
        <f t="shared" si="250"/>
        <v>630.52</v>
      </c>
      <c r="AM580" s="19" t="e">
        <f t="shared" si="251"/>
        <v>#N/A</v>
      </c>
      <c r="AN580" s="19">
        <f t="shared" si="252"/>
        <v>430.52</v>
      </c>
      <c r="AO580" s="19" t="e">
        <f t="shared" si="253"/>
        <v>#N/A</v>
      </c>
      <c r="AP580" s="19">
        <f t="shared" si="254"/>
        <v>230.51999999999998</v>
      </c>
      <c r="AQ580" s="19" t="e">
        <f t="shared" si="255"/>
        <v>#N/A</v>
      </c>
      <c r="AR580" s="19">
        <f t="shared" si="256"/>
        <v>30.519999999999996</v>
      </c>
      <c r="AS580" s="19" t="e">
        <f t="shared" si="257"/>
        <v>#N/A</v>
      </c>
    </row>
    <row r="581" spans="31:45" ht="11.25" customHeight="1" x14ac:dyDescent="0.2">
      <c r="AE581" s="19">
        <v>490</v>
      </c>
      <c r="AG581" s="19">
        <f t="shared" si="245"/>
        <v>9</v>
      </c>
      <c r="AH581" s="19">
        <f t="shared" si="246"/>
        <v>1</v>
      </c>
      <c r="AI581" s="19">
        <f t="shared" si="247"/>
        <v>65.204999999999998</v>
      </c>
      <c r="AJ581" s="410">
        <f t="shared" si="248"/>
        <v>969.48</v>
      </c>
      <c r="AK581" s="19" t="e">
        <f t="shared" si="249"/>
        <v>#N/A</v>
      </c>
      <c r="AL581" s="19">
        <f t="shared" si="250"/>
        <v>769.48</v>
      </c>
      <c r="AM581" s="19" t="e">
        <f t="shared" si="251"/>
        <v>#N/A</v>
      </c>
      <c r="AN581" s="19">
        <f t="shared" si="252"/>
        <v>569.48</v>
      </c>
      <c r="AO581" s="19" t="e">
        <f t="shared" si="253"/>
        <v>#N/A</v>
      </c>
      <c r="AP581" s="19">
        <f t="shared" si="254"/>
        <v>369.48</v>
      </c>
      <c r="AQ581" s="19" t="e">
        <f t="shared" si="255"/>
        <v>#N/A</v>
      </c>
      <c r="AR581" s="19">
        <f t="shared" si="256"/>
        <v>169.48000000000002</v>
      </c>
      <c r="AS581" s="19" t="e">
        <f t="shared" si="257"/>
        <v>#N/A</v>
      </c>
    </row>
    <row r="582" spans="31:45" ht="11.25" customHeight="1" x14ac:dyDescent="0.2">
      <c r="AE582" s="19">
        <v>491</v>
      </c>
      <c r="AG582" s="19">
        <f t="shared" si="245"/>
        <v>11</v>
      </c>
      <c r="AH582" s="19">
        <f t="shared" si="246"/>
        <v>-1</v>
      </c>
      <c r="AI582" s="19">
        <f t="shared" si="247"/>
        <v>65.204999999999998</v>
      </c>
      <c r="AJ582" s="410">
        <f t="shared" si="248"/>
        <v>815.08</v>
      </c>
      <c r="AK582" s="19" t="e">
        <f t="shared" si="249"/>
        <v>#N/A</v>
      </c>
      <c r="AL582" s="19">
        <f t="shared" si="250"/>
        <v>615.08000000000004</v>
      </c>
      <c r="AM582" s="19" t="e">
        <f t="shared" si="251"/>
        <v>#N/A</v>
      </c>
      <c r="AN582" s="19">
        <f t="shared" si="252"/>
        <v>415.08</v>
      </c>
      <c r="AO582" s="19" t="e">
        <f t="shared" si="253"/>
        <v>#N/A</v>
      </c>
      <c r="AP582" s="19">
        <f t="shared" si="254"/>
        <v>215.07999999999998</v>
      </c>
      <c r="AQ582" s="19" t="e">
        <f t="shared" si="255"/>
        <v>#N/A</v>
      </c>
      <c r="AR582" s="19">
        <f t="shared" si="256"/>
        <v>15.079999999999998</v>
      </c>
      <c r="AS582" s="19" t="e">
        <f t="shared" si="257"/>
        <v>#N/A</v>
      </c>
    </row>
    <row r="583" spans="31:45" ht="11.25" customHeight="1" x14ac:dyDescent="0.2">
      <c r="AE583" s="19">
        <v>492</v>
      </c>
      <c r="AG583" s="19">
        <f t="shared" si="245"/>
        <v>11</v>
      </c>
      <c r="AH583" s="19">
        <f t="shared" si="246"/>
        <v>1</v>
      </c>
      <c r="AI583" s="19">
        <f t="shared" si="247"/>
        <v>65.204999999999998</v>
      </c>
      <c r="AJ583" s="410">
        <f t="shared" si="248"/>
        <v>984.92</v>
      </c>
      <c r="AK583" s="19" t="e">
        <f t="shared" si="249"/>
        <v>#N/A</v>
      </c>
      <c r="AL583" s="19">
        <f t="shared" si="250"/>
        <v>784.92</v>
      </c>
      <c r="AM583" s="19" t="e">
        <f t="shared" si="251"/>
        <v>#N/A</v>
      </c>
      <c r="AN583" s="19">
        <f t="shared" si="252"/>
        <v>584.91999999999996</v>
      </c>
      <c r="AO583" s="19" t="e">
        <f t="shared" si="253"/>
        <v>#N/A</v>
      </c>
      <c r="AP583" s="19">
        <f t="shared" si="254"/>
        <v>384.92</v>
      </c>
      <c r="AQ583" s="19" t="e">
        <f t="shared" si="255"/>
        <v>#N/A</v>
      </c>
      <c r="AR583" s="19">
        <f t="shared" si="256"/>
        <v>184.92000000000002</v>
      </c>
      <c r="AS583" s="19" t="e">
        <f t="shared" si="257"/>
        <v>#N/A</v>
      </c>
    </row>
    <row r="584" spans="31:45" ht="11.25" customHeight="1" x14ac:dyDescent="0.2">
      <c r="AE584" s="19">
        <v>493</v>
      </c>
      <c r="AG584" s="19">
        <f t="shared" si="245"/>
        <v>1</v>
      </c>
      <c r="AH584" s="19">
        <f t="shared" si="246"/>
        <v>-1</v>
      </c>
      <c r="AI584" s="19">
        <f t="shared" si="247"/>
        <v>66.814999999999998</v>
      </c>
      <c r="AJ584" s="410">
        <f t="shared" si="248"/>
        <v>892.28</v>
      </c>
      <c r="AK584" s="19" t="e">
        <f t="shared" si="249"/>
        <v>#N/A</v>
      </c>
      <c r="AL584" s="19">
        <f t="shared" si="250"/>
        <v>692.28</v>
      </c>
      <c r="AM584" s="19" t="e">
        <f t="shared" si="251"/>
        <v>#N/A</v>
      </c>
      <c r="AN584" s="19">
        <f t="shared" si="252"/>
        <v>492.28</v>
      </c>
      <c r="AO584" s="19" t="e">
        <f t="shared" si="253"/>
        <v>#N/A</v>
      </c>
      <c r="AP584" s="19">
        <f t="shared" si="254"/>
        <v>292.27999999999997</v>
      </c>
      <c r="AQ584" s="19" t="e">
        <f t="shared" si="255"/>
        <v>#N/A</v>
      </c>
      <c r="AR584" s="19">
        <f t="shared" si="256"/>
        <v>92.28</v>
      </c>
      <c r="AS584" s="19" t="e">
        <f t="shared" si="257"/>
        <v>#N/A</v>
      </c>
    </row>
    <row r="585" spans="31:45" ht="11.25" customHeight="1" x14ac:dyDescent="0.2">
      <c r="AE585" s="19">
        <v>494</v>
      </c>
      <c r="AG585" s="19">
        <f t="shared" si="245"/>
        <v>1</v>
      </c>
      <c r="AH585" s="19">
        <f t="shared" si="246"/>
        <v>1</v>
      </c>
      <c r="AI585" s="19">
        <f t="shared" si="247"/>
        <v>66.814999999999998</v>
      </c>
      <c r="AJ585" s="410">
        <f t="shared" si="248"/>
        <v>907.72</v>
      </c>
      <c r="AK585" s="19" t="e">
        <f t="shared" si="249"/>
        <v>#N/A</v>
      </c>
      <c r="AL585" s="19">
        <f t="shared" si="250"/>
        <v>707.72</v>
      </c>
      <c r="AM585" s="19" t="e">
        <f t="shared" si="251"/>
        <v>#N/A</v>
      </c>
      <c r="AN585" s="19">
        <f t="shared" si="252"/>
        <v>507.72</v>
      </c>
      <c r="AO585" s="19" t="e">
        <f t="shared" si="253"/>
        <v>#N/A</v>
      </c>
      <c r="AP585" s="19">
        <f t="shared" si="254"/>
        <v>307.72000000000003</v>
      </c>
      <c r="AQ585" s="19" t="e">
        <f t="shared" si="255"/>
        <v>#N/A</v>
      </c>
      <c r="AR585" s="19">
        <f t="shared" si="256"/>
        <v>107.72</v>
      </c>
      <c r="AS585" s="19" t="e">
        <f t="shared" si="257"/>
        <v>#N/A</v>
      </c>
    </row>
    <row r="586" spans="31:45" ht="11.25" customHeight="1" x14ac:dyDescent="0.2">
      <c r="AE586" s="19">
        <v>495</v>
      </c>
      <c r="AG586" s="19">
        <f t="shared" si="245"/>
        <v>3</v>
      </c>
      <c r="AH586" s="19">
        <f t="shared" si="246"/>
        <v>-1</v>
      </c>
      <c r="AI586" s="19">
        <f t="shared" si="247"/>
        <v>66.814999999999998</v>
      </c>
      <c r="AJ586" s="410">
        <f t="shared" si="248"/>
        <v>876.84</v>
      </c>
      <c r="AK586" s="19" t="e">
        <f t="shared" si="249"/>
        <v>#N/A</v>
      </c>
      <c r="AL586" s="19">
        <f t="shared" si="250"/>
        <v>676.84</v>
      </c>
      <c r="AM586" s="19" t="e">
        <f t="shared" si="251"/>
        <v>#N/A</v>
      </c>
      <c r="AN586" s="19">
        <f t="shared" si="252"/>
        <v>476.84</v>
      </c>
      <c r="AO586" s="19" t="e">
        <f t="shared" si="253"/>
        <v>#N/A</v>
      </c>
      <c r="AP586" s="19">
        <f t="shared" si="254"/>
        <v>276.83999999999997</v>
      </c>
      <c r="AQ586" s="19" t="e">
        <f t="shared" si="255"/>
        <v>#N/A</v>
      </c>
      <c r="AR586" s="19">
        <f t="shared" si="256"/>
        <v>76.84</v>
      </c>
      <c r="AS586" s="19" t="e">
        <f t="shared" si="257"/>
        <v>#N/A</v>
      </c>
    </row>
    <row r="587" spans="31:45" ht="11.25" customHeight="1" x14ac:dyDescent="0.2">
      <c r="AE587" s="19">
        <v>496</v>
      </c>
      <c r="AG587" s="19">
        <f t="shared" si="245"/>
        <v>3</v>
      </c>
      <c r="AH587" s="19">
        <f t="shared" si="246"/>
        <v>1</v>
      </c>
      <c r="AI587" s="19">
        <f t="shared" si="247"/>
        <v>66.814999999999998</v>
      </c>
      <c r="AJ587" s="410">
        <f t="shared" si="248"/>
        <v>923.16</v>
      </c>
      <c r="AK587" s="19" t="e">
        <f t="shared" si="249"/>
        <v>#N/A</v>
      </c>
      <c r="AL587" s="19">
        <f t="shared" si="250"/>
        <v>723.16</v>
      </c>
      <c r="AM587" s="19" t="e">
        <f t="shared" si="251"/>
        <v>#N/A</v>
      </c>
      <c r="AN587" s="19">
        <f t="shared" si="252"/>
        <v>523.16</v>
      </c>
      <c r="AO587" s="19" t="e">
        <f t="shared" si="253"/>
        <v>#N/A</v>
      </c>
      <c r="AP587" s="19">
        <f t="shared" si="254"/>
        <v>323.16000000000003</v>
      </c>
      <c r="AQ587" s="19" t="e">
        <f t="shared" si="255"/>
        <v>#N/A</v>
      </c>
      <c r="AR587" s="19">
        <f t="shared" si="256"/>
        <v>123.16</v>
      </c>
      <c r="AS587" s="19" t="e">
        <f t="shared" si="257"/>
        <v>#N/A</v>
      </c>
    </row>
    <row r="588" spans="31:45" ht="11.25" customHeight="1" x14ac:dyDescent="0.2">
      <c r="AE588" s="19">
        <v>497</v>
      </c>
      <c r="AG588" s="19">
        <f t="shared" si="245"/>
        <v>5</v>
      </c>
      <c r="AH588" s="19">
        <f t="shared" si="246"/>
        <v>-1</v>
      </c>
      <c r="AI588" s="19">
        <f t="shared" si="247"/>
        <v>66.814999999999998</v>
      </c>
      <c r="AJ588" s="410">
        <f t="shared" si="248"/>
        <v>861.4</v>
      </c>
      <c r="AK588" s="19" t="e">
        <f t="shared" si="249"/>
        <v>#N/A</v>
      </c>
      <c r="AL588" s="19">
        <f t="shared" si="250"/>
        <v>661.4</v>
      </c>
      <c r="AM588" s="19" t="e">
        <f t="shared" si="251"/>
        <v>#N/A</v>
      </c>
      <c r="AN588" s="19">
        <f t="shared" si="252"/>
        <v>461.4</v>
      </c>
      <c r="AO588" s="19" t="e">
        <f t="shared" si="253"/>
        <v>#N/A</v>
      </c>
      <c r="AP588" s="19">
        <f t="shared" si="254"/>
        <v>261.39999999999998</v>
      </c>
      <c r="AQ588" s="19" t="e">
        <f t="shared" si="255"/>
        <v>#N/A</v>
      </c>
      <c r="AR588" s="19">
        <f t="shared" si="256"/>
        <v>61.4</v>
      </c>
      <c r="AS588" s="19" t="e">
        <f t="shared" si="257"/>
        <v>#N/A</v>
      </c>
    </row>
    <row r="589" spans="31:45" ht="11.25" customHeight="1" x14ac:dyDescent="0.2">
      <c r="AE589" s="19">
        <v>498</v>
      </c>
      <c r="AG589" s="19">
        <f t="shared" si="245"/>
        <v>5</v>
      </c>
      <c r="AH589" s="19">
        <f t="shared" si="246"/>
        <v>1</v>
      </c>
      <c r="AI589" s="19">
        <f t="shared" si="247"/>
        <v>66.814999999999998</v>
      </c>
      <c r="AJ589" s="410">
        <f t="shared" si="248"/>
        <v>938.6</v>
      </c>
      <c r="AK589" s="19" t="e">
        <f t="shared" si="249"/>
        <v>#N/A</v>
      </c>
      <c r="AL589" s="19">
        <f t="shared" si="250"/>
        <v>738.6</v>
      </c>
      <c r="AM589" s="19" t="e">
        <f t="shared" si="251"/>
        <v>#N/A</v>
      </c>
      <c r="AN589" s="19">
        <f t="shared" si="252"/>
        <v>538.6</v>
      </c>
      <c r="AO589" s="19" t="e">
        <f t="shared" si="253"/>
        <v>#N/A</v>
      </c>
      <c r="AP589" s="19">
        <f t="shared" si="254"/>
        <v>338.6</v>
      </c>
      <c r="AQ589" s="19" t="e">
        <f t="shared" si="255"/>
        <v>#N/A</v>
      </c>
      <c r="AR589" s="19">
        <f t="shared" si="256"/>
        <v>138.6</v>
      </c>
      <c r="AS589" s="19" t="e">
        <f t="shared" si="257"/>
        <v>#N/A</v>
      </c>
    </row>
    <row r="590" spans="31:45" ht="11.25" customHeight="1" x14ac:dyDescent="0.2">
      <c r="AE590" s="19">
        <v>499</v>
      </c>
      <c r="AG590" s="19">
        <f t="shared" si="245"/>
        <v>7</v>
      </c>
      <c r="AH590" s="19">
        <f t="shared" si="246"/>
        <v>-1</v>
      </c>
      <c r="AI590" s="19">
        <f t="shared" si="247"/>
        <v>66.814999999999998</v>
      </c>
      <c r="AJ590" s="410">
        <f t="shared" si="248"/>
        <v>845.96</v>
      </c>
      <c r="AK590" s="19" t="e">
        <f t="shared" si="249"/>
        <v>#N/A</v>
      </c>
      <c r="AL590" s="19">
        <f t="shared" si="250"/>
        <v>645.96</v>
      </c>
      <c r="AM590" s="19" t="e">
        <f t="shared" si="251"/>
        <v>#N/A</v>
      </c>
      <c r="AN590" s="19">
        <f t="shared" si="252"/>
        <v>445.96</v>
      </c>
      <c r="AO590" s="19" t="e">
        <f t="shared" si="253"/>
        <v>#N/A</v>
      </c>
      <c r="AP590" s="19">
        <f t="shared" si="254"/>
        <v>245.96</v>
      </c>
      <c r="AQ590" s="19" t="e">
        <f t="shared" si="255"/>
        <v>#N/A</v>
      </c>
      <c r="AR590" s="19">
        <f t="shared" si="256"/>
        <v>45.96</v>
      </c>
      <c r="AS590" s="19" t="e">
        <f t="shared" si="257"/>
        <v>#N/A</v>
      </c>
    </row>
    <row r="591" spans="31:45" ht="11.25" customHeight="1" x14ac:dyDescent="0.2">
      <c r="AE591" s="19">
        <v>500</v>
      </c>
      <c r="AG591" s="19">
        <f t="shared" si="245"/>
        <v>7</v>
      </c>
      <c r="AH591" s="19">
        <f t="shared" si="246"/>
        <v>1</v>
      </c>
      <c r="AI591" s="19">
        <f t="shared" si="247"/>
        <v>66.814999999999998</v>
      </c>
      <c r="AJ591" s="410">
        <f t="shared" si="248"/>
        <v>954.04</v>
      </c>
      <c r="AK591" s="19" t="e">
        <f t="shared" si="249"/>
        <v>#N/A</v>
      </c>
      <c r="AL591" s="19">
        <f t="shared" si="250"/>
        <v>754.04</v>
      </c>
      <c r="AM591" s="19" t="e">
        <f t="shared" si="251"/>
        <v>#N/A</v>
      </c>
      <c r="AN591" s="19">
        <f t="shared" si="252"/>
        <v>554.04</v>
      </c>
      <c r="AO591" s="19" t="e">
        <f t="shared" si="253"/>
        <v>#N/A</v>
      </c>
      <c r="AP591" s="19">
        <f t="shared" si="254"/>
        <v>354.04</v>
      </c>
      <c r="AQ591" s="19" t="e">
        <f t="shared" si="255"/>
        <v>#N/A</v>
      </c>
      <c r="AR591" s="19">
        <f t="shared" si="256"/>
        <v>154.04</v>
      </c>
      <c r="AS591" s="19" t="e">
        <f t="shared" si="257"/>
        <v>#N/A</v>
      </c>
    </row>
    <row r="592" spans="31:45" ht="11.25" customHeight="1" x14ac:dyDescent="0.2">
      <c r="AE592" s="19">
        <v>501</v>
      </c>
      <c r="AG592" s="19">
        <f t="shared" si="245"/>
        <v>9</v>
      </c>
      <c r="AH592" s="19">
        <f t="shared" si="246"/>
        <v>-1</v>
      </c>
      <c r="AI592" s="19">
        <f t="shared" si="247"/>
        <v>66.814999999999998</v>
      </c>
      <c r="AJ592" s="410">
        <f t="shared" si="248"/>
        <v>830.52</v>
      </c>
      <c r="AK592" s="19" t="e">
        <f t="shared" si="249"/>
        <v>#N/A</v>
      </c>
      <c r="AL592" s="19">
        <f t="shared" si="250"/>
        <v>630.52</v>
      </c>
      <c r="AM592" s="19" t="e">
        <f t="shared" si="251"/>
        <v>#N/A</v>
      </c>
      <c r="AN592" s="19">
        <f t="shared" si="252"/>
        <v>430.52</v>
      </c>
      <c r="AO592" s="19" t="e">
        <f t="shared" si="253"/>
        <v>#N/A</v>
      </c>
      <c r="AP592" s="19">
        <f t="shared" si="254"/>
        <v>230.51999999999998</v>
      </c>
      <c r="AQ592" s="19" t="e">
        <f t="shared" si="255"/>
        <v>#N/A</v>
      </c>
      <c r="AR592" s="19">
        <f t="shared" si="256"/>
        <v>30.519999999999996</v>
      </c>
      <c r="AS592" s="19" t="e">
        <f t="shared" si="257"/>
        <v>#N/A</v>
      </c>
    </row>
    <row r="593" spans="31:45" ht="11.25" customHeight="1" x14ac:dyDescent="0.2">
      <c r="AE593" s="19">
        <v>502</v>
      </c>
      <c r="AG593" s="19">
        <f t="shared" si="245"/>
        <v>9</v>
      </c>
      <c r="AH593" s="19">
        <f t="shared" si="246"/>
        <v>1</v>
      </c>
      <c r="AI593" s="19">
        <f t="shared" si="247"/>
        <v>66.814999999999998</v>
      </c>
      <c r="AJ593" s="410">
        <f t="shared" si="248"/>
        <v>969.48</v>
      </c>
      <c r="AK593" s="19" t="e">
        <f t="shared" si="249"/>
        <v>#N/A</v>
      </c>
      <c r="AL593" s="19">
        <f t="shared" si="250"/>
        <v>769.48</v>
      </c>
      <c r="AM593" s="19" t="e">
        <f t="shared" si="251"/>
        <v>#N/A</v>
      </c>
      <c r="AN593" s="19">
        <f t="shared" si="252"/>
        <v>569.48</v>
      </c>
      <c r="AO593" s="19" t="e">
        <f t="shared" si="253"/>
        <v>#N/A</v>
      </c>
      <c r="AP593" s="19">
        <f t="shared" si="254"/>
        <v>369.48</v>
      </c>
      <c r="AQ593" s="19" t="e">
        <f t="shared" si="255"/>
        <v>#N/A</v>
      </c>
      <c r="AR593" s="19">
        <f t="shared" si="256"/>
        <v>169.48000000000002</v>
      </c>
      <c r="AS593" s="19" t="e">
        <f t="shared" si="257"/>
        <v>#N/A</v>
      </c>
    </row>
    <row r="594" spans="31:45" ht="11.25" customHeight="1" x14ac:dyDescent="0.2">
      <c r="AE594" s="19">
        <v>503</v>
      </c>
      <c r="AG594" s="19">
        <f t="shared" si="245"/>
        <v>11</v>
      </c>
      <c r="AH594" s="19">
        <f t="shared" si="246"/>
        <v>-1</v>
      </c>
      <c r="AI594" s="19">
        <f t="shared" si="247"/>
        <v>66.814999999999998</v>
      </c>
      <c r="AJ594" s="410">
        <f t="shared" si="248"/>
        <v>815.08</v>
      </c>
      <c r="AK594" s="19" t="e">
        <f t="shared" si="249"/>
        <v>#N/A</v>
      </c>
      <c r="AL594" s="19">
        <f t="shared" si="250"/>
        <v>615.08000000000004</v>
      </c>
      <c r="AM594" s="19" t="e">
        <f t="shared" si="251"/>
        <v>#N/A</v>
      </c>
      <c r="AN594" s="19">
        <f t="shared" si="252"/>
        <v>415.08</v>
      </c>
      <c r="AO594" s="19" t="e">
        <f t="shared" si="253"/>
        <v>#N/A</v>
      </c>
      <c r="AP594" s="19">
        <f t="shared" si="254"/>
        <v>215.07999999999998</v>
      </c>
      <c r="AQ594" s="19" t="e">
        <f t="shared" si="255"/>
        <v>#N/A</v>
      </c>
      <c r="AR594" s="19">
        <f t="shared" si="256"/>
        <v>15.079999999999998</v>
      </c>
      <c r="AS594" s="19" t="e">
        <f t="shared" si="257"/>
        <v>#N/A</v>
      </c>
    </row>
    <row r="595" spans="31:45" ht="11.25" customHeight="1" x14ac:dyDescent="0.2">
      <c r="AE595" s="19">
        <v>504</v>
      </c>
      <c r="AG595" s="19">
        <f t="shared" si="245"/>
        <v>11</v>
      </c>
      <c r="AH595" s="19">
        <f t="shared" si="246"/>
        <v>1</v>
      </c>
      <c r="AI595" s="19">
        <f t="shared" si="247"/>
        <v>66.814999999999998</v>
      </c>
      <c r="AJ595" s="410">
        <f t="shared" si="248"/>
        <v>984.92</v>
      </c>
      <c r="AK595" s="19" t="e">
        <f t="shared" si="249"/>
        <v>#N/A</v>
      </c>
      <c r="AL595" s="19">
        <f t="shared" si="250"/>
        <v>784.92</v>
      </c>
      <c r="AM595" s="19" t="e">
        <f t="shared" si="251"/>
        <v>#N/A</v>
      </c>
      <c r="AN595" s="19">
        <f t="shared" si="252"/>
        <v>584.91999999999996</v>
      </c>
      <c r="AO595" s="19" t="e">
        <f t="shared" si="253"/>
        <v>#N/A</v>
      </c>
      <c r="AP595" s="19">
        <f t="shared" si="254"/>
        <v>384.92</v>
      </c>
      <c r="AQ595" s="19" t="e">
        <f t="shared" si="255"/>
        <v>#N/A</v>
      </c>
      <c r="AR595" s="19">
        <f t="shared" si="256"/>
        <v>184.92000000000002</v>
      </c>
      <c r="AS595" s="19" t="e">
        <f t="shared" si="257"/>
        <v>#N/A</v>
      </c>
    </row>
    <row r="596" spans="31:45" ht="11.25" customHeight="1" x14ac:dyDescent="0.2">
      <c r="AE596" s="19">
        <v>505</v>
      </c>
      <c r="AG596" s="19">
        <f t="shared" si="245"/>
        <v>1</v>
      </c>
      <c r="AH596" s="19">
        <f t="shared" si="246"/>
        <v>-1</v>
      </c>
      <c r="AI596" s="19">
        <f t="shared" si="247"/>
        <v>68.424999999999997</v>
      </c>
      <c r="AJ596" s="410">
        <f t="shared" si="248"/>
        <v>892.28</v>
      </c>
      <c r="AK596" s="19" t="e">
        <f t="shared" si="249"/>
        <v>#N/A</v>
      </c>
      <c r="AL596" s="19">
        <f t="shared" si="250"/>
        <v>692.28</v>
      </c>
      <c r="AM596" s="19" t="e">
        <f t="shared" si="251"/>
        <v>#N/A</v>
      </c>
      <c r="AN596" s="19">
        <f t="shared" si="252"/>
        <v>492.28</v>
      </c>
      <c r="AO596" s="19" t="e">
        <f t="shared" si="253"/>
        <v>#N/A</v>
      </c>
      <c r="AP596" s="19">
        <f t="shared" si="254"/>
        <v>292.27999999999997</v>
      </c>
      <c r="AQ596" s="19" t="e">
        <f t="shared" si="255"/>
        <v>#N/A</v>
      </c>
      <c r="AR596" s="19">
        <f t="shared" si="256"/>
        <v>92.28</v>
      </c>
      <c r="AS596" s="19" t="e">
        <f t="shared" si="257"/>
        <v>#N/A</v>
      </c>
    </row>
    <row r="597" spans="31:45" ht="11.25" customHeight="1" x14ac:dyDescent="0.2">
      <c r="AE597" s="19">
        <v>506</v>
      </c>
      <c r="AG597" s="19">
        <f t="shared" si="245"/>
        <v>1</v>
      </c>
      <c r="AH597" s="19">
        <f t="shared" si="246"/>
        <v>1</v>
      </c>
      <c r="AI597" s="19">
        <f t="shared" si="247"/>
        <v>68.424999999999997</v>
      </c>
      <c r="AJ597" s="410">
        <f t="shared" si="248"/>
        <v>907.72</v>
      </c>
      <c r="AK597" s="19" t="e">
        <f t="shared" si="249"/>
        <v>#N/A</v>
      </c>
      <c r="AL597" s="19">
        <f t="shared" si="250"/>
        <v>707.72</v>
      </c>
      <c r="AM597" s="19" t="e">
        <f t="shared" si="251"/>
        <v>#N/A</v>
      </c>
      <c r="AN597" s="19">
        <f t="shared" si="252"/>
        <v>507.72</v>
      </c>
      <c r="AO597" s="19" t="e">
        <f t="shared" si="253"/>
        <v>#N/A</v>
      </c>
      <c r="AP597" s="19">
        <f t="shared" si="254"/>
        <v>307.72000000000003</v>
      </c>
      <c r="AQ597" s="19" t="e">
        <f t="shared" si="255"/>
        <v>#N/A</v>
      </c>
      <c r="AR597" s="19">
        <f t="shared" si="256"/>
        <v>107.72</v>
      </c>
      <c r="AS597" s="19" t="e">
        <f t="shared" si="257"/>
        <v>#N/A</v>
      </c>
    </row>
    <row r="598" spans="31:45" ht="11.25" customHeight="1" x14ac:dyDescent="0.2">
      <c r="AE598" s="19">
        <v>507</v>
      </c>
      <c r="AG598" s="19">
        <f t="shared" si="245"/>
        <v>3</v>
      </c>
      <c r="AH598" s="19">
        <f t="shared" si="246"/>
        <v>-1</v>
      </c>
      <c r="AI598" s="19">
        <f t="shared" si="247"/>
        <v>68.424999999999997</v>
      </c>
      <c r="AJ598" s="410">
        <f t="shared" si="248"/>
        <v>876.84</v>
      </c>
      <c r="AK598" s="19" t="e">
        <f t="shared" si="249"/>
        <v>#N/A</v>
      </c>
      <c r="AL598" s="19">
        <f t="shared" si="250"/>
        <v>676.84</v>
      </c>
      <c r="AM598" s="19" t="e">
        <f t="shared" si="251"/>
        <v>#N/A</v>
      </c>
      <c r="AN598" s="19">
        <f t="shared" si="252"/>
        <v>476.84</v>
      </c>
      <c r="AO598" s="19" t="e">
        <f t="shared" si="253"/>
        <v>#N/A</v>
      </c>
      <c r="AP598" s="19">
        <f t="shared" si="254"/>
        <v>276.83999999999997</v>
      </c>
      <c r="AQ598" s="19" t="e">
        <f t="shared" si="255"/>
        <v>#N/A</v>
      </c>
      <c r="AR598" s="19">
        <f t="shared" si="256"/>
        <v>76.84</v>
      </c>
      <c r="AS598" s="19" t="e">
        <f t="shared" si="257"/>
        <v>#N/A</v>
      </c>
    </row>
    <row r="599" spans="31:45" ht="11.25" customHeight="1" x14ac:dyDescent="0.2">
      <c r="AE599" s="19">
        <v>508</v>
      </c>
      <c r="AG599" s="19">
        <f t="shared" si="245"/>
        <v>3</v>
      </c>
      <c r="AH599" s="19">
        <f t="shared" si="246"/>
        <v>1</v>
      </c>
      <c r="AI599" s="19">
        <f t="shared" si="247"/>
        <v>68.424999999999997</v>
      </c>
      <c r="AJ599" s="410">
        <f t="shared" si="248"/>
        <v>923.16</v>
      </c>
      <c r="AK599" s="19" t="e">
        <f t="shared" si="249"/>
        <v>#N/A</v>
      </c>
      <c r="AL599" s="19">
        <f t="shared" si="250"/>
        <v>723.16</v>
      </c>
      <c r="AM599" s="19" t="e">
        <f t="shared" si="251"/>
        <v>#N/A</v>
      </c>
      <c r="AN599" s="19">
        <f t="shared" si="252"/>
        <v>523.16</v>
      </c>
      <c r="AO599" s="19" t="e">
        <f t="shared" si="253"/>
        <v>#N/A</v>
      </c>
      <c r="AP599" s="19">
        <f t="shared" si="254"/>
        <v>323.16000000000003</v>
      </c>
      <c r="AQ599" s="19" t="e">
        <f t="shared" si="255"/>
        <v>#N/A</v>
      </c>
      <c r="AR599" s="19">
        <f t="shared" si="256"/>
        <v>123.16</v>
      </c>
      <c r="AS599" s="19" t="e">
        <f t="shared" si="257"/>
        <v>#N/A</v>
      </c>
    </row>
    <row r="600" spans="31:45" ht="11.25" customHeight="1" x14ac:dyDescent="0.2">
      <c r="AE600" s="19">
        <v>509</v>
      </c>
      <c r="AG600" s="19">
        <f t="shared" si="245"/>
        <v>5</v>
      </c>
      <c r="AH600" s="19">
        <f t="shared" si="246"/>
        <v>-1</v>
      </c>
      <c r="AI600" s="19">
        <f t="shared" si="247"/>
        <v>68.424999999999997</v>
      </c>
      <c r="AJ600" s="410">
        <f t="shared" si="248"/>
        <v>861.4</v>
      </c>
      <c r="AK600" s="19" t="e">
        <f t="shared" si="249"/>
        <v>#N/A</v>
      </c>
      <c r="AL600" s="19">
        <f t="shared" si="250"/>
        <v>661.4</v>
      </c>
      <c r="AM600" s="19" t="e">
        <f t="shared" si="251"/>
        <v>#N/A</v>
      </c>
      <c r="AN600" s="19">
        <f t="shared" si="252"/>
        <v>461.4</v>
      </c>
      <c r="AO600" s="19" t="e">
        <f t="shared" si="253"/>
        <v>#N/A</v>
      </c>
      <c r="AP600" s="19">
        <f t="shared" si="254"/>
        <v>261.39999999999998</v>
      </c>
      <c r="AQ600" s="19" t="e">
        <f t="shared" si="255"/>
        <v>#N/A</v>
      </c>
      <c r="AR600" s="19">
        <f t="shared" si="256"/>
        <v>61.4</v>
      </c>
      <c r="AS600" s="19" t="e">
        <f t="shared" si="257"/>
        <v>#N/A</v>
      </c>
    </row>
    <row r="601" spans="31:45" ht="11.25" customHeight="1" x14ac:dyDescent="0.2">
      <c r="AE601" s="19">
        <v>510</v>
      </c>
      <c r="AG601" s="19">
        <f t="shared" si="245"/>
        <v>5</v>
      </c>
      <c r="AH601" s="19">
        <f t="shared" si="246"/>
        <v>1</v>
      </c>
      <c r="AI601" s="19">
        <f t="shared" si="247"/>
        <v>68.424999999999997</v>
      </c>
      <c r="AJ601" s="410">
        <f t="shared" si="248"/>
        <v>938.6</v>
      </c>
      <c r="AK601" s="19" t="e">
        <f t="shared" si="249"/>
        <v>#N/A</v>
      </c>
      <c r="AL601" s="19">
        <f t="shared" si="250"/>
        <v>738.6</v>
      </c>
      <c r="AM601" s="19" t="e">
        <f t="shared" si="251"/>
        <v>#N/A</v>
      </c>
      <c r="AN601" s="19">
        <f t="shared" si="252"/>
        <v>538.6</v>
      </c>
      <c r="AO601" s="19" t="e">
        <f t="shared" si="253"/>
        <v>#N/A</v>
      </c>
      <c r="AP601" s="19">
        <f t="shared" si="254"/>
        <v>338.6</v>
      </c>
      <c r="AQ601" s="19" t="e">
        <f t="shared" si="255"/>
        <v>#N/A</v>
      </c>
      <c r="AR601" s="19">
        <f t="shared" si="256"/>
        <v>138.6</v>
      </c>
      <c r="AS601" s="19" t="e">
        <f t="shared" si="257"/>
        <v>#N/A</v>
      </c>
    </row>
    <row r="602" spans="31:45" ht="11.25" customHeight="1" x14ac:dyDescent="0.2">
      <c r="AE602" s="19">
        <v>511</v>
      </c>
      <c r="AG602" s="19">
        <f t="shared" si="245"/>
        <v>7</v>
      </c>
      <c r="AH602" s="19">
        <f t="shared" si="246"/>
        <v>-1</v>
      </c>
      <c r="AI602" s="19">
        <f t="shared" si="247"/>
        <v>68.424999999999997</v>
      </c>
      <c r="AJ602" s="410">
        <f t="shared" si="248"/>
        <v>845.96</v>
      </c>
      <c r="AK602" s="19" t="e">
        <f t="shared" si="249"/>
        <v>#N/A</v>
      </c>
      <c r="AL602" s="19">
        <f t="shared" si="250"/>
        <v>645.96</v>
      </c>
      <c r="AM602" s="19" t="e">
        <f t="shared" si="251"/>
        <v>#N/A</v>
      </c>
      <c r="AN602" s="19">
        <f t="shared" si="252"/>
        <v>445.96</v>
      </c>
      <c r="AO602" s="19" t="e">
        <f t="shared" si="253"/>
        <v>#N/A</v>
      </c>
      <c r="AP602" s="19">
        <f t="shared" si="254"/>
        <v>245.96</v>
      </c>
      <c r="AQ602" s="19" t="e">
        <f t="shared" si="255"/>
        <v>#N/A</v>
      </c>
      <c r="AR602" s="19">
        <f t="shared" si="256"/>
        <v>45.96</v>
      </c>
      <c r="AS602" s="19" t="e">
        <f t="shared" si="257"/>
        <v>#N/A</v>
      </c>
    </row>
    <row r="603" spans="31:45" ht="11.25" customHeight="1" x14ac:dyDescent="0.2">
      <c r="AE603" s="19">
        <v>512</v>
      </c>
      <c r="AG603" s="19">
        <f t="shared" si="245"/>
        <v>7</v>
      </c>
      <c r="AH603" s="19">
        <f t="shared" si="246"/>
        <v>1</v>
      </c>
      <c r="AI603" s="19">
        <f t="shared" si="247"/>
        <v>68.424999999999997</v>
      </c>
      <c r="AJ603" s="410">
        <f t="shared" si="248"/>
        <v>954.04</v>
      </c>
      <c r="AK603" s="19" t="e">
        <f t="shared" si="249"/>
        <v>#N/A</v>
      </c>
      <c r="AL603" s="19">
        <f t="shared" si="250"/>
        <v>754.04</v>
      </c>
      <c r="AM603" s="19" t="e">
        <f t="shared" si="251"/>
        <v>#N/A</v>
      </c>
      <c r="AN603" s="19">
        <f t="shared" si="252"/>
        <v>554.04</v>
      </c>
      <c r="AO603" s="19" t="e">
        <f t="shared" si="253"/>
        <v>#N/A</v>
      </c>
      <c r="AP603" s="19">
        <f t="shared" si="254"/>
        <v>354.04</v>
      </c>
      <c r="AQ603" s="19" t="e">
        <f t="shared" si="255"/>
        <v>#N/A</v>
      </c>
      <c r="AR603" s="19">
        <f t="shared" si="256"/>
        <v>154.04</v>
      </c>
      <c r="AS603" s="19" t="e">
        <f t="shared" si="257"/>
        <v>#N/A</v>
      </c>
    </row>
    <row r="604" spans="31:45" ht="11.25" customHeight="1" x14ac:dyDescent="0.2">
      <c r="AE604" s="19">
        <v>513</v>
      </c>
      <c r="AG604" s="19">
        <f t="shared" ref="AG604:AG667" si="258">2*ROUNDUP((MOD(AE604-1,$AB$94)+1)/2,0)-1</f>
        <v>9</v>
      </c>
      <c r="AH604" s="19">
        <f t="shared" ref="AH604:AH667" si="259">IF(AG604=AG605,-1,1)</f>
        <v>-1</v>
      </c>
      <c r="AI604" s="19">
        <f t="shared" ref="AI604:AI667" si="260">IF($BR$7,$AB$87*(0.5+INT((AE604-0.5)/$AB$94)),NA())</f>
        <v>68.424999999999997</v>
      </c>
      <c r="AJ604" s="410">
        <f t="shared" ref="AJ604:AJ667" si="261">IF($BP$11,$AM$87+$AB$90*AH604*AG604,NA())</f>
        <v>830.52</v>
      </c>
      <c r="AK604" s="19" t="e">
        <f t="shared" ref="AK604:AK667" si="262">IF($AG$83&lt;AE604,NA(),AI604)</f>
        <v>#N/A</v>
      </c>
      <c r="AL604" s="19">
        <f t="shared" ref="AL604:AL667" si="263">IF($BP$11,$AN$87+$AB$90*AH604*AG604,NA())</f>
        <v>630.52</v>
      </c>
      <c r="AM604" s="19" t="e">
        <f t="shared" ref="AM604:AM667" si="264">IF($AH$83&lt;AE604,NA(),AI604)</f>
        <v>#N/A</v>
      </c>
      <c r="AN604" s="19">
        <f t="shared" ref="AN604:AN667" si="265">IF($BP$11,$AO$87+$AB$90*AH604*AG604,NA())</f>
        <v>430.52</v>
      </c>
      <c r="AO604" s="19" t="e">
        <f t="shared" ref="AO604:AO667" si="266">IF($AI$83&lt;AE604,NA(),AI604)</f>
        <v>#N/A</v>
      </c>
      <c r="AP604" s="19">
        <f t="shared" ref="AP604:AP667" si="267">IF($BP$11,$AP$87+$AB$90*AH604*AG604,NA())</f>
        <v>230.51999999999998</v>
      </c>
      <c r="AQ604" s="19" t="e">
        <f t="shared" ref="AQ604:AQ667" si="268">IF($AJ$83&lt;AE604,NA(),AI604)</f>
        <v>#N/A</v>
      </c>
      <c r="AR604" s="19">
        <f t="shared" ref="AR604:AR667" si="269">IF($BP$11,$AQ$87+$AB$90*AH604*AG604,NA())</f>
        <v>30.519999999999996</v>
      </c>
      <c r="AS604" s="19" t="e">
        <f t="shared" ref="AS604:AS667" si="270">IF($AK$83&lt;AE604,NA(),AI604)</f>
        <v>#N/A</v>
      </c>
    </row>
    <row r="605" spans="31:45" ht="11.25" customHeight="1" x14ac:dyDescent="0.2">
      <c r="AE605" s="19">
        <v>514</v>
      </c>
      <c r="AG605" s="19">
        <f t="shared" si="258"/>
        <v>9</v>
      </c>
      <c r="AH605" s="19">
        <f t="shared" si="259"/>
        <v>1</v>
      </c>
      <c r="AI605" s="19">
        <f t="shared" si="260"/>
        <v>68.424999999999997</v>
      </c>
      <c r="AJ605" s="410">
        <f t="shared" si="261"/>
        <v>969.48</v>
      </c>
      <c r="AK605" s="19" t="e">
        <f t="shared" si="262"/>
        <v>#N/A</v>
      </c>
      <c r="AL605" s="19">
        <f t="shared" si="263"/>
        <v>769.48</v>
      </c>
      <c r="AM605" s="19" t="e">
        <f t="shared" si="264"/>
        <v>#N/A</v>
      </c>
      <c r="AN605" s="19">
        <f t="shared" si="265"/>
        <v>569.48</v>
      </c>
      <c r="AO605" s="19" t="e">
        <f t="shared" si="266"/>
        <v>#N/A</v>
      </c>
      <c r="AP605" s="19">
        <f t="shared" si="267"/>
        <v>369.48</v>
      </c>
      <c r="AQ605" s="19" t="e">
        <f t="shared" si="268"/>
        <v>#N/A</v>
      </c>
      <c r="AR605" s="19">
        <f t="shared" si="269"/>
        <v>169.48000000000002</v>
      </c>
      <c r="AS605" s="19" t="e">
        <f t="shared" si="270"/>
        <v>#N/A</v>
      </c>
    </row>
    <row r="606" spans="31:45" ht="11.25" customHeight="1" x14ac:dyDescent="0.2">
      <c r="AE606" s="19">
        <v>515</v>
      </c>
      <c r="AG606" s="19">
        <f t="shared" si="258"/>
        <v>11</v>
      </c>
      <c r="AH606" s="19">
        <f t="shared" si="259"/>
        <v>-1</v>
      </c>
      <c r="AI606" s="19">
        <f t="shared" si="260"/>
        <v>68.424999999999997</v>
      </c>
      <c r="AJ606" s="410">
        <f t="shared" si="261"/>
        <v>815.08</v>
      </c>
      <c r="AK606" s="19" t="e">
        <f t="shared" si="262"/>
        <v>#N/A</v>
      </c>
      <c r="AL606" s="19">
        <f t="shared" si="263"/>
        <v>615.08000000000004</v>
      </c>
      <c r="AM606" s="19" t="e">
        <f t="shared" si="264"/>
        <v>#N/A</v>
      </c>
      <c r="AN606" s="19">
        <f t="shared" si="265"/>
        <v>415.08</v>
      </c>
      <c r="AO606" s="19" t="e">
        <f t="shared" si="266"/>
        <v>#N/A</v>
      </c>
      <c r="AP606" s="19">
        <f t="shared" si="267"/>
        <v>215.07999999999998</v>
      </c>
      <c r="AQ606" s="19" t="e">
        <f t="shared" si="268"/>
        <v>#N/A</v>
      </c>
      <c r="AR606" s="19">
        <f t="shared" si="269"/>
        <v>15.079999999999998</v>
      </c>
      <c r="AS606" s="19" t="e">
        <f t="shared" si="270"/>
        <v>#N/A</v>
      </c>
    </row>
    <row r="607" spans="31:45" ht="11.25" customHeight="1" x14ac:dyDescent="0.2">
      <c r="AE607" s="19">
        <v>516</v>
      </c>
      <c r="AG607" s="19">
        <f t="shared" si="258"/>
        <v>11</v>
      </c>
      <c r="AH607" s="19">
        <f t="shared" si="259"/>
        <v>1</v>
      </c>
      <c r="AI607" s="19">
        <f t="shared" si="260"/>
        <v>68.424999999999997</v>
      </c>
      <c r="AJ607" s="410">
        <f t="shared" si="261"/>
        <v>984.92</v>
      </c>
      <c r="AK607" s="19" t="e">
        <f t="shared" si="262"/>
        <v>#N/A</v>
      </c>
      <c r="AL607" s="19">
        <f t="shared" si="263"/>
        <v>784.92</v>
      </c>
      <c r="AM607" s="19" t="e">
        <f t="shared" si="264"/>
        <v>#N/A</v>
      </c>
      <c r="AN607" s="19">
        <f t="shared" si="265"/>
        <v>584.91999999999996</v>
      </c>
      <c r="AO607" s="19" t="e">
        <f t="shared" si="266"/>
        <v>#N/A</v>
      </c>
      <c r="AP607" s="19">
        <f t="shared" si="267"/>
        <v>384.92</v>
      </c>
      <c r="AQ607" s="19" t="e">
        <f t="shared" si="268"/>
        <v>#N/A</v>
      </c>
      <c r="AR607" s="19">
        <f t="shared" si="269"/>
        <v>184.92000000000002</v>
      </c>
      <c r="AS607" s="19" t="e">
        <f t="shared" si="270"/>
        <v>#N/A</v>
      </c>
    </row>
    <row r="608" spans="31:45" ht="11.25" customHeight="1" x14ac:dyDescent="0.2">
      <c r="AE608" s="19">
        <v>517</v>
      </c>
      <c r="AG608" s="19">
        <f t="shared" si="258"/>
        <v>1</v>
      </c>
      <c r="AH608" s="19">
        <f t="shared" si="259"/>
        <v>-1</v>
      </c>
      <c r="AI608" s="19">
        <f t="shared" si="260"/>
        <v>70.035000000000011</v>
      </c>
      <c r="AJ608" s="410">
        <f t="shared" si="261"/>
        <v>892.28</v>
      </c>
      <c r="AK608" s="19" t="e">
        <f t="shared" si="262"/>
        <v>#N/A</v>
      </c>
      <c r="AL608" s="19">
        <f t="shared" si="263"/>
        <v>692.28</v>
      </c>
      <c r="AM608" s="19" t="e">
        <f t="shared" si="264"/>
        <v>#N/A</v>
      </c>
      <c r="AN608" s="19">
        <f t="shared" si="265"/>
        <v>492.28</v>
      </c>
      <c r="AO608" s="19" t="e">
        <f t="shared" si="266"/>
        <v>#N/A</v>
      </c>
      <c r="AP608" s="19">
        <f t="shared" si="267"/>
        <v>292.27999999999997</v>
      </c>
      <c r="AQ608" s="19" t="e">
        <f t="shared" si="268"/>
        <v>#N/A</v>
      </c>
      <c r="AR608" s="19">
        <f t="shared" si="269"/>
        <v>92.28</v>
      </c>
      <c r="AS608" s="19" t="e">
        <f t="shared" si="270"/>
        <v>#N/A</v>
      </c>
    </row>
    <row r="609" spans="31:45" ht="11.25" customHeight="1" x14ac:dyDescent="0.2">
      <c r="AE609" s="19">
        <v>518</v>
      </c>
      <c r="AG609" s="19">
        <f t="shared" si="258"/>
        <v>1</v>
      </c>
      <c r="AH609" s="19">
        <f t="shared" si="259"/>
        <v>1</v>
      </c>
      <c r="AI609" s="19">
        <f t="shared" si="260"/>
        <v>70.035000000000011</v>
      </c>
      <c r="AJ609" s="410">
        <f t="shared" si="261"/>
        <v>907.72</v>
      </c>
      <c r="AK609" s="19" t="e">
        <f t="shared" si="262"/>
        <v>#N/A</v>
      </c>
      <c r="AL609" s="19">
        <f t="shared" si="263"/>
        <v>707.72</v>
      </c>
      <c r="AM609" s="19" t="e">
        <f t="shared" si="264"/>
        <v>#N/A</v>
      </c>
      <c r="AN609" s="19">
        <f t="shared" si="265"/>
        <v>507.72</v>
      </c>
      <c r="AO609" s="19" t="e">
        <f t="shared" si="266"/>
        <v>#N/A</v>
      </c>
      <c r="AP609" s="19">
        <f t="shared" si="267"/>
        <v>307.72000000000003</v>
      </c>
      <c r="AQ609" s="19" t="e">
        <f t="shared" si="268"/>
        <v>#N/A</v>
      </c>
      <c r="AR609" s="19">
        <f t="shared" si="269"/>
        <v>107.72</v>
      </c>
      <c r="AS609" s="19" t="e">
        <f t="shared" si="270"/>
        <v>#N/A</v>
      </c>
    </row>
    <row r="610" spans="31:45" ht="11.25" customHeight="1" x14ac:dyDescent="0.2">
      <c r="AE610" s="19">
        <v>519</v>
      </c>
      <c r="AG610" s="19">
        <f t="shared" si="258"/>
        <v>3</v>
      </c>
      <c r="AH610" s="19">
        <f t="shared" si="259"/>
        <v>-1</v>
      </c>
      <c r="AI610" s="19">
        <f t="shared" si="260"/>
        <v>70.035000000000011</v>
      </c>
      <c r="AJ610" s="410">
        <f t="shared" si="261"/>
        <v>876.84</v>
      </c>
      <c r="AK610" s="19" t="e">
        <f t="shared" si="262"/>
        <v>#N/A</v>
      </c>
      <c r="AL610" s="19">
        <f t="shared" si="263"/>
        <v>676.84</v>
      </c>
      <c r="AM610" s="19" t="e">
        <f t="shared" si="264"/>
        <v>#N/A</v>
      </c>
      <c r="AN610" s="19">
        <f t="shared" si="265"/>
        <v>476.84</v>
      </c>
      <c r="AO610" s="19" t="e">
        <f t="shared" si="266"/>
        <v>#N/A</v>
      </c>
      <c r="AP610" s="19">
        <f t="shared" si="267"/>
        <v>276.83999999999997</v>
      </c>
      <c r="AQ610" s="19" t="e">
        <f t="shared" si="268"/>
        <v>#N/A</v>
      </c>
      <c r="AR610" s="19">
        <f t="shared" si="269"/>
        <v>76.84</v>
      </c>
      <c r="AS610" s="19" t="e">
        <f t="shared" si="270"/>
        <v>#N/A</v>
      </c>
    </row>
    <row r="611" spans="31:45" ht="11.25" customHeight="1" x14ac:dyDescent="0.2">
      <c r="AE611" s="19">
        <v>520</v>
      </c>
      <c r="AG611" s="19">
        <f t="shared" si="258"/>
        <v>3</v>
      </c>
      <c r="AH611" s="19">
        <f t="shared" si="259"/>
        <v>1</v>
      </c>
      <c r="AI611" s="19">
        <f t="shared" si="260"/>
        <v>70.035000000000011</v>
      </c>
      <c r="AJ611" s="410">
        <f t="shared" si="261"/>
        <v>923.16</v>
      </c>
      <c r="AK611" s="19" t="e">
        <f t="shared" si="262"/>
        <v>#N/A</v>
      </c>
      <c r="AL611" s="19">
        <f t="shared" si="263"/>
        <v>723.16</v>
      </c>
      <c r="AM611" s="19" t="e">
        <f t="shared" si="264"/>
        <v>#N/A</v>
      </c>
      <c r="AN611" s="19">
        <f t="shared" si="265"/>
        <v>523.16</v>
      </c>
      <c r="AO611" s="19" t="e">
        <f t="shared" si="266"/>
        <v>#N/A</v>
      </c>
      <c r="AP611" s="19">
        <f t="shared" si="267"/>
        <v>323.16000000000003</v>
      </c>
      <c r="AQ611" s="19" t="e">
        <f t="shared" si="268"/>
        <v>#N/A</v>
      </c>
      <c r="AR611" s="19">
        <f t="shared" si="269"/>
        <v>123.16</v>
      </c>
      <c r="AS611" s="19" t="e">
        <f t="shared" si="270"/>
        <v>#N/A</v>
      </c>
    </row>
    <row r="612" spans="31:45" ht="11.25" customHeight="1" x14ac:dyDescent="0.2">
      <c r="AE612" s="19">
        <v>521</v>
      </c>
      <c r="AG612" s="19">
        <f t="shared" si="258"/>
        <v>5</v>
      </c>
      <c r="AH612" s="19">
        <f t="shared" si="259"/>
        <v>-1</v>
      </c>
      <c r="AI612" s="19">
        <f t="shared" si="260"/>
        <v>70.035000000000011</v>
      </c>
      <c r="AJ612" s="410">
        <f t="shared" si="261"/>
        <v>861.4</v>
      </c>
      <c r="AK612" s="19" t="e">
        <f t="shared" si="262"/>
        <v>#N/A</v>
      </c>
      <c r="AL612" s="19">
        <f t="shared" si="263"/>
        <v>661.4</v>
      </c>
      <c r="AM612" s="19" t="e">
        <f t="shared" si="264"/>
        <v>#N/A</v>
      </c>
      <c r="AN612" s="19">
        <f t="shared" si="265"/>
        <v>461.4</v>
      </c>
      <c r="AO612" s="19" t="e">
        <f t="shared" si="266"/>
        <v>#N/A</v>
      </c>
      <c r="AP612" s="19">
        <f t="shared" si="267"/>
        <v>261.39999999999998</v>
      </c>
      <c r="AQ612" s="19" t="e">
        <f t="shared" si="268"/>
        <v>#N/A</v>
      </c>
      <c r="AR612" s="19">
        <f t="shared" si="269"/>
        <v>61.4</v>
      </c>
      <c r="AS612" s="19" t="e">
        <f t="shared" si="270"/>
        <v>#N/A</v>
      </c>
    </row>
    <row r="613" spans="31:45" ht="11.25" customHeight="1" x14ac:dyDescent="0.2">
      <c r="AE613" s="19">
        <v>522</v>
      </c>
      <c r="AG613" s="19">
        <f t="shared" si="258"/>
        <v>5</v>
      </c>
      <c r="AH613" s="19">
        <f t="shared" si="259"/>
        <v>1</v>
      </c>
      <c r="AI613" s="19">
        <f t="shared" si="260"/>
        <v>70.035000000000011</v>
      </c>
      <c r="AJ613" s="410">
        <f t="shared" si="261"/>
        <v>938.6</v>
      </c>
      <c r="AK613" s="19" t="e">
        <f t="shared" si="262"/>
        <v>#N/A</v>
      </c>
      <c r="AL613" s="19">
        <f t="shared" si="263"/>
        <v>738.6</v>
      </c>
      <c r="AM613" s="19" t="e">
        <f t="shared" si="264"/>
        <v>#N/A</v>
      </c>
      <c r="AN613" s="19">
        <f t="shared" si="265"/>
        <v>538.6</v>
      </c>
      <c r="AO613" s="19" t="e">
        <f t="shared" si="266"/>
        <v>#N/A</v>
      </c>
      <c r="AP613" s="19">
        <f t="shared" si="267"/>
        <v>338.6</v>
      </c>
      <c r="AQ613" s="19" t="e">
        <f t="shared" si="268"/>
        <v>#N/A</v>
      </c>
      <c r="AR613" s="19">
        <f t="shared" si="269"/>
        <v>138.6</v>
      </c>
      <c r="AS613" s="19" t="e">
        <f t="shared" si="270"/>
        <v>#N/A</v>
      </c>
    </row>
    <row r="614" spans="31:45" ht="11.25" customHeight="1" x14ac:dyDescent="0.2">
      <c r="AE614" s="19">
        <v>523</v>
      </c>
      <c r="AG614" s="19">
        <f t="shared" si="258"/>
        <v>7</v>
      </c>
      <c r="AH614" s="19">
        <f t="shared" si="259"/>
        <v>-1</v>
      </c>
      <c r="AI614" s="19">
        <f t="shared" si="260"/>
        <v>70.035000000000011</v>
      </c>
      <c r="AJ614" s="410">
        <f t="shared" si="261"/>
        <v>845.96</v>
      </c>
      <c r="AK614" s="19" t="e">
        <f t="shared" si="262"/>
        <v>#N/A</v>
      </c>
      <c r="AL614" s="19">
        <f t="shared" si="263"/>
        <v>645.96</v>
      </c>
      <c r="AM614" s="19" t="e">
        <f t="shared" si="264"/>
        <v>#N/A</v>
      </c>
      <c r="AN614" s="19">
        <f t="shared" si="265"/>
        <v>445.96</v>
      </c>
      <c r="AO614" s="19" t="e">
        <f t="shared" si="266"/>
        <v>#N/A</v>
      </c>
      <c r="AP614" s="19">
        <f t="shared" si="267"/>
        <v>245.96</v>
      </c>
      <c r="AQ614" s="19" t="e">
        <f t="shared" si="268"/>
        <v>#N/A</v>
      </c>
      <c r="AR614" s="19">
        <f t="shared" si="269"/>
        <v>45.96</v>
      </c>
      <c r="AS614" s="19" t="e">
        <f t="shared" si="270"/>
        <v>#N/A</v>
      </c>
    </row>
    <row r="615" spans="31:45" ht="11.25" customHeight="1" x14ac:dyDescent="0.2">
      <c r="AE615" s="19">
        <v>524</v>
      </c>
      <c r="AG615" s="19">
        <f t="shared" si="258"/>
        <v>7</v>
      </c>
      <c r="AH615" s="19">
        <f t="shared" si="259"/>
        <v>1</v>
      </c>
      <c r="AI615" s="19">
        <f t="shared" si="260"/>
        <v>70.035000000000011</v>
      </c>
      <c r="AJ615" s="410">
        <f t="shared" si="261"/>
        <v>954.04</v>
      </c>
      <c r="AK615" s="19" t="e">
        <f t="shared" si="262"/>
        <v>#N/A</v>
      </c>
      <c r="AL615" s="19">
        <f t="shared" si="263"/>
        <v>754.04</v>
      </c>
      <c r="AM615" s="19" t="e">
        <f t="shared" si="264"/>
        <v>#N/A</v>
      </c>
      <c r="AN615" s="19">
        <f t="shared" si="265"/>
        <v>554.04</v>
      </c>
      <c r="AO615" s="19" t="e">
        <f t="shared" si="266"/>
        <v>#N/A</v>
      </c>
      <c r="AP615" s="19">
        <f t="shared" si="267"/>
        <v>354.04</v>
      </c>
      <c r="AQ615" s="19" t="e">
        <f t="shared" si="268"/>
        <v>#N/A</v>
      </c>
      <c r="AR615" s="19">
        <f t="shared" si="269"/>
        <v>154.04</v>
      </c>
      <c r="AS615" s="19" t="e">
        <f t="shared" si="270"/>
        <v>#N/A</v>
      </c>
    </row>
    <row r="616" spans="31:45" ht="11.25" customHeight="1" x14ac:dyDescent="0.2">
      <c r="AE616" s="19">
        <v>525</v>
      </c>
      <c r="AG616" s="19">
        <f t="shared" si="258"/>
        <v>9</v>
      </c>
      <c r="AH616" s="19">
        <f t="shared" si="259"/>
        <v>-1</v>
      </c>
      <c r="AI616" s="19">
        <f t="shared" si="260"/>
        <v>70.035000000000011</v>
      </c>
      <c r="AJ616" s="410">
        <f t="shared" si="261"/>
        <v>830.52</v>
      </c>
      <c r="AK616" s="19" t="e">
        <f t="shared" si="262"/>
        <v>#N/A</v>
      </c>
      <c r="AL616" s="19">
        <f t="shared" si="263"/>
        <v>630.52</v>
      </c>
      <c r="AM616" s="19" t="e">
        <f t="shared" si="264"/>
        <v>#N/A</v>
      </c>
      <c r="AN616" s="19">
        <f t="shared" si="265"/>
        <v>430.52</v>
      </c>
      <c r="AO616" s="19" t="e">
        <f t="shared" si="266"/>
        <v>#N/A</v>
      </c>
      <c r="AP616" s="19">
        <f t="shared" si="267"/>
        <v>230.51999999999998</v>
      </c>
      <c r="AQ616" s="19" t="e">
        <f t="shared" si="268"/>
        <v>#N/A</v>
      </c>
      <c r="AR616" s="19">
        <f t="shared" si="269"/>
        <v>30.519999999999996</v>
      </c>
      <c r="AS616" s="19" t="e">
        <f t="shared" si="270"/>
        <v>#N/A</v>
      </c>
    </row>
    <row r="617" spans="31:45" ht="11.25" customHeight="1" x14ac:dyDescent="0.2">
      <c r="AE617" s="19">
        <v>526</v>
      </c>
      <c r="AG617" s="19">
        <f t="shared" si="258"/>
        <v>9</v>
      </c>
      <c r="AH617" s="19">
        <f t="shared" si="259"/>
        <v>1</v>
      </c>
      <c r="AI617" s="19">
        <f t="shared" si="260"/>
        <v>70.035000000000011</v>
      </c>
      <c r="AJ617" s="410">
        <f t="shared" si="261"/>
        <v>969.48</v>
      </c>
      <c r="AK617" s="19" t="e">
        <f t="shared" si="262"/>
        <v>#N/A</v>
      </c>
      <c r="AL617" s="19">
        <f t="shared" si="263"/>
        <v>769.48</v>
      </c>
      <c r="AM617" s="19" t="e">
        <f t="shared" si="264"/>
        <v>#N/A</v>
      </c>
      <c r="AN617" s="19">
        <f t="shared" si="265"/>
        <v>569.48</v>
      </c>
      <c r="AO617" s="19" t="e">
        <f t="shared" si="266"/>
        <v>#N/A</v>
      </c>
      <c r="AP617" s="19">
        <f t="shared" si="267"/>
        <v>369.48</v>
      </c>
      <c r="AQ617" s="19" t="e">
        <f t="shared" si="268"/>
        <v>#N/A</v>
      </c>
      <c r="AR617" s="19">
        <f t="shared" si="269"/>
        <v>169.48000000000002</v>
      </c>
      <c r="AS617" s="19" t="e">
        <f t="shared" si="270"/>
        <v>#N/A</v>
      </c>
    </row>
    <row r="618" spans="31:45" ht="11.25" customHeight="1" x14ac:dyDescent="0.2">
      <c r="AE618" s="19">
        <v>527</v>
      </c>
      <c r="AG618" s="19">
        <f t="shared" si="258"/>
        <v>11</v>
      </c>
      <c r="AH618" s="19">
        <f t="shared" si="259"/>
        <v>-1</v>
      </c>
      <c r="AI618" s="19">
        <f t="shared" si="260"/>
        <v>70.035000000000011</v>
      </c>
      <c r="AJ618" s="410">
        <f t="shared" si="261"/>
        <v>815.08</v>
      </c>
      <c r="AK618" s="19" t="e">
        <f t="shared" si="262"/>
        <v>#N/A</v>
      </c>
      <c r="AL618" s="19">
        <f t="shared" si="263"/>
        <v>615.08000000000004</v>
      </c>
      <c r="AM618" s="19" t="e">
        <f t="shared" si="264"/>
        <v>#N/A</v>
      </c>
      <c r="AN618" s="19">
        <f t="shared" si="265"/>
        <v>415.08</v>
      </c>
      <c r="AO618" s="19" t="e">
        <f t="shared" si="266"/>
        <v>#N/A</v>
      </c>
      <c r="AP618" s="19">
        <f t="shared" si="267"/>
        <v>215.07999999999998</v>
      </c>
      <c r="AQ618" s="19" t="e">
        <f t="shared" si="268"/>
        <v>#N/A</v>
      </c>
      <c r="AR618" s="19">
        <f t="shared" si="269"/>
        <v>15.079999999999998</v>
      </c>
      <c r="AS618" s="19" t="e">
        <f t="shared" si="270"/>
        <v>#N/A</v>
      </c>
    </row>
    <row r="619" spans="31:45" ht="11.25" customHeight="1" x14ac:dyDescent="0.2">
      <c r="AE619" s="19">
        <v>528</v>
      </c>
      <c r="AG619" s="19">
        <f t="shared" si="258"/>
        <v>11</v>
      </c>
      <c r="AH619" s="19">
        <f t="shared" si="259"/>
        <v>1</v>
      </c>
      <c r="AI619" s="19">
        <f t="shared" si="260"/>
        <v>70.035000000000011</v>
      </c>
      <c r="AJ619" s="410">
        <f t="shared" si="261"/>
        <v>984.92</v>
      </c>
      <c r="AK619" s="19" t="e">
        <f t="shared" si="262"/>
        <v>#N/A</v>
      </c>
      <c r="AL619" s="19">
        <f t="shared" si="263"/>
        <v>784.92</v>
      </c>
      <c r="AM619" s="19" t="e">
        <f t="shared" si="264"/>
        <v>#N/A</v>
      </c>
      <c r="AN619" s="19">
        <f t="shared" si="265"/>
        <v>584.91999999999996</v>
      </c>
      <c r="AO619" s="19" t="e">
        <f t="shared" si="266"/>
        <v>#N/A</v>
      </c>
      <c r="AP619" s="19">
        <f t="shared" si="267"/>
        <v>384.92</v>
      </c>
      <c r="AQ619" s="19" t="e">
        <f t="shared" si="268"/>
        <v>#N/A</v>
      </c>
      <c r="AR619" s="19">
        <f t="shared" si="269"/>
        <v>184.92000000000002</v>
      </c>
      <c r="AS619" s="19" t="e">
        <f t="shared" si="270"/>
        <v>#N/A</v>
      </c>
    </row>
    <row r="620" spans="31:45" ht="11.25" customHeight="1" x14ac:dyDescent="0.2">
      <c r="AE620" s="19">
        <v>529</v>
      </c>
      <c r="AG620" s="19">
        <f t="shared" si="258"/>
        <v>1</v>
      </c>
      <c r="AH620" s="19">
        <f t="shared" si="259"/>
        <v>-1</v>
      </c>
      <c r="AI620" s="19">
        <f t="shared" si="260"/>
        <v>71.64500000000001</v>
      </c>
      <c r="AJ620" s="410">
        <f t="shared" si="261"/>
        <v>892.28</v>
      </c>
      <c r="AK620" s="19" t="e">
        <f t="shared" si="262"/>
        <v>#N/A</v>
      </c>
      <c r="AL620" s="19">
        <f t="shared" si="263"/>
        <v>692.28</v>
      </c>
      <c r="AM620" s="19" t="e">
        <f t="shared" si="264"/>
        <v>#N/A</v>
      </c>
      <c r="AN620" s="19">
        <f t="shared" si="265"/>
        <v>492.28</v>
      </c>
      <c r="AO620" s="19" t="e">
        <f t="shared" si="266"/>
        <v>#N/A</v>
      </c>
      <c r="AP620" s="19">
        <f t="shared" si="267"/>
        <v>292.27999999999997</v>
      </c>
      <c r="AQ620" s="19" t="e">
        <f t="shared" si="268"/>
        <v>#N/A</v>
      </c>
      <c r="AR620" s="19">
        <f t="shared" si="269"/>
        <v>92.28</v>
      </c>
      <c r="AS620" s="19" t="e">
        <f t="shared" si="270"/>
        <v>#N/A</v>
      </c>
    </row>
    <row r="621" spans="31:45" ht="11.25" customHeight="1" x14ac:dyDescent="0.2">
      <c r="AE621" s="19">
        <v>530</v>
      </c>
      <c r="AG621" s="19">
        <f t="shared" si="258"/>
        <v>1</v>
      </c>
      <c r="AH621" s="19">
        <f t="shared" si="259"/>
        <v>1</v>
      </c>
      <c r="AI621" s="19">
        <f t="shared" si="260"/>
        <v>71.64500000000001</v>
      </c>
      <c r="AJ621" s="410">
        <f t="shared" si="261"/>
        <v>907.72</v>
      </c>
      <c r="AK621" s="19" t="e">
        <f t="shared" si="262"/>
        <v>#N/A</v>
      </c>
      <c r="AL621" s="19">
        <f t="shared" si="263"/>
        <v>707.72</v>
      </c>
      <c r="AM621" s="19" t="e">
        <f t="shared" si="264"/>
        <v>#N/A</v>
      </c>
      <c r="AN621" s="19">
        <f t="shared" si="265"/>
        <v>507.72</v>
      </c>
      <c r="AO621" s="19" t="e">
        <f t="shared" si="266"/>
        <v>#N/A</v>
      </c>
      <c r="AP621" s="19">
        <f t="shared" si="267"/>
        <v>307.72000000000003</v>
      </c>
      <c r="AQ621" s="19" t="e">
        <f t="shared" si="268"/>
        <v>#N/A</v>
      </c>
      <c r="AR621" s="19">
        <f t="shared" si="269"/>
        <v>107.72</v>
      </c>
      <c r="AS621" s="19" t="e">
        <f t="shared" si="270"/>
        <v>#N/A</v>
      </c>
    </row>
    <row r="622" spans="31:45" ht="11.25" customHeight="1" x14ac:dyDescent="0.2">
      <c r="AE622" s="19">
        <v>531</v>
      </c>
      <c r="AG622" s="19">
        <f t="shared" si="258"/>
        <v>3</v>
      </c>
      <c r="AH622" s="19">
        <f t="shared" si="259"/>
        <v>-1</v>
      </c>
      <c r="AI622" s="19">
        <f t="shared" si="260"/>
        <v>71.64500000000001</v>
      </c>
      <c r="AJ622" s="410">
        <f t="shared" si="261"/>
        <v>876.84</v>
      </c>
      <c r="AK622" s="19" t="e">
        <f t="shared" si="262"/>
        <v>#N/A</v>
      </c>
      <c r="AL622" s="19">
        <f t="shared" si="263"/>
        <v>676.84</v>
      </c>
      <c r="AM622" s="19" t="e">
        <f t="shared" si="264"/>
        <v>#N/A</v>
      </c>
      <c r="AN622" s="19">
        <f t="shared" si="265"/>
        <v>476.84</v>
      </c>
      <c r="AO622" s="19" t="e">
        <f t="shared" si="266"/>
        <v>#N/A</v>
      </c>
      <c r="AP622" s="19">
        <f t="shared" si="267"/>
        <v>276.83999999999997</v>
      </c>
      <c r="AQ622" s="19" t="e">
        <f t="shared" si="268"/>
        <v>#N/A</v>
      </c>
      <c r="AR622" s="19">
        <f t="shared" si="269"/>
        <v>76.84</v>
      </c>
      <c r="AS622" s="19" t="e">
        <f t="shared" si="270"/>
        <v>#N/A</v>
      </c>
    </row>
    <row r="623" spans="31:45" ht="11.25" customHeight="1" x14ac:dyDescent="0.2">
      <c r="AE623" s="19">
        <v>532</v>
      </c>
      <c r="AG623" s="19">
        <f t="shared" si="258"/>
        <v>3</v>
      </c>
      <c r="AH623" s="19">
        <f t="shared" si="259"/>
        <v>1</v>
      </c>
      <c r="AI623" s="19">
        <f t="shared" si="260"/>
        <v>71.64500000000001</v>
      </c>
      <c r="AJ623" s="410">
        <f t="shared" si="261"/>
        <v>923.16</v>
      </c>
      <c r="AK623" s="19" t="e">
        <f t="shared" si="262"/>
        <v>#N/A</v>
      </c>
      <c r="AL623" s="19">
        <f t="shared" si="263"/>
        <v>723.16</v>
      </c>
      <c r="AM623" s="19" t="e">
        <f t="shared" si="264"/>
        <v>#N/A</v>
      </c>
      <c r="AN623" s="19">
        <f t="shared" si="265"/>
        <v>523.16</v>
      </c>
      <c r="AO623" s="19" t="e">
        <f t="shared" si="266"/>
        <v>#N/A</v>
      </c>
      <c r="AP623" s="19">
        <f t="shared" si="267"/>
        <v>323.16000000000003</v>
      </c>
      <c r="AQ623" s="19" t="e">
        <f t="shared" si="268"/>
        <v>#N/A</v>
      </c>
      <c r="AR623" s="19">
        <f t="shared" si="269"/>
        <v>123.16</v>
      </c>
      <c r="AS623" s="19" t="e">
        <f t="shared" si="270"/>
        <v>#N/A</v>
      </c>
    </row>
    <row r="624" spans="31:45" ht="11.25" customHeight="1" x14ac:dyDescent="0.2">
      <c r="AE624" s="19">
        <v>533</v>
      </c>
      <c r="AG624" s="19">
        <f t="shared" si="258"/>
        <v>5</v>
      </c>
      <c r="AH624" s="19">
        <f t="shared" si="259"/>
        <v>-1</v>
      </c>
      <c r="AI624" s="19">
        <f t="shared" si="260"/>
        <v>71.64500000000001</v>
      </c>
      <c r="AJ624" s="410">
        <f t="shared" si="261"/>
        <v>861.4</v>
      </c>
      <c r="AK624" s="19" t="e">
        <f t="shared" si="262"/>
        <v>#N/A</v>
      </c>
      <c r="AL624" s="19">
        <f t="shared" si="263"/>
        <v>661.4</v>
      </c>
      <c r="AM624" s="19" t="e">
        <f t="shared" si="264"/>
        <v>#N/A</v>
      </c>
      <c r="AN624" s="19">
        <f t="shared" si="265"/>
        <v>461.4</v>
      </c>
      <c r="AO624" s="19" t="e">
        <f t="shared" si="266"/>
        <v>#N/A</v>
      </c>
      <c r="AP624" s="19">
        <f t="shared" si="267"/>
        <v>261.39999999999998</v>
      </c>
      <c r="AQ624" s="19" t="e">
        <f t="shared" si="268"/>
        <v>#N/A</v>
      </c>
      <c r="AR624" s="19">
        <f t="shared" si="269"/>
        <v>61.4</v>
      </c>
      <c r="AS624" s="19" t="e">
        <f t="shared" si="270"/>
        <v>#N/A</v>
      </c>
    </row>
    <row r="625" spans="31:45" ht="11.25" customHeight="1" x14ac:dyDescent="0.2">
      <c r="AE625" s="19">
        <v>534</v>
      </c>
      <c r="AG625" s="19">
        <f t="shared" si="258"/>
        <v>5</v>
      </c>
      <c r="AH625" s="19">
        <f t="shared" si="259"/>
        <v>1</v>
      </c>
      <c r="AI625" s="19">
        <f t="shared" si="260"/>
        <v>71.64500000000001</v>
      </c>
      <c r="AJ625" s="410">
        <f t="shared" si="261"/>
        <v>938.6</v>
      </c>
      <c r="AK625" s="19" t="e">
        <f t="shared" si="262"/>
        <v>#N/A</v>
      </c>
      <c r="AL625" s="19">
        <f t="shared" si="263"/>
        <v>738.6</v>
      </c>
      <c r="AM625" s="19" t="e">
        <f t="shared" si="264"/>
        <v>#N/A</v>
      </c>
      <c r="AN625" s="19">
        <f t="shared" si="265"/>
        <v>538.6</v>
      </c>
      <c r="AO625" s="19" t="e">
        <f t="shared" si="266"/>
        <v>#N/A</v>
      </c>
      <c r="AP625" s="19">
        <f t="shared" si="267"/>
        <v>338.6</v>
      </c>
      <c r="AQ625" s="19" t="e">
        <f t="shared" si="268"/>
        <v>#N/A</v>
      </c>
      <c r="AR625" s="19">
        <f t="shared" si="269"/>
        <v>138.6</v>
      </c>
      <c r="AS625" s="19" t="e">
        <f t="shared" si="270"/>
        <v>#N/A</v>
      </c>
    </row>
    <row r="626" spans="31:45" ht="11.25" customHeight="1" x14ac:dyDescent="0.2">
      <c r="AE626" s="19">
        <v>535</v>
      </c>
      <c r="AG626" s="19">
        <f t="shared" si="258"/>
        <v>7</v>
      </c>
      <c r="AH626" s="19">
        <f t="shared" si="259"/>
        <v>-1</v>
      </c>
      <c r="AI626" s="19">
        <f t="shared" si="260"/>
        <v>71.64500000000001</v>
      </c>
      <c r="AJ626" s="410">
        <f t="shared" si="261"/>
        <v>845.96</v>
      </c>
      <c r="AK626" s="19" t="e">
        <f t="shared" si="262"/>
        <v>#N/A</v>
      </c>
      <c r="AL626" s="19">
        <f t="shared" si="263"/>
        <v>645.96</v>
      </c>
      <c r="AM626" s="19" t="e">
        <f t="shared" si="264"/>
        <v>#N/A</v>
      </c>
      <c r="AN626" s="19">
        <f t="shared" si="265"/>
        <v>445.96</v>
      </c>
      <c r="AO626" s="19" t="e">
        <f t="shared" si="266"/>
        <v>#N/A</v>
      </c>
      <c r="AP626" s="19">
        <f t="shared" si="267"/>
        <v>245.96</v>
      </c>
      <c r="AQ626" s="19" t="e">
        <f t="shared" si="268"/>
        <v>#N/A</v>
      </c>
      <c r="AR626" s="19">
        <f t="shared" si="269"/>
        <v>45.96</v>
      </c>
      <c r="AS626" s="19" t="e">
        <f t="shared" si="270"/>
        <v>#N/A</v>
      </c>
    </row>
    <row r="627" spans="31:45" ht="11.25" customHeight="1" x14ac:dyDescent="0.2">
      <c r="AE627" s="19">
        <v>536</v>
      </c>
      <c r="AG627" s="19">
        <f t="shared" si="258"/>
        <v>7</v>
      </c>
      <c r="AH627" s="19">
        <f t="shared" si="259"/>
        <v>1</v>
      </c>
      <c r="AI627" s="19">
        <f t="shared" si="260"/>
        <v>71.64500000000001</v>
      </c>
      <c r="AJ627" s="410">
        <f t="shared" si="261"/>
        <v>954.04</v>
      </c>
      <c r="AK627" s="19" t="e">
        <f t="shared" si="262"/>
        <v>#N/A</v>
      </c>
      <c r="AL627" s="19">
        <f t="shared" si="263"/>
        <v>754.04</v>
      </c>
      <c r="AM627" s="19" t="e">
        <f t="shared" si="264"/>
        <v>#N/A</v>
      </c>
      <c r="AN627" s="19">
        <f t="shared" si="265"/>
        <v>554.04</v>
      </c>
      <c r="AO627" s="19" t="e">
        <f t="shared" si="266"/>
        <v>#N/A</v>
      </c>
      <c r="AP627" s="19">
        <f t="shared" si="267"/>
        <v>354.04</v>
      </c>
      <c r="AQ627" s="19" t="e">
        <f t="shared" si="268"/>
        <v>#N/A</v>
      </c>
      <c r="AR627" s="19">
        <f t="shared" si="269"/>
        <v>154.04</v>
      </c>
      <c r="AS627" s="19" t="e">
        <f t="shared" si="270"/>
        <v>#N/A</v>
      </c>
    </row>
    <row r="628" spans="31:45" ht="11.25" customHeight="1" x14ac:dyDescent="0.2">
      <c r="AE628" s="19">
        <v>537</v>
      </c>
      <c r="AG628" s="19">
        <f t="shared" si="258"/>
        <v>9</v>
      </c>
      <c r="AH628" s="19">
        <f t="shared" si="259"/>
        <v>-1</v>
      </c>
      <c r="AI628" s="19">
        <f t="shared" si="260"/>
        <v>71.64500000000001</v>
      </c>
      <c r="AJ628" s="410">
        <f t="shared" si="261"/>
        <v>830.52</v>
      </c>
      <c r="AK628" s="19" t="e">
        <f t="shared" si="262"/>
        <v>#N/A</v>
      </c>
      <c r="AL628" s="19">
        <f t="shared" si="263"/>
        <v>630.52</v>
      </c>
      <c r="AM628" s="19" t="e">
        <f t="shared" si="264"/>
        <v>#N/A</v>
      </c>
      <c r="AN628" s="19">
        <f t="shared" si="265"/>
        <v>430.52</v>
      </c>
      <c r="AO628" s="19" t="e">
        <f t="shared" si="266"/>
        <v>#N/A</v>
      </c>
      <c r="AP628" s="19">
        <f t="shared" si="267"/>
        <v>230.51999999999998</v>
      </c>
      <c r="AQ628" s="19" t="e">
        <f t="shared" si="268"/>
        <v>#N/A</v>
      </c>
      <c r="AR628" s="19">
        <f t="shared" si="269"/>
        <v>30.519999999999996</v>
      </c>
      <c r="AS628" s="19" t="e">
        <f t="shared" si="270"/>
        <v>#N/A</v>
      </c>
    </row>
    <row r="629" spans="31:45" ht="11.25" customHeight="1" x14ac:dyDescent="0.2">
      <c r="AE629" s="19">
        <v>538</v>
      </c>
      <c r="AG629" s="19">
        <f t="shared" si="258"/>
        <v>9</v>
      </c>
      <c r="AH629" s="19">
        <f t="shared" si="259"/>
        <v>1</v>
      </c>
      <c r="AI629" s="19">
        <f t="shared" si="260"/>
        <v>71.64500000000001</v>
      </c>
      <c r="AJ629" s="410">
        <f t="shared" si="261"/>
        <v>969.48</v>
      </c>
      <c r="AK629" s="19" t="e">
        <f t="shared" si="262"/>
        <v>#N/A</v>
      </c>
      <c r="AL629" s="19">
        <f t="shared" si="263"/>
        <v>769.48</v>
      </c>
      <c r="AM629" s="19" t="e">
        <f t="shared" si="264"/>
        <v>#N/A</v>
      </c>
      <c r="AN629" s="19">
        <f t="shared" si="265"/>
        <v>569.48</v>
      </c>
      <c r="AO629" s="19" t="e">
        <f t="shared" si="266"/>
        <v>#N/A</v>
      </c>
      <c r="AP629" s="19">
        <f t="shared" si="267"/>
        <v>369.48</v>
      </c>
      <c r="AQ629" s="19" t="e">
        <f t="shared" si="268"/>
        <v>#N/A</v>
      </c>
      <c r="AR629" s="19">
        <f t="shared" si="269"/>
        <v>169.48000000000002</v>
      </c>
      <c r="AS629" s="19" t="e">
        <f t="shared" si="270"/>
        <v>#N/A</v>
      </c>
    </row>
    <row r="630" spans="31:45" ht="11.25" customHeight="1" x14ac:dyDescent="0.2">
      <c r="AE630" s="19">
        <v>539</v>
      </c>
      <c r="AG630" s="19">
        <f t="shared" si="258"/>
        <v>11</v>
      </c>
      <c r="AH630" s="19">
        <f t="shared" si="259"/>
        <v>-1</v>
      </c>
      <c r="AI630" s="19">
        <f t="shared" si="260"/>
        <v>71.64500000000001</v>
      </c>
      <c r="AJ630" s="410">
        <f t="shared" si="261"/>
        <v>815.08</v>
      </c>
      <c r="AK630" s="19" t="e">
        <f t="shared" si="262"/>
        <v>#N/A</v>
      </c>
      <c r="AL630" s="19">
        <f t="shared" si="263"/>
        <v>615.08000000000004</v>
      </c>
      <c r="AM630" s="19" t="e">
        <f t="shared" si="264"/>
        <v>#N/A</v>
      </c>
      <c r="AN630" s="19">
        <f t="shared" si="265"/>
        <v>415.08</v>
      </c>
      <c r="AO630" s="19" t="e">
        <f t="shared" si="266"/>
        <v>#N/A</v>
      </c>
      <c r="AP630" s="19">
        <f t="shared" si="267"/>
        <v>215.07999999999998</v>
      </c>
      <c r="AQ630" s="19" t="e">
        <f t="shared" si="268"/>
        <v>#N/A</v>
      </c>
      <c r="AR630" s="19">
        <f t="shared" si="269"/>
        <v>15.079999999999998</v>
      </c>
      <c r="AS630" s="19" t="e">
        <f t="shared" si="270"/>
        <v>#N/A</v>
      </c>
    </row>
    <row r="631" spans="31:45" ht="11.25" customHeight="1" x14ac:dyDescent="0.2">
      <c r="AE631" s="19">
        <v>540</v>
      </c>
      <c r="AG631" s="19">
        <f t="shared" si="258"/>
        <v>11</v>
      </c>
      <c r="AH631" s="19">
        <f t="shared" si="259"/>
        <v>1</v>
      </c>
      <c r="AI631" s="19">
        <f t="shared" si="260"/>
        <v>71.64500000000001</v>
      </c>
      <c r="AJ631" s="410">
        <f t="shared" si="261"/>
        <v>984.92</v>
      </c>
      <c r="AK631" s="19" t="e">
        <f t="shared" si="262"/>
        <v>#N/A</v>
      </c>
      <c r="AL631" s="19">
        <f t="shared" si="263"/>
        <v>784.92</v>
      </c>
      <c r="AM631" s="19" t="e">
        <f t="shared" si="264"/>
        <v>#N/A</v>
      </c>
      <c r="AN631" s="19">
        <f t="shared" si="265"/>
        <v>584.91999999999996</v>
      </c>
      <c r="AO631" s="19" t="e">
        <f t="shared" si="266"/>
        <v>#N/A</v>
      </c>
      <c r="AP631" s="19">
        <f t="shared" si="267"/>
        <v>384.92</v>
      </c>
      <c r="AQ631" s="19" t="e">
        <f t="shared" si="268"/>
        <v>#N/A</v>
      </c>
      <c r="AR631" s="19">
        <f t="shared" si="269"/>
        <v>184.92000000000002</v>
      </c>
      <c r="AS631" s="19" t="e">
        <f t="shared" si="270"/>
        <v>#N/A</v>
      </c>
    </row>
    <row r="632" spans="31:45" ht="11.25" customHeight="1" x14ac:dyDescent="0.2">
      <c r="AE632" s="19">
        <v>541</v>
      </c>
      <c r="AG632" s="19">
        <f t="shared" si="258"/>
        <v>1</v>
      </c>
      <c r="AH632" s="19">
        <f t="shared" si="259"/>
        <v>-1</v>
      </c>
      <c r="AI632" s="19">
        <f t="shared" si="260"/>
        <v>73.25500000000001</v>
      </c>
      <c r="AJ632" s="410">
        <f t="shared" si="261"/>
        <v>892.28</v>
      </c>
      <c r="AK632" s="19" t="e">
        <f t="shared" si="262"/>
        <v>#N/A</v>
      </c>
      <c r="AL632" s="19">
        <f t="shared" si="263"/>
        <v>692.28</v>
      </c>
      <c r="AM632" s="19" t="e">
        <f t="shared" si="264"/>
        <v>#N/A</v>
      </c>
      <c r="AN632" s="19">
        <f t="shared" si="265"/>
        <v>492.28</v>
      </c>
      <c r="AO632" s="19" t="e">
        <f t="shared" si="266"/>
        <v>#N/A</v>
      </c>
      <c r="AP632" s="19">
        <f t="shared" si="267"/>
        <v>292.27999999999997</v>
      </c>
      <c r="AQ632" s="19" t="e">
        <f t="shared" si="268"/>
        <v>#N/A</v>
      </c>
      <c r="AR632" s="19">
        <f t="shared" si="269"/>
        <v>92.28</v>
      </c>
      <c r="AS632" s="19" t="e">
        <f t="shared" si="270"/>
        <v>#N/A</v>
      </c>
    </row>
    <row r="633" spans="31:45" ht="11.25" customHeight="1" x14ac:dyDescent="0.2">
      <c r="AE633" s="19">
        <v>542</v>
      </c>
      <c r="AG633" s="19">
        <f t="shared" si="258"/>
        <v>1</v>
      </c>
      <c r="AH633" s="19">
        <f t="shared" si="259"/>
        <v>1</v>
      </c>
      <c r="AI633" s="19">
        <f t="shared" si="260"/>
        <v>73.25500000000001</v>
      </c>
      <c r="AJ633" s="410">
        <f t="shared" si="261"/>
        <v>907.72</v>
      </c>
      <c r="AK633" s="19" t="e">
        <f t="shared" si="262"/>
        <v>#N/A</v>
      </c>
      <c r="AL633" s="19">
        <f t="shared" si="263"/>
        <v>707.72</v>
      </c>
      <c r="AM633" s="19" t="e">
        <f t="shared" si="264"/>
        <v>#N/A</v>
      </c>
      <c r="AN633" s="19">
        <f t="shared" si="265"/>
        <v>507.72</v>
      </c>
      <c r="AO633" s="19" t="e">
        <f t="shared" si="266"/>
        <v>#N/A</v>
      </c>
      <c r="AP633" s="19">
        <f t="shared" si="267"/>
        <v>307.72000000000003</v>
      </c>
      <c r="AQ633" s="19" t="e">
        <f t="shared" si="268"/>
        <v>#N/A</v>
      </c>
      <c r="AR633" s="19">
        <f t="shared" si="269"/>
        <v>107.72</v>
      </c>
      <c r="AS633" s="19" t="e">
        <f t="shared" si="270"/>
        <v>#N/A</v>
      </c>
    </row>
    <row r="634" spans="31:45" ht="11.25" customHeight="1" x14ac:dyDescent="0.2">
      <c r="AE634" s="19">
        <v>543</v>
      </c>
      <c r="AG634" s="19">
        <f t="shared" si="258"/>
        <v>3</v>
      </c>
      <c r="AH634" s="19">
        <f t="shared" si="259"/>
        <v>-1</v>
      </c>
      <c r="AI634" s="19">
        <f t="shared" si="260"/>
        <v>73.25500000000001</v>
      </c>
      <c r="AJ634" s="410">
        <f t="shared" si="261"/>
        <v>876.84</v>
      </c>
      <c r="AK634" s="19" t="e">
        <f t="shared" si="262"/>
        <v>#N/A</v>
      </c>
      <c r="AL634" s="19">
        <f t="shared" si="263"/>
        <v>676.84</v>
      </c>
      <c r="AM634" s="19" t="e">
        <f t="shared" si="264"/>
        <v>#N/A</v>
      </c>
      <c r="AN634" s="19">
        <f t="shared" si="265"/>
        <v>476.84</v>
      </c>
      <c r="AO634" s="19" t="e">
        <f t="shared" si="266"/>
        <v>#N/A</v>
      </c>
      <c r="AP634" s="19">
        <f t="shared" si="267"/>
        <v>276.83999999999997</v>
      </c>
      <c r="AQ634" s="19" t="e">
        <f t="shared" si="268"/>
        <v>#N/A</v>
      </c>
      <c r="AR634" s="19">
        <f t="shared" si="269"/>
        <v>76.84</v>
      </c>
      <c r="AS634" s="19" t="e">
        <f t="shared" si="270"/>
        <v>#N/A</v>
      </c>
    </row>
    <row r="635" spans="31:45" ht="11.25" customHeight="1" x14ac:dyDescent="0.2">
      <c r="AE635" s="19">
        <v>544</v>
      </c>
      <c r="AG635" s="19">
        <f t="shared" si="258"/>
        <v>3</v>
      </c>
      <c r="AH635" s="19">
        <f t="shared" si="259"/>
        <v>1</v>
      </c>
      <c r="AI635" s="19">
        <f t="shared" si="260"/>
        <v>73.25500000000001</v>
      </c>
      <c r="AJ635" s="410">
        <f t="shared" si="261"/>
        <v>923.16</v>
      </c>
      <c r="AK635" s="19" t="e">
        <f t="shared" si="262"/>
        <v>#N/A</v>
      </c>
      <c r="AL635" s="19">
        <f t="shared" si="263"/>
        <v>723.16</v>
      </c>
      <c r="AM635" s="19" t="e">
        <f t="shared" si="264"/>
        <v>#N/A</v>
      </c>
      <c r="AN635" s="19">
        <f t="shared" si="265"/>
        <v>523.16</v>
      </c>
      <c r="AO635" s="19" t="e">
        <f t="shared" si="266"/>
        <v>#N/A</v>
      </c>
      <c r="AP635" s="19">
        <f t="shared" si="267"/>
        <v>323.16000000000003</v>
      </c>
      <c r="AQ635" s="19" t="e">
        <f t="shared" si="268"/>
        <v>#N/A</v>
      </c>
      <c r="AR635" s="19">
        <f t="shared" si="269"/>
        <v>123.16</v>
      </c>
      <c r="AS635" s="19" t="e">
        <f t="shared" si="270"/>
        <v>#N/A</v>
      </c>
    </row>
    <row r="636" spans="31:45" ht="11.25" customHeight="1" x14ac:dyDescent="0.2">
      <c r="AE636" s="19">
        <v>545</v>
      </c>
      <c r="AG636" s="19">
        <f t="shared" si="258"/>
        <v>5</v>
      </c>
      <c r="AH636" s="19">
        <f t="shared" si="259"/>
        <v>-1</v>
      </c>
      <c r="AI636" s="19">
        <f t="shared" si="260"/>
        <v>73.25500000000001</v>
      </c>
      <c r="AJ636" s="410">
        <f t="shared" si="261"/>
        <v>861.4</v>
      </c>
      <c r="AK636" s="19" t="e">
        <f t="shared" si="262"/>
        <v>#N/A</v>
      </c>
      <c r="AL636" s="19">
        <f t="shared" si="263"/>
        <v>661.4</v>
      </c>
      <c r="AM636" s="19" t="e">
        <f t="shared" si="264"/>
        <v>#N/A</v>
      </c>
      <c r="AN636" s="19">
        <f t="shared" si="265"/>
        <v>461.4</v>
      </c>
      <c r="AO636" s="19" t="e">
        <f t="shared" si="266"/>
        <v>#N/A</v>
      </c>
      <c r="AP636" s="19">
        <f t="shared" si="267"/>
        <v>261.39999999999998</v>
      </c>
      <c r="AQ636" s="19" t="e">
        <f t="shared" si="268"/>
        <v>#N/A</v>
      </c>
      <c r="AR636" s="19">
        <f t="shared" si="269"/>
        <v>61.4</v>
      </c>
      <c r="AS636" s="19" t="e">
        <f t="shared" si="270"/>
        <v>#N/A</v>
      </c>
    </row>
    <row r="637" spans="31:45" ht="11.25" customHeight="1" x14ac:dyDescent="0.2">
      <c r="AE637" s="19">
        <v>546</v>
      </c>
      <c r="AG637" s="19">
        <f t="shared" si="258"/>
        <v>5</v>
      </c>
      <c r="AH637" s="19">
        <f t="shared" si="259"/>
        <v>1</v>
      </c>
      <c r="AI637" s="19">
        <f t="shared" si="260"/>
        <v>73.25500000000001</v>
      </c>
      <c r="AJ637" s="410">
        <f t="shared" si="261"/>
        <v>938.6</v>
      </c>
      <c r="AK637" s="19" t="e">
        <f t="shared" si="262"/>
        <v>#N/A</v>
      </c>
      <c r="AL637" s="19">
        <f t="shared" si="263"/>
        <v>738.6</v>
      </c>
      <c r="AM637" s="19" t="e">
        <f t="shared" si="264"/>
        <v>#N/A</v>
      </c>
      <c r="AN637" s="19">
        <f t="shared" si="265"/>
        <v>538.6</v>
      </c>
      <c r="AO637" s="19" t="e">
        <f t="shared" si="266"/>
        <v>#N/A</v>
      </c>
      <c r="AP637" s="19">
        <f t="shared" si="267"/>
        <v>338.6</v>
      </c>
      <c r="AQ637" s="19" t="e">
        <f t="shared" si="268"/>
        <v>#N/A</v>
      </c>
      <c r="AR637" s="19">
        <f t="shared" si="269"/>
        <v>138.6</v>
      </c>
      <c r="AS637" s="19" t="e">
        <f t="shared" si="270"/>
        <v>#N/A</v>
      </c>
    </row>
    <row r="638" spans="31:45" ht="11.25" customHeight="1" x14ac:dyDescent="0.2">
      <c r="AE638" s="19">
        <v>547</v>
      </c>
      <c r="AG638" s="19">
        <f t="shared" si="258"/>
        <v>7</v>
      </c>
      <c r="AH638" s="19">
        <f t="shared" si="259"/>
        <v>-1</v>
      </c>
      <c r="AI638" s="19">
        <f t="shared" si="260"/>
        <v>73.25500000000001</v>
      </c>
      <c r="AJ638" s="410">
        <f t="shared" si="261"/>
        <v>845.96</v>
      </c>
      <c r="AK638" s="19" t="e">
        <f t="shared" si="262"/>
        <v>#N/A</v>
      </c>
      <c r="AL638" s="19">
        <f t="shared" si="263"/>
        <v>645.96</v>
      </c>
      <c r="AM638" s="19" t="e">
        <f t="shared" si="264"/>
        <v>#N/A</v>
      </c>
      <c r="AN638" s="19">
        <f t="shared" si="265"/>
        <v>445.96</v>
      </c>
      <c r="AO638" s="19" t="e">
        <f t="shared" si="266"/>
        <v>#N/A</v>
      </c>
      <c r="AP638" s="19">
        <f t="shared" si="267"/>
        <v>245.96</v>
      </c>
      <c r="AQ638" s="19" t="e">
        <f t="shared" si="268"/>
        <v>#N/A</v>
      </c>
      <c r="AR638" s="19">
        <f t="shared" si="269"/>
        <v>45.96</v>
      </c>
      <c r="AS638" s="19" t="e">
        <f t="shared" si="270"/>
        <v>#N/A</v>
      </c>
    </row>
    <row r="639" spans="31:45" ht="11.25" customHeight="1" x14ac:dyDescent="0.2">
      <c r="AE639" s="19">
        <v>548</v>
      </c>
      <c r="AG639" s="19">
        <f t="shared" si="258"/>
        <v>7</v>
      </c>
      <c r="AH639" s="19">
        <f t="shared" si="259"/>
        <v>1</v>
      </c>
      <c r="AI639" s="19">
        <f t="shared" si="260"/>
        <v>73.25500000000001</v>
      </c>
      <c r="AJ639" s="410">
        <f t="shared" si="261"/>
        <v>954.04</v>
      </c>
      <c r="AK639" s="19" t="e">
        <f t="shared" si="262"/>
        <v>#N/A</v>
      </c>
      <c r="AL639" s="19">
        <f t="shared" si="263"/>
        <v>754.04</v>
      </c>
      <c r="AM639" s="19" t="e">
        <f t="shared" si="264"/>
        <v>#N/A</v>
      </c>
      <c r="AN639" s="19">
        <f t="shared" si="265"/>
        <v>554.04</v>
      </c>
      <c r="AO639" s="19" t="e">
        <f t="shared" si="266"/>
        <v>#N/A</v>
      </c>
      <c r="AP639" s="19">
        <f t="shared" si="267"/>
        <v>354.04</v>
      </c>
      <c r="AQ639" s="19" t="e">
        <f t="shared" si="268"/>
        <v>#N/A</v>
      </c>
      <c r="AR639" s="19">
        <f t="shared" si="269"/>
        <v>154.04</v>
      </c>
      <c r="AS639" s="19" t="e">
        <f t="shared" si="270"/>
        <v>#N/A</v>
      </c>
    </row>
    <row r="640" spans="31:45" ht="11.25" customHeight="1" x14ac:dyDescent="0.2">
      <c r="AE640" s="19">
        <v>549</v>
      </c>
      <c r="AG640" s="19">
        <f t="shared" si="258"/>
        <v>9</v>
      </c>
      <c r="AH640" s="19">
        <f t="shared" si="259"/>
        <v>-1</v>
      </c>
      <c r="AI640" s="19">
        <f t="shared" si="260"/>
        <v>73.25500000000001</v>
      </c>
      <c r="AJ640" s="410">
        <f t="shared" si="261"/>
        <v>830.52</v>
      </c>
      <c r="AK640" s="19" t="e">
        <f t="shared" si="262"/>
        <v>#N/A</v>
      </c>
      <c r="AL640" s="19">
        <f t="shared" si="263"/>
        <v>630.52</v>
      </c>
      <c r="AM640" s="19" t="e">
        <f t="shared" si="264"/>
        <v>#N/A</v>
      </c>
      <c r="AN640" s="19">
        <f t="shared" si="265"/>
        <v>430.52</v>
      </c>
      <c r="AO640" s="19" t="e">
        <f t="shared" si="266"/>
        <v>#N/A</v>
      </c>
      <c r="AP640" s="19">
        <f t="shared" si="267"/>
        <v>230.51999999999998</v>
      </c>
      <c r="AQ640" s="19" t="e">
        <f t="shared" si="268"/>
        <v>#N/A</v>
      </c>
      <c r="AR640" s="19">
        <f t="shared" si="269"/>
        <v>30.519999999999996</v>
      </c>
      <c r="AS640" s="19" t="e">
        <f t="shared" si="270"/>
        <v>#N/A</v>
      </c>
    </row>
    <row r="641" spans="31:45" ht="11.25" customHeight="1" x14ac:dyDescent="0.2">
      <c r="AE641" s="19">
        <v>550</v>
      </c>
      <c r="AG641" s="19">
        <f t="shared" si="258"/>
        <v>9</v>
      </c>
      <c r="AH641" s="19">
        <f t="shared" si="259"/>
        <v>1</v>
      </c>
      <c r="AI641" s="19">
        <f t="shared" si="260"/>
        <v>73.25500000000001</v>
      </c>
      <c r="AJ641" s="410">
        <f t="shared" si="261"/>
        <v>969.48</v>
      </c>
      <c r="AK641" s="19" t="e">
        <f t="shared" si="262"/>
        <v>#N/A</v>
      </c>
      <c r="AL641" s="19">
        <f t="shared" si="263"/>
        <v>769.48</v>
      </c>
      <c r="AM641" s="19" t="e">
        <f t="shared" si="264"/>
        <v>#N/A</v>
      </c>
      <c r="AN641" s="19">
        <f t="shared" si="265"/>
        <v>569.48</v>
      </c>
      <c r="AO641" s="19" t="e">
        <f t="shared" si="266"/>
        <v>#N/A</v>
      </c>
      <c r="AP641" s="19">
        <f t="shared" si="267"/>
        <v>369.48</v>
      </c>
      <c r="AQ641" s="19" t="e">
        <f t="shared" si="268"/>
        <v>#N/A</v>
      </c>
      <c r="AR641" s="19">
        <f t="shared" si="269"/>
        <v>169.48000000000002</v>
      </c>
      <c r="AS641" s="19" t="e">
        <f t="shared" si="270"/>
        <v>#N/A</v>
      </c>
    </row>
    <row r="642" spans="31:45" ht="11.25" customHeight="1" x14ac:dyDescent="0.2">
      <c r="AE642" s="19">
        <v>551</v>
      </c>
      <c r="AG642" s="19">
        <f t="shared" si="258"/>
        <v>11</v>
      </c>
      <c r="AH642" s="19">
        <f t="shared" si="259"/>
        <v>-1</v>
      </c>
      <c r="AI642" s="19">
        <f t="shared" si="260"/>
        <v>73.25500000000001</v>
      </c>
      <c r="AJ642" s="410">
        <f t="shared" si="261"/>
        <v>815.08</v>
      </c>
      <c r="AK642" s="19" t="e">
        <f t="shared" si="262"/>
        <v>#N/A</v>
      </c>
      <c r="AL642" s="19">
        <f t="shared" si="263"/>
        <v>615.08000000000004</v>
      </c>
      <c r="AM642" s="19" t="e">
        <f t="shared" si="264"/>
        <v>#N/A</v>
      </c>
      <c r="AN642" s="19">
        <f t="shared" si="265"/>
        <v>415.08</v>
      </c>
      <c r="AO642" s="19" t="e">
        <f t="shared" si="266"/>
        <v>#N/A</v>
      </c>
      <c r="AP642" s="19">
        <f t="shared" si="267"/>
        <v>215.07999999999998</v>
      </c>
      <c r="AQ642" s="19" t="e">
        <f t="shared" si="268"/>
        <v>#N/A</v>
      </c>
      <c r="AR642" s="19">
        <f t="shared" si="269"/>
        <v>15.079999999999998</v>
      </c>
      <c r="AS642" s="19" t="e">
        <f t="shared" si="270"/>
        <v>#N/A</v>
      </c>
    </row>
    <row r="643" spans="31:45" ht="11.25" customHeight="1" x14ac:dyDescent="0.2">
      <c r="AE643" s="19">
        <v>552</v>
      </c>
      <c r="AG643" s="19">
        <f t="shared" si="258"/>
        <v>11</v>
      </c>
      <c r="AH643" s="19">
        <f t="shared" si="259"/>
        <v>1</v>
      </c>
      <c r="AI643" s="19">
        <f t="shared" si="260"/>
        <v>73.25500000000001</v>
      </c>
      <c r="AJ643" s="410">
        <f t="shared" si="261"/>
        <v>984.92</v>
      </c>
      <c r="AK643" s="19" t="e">
        <f t="shared" si="262"/>
        <v>#N/A</v>
      </c>
      <c r="AL643" s="19">
        <f t="shared" si="263"/>
        <v>784.92</v>
      </c>
      <c r="AM643" s="19" t="e">
        <f t="shared" si="264"/>
        <v>#N/A</v>
      </c>
      <c r="AN643" s="19">
        <f t="shared" si="265"/>
        <v>584.91999999999996</v>
      </c>
      <c r="AO643" s="19" t="e">
        <f t="shared" si="266"/>
        <v>#N/A</v>
      </c>
      <c r="AP643" s="19">
        <f t="shared" si="267"/>
        <v>384.92</v>
      </c>
      <c r="AQ643" s="19" t="e">
        <f t="shared" si="268"/>
        <v>#N/A</v>
      </c>
      <c r="AR643" s="19">
        <f t="shared" si="269"/>
        <v>184.92000000000002</v>
      </c>
      <c r="AS643" s="19" t="e">
        <f t="shared" si="270"/>
        <v>#N/A</v>
      </c>
    </row>
    <row r="644" spans="31:45" ht="11.25" customHeight="1" x14ac:dyDescent="0.2">
      <c r="AE644" s="19">
        <v>553</v>
      </c>
      <c r="AG644" s="19">
        <f t="shared" si="258"/>
        <v>1</v>
      </c>
      <c r="AH644" s="19">
        <f t="shared" si="259"/>
        <v>-1</v>
      </c>
      <c r="AI644" s="19">
        <f t="shared" si="260"/>
        <v>74.865000000000009</v>
      </c>
      <c r="AJ644" s="410">
        <f t="shared" si="261"/>
        <v>892.28</v>
      </c>
      <c r="AK644" s="19" t="e">
        <f t="shared" si="262"/>
        <v>#N/A</v>
      </c>
      <c r="AL644" s="19">
        <f t="shared" si="263"/>
        <v>692.28</v>
      </c>
      <c r="AM644" s="19" t="e">
        <f t="shared" si="264"/>
        <v>#N/A</v>
      </c>
      <c r="AN644" s="19">
        <f t="shared" si="265"/>
        <v>492.28</v>
      </c>
      <c r="AO644" s="19" t="e">
        <f t="shared" si="266"/>
        <v>#N/A</v>
      </c>
      <c r="AP644" s="19">
        <f t="shared" si="267"/>
        <v>292.27999999999997</v>
      </c>
      <c r="AQ644" s="19" t="e">
        <f t="shared" si="268"/>
        <v>#N/A</v>
      </c>
      <c r="AR644" s="19">
        <f t="shared" si="269"/>
        <v>92.28</v>
      </c>
      <c r="AS644" s="19" t="e">
        <f t="shared" si="270"/>
        <v>#N/A</v>
      </c>
    </row>
    <row r="645" spans="31:45" ht="11.25" customHeight="1" x14ac:dyDescent="0.2">
      <c r="AE645" s="19">
        <v>554</v>
      </c>
      <c r="AG645" s="19">
        <f t="shared" si="258"/>
        <v>1</v>
      </c>
      <c r="AH645" s="19">
        <f t="shared" si="259"/>
        <v>1</v>
      </c>
      <c r="AI645" s="19">
        <f t="shared" si="260"/>
        <v>74.865000000000009</v>
      </c>
      <c r="AJ645" s="410">
        <f t="shared" si="261"/>
        <v>907.72</v>
      </c>
      <c r="AK645" s="19" t="e">
        <f t="shared" si="262"/>
        <v>#N/A</v>
      </c>
      <c r="AL645" s="19">
        <f t="shared" si="263"/>
        <v>707.72</v>
      </c>
      <c r="AM645" s="19" t="e">
        <f t="shared" si="264"/>
        <v>#N/A</v>
      </c>
      <c r="AN645" s="19">
        <f t="shared" si="265"/>
        <v>507.72</v>
      </c>
      <c r="AO645" s="19" t="e">
        <f t="shared" si="266"/>
        <v>#N/A</v>
      </c>
      <c r="AP645" s="19">
        <f t="shared" si="267"/>
        <v>307.72000000000003</v>
      </c>
      <c r="AQ645" s="19" t="e">
        <f t="shared" si="268"/>
        <v>#N/A</v>
      </c>
      <c r="AR645" s="19">
        <f t="shared" si="269"/>
        <v>107.72</v>
      </c>
      <c r="AS645" s="19" t="e">
        <f t="shared" si="270"/>
        <v>#N/A</v>
      </c>
    </row>
    <row r="646" spans="31:45" ht="11.25" customHeight="1" x14ac:dyDescent="0.2">
      <c r="AE646" s="19">
        <v>555</v>
      </c>
      <c r="AG646" s="19">
        <f t="shared" si="258"/>
        <v>3</v>
      </c>
      <c r="AH646" s="19">
        <f t="shared" si="259"/>
        <v>-1</v>
      </c>
      <c r="AI646" s="19">
        <f t="shared" si="260"/>
        <v>74.865000000000009</v>
      </c>
      <c r="AJ646" s="410">
        <f t="shared" si="261"/>
        <v>876.84</v>
      </c>
      <c r="AK646" s="19" t="e">
        <f t="shared" si="262"/>
        <v>#N/A</v>
      </c>
      <c r="AL646" s="19">
        <f t="shared" si="263"/>
        <v>676.84</v>
      </c>
      <c r="AM646" s="19" t="e">
        <f t="shared" si="264"/>
        <v>#N/A</v>
      </c>
      <c r="AN646" s="19">
        <f t="shared" si="265"/>
        <v>476.84</v>
      </c>
      <c r="AO646" s="19" t="e">
        <f t="shared" si="266"/>
        <v>#N/A</v>
      </c>
      <c r="AP646" s="19">
        <f t="shared" si="267"/>
        <v>276.83999999999997</v>
      </c>
      <c r="AQ646" s="19" t="e">
        <f t="shared" si="268"/>
        <v>#N/A</v>
      </c>
      <c r="AR646" s="19">
        <f t="shared" si="269"/>
        <v>76.84</v>
      </c>
      <c r="AS646" s="19" t="e">
        <f t="shared" si="270"/>
        <v>#N/A</v>
      </c>
    </row>
    <row r="647" spans="31:45" ht="11.25" customHeight="1" x14ac:dyDescent="0.2">
      <c r="AE647" s="19">
        <v>556</v>
      </c>
      <c r="AG647" s="19">
        <f t="shared" si="258"/>
        <v>3</v>
      </c>
      <c r="AH647" s="19">
        <f t="shared" si="259"/>
        <v>1</v>
      </c>
      <c r="AI647" s="19">
        <f t="shared" si="260"/>
        <v>74.865000000000009</v>
      </c>
      <c r="AJ647" s="410">
        <f t="shared" si="261"/>
        <v>923.16</v>
      </c>
      <c r="AK647" s="19" t="e">
        <f t="shared" si="262"/>
        <v>#N/A</v>
      </c>
      <c r="AL647" s="19">
        <f t="shared" si="263"/>
        <v>723.16</v>
      </c>
      <c r="AM647" s="19" t="e">
        <f t="shared" si="264"/>
        <v>#N/A</v>
      </c>
      <c r="AN647" s="19">
        <f t="shared" si="265"/>
        <v>523.16</v>
      </c>
      <c r="AO647" s="19" t="e">
        <f t="shared" si="266"/>
        <v>#N/A</v>
      </c>
      <c r="AP647" s="19">
        <f t="shared" si="267"/>
        <v>323.16000000000003</v>
      </c>
      <c r="AQ647" s="19" t="e">
        <f t="shared" si="268"/>
        <v>#N/A</v>
      </c>
      <c r="AR647" s="19">
        <f t="shared" si="269"/>
        <v>123.16</v>
      </c>
      <c r="AS647" s="19" t="e">
        <f t="shared" si="270"/>
        <v>#N/A</v>
      </c>
    </row>
    <row r="648" spans="31:45" ht="11.25" customHeight="1" x14ac:dyDescent="0.2">
      <c r="AE648" s="19">
        <v>557</v>
      </c>
      <c r="AG648" s="19">
        <f t="shared" si="258"/>
        <v>5</v>
      </c>
      <c r="AH648" s="19">
        <f t="shared" si="259"/>
        <v>-1</v>
      </c>
      <c r="AI648" s="19">
        <f t="shared" si="260"/>
        <v>74.865000000000009</v>
      </c>
      <c r="AJ648" s="410">
        <f t="shared" si="261"/>
        <v>861.4</v>
      </c>
      <c r="AK648" s="19" t="e">
        <f t="shared" si="262"/>
        <v>#N/A</v>
      </c>
      <c r="AL648" s="19">
        <f t="shared" si="263"/>
        <v>661.4</v>
      </c>
      <c r="AM648" s="19" t="e">
        <f t="shared" si="264"/>
        <v>#N/A</v>
      </c>
      <c r="AN648" s="19">
        <f t="shared" si="265"/>
        <v>461.4</v>
      </c>
      <c r="AO648" s="19" t="e">
        <f t="shared" si="266"/>
        <v>#N/A</v>
      </c>
      <c r="AP648" s="19">
        <f t="shared" si="267"/>
        <v>261.39999999999998</v>
      </c>
      <c r="AQ648" s="19" t="e">
        <f t="shared" si="268"/>
        <v>#N/A</v>
      </c>
      <c r="AR648" s="19">
        <f t="shared" si="269"/>
        <v>61.4</v>
      </c>
      <c r="AS648" s="19" t="e">
        <f t="shared" si="270"/>
        <v>#N/A</v>
      </c>
    </row>
    <row r="649" spans="31:45" ht="11.25" customHeight="1" x14ac:dyDescent="0.2">
      <c r="AE649" s="19">
        <v>558</v>
      </c>
      <c r="AG649" s="19">
        <f t="shared" si="258"/>
        <v>5</v>
      </c>
      <c r="AH649" s="19">
        <f t="shared" si="259"/>
        <v>1</v>
      </c>
      <c r="AI649" s="19">
        <f t="shared" si="260"/>
        <v>74.865000000000009</v>
      </c>
      <c r="AJ649" s="410">
        <f t="shared" si="261"/>
        <v>938.6</v>
      </c>
      <c r="AK649" s="19" t="e">
        <f t="shared" si="262"/>
        <v>#N/A</v>
      </c>
      <c r="AL649" s="19">
        <f t="shared" si="263"/>
        <v>738.6</v>
      </c>
      <c r="AM649" s="19" t="e">
        <f t="shared" si="264"/>
        <v>#N/A</v>
      </c>
      <c r="AN649" s="19">
        <f t="shared" si="265"/>
        <v>538.6</v>
      </c>
      <c r="AO649" s="19" t="e">
        <f t="shared" si="266"/>
        <v>#N/A</v>
      </c>
      <c r="AP649" s="19">
        <f t="shared" si="267"/>
        <v>338.6</v>
      </c>
      <c r="AQ649" s="19" t="e">
        <f t="shared" si="268"/>
        <v>#N/A</v>
      </c>
      <c r="AR649" s="19">
        <f t="shared" si="269"/>
        <v>138.6</v>
      </c>
      <c r="AS649" s="19" t="e">
        <f t="shared" si="270"/>
        <v>#N/A</v>
      </c>
    </row>
    <row r="650" spans="31:45" ht="11.25" customHeight="1" x14ac:dyDescent="0.2">
      <c r="AE650" s="19">
        <v>559</v>
      </c>
      <c r="AG650" s="19">
        <f t="shared" si="258"/>
        <v>7</v>
      </c>
      <c r="AH650" s="19">
        <f t="shared" si="259"/>
        <v>-1</v>
      </c>
      <c r="AI650" s="19">
        <f t="shared" si="260"/>
        <v>74.865000000000009</v>
      </c>
      <c r="AJ650" s="410">
        <f t="shared" si="261"/>
        <v>845.96</v>
      </c>
      <c r="AK650" s="19" t="e">
        <f t="shared" si="262"/>
        <v>#N/A</v>
      </c>
      <c r="AL650" s="19">
        <f t="shared" si="263"/>
        <v>645.96</v>
      </c>
      <c r="AM650" s="19" t="e">
        <f t="shared" si="264"/>
        <v>#N/A</v>
      </c>
      <c r="AN650" s="19">
        <f t="shared" si="265"/>
        <v>445.96</v>
      </c>
      <c r="AO650" s="19" t="e">
        <f t="shared" si="266"/>
        <v>#N/A</v>
      </c>
      <c r="AP650" s="19">
        <f t="shared" si="267"/>
        <v>245.96</v>
      </c>
      <c r="AQ650" s="19" t="e">
        <f t="shared" si="268"/>
        <v>#N/A</v>
      </c>
      <c r="AR650" s="19">
        <f t="shared" si="269"/>
        <v>45.96</v>
      </c>
      <c r="AS650" s="19" t="e">
        <f t="shared" si="270"/>
        <v>#N/A</v>
      </c>
    </row>
    <row r="651" spans="31:45" ht="11.25" customHeight="1" x14ac:dyDescent="0.2">
      <c r="AE651" s="19">
        <v>560</v>
      </c>
      <c r="AG651" s="19">
        <f t="shared" si="258"/>
        <v>7</v>
      </c>
      <c r="AH651" s="19">
        <f t="shared" si="259"/>
        <v>1</v>
      </c>
      <c r="AI651" s="19">
        <f t="shared" si="260"/>
        <v>74.865000000000009</v>
      </c>
      <c r="AJ651" s="410">
        <f t="shared" si="261"/>
        <v>954.04</v>
      </c>
      <c r="AK651" s="19" t="e">
        <f t="shared" si="262"/>
        <v>#N/A</v>
      </c>
      <c r="AL651" s="19">
        <f t="shared" si="263"/>
        <v>754.04</v>
      </c>
      <c r="AM651" s="19" t="e">
        <f t="shared" si="264"/>
        <v>#N/A</v>
      </c>
      <c r="AN651" s="19">
        <f t="shared" si="265"/>
        <v>554.04</v>
      </c>
      <c r="AO651" s="19" t="e">
        <f t="shared" si="266"/>
        <v>#N/A</v>
      </c>
      <c r="AP651" s="19">
        <f t="shared" si="267"/>
        <v>354.04</v>
      </c>
      <c r="AQ651" s="19" t="e">
        <f t="shared" si="268"/>
        <v>#N/A</v>
      </c>
      <c r="AR651" s="19">
        <f t="shared" si="269"/>
        <v>154.04</v>
      </c>
      <c r="AS651" s="19" t="e">
        <f t="shared" si="270"/>
        <v>#N/A</v>
      </c>
    </row>
    <row r="652" spans="31:45" ht="11.25" customHeight="1" x14ac:dyDescent="0.2">
      <c r="AE652" s="19">
        <v>561</v>
      </c>
      <c r="AG652" s="19">
        <f t="shared" si="258"/>
        <v>9</v>
      </c>
      <c r="AH652" s="19">
        <f t="shared" si="259"/>
        <v>-1</v>
      </c>
      <c r="AI652" s="19">
        <f t="shared" si="260"/>
        <v>74.865000000000009</v>
      </c>
      <c r="AJ652" s="410">
        <f t="shared" si="261"/>
        <v>830.52</v>
      </c>
      <c r="AK652" s="19" t="e">
        <f t="shared" si="262"/>
        <v>#N/A</v>
      </c>
      <c r="AL652" s="19">
        <f t="shared" si="263"/>
        <v>630.52</v>
      </c>
      <c r="AM652" s="19" t="e">
        <f t="shared" si="264"/>
        <v>#N/A</v>
      </c>
      <c r="AN652" s="19">
        <f t="shared" si="265"/>
        <v>430.52</v>
      </c>
      <c r="AO652" s="19" t="e">
        <f t="shared" si="266"/>
        <v>#N/A</v>
      </c>
      <c r="AP652" s="19">
        <f t="shared" si="267"/>
        <v>230.51999999999998</v>
      </c>
      <c r="AQ652" s="19" t="e">
        <f t="shared" si="268"/>
        <v>#N/A</v>
      </c>
      <c r="AR652" s="19">
        <f t="shared" si="269"/>
        <v>30.519999999999996</v>
      </c>
      <c r="AS652" s="19" t="e">
        <f t="shared" si="270"/>
        <v>#N/A</v>
      </c>
    </row>
    <row r="653" spans="31:45" ht="11.25" customHeight="1" x14ac:dyDescent="0.2">
      <c r="AE653" s="19">
        <v>562</v>
      </c>
      <c r="AG653" s="19">
        <f t="shared" si="258"/>
        <v>9</v>
      </c>
      <c r="AH653" s="19">
        <f t="shared" si="259"/>
        <v>1</v>
      </c>
      <c r="AI653" s="19">
        <f t="shared" si="260"/>
        <v>74.865000000000009</v>
      </c>
      <c r="AJ653" s="410">
        <f t="shared" si="261"/>
        <v>969.48</v>
      </c>
      <c r="AK653" s="19" t="e">
        <f t="shared" si="262"/>
        <v>#N/A</v>
      </c>
      <c r="AL653" s="19">
        <f t="shared" si="263"/>
        <v>769.48</v>
      </c>
      <c r="AM653" s="19" t="e">
        <f t="shared" si="264"/>
        <v>#N/A</v>
      </c>
      <c r="AN653" s="19">
        <f t="shared" si="265"/>
        <v>569.48</v>
      </c>
      <c r="AO653" s="19" t="e">
        <f t="shared" si="266"/>
        <v>#N/A</v>
      </c>
      <c r="AP653" s="19">
        <f t="shared" si="267"/>
        <v>369.48</v>
      </c>
      <c r="AQ653" s="19" t="e">
        <f t="shared" si="268"/>
        <v>#N/A</v>
      </c>
      <c r="AR653" s="19">
        <f t="shared" si="269"/>
        <v>169.48000000000002</v>
      </c>
      <c r="AS653" s="19" t="e">
        <f t="shared" si="270"/>
        <v>#N/A</v>
      </c>
    </row>
    <row r="654" spans="31:45" ht="11.25" customHeight="1" x14ac:dyDescent="0.2">
      <c r="AE654" s="19">
        <v>563</v>
      </c>
      <c r="AG654" s="19">
        <f t="shared" si="258"/>
        <v>11</v>
      </c>
      <c r="AH654" s="19">
        <f t="shared" si="259"/>
        <v>-1</v>
      </c>
      <c r="AI654" s="19">
        <f t="shared" si="260"/>
        <v>74.865000000000009</v>
      </c>
      <c r="AJ654" s="410">
        <f t="shared" si="261"/>
        <v>815.08</v>
      </c>
      <c r="AK654" s="19" t="e">
        <f t="shared" si="262"/>
        <v>#N/A</v>
      </c>
      <c r="AL654" s="19">
        <f t="shared" si="263"/>
        <v>615.08000000000004</v>
      </c>
      <c r="AM654" s="19" t="e">
        <f t="shared" si="264"/>
        <v>#N/A</v>
      </c>
      <c r="AN654" s="19">
        <f t="shared" si="265"/>
        <v>415.08</v>
      </c>
      <c r="AO654" s="19" t="e">
        <f t="shared" si="266"/>
        <v>#N/A</v>
      </c>
      <c r="AP654" s="19">
        <f t="shared" si="267"/>
        <v>215.07999999999998</v>
      </c>
      <c r="AQ654" s="19" t="e">
        <f t="shared" si="268"/>
        <v>#N/A</v>
      </c>
      <c r="AR654" s="19">
        <f t="shared" si="269"/>
        <v>15.079999999999998</v>
      </c>
      <c r="AS654" s="19" t="e">
        <f t="shared" si="270"/>
        <v>#N/A</v>
      </c>
    </row>
    <row r="655" spans="31:45" ht="11.25" customHeight="1" x14ac:dyDescent="0.2">
      <c r="AE655" s="19">
        <v>564</v>
      </c>
      <c r="AG655" s="19">
        <f t="shared" si="258"/>
        <v>11</v>
      </c>
      <c r="AH655" s="19">
        <f t="shared" si="259"/>
        <v>1</v>
      </c>
      <c r="AI655" s="19">
        <f t="shared" si="260"/>
        <v>74.865000000000009</v>
      </c>
      <c r="AJ655" s="410">
        <f t="shared" si="261"/>
        <v>984.92</v>
      </c>
      <c r="AK655" s="19" t="e">
        <f t="shared" si="262"/>
        <v>#N/A</v>
      </c>
      <c r="AL655" s="19">
        <f t="shared" si="263"/>
        <v>784.92</v>
      </c>
      <c r="AM655" s="19" t="e">
        <f t="shared" si="264"/>
        <v>#N/A</v>
      </c>
      <c r="AN655" s="19">
        <f t="shared" si="265"/>
        <v>584.91999999999996</v>
      </c>
      <c r="AO655" s="19" t="e">
        <f t="shared" si="266"/>
        <v>#N/A</v>
      </c>
      <c r="AP655" s="19">
        <f t="shared" si="267"/>
        <v>384.92</v>
      </c>
      <c r="AQ655" s="19" t="e">
        <f t="shared" si="268"/>
        <v>#N/A</v>
      </c>
      <c r="AR655" s="19">
        <f t="shared" si="269"/>
        <v>184.92000000000002</v>
      </c>
      <c r="AS655" s="19" t="e">
        <f t="shared" si="270"/>
        <v>#N/A</v>
      </c>
    </row>
    <row r="656" spans="31:45" ht="11.25" customHeight="1" x14ac:dyDescent="0.2">
      <c r="AE656" s="19">
        <v>565</v>
      </c>
      <c r="AG656" s="19">
        <f t="shared" si="258"/>
        <v>1</v>
      </c>
      <c r="AH656" s="19">
        <f t="shared" si="259"/>
        <v>-1</v>
      </c>
      <c r="AI656" s="19">
        <f t="shared" si="260"/>
        <v>76.475000000000009</v>
      </c>
      <c r="AJ656" s="410">
        <f t="shared" si="261"/>
        <v>892.28</v>
      </c>
      <c r="AK656" s="19" t="e">
        <f t="shared" si="262"/>
        <v>#N/A</v>
      </c>
      <c r="AL656" s="19">
        <f t="shared" si="263"/>
        <v>692.28</v>
      </c>
      <c r="AM656" s="19" t="e">
        <f t="shared" si="264"/>
        <v>#N/A</v>
      </c>
      <c r="AN656" s="19">
        <f t="shared" si="265"/>
        <v>492.28</v>
      </c>
      <c r="AO656" s="19" t="e">
        <f t="shared" si="266"/>
        <v>#N/A</v>
      </c>
      <c r="AP656" s="19">
        <f t="shared" si="267"/>
        <v>292.27999999999997</v>
      </c>
      <c r="AQ656" s="19" t="e">
        <f t="shared" si="268"/>
        <v>#N/A</v>
      </c>
      <c r="AR656" s="19">
        <f t="shared" si="269"/>
        <v>92.28</v>
      </c>
      <c r="AS656" s="19" t="e">
        <f t="shared" si="270"/>
        <v>#N/A</v>
      </c>
    </row>
    <row r="657" spans="31:45" ht="11.25" customHeight="1" x14ac:dyDescent="0.2">
      <c r="AE657" s="19">
        <v>566</v>
      </c>
      <c r="AG657" s="19">
        <f t="shared" si="258"/>
        <v>1</v>
      </c>
      <c r="AH657" s="19">
        <f t="shared" si="259"/>
        <v>1</v>
      </c>
      <c r="AI657" s="19">
        <f t="shared" si="260"/>
        <v>76.475000000000009</v>
      </c>
      <c r="AJ657" s="410">
        <f t="shared" si="261"/>
        <v>907.72</v>
      </c>
      <c r="AK657" s="19" t="e">
        <f t="shared" si="262"/>
        <v>#N/A</v>
      </c>
      <c r="AL657" s="19">
        <f t="shared" si="263"/>
        <v>707.72</v>
      </c>
      <c r="AM657" s="19" t="e">
        <f t="shared" si="264"/>
        <v>#N/A</v>
      </c>
      <c r="AN657" s="19">
        <f t="shared" si="265"/>
        <v>507.72</v>
      </c>
      <c r="AO657" s="19" t="e">
        <f t="shared" si="266"/>
        <v>#N/A</v>
      </c>
      <c r="AP657" s="19">
        <f t="shared" si="267"/>
        <v>307.72000000000003</v>
      </c>
      <c r="AQ657" s="19" t="e">
        <f t="shared" si="268"/>
        <v>#N/A</v>
      </c>
      <c r="AR657" s="19">
        <f t="shared" si="269"/>
        <v>107.72</v>
      </c>
      <c r="AS657" s="19" t="e">
        <f t="shared" si="270"/>
        <v>#N/A</v>
      </c>
    </row>
    <row r="658" spans="31:45" ht="11.25" customHeight="1" x14ac:dyDescent="0.2">
      <c r="AE658" s="19">
        <v>567</v>
      </c>
      <c r="AG658" s="19">
        <f t="shared" si="258"/>
        <v>3</v>
      </c>
      <c r="AH658" s="19">
        <f t="shared" si="259"/>
        <v>-1</v>
      </c>
      <c r="AI658" s="19">
        <f t="shared" si="260"/>
        <v>76.475000000000009</v>
      </c>
      <c r="AJ658" s="410">
        <f t="shared" si="261"/>
        <v>876.84</v>
      </c>
      <c r="AK658" s="19" t="e">
        <f t="shared" si="262"/>
        <v>#N/A</v>
      </c>
      <c r="AL658" s="19">
        <f t="shared" si="263"/>
        <v>676.84</v>
      </c>
      <c r="AM658" s="19" t="e">
        <f t="shared" si="264"/>
        <v>#N/A</v>
      </c>
      <c r="AN658" s="19">
        <f t="shared" si="265"/>
        <v>476.84</v>
      </c>
      <c r="AO658" s="19" t="e">
        <f t="shared" si="266"/>
        <v>#N/A</v>
      </c>
      <c r="AP658" s="19">
        <f t="shared" si="267"/>
        <v>276.83999999999997</v>
      </c>
      <c r="AQ658" s="19" t="e">
        <f t="shared" si="268"/>
        <v>#N/A</v>
      </c>
      <c r="AR658" s="19">
        <f t="shared" si="269"/>
        <v>76.84</v>
      </c>
      <c r="AS658" s="19" t="e">
        <f t="shared" si="270"/>
        <v>#N/A</v>
      </c>
    </row>
    <row r="659" spans="31:45" ht="11.25" customHeight="1" x14ac:dyDescent="0.2">
      <c r="AE659" s="19">
        <v>568</v>
      </c>
      <c r="AG659" s="19">
        <f t="shared" si="258"/>
        <v>3</v>
      </c>
      <c r="AH659" s="19">
        <f t="shared" si="259"/>
        <v>1</v>
      </c>
      <c r="AI659" s="19">
        <f t="shared" si="260"/>
        <v>76.475000000000009</v>
      </c>
      <c r="AJ659" s="410">
        <f t="shared" si="261"/>
        <v>923.16</v>
      </c>
      <c r="AK659" s="19" t="e">
        <f t="shared" si="262"/>
        <v>#N/A</v>
      </c>
      <c r="AL659" s="19">
        <f t="shared" si="263"/>
        <v>723.16</v>
      </c>
      <c r="AM659" s="19" t="e">
        <f t="shared" si="264"/>
        <v>#N/A</v>
      </c>
      <c r="AN659" s="19">
        <f t="shared" si="265"/>
        <v>523.16</v>
      </c>
      <c r="AO659" s="19" t="e">
        <f t="shared" si="266"/>
        <v>#N/A</v>
      </c>
      <c r="AP659" s="19">
        <f t="shared" si="267"/>
        <v>323.16000000000003</v>
      </c>
      <c r="AQ659" s="19" t="e">
        <f t="shared" si="268"/>
        <v>#N/A</v>
      </c>
      <c r="AR659" s="19">
        <f t="shared" si="269"/>
        <v>123.16</v>
      </c>
      <c r="AS659" s="19" t="e">
        <f t="shared" si="270"/>
        <v>#N/A</v>
      </c>
    </row>
    <row r="660" spans="31:45" ht="11.25" customHeight="1" x14ac:dyDescent="0.2">
      <c r="AE660" s="19">
        <v>569</v>
      </c>
      <c r="AG660" s="19">
        <f t="shared" si="258"/>
        <v>5</v>
      </c>
      <c r="AH660" s="19">
        <f t="shared" si="259"/>
        <v>-1</v>
      </c>
      <c r="AI660" s="19">
        <f t="shared" si="260"/>
        <v>76.475000000000009</v>
      </c>
      <c r="AJ660" s="410">
        <f t="shared" si="261"/>
        <v>861.4</v>
      </c>
      <c r="AK660" s="19" t="e">
        <f t="shared" si="262"/>
        <v>#N/A</v>
      </c>
      <c r="AL660" s="19">
        <f t="shared" si="263"/>
        <v>661.4</v>
      </c>
      <c r="AM660" s="19" t="e">
        <f t="shared" si="264"/>
        <v>#N/A</v>
      </c>
      <c r="AN660" s="19">
        <f t="shared" si="265"/>
        <v>461.4</v>
      </c>
      <c r="AO660" s="19" t="e">
        <f t="shared" si="266"/>
        <v>#N/A</v>
      </c>
      <c r="AP660" s="19">
        <f t="shared" si="267"/>
        <v>261.39999999999998</v>
      </c>
      <c r="AQ660" s="19" t="e">
        <f t="shared" si="268"/>
        <v>#N/A</v>
      </c>
      <c r="AR660" s="19">
        <f t="shared" si="269"/>
        <v>61.4</v>
      </c>
      <c r="AS660" s="19" t="e">
        <f t="shared" si="270"/>
        <v>#N/A</v>
      </c>
    </row>
    <row r="661" spans="31:45" ht="11.25" customHeight="1" x14ac:dyDescent="0.2">
      <c r="AE661" s="19">
        <v>570</v>
      </c>
      <c r="AG661" s="19">
        <f t="shared" si="258"/>
        <v>5</v>
      </c>
      <c r="AH661" s="19">
        <f t="shared" si="259"/>
        <v>1</v>
      </c>
      <c r="AI661" s="19">
        <f t="shared" si="260"/>
        <v>76.475000000000009</v>
      </c>
      <c r="AJ661" s="410">
        <f t="shared" si="261"/>
        <v>938.6</v>
      </c>
      <c r="AK661" s="19" t="e">
        <f t="shared" si="262"/>
        <v>#N/A</v>
      </c>
      <c r="AL661" s="19">
        <f t="shared" si="263"/>
        <v>738.6</v>
      </c>
      <c r="AM661" s="19" t="e">
        <f t="shared" si="264"/>
        <v>#N/A</v>
      </c>
      <c r="AN661" s="19">
        <f t="shared" si="265"/>
        <v>538.6</v>
      </c>
      <c r="AO661" s="19" t="e">
        <f t="shared" si="266"/>
        <v>#N/A</v>
      </c>
      <c r="AP661" s="19">
        <f t="shared" si="267"/>
        <v>338.6</v>
      </c>
      <c r="AQ661" s="19" t="e">
        <f t="shared" si="268"/>
        <v>#N/A</v>
      </c>
      <c r="AR661" s="19">
        <f t="shared" si="269"/>
        <v>138.6</v>
      </c>
      <c r="AS661" s="19" t="e">
        <f t="shared" si="270"/>
        <v>#N/A</v>
      </c>
    </row>
    <row r="662" spans="31:45" ht="11.25" customHeight="1" x14ac:dyDescent="0.2">
      <c r="AE662" s="19">
        <v>571</v>
      </c>
      <c r="AG662" s="19">
        <f t="shared" si="258"/>
        <v>7</v>
      </c>
      <c r="AH662" s="19">
        <f t="shared" si="259"/>
        <v>-1</v>
      </c>
      <c r="AI662" s="19">
        <f t="shared" si="260"/>
        <v>76.475000000000009</v>
      </c>
      <c r="AJ662" s="410">
        <f t="shared" si="261"/>
        <v>845.96</v>
      </c>
      <c r="AK662" s="19" t="e">
        <f t="shared" si="262"/>
        <v>#N/A</v>
      </c>
      <c r="AL662" s="19">
        <f t="shared" si="263"/>
        <v>645.96</v>
      </c>
      <c r="AM662" s="19" t="e">
        <f t="shared" si="264"/>
        <v>#N/A</v>
      </c>
      <c r="AN662" s="19">
        <f t="shared" si="265"/>
        <v>445.96</v>
      </c>
      <c r="AO662" s="19" t="e">
        <f t="shared" si="266"/>
        <v>#N/A</v>
      </c>
      <c r="AP662" s="19">
        <f t="shared" si="267"/>
        <v>245.96</v>
      </c>
      <c r="AQ662" s="19" t="e">
        <f t="shared" si="268"/>
        <v>#N/A</v>
      </c>
      <c r="AR662" s="19">
        <f t="shared" si="269"/>
        <v>45.96</v>
      </c>
      <c r="AS662" s="19" t="e">
        <f t="shared" si="270"/>
        <v>#N/A</v>
      </c>
    </row>
    <row r="663" spans="31:45" ht="11.25" customHeight="1" x14ac:dyDescent="0.2">
      <c r="AE663" s="19">
        <v>572</v>
      </c>
      <c r="AG663" s="19">
        <f t="shared" si="258"/>
        <v>7</v>
      </c>
      <c r="AH663" s="19">
        <f t="shared" si="259"/>
        <v>1</v>
      </c>
      <c r="AI663" s="19">
        <f t="shared" si="260"/>
        <v>76.475000000000009</v>
      </c>
      <c r="AJ663" s="410">
        <f t="shared" si="261"/>
        <v>954.04</v>
      </c>
      <c r="AK663" s="19" t="e">
        <f t="shared" si="262"/>
        <v>#N/A</v>
      </c>
      <c r="AL663" s="19">
        <f t="shared" si="263"/>
        <v>754.04</v>
      </c>
      <c r="AM663" s="19" t="e">
        <f t="shared" si="264"/>
        <v>#N/A</v>
      </c>
      <c r="AN663" s="19">
        <f t="shared" si="265"/>
        <v>554.04</v>
      </c>
      <c r="AO663" s="19" t="e">
        <f t="shared" si="266"/>
        <v>#N/A</v>
      </c>
      <c r="AP663" s="19">
        <f t="shared" si="267"/>
        <v>354.04</v>
      </c>
      <c r="AQ663" s="19" t="e">
        <f t="shared" si="268"/>
        <v>#N/A</v>
      </c>
      <c r="AR663" s="19">
        <f t="shared" si="269"/>
        <v>154.04</v>
      </c>
      <c r="AS663" s="19" t="e">
        <f t="shared" si="270"/>
        <v>#N/A</v>
      </c>
    </row>
    <row r="664" spans="31:45" ht="11.25" customHeight="1" x14ac:dyDescent="0.2">
      <c r="AE664" s="19">
        <v>573</v>
      </c>
      <c r="AG664" s="19">
        <f t="shared" si="258"/>
        <v>9</v>
      </c>
      <c r="AH664" s="19">
        <f t="shared" si="259"/>
        <v>-1</v>
      </c>
      <c r="AI664" s="19">
        <f t="shared" si="260"/>
        <v>76.475000000000009</v>
      </c>
      <c r="AJ664" s="410">
        <f t="shared" si="261"/>
        <v>830.52</v>
      </c>
      <c r="AK664" s="19" t="e">
        <f t="shared" si="262"/>
        <v>#N/A</v>
      </c>
      <c r="AL664" s="19">
        <f t="shared" si="263"/>
        <v>630.52</v>
      </c>
      <c r="AM664" s="19" t="e">
        <f t="shared" si="264"/>
        <v>#N/A</v>
      </c>
      <c r="AN664" s="19">
        <f t="shared" si="265"/>
        <v>430.52</v>
      </c>
      <c r="AO664" s="19" t="e">
        <f t="shared" si="266"/>
        <v>#N/A</v>
      </c>
      <c r="AP664" s="19">
        <f t="shared" si="267"/>
        <v>230.51999999999998</v>
      </c>
      <c r="AQ664" s="19" t="e">
        <f t="shared" si="268"/>
        <v>#N/A</v>
      </c>
      <c r="AR664" s="19">
        <f t="shared" si="269"/>
        <v>30.519999999999996</v>
      </c>
      <c r="AS664" s="19" t="e">
        <f t="shared" si="270"/>
        <v>#N/A</v>
      </c>
    </row>
    <row r="665" spans="31:45" ht="11.25" customHeight="1" x14ac:dyDescent="0.2">
      <c r="AE665" s="19">
        <v>574</v>
      </c>
      <c r="AG665" s="19">
        <f t="shared" si="258"/>
        <v>9</v>
      </c>
      <c r="AH665" s="19">
        <f t="shared" si="259"/>
        <v>1</v>
      </c>
      <c r="AI665" s="19">
        <f t="shared" si="260"/>
        <v>76.475000000000009</v>
      </c>
      <c r="AJ665" s="410">
        <f t="shared" si="261"/>
        <v>969.48</v>
      </c>
      <c r="AK665" s="19" t="e">
        <f t="shared" si="262"/>
        <v>#N/A</v>
      </c>
      <c r="AL665" s="19">
        <f t="shared" si="263"/>
        <v>769.48</v>
      </c>
      <c r="AM665" s="19" t="e">
        <f t="shared" si="264"/>
        <v>#N/A</v>
      </c>
      <c r="AN665" s="19">
        <f t="shared" si="265"/>
        <v>569.48</v>
      </c>
      <c r="AO665" s="19" t="e">
        <f t="shared" si="266"/>
        <v>#N/A</v>
      </c>
      <c r="AP665" s="19">
        <f t="shared" si="267"/>
        <v>369.48</v>
      </c>
      <c r="AQ665" s="19" t="e">
        <f t="shared" si="268"/>
        <v>#N/A</v>
      </c>
      <c r="AR665" s="19">
        <f t="shared" si="269"/>
        <v>169.48000000000002</v>
      </c>
      <c r="AS665" s="19" t="e">
        <f t="shared" si="270"/>
        <v>#N/A</v>
      </c>
    </row>
    <row r="666" spans="31:45" ht="11.25" customHeight="1" x14ac:dyDescent="0.2">
      <c r="AE666" s="19">
        <v>575</v>
      </c>
      <c r="AG666" s="19">
        <f t="shared" si="258"/>
        <v>11</v>
      </c>
      <c r="AH666" s="19">
        <f t="shared" si="259"/>
        <v>-1</v>
      </c>
      <c r="AI666" s="19">
        <f t="shared" si="260"/>
        <v>76.475000000000009</v>
      </c>
      <c r="AJ666" s="410">
        <f t="shared" si="261"/>
        <v>815.08</v>
      </c>
      <c r="AK666" s="19" t="e">
        <f t="shared" si="262"/>
        <v>#N/A</v>
      </c>
      <c r="AL666" s="19">
        <f t="shared" si="263"/>
        <v>615.08000000000004</v>
      </c>
      <c r="AM666" s="19" t="e">
        <f t="shared" si="264"/>
        <v>#N/A</v>
      </c>
      <c r="AN666" s="19">
        <f t="shared" si="265"/>
        <v>415.08</v>
      </c>
      <c r="AO666" s="19" t="e">
        <f t="shared" si="266"/>
        <v>#N/A</v>
      </c>
      <c r="AP666" s="19">
        <f t="shared" si="267"/>
        <v>215.07999999999998</v>
      </c>
      <c r="AQ666" s="19" t="e">
        <f t="shared" si="268"/>
        <v>#N/A</v>
      </c>
      <c r="AR666" s="19">
        <f t="shared" si="269"/>
        <v>15.079999999999998</v>
      </c>
      <c r="AS666" s="19" t="e">
        <f t="shared" si="270"/>
        <v>#N/A</v>
      </c>
    </row>
    <row r="667" spans="31:45" ht="11.25" customHeight="1" x14ac:dyDescent="0.2">
      <c r="AE667" s="19">
        <v>576</v>
      </c>
      <c r="AG667" s="19">
        <f t="shared" si="258"/>
        <v>11</v>
      </c>
      <c r="AH667" s="19">
        <f t="shared" si="259"/>
        <v>1</v>
      </c>
      <c r="AI667" s="19">
        <f t="shared" si="260"/>
        <v>76.475000000000009</v>
      </c>
      <c r="AJ667" s="410">
        <f t="shared" si="261"/>
        <v>984.92</v>
      </c>
      <c r="AK667" s="19" t="e">
        <f t="shared" si="262"/>
        <v>#N/A</v>
      </c>
      <c r="AL667" s="19">
        <f t="shared" si="263"/>
        <v>784.92</v>
      </c>
      <c r="AM667" s="19" t="e">
        <f t="shared" si="264"/>
        <v>#N/A</v>
      </c>
      <c r="AN667" s="19">
        <f t="shared" si="265"/>
        <v>584.91999999999996</v>
      </c>
      <c r="AO667" s="19" t="e">
        <f t="shared" si="266"/>
        <v>#N/A</v>
      </c>
      <c r="AP667" s="19">
        <f t="shared" si="267"/>
        <v>384.92</v>
      </c>
      <c r="AQ667" s="19" t="e">
        <f t="shared" si="268"/>
        <v>#N/A</v>
      </c>
      <c r="AR667" s="19">
        <f t="shared" si="269"/>
        <v>184.92000000000002</v>
      </c>
      <c r="AS667" s="19" t="e">
        <f t="shared" si="270"/>
        <v>#N/A</v>
      </c>
    </row>
    <row r="668" spans="31:45" ht="11.25" customHeight="1" x14ac:dyDescent="0.2">
      <c r="AE668" s="19">
        <v>577</v>
      </c>
      <c r="AG668" s="19">
        <f t="shared" ref="AG668:AG731" si="271">2*ROUNDUP((MOD(AE668-1,$AB$94)+1)/2,0)-1</f>
        <v>1</v>
      </c>
      <c r="AH668" s="19">
        <f t="shared" ref="AH668:AH731" si="272">IF(AG668=AG669,-1,1)</f>
        <v>-1</v>
      </c>
      <c r="AI668" s="19">
        <f t="shared" ref="AI668:AI731" si="273">IF($BR$7,$AB$87*(0.5+INT((AE668-0.5)/$AB$94)),NA())</f>
        <v>78.085000000000008</v>
      </c>
      <c r="AJ668" s="410">
        <f t="shared" ref="AJ668:AJ731" si="274">IF($BP$11,$AM$87+$AB$90*AH668*AG668,NA())</f>
        <v>892.28</v>
      </c>
      <c r="AK668" s="19" t="e">
        <f t="shared" ref="AK668:AK731" si="275">IF($AG$83&lt;AE668,NA(),AI668)</f>
        <v>#N/A</v>
      </c>
      <c r="AL668" s="19">
        <f t="shared" ref="AL668:AL731" si="276">IF($BP$11,$AN$87+$AB$90*AH668*AG668,NA())</f>
        <v>692.28</v>
      </c>
      <c r="AM668" s="19" t="e">
        <f t="shared" ref="AM668:AM731" si="277">IF($AH$83&lt;AE668,NA(),AI668)</f>
        <v>#N/A</v>
      </c>
      <c r="AN668" s="19">
        <f t="shared" ref="AN668:AN731" si="278">IF($BP$11,$AO$87+$AB$90*AH668*AG668,NA())</f>
        <v>492.28</v>
      </c>
      <c r="AO668" s="19" t="e">
        <f t="shared" ref="AO668:AO731" si="279">IF($AI$83&lt;AE668,NA(),AI668)</f>
        <v>#N/A</v>
      </c>
      <c r="AP668" s="19">
        <f t="shared" ref="AP668:AP731" si="280">IF($BP$11,$AP$87+$AB$90*AH668*AG668,NA())</f>
        <v>292.27999999999997</v>
      </c>
      <c r="AQ668" s="19" t="e">
        <f t="shared" ref="AQ668:AQ731" si="281">IF($AJ$83&lt;AE668,NA(),AI668)</f>
        <v>#N/A</v>
      </c>
      <c r="AR668" s="19">
        <f t="shared" ref="AR668:AR731" si="282">IF($BP$11,$AQ$87+$AB$90*AH668*AG668,NA())</f>
        <v>92.28</v>
      </c>
      <c r="AS668" s="19" t="e">
        <f t="shared" ref="AS668:AS731" si="283">IF($AK$83&lt;AE668,NA(),AI668)</f>
        <v>#N/A</v>
      </c>
    </row>
    <row r="669" spans="31:45" ht="11.25" customHeight="1" x14ac:dyDescent="0.2">
      <c r="AE669" s="19">
        <v>578</v>
      </c>
      <c r="AG669" s="19">
        <f t="shared" si="271"/>
        <v>1</v>
      </c>
      <c r="AH669" s="19">
        <f t="shared" si="272"/>
        <v>1</v>
      </c>
      <c r="AI669" s="19">
        <f t="shared" si="273"/>
        <v>78.085000000000008</v>
      </c>
      <c r="AJ669" s="410">
        <f t="shared" si="274"/>
        <v>907.72</v>
      </c>
      <c r="AK669" s="19" t="e">
        <f t="shared" si="275"/>
        <v>#N/A</v>
      </c>
      <c r="AL669" s="19">
        <f t="shared" si="276"/>
        <v>707.72</v>
      </c>
      <c r="AM669" s="19" t="e">
        <f t="shared" si="277"/>
        <v>#N/A</v>
      </c>
      <c r="AN669" s="19">
        <f t="shared" si="278"/>
        <v>507.72</v>
      </c>
      <c r="AO669" s="19" t="e">
        <f t="shared" si="279"/>
        <v>#N/A</v>
      </c>
      <c r="AP669" s="19">
        <f t="shared" si="280"/>
        <v>307.72000000000003</v>
      </c>
      <c r="AQ669" s="19" t="e">
        <f t="shared" si="281"/>
        <v>#N/A</v>
      </c>
      <c r="AR669" s="19">
        <f t="shared" si="282"/>
        <v>107.72</v>
      </c>
      <c r="AS669" s="19" t="e">
        <f t="shared" si="283"/>
        <v>#N/A</v>
      </c>
    </row>
    <row r="670" spans="31:45" ht="11.25" customHeight="1" x14ac:dyDescent="0.2">
      <c r="AE670" s="19">
        <v>579</v>
      </c>
      <c r="AG670" s="19">
        <f t="shared" si="271"/>
        <v>3</v>
      </c>
      <c r="AH670" s="19">
        <f t="shared" si="272"/>
        <v>-1</v>
      </c>
      <c r="AI670" s="19">
        <f t="shared" si="273"/>
        <v>78.085000000000008</v>
      </c>
      <c r="AJ670" s="410">
        <f t="shared" si="274"/>
        <v>876.84</v>
      </c>
      <c r="AK670" s="19" t="e">
        <f t="shared" si="275"/>
        <v>#N/A</v>
      </c>
      <c r="AL670" s="19">
        <f t="shared" si="276"/>
        <v>676.84</v>
      </c>
      <c r="AM670" s="19" t="e">
        <f t="shared" si="277"/>
        <v>#N/A</v>
      </c>
      <c r="AN670" s="19">
        <f t="shared" si="278"/>
        <v>476.84</v>
      </c>
      <c r="AO670" s="19" t="e">
        <f t="shared" si="279"/>
        <v>#N/A</v>
      </c>
      <c r="AP670" s="19">
        <f t="shared" si="280"/>
        <v>276.83999999999997</v>
      </c>
      <c r="AQ670" s="19" t="e">
        <f t="shared" si="281"/>
        <v>#N/A</v>
      </c>
      <c r="AR670" s="19">
        <f t="shared" si="282"/>
        <v>76.84</v>
      </c>
      <c r="AS670" s="19" t="e">
        <f t="shared" si="283"/>
        <v>#N/A</v>
      </c>
    </row>
    <row r="671" spans="31:45" ht="11.25" customHeight="1" x14ac:dyDescent="0.2">
      <c r="AE671" s="19">
        <v>580</v>
      </c>
      <c r="AG671" s="19">
        <f t="shared" si="271"/>
        <v>3</v>
      </c>
      <c r="AH671" s="19">
        <f t="shared" si="272"/>
        <v>1</v>
      </c>
      <c r="AI671" s="19">
        <f t="shared" si="273"/>
        <v>78.085000000000008</v>
      </c>
      <c r="AJ671" s="410">
        <f t="shared" si="274"/>
        <v>923.16</v>
      </c>
      <c r="AK671" s="19" t="e">
        <f t="shared" si="275"/>
        <v>#N/A</v>
      </c>
      <c r="AL671" s="19">
        <f t="shared" si="276"/>
        <v>723.16</v>
      </c>
      <c r="AM671" s="19" t="e">
        <f t="shared" si="277"/>
        <v>#N/A</v>
      </c>
      <c r="AN671" s="19">
        <f t="shared" si="278"/>
        <v>523.16</v>
      </c>
      <c r="AO671" s="19" t="e">
        <f t="shared" si="279"/>
        <v>#N/A</v>
      </c>
      <c r="AP671" s="19">
        <f t="shared" si="280"/>
        <v>323.16000000000003</v>
      </c>
      <c r="AQ671" s="19" t="e">
        <f t="shared" si="281"/>
        <v>#N/A</v>
      </c>
      <c r="AR671" s="19">
        <f t="shared" si="282"/>
        <v>123.16</v>
      </c>
      <c r="AS671" s="19" t="e">
        <f t="shared" si="283"/>
        <v>#N/A</v>
      </c>
    </row>
    <row r="672" spans="31:45" ht="11.25" customHeight="1" x14ac:dyDescent="0.2">
      <c r="AE672" s="19">
        <v>581</v>
      </c>
      <c r="AG672" s="19">
        <f t="shared" si="271"/>
        <v>5</v>
      </c>
      <c r="AH672" s="19">
        <f t="shared" si="272"/>
        <v>-1</v>
      </c>
      <c r="AI672" s="19">
        <f t="shared" si="273"/>
        <v>78.085000000000008</v>
      </c>
      <c r="AJ672" s="410">
        <f t="shared" si="274"/>
        <v>861.4</v>
      </c>
      <c r="AK672" s="19" t="e">
        <f t="shared" si="275"/>
        <v>#N/A</v>
      </c>
      <c r="AL672" s="19">
        <f t="shared" si="276"/>
        <v>661.4</v>
      </c>
      <c r="AM672" s="19" t="e">
        <f t="shared" si="277"/>
        <v>#N/A</v>
      </c>
      <c r="AN672" s="19">
        <f t="shared" si="278"/>
        <v>461.4</v>
      </c>
      <c r="AO672" s="19" t="e">
        <f t="shared" si="279"/>
        <v>#N/A</v>
      </c>
      <c r="AP672" s="19">
        <f t="shared" si="280"/>
        <v>261.39999999999998</v>
      </c>
      <c r="AQ672" s="19" t="e">
        <f t="shared" si="281"/>
        <v>#N/A</v>
      </c>
      <c r="AR672" s="19">
        <f t="shared" si="282"/>
        <v>61.4</v>
      </c>
      <c r="AS672" s="19" t="e">
        <f t="shared" si="283"/>
        <v>#N/A</v>
      </c>
    </row>
    <row r="673" spans="31:45" ht="11.25" customHeight="1" x14ac:dyDescent="0.2">
      <c r="AE673" s="19">
        <v>582</v>
      </c>
      <c r="AG673" s="19">
        <f t="shared" si="271"/>
        <v>5</v>
      </c>
      <c r="AH673" s="19">
        <f t="shared" si="272"/>
        <v>1</v>
      </c>
      <c r="AI673" s="19">
        <f t="shared" si="273"/>
        <v>78.085000000000008</v>
      </c>
      <c r="AJ673" s="410">
        <f t="shared" si="274"/>
        <v>938.6</v>
      </c>
      <c r="AK673" s="19" t="e">
        <f t="shared" si="275"/>
        <v>#N/A</v>
      </c>
      <c r="AL673" s="19">
        <f t="shared" si="276"/>
        <v>738.6</v>
      </c>
      <c r="AM673" s="19" t="e">
        <f t="shared" si="277"/>
        <v>#N/A</v>
      </c>
      <c r="AN673" s="19">
        <f t="shared" si="278"/>
        <v>538.6</v>
      </c>
      <c r="AO673" s="19" t="e">
        <f t="shared" si="279"/>
        <v>#N/A</v>
      </c>
      <c r="AP673" s="19">
        <f t="shared" si="280"/>
        <v>338.6</v>
      </c>
      <c r="AQ673" s="19" t="e">
        <f t="shared" si="281"/>
        <v>#N/A</v>
      </c>
      <c r="AR673" s="19">
        <f t="shared" si="282"/>
        <v>138.6</v>
      </c>
      <c r="AS673" s="19" t="e">
        <f t="shared" si="283"/>
        <v>#N/A</v>
      </c>
    </row>
    <row r="674" spans="31:45" ht="11.25" customHeight="1" x14ac:dyDescent="0.2">
      <c r="AE674" s="19">
        <v>583</v>
      </c>
      <c r="AG674" s="19">
        <f t="shared" si="271"/>
        <v>7</v>
      </c>
      <c r="AH674" s="19">
        <f t="shared" si="272"/>
        <v>-1</v>
      </c>
      <c r="AI674" s="19">
        <f t="shared" si="273"/>
        <v>78.085000000000008</v>
      </c>
      <c r="AJ674" s="410">
        <f t="shared" si="274"/>
        <v>845.96</v>
      </c>
      <c r="AK674" s="19" t="e">
        <f t="shared" si="275"/>
        <v>#N/A</v>
      </c>
      <c r="AL674" s="19">
        <f t="shared" si="276"/>
        <v>645.96</v>
      </c>
      <c r="AM674" s="19" t="e">
        <f t="shared" si="277"/>
        <v>#N/A</v>
      </c>
      <c r="AN674" s="19">
        <f t="shared" si="278"/>
        <v>445.96</v>
      </c>
      <c r="AO674" s="19" t="e">
        <f t="shared" si="279"/>
        <v>#N/A</v>
      </c>
      <c r="AP674" s="19">
        <f t="shared" si="280"/>
        <v>245.96</v>
      </c>
      <c r="AQ674" s="19" t="e">
        <f t="shared" si="281"/>
        <v>#N/A</v>
      </c>
      <c r="AR674" s="19">
        <f t="shared" si="282"/>
        <v>45.96</v>
      </c>
      <c r="AS674" s="19" t="e">
        <f t="shared" si="283"/>
        <v>#N/A</v>
      </c>
    </row>
    <row r="675" spans="31:45" ht="11.25" customHeight="1" x14ac:dyDescent="0.2">
      <c r="AE675" s="19">
        <v>584</v>
      </c>
      <c r="AG675" s="19">
        <f t="shared" si="271"/>
        <v>7</v>
      </c>
      <c r="AH675" s="19">
        <f t="shared" si="272"/>
        <v>1</v>
      </c>
      <c r="AI675" s="19">
        <f t="shared" si="273"/>
        <v>78.085000000000008</v>
      </c>
      <c r="AJ675" s="410">
        <f t="shared" si="274"/>
        <v>954.04</v>
      </c>
      <c r="AK675" s="19" t="e">
        <f t="shared" si="275"/>
        <v>#N/A</v>
      </c>
      <c r="AL675" s="19">
        <f t="shared" si="276"/>
        <v>754.04</v>
      </c>
      <c r="AM675" s="19" t="e">
        <f t="shared" si="277"/>
        <v>#N/A</v>
      </c>
      <c r="AN675" s="19">
        <f t="shared" si="278"/>
        <v>554.04</v>
      </c>
      <c r="AO675" s="19" t="e">
        <f t="shared" si="279"/>
        <v>#N/A</v>
      </c>
      <c r="AP675" s="19">
        <f t="shared" si="280"/>
        <v>354.04</v>
      </c>
      <c r="AQ675" s="19" t="e">
        <f t="shared" si="281"/>
        <v>#N/A</v>
      </c>
      <c r="AR675" s="19">
        <f t="shared" si="282"/>
        <v>154.04</v>
      </c>
      <c r="AS675" s="19" t="e">
        <f t="shared" si="283"/>
        <v>#N/A</v>
      </c>
    </row>
    <row r="676" spans="31:45" ht="11.25" customHeight="1" x14ac:dyDescent="0.2">
      <c r="AE676" s="19">
        <v>585</v>
      </c>
      <c r="AG676" s="19">
        <f t="shared" si="271"/>
        <v>9</v>
      </c>
      <c r="AH676" s="19">
        <f t="shared" si="272"/>
        <v>-1</v>
      </c>
      <c r="AI676" s="19">
        <f t="shared" si="273"/>
        <v>78.085000000000008</v>
      </c>
      <c r="AJ676" s="410">
        <f t="shared" si="274"/>
        <v>830.52</v>
      </c>
      <c r="AK676" s="19" t="e">
        <f t="shared" si="275"/>
        <v>#N/A</v>
      </c>
      <c r="AL676" s="19">
        <f t="shared" si="276"/>
        <v>630.52</v>
      </c>
      <c r="AM676" s="19" t="e">
        <f t="shared" si="277"/>
        <v>#N/A</v>
      </c>
      <c r="AN676" s="19">
        <f t="shared" si="278"/>
        <v>430.52</v>
      </c>
      <c r="AO676" s="19" t="e">
        <f t="shared" si="279"/>
        <v>#N/A</v>
      </c>
      <c r="AP676" s="19">
        <f t="shared" si="280"/>
        <v>230.51999999999998</v>
      </c>
      <c r="AQ676" s="19" t="e">
        <f t="shared" si="281"/>
        <v>#N/A</v>
      </c>
      <c r="AR676" s="19">
        <f t="shared" si="282"/>
        <v>30.519999999999996</v>
      </c>
      <c r="AS676" s="19" t="e">
        <f t="shared" si="283"/>
        <v>#N/A</v>
      </c>
    </row>
    <row r="677" spans="31:45" ht="11.25" customHeight="1" x14ac:dyDescent="0.2">
      <c r="AE677" s="19">
        <v>586</v>
      </c>
      <c r="AG677" s="19">
        <f t="shared" si="271"/>
        <v>9</v>
      </c>
      <c r="AH677" s="19">
        <f t="shared" si="272"/>
        <v>1</v>
      </c>
      <c r="AI677" s="19">
        <f t="shared" si="273"/>
        <v>78.085000000000008</v>
      </c>
      <c r="AJ677" s="410">
        <f t="shared" si="274"/>
        <v>969.48</v>
      </c>
      <c r="AK677" s="19" t="e">
        <f t="shared" si="275"/>
        <v>#N/A</v>
      </c>
      <c r="AL677" s="19">
        <f t="shared" si="276"/>
        <v>769.48</v>
      </c>
      <c r="AM677" s="19" t="e">
        <f t="shared" si="277"/>
        <v>#N/A</v>
      </c>
      <c r="AN677" s="19">
        <f t="shared" si="278"/>
        <v>569.48</v>
      </c>
      <c r="AO677" s="19" t="e">
        <f t="shared" si="279"/>
        <v>#N/A</v>
      </c>
      <c r="AP677" s="19">
        <f t="shared" si="280"/>
        <v>369.48</v>
      </c>
      <c r="AQ677" s="19" t="e">
        <f t="shared" si="281"/>
        <v>#N/A</v>
      </c>
      <c r="AR677" s="19">
        <f t="shared" si="282"/>
        <v>169.48000000000002</v>
      </c>
      <c r="AS677" s="19" t="e">
        <f t="shared" si="283"/>
        <v>#N/A</v>
      </c>
    </row>
    <row r="678" spans="31:45" ht="11.25" customHeight="1" x14ac:dyDescent="0.2">
      <c r="AE678" s="19">
        <v>587</v>
      </c>
      <c r="AG678" s="19">
        <f t="shared" si="271"/>
        <v>11</v>
      </c>
      <c r="AH678" s="19">
        <f t="shared" si="272"/>
        <v>-1</v>
      </c>
      <c r="AI678" s="19">
        <f t="shared" si="273"/>
        <v>78.085000000000008</v>
      </c>
      <c r="AJ678" s="410">
        <f t="shared" si="274"/>
        <v>815.08</v>
      </c>
      <c r="AK678" s="19" t="e">
        <f t="shared" si="275"/>
        <v>#N/A</v>
      </c>
      <c r="AL678" s="19">
        <f t="shared" si="276"/>
        <v>615.08000000000004</v>
      </c>
      <c r="AM678" s="19" t="e">
        <f t="shared" si="277"/>
        <v>#N/A</v>
      </c>
      <c r="AN678" s="19">
        <f t="shared" si="278"/>
        <v>415.08</v>
      </c>
      <c r="AO678" s="19" t="e">
        <f t="shared" si="279"/>
        <v>#N/A</v>
      </c>
      <c r="AP678" s="19">
        <f t="shared" si="280"/>
        <v>215.07999999999998</v>
      </c>
      <c r="AQ678" s="19" t="e">
        <f t="shared" si="281"/>
        <v>#N/A</v>
      </c>
      <c r="AR678" s="19">
        <f t="shared" si="282"/>
        <v>15.079999999999998</v>
      </c>
      <c r="AS678" s="19" t="e">
        <f t="shared" si="283"/>
        <v>#N/A</v>
      </c>
    </row>
    <row r="679" spans="31:45" ht="11.25" customHeight="1" x14ac:dyDescent="0.2">
      <c r="AE679" s="19">
        <v>588</v>
      </c>
      <c r="AG679" s="19">
        <f t="shared" si="271"/>
        <v>11</v>
      </c>
      <c r="AH679" s="19">
        <f t="shared" si="272"/>
        <v>1</v>
      </c>
      <c r="AI679" s="19">
        <f t="shared" si="273"/>
        <v>78.085000000000008</v>
      </c>
      <c r="AJ679" s="410">
        <f t="shared" si="274"/>
        <v>984.92</v>
      </c>
      <c r="AK679" s="19" t="e">
        <f t="shared" si="275"/>
        <v>#N/A</v>
      </c>
      <c r="AL679" s="19">
        <f t="shared" si="276"/>
        <v>784.92</v>
      </c>
      <c r="AM679" s="19" t="e">
        <f t="shared" si="277"/>
        <v>#N/A</v>
      </c>
      <c r="AN679" s="19">
        <f t="shared" si="278"/>
        <v>584.91999999999996</v>
      </c>
      <c r="AO679" s="19" t="e">
        <f t="shared" si="279"/>
        <v>#N/A</v>
      </c>
      <c r="AP679" s="19">
        <f t="shared" si="280"/>
        <v>384.92</v>
      </c>
      <c r="AQ679" s="19" t="e">
        <f t="shared" si="281"/>
        <v>#N/A</v>
      </c>
      <c r="AR679" s="19">
        <f t="shared" si="282"/>
        <v>184.92000000000002</v>
      </c>
      <c r="AS679" s="19" t="e">
        <f t="shared" si="283"/>
        <v>#N/A</v>
      </c>
    </row>
    <row r="680" spans="31:45" ht="11.25" customHeight="1" x14ac:dyDescent="0.2">
      <c r="AE680" s="19">
        <v>589</v>
      </c>
      <c r="AG680" s="19">
        <f t="shared" si="271"/>
        <v>1</v>
      </c>
      <c r="AH680" s="19">
        <f t="shared" si="272"/>
        <v>-1</v>
      </c>
      <c r="AI680" s="19">
        <f t="shared" si="273"/>
        <v>79.695000000000007</v>
      </c>
      <c r="AJ680" s="410">
        <f t="shared" si="274"/>
        <v>892.28</v>
      </c>
      <c r="AK680" s="19" t="e">
        <f t="shared" si="275"/>
        <v>#N/A</v>
      </c>
      <c r="AL680" s="19">
        <f t="shared" si="276"/>
        <v>692.28</v>
      </c>
      <c r="AM680" s="19" t="e">
        <f t="shared" si="277"/>
        <v>#N/A</v>
      </c>
      <c r="AN680" s="19">
        <f t="shared" si="278"/>
        <v>492.28</v>
      </c>
      <c r="AO680" s="19" t="e">
        <f t="shared" si="279"/>
        <v>#N/A</v>
      </c>
      <c r="AP680" s="19">
        <f t="shared" si="280"/>
        <v>292.27999999999997</v>
      </c>
      <c r="AQ680" s="19" t="e">
        <f t="shared" si="281"/>
        <v>#N/A</v>
      </c>
      <c r="AR680" s="19">
        <f t="shared" si="282"/>
        <v>92.28</v>
      </c>
      <c r="AS680" s="19" t="e">
        <f t="shared" si="283"/>
        <v>#N/A</v>
      </c>
    </row>
    <row r="681" spans="31:45" ht="11.25" customHeight="1" x14ac:dyDescent="0.2">
      <c r="AE681" s="19">
        <v>590</v>
      </c>
      <c r="AG681" s="19">
        <f t="shared" si="271"/>
        <v>1</v>
      </c>
      <c r="AH681" s="19">
        <f t="shared" si="272"/>
        <v>1</v>
      </c>
      <c r="AI681" s="19">
        <f t="shared" si="273"/>
        <v>79.695000000000007</v>
      </c>
      <c r="AJ681" s="410">
        <f t="shared" si="274"/>
        <v>907.72</v>
      </c>
      <c r="AK681" s="19" t="e">
        <f t="shared" si="275"/>
        <v>#N/A</v>
      </c>
      <c r="AL681" s="19">
        <f t="shared" si="276"/>
        <v>707.72</v>
      </c>
      <c r="AM681" s="19" t="e">
        <f t="shared" si="277"/>
        <v>#N/A</v>
      </c>
      <c r="AN681" s="19">
        <f t="shared" si="278"/>
        <v>507.72</v>
      </c>
      <c r="AO681" s="19" t="e">
        <f t="shared" si="279"/>
        <v>#N/A</v>
      </c>
      <c r="AP681" s="19">
        <f t="shared" si="280"/>
        <v>307.72000000000003</v>
      </c>
      <c r="AQ681" s="19" t="e">
        <f t="shared" si="281"/>
        <v>#N/A</v>
      </c>
      <c r="AR681" s="19">
        <f t="shared" si="282"/>
        <v>107.72</v>
      </c>
      <c r="AS681" s="19" t="e">
        <f t="shared" si="283"/>
        <v>#N/A</v>
      </c>
    </row>
    <row r="682" spans="31:45" ht="11.25" customHeight="1" x14ac:dyDescent="0.2">
      <c r="AE682" s="19">
        <v>591</v>
      </c>
      <c r="AG682" s="19">
        <f t="shared" si="271"/>
        <v>3</v>
      </c>
      <c r="AH682" s="19">
        <f t="shared" si="272"/>
        <v>-1</v>
      </c>
      <c r="AI682" s="19">
        <f t="shared" si="273"/>
        <v>79.695000000000007</v>
      </c>
      <c r="AJ682" s="410">
        <f t="shared" si="274"/>
        <v>876.84</v>
      </c>
      <c r="AK682" s="19" t="e">
        <f t="shared" si="275"/>
        <v>#N/A</v>
      </c>
      <c r="AL682" s="19">
        <f t="shared" si="276"/>
        <v>676.84</v>
      </c>
      <c r="AM682" s="19" t="e">
        <f t="shared" si="277"/>
        <v>#N/A</v>
      </c>
      <c r="AN682" s="19">
        <f t="shared" si="278"/>
        <v>476.84</v>
      </c>
      <c r="AO682" s="19" t="e">
        <f t="shared" si="279"/>
        <v>#N/A</v>
      </c>
      <c r="AP682" s="19">
        <f t="shared" si="280"/>
        <v>276.83999999999997</v>
      </c>
      <c r="AQ682" s="19" t="e">
        <f t="shared" si="281"/>
        <v>#N/A</v>
      </c>
      <c r="AR682" s="19">
        <f t="shared" si="282"/>
        <v>76.84</v>
      </c>
      <c r="AS682" s="19" t="e">
        <f t="shared" si="283"/>
        <v>#N/A</v>
      </c>
    </row>
    <row r="683" spans="31:45" ht="11.25" customHeight="1" x14ac:dyDescent="0.2">
      <c r="AE683" s="19">
        <v>592</v>
      </c>
      <c r="AG683" s="19">
        <f t="shared" si="271"/>
        <v>3</v>
      </c>
      <c r="AH683" s="19">
        <f t="shared" si="272"/>
        <v>1</v>
      </c>
      <c r="AI683" s="19">
        <f t="shared" si="273"/>
        <v>79.695000000000007</v>
      </c>
      <c r="AJ683" s="410">
        <f t="shared" si="274"/>
        <v>923.16</v>
      </c>
      <c r="AK683" s="19" t="e">
        <f t="shared" si="275"/>
        <v>#N/A</v>
      </c>
      <c r="AL683" s="19">
        <f t="shared" si="276"/>
        <v>723.16</v>
      </c>
      <c r="AM683" s="19" t="e">
        <f t="shared" si="277"/>
        <v>#N/A</v>
      </c>
      <c r="AN683" s="19">
        <f t="shared" si="278"/>
        <v>523.16</v>
      </c>
      <c r="AO683" s="19" t="e">
        <f t="shared" si="279"/>
        <v>#N/A</v>
      </c>
      <c r="AP683" s="19">
        <f t="shared" si="280"/>
        <v>323.16000000000003</v>
      </c>
      <c r="AQ683" s="19" t="e">
        <f t="shared" si="281"/>
        <v>#N/A</v>
      </c>
      <c r="AR683" s="19">
        <f t="shared" si="282"/>
        <v>123.16</v>
      </c>
      <c r="AS683" s="19" t="e">
        <f t="shared" si="283"/>
        <v>#N/A</v>
      </c>
    </row>
    <row r="684" spans="31:45" ht="11.25" customHeight="1" x14ac:dyDescent="0.2">
      <c r="AE684" s="19">
        <v>593</v>
      </c>
      <c r="AG684" s="19">
        <f t="shared" si="271"/>
        <v>5</v>
      </c>
      <c r="AH684" s="19">
        <f t="shared" si="272"/>
        <v>-1</v>
      </c>
      <c r="AI684" s="19">
        <f t="shared" si="273"/>
        <v>79.695000000000007</v>
      </c>
      <c r="AJ684" s="410">
        <f t="shared" si="274"/>
        <v>861.4</v>
      </c>
      <c r="AK684" s="19" t="e">
        <f t="shared" si="275"/>
        <v>#N/A</v>
      </c>
      <c r="AL684" s="19">
        <f t="shared" si="276"/>
        <v>661.4</v>
      </c>
      <c r="AM684" s="19" t="e">
        <f t="shared" si="277"/>
        <v>#N/A</v>
      </c>
      <c r="AN684" s="19">
        <f t="shared" si="278"/>
        <v>461.4</v>
      </c>
      <c r="AO684" s="19" t="e">
        <f t="shared" si="279"/>
        <v>#N/A</v>
      </c>
      <c r="AP684" s="19">
        <f t="shared" si="280"/>
        <v>261.39999999999998</v>
      </c>
      <c r="AQ684" s="19" t="e">
        <f t="shared" si="281"/>
        <v>#N/A</v>
      </c>
      <c r="AR684" s="19">
        <f t="shared" si="282"/>
        <v>61.4</v>
      </c>
      <c r="AS684" s="19" t="e">
        <f t="shared" si="283"/>
        <v>#N/A</v>
      </c>
    </row>
    <row r="685" spans="31:45" ht="11.25" customHeight="1" x14ac:dyDescent="0.2">
      <c r="AE685" s="19">
        <v>594</v>
      </c>
      <c r="AG685" s="19">
        <f t="shared" si="271"/>
        <v>5</v>
      </c>
      <c r="AH685" s="19">
        <f t="shared" si="272"/>
        <v>1</v>
      </c>
      <c r="AI685" s="19">
        <f t="shared" si="273"/>
        <v>79.695000000000007</v>
      </c>
      <c r="AJ685" s="410">
        <f t="shared" si="274"/>
        <v>938.6</v>
      </c>
      <c r="AK685" s="19" t="e">
        <f t="shared" si="275"/>
        <v>#N/A</v>
      </c>
      <c r="AL685" s="19">
        <f t="shared" si="276"/>
        <v>738.6</v>
      </c>
      <c r="AM685" s="19" t="e">
        <f t="shared" si="277"/>
        <v>#N/A</v>
      </c>
      <c r="AN685" s="19">
        <f t="shared" si="278"/>
        <v>538.6</v>
      </c>
      <c r="AO685" s="19" t="e">
        <f t="shared" si="279"/>
        <v>#N/A</v>
      </c>
      <c r="AP685" s="19">
        <f t="shared" si="280"/>
        <v>338.6</v>
      </c>
      <c r="AQ685" s="19" t="e">
        <f t="shared" si="281"/>
        <v>#N/A</v>
      </c>
      <c r="AR685" s="19">
        <f t="shared" si="282"/>
        <v>138.6</v>
      </c>
      <c r="AS685" s="19" t="e">
        <f t="shared" si="283"/>
        <v>#N/A</v>
      </c>
    </row>
    <row r="686" spans="31:45" ht="11.25" customHeight="1" x14ac:dyDescent="0.2">
      <c r="AE686" s="19">
        <v>595</v>
      </c>
      <c r="AG686" s="19">
        <f t="shared" si="271"/>
        <v>7</v>
      </c>
      <c r="AH686" s="19">
        <f t="shared" si="272"/>
        <v>-1</v>
      </c>
      <c r="AI686" s="19">
        <f t="shared" si="273"/>
        <v>79.695000000000007</v>
      </c>
      <c r="AJ686" s="410">
        <f t="shared" si="274"/>
        <v>845.96</v>
      </c>
      <c r="AK686" s="19" t="e">
        <f t="shared" si="275"/>
        <v>#N/A</v>
      </c>
      <c r="AL686" s="19">
        <f t="shared" si="276"/>
        <v>645.96</v>
      </c>
      <c r="AM686" s="19" t="e">
        <f t="shared" si="277"/>
        <v>#N/A</v>
      </c>
      <c r="AN686" s="19">
        <f t="shared" si="278"/>
        <v>445.96</v>
      </c>
      <c r="AO686" s="19" t="e">
        <f t="shared" si="279"/>
        <v>#N/A</v>
      </c>
      <c r="AP686" s="19">
        <f t="shared" si="280"/>
        <v>245.96</v>
      </c>
      <c r="AQ686" s="19" t="e">
        <f t="shared" si="281"/>
        <v>#N/A</v>
      </c>
      <c r="AR686" s="19">
        <f t="shared" si="282"/>
        <v>45.96</v>
      </c>
      <c r="AS686" s="19" t="e">
        <f t="shared" si="283"/>
        <v>#N/A</v>
      </c>
    </row>
    <row r="687" spans="31:45" ht="11.25" customHeight="1" x14ac:dyDescent="0.2">
      <c r="AE687" s="19">
        <v>596</v>
      </c>
      <c r="AG687" s="19">
        <f t="shared" si="271"/>
        <v>7</v>
      </c>
      <c r="AH687" s="19">
        <f t="shared" si="272"/>
        <v>1</v>
      </c>
      <c r="AI687" s="19">
        <f t="shared" si="273"/>
        <v>79.695000000000007</v>
      </c>
      <c r="AJ687" s="410">
        <f t="shared" si="274"/>
        <v>954.04</v>
      </c>
      <c r="AK687" s="19" t="e">
        <f t="shared" si="275"/>
        <v>#N/A</v>
      </c>
      <c r="AL687" s="19">
        <f t="shared" si="276"/>
        <v>754.04</v>
      </c>
      <c r="AM687" s="19" t="e">
        <f t="shared" si="277"/>
        <v>#N/A</v>
      </c>
      <c r="AN687" s="19">
        <f t="shared" si="278"/>
        <v>554.04</v>
      </c>
      <c r="AO687" s="19" t="e">
        <f t="shared" si="279"/>
        <v>#N/A</v>
      </c>
      <c r="AP687" s="19">
        <f t="shared" si="280"/>
        <v>354.04</v>
      </c>
      <c r="AQ687" s="19" t="e">
        <f t="shared" si="281"/>
        <v>#N/A</v>
      </c>
      <c r="AR687" s="19">
        <f t="shared" si="282"/>
        <v>154.04</v>
      </c>
      <c r="AS687" s="19" t="e">
        <f t="shared" si="283"/>
        <v>#N/A</v>
      </c>
    </row>
    <row r="688" spans="31:45" ht="11.25" customHeight="1" x14ac:dyDescent="0.2">
      <c r="AE688" s="19">
        <v>597</v>
      </c>
      <c r="AG688" s="19">
        <f t="shared" si="271"/>
        <v>9</v>
      </c>
      <c r="AH688" s="19">
        <f t="shared" si="272"/>
        <v>-1</v>
      </c>
      <c r="AI688" s="19">
        <f t="shared" si="273"/>
        <v>79.695000000000007</v>
      </c>
      <c r="AJ688" s="410">
        <f t="shared" si="274"/>
        <v>830.52</v>
      </c>
      <c r="AK688" s="19" t="e">
        <f t="shared" si="275"/>
        <v>#N/A</v>
      </c>
      <c r="AL688" s="19">
        <f t="shared" si="276"/>
        <v>630.52</v>
      </c>
      <c r="AM688" s="19" t="e">
        <f t="shared" si="277"/>
        <v>#N/A</v>
      </c>
      <c r="AN688" s="19">
        <f t="shared" si="278"/>
        <v>430.52</v>
      </c>
      <c r="AO688" s="19" t="e">
        <f t="shared" si="279"/>
        <v>#N/A</v>
      </c>
      <c r="AP688" s="19">
        <f t="shared" si="280"/>
        <v>230.51999999999998</v>
      </c>
      <c r="AQ688" s="19" t="e">
        <f t="shared" si="281"/>
        <v>#N/A</v>
      </c>
      <c r="AR688" s="19">
        <f t="shared" si="282"/>
        <v>30.519999999999996</v>
      </c>
      <c r="AS688" s="19" t="e">
        <f t="shared" si="283"/>
        <v>#N/A</v>
      </c>
    </row>
    <row r="689" spans="31:45" ht="11.25" customHeight="1" x14ac:dyDescent="0.2">
      <c r="AE689" s="19">
        <v>598</v>
      </c>
      <c r="AG689" s="19">
        <f t="shared" si="271"/>
        <v>9</v>
      </c>
      <c r="AH689" s="19">
        <f t="shared" si="272"/>
        <v>1</v>
      </c>
      <c r="AI689" s="19">
        <f t="shared" si="273"/>
        <v>79.695000000000007</v>
      </c>
      <c r="AJ689" s="410">
        <f t="shared" si="274"/>
        <v>969.48</v>
      </c>
      <c r="AK689" s="19" t="e">
        <f t="shared" si="275"/>
        <v>#N/A</v>
      </c>
      <c r="AL689" s="19">
        <f t="shared" si="276"/>
        <v>769.48</v>
      </c>
      <c r="AM689" s="19" t="e">
        <f t="shared" si="277"/>
        <v>#N/A</v>
      </c>
      <c r="AN689" s="19">
        <f t="shared" si="278"/>
        <v>569.48</v>
      </c>
      <c r="AO689" s="19" t="e">
        <f t="shared" si="279"/>
        <v>#N/A</v>
      </c>
      <c r="AP689" s="19">
        <f t="shared" si="280"/>
        <v>369.48</v>
      </c>
      <c r="AQ689" s="19" t="e">
        <f t="shared" si="281"/>
        <v>#N/A</v>
      </c>
      <c r="AR689" s="19">
        <f t="shared" si="282"/>
        <v>169.48000000000002</v>
      </c>
      <c r="AS689" s="19" t="e">
        <f t="shared" si="283"/>
        <v>#N/A</v>
      </c>
    </row>
    <row r="690" spans="31:45" ht="11.25" customHeight="1" x14ac:dyDescent="0.2">
      <c r="AE690" s="19">
        <v>599</v>
      </c>
      <c r="AG690" s="19">
        <f t="shared" si="271"/>
        <v>11</v>
      </c>
      <c r="AH690" s="19">
        <f t="shared" si="272"/>
        <v>-1</v>
      </c>
      <c r="AI690" s="19">
        <f t="shared" si="273"/>
        <v>79.695000000000007</v>
      </c>
      <c r="AJ690" s="410">
        <f t="shared" si="274"/>
        <v>815.08</v>
      </c>
      <c r="AK690" s="19" t="e">
        <f t="shared" si="275"/>
        <v>#N/A</v>
      </c>
      <c r="AL690" s="19">
        <f t="shared" si="276"/>
        <v>615.08000000000004</v>
      </c>
      <c r="AM690" s="19" t="e">
        <f t="shared" si="277"/>
        <v>#N/A</v>
      </c>
      <c r="AN690" s="19">
        <f t="shared" si="278"/>
        <v>415.08</v>
      </c>
      <c r="AO690" s="19" t="e">
        <f t="shared" si="279"/>
        <v>#N/A</v>
      </c>
      <c r="AP690" s="19">
        <f t="shared" si="280"/>
        <v>215.07999999999998</v>
      </c>
      <c r="AQ690" s="19" t="e">
        <f t="shared" si="281"/>
        <v>#N/A</v>
      </c>
      <c r="AR690" s="19">
        <f t="shared" si="282"/>
        <v>15.079999999999998</v>
      </c>
      <c r="AS690" s="19" t="e">
        <f t="shared" si="283"/>
        <v>#N/A</v>
      </c>
    </row>
    <row r="691" spans="31:45" ht="11.25" customHeight="1" x14ac:dyDescent="0.2">
      <c r="AE691" s="19">
        <v>600</v>
      </c>
      <c r="AG691" s="19">
        <f t="shared" si="271"/>
        <v>11</v>
      </c>
      <c r="AH691" s="19">
        <f t="shared" si="272"/>
        <v>1</v>
      </c>
      <c r="AI691" s="19">
        <f t="shared" si="273"/>
        <v>79.695000000000007</v>
      </c>
      <c r="AJ691" s="410">
        <f t="shared" si="274"/>
        <v>984.92</v>
      </c>
      <c r="AK691" s="19" t="e">
        <f t="shared" si="275"/>
        <v>#N/A</v>
      </c>
      <c r="AL691" s="19">
        <f t="shared" si="276"/>
        <v>784.92</v>
      </c>
      <c r="AM691" s="19" t="e">
        <f t="shared" si="277"/>
        <v>#N/A</v>
      </c>
      <c r="AN691" s="19">
        <f t="shared" si="278"/>
        <v>584.91999999999996</v>
      </c>
      <c r="AO691" s="19" t="e">
        <f t="shared" si="279"/>
        <v>#N/A</v>
      </c>
      <c r="AP691" s="19">
        <f t="shared" si="280"/>
        <v>384.92</v>
      </c>
      <c r="AQ691" s="19" t="e">
        <f t="shared" si="281"/>
        <v>#N/A</v>
      </c>
      <c r="AR691" s="19">
        <f t="shared" si="282"/>
        <v>184.92000000000002</v>
      </c>
      <c r="AS691" s="19" t="e">
        <f t="shared" si="283"/>
        <v>#N/A</v>
      </c>
    </row>
    <row r="692" spans="31:45" ht="11.25" customHeight="1" x14ac:dyDescent="0.2">
      <c r="AE692" s="19">
        <v>601</v>
      </c>
      <c r="AG692" s="19">
        <f t="shared" si="271"/>
        <v>1</v>
      </c>
      <c r="AH692" s="19">
        <f t="shared" si="272"/>
        <v>-1</v>
      </c>
      <c r="AI692" s="19">
        <f t="shared" si="273"/>
        <v>81.305000000000007</v>
      </c>
      <c r="AJ692" s="410">
        <f t="shared" si="274"/>
        <v>892.28</v>
      </c>
      <c r="AK692" s="19" t="e">
        <f t="shared" si="275"/>
        <v>#N/A</v>
      </c>
      <c r="AL692" s="19">
        <f t="shared" si="276"/>
        <v>692.28</v>
      </c>
      <c r="AM692" s="19" t="e">
        <f t="shared" si="277"/>
        <v>#N/A</v>
      </c>
      <c r="AN692" s="19">
        <f t="shared" si="278"/>
        <v>492.28</v>
      </c>
      <c r="AO692" s="19" t="e">
        <f t="shared" si="279"/>
        <v>#N/A</v>
      </c>
      <c r="AP692" s="19">
        <f t="shared" si="280"/>
        <v>292.27999999999997</v>
      </c>
      <c r="AQ692" s="19" t="e">
        <f t="shared" si="281"/>
        <v>#N/A</v>
      </c>
      <c r="AR692" s="19">
        <f t="shared" si="282"/>
        <v>92.28</v>
      </c>
      <c r="AS692" s="19" t="e">
        <f t="shared" si="283"/>
        <v>#N/A</v>
      </c>
    </row>
    <row r="693" spans="31:45" ht="11.25" customHeight="1" x14ac:dyDescent="0.2">
      <c r="AE693" s="19">
        <v>602</v>
      </c>
      <c r="AG693" s="19">
        <f t="shared" si="271"/>
        <v>1</v>
      </c>
      <c r="AH693" s="19">
        <f t="shared" si="272"/>
        <v>1</v>
      </c>
      <c r="AI693" s="19">
        <f t="shared" si="273"/>
        <v>81.305000000000007</v>
      </c>
      <c r="AJ693" s="410">
        <f t="shared" si="274"/>
        <v>907.72</v>
      </c>
      <c r="AK693" s="19" t="e">
        <f t="shared" si="275"/>
        <v>#N/A</v>
      </c>
      <c r="AL693" s="19">
        <f t="shared" si="276"/>
        <v>707.72</v>
      </c>
      <c r="AM693" s="19" t="e">
        <f t="shared" si="277"/>
        <v>#N/A</v>
      </c>
      <c r="AN693" s="19">
        <f t="shared" si="278"/>
        <v>507.72</v>
      </c>
      <c r="AO693" s="19" t="e">
        <f t="shared" si="279"/>
        <v>#N/A</v>
      </c>
      <c r="AP693" s="19">
        <f t="shared" si="280"/>
        <v>307.72000000000003</v>
      </c>
      <c r="AQ693" s="19" t="e">
        <f t="shared" si="281"/>
        <v>#N/A</v>
      </c>
      <c r="AR693" s="19">
        <f t="shared" si="282"/>
        <v>107.72</v>
      </c>
      <c r="AS693" s="19" t="e">
        <f t="shared" si="283"/>
        <v>#N/A</v>
      </c>
    </row>
    <row r="694" spans="31:45" ht="11.25" customHeight="1" x14ac:dyDescent="0.2">
      <c r="AE694" s="19">
        <v>603</v>
      </c>
      <c r="AG694" s="19">
        <f t="shared" si="271"/>
        <v>3</v>
      </c>
      <c r="AH694" s="19">
        <f t="shared" si="272"/>
        <v>-1</v>
      </c>
      <c r="AI694" s="19">
        <f t="shared" si="273"/>
        <v>81.305000000000007</v>
      </c>
      <c r="AJ694" s="410">
        <f t="shared" si="274"/>
        <v>876.84</v>
      </c>
      <c r="AK694" s="19" t="e">
        <f t="shared" si="275"/>
        <v>#N/A</v>
      </c>
      <c r="AL694" s="19">
        <f t="shared" si="276"/>
        <v>676.84</v>
      </c>
      <c r="AM694" s="19" t="e">
        <f t="shared" si="277"/>
        <v>#N/A</v>
      </c>
      <c r="AN694" s="19">
        <f t="shared" si="278"/>
        <v>476.84</v>
      </c>
      <c r="AO694" s="19" t="e">
        <f t="shared" si="279"/>
        <v>#N/A</v>
      </c>
      <c r="AP694" s="19">
        <f t="shared" si="280"/>
        <v>276.83999999999997</v>
      </c>
      <c r="AQ694" s="19" t="e">
        <f t="shared" si="281"/>
        <v>#N/A</v>
      </c>
      <c r="AR694" s="19">
        <f t="shared" si="282"/>
        <v>76.84</v>
      </c>
      <c r="AS694" s="19" t="e">
        <f t="shared" si="283"/>
        <v>#N/A</v>
      </c>
    </row>
    <row r="695" spans="31:45" ht="11.25" customHeight="1" x14ac:dyDescent="0.2">
      <c r="AE695" s="19">
        <v>604</v>
      </c>
      <c r="AG695" s="19">
        <f t="shared" si="271"/>
        <v>3</v>
      </c>
      <c r="AH695" s="19">
        <f t="shared" si="272"/>
        <v>1</v>
      </c>
      <c r="AI695" s="19">
        <f t="shared" si="273"/>
        <v>81.305000000000007</v>
      </c>
      <c r="AJ695" s="410">
        <f t="shared" si="274"/>
        <v>923.16</v>
      </c>
      <c r="AK695" s="19" t="e">
        <f t="shared" si="275"/>
        <v>#N/A</v>
      </c>
      <c r="AL695" s="19">
        <f t="shared" si="276"/>
        <v>723.16</v>
      </c>
      <c r="AM695" s="19" t="e">
        <f t="shared" si="277"/>
        <v>#N/A</v>
      </c>
      <c r="AN695" s="19">
        <f t="shared" si="278"/>
        <v>523.16</v>
      </c>
      <c r="AO695" s="19" t="e">
        <f t="shared" si="279"/>
        <v>#N/A</v>
      </c>
      <c r="AP695" s="19">
        <f t="shared" si="280"/>
        <v>323.16000000000003</v>
      </c>
      <c r="AQ695" s="19" t="e">
        <f t="shared" si="281"/>
        <v>#N/A</v>
      </c>
      <c r="AR695" s="19">
        <f t="shared" si="282"/>
        <v>123.16</v>
      </c>
      <c r="AS695" s="19" t="e">
        <f t="shared" si="283"/>
        <v>#N/A</v>
      </c>
    </row>
    <row r="696" spans="31:45" ht="11.25" customHeight="1" x14ac:dyDescent="0.2">
      <c r="AE696" s="19">
        <v>605</v>
      </c>
      <c r="AG696" s="19">
        <f t="shared" si="271"/>
        <v>5</v>
      </c>
      <c r="AH696" s="19">
        <f t="shared" si="272"/>
        <v>-1</v>
      </c>
      <c r="AI696" s="19">
        <f t="shared" si="273"/>
        <v>81.305000000000007</v>
      </c>
      <c r="AJ696" s="410">
        <f t="shared" si="274"/>
        <v>861.4</v>
      </c>
      <c r="AK696" s="19" t="e">
        <f t="shared" si="275"/>
        <v>#N/A</v>
      </c>
      <c r="AL696" s="19">
        <f t="shared" si="276"/>
        <v>661.4</v>
      </c>
      <c r="AM696" s="19" t="e">
        <f t="shared" si="277"/>
        <v>#N/A</v>
      </c>
      <c r="AN696" s="19">
        <f t="shared" si="278"/>
        <v>461.4</v>
      </c>
      <c r="AO696" s="19" t="e">
        <f t="shared" si="279"/>
        <v>#N/A</v>
      </c>
      <c r="AP696" s="19">
        <f t="shared" si="280"/>
        <v>261.39999999999998</v>
      </c>
      <c r="AQ696" s="19" t="e">
        <f t="shared" si="281"/>
        <v>#N/A</v>
      </c>
      <c r="AR696" s="19">
        <f t="shared" si="282"/>
        <v>61.4</v>
      </c>
      <c r="AS696" s="19" t="e">
        <f t="shared" si="283"/>
        <v>#N/A</v>
      </c>
    </row>
    <row r="697" spans="31:45" ht="11.25" customHeight="1" x14ac:dyDescent="0.2">
      <c r="AE697" s="19">
        <v>606</v>
      </c>
      <c r="AG697" s="19">
        <f t="shared" si="271"/>
        <v>5</v>
      </c>
      <c r="AH697" s="19">
        <f t="shared" si="272"/>
        <v>1</v>
      </c>
      <c r="AI697" s="19">
        <f t="shared" si="273"/>
        <v>81.305000000000007</v>
      </c>
      <c r="AJ697" s="410">
        <f t="shared" si="274"/>
        <v>938.6</v>
      </c>
      <c r="AK697" s="19" t="e">
        <f t="shared" si="275"/>
        <v>#N/A</v>
      </c>
      <c r="AL697" s="19">
        <f t="shared" si="276"/>
        <v>738.6</v>
      </c>
      <c r="AM697" s="19" t="e">
        <f t="shared" si="277"/>
        <v>#N/A</v>
      </c>
      <c r="AN697" s="19">
        <f t="shared" si="278"/>
        <v>538.6</v>
      </c>
      <c r="AO697" s="19" t="e">
        <f t="shared" si="279"/>
        <v>#N/A</v>
      </c>
      <c r="AP697" s="19">
        <f t="shared" si="280"/>
        <v>338.6</v>
      </c>
      <c r="AQ697" s="19" t="e">
        <f t="shared" si="281"/>
        <v>#N/A</v>
      </c>
      <c r="AR697" s="19">
        <f t="shared" si="282"/>
        <v>138.6</v>
      </c>
      <c r="AS697" s="19" t="e">
        <f t="shared" si="283"/>
        <v>#N/A</v>
      </c>
    </row>
    <row r="698" spans="31:45" ht="11.25" customHeight="1" x14ac:dyDescent="0.2">
      <c r="AE698" s="19">
        <v>607</v>
      </c>
      <c r="AG698" s="19">
        <f t="shared" si="271"/>
        <v>7</v>
      </c>
      <c r="AH698" s="19">
        <f t="shared" si="272"/>
        <v>-1</v>
      </c>
      <c r="AI698" s="19">
        <f t="shared" si="273"/>
        <v>81.305000000000007</v>
      </c>
      <c r="AJ698" s="410">
        <f t="shared" si="274"/>
        <v>845.96</v>
      </c>
      <c r="AK698" s="19" t="e">
        <f t="shared" si="275"/>
        <v>#N/A</v>
      </c>
      <c r="AL698" s="19">
        <f t="shared" si="276"/>
        <v>645.96</v>
      </c>
      <c r="AM698" s="19" t="e">
        <f t="shared" si="277"/>
        <v>#N/A</v>
      </c>
      <c r="AN698" s="19">
        <f t="shared" si="278"/>
        <v>445.96</v>
      </c>
      <c r="AO698" s="19" t="e">
        <f t="shared" si="279"/>
        <v>#N/A</v>
      </c>
      <c r="AP698" s="19">
        <f t="shared" si="280"/>
        <v>245.96</v>
      </c>
      <c r="AQ698" s="19" t="e">
        <f t="shared" si="281"/>
        <v>#N/A</v>
      </c>
      <c r="AR698" s="19">
        <f t="shared" si="282"/>
        <v>45.96</v>
      </c>
      <c r="AS698" s="19" t="e">
        <f t="shared" si="283"/>
        <v>#N/A</v>
      </c>
    </row>
    <row r="699" spans="31:45" ht="11.25" customHeight="1" x14ac:dyDescent="0.2">
      <c r="AE699" s="19">
        <v>608</v>
      </c>
      <c r="AG699" s="19">
        <f t="shared" si="271"/>
        <v>7</v>
      </c>
      <c r="AH699" s="19">
        <f t="shared" si="272"/>
        <v>1</v>
      </c>
      <c r="AI699" s="19">
        <f t="shared" si="273"/>
        <v>81.305000000000007</v>
      </c>
      <c r="AJ699" s="410">
        <f t="shared" si="274"/>
        <v>954.04</v>
      </c>
      <c r="AK699" s="19" t="e">
        <f t="shared" si="275"/>
        <v>#N/A</v>
      </c>
      <c r="AL699" s="19">
        <f t="shared" si="276"/>
        <v>754.04</v>
      </c>
      <c r="AM699" s="19" t="e">
        <f t="shared" si="277"/>
        <v>#N/A</v>
      </c>
      <c r="AN699" s="19">
        <f t="shared" si="278"/>
        <v>554.04</v>
      </c>
      <c r="AO699" s="19" t="e">
        <f t="shared" si="279"/>
        <v>#N/A</v>
      </c>
      <c r="AP699" s="19">
        <f t="shared" si="280"/>
        <v>354.04</v>
      </c>
      <c r="AQ699" s="19" t="e">
        <f t="shared" si="281"/>
        <v>#N/A</v>
      </c>
      <c r="AR699" s="19">
        <f t="shared" si="282"/>
        <v>154.04</v>
      </c>
      <c r="AS699" s="19" t="e">
        <f t="shared" si="283"/>
        <v>#N/A</v>
      </c>
    </row>
    <row r="700" spans="31:45" ht="11.25" customHeight="1" x14ac:dyDescent="0.2">
      <c r="AE700" s="19">
        <v>609</v>
      </c>
      <c r="AG700" s="19">
        <f t="shared" si="271"/>
        <v>9</v>
      </c>
      <c r="AH700" s="19">
        <f t="shared" si="272"/>
        <v>-1</v>
      </c>
      <c r="AI700" s="19">
        <f t="shared" si="273"/>
        <v>81.305000000000007</v>
      </c>
      <c r="AJ700" s="410">
        <f t="shared" si="274"/>
        <v>830.52</v>
      </c>
      <c r="AK700" s="19" t="e">
        <f t="shared" si="275"/>
        <v>#N/A</v>
      </c>
      <c r="AL700" s="19">
        <f t="shared" si="276"/>
        <v>630.52</v>
      </c>
      <c r="AM700" s="19" t="e">
        <f t="shared" si="277"/>
        <v>#N/A</v>
      </c>
      <c r="AN700" s="19">
        <f t="shared" si="278"/>
        <v>430.52</v>
      </c>
      <c r="AO700" s="19" t="e">
        <f t="shared" si="279"/>
        <v>#N/A</v>
      </c>
      <c r="AP700" s="19">
        <f t="shared" si="280"/>
        <v>230.51999999999998</v>
      </c>
      <c r="AQ700" s="19" t="e">
        <f t="shared" si="281"/>
        <v>#N/A</v>
      </c>
      <c r="AR700" s="19">
        <f t="shared" si="282"/>
        <v>30.519999999999996</v>
      </c>
      <c r="AS700" s="19" t="e">
        <f t="shared" si="283"/>
        <v>#N/A</v>
      </c>
    </row>
    <row r="701" spans="31:45" ht="11.25" customHeight="1" x14ac:dyDescent="0.2">
      <c r="AE701" s="19">
        <v>610</v>
      </c>
      <c r="AG701" s="19">
        <f t="shared" si="271"/>
        <v>9</v>
      </c>
      <c r="AH701" s="19">
        <f t="shared" si="272"/>
        <v>1</v>
      </c>
      <c r="AI701" s="19">
        <f t="shared" si="273"/>
        <v>81.305000000000007</v>
      </c>
      <c r="AJ701" s="410">
        <f t="shared" si="274"/>
        <v>969.48</v>
      </c>
      <c r="AK701" s="19" t="e">
        <f t="shared" si="275"/>
        <v>#N/A</v>
      </c>
      <c r="AL701" s="19">
        <f t="shared" si="276"/>
        <v>769.48</v>
      </c>
      <c r="AM701" s="19" t="e">
        <f t="shared" si="277"/>
        <v>#N/A</v>
      </c>
      <c r="AN701" s="19">
        <f t="shared" si="278"/>
        <v>569.48</v>
      </c>
      <c r="AO701" s="19" t="e">
        <f t="shared" si="279"/>
        <v>#N/A</v>
      </c>
      <c r="AP701" s="19">
        <f t="shared" si="280"/>
        <v>369.48</v>
      </c>
      <c r="AQ701" s="19" t="e">
        <f t="shared" si="281"/>
        <v>#N/A</v>
      </c>
      <c r="AR701" s="19">
        <f t="shared" si="282"/>
        <v>169.48000000000002</v>
      </c>
      <c r="AS701" s="19" t="e">
        <f t="shared" si="283"/>
        <v>#N/A</v>
      </c>
    </row>
    <row r="702" spans="31:45" ht="11.25" customHeight="1" x14ac:dyDescent="0.2">
      <c r="AE702" s="19">
        <v>611</v>
      </c>
      <c r="AG702" s="19">
        <f t="shared" si="271"/>
        <v>11</v>
      </c>
      <c r="AH702" s="19">
        <f t="shared" si="272"/>
        <v>-1</v>
      </c>
      <c r="AI702" s="19">
        <f t="shared" si="273"/>
        <v>81.305000000000007</v>
      </c>
      <c r="AJ702" s="410">
        <f t="shared" si="274"/>
        <v>815.08</v>
      </c>
      <c r="AK702" s="19" t="e">
        <f t="shared" si="275"/>
        <v>#N/A</v>
      </c>
      <c r="AL702" s="19">
        <f t="shared" si="276"/>
        <v>615.08000000000004</v>
      </c>
      <c r="AM702" s="19" t="e">
        <f t="shared" si="277"/>
        <v>#N/A</v>
      </c>
      <c r="AN702" s="19">
        <f t="shared" si="278"/>
        <v>415.08</v>
      </c>
      <c r="AO702" s="19" t="e">
        <f t="shared" si="279"/>
        <v>#N/A</v>
      </c>
      <c r="AP702" s="19">
        <f t="shared" si="280"/>
        <v>215.07999999999998</v>
      </c>
      <c r="AQ702" s="19" t="e">
        <f t="shared" si="281"/>
        <v>#N/A</v>
      </c>
      <c r="AR702" s="19">
        <f t="shared" si="282"/>
        <v>15.079999999999998</v>
      </c>
      <c r="AS702" s="19" t="e">
        <f t="shared" si="283"/>
        <v>#N/A</v>
      </c>
    </row>
    <row r="703" spans="31:45" ht="11.25" customHeight="1" x14ac:dyDescent="0.2">
      <c r="AE703" s="19">
        <v>612</v>
      </c>
      <c r="AG703" s="19">
        <f t="shared" si="271"/>
        <v>11</v>
      </c>
      <c r="AH703" s="19">
        <f t="shared" si="272"/>
        <v>1</v>
      </c>
      <c r="AI703" s="19">
        <f t="shared" si="273"/>
        <v>81.305000000000007</v>
      </c>
      <c r="AJ703" s="410">
        <f t="shared" si="274"/>
        <v>984.92</v>
      </c>
      <c r="AK703" s="19" t="e">
        <f t="shared" si="275"/>
        <v>#N/A</v>
      </c>
      <c r="AL703" s="19">
        <f t="shared" si="276"/>
        <v>784.92</v>
      </c>
      <c r="AM703" s="19" t="e">
        <f t="shared" si="277"/>
        <v>#N/A</v>
      </c>
      <c r="AN703" s="19">
        <f t="shared" si="278"/>
        <v>584.91999999999996</v>
      </c>
      <c r="AO703" s="19" t="e">
        <f t="shared" si="279"/>
        <v>#N/A</v>
      </c>
      <c r="AP703" s="19">
        <f t="shared" si="280"/>
        <v>384.92</v>
      </c>
      <c r="AQ703" s="19" t="e">
        <f t="shared" si="281"/>
        <v>#N/A</v>
      </c>
      <c r="AR703" s="19">
        <f t="shared" si="282"/>
        <v>184.92000000000002</v>
      </c>
      <c r="AS703" s="19" t="e">
        <f t="shared" si="283"/>
        <v>#N/A</v>
      </c>
    </row>
    <row r="704" spans="31:45" ht="11.25" customHeight="1" x14ac:dyDescent="0.2">
      <c r="AE704" s="19">
        <v>613</v>
      </c>
      <c r="AG704" s="19">
        <f t="shared" si="271"/>
        <v>1</v>
      </c>
      <c r="AH704" s="19">
        <f t="shared" si="272"/>
        <v>-1</v>
      </c>
      <c r="AI704" s="19">
        <f t="shared" si="273"/>
        <v>82.915000000000006</v>
      </c>
      <c r="AJ704" s="410">
        <f t="shared" si="274"/>
        <v>892.28</v>
      </c>
      <c r="AK704" s="19" t="e">
        <f t="shared" si="275"/>
        <v>#N/A</v>
      </c>
      <c r="AL704" s="19">
        <f t="shared" si="276"/>
        <v>692.28</v>
      </c>
      <c r="AM704" s="19" t="e">
        <f t="shared" si="277"/>
        <v>#N/A</v>
      </c>
      <c r="AN704" s="19">
        <f t="shared" si="278"/>
        <v>492.28</v>
      </c>
      <c r="AO704" s="19" t="e">
        <f t="shared" si="279"/>
        <v>#N/A</v>
      </c>
      <c r="AP704" s="19">
        <f t="shared" si="280"/>
        <v>292.27999999999997</v>
      </c>
      <c r="AQ704" s="19" t="e">
        <f t="shared" si="281"/>
        <v>#N/A</v>
      </c>
      <c r="AR704" s="19">
        <f t="shared" si="282"/>
        <v>92.28</v>
      </c>
      <c r="AS704" s="19" t="e">
        <f t="shared" si="283"/>
        <v>#N/A</v>
      </c>
    </row>
    <row r="705" spans="31:45" ht="11.25" customHeight="1" x14ac:dyDescent="0.2">
      <c r="AE705" s="19">
        <v>614</v>
      </c>
      <c r="AG705" s="19">
        <f t="shared" si="271"/>
        <v>1</v>
      </c>
      <c r="AH705" s="19">
        <f t="shared" si="272"/>
        <v>1</v>
      </c>
      <c r="AI705" s="19">
        <f t="shared" si="273"/>
        <v>82.915000000000006</v>
      </c>
      <c r="AJ705" s="410">
        <f t="shared" si="274"/>
        <v>907.72</v>
      </c>
      <c r="AK705" s="19" t="e">
        <f t="shared" si="275"/>
        <v>#N/A</v>
      </c>
      <c r="AL705" s="19">
        <f t="shared" si="276"/>
        <v>707.72</v>
      </c>
      <c r="AM705" s="19" t="e">
        <f t="shared" si="277"/>
        <v>#N/A</v>
      </c>
      <c r="AN705" s="19">
        <f t="shared" si="278"/>
        <v>507.72</v>
      </c>
      <c r="AO705" s="19" t="e">
        <f t="shared" si="279"/>
        <v>#N/A</v>
      </c>
      <c r="AP705" s="19">
        <f t="shared" si="280"/>
        <v>307.72000000000003</v>
      </c>
      <c r="AQ705" s="19" t="e">
        <f t="shared" si="281"/>
        <v>#N/A</v>
      </c>
      <c r="AR705" s="19">
        <f t="shared" si="282"/>
        <v>107.72</v>
      </c>
      <c r="AS705" s="19" t="e">
        <f t="shared" si="283"/>
        <v>#N/A</v>
      </c>
    </row>
    <row r="706" spans="31:45" ht="11.25" customHeight="1" x14ac:dyDescent="0.2">
      <c r="AE706" s="19">
        <v>615</v>
      </c>
      <c r="AG706" s="19">
        <f t="shared" si="271"/>
        <v>3</v>
      </c>
      <c r="AH706" s="19">
        <f t="shared" si="272"/>
        <v>-1</v>
      </c>
      <c r="AI706" s="19">
        <f t="shared" si="273"/>
        <v>82.915000000000006</v>
      </c>
      <c r="AJ706" s="410">
        <f t="shared" si="274"/>
        <v>876.84</v>
      </c>
      <c r="AK706" s="19" t="e">
        <f t="shared" si="275"/>
        <v>#N/A</v>
      </c>
      <c r="AL706" s="19">
        <f t="shared" si="276"/>
        <v>676.84</v>
      </c>
      <c r="AM706" s="19" t="e">
        <f t="shared" si="277"/>
        <v>#N/A</v>
      </c>
      <c r="AN706" s="19">
        <f t="shared" si="278"/>
        <v>476.84</v>
      </c>
      <c r="AO706" s="19" t="e">
        <f t="shared" si="279"/>
        <v>#N/A</v>
      </c>
      <c r="AP706" s="19">
        <f t="shared" si="280"/>
        <v>276.83999999999997</v>
      </c>
      <c r="AQ706" s="19" t="e">
        <f t="shared" si="281"/>
        <v>#N/A</v>
      </c>
      <c r="AR706" s="19">
        <f t="shared" si="282"/>
        <v>76.84</v>
      </c>
      <c r="AS706" s="19" t="e">
        <f t="shared" si="283"/>
        <v>#N/A</v>
      </c>
    </row>
    <row r="707" spans="31:45" ht="11.25" customHeight="1" x14ac:dyDescent="0.2">
      <c r="AE707" s="19">
        <v>616</v>
      </c>
      <c r="AG707" s="19">
        <f t="shared" si="271"/>
        <v>3</v>
      </c>
      <c r="AH707" s="19">
        <f t="shared" si="272"/>
        <v>1</v>
      </c>
      <c r="AI707" s="19">
        <f t="shared" si="273"/>
        <v>82.915000000000006</v>
      </c>
      <c r="AJ707" s="410">
        <f t="shared" si="274"/>
        <v>923.16</v>
      </c>
      <c r="AK707" s="19" t="e">
        <f t="shared" si="275"/>
        <v>#N/A</v>
      </c>
      <c r="AL707" s="19">
        <f t="shared" si="276"/>
        <v>723.16</v>
      </c>
      <c r="AM707" s="19" t="e">
        <f t="shared" si="277"/>
        <v>#N/A</v>
      </c>
      <c r="AN707" s="19">
        <f t="shared" si="278"/>
        <v>523.16</v>
      </c>
      <c r="AO707" s="19" t="e">
        <f t="shared" si="279"/>
        <v>#N/A</v>
      </c>
      <c r="AP707" s="19">
        <f t="shared" si="280"/>
        <v>323.16000000000003</v>
      </c>
      <c r="AQ707" s="19" t="e">
        <f t="shared" si="281"/>
        <v>#N/A</v>
      </c>
      <c r="AR707" s="19">
        <f t="shared" si="282"/>
        <v>123.16</v>
      </c>
      <c r="AS707" s="19" t="e">
        <f t="shared" si="283"/>
        <v>#N/A</v>
      </c>
    </row>
    <row r="708" spans="31:45" ht="11.25" customHeight="1" x14ac:dyDescent="0.2">
      <c r="AE708" s="19">
        <v>617</v>
      </c>
      <c r="AG708" s="19">
        <f t="shared" si="271"/>
        <v>5</v>
      </c>
      <c r="AH708" s="19">
        <f t="shared" si="272"/>
        <v>-1</v>
      </c>
      <c r="AI708" s="19">
        <f t="shared" si="273"/>
        <v>82.915000000000006</v>
      </c>
      <c r="AJ708" s="410">
        <f t="shared" si="274"/>
        <v>861.4</v>
      </c>
      <c r="AK708" s="19" t="e">
        <f t="shared" si="275"/>
        <v>#N/A</v>
      </c>
      <c r="AL708" s="19">
        <f t="shared" si="276"/>
        <v>661.4</v>
      </c>
      <c r="AM708" s="19" t="e">
        <f t="shared" si="277"/>
        <v>#N/A</v>
      </c>
      <c r="AN708" s="19">
        <f t="shared" si="278"/>
        <v>461.4</v>
      </c>
      <c r="AO708" s="19" t="e">
        <f t="shared" si="279"/>
        <v>#N/A</v>
      </c>
      <c r="AP708" s="19">
        <f t="shared" si="280"/>
        <v>261.39999999999998</v>
      </c>
      <c r="AQ708" s="19" t="e">
        <f t="shared" si="281"/>
        <v>#N/A</v>
      </c>
      <c r="AR708" s="19">
        <f t="shared" si="282"/>
        <v>61.4</v>
      </c>
      <c r="AS708" s="19" t="e">
        <f t="shared" si="283"/>
        <v>#N/A</v>
      </c>
    </row>
    <row r="709" spans="31:45" ht="11.25" customHeight="1" x14ac:dyDescent="0.2">
      <c r="AE709" s="19">
        <v>618</v>
      </c>
      <c r="AG709" s="19">
        <f t="shared" si="271"/>
        <v>5</v>
      </c>
      <c r="AH709" s="19">
        <f t="shared" si="272"/>
        <v>1</v>
      </c>
      <c r="AI709" s="19">
        <f t="shared" si="273"/>
        <v>82.915000000000006</v>
      </c>
      <c r="AJ709" s="410">
        <f t="shared" si="274"/>
        <v>938.6</v>
      </c>
      <c r="AK709" s="19" t="e">
        <f t="shared" si="275"/>
        <v>#N/A</v>
      </c>
      <c r="AL709" s="19">
        <f t="shared" si="276"/>
        <v>738.6</v>
      </c>
      <c r="AM709" s="19" t="e">
        <f t="shared" si="277"/>
        <v>#N/A</v>
      </c>
      <c r="AN709" s="19">
        <f t="shared" si="278"/>
        <v>538.6</v>
      </c>
      <c r="AO709" s="19" t="e">
        <f t="shared" si="279"/>
        <v>#N/A</v>
      </c>
      <c r="AP709" s="19">
        <f t="shared" si="280"/>
        <v>338.6</v>
      </c>
      <c r="AQ709" s="19" t="e">
        <f t="shared" si="281"/>
        <v>#N/A</v>
      </c>
      <c r="AR709" s="19">
        <f t="shared" si="282"/>
        <v>138.6</v>
      </c>
      <c r="AS709" s="19" t="e">
        <f t="shared" si="283"/>
        <v>#N/A</v>
      </c>
    </row>
    <row r="710" spans="31:45" ht="11.25" customHeight="1" x14ac:dyDescent="0.2">
      <c r="AE710" s="19">
        <v>619</v>
      </c>
      <c r="AG710" s="19">
        <f t="shared" si="271"/>
        <v>7</v>
      </c>
      <c r="AH710" s="19">
        <f t="shared" si="272"/>
        <v>-1</v>
      </c>
      <c r="AI710" s="19">
        <f t="shared" si="273"/>
        <v>82.915000000000006</v>
      </c>
      <c r="AJ710" s="410">
        <f t="shared" si="274"/>
        <v>845.96</v>
      </c>
      <c r="AK710" s="19" t="e">
        <f t="shared" si="275"/>
        <v>#N/A</v>
      </c>
      <c r="AL710" s="19">
        <f t="shared" si="276"/>
        <v>645.96</v>
      </c>
      <c r="AM710" s="19" t="e">
        <f t="shared" si="277"/>
        <v>#N/A</v>
      </c>
      <c r="AN710" s="19">
        <f t="shared" si="278"/>
        <v>445.96</v>
      </c>
      <c r="AO710" s="19" t="e">
        <f t="shared" si="279"/>
        <v>#N/A</v>
      </c>
      <c r="AP710" s="19">
        <f t="shared" si="280"/>
        <v>245.96</v>
      </c>
      <c r="AQ710" s="19" t="e">
        <f t="shared" si="281"/>
        <v>#N/A</v>
      </c>
      <c r="AR710" s="19">
        <f t="shared" si="282"/>
        <v>45.96</v>
      </c>
      <c r="AS710" s="19" t="e">
        <f t="shared" si="283"/>
        <v>#N/A</v>
      </c>
    </row>
    <row r="711" spans="31:45" ht="11.25" customHeight="1" x14ac:dyDescent="0.2">
      <c r="AE711" s="19">
        <v>620</v>
      </c>
      <c r="AG711" s="19">
        <f t="shared" si="271"/>
        <v>7</v>
      </c>
      <c r="AH711" s="19">
        <f t="shared" si="272"/>
        <v>1</v>
      </c>
      <c r="AI711" s="19">
        <f t="shared" si="273"/>
        <v>82.915000000000006</v>
      </c>
      <c r="AJ711" s="410">
        <f t="shared" si="274"/>
        <v>954.04</v>
      </c>
      <c r="AK711" s="19" t="e">
        <f t="shared" si="275"/>
        <v>#N/A</v>
      </c>
      <c r="AL711" s="19">
        <f t="shared" si="276"/>
        <v>754.04</v>
      </c>
      <c r="AM711" s="19" t="e">
        <f t="shared" si="277"/>
        <v>#N/A</v>
      </c>
      <c r="AN711" s="19">
        <f t="shared" si="278"/>
        <v>554.04</v>
      </c>
      <c r="AO711" s="19" t="e">
        <f t="shared" si="279"/>
        <v>#N/A</v>
      </c>
      <c r="AP711" s="19">
        <f t="shared" si="280"/>
        <v>354.04</v>
      </c>
      <c r="AQ711" s="19" t="e">
        <f t="shared" si="281"/>
        <v>#N/A</v>
      </c>
      <c r="AR711" s="19">
        <f t="shared" si="282"/>
        <v>154.04</v>
      </c>
      <c r="AS711" s="19" t="e">
        <f t="shared" si="283"/>
        <v>#N/A</v>
      </c>
    </row>
    <row r="712" spans="31:45" ht="11.25" customHeight="1" x14ac:dyDescent="0.2">
      <c r="AE712" s="19">
        <v>621</v>
      </c>
      <c r="AG712" s="19">
        <f t="shared" si="271"/>
        <v>9</v>
      </c>
      <c r="AH712" s="19">
        <f t="shared" si="272"/>
        <v>-1</v>
      </c>
      <c r="AI712" s="19">
        <f t="shared" si="273"/>
        <v>82.915000000000006</v>
      </c>
      <c r="AJ712" s="410">
        <f t="shared" si="274"/>
        <v>830.52</v>
      </c>
      <c r="AK712" s="19" t="e">
        <f t="shared" si="275"/>
        <v>#N/A</v>
      </c>
      <c r="AL712" s="19">
        <f t="shared" si="276"/>
        <v>630.52</v>
      </c>
      <c r="AM712" s="19" t="e">
        <f t="shared" si="277"/>
        <v>#N/A</v>
      </c>
      <c r="AN712" s="19">
        <f t="shared" si="278"/>
        <v>430.52</v>
      </c>
      <c r="AO712" s="19" t="e">
        <f t="shared" si="279"/>
        <v>#N/A</v>
      </c>
      <c r="AP712" s="19">
        <f t="shared" si="280"/>
        <v>230.51999999999998</v>
      </c>
      <c r="AQ712" s="19" t="e">
        <f t="shared" si="281"/>
        <v>#N/A</v>
      </c>
      <c r="AR712" s="19">
        <f t="shared" si="282"/>
        <v>30.519999999999996</v>
      </c>
      <c r="AS712" s="19" t="e">
        <f t="shared" si="283"/>
        <v>#N/A</v>
      </c>
    </row>
    <row r="713" spans="31:45" ht="11.25" customHeight="1" x14ac:dyDescent="0.2">
      <c r="AE713" s="19">
        <v>622</v>
      </c>
      <c r="AG713" s="19">
        <f t="shared" si="271"/>
        <v>9</v>
      </c>
      <c r="AH713" s="19">
        <f t="shared" si="272"/>
        <v>1</v>
      </c>
      <c r="AI713" s="19">
        <f t="shared" si="273"/>
        <v>82.915000000000006</v>
      </c>
      <c r="AJ713" s="410">
        <f t="shared" si="274"/>
        <v>969.48</v>
      </c>
      <c r="AK713" s="19" t="e">
        <f t="shared" si="275"/>
        <v>#N/A</v>
      </c>
      <c r="AL713" s="19">
        <f t="shared" si="276"/>
        <v>769.48</v>
      </c>
      <c r="AM713" s="19" t="e">
        <f t="shared" si="277"/>
        <v>#N/A</v>
      </c>
      <c r="AN713" s="19">
        <f t="shared" si="278"/>
        <v>569.48</v>
      </c>
      <c r="AO713" s="19" t="e">
        <f t="shared" si="279"/>
        <v>#N/A</v>
      </c>
      <c r="AP713" s="19">
        <f t="shared" si="280"/>
        <v>369.48</v>
      </c>
      <c r="AQ713" s="19" t="e">
        <f t="shared" si="281"/>
        <v>#N/A</v>
      </c>
      <c r="AR713" s="19">
        <f t="shared" si="282"/>
        <v>169.48000000000002</v>
      </c>
      <c r="AS713" s="19" t="e">
        <f t="shared" si="283"/>
        <v>#N/A</v>
      </c>
    </row>
    <row r="714" spans="31:45" ht="11.25" customHeight="1" x14ac:dyDescent="0.2">
      <c r="AE714" s="19">
        <v>623</v>
      </c>
      <c r="AG714" s="19">
        <f t="shared" si="271"/>
        <v>11</v>
      </c>
      <c r="AH714" s="19">
        <f t="shared" si="272"/>
        <v>-1</v>
      </c>
      <c r="AI714" s="19">
        <f t="shared" si="273"/>
        <v>82.915000000000006</v>
      </c>
      <c r="AJ714" s="410">
        <f t="shared" si="274"/>
        <v>815.08</v>
      </c>
      <c r="AK714" s="19" t="e">
        <f t="shared" si="275"/>
        <v>#N/A</v>
      </c>
      <c r="AL714" s="19">
        <f t="shared" si="276"/>
        <v>615.08000000000004</v>
      </c>
      <c r="AM714" s="19" t="e">
        <f t="shared" si="277"/>
        <v>#N/A</v>
      </c>
      <c r="AN714" s="19">
        <f t="shared" si="278"/>
        <v>415.08</v>
      </c>
      <c r="AO714" s="19" t="e">
        <f t="shared" si="279"/>
        <v>#N/A</v>
      </c>
      <c r="AP714" s="19">
        <f t="shared" si="280"/>
        <v>215.07999999999998</v>
      </c>
      <c r="AQ714" s="19" t="e">
        <f t="shared" si="281"/>
        <v>#N/A</v>
      </c>
      <c r="AR714" s="19">
        <f t="shared" si="282"/>
        <v>15.079999999999998</v>
      </c>
      <c r="AS714" s="19" t="e">
        <f t="shared" si="283"/>
        <v>#N/A</v>
      </c>
    </row>
    <row r="715" spans="31:45" ht="11.25" customHeight="1" x14ac:dyDescent="0.2">
      <c r="AE715" s="19">
        <v>624</v>
      </c>
      <c r="AG715" s="19">
        <f t="shared" si="271"/>
        <v>11</v>
      </c>
      <c r="AH715" s="19">
        <f t="shared" si="272"/>
        <v>1</v>
      </c>
      <c r="AI715" s="19">
        <f t="shared" si="273"/>
        <v>82.915000000000006</v>
      </c>
      <c r="AJ715" s="410">
        <f t="shared" si="274"/>
        <v>984.92</v>
      </c>
      <c r="AK715" s="19" t="e">
        <f t="shared" si="275"/>
        <v>#N/A</v>
      </c>
      <c r="AL715" s="19">
        <f t="shared" si="276"/>
        <v>784.92</v>
      </c>
      <c r="AM715" s="19" t="e">
        <f t="shared" si="277"/>
        <v>#N/A</v>
      </c>
      <c r="AN715" s="19">
        <f t="shared" si="278"/>
        <v>584.91999999999996</v>
      </c>
      <c r="AO715" s="19" t="e">
        <f t="shared" si="279"/>
        <v>#N/A</v>
      </c>
      <c r="AP715" s="19">
        <f t="shared" si="280"/>
        <v>384.92</v>
      </c>
      <c r="AQ715" s="19" t="e">
        <f t="shared" si="281"/>
        <v>#N/A</v>
      </c>
      <c r="AR715" s="19">
        <f t="shared" si="282"/>
        <v>184.92000000000002</v>
      </c>
      <c r="AS715" s="19" t="e">
        <f t="shared" si="283"/>
        <v>#N/A</v>
      </c>
    </row>
    <row r="716" spans="31:45" ht="11.25" customHeight="1" x14ac:dyDescent="0.2">
      <c r="AE716" s="19">
        <v>625</v>
      </c>
      <c r="AG716" s="19">
        <f t="shared" si="271"/>
        <v>1</v>
      </c>
      <c r="AH716" s="19">
        <f t="shared" si="272"/>
        <v>-1</v>
      </c>
      <c r="AI716" s="19">
        <f t="shared" si="273"/>
        <v>84.525000000000006</v>
      </c>
      <c r="AJ716" s="410">
        <f t="shared" si="274"/>
        <v>892.28</v>
      </c>
      <c r="AK716" s="19" t="e">
        <f t="shared" si="275"/>
        <v>#N/A</v>
      </c>
      <c r="AL716" s="19">
        <f t="shared" si="276"/>
        <v>692.28</v>
      </c>
      <c r="AM716" s="19" t="e">
        <f t="shared" si="277"/>
        <v>#N/A</v>
      </c>
      <c r="AN716" s="19">
        <f t="shared" si="278"/>
        <v>492.28</v>
      </c>
      <c r="AO716" s="19" t="e">
        <f t="shared" si="279"/>
        <v>#N/A</v>
      </c>
      <c r="AP716" s="19">
        <f t="shared" si="280"/>
        <v>292.27999999999997</v>
      </c>
      <c r="AQ716" s="19" t="e">
        <f t="shared" si="281"/>
        <v>#N/A</v>
      </c>
      <c r="AR716" s="19">
        <f t="shared" si="282"/>
        <v>92.28</v>
      </c>
      <c r="AS716" s="19" t="e">
        <f t="shared" si="283"/>
        <v>#N/A</v>
      </c>
    </row>
    <row r="717" spans="31:45" ht="11.25" customHeight="1" x14ac:dyDescent="0.2">
      <c r="AE717" s="19">
        <v>626</v>
      </c>
      <c r="AG717" s="19">
        <f t="shared" si="271"/>
        <v>1</v>
      </c>
      <c r="AH717" s="19">
        <f t="shared" si="272"/>
        <v>1</v>
      </c>
      <c r="AI717" s="19">
        <f t="shared" si="273"/>
        <v>84.525000000000006</v>
      </c>
      <c r="AJ717" s="410">
        <f t="shared" si="274"/>
        <v>907.72</v>
      </c>
      <c r="AK717" s="19" t="e">
        <f t="shared" si="275"/>
        <v>#N/A</v>
      </c>
      <c r="AL717" s="19">
        <f t="shared" si="276"/>
        <v>707.72</v>
      </c>
      <c r="AM717" s="19" t="e">
        <f t="shared" si="277"/>
        <v>#N/A</v>
      </c>
      <c r="AN717" s="19">
        <f t="shared" si="278"/>
        <v>507.72</v>
      </c>
      <c r="AO717" s="19" t="e">
        <f t="shared" si="279"/>
        <v>#N/A</v>
      </c>
      <c r="AP717" s="19">
        <f t="shared" si="280"/>
        <v>307.72000000000003</v>
      </c>
      <c r="AQ717" s="19" t="e">
        <f t="shared" si="281"/>
        <v>#N/A</v>
      </c>
      <c r="AR717" s="19">
        <f t="shared" si="282"/>
        <v>107.72</v>
      </c>
      <c r="AS717" s="19" t="e">
        <f t="shared" si="283"/>
        <v>#N/A</v>
      </c>
    </row>
    <row r="718" spans="31:45" ht="11.25" customHeight="1" x14ac:dyDescent="0.2">
      <c r="AE718" s="19">
        <v>627</v>
      </c>
      <c r="AG718" s="19">
        <f t="shared" si="271"/>
        <v>3</v>
      </c>
      <c r="AH718" s="19">
        <f t="shared" si="272"/>
        <v>-1</v>
      </c>
      <c r="AI718" s="19">
        <f t="shared" si="273"/>
        <v>84.525000000000006</v>
      </c>
      <c r="AJ718" s="410">
        <f t="shared" si="274"/>
        <v>876.84</v>
      </c>
      <c r="AK718" s="19" t="e">
        <f t="shared" si="275"/>
        <v>#N/A</v>
      </c>
      <c r="AL718" s="19">
        <f t="shared" si="276"/>
        <v>676.84</v>
      </c>
      <c r="AM718" s="19" t="e">
        <f t="shared" si="277"/>
        <v>#N/A</v>
      </c>
      <c r="AN718" s="19">
        <f t="shared" si="278"/>
        <v>476.84</v>
      </c>
      <c r="AO718" s="19" t="e">
        <f t="shared" si="279"/>
        <v>#N/A</v>
      </c>
      <c r="AP718" s="19">
        <f t="shared" si="280"/>
        <v>276.83999999999997</v>
      </c>
      <c r="AQ718" s="19" t="e">
        <f t="shared" si="281"/>
        <v>#N/A</v>
      </c>
      <c r="AR718" s="19">
        <f t="shared" si="282"/>
        <v>76.84</v>
      </c>
      <c r="AS718" s="19" t="e">
        <f t="shared" si="283"/>
        <v>#N/A</v>
      </c>
    </row>
    <row r="719" spans="31:45" ht="11.25" customHeight="1" x14ac:dyDescent="0.2">
      <c r="AE719" s="19">
        <v>628</v>
      </c>
      <c r="AG719" s="19">
        <f t="shared" si="271"/>
        <v>3</v>
      </c>
      <c r="AH719" s="19">
        <f t="shared" si="272"/>
        <v>1</v>
      </c>
      <c r="AI719" s="19">
        <f t="shared" si="273"/>
        <v>84.525000000000006</v>
      </c>
      <c r="AJ719" s="410">
        <f t="shared" si="274"/>
        <v>923.16</v>
      </c>
      <c r="AK719" s="19" t="e">
        <f t="shared" si="275"/>
        <v>#N/A</v>
      </c>
      <c r="AL719" s="19">
        <f t="shared" si="276"/>
        <v>723.16</v>
      </c>
      <c r="AM719" s="19" t="e">
        <f t="shared" si="277"/>
        <v>#N/A</v>
      </c>
      <c r="AN719" s="19">
        <f t="shared" si="278"/>
        <v>523.16</v>
      </c>
      <c r="AO719" s="19" t="e">
        <f t="shared" si="279"/>
        <v>#N/A</v>
      </c>
      <c r="AP719" s="19">
        <f t="shared" si="280"/>
        <v>323.16000000000003</v>
      </c>
      <c r="AQ719" s="19" t="e">
        <f t="shared" si="281"/>
        <v>#N/A</v>
      </c>
      <c r="AR719" s="19">
        <f t="shared" si="282"/>
        <v>123.16</v>
      </c>
      <c r="AS719" s="19" t="e">
        <f t="shared" si="283"/>
        <v>#N/A</v>
      </c>
    </row>
    <row r="720" spans="31:45" ht="11.25" customHeight="1" x14ac:dyDescent="0.2">
      <c r="AE720" s="19">
        <v>629</v>
      </c>
      <c r="AG720" s="19">
        <f t="shared" si="271"/>
        <v>5</v>
      </c>
      <c r="AH720" s="19">
        <f t="shared" si="272"/>
        <v>-1</v>
      </c>
      <c r="AI720" s="19">
        <f t="shared" si="273"/>
        <v>84.525000000000006</v>
      </c>
      <c r="AJ720" s="410">
        <f t="shared" si="274"/>
        <v>861.4</v>
      </c>
      <c r="AK720" s="19" t="e">
        <f t="shared" si="275"/>
        <v>#N/A</v>
      </c>
      <c r="AL720" s="19">
        <f t="shared" si="276"/>
        <v>661.4</v>
      </c>
      <c r="AM720" s="19" t="e">
        <f t="shared" si="277"/>
        <v>#N/A</v>
      </c>
      <c r="AN720" s="19">
        <f t="shared" si="278"/>
        <v>461.4</v>
      </c>
      <c r="AO720" s="19" t="e">
        <f t="shared" si="279"/>
        <v>#N/A</v>
      </c>
      <c r="AP720" s="19">
        <f t="shared" si="280"/>
        <v>261.39999999999998</v>
      </c>
      <c r="AQ720" s="19" t="e">
        <f t="shared" si="281"/>
        <v>#N/A</v>
      </c>
      <c r="AR720" s="19">
        <f t="shared" si="282"/>
        <v>61.4</v>
      </c>
      <c r="AS720" s="19" t="e">
        <f t="shared" si="283"/>
        <v>#N/A</v>
      </c>
    </row>
    <row r="721" spans="31:45" ht="11.25" customHeight="1" x14ac:dyDescent="0.2">
      <c r="AE721" s="19">
        <v>630</v>
      </c>
      <c r="AG721" s="19">
        <f t="shared" si="271"/>
        <v>5</v>
      </c>
      <c r="AH721" s="19">
        <f t="shared" si="272"/>
        <v>1</v>
      </c>
      <c r="AI721" s="19">
        <f t="shared" si="273"/>
        <v>84.525000000000006</v>
      </c>
      <c r="AJ721" s="410">
        <f t="shared" si="274"/>
        <v>938.6</v>
      </c>
      <c r="AK721" s="19" t="e">
        <f t="shared" si="275"/>
        <v>#N/A</v>
      </c>
      <c r="AL721" s="19">
        <f t="shared" si="276"/>
        <v>738.6</v>
      </c>
      <c r="AM721" s="19" t="e">
        <f t="shared" si="277"/>
        <v>#N/A</v>
      </c>
      <c r="AN721" s="19">
        <f t="shared" si="278"/>
        <v>538.6</v>
      </c>
      <c r="AO721" s="19" t="e">
        <f t="shared" si="279"/>
        <v>#N/A</v>
      </c>
      <c r="AP721" s="19">
        <f t="shared" si="280"/>
        <v>338.6</v>
      </c>
      <c r="AQ721" s="19" t="e">
        <f t="shared" si="281"/>
        <v>#N/A</v>
      </c>
      <c r="AR721" s="19">
        <f t="shared" si="282"/>
        <v>138.6</v>
      </c>
      <c r="AS721" s="19" t="e">
        <f t="shared" si="283"/>
        <v>#N/A</v>
      </c>
    </row>
    <row r="722" spans="31:45" ht="11.25" customHeight="1" x14ac:dyDescent="0.2">
      <c r="AE722" s="19">
        <v>631</v>
      </c>
      <c r="AG722" s="19">
        <f t="shared" si="271"/>
        <v>7</v>
      </c>
      <c r="AH722" s="19">
        <f t="shared" si="272"/>
        <v>-1</v>
      </c>
      <c r="AI722" s="19">
        <f t="shared" si="273"/>
        <v>84.525000000000006</v>
      </c>
      <c r="AJ722" s="410">
        <f t="shared" si="274"/>
        <v>845.96</v>
      </c>
      <c r="AK722" s="19" t="e">
        <f t="shared" si="275"/>
        <v>#N/A</v>
      </c>
      <c r="AL722" s="19">
        <f t="shared" si="276"/>
        <v>645.96</v>
      </c>
      <c r="AM722" s="19" t="e">
        <f t="shared" si="277"/>
        <v>#N/A</v>
      </c>
      <c r="AN722" s="19">
        <f t="shared" si="278"/>
        <v>445.96</v>
      </c>
      <c r="AO722" s="19" t="e">
        <f t="shared" si="279"/>
        <v>#N/A</v>
      </c>
      <c r="AP722" s="19">
        <f t="shared" si="280"/>
        <v>245.96</v>
      </c>
      <c r="AQ722" s="19" t="e">
        <f t="shared" si="281"/>
        <v>#N/A</v>
      </c>
      <c r="AR722" s="19">
        <f t="shared" si="282"/>
        <v>45.96</v>
      </c>
      <c r="AS722" s="19" t="e">
        <f t="shared" si="283"/>
        <v>#N/A</v>
      </c>
    </row>
    <row r="723" spans="31:45" ht="11.25" customHeight="1" x14ac:dyDescent="0.2">
      <c r="AE723" s="19">
        <v>632</v>
      </c>
      <c r="AG723" s="19">
        <f t="shared" si="271"/>
        <v>7</v>
      </c>
      <c r="AH723" s="19">
        <f t="shared" si="272"/>
        <v>1</v>
      </c>
      <c r="AI723" s="19">
        <f t="shared" si="273"/>
        <v>84.525000000000006</v>
      </c>
      <c r="AJ723" s="410">
        <f t="shared" si="274"/>
        <v>954.04</v>
      </c>
      <c r="AK723" s="19" t="e">
        <f t="shared" si="275"/>
        <v>#N/A</v>
      </c>
      <c r="AL723" s="19">
        <f t="shared" si="276"/>
        <v>754.04</v>
      </c>
      <c r="AM723" s="19" t="e">
        <f t="shared" si="277"/>
        <v>#N/A</v>
      </c>
      <c r="AN723" s="19">
        <f t="shared" si="278"/>
        <v>554.04</v>
      </c>
      <c r="AO723" s="19" t="e">
        <f t="shared" si="279"/>
        <v>#N/A</v>
      </c>
      <c r="AP723" s="19">
        <f t="shared" si="280"/>
        <v>354.04</v>
      </c>
      <c r="AQ723" s="19" t="e">
        <f t="shared" si="281"/>
        <v>#N/A</v>
      </c>
      <c r="AR723" s="19">
        <f t="shared" si="282"/>
        <v>154.04</v>
      </c>
      <c r="AS723" s="19" t="e">
        <f t="shared" si="283"/>
        <v>#N/A</v>
      </c>
    </row>
    <row r="724" spans="31:45" ht="11.25" customHeight="1" x14ac:dyDescent="0.2">
      <c r="AE724" s="19">
        <v>633</v>
      </c>
      <c r="AG724" s="19">
        <f t="shared" si="271"/>
        <v>9</v>
      </c>
      <c r="AH724" s="19">
        <f t="shared" si="272"/>
        <v>-1</v>
      </c>
      <c r="AI724" s="19">
        <f t="shared" si="273"/>
        <v>84.525000000000006</v>
      </c>
      <c r="AJ724" s="410">
        <f t="shared" si="274"/>
        <v>830.52</v>
      </c>
      <c r="AK724" s="19" t="e">
        <f t="shared" si="275"/>
        <v>#N/A</v>
      </c>
      <c r="AL724" s="19">
        <f t="shared" si="276"/>
        <v>630.52</v>
      </c>
      <c r="AM724" s="19" t="e">
        <f t="shared" si="277"/>
        <v>#N/A</v>
      </c>
      <c r="AN724" s="19">
        <f t="shared" si="278"/>
        <v>430.52</v>
      </c>
      <c r="AO724" s="19" t="e">
        <f t="shared" si="279"/>
        <v>#N/A</v>
      </c>
      <c r="AP724" s="19">
        <f t="shared" si="280"/>
        <v>230.51999999999998</v>
      </c>
      <c r="AQ724" s="19" t="e">
        <f t="shared" si="281"/>
        <v>#N/A</v>
      </c>
      <c r="AR724" s="19">
        <f t="shared" si="282"/>
        <v>30.519999999999996</v>
      </c>
      <c r="AS724" s="19" t="e">
        <f t="shared" si="283"/>
        <v>#N/A</v>
      </c>
    </row>
    <row r="725" spans="31:45" ht="11.25" customHeight="1" x14ac:dyDescent="0.2">
      <c r="AE725" s="19">
        <v>634</v>
      </c>
      <c r="AG725" s="19">
        <f t="shared" si="271"/>
        <v>9</v>
      </c>
      <c r="AH725" s="19">
        <f t="shared" si="272"/>
        <v>1</v>
      </c>
      <c r="AI725" s="19">
        <f t="shared" si="273"/>
        <v>84.525000000000006</v>
      </c>
      <c r="AJ725" s="410">
        <f t="shared" si="274"/>
        <v>969.48</v>
      </c>
      <c r="AK725" s="19" t="e">
        <f t="shared" si="275"/>
        <v>#N/A</v>
      </c>
      <c r="AL725" s="19">
        <f t="shared" si="276"/>
        <v>769.48</v>
      </c>
      <c r="AM725" s="19" t="e">
        <f t="shared" si="277"/>
        <v>#N/A</v>
      </c>
      <c r="AN725" s="19">
        <f t="shared" si="278"/>
        <v>569.48</v>
      </c>
      <c r="AO725" s="19" t="e">
        <f t="shared" si="279"/>
        <v>#N/A</v>
      </c>
      <c r="AP725" s="19">
        <f t="shared" si="280"/>
        <v>369.48</v>
      </c>
      <c r="AQ725" s="19" t="e">
        <f t="shared" si="281"/>
        <v>#N/A</v>
      </c>
      <c r="AR725" s="19">
        <f t="shared" si="282"/>
        <v>169.48000000000002</v>
      </c>
      <c r="AS725" s="19" t="e">
        <f t="shared" si="283"/>
        <v>#N/A</v>
      </c>
    </row>
    <row r="726" spans="31:45" ht="11.25" customHeight="1" x14ac:dyDescent="0.2">
      <c r="AE726" s="19">
        <v>635</v>
      </c>
      <c r="AG726" s="19">
        <f t="shared" si="271"/>
        <v>11</v>
      </c>
      <c r="AH726" s="19">
        <f t="shared" si="272"/>
        <v>-1</v>
      </c>
      <c r="AI726" s="19">
        <f t="shared" si="273"/>
        <v>84.525000000000006</v>
      </c>
      <c r="AJ726" s="410">
        <f t="shared" si="274"/>
        <v>815.08</v>
      </c>
      <c r="AK726" s="19" t="e">
        <f t="shared" si="275"/>
        <v>#N/A</v>
      </c>
      <c r="AL726" s="19">
        <f t="shared" si="276"/>
        <v>615.08000000000004</v>
      </c>
      <c r="AM726" s="19" t="e">
        <f t="shared" si="277"/>
        <v>#N/A</v>
      </c>
      <c r="AN726" s="19">
        <f t="shared" si="278"/>
        <v>415.08</v>
      </c>
      <c r="AO726" s="19" t="e">
        <f t="shared" si="279"/>
        <v>#N/A</v>
      </c>
      <c r="AP726" s="19">
        <f t="shared" si="280"/>
        <v>215.07999999999998</v>
      </c>
      <c r="AQ726" s="19" t="e">
        <f t="shared" si="281"/>
        <v>#N/A</v>
      </c>
      <c r="AR726" s="19">
        <f t="shared" si="282"/>
        <v>15.079999999999998</v>
      </c>
      <c r="AS726" s="19" t="e">
        <f t="shared" si="283"/>
        <v>#N/A</v>
      </c>
    </row>
    <row r="727" spans="31:45" ht="11.25" customHeight="1" x14ac:dyDescent="0.2">
      <c r="AE727" s="19">
        <v>636</v>
      </c>
      <c r="AG727" s="19">
        <f t="shared" si="271"/>
        <v>11</v>
      </c>
      <c r="AH727" s="19">
        <f t="shared" si="272"/>
        <v>1</v>
      </c>
      <c r="AI727" s="19">
        <f t="shared" si="273"/>
        <v>84.525000000000006</v>
      </c>
      <c r="AJ727" s="410">
        <f t="shared" si="274"/>
        <v>984.92</v>
      </c>
      <c r="AK727" s="19" t="e">
        <f t="shared" si="275"/>
        <v>#N/A</v>
      </c>
      <c r="AL727" s="19">
        <f t="shared" si="276"/>
        <v>784.92</v>
      </c>
      <c r="AM727" s="19" t="e">
        <f t="shared" si="277"/>
        <v>#N/A</v>
      </c>
      <c r="AN727" s="19">
        <f t="shared" si="278"/>
        <v>584.91999999999996</v>
      </c>
      <c r="AO727" s="19" t="e">
        <f t="shared" si="279"/>
        <v>#N/A</v>
      </c>
      <c r="AP727" s="19">
        <f t="shared" si="280"/>
        <v>384.92</v>
      </c>
      <c r="AQ727" s="19" t="e">
        <f t="shared" si="281"/>
        <v>#N/A</v>
      </c>
      <c r="AR727" s="19">
        <f t="shared" si="282"/>
        <v>184.92000000000002</v>
      </c>
      <c r="AS727" s="19" t="e">
        <f t="shared" si="283"/>
        <v>#N/A</v>
      </c>
    </row>
    <row r="728" spans="31:45" ht="11.25" customHeight="1" x14ac:dyDescent="0.2">
      <c r="AE728" s="19">
        <v>637</v>
      </c>
      <c r="AG728" s="19">
        <f t="shared" si="271"/>
        <v>1</v>
      </c>
      <c r="AH728" s="19">
        <f t="shared" si="272"/>
        <v>-1</v>
      </c>
      <c r="AI728" s="19">
        <f t="shared" si="273"/>
        <v>86.135000000000005</v>
      </c>
      <c r="AJ728" s="410">
        <f t="shared" si="274"/>
        <v>892.28</v>
      </c>
      <c r="AK728" s="19" t="e">
        <f t="shared" si="275"/>
        <v>#N/A</v>
      </c>
      <c r="AL728" s="19">
        <f t="shared" si="276"/>
        <v>692.28</v>
      </c>
      <c r="AM728" s="19" t="e">
        <f t="shared" si="277"/>
        <v>#N/A</v>
      </c>
      <c r="AN728" s="19">
        <f t="shared" si="278"/>
        <v>492.28</v>
      </c>
      <c r="AO728" s="19" t="e">
        <f t="shared" si="279"/>
        <v>#N/A</v>
      </c>
      <c r="AP728" s="19">
        <f t="shared" si="280"/>
        <v>292.27999999999997</v>
      </c>
      <c r="AQ728" s="19" t="e">
        <f t="shared" si="281"/>
        <v>#N/A</v>
      </c>
      <c r="AR728" s="19">
        <f t="shared" si="282"/>
        <v>92.28</v>
      </c>
      <c r="AS728" s="19" t="e">
        <f t="shared" si="283"/>
        <v>#N/A</v>
      </c>
    </row>
    <row r="729" spans="31:45" ht="11.25" customHeight="1" x14ac:dyDescent="0.2">
      <c r="AE729" s="19">
        <v>638</v>
      </c>
      <c r="AG729" s="19">
        <f t="shared" si="271"/>
        <v>1</v>
      </c>
      <c r="AH729" s="19">
        <f t="shared" si="272"/>
        <v>1</v>
      </c>
      <c r="AI729" s="19">
        <f t="shared" si="273"/>
        <v>86.135000000000005</v>
      </c>
      <c r="AJ729" s="410">
        <f t="shared" si="274"/>
        <v>907.72</v>
      </c>
      <c r="AK729" s="19" t="e">
        <f t="shared" si="275"/>
        <v>#N/A</v>
      </c>
      <c r="AL729" s="19">
        <f t="shared" si="276"/>
        <v>707.72</v>
      </c>
      <c r="AM729" s="19" t="e">
        <f t="shared" si="277"/>
        <v>#N/A</v>
      </c>
      <c r="AN729" s="19">
        <f t="shared" si="278"/>
        <v>507.72</v>
      </c>
      <c r="AO729" s="19" t="e">
        <f t="shared" si="279"/>
        <v>#N/A</v>
      </c>
      <c r="AP729" s="19">
        <f t="shared" si="280"/>
        <v>307.72000000000003</v>
      </c>
      <c r="AQ729" s="19" t="e">
        <f t="shared" si="281"/>
        <v>#N/A</v>
      </c>
      <c r="AR729" s="19">
        <f t="shared" si="282"/>
        <v>107.72</v>
      </c>
      <c r="AS729" s="19" t="e">
        <f t="shared" si="283"/>
        <v>#N/A</v>
      </c>
    </row>
    <row r="730" spans="31:45" ht="11.25" customHeight="1" x14ac:dyDescent="0.2">
      <c r="AE730" s="19">
        <v>639</v>
      </c>
      <c r="AG730" s="19">
        <f t="shared" si="271"/>
        <v>3</v>
      </c>
      <c r="AH730" s="19">
        <f t="shared" si="272"/>
        <v>-1</v>
      </c>
      <c r="AI730" s="19">
        <f t="shared" si="273"/>
        <v>86.135000000000005</v>
      </c>
      <c r="AJ730" s="410">
        <f t="shared" si="274"/>
        <v>876.84</v>
      </c>
      <c r="AK730" s="19" t="e">
        <f t="shared" si="275"/>
        <v>#N/A</v>
      </c>
      <c r="AL730" s="19">
        <f t="shared" si="276"/>
        <v>676.84</v>
      </c>
      <c r="AM730" s="19" t="e">
        <f t="shared" si="277"/>
        <v>#N/A</v>
      </c>
      <c r="AN730" s="19">
        <f t="shared" si="278"/>
        <v>476.84</v>
      </c>
      <c r="AO730" s="19" t="e">
        <f t="shared" si="279"/>
        <v>#N/A</v>
      </c>
      <c r="AP730" s="19">
        <f t="shared" si="280"/>
        <v>276.83999999999997</v>
      </c>
      <c r="AQ730" s="19" t="e">
        <f t="shared" si="281"/>
        <v>#N/A</v>
      </c>
      <c r="AR730" s="19">
        <f t="shared" si="282"/>
        <v>76.84</v>
      </c>
      <c r="AS730" s="19" t="e">
        <f t="shared" si="283"/>
        <v>#N/A</v>
      </c>
    </row>
    <row r="731" spans="31:45" ht="11.25" customHeight="1" x14ac:dyDescent="0.2">
      <c r="AE731" s="19">
        <v>640</v>
      </c>
      <c r="AG731" s="19">
        <f t="shared" si="271"/>
        <v>3</v>
      </c>
      <c r="AH731" s="19">
        <f t="shared" si="272"/>
        <v>1</v>
      </c>
      <c r="AI731" s="19">
        <f t="shared" si="273"/>
        <v>86.135000000000005</v>
      </c>
      <c r="AJ731" s="410">
        <f t="shared" si="274"/>
        <v>923.16</v>
      </c>
      <c r="AK731" s="19" t="e">
        <f t="shared" si="275"/>
        <v>#N/A</v>
      </c>
      <c r="AL731" s="19">
        <f t="shared" si="276"/>
        <v>723.16</v>
      </c>
      <c r="AM731" s="19" t="e">
        <f t="shared" si="277"/>
        <v>#N/A</v>
      </c>
      <c r="AN731" s="19">
        <f t="shared" si="278"/>
        <v>523.16</v>
      </c>
      <c r="AO731" s="19" t="e">
        <f t="shared" si="279"/>
        <v>#N/A</v>
      </c>
      <c r="AP731" s="19">
        <f t="shared" si="280"/>
        <v>323.16000000000003</v>
      </c>
      <c r="AQ731" s="19" t="e">
        <f t="shared" si="281"/>
        <v>#N/A</v>
      </c>
      <c r="AR731" s="19">
        <f t="shared" si="282"/>
        <v>123.16</v>
      </c>
      <c r="AS731" s="19" t="e">
        <f t="shared" si="283"/>
        <v>#N/A</v>
      </c>
    </row>
    <row r="732" spans="31:45" ht="11.25" customHeight="1" x14ac:dyDescent="0.2">
      <c r="AE732" s="19">
        <v>641</v>
      </c>
      <c r="AG732" s="19">
        <f t="shared" ref="AG732:AG795" si="284">2*ROUNDUP((MOD(AE732-1,$AB$94)+1)/2,0)-1</f>
        <v>5</v>
      </c>
      <c r="AH732" s="19">
        <f t="shared" ref="AH732:AH795" si="285">IF(AG732=AG733,-1,1)</f>
        <v>-1</v>
      </c>
      <c r="AI732" s="19">
        <f t="shared" ref="AI732:AI795" si="286">IF($BR$7,$AB$87*(0.5+INT((AE732-0.5)/$AB$94)),NA())</f>
        <v>86.135000000000005</v>
      </c>
      <c r="AJ732" s="410">
        <f t="shared" ref="AJ732:AJ795" si="287">IF($BP$11,$AM$87+$AB$90*AH732*AG732,NA())</f>
        <v>861.4</v>
      </c>
      <c r="AK732" s="19" t="e">
        <f t="shared" ref="AK732:AK795" si="288">IF($AG$83&lt;AE732,NA(),AI732)</f>
        <v>#N/A</v>
      </c>
      <c r="AL732" s="19">
        <f t="shared" ref="AL732:AL795" si="289">IF($BP$11,$AN$87+$AB$90*AH732*AG732,NA())</f>
        <v>661.4</v>
      </c>
      <c r="AM732" s="19" t="e">
        <f t="shared" ref="AM732:AM795" si="290">IF($AH$83&lt;AE732,NA(),AI732)</f>
        <v>#N/A</v>
      </c>
      <c r="AN732" s="19">
        <f t="shared" ref="AN732:AN795" si="291">IF($BP$11,$AO$87+$AB$90*AH732*AG732,NA())</f>
        <v>461.4</v>
      </c>
      <c r="AO732" s="19" t="e">
        <f t="shared" ref="AO732:AO795" si="292">IF($AI$83&lt;AE732,NA(),AI732)</f>
        <v>#N/A</v>
      </c>
      <c r="AP732" s="19">
        <f t="shared" ref="AP732:AP795" si="293">IF($BP$11,$AP$87+$AB$90*AH732*AG732,NA())</f>
        <v>261.39999999999998</v>
      </c>
      <c r="AQ732" s="19" t="e">
        <f t="shared" ref="AQ732:AQ795" si="294">IF($AJ$83&lt;AE732,NA(),AI732)</f>
        <v>#N/A</v>
      </c>
      <c r="AR732" s="19">
        <f t="shared" ref="AR732:AR795" si="295">IF($BP$11,$AQ$87+$AB$90*AH732*AG732,NA())</f>
        <v>61.4</v>
      </c>
      <c r="AS732" s="19" t="e">
        <f t="shared" ref="AS732:AS795" si="296">IF($AK$83&lt;AE732,NA(),AI732)</f>
        <v>#N/A</v>
      </c>
    </row>
    <row r="733" spans="31:45" ht="11.25" customHeight="1" x14ac:dyDescent="0.2">
      <c r="AE733" s="19">
        <v>642</v>
      </c>
      <c r="AG733" s="19">
        <f t="shared" si="284"/>
        <v>5</v>
      </c>
      <c r="AH733" s="19">
        <f t="shared" si="285"/>
        <v>1</v>
      </c>
      <c r="AI733" s="19">
        <f t="shared" si="286"/>
        <v>86.135000000000005</v>
      </c>
      <c r="AJ733" s="410">
        <f t="shared" si="287"/>
        <v>938.6</v>
      </c>
      <c r="AK733" s="19" t="e">
        <f t="shared" si="288"/>
        <v>#N/A</v>
      </c>
      <c r="AL733" s="19">
        <f t="shared" si="289"/>
        <v>738.6</v>
      </c>
      <c r="AM733" s="19" t="e">
        <f t="shared" si="290"/>
        <v>#N/A</v>
      </c>
      <c r="AN733" s="19">
        <f t="shared" si="291"/>
        <v>538.6</v>
      </c>
      <c r="AO733" s="19" t="e">
        <f t="shared" si="292"/>
        <v>#N/A</v>
      </c>
      <c r="AP733" s="19">
        <f t="shared" si="293"/>
        <v>338.6</v>
      </c>
      <c r="AQ733" s="19" t="e">
        <f t="shared" si="294"/>
        <v>#N/A</v>
      </c>
      <c r="AR733" s="19">
        <f t="shared" si="295"/>
        <v>138.6</v>
      </c>
      <c r="AS733" s="19" t="e">
        <f t="shared" si="296"/>
        <v>#N/A</v>
      </c>
    </row>
    <row r="734" spans="31:45" ht="11.25" customHeight="1" x14ac:dyDescent="0.2">
      <c r="AE734" s="19">
        <v>643</v>
      </c>
      <c r="AG734" s="19">
        <f t="shared" si="284"/>
        <v>7</v>
      </c>
      <c r="AH734" s="19">
        <f t="shared" si="285"/>
        <v>-1</v>
      </c>
      <c r="AI734" s="19">
        <f t="shared" si="286"/>
        <v>86.135000000000005</v>
      </c>
      <c r="AJ734" s="410">
        <f t="shared" si="287"/>
        <v>845.96</v>
      </c>
      <c r="AK734" s="19" t="e">
        <f t="shared" si="288"/>
        <v>#N/A</v>
      </c>
      <c r="AL734" s="19">
        <f t="shared" si="289"/>
        <v>645.96</v>
      </c>
      <c r="AM734" s="19" t="e">
        <f t="shared" si="290"/>
        <v>#N/A</v>
      </c>
      <c r="AN734" s="19">
        <f t="shared" si="291"/>
        <v>445.96</v>
      </c>
      <c r="AO734" s="19" t="e">
        <f t="shared" si="292"/>
        <v>#N/A</v>
      </c>
      <c r="AP734" s="19">
        <f t="shared" si="293"/>
        <v>245.96</v>
      </c>
      <c r="AQ734" s="19" t="e">
        <f t="shared" si="294"/>
        <v>#N/A</v>
      </c>
      <c r="AR734" s="19">
        <f t="shared" si="295"/>
        <v>45.96</v>
      </c>
      <c r="AS734" s="19" t="e">
        <f t="shared" si="296"/>
        <v>#N/A</v>
      </c>
    </row>
    <row r="735" spans="31:45" ht="11.25" customHeight="1" x14ac:dyDescent="0.2">
      <c r="AE735" s="19">
        <v>644</v>
      </c>
      <c r="AG735" s="19">
        <f t="shared" si="284"/>
        <v>7</v>
      </c>
      <c r="AH735" s="19">
        <f t="shared" si="285"/>
        <v>1</v>
      </c>
      <c r="AI735" s="19">
        <f t="shared" si="286"/>
        <v>86.135000000000005</v>
      </c>
      <c r="AJ735" s="410">
        <f t="shared" si="287"/>
        <v>954.04</v>
      </c>
      <c r="AK735" s="19" t="e">
        <f t="shared" si="288"/>
        <v>#N/A</v>
      </c>
      <c r="AL735" s="19">
        <f t="shared" si="289"/>
        <v>754.04</v>
      </c>
      <c r="AM735" s="19" t="e">
        <f t="shared" si="290"/>
        <v>#N/A</v>
      </c>
      <c r="AN735" s="19">
        <f t="shared" si="291"/>
        <v>554.04</v>
      </c>
      <c r="AO735" s="19" t="e">
        <f t="shared" si="292"/>
        <v>#N/A</v>
      </c>
      <c r="AP735" s="19">
        <f t="shared" si="293"/>
        <v>354.04</v>
      </c>
      <c r="AQ735" s="19" t="e">
        <f t="shared" si="294"/>
        <v>#N/A</v>
      </c>
      <c r="AR735" s="19">
        <f t="shared" si="295"/>
        <v>154.04</v>
      </c>
      <c r="AS735" s="19" t="e">
        <f t="shared" si="296"/>
        <v>#N/A</v>
      </c>
    </row>
    <row r="736" spans="31:45" ht="11.25" customHeight="1" x14ac:dyDescent="0.2">
      <c r="AE736" s="19">
        <v>645</v>
      </c>
      <c r="AG736" s="19">
        <f t="shared" si="284"/>
        <v>9</v>
      </c>
      <c r="AH736" s="19">
        <f t="shared" si="285"/>
        <v>-1</v>
      </c>
      <c r="AI736" s="19">
        <f t="shared" si="286"/>
        <v>86.135000000000005</v>
      </c>
      <c r="AJ736" s="410">
        <f t="shared" si="287"/>
        <v>830.52</v>
      </c>
      <c r="AK736" s="19" t="e">
        <f t="shared" si="288"/>
        <v>#N/A</v>
      </c>
      <c r="AL736" s="19">
        <f t="shared" si="289"/>
        <v>630.52</v>
      </c>
      <c r="AM736" s="19" t="e">
        <f t="shared" si="290"/>
        <v>#N/A</v>
      </c>
      <c r="AN736" s="19">
        <f t="shared" si="291"/>
        <v>430.52</v>
      </c>
      <c r="AO736" s="19" t="e">
        <f t="shared" si="292"/>
        <v>#N/A</v>
      </c>
      <c r="AP736" s="19">
        <f t="shared" si="293"/>
        <v>230.51999999999998</v>
      </c>
      <c r="AQ736" s="19" t="e">
        <f t="shared" si="294"/>
        <v>#N/A</v>
      </c>
      <c r="AR736" s="19">
        <f t="shared" si="295"/>
        <v>30.519999999999996</v>
      </c>
      <c r="AS736" s="19" t="e">
        <f t="shared" si="296"/>
        <v>#N/A</v>
      </c>
    </row>
    <row r="737" spans="31:45" ht="11.25" customHeight="1" x14ac:dyDescent="0.2">
      <c r="AE737" s="19">
        <v>646</v>
      </c>
      <c r="AG737" s="19">
        <f t="shared" si="284"/>
        <v>9</v>
      </c>
      <c r="AH737" s="19">
        <f t="shared" si="285"/>
        <v>1</v>
      </c>
      <c r="AI737" s="19">
        <f t="shared" si="286"/>
        <v>86.135000000000005</v>
      </c>
      <c r="AJ737" s="410">
        <f t="shared" si="287"/>
        <v>969.48</v>
      </c>
      <c r="AK737" s="19" t="e">
        <f t="shared" si="288"/>
        <v>#N/A</v>
      </c>
      <c r="AL737" s="19">
        <f t="shared" si="289"/>
        <v>769.48</v>
      </c>
      <c r="AM737" s="19" t="e">
        <f t="shared" si="290"/>
        <v>#N/A</v>
      </c>
      <c r="AN737" s="19">
        <f t="shared" si="291"/>
        <v>569.48</v>
      </c>
      <c r="AO737" s="19" t="e">
        <f t="shared" si="292"/>
        <v>#N/A</v>
      </c>
      <c r="AP737" s="19">
        <f t="shared" si="293"/>
        <v>369.48</v>
      </c>
      <c r="AQ737" s="19" t="e">
        <f t="shared" si="294"/>
        <v>#N/A</v>
      </c>
      <c r="AR737" s="19">
        <f t="shared" si="295"/>
        <v>169.48000000000002</v>
      </c>
      <c r="AS737" s="19" t="e">
        <f t="shared" si="296"/>
        <v>#N/A</v>
      </c>
    </row>
    <row r="738" spans="31:45" ht="11.25" customHeight="1" x14ac:dyDescent="0.2">
      <c r="AE738" s="19">
        <v>647</v>
      </c>
      <c r="AG738" s="19">
        <f t="shared" si="284"/>
        <v>11</v>
      </c>
      <c r="AH738" s="19">
        <f t="shared" si="285"/>
        <v>-1</v>
      </c>
      <c r="AI738" s="19">
        <f t="shared" si="286"/>
        <v>86.135000000000005</v>
      </c>
      <c r="AJ738" s="410">
        <f t="shared" si="287"/>
        <v>815.08</v>
      </c>
      <c r="AK738" s="19" t="e">
        <f t="shared" si="288"/>
        <v>#N/A</v>
      </c>
      <c r="AL738" s="19">
        <f t="shared" si="289"/>
        <v>615.08000000000004</v>
      </c>
      <c r="AM738" s="19" t="e">
        <f t="shared" si="290"/>
        <v>#N/A</v>
      </c>
      <c r="AN738" s="19">
        <f t="shared" si="291"/>
        <v>415.08</v>
      </c>
      <c r="AO738" s="19" t="e">
        <f t="shared" si="292"/>
        <v>#N/A</v>
      </c>
      <c r="AP738" s="19">
        <f t="shared" si="293"/>
        <v>215.07999999999998</v>
      </c>
      <c r="AQ738" s="19" t="e">
        <f t="shared" si="294"/>
        <v>#N/A</v>
      </c>
      <c r="AR738" s="19">
        <f t="shared" si="295"/>
        <v>15.079999999999998</v>
      </c>
      <c r="AS738" s="19" t="e">
        <f t="shared" si="296"/>
        <v>#N/A</v>
      </c>
    </row>
    <row r="739" spans="31:45" ht="11.25" customHeight="1" x14ac:dyDescent="0.2">
      <c r="AE739" s="19">
        <v>648</v>
      </c>
      <c r="AG739" s="19">
        <f t="shared" si="284"/>
        <v>11</v>
      </c>
      <c r="AH739" s="19">
        <f t="shared" si="285"/>
        <v>1</v>
      </c>
      <c r="AI739" s="19">
        <f t="shared" si="286"/>
        <v>86.135000000000005</v>
      </c>
      <c r="AJ739" s="410">
        <f t="shared" si="287"/>
        <v>984.92</v>
      </c>
      <c r="AK739" s="19" t="e">
        <f t="shared" si="288"/>
        <v>#N/A</v>
      </c>
      <c r="AL739" s="19">
        <f t="shared" si="289"/>
        <v>784.92</v>
      </c>
      <c r="AM739" s="19" t="e">
        <f t="shared" si="290"/>
        <v>#N/A</v>
      </c>
      <c r="AN739" s="19">
        <f t="shared" si="291"/>
        <v>584.91999999999996</v>
      </c>
      <c r="AO739" s="19" t="e">
        <f t="shared" si="292"/>
        <v>#N/A</v>
      </c>
      <c r="AP739" s="19">
        <f t="shared" si="293"/>
        <v>384.92</v>
      </c>
      <c r="AQ739" s="19" t="e">
        <f t="shared" si="294"/>
        <v>#N/A</v>
      </c>
      <c r="AR739" s="19">
        <f t="shared" si="295"/>
        <v>184.92000000000002</v>
      </c>
      <c r="AS739" s="19" t="e">
        <f t="shared" si="296"/>
        <v>#N/A</v>
      </c>
    </row>
    <row r="740" spans="31:45" ht="11.25" customHeight="1" x14ac:dyDescent="0.2">
      <c r="AE740" s="19">
        <v>649</v>
      </c>
      <c r="AG740" s="19">
        <f t="shared" si="284"/>
        <v>1</v>
      </c>
      <c r="AH740" s="19">
        <f t="shared" si="285"/>
        <v>-1</v>
      </c>
      <c r="AI740" s="19">
        <f t="shared" si="286"/>
        <v>87.745000000000005</v>
      </c>
      <c r="AJ740" s="410">
        <f t="shared" si="287"/>
        <v>892.28</v>
      </c>
      <c r="AK740" s="19" t="e">
        <f t="shared" si="288"/>
        <v>#N/A</v>
      </c>
      <c r="AL740" s="19">
        <f t="shared" si="289"/>
        <v>692.28</v>
      </c>
      <c r="AM740" s="19" t="e">
        <f t="shared" si="290"/>
        <v>#N/A</v>
      </c>
      <c r="AN740" s="19">
        <f t="shared" si="291"/>
        <v>492.28</v>
      </c>
      <c r="AO740" s="19" t="e">
        <f t="shared" si="292"/>
        <v>#N/A</v>
      </c>
      <c r="AP740" s="19">
        <f t="shared" si="293"/>
        <v>292.27999999999997</v>
      </c>
      <c r="AQ740" s="19" t="e">
        <f t="shared" si="294"/>
        <v>#N/A</v>
      </c>
      <c r="AR740" s="19">
        <f t="shared" si="295"/>
        <v>92.28</v>
      </c>
      <c r="AS740" s="19" t="e">
        <f t="shared" si="296"/>
        <v>#N/A</v>
      </c>
    </row>
    <row r="741" spans="31:45" ht="11.25" customHeight="1" x14ac:dyDescent="0.2">
      <c r="AE741" s="19">
        <v>650</v>
      </c>
      <c r="AG741" s="19">
        <f t="shared" si="284"/>
        <v>1</v>
      </c>
      <c r="AH741" s="19">
        <f t="shared" si="285"/>
        <v>1</v>
      </c>
      <c r="AI741" s="19">
        <f t="shared" si="286"/>
        <v>87.745000000000005</v>
      </c>
      <c r="AJ741" s="410">
        <f t="shared" si="287"/>
        <v>907.72</v>
      </c>
      <c r="AK741" s="19" t="e">
        <f t="shared" si="288"/>
        <v>#N/A</v>
      </c>
      <c r="AL741" s="19">
        <f t="shared" si="289"/>
        <v>707.72</v>
      </c>
      <c r="AM741" s="19" t="e">
        <f t="shared" si="290"/>
        <v>#N/A</v>
      </c>
      <c r="AN741" s="19">
        <f t="shared" si="291"/>
        <v>507.72</v>
      </c>
      <c r="AO741" s="19" t="e">
        <f t="shared" si="292"/>
        <v>#N/A</v>
      </c>
      <c r="AP741" s="19">
        <f t="shared" si="293"/>
        <v>307.72000000000003</v>
      </c>
      <c r="AQ741" s="19" t="e">
        <f t="shared" si="294"/>
        <v>#N/A</v>
      </c>
      <c r="AR741" s="19">
        <f t="shared" si="295"/>
        <v>107.72</v>
      </c>
      <c r="AS741" s="19" t="e">
        <f t="shared" si="296"/>
        <v>#N/A</v>
      </c>
    </row>
    <row r="742" spans="31:45" ht="11.25" customHeight="1" x14ac:dyDescent="0.2">
      <c r="AE742" s="19">
        <v>651</v>
      </c>
      <c r="AG742" s="19">
        <f t="shared" si="284"/>
        <v>3</v>
      </c>
      <c r="AH742" s="19">
        <f t="shared" si="285"/>
        <v>-1</v>
      </c>
      <c r="AI742" s="19">
        <f t="shared" si="286"/>
        <v>87.745000000000005</v>
      </c>
      <c r="AJ742" s="410">
        <f t="shared" si="287"/>
        <v>876.84</v>
      </c>
      <c r="AK742" s="19" t="e">
        <f t="shared" si="288"/>
        <v>#N/A</v>
      </c>
      <c r="AL742" s="19">
        <f t="shared" si="289"/>
        <v>676.84</v>
      </c>
      <c r="AM742" s="19" t="e">
        <f t="shared" si="290"/>
        <v>#N/A</v>
      </c>
      <c r="AN742" s="19">
        <f t="shared" si="291"/>
        <v>476.84</v>
      </c>
      <c r="AO742" s="19" t="e">
        <f t="shared" si="292"/>
        <v>#N/A</v>
      </c>
      <c r="AP742" s="19">
        <f t="shared" si="293"/>
        <v>276.83999999999997</v>
      </c>
      <c r="AQ742" s="19" t="e">
        <f t="shared" si="294"/>
        <v>#N/A</v>
      </c>
      <c r="AR742" s="19">
        <f t="shared" si="295"/>
        <v>76.84</v>
      </c>
      <c r="AS742" s="19" t="e">
        <f t="shared" si="296"/>
        <v>#N/A</v>
      </c>
    </row>
    <row r="743" spans="31:45" ht="11.25" customHeight="1" x14ac:dyDescent="0.2">
      <c r="AE743" s="19">
        <v>652</v>
      </c>
      <c r="AG743" s="19">
        <f t="shared" si="284"/>
        <v>3</v>
      </c>
      <c r="AH743" s="19">
        <f t="shared" si="285"/>
        <v>1</v>
      </c>
      <c r="AI743" s="19">
        <f t="shared" si="286"/>
        <v>87.745000000000005</v>
      </c>
      <c r="AJ743" s="410">
        <f t="shared" si="287"/>
        <v>923.16</v>
      </c>
      <c r="AK743" s="19" t="e">
        <f t="shared" si="288"/>
        <v>#N/A</v>
      </c>
      <c r="AL743" s="19">
        <f t="shared" si="289"/>
        <v>723.16</v>
      </c>
      <c r="AM743" s="19" t="e">
        <f t="shared" si="290"/>
        <v>#N/A</v>
      </c>
      <c r="AN743" s="19">
        <f t="shared" si="291"/>
        <v>523.16</v>
      </c>
      <c r="AO743" s="19" t="e">
        <f t="shared" si="292"/>
        <v>#N/A</v>
      </c>
      <c r="AP743" s="19">
        <f t="shared" si="293"/>
        <v>323.16000000000003</v>
      </c>
      <c r="AQ743" s="19" t="e">
        <f t="shared" si="294"/>
        <v>#N/A</v>
      </c>
      <c r="AR743" s="19">
        <f t="shared" si="295"/>
        <v>123.16</v>
      </c>
      <c r="AS743" s="19" t="e">
        <f t="shared" si="296"/>
        <v>#N/A</v>
      </c>
    </row>
    <row r="744" spans="31:45" ht="11.25" customHeight="1" x14ac:dyDescent="0.2">
      <c r="AE744" s="19">
        <v>653</v>
      </c>
      <c r="AG744" s="19">
        <f t="shared" si="284"/>
        <v>5</v>
      </c>
      <c r="AH744" s="19">
        <f t="shared" si="285"/>
        <v>-1</v>
      </c>
      <c r="AI744" s="19">
        <f t="shared" si="286"/>
        <v>87.745000000000005</v>
      </c>
      <c r="AJ744" s="410">
        <f t="shared" si="287"/>
        <v>861.4</v>
      </c>
      <c r="AK744" s="19" t="e">
        <f t="shared" si="288"/>
        <v>#N/A</v>
      </c>
      <c r="AL744" s="19">
        <f t="shared" si="289"/>
        <v>661.4</v>
      </c>
      <c r="AM744" s="19" t="e">
        <f t="shared" si="290"/>
        <v>#N/A</v>
      </c>
      <c r="AN744" s="19">
        <f t="shared" si="291"/>
        <v>461.4</v>
      </c>
      <c r="AO744" s="19" t="e">
        <f t="shared" si="292"/>
        <v>#N/A</v>
      </c>
      <c r="AP744" s="19">
        <f t="shared" si="293"/>
        <v>261.39999999999998</v>
      </c>
      <c r="AQ744" s="19" t="e">
        <f t="shared" si="294"/>
        <v>#N/A</v>
      </c>
      <c r="AR744" s="19">
        <f t="shared" si="295"/>
        <v>61.4</v>
      </c>
      <c r="AS744" s="19" t="e">
        <f t="shared" si="296"/>
        <v>#N/A</v>
      </c>
    </row>
    <row r="745" spans="31:45" ht="11.25" customHeight="1" x14ac:dyDescent="0.2">
      <c r="AE745" s="19">
        <v>654</v>
      </c>
      <c r="AG745" s="19">
        <f t="shared" si="284"/>
        <v>5</v>
      </c>
      <c r="AH745" s="19">
        <f t="shared" si="285"/>
        <v>1</v>
      </c>
      <c r="AI745" s="19">
        <f t="shared" si="286"/>
        <v>87.745000000000005</v>
      </c>
      <c r="AJ745" s="410">
        <f t="shared" si="287"/>
        <v>938.6</v>
      </c>
      <c r="AK745" s="19" t="e">
        <f t="shared" si="288"/>
        <v>#N/A</v>
      </c>
      <c r="AL745" s="19">
        <f t="shared" si="289"/>
        <v>738.6</v>
      </c>
      <c r="AM745" s="19" t="e">
        <f t="shared" si="290"/>
        <v>#N/A</v>
      </c>
      <c r="AN745" s="19">
        <f t="shared" si="291"/>
        <v>538.6</v>
      </c>
      <c r="AO745" s="19" t="e">
        <f t="shared" si="292"/>
        <v>#N/A</v>
      </c>
      <c r="AP745" s="19">
        <f t="shared" si="293"/>
        <v>338.6</v>
      </c>
      <c r="AQ745" s="19" t="e">
        <f t="shared" si="294"/>
        <v>#N/A</v>
      </c>
      <c r="AR745" s="19">
        <f t="shared" si="295"/>
        <v>138.6</v>
      </c>
      <c r="AS745" s="19" t="e">
        <f t="shared" si="296"/>
        <v>#N/A</v>
      </c>
    </row>
    <row r="746" spans="31:45" ht="11.25" customHeight="1" x14ac:dyDescent="0.2">
      <c r="AE746" s="19">
        <v>655</v>
      </c>
      <c r="AG746" s="19">
        <f t="shared" si="284"/>
        <v>7</v>
      </c>
      <c r="AH746" s="19">
        <f t="shared" si="285"/>
        <v>-1</v>
      </c>
      <c r="AI746" s="19">
        <f t="shared" si="286"/>
        <v>87.745000000000005</v>
      </c>
      <c r="AJ746" s="410">
        <f t="shared" si="287"/>
        <v>845.96</v>
      </c>
      <c r="AK746" s="19" t="e">
        <f t="shared" si="288"/>
        <v>#N/A</v>
      </c>
      <c r="AL746" s="19">
        <f t="shared" si="289"/>
        <v>645.96</v>
      </c>
      <c r="AM746" s="19" t="e">
        <f t="shared" si="290"/>
        <v>#N/A</v>
      </c>
      <c r="AN746" s="19">
        <f t="shared" si="291"/>
        <v>445.96</v>
      </c>
      <c r="AO746" s="19" t="e">
        <f t="shared" si="292"/>
        <v>#N/A</v>
      </c>
      <c r="AP746" s="19">
        <f t="shared" si="293"/>
        <v>245.96</v>
      </c>
      <c r="AQ746" s="19" t="e">
        <f t="shared" si="294"/>
        <v>#N/A</v>
      </c>
      <c r="AR746" s="19">
        <f t="shared" si="295"/>
        <v>45.96</v>
      </c>
      <c r="AS746" s="19" t="e">
        <f t="shared" si="296"/>
        <v>#N/A</v>
      </c>
    </row>
    <row r="747" spans="31:45" ht="11.25" customHeight="1" x14ac:dyDescent="0.2">
      <c r="AE747" s="19">
        <v>656</v>
      </c>
      <c r="AG747" s="19">
        <f t="shared" si="284"/>
        <v>7</v>
      </c>
      <c r="AH747" s="19">
        <f t="shared" si="285"/>
        <v>1</v>
      </c>
      <c r="AI747" s="19">
        <f t="shared" si="286"/>
        <v>87.745000000000005</v>
      </c>
      <c r="AJ747" s="410">
        <f t="shared" si="287"/>
        <v>954.04</v>
      </c>
      <c r="AK747" s="19" t="e">
        <f t="shared" si="288"/>
        <v>#N/A</v>
      </c>
      <c r="AL747" s="19">
        <f t="shared" si="289"/>
        <v>754.04</v>
      </c>
      <c r="AM747" s="19" t="e">
        <f t="shared" si="290"/>
        <v>#N/A</v>
      </c>
      <c r="AN747" s="19">
        <f t="shared" si="291"/>
        <v>554.04</v>
      </c>
      <c r="AO747" s="19" t="e">
        <f t="shared" si="292"/>
        <v>#N/A</v>
      </c>
      <c r="AP747" s="19">
        <f t="shared" si="293"/>
        <v>354.04</v>
      </c>
      <c r="AQ747" s="19" t="e">
        <f t="shared" si="294"/>
        <v>#N/A</v>
      </c>
      <c r="AR747" s="19">
        <f t="shared" si="295"/>
        <v>154.04</v>
      </c>
      <c r="AS747" s="19" t="e">
        <f t="shared" si="296"/>
        <v>#N/A</v>
      </c>
    </row>
    <row r="748" spans="31:45" ht="11.25" customHeight="1" x14ac:dyDescent="0.2">
      <c r="AE748" s="19">
        <v>657</v>
      </c>
      <c r="AG748" s="19">
        <f t="shared" si="284"/>
        <v>9</v>
      </c>
      <c r="AH748" s="19">
        <f t="shared" si="285"/>
        <v>-1</v>
      </c>
      <c r="AI748" s="19">
        <f t="shared" si="286"/>
        <v>87.745000000000005</v>
      </c>
      <c r="AJ748" s="410">
        <f t="shared" si="287"/>
        <v>830.52</v>
      </c>
      <c r="AK748" s="19" t="e">
        <f t="shared" si="288"/>
        <v>#N/A</v>
      </c>
      <c r="AL748" s="19">
        <f t="shared" si="289"/>
        <v>630.52</v>
      </c>
      <c r="AM748" s="19" t="e">
        <f t="shared" si="290"/>
        <v>#N/A</v>
      </c>
      <c r="AN748" s="19">
        <f t="shared" si="291"/>
        <v>430.52</v>
      </c>
      <c r="AO748" s="19" t="e">
        <f t="shared" si="292"/>
        <v>#N/A</v>
      </c>
      <c r="AP748" s="19">
        <f t="shared" si="293"/>
        <v>230.51999999999998</v>
      </c>
      <c r="AQ748" s="19" t="e">
        <f t="shared" si="294"/>
        <v>#N/A</v>
      </c>
      <c r="AR748" s="19">
        <f t="shared" si="295"/>
        <v>30.519999999999996</v>
      </c>
      <c r="AS748" s="19" t="e">
        <f t="shared" si="296"/>
        <v>#N/A</v>
      </c>
    </row>
    <row r="749" spans="31:45" ht="11.25" customHeight="1" x14ac:dyDescent="0.2">
      <c r="AE749" s="19">
        <v>658</v>
      </c>
      <c r="AG749" s="19">
        <f t="shared" si="284"/>
        <v>9</v>
      </c>
      <c r="AH749" s="19">
        <f t="shared" si="285"/>
        <v>1</v>
      </c>
      <c r="AI749" s="19">
        <f t="shared" si="286"/>
        <v>87.745000000000005</v>
      </c>
      <c r="AJ749" s="410">
        <f t="shared" si="287"/>
        <v>969.48</v>
      </c>
      <c r="AK749" s="19" t="e">
        <f t="shared" si="288"/>
        <v>#N/A</v>
      </c>
      <c r="AL749" s="19">
        <f t="shared" si="289"/>
        <v>769.48</v>
      </c>
      <c r="AM749" s="19" t="e">
        <f t="shared" si="290"/>
        <v>#N/A</v>
      </c>
      <c r="AN749" s="19">
        <f t="shared" si="291"/>
        <v>569.48</v>
      </c>
      <c r="AO749" s="19" t="e">
        <f t="shared" si="292"/>
        <v>#N/A</v>
      </c>
      <c r="AP749" s="19">
        <f t="shared" si="293"/>
        <v>369.48</v>
      </c>
      <c r="AQ749" s="19" t="e">
        <f t="shared" si="294"/>
        <v>#N/A</v>
      </c>
      <c r="AR749" s="19">
        <f t="shared" si="295"/>
        <v>169.48000000000002</v>
      </c>
      <c r="AS749" s="19" t="e">
        <f t="shared" si="296"/>
        <v>#N/A</v>
      </c>
    </row>
    <row r="750" spans="31:45" ht="11.25" customHeight="1" x14ac:dyDescent="0.2">
      <c r="AE750" s="19">
        <v>659</v>
      </c>
      <c r="AG750" s="19">
        <f t="shared" si="284"/>
        <v>11</v>
      </c>
      <c r="AH750" s="19">
        <f t="shared" si="285"/>
        <v>-1</v>
      </c>
      <c r="AI750" s="19">
        <f t="shared" si="286"/>
        <v>87.745000000000005</v>
      </c>
      <c r="AJ750" s="410">
        <f t="shared" si="287"/>
        <v>815.08</v>
      </c>
      <c r="AK750" s="19" t="e">
        <f t="shared" si="288"/>
        <v>#N/A</v>
      </c>
      <c r="AL750" s="19">
        <f t="shared" si="289"/>
        <v>615.08000000000004</v>
      </c>
      <c r="AM750" s="19" t="e">
        <f t="shared" si="290"/>
        <v>#N/A</v>
      </c>
      <c r="AN750" s="19">
        <f t="shared" si="291"/>
        <v>415.08</v>
      </c>
      <c r="AO750" s="19" t="e">
        <f t="shared" si="292"/>
        <v>#N/A</v>
      </c>
      <c r="AP750" s="19">
        <f t="shared" si="293"/>
        <v>215.07999999999998</v>
      </c>
      <c r="AQ750" s="19" t="e">
        <f t="shared" si="294"/>
        <v>#N/A</v>
      </c>
      <c r="AR750" s="19">
        <f t="shared" si="295"/>
        <v>15.079999999999998</v>
      </c>
      <c r="AS750" s="19" t="e">
        <f t="shared" si="296"/>
        <v>#N/A</v>
      </c>
    </row>
    <row r="751" spans="31:45" ht="11.25" customHeight="1" x14ac:dyDescent="0.2">
      <c r="AE751" s="19">
        <v>660</v>
      </c>
      <c r="AG751" s="19">
        <f t="shared" si="284"/>
        <v>11</v>
      </c>
      <c r="AH751" s="19">
        <f t="shared" si="285"/>
        <v>1</v>
      </c>
      <c r="AI751" s="19">
        <f t="shared" si="286"/>
        <v>87.745000000000005</v>
      </c>
      <c r="AJ751" s="410">
        <f t="shared" si="287"/>
        <v>984.92</v>
      </c>
      <c r="AK751" s="19" t="e">
        <f t="shared" si="288"/>
        <v>#N/A</v>
      </c>
      <c r="AL751" s="19">
        <f t="shared" si="289"/>
        <v>784.92</v>
      </c>
      <c r="AM751" s="19" t="e">
        <f t="shared" si="290"/>
        <v>#N/A</v>
      </c>
      <c r="AN751" s="19">
        <f t="shared" si="291"/>
        <v>584.91999999999996</v>
      </c>
      <c r="AO751" s="19" t="e">
        <f t="shared" si="292"/>
        <v>#N/A</v>
      </c>
      <c r="AP751" s="19">
        <f t="shared" si="293"/>
        <v>384.92</v>
      </c>
      <c r="AQ751" s="19" t="e">
        <f t="shared" si="294"/>
        <v>#N/A</v>
      </c>
      <c r="AR751" s="19">
        <f t="shared" si="295"/>
        <v>184.92000000000002</v>
      </c>
      <c r="AS751" s="19" t="e">
        <f t="shared" si="296"/>
        <v>#N/A</v>
      </c>
    </row>
    <row r="752" spans="31:45" ht="11.25" customHeight="1" x14ac:dyDescent="0.2">
      <c r="AE752" s="19">
        <v>661</v>
      </c>
      <c r="AG752" s="19">
        <f t="shared" si="284"/>
        <v>1</v>
      </c>
      <c r="AH752" s="19">
        <f t="shared" si="285"/>
        <v>-1</v>
      </c>
      <c r="AI752" s="19">
        <f t="shared" si="286"/>
        <v>89.355000000000004</v>
      </c>
      <c r="AJ752" s="410">
        <f t="shared" si="287"/>
        <v>892.28</v>
      </c>
      <c r="AK752" s="19" t="e">
        <f t="shared" si="288"/>
        <v>#N/A</v>
      </c>
      <c r="AL752" s="19">
        <f t="shared" si="289"/>
        <v>692.28</v>
      </c>
      <c r="AM752" s="19" t="e">
        <f t="shared" si="290"/>
        <v>#N/A</v>
      </c>
      <c r="AN752" s="19">
        <f t="shared" si="291"/>
        <v>492.28</v>
      </c>
      <c r="AO752" s="19" t="e">
        <f t="shared" si="292"/>
        <v>#N/A</v>
      </c>
      <c r="AP752" s="19">
        <f t="shared" si="293"/>
        <v>292.27999999999997</v>
      </c>
      <c r="AQ752" s="19" t="e">
        <f t="shared" si="294"/>
        <v>#N/A</v>
      </c>
      <c r="AR752" s="19">
        <f t="shared" si="295"/>
        <v>92.28</v>
      </c>
      <c r="AS752" s="19" t="e">
        <f t="shared" si="296"/>
        <v>#N/A</v>
      </c>
    </row>
    <row r="753" spans="31:45" ht="11.25" customHeight="1" x14ac:dyDescent="0.2">
      <c r="AE753" s="19">
        <v>662</v>
      </c>
      <c r="AG753" s="19">
        <f t="shared" si="284"/>
        <v>1</v>
      </c>
      <c r="AH753" s="19">
        <f t="shared" si="285"/>
        <v>1</v>
      </c>
      <c r="AI753" s="19">
        <f t="shared" si="286"/>
        <v>89.355000000000004</v>
      </c>
      <c r="AJ753" s="410">
        <f t="shared" si="287"/>
        <v>907.72</v>
      </c>
      <c r="AK753" s="19" t="e">
        <f t="shared" si="288"/>
        <v>#N/A</v>
      </c>
      <c r="AL753" s="19">
        <f t="shared" si="289"/>
        <v>707.72</v>
      </c>
      <c r="AM753" s="19" t="e">
        <f t="shared" si="290"/>
        <v>#N/A</v>
      </c>
      <c r="AN753" s="19">
        <f t="shared" si="291"/>
        <v>507.72</v>
      </c>
      <c r="AO753" s="19" t="e">
        <f t="shared" si="292"/>
        <v>#N/A</v>
      </c>
      <c r="AP753" s="19">
        <f t="shared" si="293"/>
        <v>307.72000000000003</v>
      </c>
      <c r="AQ753" s="19" t="e">
        <f t="shared" si="294"/>
        <v>#N/A</v>
      </c>
      <c r="AR753" s="19">
        <f t="shared" si="295"/>
        <v>107.72</v>
      </c>
      <c r="AS753" s="19" t="e">
        <f t="shared" si="296"/>
        <v>#N/A</v>
      </c>
    </row>
    <row r="754" spans="31:45" ht="11.25" customHeight="1" x14ac:dyDescent="0.2">
      <c r="AE754" s="19">
        <v>663</v>
      </c>
      <c r="AG754" s="19">
        <f t="shared" si="284"/>
        <v>3</v>
      </c>
      <c r="AH754" s="19">
        <f t="shared" si="285"/>
        <v>-1</v>
      </c>
      <c r="AI754" s="19">
        <f t="shared" si="286"/>
        <v>89.355000000000004</v>
      </c>
      <c r="AJ754" s="410">
        <f t="shared" si="287"/>
        <v>876.84</v>
      </c>
      <c r="AK754" s="19" t="e">
        <f t="shared" si="288"/>
        <v>#N/A</v>
      </c>
      <c r="AL754" s="19">
        <f t="shared" si="289"/>
        <v>676.84</v>
      </c>
      <c r="AM754" s="19" t="e">
        <f t="shared" si="290"/>
        <v>#N/A</v>
      </c>
      <c r="AN754" s="19">
        <f t="shared" si="291"/>
        <v>476.84</v>
      </c>
      <c r="AO754" s="19" t="e">
        <f t="shared" si="292"/>
        <v>#N/A</v>
      </c>
      <c r="AP754" s="19">
        <f t="shared" si="293"/>
        <v>276.83999999999997</v>
      </c>
      <c r="AQ754" s="19" t="e">
        <f t="shared" si="294"/>
        <v>#N/A</v>
      </c>
      <c r="AR754" s="19">
        <f t="shared" si="295"/>
        <v>76.84</v>
      </c>
      <c r="AS754" s="19" t="e">
        <f t="shared" si="296"/>
        <v>#N/A</v>
      </c>
    </row>
    <row r="755" spans="31:45" ht="11.25" customHeight="1" x14ac:dyDescent="0.2">
      <c r="AE755" s="19">
        <v>664</v>
      </c>
      <c r="AG755" s="19">
        <f t="shared" si="284"/>
        <v>3</v>
      </c>
      <c r="AH755" s="19">
        <f t="shared" si="285"/>
        <v>1</v>
      </c>
      <c r="AI755" s="19">
        <f t="shared" si="286"/>
        <v>89.355000000000004</v>
      </c>
      <c r="AJ755" s="410">
        <f t="shared" si="287"/>
        <v>923.16</v>
      </c>
      <c r="AK755" s="19" t="e">
        <f t="shared" si="288"/>
        <v>#N/A</v>
      </c>
      <c r="AL755" s="19">
        <f t="shared" si="289"/>
        <v>723.16</v>
      </c>
      <c r="AM755" s="19" t="e">
        <f t="shared" si="290"/>
        <v>#N/A</v>
      </c>
      <c r="AN755" s="19">
        <f t="shared" si="291"/>
        <v>523.16</v>
      </c>
      <c r="AO755" s="19" t="e">
        <f t="shared" si="292"/>
        <v>#N/A</v>
      </c>
      <c r="AP755" s="19">
        <f t="shared" si="293"/>
        <v>323.16000000000003</v>
      </c>
      <c r="AQ755" s="19" t="e">
        <f t="shared" si="294"/>
        <v>#N/A</v>
      </c>
      <c r="AR755" s="19">
        <f t="shared" si="295"/>
        <v>123.16</v>
      </c>
      <c r="AS755" s="19" t="e">
        <f t="shared" si="296"/>
        <v>#N/A</v>
      </c>
    </row>
    <row r="756" spans="31:45" ht="11.25" customHeight="1" x14ac:dyDescent="0.2">
      <c r="AE756" s="19">
        <v>665</v>
      </c>
      <c r="AG756" s="19">
        <f t="shared" si="284"/>
        <v>5</v>
      </c>
      <c r="AH756" s="19">
        <f t="shared" si="285"/>
        <v>-1</v>
      </c>
      <c r="AI756" s="19">
        <f t="shared" si="286"/>
        <v>89.355000000000004</v>
      </c>
      <c r="AJ756" s="410">
        <f t="shared" si="287"/>
        <v>861.4</v>
      </c>
      <c r="AK756" s="19" t="e">
        <f t="shared" si="288"/>
        <v>#N/A</v>
      </c>
      <c r="AL756" s="19">
        <f t="shared" si="289"/>
        <v>661.4</v>
      </c>
      <c r="AM756" s="19" t="e">
        <f t="shared" si="290"/>
        <v>#N/A</v>
      </c>
      <c r="AN756" s="19">
        <f t="shared" si="291"/>
        <v>461.4</v>
      </c>
      <c r="AO756" s="19" t="e">
        <f t="shared" si="292"/>
        <v>#N/A</v>
      </c>
      <c r="AP756" s="19">
        <f t="shared" si="293"/>
        <v>261.39999999999998</v>
      </c>
      <c r="AQ756" s="19" t="e">
        <f t="shared" si="294"/>
        <v>#N/A</v>
      </c>
      <c r="AR756" s="19">
        <f t="shared" si="295"/>
        <v>61.4</v>
      </c>
      <c r="AS756" s="19" t="e">
        <f t="shared" si="296"/>
        <v>#N/A</v>
      </c>
    </row>
    <row r="757" spans="31:45" ht="11.25" customHeight="1" x14ac:dyDescent="0.2">
      <c r="AE757" s="19">
        <v>666</v>
      </c>
      <c r="AG757" s="19">
        <f t="shared" si="284"/>
        <v>5</v>
      </c>
      <c r="AH757" s="19">
        <f t="shared" si="285"/>
        <v>1</v>
      </c>
      <c r="AI757" s="19">
        <f t="shared" si="286"/>
        <v>89.355000000000004</v>
      </c>
      <c r="AJ757" s="410">
        <f t="shared" si="287"/>
        <v>938.6</v>
      </c>
      <c r="AK757" s="19" t="e">
        <f t="shared" si="288"/>
        <v>#N/A</v>
      </c>
      <c r="AL757" s="19">
        <f t="shared" si="289"/>
        <v>738.6</v>
      </c>
      <c r="AM757" s="19" t="e">
        <f t="shared" si="290"/>
        <v>#N/A</v>
      </c>
      <c r="AN757" s="19">
        <f t="shared" si="291"/>
        <v>538.6</v>
      </c>
      <c r="AO757" s="19" t="e">
        <f t="shared" si="292"/>
        <v>#N/A</v>
      </c>
      <c r="AP757" s="19">
        <f t="shared" si="293"/>
        <v>338.6</v>
      </c>
      <c r="AQ757" s="19" t="e">
        <f t="shared" si="294"/>
        <v>#N/A</v>
      </c>
      <c r="AR757" s="19">
        <f t="shared" si="295"/>
        <v>138.6</v>
      </c>
      <c r="AS757" s="19" t="e">
        <f t="shared" si="296"/>
        <v>#N/A</v>
      </c>
    </row>
    <row r="758" spans="31:45" ht="11.25" customHeight="1" x14ac:dyDescent="0.2">
      <c r="AE758" s="19">
        <v>667</v>
      </c>
      <c r="AG758" s="19">
        <f t="shared" si="284"/>
        <v>7</v>
      </c>
      <c r="AH758" s="19">
        <f t="shared" si="285"/>
        <v>-1</v>
      </c>
      <c r="AI758" s="19">
        <f t="shared" si="286"/>
        <v>89.355000000000004</v>
      </c>
      <c r="AJ758" s="410">
        <f t="shared" si="287"/>
        <v>845.96</v>
      </c>
      <c r="AK758" s="19" t="e">
        <f t="shared" si="288"/>
        <v>#N/A</v>
      </c>
      <c r="AL758" s="19">
        <f t="shared" si="289"/>
        <v>645.96</v>
      </c>
      <c r="AM758" s="19" t="e">
        <f t="shared" si="290"/>
        <v>#N/A</v>
      </c>
      <c r="AN758" s="19">
        <f t="shared" si="291"/>
        <v>445.96</v>
      </c>
      <c r="AO758" s="19" t="e">
        <f t="shared" si="292"/>
        <v>#N/A</v>
      </c>
      <c r="AP758" s="19">
        <f t="shared" si="293"/>
        <v>245.96</v>
      </c>
      <c r="AQ758" s="19" t="e">
        <f t="shared" si="294"/>
        <v>#N/A</v>
      </c>
      <c r="AR758" s="19">
        <f t="shared" si="295"/>
        <v>45.96</v>
      </c>
      <c r="AS758" s="19" t="e">
        <f t="shared" si="296"/>
        <v>#N/A</v>
      </c>
    </row>
    <row r="759" spans="31:45" ht="11.25" customHeight="1" x14ac:dyDescent="0.2">
      <c r="AE759" s="19">
        <v>668</v>
      </c>
      <c r="AG759" s="19">
        <f t="shared" si="284"/>
        <v>7</v>
      </c>
      <c r="AH759" s="19">
        <f t="shared" si="285"/>
        <v>1</v>
      </c>
      <c r="AI759" s="19">
        <f t="shared" si="286"/>
        <v>89.355000000000004</v>
      </c>
      <c r="AJ759" s="410">
        <f t="shared" si="287"/>
        <v>954.04</v>
      </c>
      <c r="AK759" s="19" t="e">
        <f t="shared" si="288"/>
        <v>#N/A</v>
      </c>
      <c r="AL759" s="19">
        <f t="shared" si="289"/>
        <v>754.04</v>
      </c>
      <c r="AM759" s="19" t="e">
        <f t="shared" si="290"/>
        <v>#N/A</v>
      </c>
      <c r="AN759" s="19">
        <f t="shared" si="291"/>
        <v>554.04</v>
      </c>
      <c r="AO759" s="19" t="e">
        <f t="shared" si="292"/>
        <v>#N/A</v>
      </c>
      <c r="AP759" s="19">
        <f t="shared" si="293"/>
        <v>354.04</v>
      </c>
      <c r="AQ759" s="19" t="e">
        <f t="shared" si="294"/>
        <v>#N/A</v>
      </c>
      <c r="AR759" s="19">
        <f t="shared" si="295"/>
        <v>154.04</v>
      </c>
      <c r="AS759" s="19" t="e">
        <f t="shared" si="296"/>
        <v>#N/A</v>
      </c>
    </row>
    <row r="760" spans="31:45" ht="11.25" customHeight="1" x14ac:dyDescent="0.2">
      <c r="AE760" s="19">
        <v>669</v>
      </c>
      <c r="AG760" s="19">
        <f t="shared" si="284"/>
        <v>9</v>
      </c>
      <c r="AH760" s="19">
        <f t="shared" si="285"/>
        <v>-1</v>
      </c>
      <c r="AI760" s="19">
        <f t="shared" si="286"/>
        <v>89.355000000000004</v>
      </c>
      <c r="AJ760" s="410">
        <f t="shared" si="287"/>
        <v>830.52</v>
      </c>
      <c r="AK760" s="19" t="e">
        <f t="shared" si="288"/>
        <v>#N/A</v>
      </c>
      <c r="AL760" s="19">
        <f t="shared" si="289"/>
        <v>630.52</v>
      </c>
      <c r="AM760" s="19" t="e">
        <f t="shared" si="290"/>
        <v>#N/A</v>
      </c>
      <c r="AN760" s="19">
        <f t="shared" si="291"/>
        <v>430.52</v>
      </c>
      <c r="AO760" s="19" t="e">
        <f t="shared" si="292"/>
        <v>#N/A</v>
      </c>
      <c r="AP760" s="19">
        <f t="shared" si="293"/>
        <v>230.51999999999998</v>
      </c>
      <c r="AQ760" s="19" t="e">
        <f t="shared" si="294"/>
        <v>#N/A</v>
      </c>
      <c r="AR760" s="19">
        <f t="shared" si="295"/>
        <v>30.519999999999996</v>
      </c>
      <c r="AS760" s="19" t="e">
        <f t="shared" si="296"/>
        <v>#N/A</v>
      </c>
    </row>
    <row r="761" spans="31:45" ht="11.25" customHeight="1" x14ac:dyDescent="0.2">
      <c r="AE761" s="19">
        <v>670</v>
      </c>
      <c r="AG761" s="19">
        <f t="shared" si="284"/>
        <v>9</v>
      </c>
      <c r="AH761" s="19">
        <f t="shared" si="285"/>
        <v>1</v>
      </c>
      <c r="AI761" s="19">
        <f t="shared" si="286"/>
        <v>89.355000000000004</v>
      </c>
      <c r="AJ761" s="410">
        <f t="shared" si="287"/>
        <v>969.48</v>
      </c>
      <c r="AK761" s="19" t="e">
        <f t="shared" si="288"/>
        <v>#N/A</v>
      </c>
      <c r="AL761" s="19">
        <f t="shared" si="289"/>
        <v>769.48</v>
      </c>
      <c r="AM761" s="19" t="e">
        <f t="shared" si="290"/>
        <v>#N/A</v>
      </c>
      <c r="AN761" s="19">
        <f t="shared" si="291"/>
        <v>569.48</v>
      </c>
      <c r="AO761" s="19" t="e">
        <f t="shared" si="292"/>
        <v>#N/A</v>
      </c>
      <c r="AP761" s="19">
        <f t="shared" si="293"/>
        <v>369.48</v>
      </c>
      <c r="AQ761" s="19" t="e">
        <f t="shared" si="294"/>
        <v>#N/A</v>
      </c>
      <c r="AR761" s="19">
        <f t="shared" si="295"/>
        <v>169.48000000000002</v>
      </c>
      <c r="AS761" s="19" t="e">
        <f t="shared" si="296"/>
        <v>#N/A</v>
      </c>
    </row>
    <row r="762" spans="31:45" ht="11.25" customHeight="1" x14ac:dyDescent="0.2">
      <c r="AE762" s="19">
        <v>671</v>
      </c>
      <c r="AG762" s="19">
        <f t="shared" si="284"/>
        <v>11</v>
      </c>
      <c r="AH762" s="19">
        <f t="shared" si="285"/>
        <v>-1</v>
      </c>
      <c r="AI762" s="19">
        <f t="shared" si="286"/>
        <v>89.355000000000004</v>
      </c>
      <c r="AJ762" s="410">
        <f t="shared" si="287"/>
        <v>815.08</v>
      </c>
      <c r="AK762" s="19" t="e">
        <f t="shared" si="288"/>
        <v>#N/A</v>
      </c>
      <c r="AL762" s="19">
        <f t="shared" si="289"/>
        <v>615.08000000000004</v>
      </c>
      <c r="AM762" s="19" t="e">
        <f t="shared" si="290"/>
        <v>#N/A</v>
      </c>
      <c r="AN762" s="19">
        <f t="shared" si="291"/>
        <v>415.08</v>
      </c>
      <c r="AO762" s="19" t="e">
        <f t="shared" si="292"/>
        <v>#N/A</v>
      </c>
      <c r="AP762" s="19">
        <f t="shared" si="293"/>
        <v>215.07999999999998</v>
      </c>
      <c r="AQ762" s="19" t="e">
        <f t="shared" si="294"/>
        <v>#N/A</v>
      </c>
      <c r="AR762" s="19">
        <f t="shared" si="295"/>
        <v>15.079999999999998</v>
      </c>
      <c r="AS762" s="19" t="e">
        <f t="shared" si="296"/>
        <v>#N/A</v>
      </c>
    </row>
    <row r="763" spans="31:45" ht="11.25" customHeight="1" x14ac:dyDescent="0.2">
      <c r="AE763" s="19">
        <v>672</v>
      </c>
      <c r="AG763" s="19">
        <f t="shared" si="284"/>
        <v>11</v>
      </c>
      <c r="AH763" s="19">
        <f t="shared" si="285"/>
        <v>1</v>
      </c>
      <c r="AI763" s="19">
        <f t="shared" si="286"/>
        <v>89.355000000000004</v>
      </c>
      <c r="AJ763" s="410">
        <f t="shared" si="287"/>
        <v>984.92</v>
      </c>
      <c r="AK763" s="19" t="e">
        <f t="shared" si="288"/>
        <v>#N/A</v>
      </c>
      <c r="AL763" s="19">
        <f t="shared" si="289"/>
        <v>784.92</v>
      </c>
      <c r="AM763" s="19" t="e">
        <f t="shared" si="290"/>
        <v>#N/A</v>
      </c>
      <c r="AN763" s="19">
        <f t="shared" si="291"/>
        <v>584.91999999999996</v>
      </c>
      <c r="AO763" s="19" t="e">
        <f t="shared" si="292"/>
        <v>#N/A</v>
      </c>
      <c r="AP763" s="19">
        <f t="shared" si="293"/>
        <v>384.92</v>
      </c>
      <c r="AQ763" s="19" t="e">
        <f t="shared" si="294"/>
        <v>#N/A</v>
      </c>
      <c r="AR763" s="19">
        <f t="shared" si="295"/>
        <v>184.92000000000002</v>
      </c>
      <c r="AS763" s="19" t="e">
        <f t="shared" si="296"/>
        <v>#N/A</v>
      </c>
    </row>
    <row r="764" spans="31:45" ht="11.25" customHeight="1" x14ac:dyDescent="0.2">
      <c r="AE764" s="19">
        <v>673</v>
      </c>
      <c r="AG764" s="19">
        <f t="shared" si="284"/>
        <v>1</v>
      </c>
      <c r="AH764" s="19">
        <f t="shared" si="285"/>
        <v>-1</v>
      </c>
      <c r="AI764" s="19">
        <f t="shared" si="286"/>
        <v>90.965000000000003</v>
      </c>
      <c r="AJ764" s="410">
        <f t="shared" si="287"/>
        <v>892.28</v>
      </c>
      <c r="AK764" s="19" t="e">
        <f t="shared" si="288"/>
        <v>#N/A</v>
      </c>
      <c r="AL764" s="19">
        <f t="shared" si="289"/>
        <v>692.28</v>
      </c>
      <c r="AM764" s="19" t="e">
        <f t="shared" si="290"/>
        <v>#N/A</v>
      </c>
      <c r="AN764" s="19">
        <f t="shared" si="291"/>
        <v>492.28</v>
      </c>
      <c r="AO764" s="19" t="e">
        <f t="shared" si="292"/>
        <v>#N/A</v>
      </c>
      <c r="AP764" s="19">
        <f t="shared" si="293"/>
        <v>292.27999999999997</v>
      </c>
      <c r="AQ764" s="19" t="e">
        <f t="shared" si="294"/>
        <v>#N/A</v>
      </c>
      <c r="AR764" s="19">
        <f t="shared" si="295"/>
        <v>92.28</v>
      </c>
      <c r="AS764" s="19" t="e">
        <f t="shared" si="296"/>
        <v>#N/A</v>
      </c>
    </row>
    <row r="765" spans="31:45" ht="11.25" customHeight="1" x14ac:dyDescent="0.2">
      <c r="AE765" s="19">
        <v>674</v>
      </c>
      <c r="AG765" s="19">
        <f t="shared" si="284"/>
        <v>1</v>
      </c>
      <c r="AH765" s="19">
        <f t="shared" si="285"/>
        <v>1</v>
      </c>
      <c r="AI765" s="19">
        <f t="shared" si="286"/>
        <v>90.965000000000003</v>
      </c>
      <c r="AJ765" s="410">
        <f t="shared" si="287"/>
        <v>907.72</v>
      </c>
      <c r="AK765" s="19" t="e">
        <f t="shared" si="288"/>
        <v>#N/A</v>
      </c>
      <c r="AL765" s="19">
        <f t="shared" si="289"/>
        <v>707.72</v>
      </c>
      <c r="AM765" s="19" t="e">
        <f t="shared" si="290"/>
        <v>#N/A</v>
      </c>
      <c r="AN765" s="19">
        <f t="shared" si="291"/>
        <v>507.72</v>
      </c>
      <c r="AO765" s="19" t="e">
        <f t="shared" si="292"/>
        <v>#N/A</v>
      </c>
      <c r="AP765" s="19">
        <f t="shared" si="293"/>
        <v>307.72000000000003</v>
      </c>
      <c r="AQ765" s="19" t="e">
        <f t="shared" si="294"/>
        <v>#N/A</v>
      </c>
      <c r="AR765" s="19">
        <f t="shared" si="295"/>
        <v>107.72</v>
      </c>
      <c r="AS765" s="19" t="e">
        <f t="shared" si="296"/>
        <v>#N/A</v>
      </c>
    </row>
    <row r="766" spans="31:45" ht="11.25" customHeight="1" x14ac:dyDescent="0.2">
      <c r="AE766" s="19">
        <v>675</v>
      </c>
      <c r="AG766" s="19">
        <f t="shared" si="284"/>
        <v>3</v>
      </c>
      <c r="AH766" s="19">
        <f t="shared" si="285"/>
        <v>-1</v>
      </c>
      <c r="AI766" s="19">
        <f t="shared" si="286"/>
        <v>90.965000000000003</v>
      </c>
      <c r="AJ766" s="410">
        <f t="shared" si="287"/>
        <v>876.84</v>
      </c>
      <c r="AK766" s="19" t="e">
        <f t="shared" si="288"/>
        <v>#N/A</v>
      </c>
      <c r="AL766" s="19">
        <f t="shared" si="289"/>
        <v>676.84</v>
      </c>
      <c r="AM766" s="19" t="e">
        <f t="shared" si="290"/>
        <v>#N/A</v>
      </c>
      <c r="AN766" s="19">
        <f t="shared" si="291"/>
        <v>476.84</v>
      </c>
      <c r="AO766" s="19" t="e">
        <f t="shared" si="292"/>
        <v>#N/A</v>
      </c>
      <c r="AP766" s="19">
        <f t="shared" si="293"/>
        <v>276.83999999999997</v>
      </c>
      <c r="AQ766" s="19" t="e">
        <f t="shared" si="294"/>
        <v>#N/A</v>
      </c>
      <c r="AR766" s="19">
        <f t="shared" si="295"/>
        <v>76.84</v>
      </c>
      <c r="AS766" s="19" t="e">
        <f t="shared" si="296"/>
        <v>#N/A</v>
      </c>
    </row>
    <row r="767" spans="31:45" ht="11.25" customHeight="1" x14ac:dyDescent="0.2">
      <c r="AE767" s="19">
        <v>676</v>
      </c>
      <c r="AG767" s="19">
        <f t="shared" si="284"/>
        <v>3</v>
      </c>
      <c r="AH767" s="19">
        <f t="shared" si="285"/>
        <v>1</v>
      </c>
      <c r="AI767" s="19">
        <f t="shared" si="286"/>
        <v>90.965000000000003</v>
      </c>
      <c r="AJ767" s="410">
        <f t="shared" si="287"/>
        <v>923.16</v>
      </c>
      <c r="AK767" s="19" t="e">
        <f t="shared" si="288"/>
        <v>#N/A</v>
      </c>
      <c r="AL767" s="19">
        <f t="shared" si="289"/>
        <v>723.16</v>
      </c>
      <c r="AM767" s="19" t="e">
        <f t="shared" si="290"/>
        <v>#N/A</v>
      </c>
      <c r="AN767" s="19">
        <f t="shared" si="291"/>
        <v>523.16</v>
      </c>
      <c r="AO767" s="19" t="e">
        <f t="shared" si="292"/>
        <v>#N/A</v>
      </c>
      <c r="AP767" s="19">
        <f t="shared" si="293"/>
        <v>323.16000000000003</v>
      </c>
      <c r="AQ767" s="19" t="e">
        <f t="shared" si="294"/>
        <v>#N/A</v>
      </c>
      <c r="AR767" s="19">
        <f t="shared" si="295"/>
        <v>123.16</v>
      </c>
      <c r="AS767" s="19" t="e">
        <f t="shared" si="296"/>
        <v>#N/A</v>
      </c>
    </row>
    <row r="768" spans="31:45" ht="11.25" customHeight="1" x14ac:dyDescent="0.2">
      <c r="AE768" s="19">
        <v>677</v>
      </c>
      <c r="AG768" s="19">
        <f t="shared" si="284"/>
        <v>5</v>
      </c>
      <c r="AH768" s="19">
        <f t="shared" si="285"/>
        <v>-1</v>
      </c>
      <c r="AI768" s="19">
        <f t="shared" si="286"/>
        <v>90.965000000000003</v>
      </c>
      <c r="AJ768" s="410">
        <f t="shared" si="287"/>
        <v>861.4</v>
      </c>
      <c r="AK768" s="19" t="e">
        <f t="shared" si="288"/>
        <v>#N/A</v>
      </c>
      <c r="AL768" s="19">
        <f t="shared" si="289"/>
        <v>661.4</v>
      </c>
      <c r="AM768" s="19" t="e">
        <f t="shared" si="290"/>
        <v>#N/A</v>
      </c>
      <c r="AN768" s="19">
        <f t="shared" si="291"/>
        <v>461.4</v>
      </c>
      <c r="AO768" s="19" t="e">
        <f t="shared" si="292"/>
        <v>#N/A</v>
      </c>
      <c r="AP768" s="19">
        <f t="shared" si="293"/>
        <v>261.39999999999998</v>
      </c>
      <c r="AQ768" s="19" t="e">
        <f t="shared" si="294"/>
        <v>#N/A</v>
      </c>
      <c r="AR768" s="19">
        <f t="shared" si="295"/>
        <v>61.4</v>
      </c>
      <c r="AS768" s="19" t="e">
        <f t="shared" si="296"/>
        <v>#N/A</v>
      </c>
    </row>
    <row r="769" spans="31:45" ht="11.25" customHeight="1" x14ac:dyDescent="0.2">
      <c r="AE769" s="19">
        <v>678</v>
      </c>
      <c r="AG769" s="19">
        <f t="shared" si="284"/>
        <v>5</v>
      </c>
      <c r="AH769" s="19">
        <f t="shared" si="285"/>
        <v>1</v>
      </c>
      <c r="AI769" s="19">
        <f t="shared" si="286"/>
        <v>90.965000000000003</v>
      </c>
      <c r="AJ769" s="410">
        <f t="shared" si="287"/>
        <v>938.6</v>
      </c>
      <c r="AK769" s="19" t="e">
        <f t="shared" si="288"/>
        <v>#N/A</v>
      </c>
      <c r="AL769" s="19">
        <f t="shared" si="289"/>
        <v>738.6</v>
      </c>
      <c r="AM769" s="19" t="e">
        <f t="shared" si="290"/>
        <v>#N/A</v>
      </c>
      <c r="AN769" s="19">
        <f t="shared" si="291"/>
        <v>538.6</v>
      </c>
      <c r="AO769" s="19" t="e">
        <f t="shared" si="292"/>
        <v>#N/A</v>
      </c>
      <c r="AP769" s="19">
        <f t="shared" si="293"/>
        <v>338.6</v>
      </c>
      <c r="AQ769" s="19" t="e">
        <f t="shared" si="294"/>
        <v>#N/A</v>
      </c>
      <c r="AR769" s="19">
        <f t="shared" si="295"/>
        <v>138.6</v>
      </c>
      <c r="AS769" s="19" t="e">
        <f t="shared" si="296"/>
        <v>#N/A</v>
      </c>
    </row>
    <row r="770" spans="31:45" ht="11.25" customHeight="1" x14ac:dyDescent="0.2">
      <c r="AE770" s="19">
        <v>679</v>
      </c>
      <c r="AG770" s="19">
        <f t="shared" si="284"/>
        <v>7</v>
      </c>
      <c r="AH770" s="19">
        <f t="shared" si="285"/>
        <v>-1</v>
      </c>
      <c r="AI770" s="19">
        <f t="shared" si="286"/>
        <v>90.965000000000003</v>
      </c>
      <c r="AJ770" s="410">
        <f t="shared" si="287"/>
        <v>845.96</v>
      </c>
      <c r="AK770" s="19" t="e">
        <f t="shared" si="288"/>
        <v>#N/A</v>
      </c>
      <c r="AL770" s="19">
        <f t="shared" si="289"/>
        <v>645.96</v>
      </c>
      <c r="AM770" s="19" t="e">
        <f t="shared" si="290"/>
        <v>#N/A</v>
      </c>
      <c r="AN770" s="19">
        <f t="shared" si="291"/>
        <v>445.96</v>
      </c>
      <c r="AO770" s="19" t="e">
        <f t="shared" si="292"/>
        <v>#N/A</v>
      </c>
      <c r="AP770" s="19">
        <f t="shared" si="293"/>
        <v>245.96</v>
      </c>
      <c r="AQ770" s="19" t="e">
        <f t="shared" si="294"/>
        <v>#N/A</v>
      </c>
      <c r="AR770" s="19">
        <f t="shared" si="295"/>
        <v>45.96</v>
      </c>
      <c r="AS770" s="19" t="e">
        <f t="shared" si="296"/>
        <v>#N/A</v>
      </c>
    </row>
    <row r="771" spans="31:45" ht="11.25" customHeight="1" x14ac:dyDescent="0.2">
      <c r="AE771" s="19">
        <v>680</v>
      </c>
      <c r="AG771" s="19">
        <f t="shared" si="284"/>
        <v>7</v>
      </c>
      <c r="AH771" s="19">
        <f t="shared" si="285"/>
        <v>1</v>
      </c>
      <c r="AI771" s="19">
        <f t="shared" si="286"/>
        <v>90.965000000000003</v>
      </c>
      <c r="AJ771" s="410">
        <f t="shared" si="287"/>
        <v>954.04</v>
      </c>
      <c r="AK771" s="19" t="e">
        <f t="shared" si="288"/>
        <v>#N/A</v>
      </c>
      <c r="AL771" s="19">
        <f t="shared" si="289"/>
        <v>754.04</v>
      </c>
      <c r="AM771" s="19" t="e">
        <f t="shared" si="290"/>
        <v>#N/A</v>
      </c>
      <c r="AN771" s="19">
        <f t="shared" si="291"/>
        <v>554.04</v>
      </c>
      <c r="AO771" s="19" t="e">
        <f t="shared" si="292"/>
        <v>#N/A</v>
      </c>
      <c r="AP771" s="19">
        <f t="shared" si="293"/>
        <v>354.04</v>
      </c>
      <c r="AQ771" s="19" t="e">
        <f t="shared" si="294"/>
        <v>#N/A</v>
      </c>
      <c r="AR771" s="19">
        <f t="shared" si="295"/>
        <v>154.04</v>
      </c>
      <c r="AS771" s="19" t="e">
        <f t="shared" si="296"/>
        <v>#N/A</v>
      </c>
    </row>
    <row r="772" spans="31:45" ht="11.25" customHeight="1" x14ac:dyDescent="0.2">
      <c r="AE772" s="19">
        <v>681</v>
      </c>
      <c r="AG772" s="19">
        <f t="shared" si="284"/>
        <v>9</v>
      </c>
      <c r="AH772" s="19">
        <f t="shared" si="285"/>
        <v>-1</v>
      </c>
      <c r="AI772" s="19">
        <f t="shared" si="286"/>
        <v>90.965000000000003</v>
      </c>
      <c r="AJ772" s="410">
        <f t="shared" si="287"/>
        <v>830.52</v>
      </c>
      <c r="AK772" s="19" t="e">
        <f t="shared" si="288"/>
        <v>#N/A</v>
      </c>
      <c r="AL772" s="19">
        <f t="shared" si="289"/>
        <v>630.52</v>
      </c>
      <c r="AM772" s="19" t="e">
        <f t="shared" si="290"/>
        <v>#N/A</v>
      </c>
      <c r="AN772" s="19">
        <f t="shared" si="291"/>
        <v>430.52</v>
      </c>
      <c r="AO772" s="19" t="e">
        <f t="shared" si="292"/>
        <v>#N/A</v>
      </c>
      <c r="AP772" s="19">
        <f t="shared" si="293"/>
        <v>230.51999999999998</v>
      </c>
      <c r="AQ772" s="19" t="e">
        <f t="shared" si="294"/>
        <v>#N/A</v>
      </c>
      <c r="AR772" s="19">
        <f t="shared" si="295"/>
        <v>30.519999999999996</v>
      </c>
      <c r="AS772" s="19" t="e">
        <f t="shared" si="296"/>
        <v>#N/A</v>
      </c>
    </row>
    <row r="773" spans="31:45" ht="11.25" customHeight="1" x14ac:dyDescent="0.2">
      <c r="AE773" s="19">
        <v>682</v>
      </c>
      <c r="AG773" s="19">
        <f t="shared" si="284"/>
        <v>9</v>
      </c>
      <c r="AH773" s="19">
        <f t="shared" si="285"/>
        <v>1</v>
      </c>
      <c r="AI773" s="19">
        <f t="shared" si="286"/>
        <v>90.965000000000003</v>
      </c>
      <c r="AJ773" s="410">
        <f t="shared" si="287"/>
        <v>969.48</v>
      </c>
      <c r="AK773" s="19" t="e">
        <f t="shared" si="288"/>
        <v>#N/A</v>
      </c>
      <c r="AL773" s="19">
        <f t="shared" si="289"/>
        <v>769.48</v>
      </c>
      <c r="AM773" s="19" t="e">
        <f t="shared" si="290"/>
        <v>#N/A</v>
      </c>
      <c r="AN773" s="19">
        <f t="shared" si="291"/>
        <v>569.48</v>
      </c>
      <c r="AO773" s="19" t="e">
        <f t="shared" si="292"/>
        <v>#N/A</v>
      </c>
      <c r="AP773" s="19">
        <f t="shared" si="293"/>
        <v>369.48</v>
      </c>
      <c r="AQ773" s="19" t="e">
        <f t="shared" si="294"/>
        <v>#N/A</v>
      </c>
      <c r="AR773" s="19">
        <f t="shared" si="295"/>
        <v>169.48000000000002</v>
      </c>
      <c r="AS773" s="19" t="e">
        <f t="shared" si="296"/>
        <v>#N/A</v>
      </c>
    </row>
    <row r="774" spans="31:45" ht="11.25" customHeight="1" x14ac:dyDescent="0.2">
      <c r="AE774" s="19">
        <v>683</v>
      </c>
      <c r="AG774" s="19">
        <f t="shared" si="284"/>
        <v>11</v>
      </c>
      <c r="AH774" s="19">
        <f t="shared" si="285"/>
        <v>-1</v>
      </c>
      <c r="AI774" s="19">
        <f t="shared" si="286"/>
        <v>90.965000000000003</v>
      </c>
      <c r="AJ774" s="410">
        <f t="shared" si="287"/>
        <v>815.08</v>
      </c>
      <c r="AK774" s="19" t="e">
        <f t="shared" si="288"/>
        <v>#N/A</v>
      </c>
      <c r="AL774" s="19">
        <f t="shared" si="289"/>
        <v>615.08000000000004</v>
      </c>
      <c r="AM774" s="19" t="e">
        <f t="shared" si="290"/>
        <v>#N/A</v>
      </c>
      <c r="AN774" s="19">
        <f t="shared" si="291"/>
        <v>415.08</v>
      </c>
      <c r="AO774" s="19" t="e">
        <f t="shared" si="292"/>
        <v>#N/A</v>
      </c>
      <c r="AP774" s="19">
        <f t="shared" si="293"/>
        <v>215.07999999999998</v>
      </c>
      <c r="AQ774" s="19" t="e">
        <f t="shared" si="294"/>
        <v>#N/A</v>
      </c>
      <c r="AR774" s="19">
        <f t="shared" si="295"/>
        <v>15.079999999999998</v>
      </c>
      <c r="AS774" s="19" t="e">
        <f t="shared" si="296"/>
        <v>#N/A</v>
      </c>
    </row>
    <row r="775" spans="31:45" ht="11.25" customHeight="1" x14ac:dyDescent="0.2">
      <c r="AE775" s="19">
        <v>684</v>
      </c>
      <c r="AG775" s="19">
        <f t="shared" si="284"/>
        <v>11</v>
      </c>
      <c r="AH775" s="19">
        <f t="shared" si="285"/>
        <v>1</v>
      </c>
      <c r="AI775" s="19">
        <f t="shared" si="286"/>
        <v>90.965000000000003</v>
      </c>
      <c r="AJ775" s="410">
        <f t="shared" si="287"/>
        <v>984.92</v>
      </c>
      <c r="AK775" s="19" t="e">
        <f t="shared" si="288"/>
        <v>#N/A</v>
      </c>
      <c r="AL775" s="19">
        <f t="shared" si="289"/>
        <v>784.92</v>
      </c>
      <c r="AM775" s="19" t="e">
        <f t="shared" si="290"/>
        <v>#N/A</v>
      </c>
      <c r="AN775" s="19">
        <f t="shared" si="291"/>
        <v>584.91999999999996</v>
      </c>
      <c r="AO775" s="19" t="e">
        <f t="shared" si="292"/>
        <v>#N/A</v>
      </c>
      <c r="AP775" s="19">
        <f t="shared" si="293"/>
        <v>384.92</v>
      </c>
      <c r="AQ775" s="19" t="e">
        <f t="shared" si="294"/>
        <v>#N/A</v>
      </c>
      <c r="AR775" s="19">
        <f t="shared" si="295"/>
        <v>184.92000000000002</v>
      </c>
      <c r="AS775" s="19" t="e">
        <f t="shared" si="296"/>
        <v>#N/A</v>
      </c>
    </row>
    <row r="776" spans="31:45" ht="11.25" customHeight="1" x14ac:dyDescent="0.2">
      <c r="AE776" s="19">
        <v>685</v>
      </c>
      <c r="AG776" s="19">
        <f t="shared" si="284"/>
        <v>1</v>
      </c>
      <c r="AH776" s="19">
        <f t="shared" si="285"/>
        <v>-1</v>
      </c>
      <c r="AI776" s="19">
        <f t="shared" si="286"/>
        <v>92.575000000000003</v>
      </c>
      <c r="AJ776" s="410">
        <f t="shared" si="287"/>
        <v>892.28</v>
      </c>
      <c r="AK776" s="19" t="e">
        <f t="shared" si="288"/>
        <v>#N/A</v>
      </c>
      <c r="AL776" s="19">
        <f t="shared" si="289"/>
        <v>692.28</v>
      </c>
      <c r="AM776" s="19" t="e">
        <f t="shared" si="290"/>
        <v>#N/A</v>
      </c>
      <c r="AN776" s="19">
        <f t="shared" si="291"/>
        <v>492.28</v>
      </c>
      <c r="AO776" s="19" t="e">
        <f t="shared" si="292"/>
        <v>#N/A</v>
      </c>
      <c r="AP776" s="19">
        <f t="shared" si="293"/>
        <v>292.27999999999997</v>
      </c>
      <c r="AQ776" s="19" t="e">
        <f t="shared" si="294"/>
        <v>#N/A</v>
      </c>
      <c r="AR776" s="19">
        <f t="shared" si="295"/>
        <v>92.28</v>
      </c>
      <c r="AS776" s="19" t="e">
        <f t="shared" si="296"/>
        <v>#N/A</v>
      </c>
    </row>
    <row r="777" spans="31:45" ht="11.25" customHeight="1" x14ac:dyDescent="0.2">
      <c r="AE777" s="19">
        <v>686</v>
      </c>
      <c r="AG777" s="19">
        <f t="shared" si="284"/>
        <v>1</v>
      </c>
      <c r="AH777" s="19">
        <f t="shared" si="285"/>
        <v>1</v>
      </c>
      <c r="AI777" s="19">
        <f t="shared" si="286"/>
        <v>92.575000000000003</v>
      </c>
      <c r="AJ777" s="410">
        <f t="shared" si="287"/>
        <v>907.72</v>
      </c>
      <c r="AK777" s="19" t="e">
        <f t="shared" si="288"/>
        <v>#N/A</v>
      </c>
      <c r="AL777" s="19">
        <f t="shared" si="289"/>
        <v>707.72</v>
      </c>
      <c r="AM777" s="19" t="e">
        <f t="shared" si="290"/>
        <v>#N/A</v>
      </c>
      <c r="AN777" s="19">
        <f t="shared" si="291"/>
        <v>507.72</v>
      </c>
      <c r="AO777" s="19" t="e">
        <f t="shared" si="292"/>
        <v>#N/A</v>
      </c>
      <c r="AP777" s="19">
        <f t="shared" si="293"/>
        <v>307.72000000000003</v>
      </c>
      <c r="AQ777" s="19" t="e">
        <f t="shared" si="294"/>
        <v>#N/A</v>
      </c>
      <c r="AR777" s="19">
        <f t="shared" si="295"/>
        <v>107.72</v>
      </c>
      <c r="AS777" s="19" t="e">
        <f t="shared" si="296"/>
        <v>#N/A</v>
      </c>
    </row>
    <row r="778" spans="31:45" ht="11.25" customHeight="1" x14ac:dyDescent="0.2">
      <c r="AE778" s="19">
        <v>687</v>
      </c>
      <c r="AG778" s="19">
        <f t="shared" si="284"/>
        <v>3</v>
      </c>
      <c r="AH778" s="19">
        <f t="shared" si="285"/>
        <v>-1</v>
      </c>
      <c r="AI778" s="19">
        <f t="shared" si="286"/>
        <v>92.575000000000003</v>
      </c>
      <c r="AJ778" s="410">
        <f t="shared" si="287"/>
        <v>876.84</v>
      </c>
      <c r="AK778" s="19" t="e">
        <f t="shared" si="288"/>
        <v>#N/A</v>
      </c>
      <c r="AL778" s="19">
        <f t="shared" si="289"/>
        <v>676.84</v>
      </c>
      <c r="AM778" s="19" t="e">
        <f t="shared" si="290"/>
        <v>#N/A</v>
      </c>
      <c r="AN778" s="19">
        <f t="shared" si="291"/>
        <v>476.84</v>
      </c>
      <c r="AO778" s="19" t="e">
        <f t="shared" si="292"/>
        <v>#N/A</v>
      </c>
      <c r="AP778" s="19">
        <f t="shared" si="293"/>
        <v>276.83999999999997</v>
      </c>
      <c r="AQ778" s="19" t="e">
        <f t="shared" si="294"/>
        <v>#N/A</v>
      </c>
      <c r="AR778" s="19">
        <f t="shared" si="295"/>
        <v>76.84</v>
      </c>
      <c r="AS778" s="19" t="e">
        <f t="shared" si="296"/>
        <v>#N/A</v>
      </c>
    </row>
    <row r="779" spans="31:45" ht="11.25" customHeight="1" x14ac:dyDescent="0.2">
      <c r="AE779" s="19">
        <v>688</v>
      </c>
      <c r="AG779" s="19">
        <f t="shared" si="284"/>
        <v>3</v>
      </c>
      <c r="AH779" s="19">
        <f t="shared" si="285"/>
        <v>1</v>
      </c>
      <c r="AI779" s="19">
        <f t="shared" si="286"/>
        <v>92.575000000000003</v>
      </c>
      <c r="AJ779" s="410">
        <f t="shared" si="287"/>
        <v>923.16</v>
      </c>
      <c r="AK779" s="19" t="e">
        <f t="shared" si="288"/>
        <v>#N/A</v>
      </c>
      <c r="AL779" s="19">
        <f t="shared" si="289"/>
        <v>723.16</v>
      </c>
      <c r="AM779" s="19" t="e">
        <f t="shared" si="290"/>
        <v>#N/A</v>
      </c>
      <c r="AN779" s="19">
        <f t="shared" si="291"/>
        <v>523.16</v>
      </c>
      <c r="AO779" s="19" t="e">
        <f t="shared" si="292"/>
        <v>#N/A</v>
      </c>
      <c r="AP779" s="19">
        <f t="shared" si="293"/>
        <v>323.16000000000003</v>
      </c>
      <c r="AQ779" s="19" t="e">
        <f t="shared" si="294"/>
        <v>#N/A</v>
      </c>
      <c r="AR779" s="19">
        <f t="shared" si="295"/>
        <v>123.16</v>
      </c>
      <c r="AS779" s="19" t="e">
        <f t="shared" si="296"/>
        <v>#N/A</v>
      </c>
    </row>
    <row r="780" spans="31:45" ht="11.25" customHeight="1" x14ac:dyDescent="0.2">
      <c r="AE780" s="19">
        <v>689</v>
      </c>
      <c r="AG780" s="19">
        <f t="shared" si="284"/>
        <v>5</v>
      </c>
      <c r="AH780" s="19">
        <f t="shared" si="285"/>
        <v>-1</v>
      </c>
      <c r="AI780" s="19">
        <f t="shared" si="286"/>
        <v>92.575000000000003</v>
      </c>
      <c r="AJ780" s="410">
        <f t="shared" si="287"/>
        <v>861.4</v>
      </c>
      <c r="AK780" s="19" t="e">
        <f t="shared" si="288"/>
        <v>#N/A</v>
      </c>
      <c r="AL780" s="19">
        <f t="shared" si="289"/>
        <v>661.4</v>
      </c>
      <c r="AM780" s="19" t="e">
        <f t="shared" si="290"/>
        <v>#N/A</v>
      </c>
      <c r="AN780" s="19">
        <f t="shared" si="291"/>
        <v>461.4</v>
      </c>
      <c r="AO780" s="19" t="e">
        <f t="shared" si="292"/>
        <v>#N/A</v>
      </c>
      <c r="AP780" s="19">
        <f t="shared" si="293"/>
        <v>261.39999999999998</v>
      </c>
      <c r="AQ780" s="19" t="e">
        <f t="shared" si="294"/>
        <v>#N/A</v>
      </c>
      <c r="AR780" s="19">
        <f t="shared" si="295"/>
        <v>61.4</v>
      </c>
      <c r="AS780" s="19" t="e">
        <f t="shared" si="296"/>
        <v>#N/A</v>
      </c>
    </row>
    <row r="781" spans="31:45" ht="11.25" customHeight="1" x14ac:dyDescent="0.2">
      <c r="AE781" s="19">
        <v>690</v>
      </c>
      <c r="AG781" s="19">
        <f t="shared" si="284"/>
        <v>5</v>
      </c>
      <c r="AH781" s="19">
        <f t="shared" si="285"/>
        <v>1</v>
      </c>
      <c r="AI781" s="19">
        <f t="shared" si="286"/>
        <v>92.575000000000003</v>
      </c>
      <c r="AJ781" s="410">
        <f t="shared" si="287"/>
        <v>938.6</v>
      </c>
      <c r="AK781" s="19" t="e">
        <f t="shared" si="288"/>
        <v>#N/A</v>
      </c>
      <c r="AL781" s="19">
        <f t="shared" si="289"/>
        <v>738.6</v>
      </c>
      <c r="AM781" s="19" t="e">
        <f t="shared" si="290"/>
        <v>#N/A</v>
      </c>
      <c r="AN781" s="19">
        <f t="shared" si="291"/>
        <v>538.6</v>
      </c>
      <c r="AO781" s="19" t="e">
        <f t="shared" si="292"/>
        <v>#N/A</v>
      </c>
      <c r="AP781" s="19">
        <f t="shared" si="293"/>
        <v>338.6</v>
      </c>
      <c r="AQ781" s="19" t="e">
        <f t="shared" si="294"/>
        <v>#N/A</v>
      </c>
      <c r="AR781" s="19">
        <f t="shared" si="295"/>
        <v>138.6</v>
      </c>
      <c r="AS781" s="19" t="e">
        <f t="shared" si="296"/>
        <v>#N/A</v>
      </c>
    </row>
    <row r="782" spans="31:45" ht="11.25" customHeight="1" x14ac:dyDescent="0.2">
      <c r="AE782" s="19">
        <v>691</v>
      </c>
      <c r="AG782" s="19">
        <f t="shared" si="284"/>
        <v>7</v>
      </c>
      <c r="AH782" s="19">
        <f t="shared" si="285"/>
        <v>-1</v>
      </c>
      <c r="AI782" s="19">
        <f t="shared" si="286"/>
        <v>92.575000000000003</v>
      </c>
      <c r="AJ782" s="410">
        <f t="shared" si="287"/>
        <v>845.96</v>
      </c>
      <c r="AK782" s="19" t="e">
        <f t="shared" si="288"/>
        <v>#N/A</v>
      </c>
      <c r="AL782" s="19">
        <f t="shared" si="289"/>
        <v>645.96</v>
      </c>
      <c r="AM782" s="19" t="e">
        <f t="shared" si="290"/>
        <v>#N/A</v>
      </c>
      <c r="AN782" s="19">
        <f t="shared" si="291"/>
        <v>445.96</v>
      </c>
      <c r="AO782" s="19" t="e">
        <f t="shared" si="292"/>
        <v>#N/A</v>
      </c>
      <c r="AP782" s="19">
        <f t="shared" si="293"/>
        <v>245.96</v>
      </c>
      <c r="AQ782" s="19" t="e">
        <f t="shared" si="294"/>
        <v>#N/A</v>
      </c>
      <c r="AR782" s="19">
        <f t="shared" si="295"/>
        <v>45.96</v>
      </c>
      <c r="AS782" s="19" t="e">
        <f t="shared" si="296"/>
        <v>#N/A</v>
      </c>
    </row>
    <row r="783" spans="31:45" ht="11.25" customHeight="1" x14ac:dyDescent="0.2">
      <c r="AE783" s="19">
        <v>692</v>
      </c>
      <c r="AG783" s="19">
        <f t="shared" si="284"/>
        <v>7</v>
      </c>
      <c r="AH783" s="19">
        <f t="shared" si="285"/>
        <v>1</v>
      </c>
      <c r="AI783" s="19">
        <f t="shared" si="286"/>
        <v>92.575000000000003</v>
      </c>
      <c r="AJ783" s="410">
        <f t="shared" si="287"/>
        <v>954.04</v>
      </c>
      <c r="AK783" s="19" t="e">
        <f t="shared" si="288"/>
        <v>#N/A</v>
      </c>
      <c r="AL783" s="19">
        <f t="shared" si="289"/>
        <v>754.04</v>
      </c>
      <c r="AM783" s="19" t="e">
        <f t="shared" si="290"/>
        <v>#N/A</v>
      </c>
      <c r="AN783" s="19">
        <f t="shared" si="291"/>
        <v>554.04</v>
      </c>
      <c r="AO783" s="19" t="e">
        <f t="shared" si="292"/>
        <v>#N/A</v>
      </c>
      <c r="AP783" s="19">
        <f t="shared" si="293"/>
        <v>354.04</v>
      </c>
      <c r="AQ783" s="19" t="e">
        <f t="shared" si="294"/>
        <v>#N/A</v>
      </c>
      <c r="AR783" s="19">
        <f t="shared" si="295"/>
        <v>154.04</v>
      </c>
      <c r="AS783" s="19" t="e">
        <f t="shared" si="296"/>
        <v>#N/A</v>
      </c>
    </row>
    <row r="784" spans="31:45" ht="11.25" customHeight="1" x14ac:dyDescent="0.2">
      <c r="AE784" s="19">
        <v>693</v>
      </c>
      <c r="AG784" s="19">
        <f t="shared" si="284"/>
        <v>9</v>
      </c>
      <c r="AH784" s="19">
        <f t="shared" si="285"/>
        <v>-1</v>
      </c>
      <c r="AI784" s="19">
        <f t="shared" si="286"/>
        <v>92.575000000000003</v>
      </c>
      <c r="AJ784" s="410">
        <f t="shared" si="287"/>
        <v>830.52</v>
      </c>
      <c r="AK784" s="19" t="e">
        <f t="shared" si="288"/>
        <v>#N/A</v>
      </c>
      <c r="AL784" s="19">
        <f t="shared" si="289"/>
        <v>630.52</v>
      </c>
      <c r="AM784" s="19" t="e">
        <f t="shared" si="290"/>
        <v>#N/A</v>
      </c>
      <c r="AN784" s="19">
        <f t="shared" si="291"/>
        <v>430.52</v>
      </c>
      <c r="AO784" s="19" t="e">
        <f t="shared" si="292"/>
        <v>#N/A</v>
      </c>
      <c r="AP784" s="19">
        <f t="shared" si="293"/>
        <v>230.51999999999998</v>
      </c>
      <c r="AQ784" s="19" t="e">
        <f t="shared" si="294"/>
        <v>#N/A</v>
      </c>
      <c r="AR784" s="19">
        <f t="shared" si="295"/>
        <v>30.519999999999996</v>
      </c>
      <c r="AS784" s="19" t="e">
        <f t="shared" si="296"/>
        <v>#N/A</v>
      </c>
    </row>
    <row r="785" spans="31:45" ht="11.25" customHeight="1" x14ac:dyDescent="0.2">
      <c r="AE785" s="19">
        <v>694</v>
      </c>
      <c r="AG785" s="19">
        <f t="shared" si="284"/>
        <v>9</v>
      </c>
      <c r="AH785" s="19">
        <f t="shared" si="285"/>
        <v>1</v>
      </c>
      <c r="AI785" s="19">
        <f t="shared" si="286"/>
        <v>92.575000000000003</v>
      </c>
      <c r="AJ785" s="410">
        <f t="shared" si="287"/>
        <v>969.48</v>
      </c>
      <c r="AK785" s="19" t="e">
        <f t="shared" si="288"/>
        <v>#N/A</v>
      </c>
      <c r="AL785" s="19">
        <f t="shared" si="289"/>
        <v>769.48</v>
      </c>
      <c r="AM785" s="19" t="e">
        <f t="shared" si="290"/>
        <v>#N/A</v>
      </c>
      <c r="AN785" s="19">
        <f t="shared" si="291"/>
        <v>569.48</v>
      </c>
      <c r="AO785" s="19" t="e">
        <f t="shared" si="292"/>
        <v>#N/A</v>
      </c>
      <c r="AP785" s="19">
        <f t="shared" si="293"/>
        <v>369.48</v>
      </c>
      <c r="AQ785" s="19" t="e">
        <f t="shared" si="294"/>
        <v>#N/A</v>
      </c>
      <c r="AR785" s="19">
        <f t="shared" si="295"/>
        <v>169.48000000000002</v>
      </c>
      <c r="AS785" s="19" t="e">
        <f t="shared" si="296"/>
        <v>#N/A</v>
      </c>
    </row>
    <row r="786" spans="31:45" ht="11.25" customHeight="1" x14ac:dyDescent="0.2">
      <c r="AE786" s="19">
        <v>695</v>
      </c>
      <c r="AG786" s="19">
        <f t="shared" si="284"/>
        <v>11</v>
      </c>
      <c r="AH786" s="19">
        <f t="shared" si="285"/>
        <v>-1</v>
      </c>
      <c r="AI786" s="19">
        <f t="shared" si="286"/>
        <v>92.575000000000003</v>
      </c>
      <c r="AJ786" s="410">
        <f t="shared" si="287"/>
        <v>815.08</v>
      </c>
      <c r="AK786" s="19" t="e">
        <f t="shared" si="288"/>
        <v>#N/A</v>
      </c>
      <c r="AL786" s="19">
        <f t="shared" si="289"/>
        <v>615.08000000000004</v>
      </c>
      <c r="AM786" s="19" t="e">
        <f t="shared" si="290"/>
        <v>#N/A</v>
      </c>
      <c r="AN786" s="19">
        <f t="shared" si="291"/>
        <v>415.08</v>
      </c>
      <c r="AO786" s="19" t="e">
        <f t="shared" si="292"/>
        <v>#N/A</v>
      </c>
      <c r="AP786" s="19">
        <f t="shared" si="293"/>
        <v>215.07999999999998</v>
      </c>
      <c r="AQ786" s="19" t="e">
        <f t="shared" si="294"/>
        <v>#N/A</v>
      </c>
      <c r="AR786" s="19">
        <f t="shared" si="295"/>
        <v>15.079999999999998</v>
      </c>
      <c r="AS786" s="19" t="e">
        <f t="shared" si="296"/>
        <v>#N/A</v>
      </c>
    </row>
    <row r="787" spans="31:45" ht="11.25" customHeight="1" x14ac:dyDescent="0.2">
      <c r="AE787" s="19">
        <v>696</v>
      </c>
      <c r="AG787" s="19">
        <f t="shared" si="284"/>
        <v>11</v>
      </c>
      <c r="AH787" s="19">
        <f t="shared" si="285"/>
        <v>1</v>
      </c>
      <c r="AI787" s="19">
        <f t="shared" si="286"/>
        <v>92.575000000000003</v>
      </c>
      <c r="AJ787" s="410">
        <f t="shared" si="287"/>
        <v>984.92</v>
      </c>
      <c r="AK787" s="19" t="e">
        <f t="shared" si="288"/>
        <v>#N/A</v>
      </c>
      <c r="AL787" s="19">
        <f t="shared" si="289"/>
        <v>784.92</v>
      </c>
      <c r="AM787" s="19" t="e">
        <f t="shared" si="290"/>
        <v>#N/A</v>
      </c>
      <c r="AN787" s="19">
        <f t="shared" si="291"/>
        <v>584.91999999999996</v>
      </c>
      <c r="AO787" s="19" t="e">
        <f t="shared" si="292"/>
        <v>#N/A</v>
      </c>
      <c r="AP787" s="19">
        <f t="shared" si="293"/>
        <v>384.92</v>
      </c>
      <c r="AQ787" s="19" t="e">
        <f t="shared" si="294"/>
        <v>#N/A</v>
      </c>
      <c r="AR787" s="19">
        <f t="shared" si="295"/>
        <v>184.92000000000002</v>
      </c>
      <c r="AS787" s="19" t="e">
        <f t="shared" si="296"/>
        <v>#N/A</v>
      </c>
    </row>
    <row r="788" spans="31:45" ht="11.25" customHeight="1" x14ac:dyDescent="0.2">
      <c r="AE788" s="19">
        <v>697</v>
      </c>
      <c r="AG788" s="19">
        <f t="shared" si="284"/>
        <v>1</v>
      </c>
      <c r="AH788" s="19">
        <f t="shared" si="285"/>
        <v>-1</v>
      </c>
      <c r="AI788" s="19">
        <f t="shared" si="286"/>
        <v>94.185000000000002</v>
      </c>
      <c r="AJ788" s="410">
        <f t="shared" si="287"/>
        <v>892.28</v>
      </c>
      <c r="AK788" s="19" t="e">
        <f t="shared" si="288"/>
        <v>#N/A</v>
      </c>
      <c r="AL788" s="19">
        <f t="shared" si="289"/>
        <v>692.28</v>
      </c>
      <c r="AM788" s="19" t="e">
        <f t="shared" si="290"/>
        <v>#N/A</v>
      </c>
      <c r="AN788" s="19">
        <f t="shared" si="291"/>
        <v>492.28</v>
      </c>
      <c r="AO788" s="19" t="e">
        <f t="shared" si="292"/>
        <v>#N/A</v>
      </c>
      <c r="AP788" s="19">
        <f t="shared" si="293"/>
        <v>292.27999999999997</v>
      </c>
      <c r="AQ788" s="19" t="e">
        <f t="shared" si="294"/>
        <v>#N/A</v>
      </c>
      <c r="AR788" s="19">
        <f t="shared" si="295"/>
        <v>92.28</v>
      </c>
      <c r="AS788" s="19" t="e">
        <f t="shared" si="296"/>
        <v>#N/A</v>
      </c>
    </row>
    <row r="789" spans="31:45" ht="11.25" customHeight="1" x14ac:dyDescent="0.2">
      <c r="AE789" s="19">
        <v>698</v>
      </c>
      <c r="AG789" s="19">
        <f t="shared" si="284"/>
        <v>1</v>
      </c>
      <c r="AH789" s="19">
        <f t="shared" si="285"/>
        <v>1</v>
      </c>
      <c r="AI789" s="19">
        <f t="shared" si="286"/>
        <v>94.185000000000002</v>
      </c>
      <c r="AJ789" s="410">
        <f t="shared" si="287"/>
        <v>907.72</v>
      </c>
      <c r="AK789" s="19" t="e">
        <f t="shared" si="288"/>
        <v>#N/A</v>
      </c>
      <c r="AL789" s="19">
        <f t="shared" si="289"/>
        <v>707.72</v>
      </c>
      <c r="AM789" s="19" t="e">
        <f t="shared" si="290"/>
        <v>#N/A</v>
      </c>
      <c r="AN789" s="19">
        <f t="shared" si="291"/>
        <v>507.72</v>
      </c>
      <c r="AO789" s="19" t="e">
        <f t="shared" si="292"/>
        <v>#N/A</v>
      </c>
      <c r="AP789" s="19">
        <f t="shared" si="293"/>
        <v>307.72000000000003</v>
      </c>
      <c r="AQ789" s="19" t="e">
        <f t="shared" si="294"/>
        <v>#N/A</v>
      </c>
      <c r="AR789" s="19">
        <f t="shared" si="295"/>
        <v>107.72</v>
      </c>
      <c r="AS789" s="19" t="e">
        <f t="shared" si="296"/>
        <v>#N/A</v>
      </c>
    </row>
    <row r="790" spans="31:45" ht="11.25" customHeight="1" x14ac:dyDescent="0.2">
      <c r="AE790" s="19">
        <v>699</v>
      </c>
      <c r="AG790" s="19">
        <f t="shared" si="284"/>
        <v>3</v>
      </c>
      <c r="AH790" s="19">
        <f t="shared" si="285"/>
        <v>-1</v>
      </c>
      <c r="AI790" s="19">
        <f t="shared" si="286"/>
        <v>94.185000000000002</v>
      </c>
      <c r="AJ790" s="410">
        <f t="shared" si="287"/>
        <v>876.84</v>
      </c>
      <c r="AK790" s="19" t="e">
        <f t="shared" si="288"/>
        <v>#N/A</v>
      </c>
      <c r="AL790" s="19">
        <f t="shared" si="289"/>
        <v>676.84</v>
      </c>
      <c r="AM790" s="19" t="e">
        <f t="shared" si="290"/>
        <v>#N/A</v>
      </c>
      <c r="AN790" s="19">
        <f t="shared" si="291"/>
        <v>476.84</v>
      </c>
      <c r="AO790" s="19" t="e">
        <f t="shared" si="292"/>
        <v>#N/A</v>
      </c>
      <c r="AP790" s="19">
        <f t="shared" si="293"/>
        <v>276.83999999999997</v>
      </c>
      <c r="AQ790" s="19" t="e">
        <f t="shared" si="294"/>
        <v>#N/A</v>
      </c>
      <c r="AR790" s="19">
        <f t="shared" si="295"/>
        <v>76.84</v>
      </c>
      <c r="AS790" s="19" t="e">
        <f t="shared" si="296"/>
        <v>#N/A</v>
      </c>
    </row>
    <row r="791" spans="31:45" ht="11.25" customHeight="1" x14ac:dyDescent="0.2">
      <c r="AE791" s="19">
        <v>700</v>
      </c>
      <c r="AG791" s="19">
        <f t="shared" si="284"/>
        <v>3</v>
      </c>
      <c r="AH791" s="19">
        <f t="shared" si="285"/>
        <v>1</v>
      </c>
      <c r="AI791" s="19">
        <f t="shared" si="286"/>
        <v>94.185000000000002</v>
      </c>
      <c r="AJ791" s="410">
        <f t="shared" si="287"/>
        <v>923.16</v>
      </c>
      <c r="AK791" s="19" t="e">
        <f t="shared" si="288"/>
        <v>#N/A</v>
      </c>
      <c r="AL791" s="19">
        <f t="shared" si="289"/>
        <v>723.16</v>
      </c>
      <c r="AM791" s="19" t="e">
        <f t="shared" si="290"/>
        <v>#N/A</v>
      </c>
      <c r="AN791" s="19">
        <f t="shared" si="291"/>
        <v>523.16</v>
      </c>
      <c r="AO791" s="19" t="e">
        <f t="shared" si="292"/>
        <v>#N/A</v>
      </c>
      <c r="AP791" s="19">
        <f t="shared" si="293"/>
        <v>323.16000000000003</v>
      </c>
      <c r="AQ791" s="19" t="e">
        <f t="shared" si="294"/>
        <v>#N/A</v>
      </c>
      <c r="AR791" s="19">
        <f t="shared" si="295"/>
        <v>123.16</v>
      </c>
      <c r="AS791" s="19" t="e">
        <f t="shared" si="296"/>
        <v>#N/A</v>
      </c>
    </row>
    <row r="792" spans="31:45" ht="11.25" customHeight="1" x14ac:dyDescent="0.2">
      <c r="AE792" s="19">
        <v>701</v>
      </c>
      <c r="AG792" s="19">
        <f t="shared" si="284"/>
        <v>5</v>
      </c>
      <c r="AH792" s="19">
        <f t="shared" si="285"/>
        <v>-1</v>
      </c>
      <c r="AI792" s="19">
        <f t="shared" si="286"/>
        <v>94.185000000000002</v>
      </c>
      <c r="AJ792" s="410">
        <f t="shared" si="287"/>
        <v>861.4</v>
      </c>
      <c r="AK792" s="19" t="e">
        <f t="shared" si="288"/>
        <v>#N/A</v>
      </c>
      <c r="AL792" s="19">
        <f t="shared" si="289"/>
        <v>661.4</v>
      </c>
      <c r="AM792" s="19" t="e">
        <f t="shared" si="290"/>
        <v>#N/A</v>
      </c>
      <c r="AN792" s="19">
        <f t="shared" si="291"/>
        <v>461.4</v>
      </c>
      <c r="AO792" s="19" t="e">
        <f t="shared" si="292"/>
        <v>#N/A</v>
      </c>
      <c r="AP792" s="19">
        <f t="shared" si="293"/>
        <v>261.39999999999998</v>
      </c>
      <c r="AQ792" s="19" t="e">
        <f t="shared" si="294"/>
        <v>#N/A</v>
      </c>
      <c r="AR792" s="19">
        <f t="shared" si="295"/>
        <v>61.4</v>
      </c>
      <c r="AS792" s="19" t="e">
        <f t="shared" si="296"/>
        <v>#N/A</v>
      </c>
    </row>
    <row r="793" spans="31:45" ht="11.25" customHeight="1" x14ac:dyDescent="0.2">
      <c r="AE793" s="19">
        <v>702</v>
      </c>
      <c r="AG793" s="19">
        <f t="shared" si="284"/>
        <v>5</v>
      </c>
      <c r="AH793" s="19">
        <f t="shared" si="285"/>
        <v>1</v>
      </c>
      <c r="AI793" s="19">
        <f t="shared" si="286"/>
        <v>94.185000000000002</v>
      </c>
      <c r="AJ793" s="410">
        <f t="shared" si="287"/>
        <v>938.6</v>
      </c>
      <c r="AK793" s="19" t="e">
        <f t="shared" si="288"/>
        <v>#N/A</v>
      </c>
      <c r="AL793" s="19">
        <f t="shared" si="289"/>
        <v>738.6</v>
      </c>
      <c r="AM793" s="19" t="e">
        <f t="shared" si="290"/>
        <v>#N/A</v>
      </c>
      <c r="AN793" s="19">
        <f t="shared" si="291"/>
        <v>538.6</v>
      </c>
      <c r="AO793" s="19" t="e">
        <f t="shared" si="292"/>
        <v>#N/A</v>
      </c>
      <c r="AP793" s="19">
        <f t="shared" si="293"/>
        <v>338.6</v>
      </c>
      <c r="AQ793" s="19" t="e">
        <f t="shared" si="294"/>
        <v>#N/A</v>
      </c>
      <c r="AR793" s="19">
        <f t="shared" si="295"/>
        <v>138.6</v>
      </c>
      <c r="AS793" s="19" t="e">
        <f t="shared" si="296"/>
        <v>#N/A</v>
      </c>
    </row>
    <row r="794" spans="31:45" ht="11.25" customHeight="1" x14ac:dyDescent="0.2">
      <c r="AE794" s="19">
        <v>703</v>
      </c>
      <c r="AG794" s="19">
        <f t="shared" si="284"/>
        <v>7</v>
      </c>
      <c r="AH794" s="19">
        <f t="shared" si="285"/>
        <v>-1</v>
      </c>
      <c r="AI794" s="19">
        <f t="shared" si="286"/>
        <v>94.185000000000002</v>
      </c>
      <c r="AJ794" s="410">
        <f t="shared" si="287"/>
        <v>845.96</v>
      </c>
      <c r="AK794" s="19" t="e">
        <f t="shared" si="288"/>
        <v>#N/A</v>
      </c>
      <c r="AL794" s="19">
        <f t="shared" si="289"/>
        <v>645.96</v>
      </c>
      <c r="AM794" s="19" t="e">
        <f t="shared" si="290"/>
        <v>#N/A</v>
      </c>
      <c r="AN794" s="19">
        <f t="shared" si="291"/>
        <v>445.96</v>
      </c>
      <c r="AO794" s="19" t="e">
        <f t="shared" si="292"/>
        <v>#N/A</v>
      </c>
      <c r="AP794" s="19">
        <f t="shared" si="293"/>
        <v>245.96</v>
      </c>
      <c r="AQ794" s="19" t="e">
        <f t="shared" si="294"/>
        <v>#N/A</v>
      </c>
      <c r="AR794" s="19">
        <f t="shared" si="295"/>
        <v>45.96</v>
      </c>
      <c r="AS794" s="19" t="e">
        <f t="shared" si="296"/>
        <v>#N/A</v>
      </c>
    </row>
    <row r="795" spans="31:45" ht="11.25" customHeight="1" x14ac:dyDescent="0.2">
      <c r="AE795" s="19">
        <v>704</v>
      </c>
      <c r="AG795" s="19">
        <f t="shared" si="284"/>
        <v>7</v>
      </c>
      <c r="AH795" s="19">
        <f t="shared" si="285"/>
        <v>1</v>
      </c>
      <c r="AI795" s="19">
        <f t="shared" si="286"/>
        <v>94.185000000000002</v>
      </c>
      <c r="AJ795" s="410">
        <f t="shared" si="287"/>
        <v>954.04</v>
      </c>
      <c r="AK795" s="19" t="e">
        <f t="shared" si="288"/>
        <v>#N/A</v>
      </c>
      <c r="AL795" s="19">
        <f t="shared" si="289"/>
        <v>754.04</v>
      </c>
      <c r="AM795" s="19" t="e">
        <f t="shared" si="290"/>
        <v>#N/A</v>
      </c>
      <c r="AN795" s="19">
        <f t="shared" si="291"/>
        <v>554.04</v>
      </c>
      <c r="AO795" s="19" t="e">
        <f t="shared" si="292"/>
        <v>#N/A</v>
      </c>
      <c r="AP795" s="19">
        <f t="shared" si="293"/>
        <v>354.04</v>
      </c>
      <c r="AQ795" s="19" t="e">
        <f t="shared" si="294"/>
        <v>#N/A</v>
      </c>
      <c r="AR795" s="19">
        <f t="shared" si="295"/>
        <v>154.04</v>
      </c>
      <c r="AS795" s="19" t="e">
        <f t="shared" si="296"/>
        <v>#N/A</v>
      </c>
    </row>
    <row r="796" spans="31:45" ht="11.25" customHeight="1" x14ac:dyDescent="0.2">
      <c r="AE796" s="19">
        <v>705</v>
      </c>
      <c r="AG796" s="19">
        <f t="shared" ref="AG796:AG859" si="297">2*ROUNDUP((MOD(AE796-1,$AB$94)+1)/2,0)-1</f>
        <v>9</v>
      </c>
      <c r="AH796" s="19">
        <f t="shared" ref="AH796:AH859" si="298">IF(AG796=AG797,-1,1)</f>
        <v>-1</v>
      </c>
      <c r="AI796" s="19">
        <f t="shared" ref="AI796:AI859" si="299">IF($BR$7,$AB$87*(0.5+INT((AE796-0.5)/$AB$94)),NA())</f>
        <v>94.185000000000002</v>
      </c>
      <c r="AJ796" s="410">
        <f t="shared" ref="AJ796:AJ859" si="300">IF($BP$11,$AM$87+$AB$90*AH796*AG796,NA())</f>
        <v>830.52</v>
      </c>
      <c r="AK796" s="19" t="e">
        <f t="shared" ref="AK796:AK859" si="301">IF($AG$83&lt;AE796,NA(),AI796)</f>
        <v>#N/A</v>
      </c>
      <c r="AL796" s="19">
        <f t="shared" ref="AL796:AL859" si="302">IF($BP$11,$AN$87+$AB$90*AH796*AG796,NA())</f>
        <v>630.52</v>
      </c>
      <c r="AM796" s="19" t="e">
        <f t="shared" ref="AM796:AM859" si="303">IF($AH$83&lt;AE796,NA(),AI796)</f>
        <v>#N/A</v>
      </c>
      <c r="AN796" s="19">
        <f t="shared" ref="AN796:AN859" si="304">IF($BP$11,$AO$87+$AB$90*AH796*AG796,NA())</f>
        <v>430.52</v>
      </c>
      <c r="AO796" s="19" t="e">
        <f t="shared" ref="AO796:AO859" si="305">IF($AI$83&lt;AE796,NA(),AI796)</f>
        <v>#N/A</v>
      </c>
      <c r="AP796" s="19">
        <f t="shared" ref="AP796:AP859" si="306">IF($BP$11,$AP$87+$AB$90*AH796*AG796,NA())</f>
        <v>230.51999999999998</v>
      </c>
      <c r="AQ796" s="19" t="e">
        <f t="shared" ref="AQ796:AQ859" si="307">IF($AJ$83&lt;AE796,NA(),AI796)</f>
        <v>#N/A</v>
      </c>
      <c r="AR796" s="19">
        <f t="shared" ref="AR796:AR859" si="308">IF($BP$11,$AQ$87+$AB$90*AH796*AG796,NA())</f>
        <v>30.519999999999996</v>
      </c>
      <c r="AS796" s="19" t="e">
        <f t="shared" ref="AS796:AS859" si="309">IF($AK$83&lt;AE796,NA(),AI796)</f>
        <v>#N/A</v>
      </c>
    </row>
    <row r="797" spans="31:45" ht="11.25" customHeight="1" x14ac:dyDescent="0.2">
      <c r="AE797" s="19">
        <v>706</v>
      </c>
      <c r="AG797" s="19">
        <f t="shared" si="297"/>
        <v>9</v>
      </c>
      <c r="AH797" s="19">
        <f t="shared" si="298"/>
        <v>1</v>
      </c>
      <c r="AI797" s="19">
        <f t="shared" si="299"/>
        <v>94.185000000000002</v>
      </c>
      <c r="AJ797" s="410">
        <f t="shared" si="300"/>
        <v>969.48</v>
      </c>
      <c r="AK797" s="19" t="e">
        <f t="shared" si="301"/>
        <v>#N/A</v>
      </c>
      <c r="AL797" s="19">
        <f t="shared" si="302"/>
        <v>769.48</v>
      </c>
      <c r="AM797" s="19" t="e">
        <f t="shared" si="303"/>
        <v>#N/A</v>
      </c>
      <c r="AN797" s="19">
        <f t="shared" si="304"/>
        <v>569.48</v>
      </c>
      <c r="AO797" s="19" t="e">
        <f t="shared" si="305"/>
        <v>#N/A</v>
      </c>
      <c r="AP797" s="19">
        <f t="shared" si="306"/>
        <v>369.48</v>
      </c>
      <c r="AQ797" s="19" t="e">
        <f t="shared" si="307"/>
        <v>#N/A</v>
      </c>
      <c r="AR797" s="19">
        <f t="shared" si="308"/>
        <v>169.48000000000002</v>
      </c>
      <c r="AS797" s="19" t="e">
        <f t="shared" si="309"/>
        <v>#N/A</v>
      </c>
    </row>
    <row r="798" spans="31:45" ht="11.25" customHeight="1" x14ac:dyDescent="0.2">
      <c r="AE798" s="19">
        <v>707</v>
      </c>
      <c r="AG798" s="19">
        <f t="shared" si="297"/>
        <v>11</v>
      </c>
      <c r="AH798" s="19">
        <f t="shared" si="298"/>
        <v>-1</v>
      </c>
      <c r="AI798" s="19">
        <f t="shared" si="299"/>
        <v>94.185000000000002</v>
      </c>
      <c r="AJ798" s="410">
        <f t="shared" si="300"/>
        <v>815.08</v>
      </c>
      <c r="AK798" s="19" t="e">
        <f t="shared" si="301"/>
        <v>#N/A</v>
      </c>
      <c r="AL798" s="19">
        <f t="shared" si="302"/>
        <v>615.08000000000004</v>
      </c>
      <c r="AM798" s="19" t="e">
        <f t="shared" si="303"/>
        <v>#N/A</v>
      </c>
      <c r="AN798" s="19">
        <f t="shared" si="304"/>
        <v>415.08</v>
      </c>
      <c r="AO798" s="19" t="e">
        <f t="shared" si="305"/>
        <v>#N/A</v>
      </c>
      <c r="AP798" s="19">
        <f t="shared" si="306"/>
        <v>215.07999999999998</v>
      </c>
      <c r="AQ798" s="19" t="e">
        <f t="shared" si="307"/>
        <v>#N/A</v>
      </c>
      <c r="AR798" s="19">
        <f t="shared" si="308"/>
        <v>15.079999999999998</v>
      </c>
      <c r="AS798" s="19" t="e">
        <f t="shared" si="309"/>
        <v>#N/A</v>
      </c>
    </row>
    <row r="799" spans="31:45" ht="11.25" customHeight="1" x14ac:dyDescent="0.2">
      <c r="AE799" s="19">
        <v>708</v>
      </c>
      <c r="AG799" s="19">
        <f t="shared" si="297"/>
        <v>11</v>
      </c>
      <c r="AH799" s="19">
        <f t="shared" si="298"/>
        <v>1</v>
      </c>
      <c r="AI799" s="19">
        <f t="shared" si="299"/>
        <v>94.185000000000002</v>
      </c>
      <c r="AJ799" s="410">
        <f t="shared" si="300"/>
        <v>984.92</v>
      </c>
      <c r="AK799" s="19" t="e">
        <f t="shared" si="301"/>
        <v>#N/A</v>
      </c>
      <c r="AL799" s="19">
        <f t="shared" si="302"/>
        <v>784.92</v>
      </c>
      <c r="AM799" s="19" t="e">
        <f t="shared" si="303"/>
        <v>#N/A</v>
      </c>
      <c r="AN799" s="19">
        <f t="shared" si="304"/>
        <v>584.91999999999996</v>
      </c>
      <c r="AO799" s="19" t="e">
        <f t="shared" si="305"/>
        <v>#N/A</v>
      </c>
      <c r="AP799" s="19">
        <f t="shared" si="306"/>
        <v>384.92</v>
      </c>
      <c r="AQ799" s="19" t="e">
        <f t="shared" si="307"/>
        <v>#N/A</v>
      </c>
      <c r="AR799" s="19">
        <f t="shared" si="308"/>
        <v>184.92000000000002</v>
      </c>
      <c r="AS799" s="19" t="e">
        <f t="shared" si="309"/>
        <v>#N/A</v>
      </c>
    </row>
    <row r="800" spans="31:45" ht="11.25" customHeight="1" x14ac:dyDescent="0.2">
      <c r="AE800" s="19">
        <v>709</v>
      </c>
      <c r="AG800" s="19">
        <f t="shared" si="297"/>
        <v>1</v>
      </c>
      <c r="AH800" s="19">
        <f t="shared" si="298"/>
        <v>-1</v>
      </c>
      <c r="AI800" s="19">
        <f t="shared" si="299"/>
        <v>95.795000000000002</v>
      </c>
      <c r="AJ800" s="410">
        <f t="shared" si="300"/>
        <v>892.28</v>
      </c>
      <c r="AK800" s="19" t="e">
        <f t="shared" si="301"/>
        <v>#N/A</v>
      </c>
      <c r="AL800" s="19">
        <f t="shared" si="302"/>
        <v>692.28</v>
      </c>
      <c r="AM800" s="19" t="e">
        <f t="shared" si="303"/>
        <v>#N/A</v>
      </c>
      <c r="AN800" s="19">
        <f t="shared" si="304"/>
        <v>492.28</v>
      </c>
      <c r="AO800" s="19" t="e">
        <f t="shared" si="305"/>
        <v>#N/A</v>
      </c>
      <c r="AP800" s="19">
        <f t="shared" si="306"/>
        <v>292.27999999999997</v>
      </c>
      <c r="AQ800" s="19" t="e">
        <f t="shared" si="307"/>
        <v>#N/A</v>
      </c>
      <c r="AR800" s="19">
        <f t="shared" si="308"/>
        <v>92.28</v>
      </c>
      <c r="AS800" s="19" t="e">
        <f t="shared" si="309"/>
        <v>#N/A</v>
      </c>
    </row>
    <row r="801" spans="31:45" ht="11.25" customHeight="1" x14ac:dyDescent="0.2">
      <c r="AE801" s="19">
        <v>710</v>
      </c>
      <c r="AG801" s="19">
        <f t="shared" si="297"/>
        <v>1</v>
      </c>
      <c r="AH801" s="19">
        <f t="shared" si="298"/>
        <v>1</v>
      </c>
      <c r="AI801" s="19">
        <f t="shared" si="299"/>
        <v>95.795000000000002</v>
      </c>
      <c r="AJ801" s="410">
        <f t="shared" si="300"/>
        <v>907.72</v>
      </c>
      <c r="AK801" s="19" t="e">
        <f t="shared" si="301"/>
        <v>#N/A</v>
      </c>
      <c r="AL801" s="19">
        <f t="shared" si="302"/>
        <v>707.72</v>
      </c>
      <c r="AM801" s="19" t="e">
        <f t="shared" si="303"/>
        <v>#N/A</v>
      </c>
      <c r="AN801" s="19">
        <f t="shared" si="304"/>
        <v>507.72</v>
      </c>
      <c r="AO801" s="19" t="e">
        <f t="shared" si="305"/>
        <v>#N/A</v>
      </c>
      <c r="AP801" s="19">
        <f t="shared" si="306"/>
        <v>307.72000000000003</v>
      </c>
      <c r="AQ801" s="19" t="e">
        <f t="shared" si="307"/>
        <v>#N/A</v>
      </c>
      <c r="AR801" s="19">
        <f t="shared" si="308"/>
        <v>107.72</v>
      </c>
      <c r="AS801" s="19" t="e">
        <f t="shared" si="309"/>
        <v>#N/A</v>
      </c>
    </row>
    <row r="802" spans="31:45" ht="11.25" customHeight="1" x14ac:dyDescent="0.2">
      <c r="AE802" s="19">
        <v>711</v>
      </c>
      <c r="AG802" s="19">
        <f t="shared" si="297"/>
        <v>3</v>
      </c>
      <c r="AH802" s="19">
        <f t="shared" si="298"/>
        <v>-1</v>
      </c>
      <c r="AI802" s="19">
        <f t="shared" si="299"/>
        <v>95.795000000000002</v>
      </c>
      <c r="AJ802" s="410">
        <f t="shared" si="300"/>
        <v>876.84</v>
      </c>
      <c r="AK802" s="19" t="e">
        <f t="shared" si="301"/>
        <v>#N/A</v>
      </c>
      <c r="AL802" s="19">
        <f t="shared" si="302"/>
        <v>676.84</v>
      </c>
      <c r="AM802" s="19" t="e">
        <f t="shared" si="303"/>
        <v>#N/A</v>
      </c>
      <c r="AN802" s="19">
        <f t="shared" si="304"/>
        <v>476.84</v>
      </c>
      <c r="AO802" s="19" t="e">
        <f t="shared" si="305"/>
        <v>#N/A</v>
      </c>
      <c r="AP802" s="19">
        <f t="shared" si="306"/>
        <v>276.83999999999997</v>
      </c>
      <c r="AQ802" s="19" t="e">
        <f t="shared" si="307"/>
        <v>#N/A</v>
      </c>
      <c r="AR802" s="19">
        <f t="shared" si="308"/>
        <v>76.84</v>
      </c>
      <c r="AS802" s="19" t="e">
        <f t="shared" si="309"/>
        <v>#N/A</v>
      </c>
    </row>
    <row r="803" spans="31:45" ht="11.25" customHeight="1" x14ac:dyDescent="0.2">
      <c r="AE803" s="19">
        <v>712</v>
      </c>
      <c r="AG803" s="19">
        <f t="shared" si="297"/>
        <v>3</v>
      </c>
      <c r="AH803" s="19">
        <f t="shared" si="298"/>
        <v>1</v>
      </c>
      <c r="AI803" s="19">
        <f t="shared" si="299"/>
        <v>95.795000000000002</v>
      </c>
      <c r="AJ803" s="410">
        <f t="shared" si="300"/>
        <v>923.16</v>
      </c>
      <c r="AK803" s="19" t="e">
        <f t="shared" si="301"/>
        <v>#N/A</v>
      </c>
      <c r="AL803" s="19">
        <f t="shared" si="302"/>
        <v>723.16</v>
      </c>
      <c r="AM803" s="19" t="e">
        <f t="shared" si="303"/>
        <v>#N/A</v>
      </c>
      <c r="AN803" s="19">
        <f t="shared" si="304"/>
        <v>523.16</v>
      </c>
      <c r="AO803" s="19" t="e">
        <f t="shared" si="305"/>
        <v>#N/A</v>
      </c>
      <c r="AP803" s="19">
        <f t="shared" si="306"/>
        <v>323.16000000000003</v>
      </c>
      <c r="AQ803" s="19" t="e">
        <f t="shared" si="307"/>
        <v>#N/A</v>
      </c>
      <c r="AR803" s="19">
        <f t="shared" si="308"/>
        <v>123.16</v>
      </c>
      <c r="AS803" s="19" t="e">
        <f t="shared" si="309"/>
        <v>#N/A</v>
      </c>
    </row>
    <row r="804" spans="31:45" ht="11.25" customHeight="1" x14ac:dyDescent="0.2">
      <c r="AE804" s="19">
        <v>713</v>
      </c>
      <c r="AG804" s="19">
        <f t="shared" si="297"/>
        <v>5</v>
      </c>
      <c r="AH804" s="19">
        <f t="shared" si="298"/>
        <v>-1</v>
      </c>
      <c r="AI804" s="19">
        <f t="shared" si="299"/>
        <v>95.795000000000002</v>
      </c>
      <c r="AJ804" s="410">
        <f t="shared" si="300"/>
        <v>861.4</v>
      </c>
      <c r="AK804" s="19" t="e">
        <f t="shared" si="301"/>
        <v>#N/A</v>
      </c>
      <c r="AL804" s="19">
        <f t="shared" si="302"/>
        <v>661.4</v>
      </c>
      <c r="AM804" s="19" t="e">
        <f t="shared" si="303"/>
        <v>#N/A</v>
      </c>
      <c r="AN804" s="19">
        <f t="shared" si="304"/>
        <v>461.4</v>
      </c>
      <c r="AO804" s="19" t="e">
        <f t="shared" si="305"/>
        <v>#N/A</v>
      </c>
      <c r="AP804" s="19">
        <f t="shared" si="306"/>
        <v>261.39999999999998</v>
      </c>
      <c r="AQ804" s="19" t="e">
        <f t="shared" si="307"/>
        <v>#N/A</v>
      </c>
      <c r="AR804" s="19">
        <f t="shared" si="308"/>
        <v>61.4</v>
      </c>
      <c r="AS804" s="19" t="e">
        <f t="shared" si="309"/>
        <v>#N/A</v>
      </c>
    </row>
    <row r="805" spans="31:45" ht="11.25" customHeight="1" x14ac:dyDescent="0.2">
      <c r="AE805" s="19">
        <v>714</v>
      </c>
      <c r="AG805" s="19">
        <f t="shared" si="297"/>
        <v>5</v>
      </c>
      <c r="AH805" s="19">
        <f t="shared" si="298"/>
        <v>1</v>
      </c>
      <c r="AI805" s="19">
        <f t="shared" si="299"/>
        <v>95.795000000000002</v>
      </c>
      <c r="AJ805" s="410">
        <f t="shared" si="300"/>
        <v>938.6</v>
      </c>
      <c r="AK805" s="19" t="e">
        <f t="shared" si="301"/>
        <v>#N/A</v>
      </c>
      <c r="AL805" s="19">
        <f t="shared" si="302"/>
        <v>738.6</v>
      </c>
      <c r="AM805" s="19" t="e">
        <f t="shared" si="303"/>
        <v>#N/A</v>
      </c>
      <c r="AN805" s="19">
        <f t="shared" si="304"/>
        <v>538.6</v>
      </c>
      <c r="AO805" s="19" t="e">
        <f t="shared" si="305"/>
        <v>#N/A</v>
      </c>
      <c r="AP805" s="19">
        <f t="shared" si="306"/>
        <v>338.6</v>
      </c>
      <c r="AQ805" s="19" t="e">
        <f t="shared" si="307"/>
        <v>#N/A</v>
      </c>
      <c r="AR805" s="19">
        <f t="shared" si="308"/>
        <v>138.6</v>
      </c>
      <c r="AS805" s="19" t="e">
        <f t="shared" si="309"/>
        <v>#N/A</v>
      </c>
    </row>
    <row r="806" spans="31:45" ht="11.25" customHeight="1" x14ac:dyDescent="0.2">
      <c r="AE806" s="19">
        <v>715</v>
      </c>
      <c r="AG806" s="19">
        <f t="shared" si="297"/>
        <v>7</v>
      </c>
      <c r="AH806" s="19">
        <f t="shared" si="298"/>
        <v>-1</v>
      </c>
      <c r="AI806" s="19">
        <f t="shared" si="299"/>
        <v>95.795000000000002</v>
      </c>
      <c r="AJ806" s="410">
        <f t="shared" si="300"/>
        <v>845.96</v>
      </c>
      <c r="AK806" s="19" t="e">
        <f t="shared" si="301"/>
        <v>#N/A</v>
      </c>
      <c r="AL806" s="19">
        <f t="shared" si="302"/>
        <v>645.96</v>
      </c>
      <c r="AM806" s="19" t="e">
        <f t="shared" si="303"/>
        <v>#N/A</v>
      </c>
      <c r="AN806" s="19">
        <f t="shared" si="304"/>
        <v>445.96</v>
      </c>
      <c r="AO806" s="19" t="e">
        <f t="shared" si="305"/>
        <v>#N/A</v>
      </c>
      <c r="AP806" s="19">
        <f t="shared" si="306"/>
        <v>245.96</v>
      </c>
      <c r="AQ806" s="19" t="e">
        <f t="shared" si="307"/>
        <v>#N/A</v>
      </c>
      <c r="AR806" s="19">
        <f t="shared" si="308"/>
        <v>45.96</v>
      </c>
      <c r="AS806" s="19" t="e">
        <f t="shared" si="309"/>
        <v>#N/A</v>
      </c>
    </row>
    <row r="807" spans="31:45" ht="11.25" customHeight="1" x14ac:dyDescent="0.2">
      <c r="AE807" s="19">
        <v>716</v>
      </c>
      <c r="AG807" s="19">
        <f t="shared" si="297"/>
        <v>7</v>
      </c>
      <c r="AH807" s="19">
        <f t="shared" si="298"/>
        <v>1</v>
      </c>
      <c r="AI807" s="19">
        <f t="shared" si="299"/>
        <v>95.795000000000002</v>
      </c>
      <c r="AJ807" s="410">
        <f t="shared" si="300"/>
        <v>954.04</v>
      </c>
      <c r="AK807" s="19" t="e">
        <f t="shared" si="301"/>
        <v>#N/A</v>
      </c>
      <c r="AL807" s="19">
        <f t="shared" si="302"/>
        <v>754.04</v>
      </c>
      <c r="AM807" s="19" t="e">
        <f t="shared" si="303"/>
        <v>#N/A</v>
      </c>
      <c r="AN807" s="19">
        <f t="shared" si="304"/>
        <v>554.04</v>
      </c>
      <c r="AO807" s="19" t="e">
        <f t="shared" si="305"/>
        <v>#N/A</v>
      </c>
      <c r="AP807" s="19">
        <f t="shared" si="306"/>
        <v>354.04</v>
      </c>
      <c r="AQ807" s="19" t="e">
        <f t="shared" si="307"/>
        <v>#N/A</v>
      </c>
      <c r="AR807" s="19">
        <f t="shared" si="308"/>
        <v>154.04</v>
      </c>
      <c r="AS807" s="19" t="e">
        <f t="shared" si="309"/>
        <v>#N/A</v>
      </c>
    </row>
    <row r="808" spans="31:45" ht="11.25" customHeight="1" x14ac:dyDescent="0.2">
      <c r="AE808" s="19">
        <v>717</v>
      </c>
      <c r="AG808" s="19">
        <f t="shared" si="297"/>
        <v>9</v>
      </c>
      <c r="AH808" s="19">
        <f t="shared" si="298"/>
        <v>-1</v>
      </c>
      <c r="AI808" s="19">
        <f t="shared" si="299"/>
        <v>95.795000000000002</v>
      </c>
      <c r="AJ808" s="410">
        <f t="shared" si="300"/>
        <v>830.52</v>
      </c>
      <c r="AK808" s="19" t="e">
        <f t="shared" si="301"/>
        <v>#N/A</v>
      </c>
      <c r="AL808" s="19">
        <f t="shared" si="302"/>
        <v>630.52</v>
      </c>
      <c r="AM808" s="19" t="e">
        <f t="shared" si="303"/>
        <v>#N/A</v>
      </c>
      <c r="AN808" s="19">
        <f t="shared" si="304"/>
        <v>430.52</v>
      </c>
      <c r="AO808" s="19" t="e">
        <f t="shared" si="305"/>
        <v>#N/A</v>
      </c>
      <c r="AP808" s="19">
        <f t="shared" si="306"/>
        <v>230.51999999999998</v>
      </c>
      <c r="AQ808" s="19" t="e">
        <f t="shared" si="307"/>
        <v>#N/A</v>
      </c>
      <c r="AR808" s="19">
        <f t="shared" si="308"/>
        <v>30.519999999999996</v>
      </c>
      <c r="AS808" s="19" t="e">
        <f t="shared" si="309"/>
        <v>#N/A</v>
      </c>
    </row>
    <row r="809" spans="31:45" ht="11.25" customHeight="1" x14ac:dyDescent="0.2">
      <c r="AE809" s="19">
        <v>718</v>
      </c>
      <c r="AG809" s="19">
        <f t="shared" si="297"/>
        <v>9</v>
      </c>
      <c r="AH809" s="19">
        <f t="shared" si="298"/>
        <v>1</v>
      </c>
      <c r="AI809" s="19">
        <f t="shared" si="299"/>
        <v>95.795000000000002</v>
      </c>
      <c r="AJ809" s="410">
        <f t="shared" si="300"/>
        <v>969.48</v>
      </c>
      <c r="AK809" s="19" t="e">
        <f t="shared" si="301"/>
        <v>#N/A</v>
      </c>
      <c r="AL809" s="19">
        <f t="shared" si="302"/>
        <v>769.48</v>
      </c>
      <c r="AM809" s="19" t="e">
        <f t="shared" si="303"/>
        <v>#N/A</v>
      </c>
      <c r="AN809" s="19">
        <f t="shared" si="304"/>
        <v>569.48</v>
      </c>
      <c r="AO809" s="19" t="e">
        <f t="shared" si="305"/>
        <v>#N/A</v>
      </c>
      <c r="AP809" s="19">
        <f t="shared" si="306"/>
        <v>369.48</v>
      </c>
      <c r="AQ809" s="19" t="e">
        <f t="shared" si="307"/>
        <v>#N/A</v>
      </c>
      <c r="AR809" s="19">
        <f t="shared" si="308"/>
        <v>169.48000000000002</v>
      </c>
      <c r="AS809" s="19" t="e">
        <f t="shared" si="309"/>
        <v>#N/A</v>
      </c>
    </row>
    <row r="810" spans="31:45" ht="11.25" customHeight="1" x14ac:dyDescent="0.2">
      <c r="AE810" s="19">
        <v>719</v>
      </c>
      <c r="AG810" s="19">
        <f t="shared" si="297"/>
        <v>11</v>
      </c>
      <c r="AH810" s="19">
        <f t="shared" si="298"/>
        <v>-1</v>
      </c>
      <c r="AI810" s="19">
        <f t="shared" si="299"/>
        <v>95.795000000000002</v>
      </c>
      <c r="AJ810" s="410">
        <f t="shared" si="300"/>
        <v>815.08</v>
      </c>
      <c r="AK810" s="19" t="e">
        <f t="shared" si="301"/>
        <v>#N/A</v>
      </c>
      <c r="AL810" s="19">
        <f t="shared" si="302"/>
        <v>615.08000000000004</v>
      </c>
      <c r="AM810" s="19" t="e">
        <f t="shared" si="303"/>
        <v>#N/A</v>
      </c>
      <c r="AN810" s="19">
        <f t="shared" si="304"/>
        <v>415.08</v>
      </c>
      <c r="AO810" s="19" t="e">
        <f t="shared" si="305"/>
        <v>#N/A</v>
      </c>
      <c r="AP810" s="19">
        <f t="shared" si="306"/>
        <v>215.07999999999998</v>
      </c>
      <c r="AQ810" s="19" t="e">
        <f t="shared" si="307"/>
        <v>#N/A</v>
      </c>
      <c r="AR810" s="19">
        <f t="shared" si="308"/>
        <v>15.079999999999998</v>
      </c>
      <c r="AS810" s="19" t="e">
        <f t="shared" si="309"/>
        <v>#N/A</v>
      </c>
    </row>
    <row r="811" spans="31:45" ht="11.25" customHeight="1" x14ac:dyDescent="0.2">
      <c r="AE811" s="19">
        <v>720</v>
      </c>
      <c r="AG811" s="19">
        <f t="shared" si="297"/>
        <v>11</v>
      </c>
      <c r="AH811" s="19">
        <f t="shared" si="298"/>
        <v>1</v>
      </c>
      <c r="AI811" s="19">
        <f t="shared" si="299"/>
        <v>95.795000000000002</v>
      </c>
      <c r="AJ811" s="410">
        <f t="shared" si="300"/>
        <v>984.92</v>
      </c>
      <c r="AK811" s="19" t="e">
        <f t="shared" si="301"/>
        <v>#N/A</v>
      </c>
      <c r="AL811" s="19">
        <f t="shared" si="302"/>
        <v>784.92</v>
      </c>
      <c r="AM811" s="19" t="e">
        <f t="shared" si="303"/>
        <v>#N/A</v>
      </c>
      <c r="AN811" s="19">
        <f t="shared" si="304"/>
        <v>584.91999999999996</v>
      </c>
      <c r="AO811" s="19" t="e">
        <f t="shared" si="305"/>
        <v>#N/A</v>
      </c>
      <c r="AP811" s="19">
        <f t="shared" si="306"/>
        <v>384.92</v>
      </c>
      <c r="AQ811" s="19" t="e">
        <f t="shared" si="307"/>
        <v>#N/A</v>
      </c>
      <c r="AR811" s="19">
        <f t="shared" si="308"/>
        <v>184.92000000000002</v>
      </c>
      <c r="AS811" s="19" t="e">
        <f t="shared" si="309"/>
        <v>#N/A</v>
      </c>
    </row>
    <row r="812" spans="31:45" ht="11.25" customHeight="1" x14ac:dyDescent="0.2">
      <c r="AE812" s="19">
        <v>721</v>
      </c>
      <c r="AG812" s="19">
        <f t="shared" si="297"/>
        <v>1</v>
      </c>
      <c r="AH812" s="19">
        <f t="shared" si="298"/>
        <v>-1</v>
      </c>
      <c r="AI812" s="19">
        <f t="shared" si="299"/>
        <v>97.405000000000001</v>
      </c>
      <c r="AJ812" s="410">
        <f t="shared" si="300"/>
        <v>892.28</v>
      </c>
      <c r="AK812" s="19" t="e">
        <f t="shared" si="301"/>
        <v>#N/A</v>
      </c>
      <c r="AL812" s="19">
        <f t="shared" si="302"/>
        <v>692.28</v>
      </c>
      <c r="AM812" s="19" t="e">
        <f t="shared" si="303"/>
        <v>#N/A</v>
      </c>
      <c r="AN812" s="19">
        <f t="shared" si="304"/>
        <v>492.28</v>
      </c>
      <c r="AO812" s="19" t="e">
        <f t="shared" si="305"/>
        <v>#N/A</v>
      </c>
      <c r="AP812" s="19">
        <f t="shared" si="306"/>
        <v>292.27999999999997</v>
      </c>
      <c r="AQ812" s="19" t="e">
        <f t="shared" si="307"/>
        <v>#N/A</v>
      </c>
      <c r="AR812" s="19">
        <f t="shared" si="308"/>
        <v>92.28</v>
      </c>
      <c r="AS812" s="19" t="e">
        <f t="shared" si="309"/>
        <v>#N/A</v>
      </c>
    </row>
    <row r="813" spans="31:45" ht="11.25" customHeight="1" x14ac:dyDescent="0.2">
      <c r="AE813" s="19">
        <v>722</v>
      </c>
      <c r="AG813" s="19">
        <f t="shared" si="297"/>
        <v>1</v>
      </c>
      <c r="AH813" s="19">
        <f t="shared" si="298"/>
        <v>1</v>
      </c>
      <c r="AI813" s="19">
        <f t="shared" si="299"/>
        <v>97.405000000000001</v>
      </c>
      <c r="AJ813" s="410">
        <f t="shared" si="300"/>
        <v>907.72</v>
      </c>
      <c r="AK813" s="19" t="e">
        <f t="shared" si="301"/>
        <v>#N/A</v>
      </c>
      <c r="AL813" s="19">
        <f t="shared" si="302"/>
        <v>707.72</v>
      </c>
      <c r="AM813" s="19" t="e">
        <f t="shared" si="303"/>
        <v>#N/A</v>
      </c>
      <c r="AN813" s="19">
        <f t="shared" si="304"/>
        <v>507.72</v>
      </c>
      <c r="AO813" s="19" t="e">
        <f t="shared" si="305"/>
        <v>#N/A</v>
      </c>
      <c r="AP813" s="19">
        <f t="shared" si="306"/>
        <v>307.72000000000003</v>
      </c>
      <c r="AQ813" s="19" t="e">
        <f t="shared" si="307"/>
        <v>#N/A</v>
      </c>
      <c r="AR813" s="19">
        <f t="shared" si="308"/>
        <v>107.72</v>
      </c>
      <c r="AS813" s="19" t="e">
        <f t="shared" si="309"/>
        <v>#N/A</v>
      </c>
    </row>
    <row r="814" spans="31:45" ht="11.25" customHeight="1" x14ac:dyDescent="0.2">
      <c r="AE814" s="19">
        <v>723</v>
      </c>
      <c r="AG814" s="19">
        <f t="shared" si="297"/>
        <v>3</v>
      </c>
      <c r="AH814" s="19">
        <f t="shared" si="298"/>
        <v>-1</v>
      </c>
      <c r="AI814" s="19">
        <f t="shared" si="299"/>
        <v>97.405000000000001</v>
      </c>
      <c r="AJ814" s="410">
        <f t="shared" si="300"/>
        <v>876.84</v>
      </c>
      <c r="AK814" s="19" t="e">
        <f t="shared" si="301"/>
        <v>#N/A</v>
      </c>
      <c r="AL814" s="19">
        <f t="shared" si="302"/>
        <v>676.84</v>
      </c>
      <c r="AM814" s="19" t="e">
        <f t="shared" si="303"/>
        <v>#N/A</v>
      </c>
      <c r="AN814" s="19">
        <f t="shared" si="304"/>
        <v>476.84</v>
      </c>
      <c r="AO814" s="19" t="e">
        <f t="shared" si="305"/>
        <v>#N/A</v>
      </c>
      <c r="AP814" s="19">
        <f t="shared" si="306"/>
        <v>276.83999999999997</v>
      </c>
      <c r="AQ814" s="19" t="e">
        <f t="shared" si="307"/>
        <v>#N/A</v>
      </c>
      <c r="AR814" s="19">
        <f t="shared" si="308"/>
        <v>76.84</v>
      </c>
      <c r="AS814" s="19" t="e">
        <f t="shared" si="309"/>
        <v>#N/A</v>
      </c>
    </row>
    <row r="815" spans="31:45" ht="11.25" customHeight="1" x14ac:dyDescent="0.2">
      <c r="AE815" s="19">
        <v>724</v>
      </c>
      <c r="AG815" s="19">
        <f t="shared" si="297"/>
        <v>3</v>
      </c>
      <c r="AH815" s="19">
        <f t="shared" si="298"/>
        <v>1</v>
      </c>
      <c r="AI815" s="19">
        <f t="shared" si="299"/>
        <v>97.405000000000001</v>
      </c>
      <c r="AJ815" s="410">
        <f t="shared" si="300"/>
        <v>923.16</v>
      </c>
      <c r="AK815" s="19" t="e">
        <f t="shared" si="301"/>
        <v>#N/A</v>
      </c>
      <c r="AL815" s="19">
        <f t="shared" si="302"/>
        <v>723.16</v>
      </c>
      <c r="AM815" s="19" t="e">
        <f t="shared" si="303"/>
        <v>#N/A</v>
      </c>
      <c r="AN815" s="19">
        <f t="shared" si="304"/>
        <v>523.16</v>
      </c>
      <c r="AO815" s="19" t="e">
        <f t="shared" si="305"/>
        <v>#N/A</v>
      </c>
      <c r="AP815" s="19">
        <f t="shared" si="306"/>
        <v>323.16000000000003</v>
      </c>
      <c r="AQ815" s="19" t="e">
        <f t="shared" si="307"/>
        <v>#N/A</v>
      </c>
      <c r="AR815" s="19">
        <f t="shared" si="308"/>
        <v>123.16</v>
      </c>
      <c r="AS815" s="19" t="e">
        <f t="shared" si="309"/>
        <v>#N/A</v>
      </c>
    </row>
    <row r="816" spans="31:45" ht="11.25" customHeight="1" x14ac:dyDescent="0.2">
      <c r="AE816" s="19">
        <v>725</v>
      </c>
      <c r="AG816" s="19">
        <f t="shared" si="297"/>
        <v>5</v>
      </c>
      <c r="AH816" s="19">
        <f t="shared" si="298"/>
        <v>-1</v>
      </c>
      <c r="AI816" s="19">
        <f t="shared" si="299"/>
        <v>97.405000000000001</v>
      </c>
      <c r="AJ816" s="410">
        <f t="shared" si="300"/>
        <v>861.4</v>
      </c>
      <c r="AK816" s="19" t="e">
        <f t="shared" si="301"/>
        <v>#N/A</v>
      </c>
      <c r="AL816" s="19">
        <f t="shared" si="302"/>
        <v>661.4</v>
      </c>
      <c r="AM816" s="19" t="e">
        <f t="shared" si="303"/>
        <v>#N/A</v>
      </c>
      <c r="AN816" s="19">
        <f t="shared" si="304"/>
        <v>461.4</v>
      </c>
      <c r="AO816" s="19" t="e">
        <f t="shared" si="305"/>
        <v>#N/A</v>
      </c>
      <c r="AP816" s="19">
        <f t="shared" si="306"/>
        <v>261.39999999999998</v>
      </c>
      <c r="AQ816" s="19" t="e">
        <f t="shared" si="307"/>
        <v>#N/A</v>
      </c>
      <c r="AR816" s="19">
        <f t="shared" si="308"/>
        <v>61.4</v>
      </c>
      <c r="AS816" s="19" t="e">
        <f t="shared" si="309"/>
        <v>#N/A</v>
      </c>
    </row>
    <row r="817" spans="31:45" ht="11.25" customHeight="1" x14ac:dyDescent="0.2">
      <c r="AE817" s="19">
        <v>726</v>
      </c>
      <c r="AG817" s="19">
        <f t="shared" si="297"/>
        <v>5</v>
      </c>
      <c r="AH817" s="19">
        <f t="shared" si="298"/>
        <v>1</v>
      </c>
      <c r="AI817" s="19">
        <f t="shared" si="299"/>
        <v>97.405000000000001</v>
      </c>
      <c r="AJ817" s="410">
        <f t="shared" si="300"/>
        <v>938.6</v>
      </c>
      <c r="AK817" s="19" t="e">
        <f t="shared" si="301"/>
        <v>#N/A</v>
      </c>
      <c r="AL817" s="19">
        <f t="shared" si="302"/>
        <v>738.6</v>
      </c>
      <c r="AM817" s="19" t="e">
        <f t="shared" si="303"/>
        <v>#N/A</v>
      </c>
      <c r="AN817" s="19">
        <f t="shared" si="304"/>
        <v>538.6</v>
      </c>
      <c r="AO817" s="19" t="e">
        <f t="shared" si="305"/>
        <v>#N/A</v>
      </c>
      <c r="AP817" s="19">
        <f t="shared" si="306"/>
        <v>338.6</v>
      </c>
      <c r="AQ817" s="19" t="e">
        <f t="shared" si="307"/>
        <v>#N/A</v>
      </c>
      <c r="AR817" s="19">
        <f t="shared" si="308"/>
        <v>138.6</v>
      </c>
      <c r="AS817" s="19" t="e">
        <f t="shared" si="309"/>
        <v>#N/A</v>
      </c>
    </row>
    <row r="818" spans="31:45" ht="11.25" customHeight="1" x14ac:dyDescent="0.2">
      <c r="AE818" s="19">
        <v>727</v>
      </c>
      <c r="AG818" s="19">
        <f t="shared" si="297"/>
        <v>7</v>
      </c>
      <c r="AH818" s="19">
        <f t="shared" si="298"/>
        <v>-1</v>
      </c>
      <c r="AI818" s="19">
        <f t="shared" si="299"/>
        <v>97.405000000000001</v>
      </c>
      <c r="AJ818" s="410">
        <f t="shared" si="300"/>
        <v>845.96</v>
      </c>
      <c r="AK818" s="19" t="e">
        <f t="shared" si="301"/>
        <v>#N/A</v>
      </c>
      <c r="AL818" s="19">
        <f t="shared" si="302"/>
        <v>645.96</v>
      </c>
      <c r="AM818" s="19" t="e">
        <f t="shared" si="303"/>
        <v>#N/A</v>
      </c>
      <c r="AN818" s="19">
        <f t="shared" si="304"/>
        <v>445.96</v>
      </c>
      <c r="AO818" s="19" t="e">
        <f t="shared" si="305"/>
        <v>#N/A</v>
      </c>
      <c r="AP818" s="19">
        <f t="shared" si="306"/>
        <v>245.96</v>
      </c>
      <c r="AQ818" s="19" t="e">
        <f t="shared" si="307"/>
        <v>#N/A</v>
      </c>
      <c r="AR818" s="19">
        <f t="shared" si="308"/>
        <v>45.96</v>
      </c>
      <c r="AS818" s="19" t="e">
        <f t="shared" si="309"/>
        <v>#N/A</v>
      </c>
    </row>
    <row r="819" spans="31:45" ht="11.25" customHeight="1" x14ac:dyDescent="0.2">
      <c r="AE819" s="19">
        <v>728</v>
      </c>
      <c r="AG819" s="19">
        <f t="shared" si="297"/>
        <v>7</v>
      </c>
      <c r="AH819" s="19">
        <f t="shared" si="298"/>
        <v>1</v>
      </c>
      <c r="AI819" s="19">
        <f t="shared" si="299"/>
        <v>97.405000000000001</v>
      </c>
      <c r="AJ819" s="410">
        <f t="shared" si="300"/>
        <v>954.04</v>
      </c>
      <c r="AK819" s="19" t="e">
        <f t="shared" si="301"/>
        <v>#N/A</v>
      </c>
      <c r="AL819" s="19">
        <f t="shared" si="302"/>
        <v>754.04</v>
      </c>
      <c r="AM819" s="19" t="e">
        <f t="shared" si="303"/>
        <v>#N/A</v>
      </c>
      <c r="AN819" s="19">
        <f t="shared" si="304"/>
        <v>554.04</v>
      </c>
      <c r="AO819" s="19" t="e">
        <f t="shared" si="305"/>
        <v>#N/A</v>
      </c>
      <c r="AP819" s="19">
        <f t="shared" si="306"/>
        <v>354.04</v>
      </c>
      <c r="AQ819" s="19" t="e">
        <f t="shared" si="307"/>
        <v>#N/A</v>
      </c>
      <c r="AR819" s="19">
        <f t="shared" si="308"/>
        <v>154.04</v>
      </c>
      <c r="AS819" s="19" t="e">
        <f t="shared" si="309"/>
        <v>#N/A</v>
      </c>
    </row>
    <row r="820" spans="31:45" ht="11.25" customHeight="1" x14ac:dyDescent="0.2">
      <c r="AE820" s="19">
        <v>729</v>
      </c>
      <c r="AG820" s="19">
        <f t="shared" si="297"/>
        <v>9</v>
      </c>
      <c r="AH820" s="19">
        <f t="shared" si="298"/>
        <v>-1</v>
      </c>
      <c r="AI820" s="19">
        <f t="shared" si="299"/>
        <v>97.405000000000001</v>
      </c>
      <c r="AJ820" s="410">
        <f t="shared" si="300"/>
        <v>830.52</v>
      </c>
      <c r="AK820" s="19" t="e">
        <f t="shared" si="301"/>
        <v>#N/A</v>
      </c>
      <c r="AL820" s="19">
        <f t="shared" si="302"/>
        <v>630.52</v>
      </c>
      <c r="AM820" s="19" t="e">
        <f t="shared" si="303"/>
        <v>#N/A</v>
      </c>
      <c r="AN820" s="19">
        <f t="shared" si="304"/>
        <v>430.52</v>
      </c>
      <c r="AO820" s="19" t="e">
        <f t="shared" si="305"/>
        <v>#N/A</v>
      </c>
      <c r="AP820" s="19">
        <f t="shared" si="306"/>
        <v>230.51999999999998</v>
      </c>
      <c r="AQ820" s="19" t="e">
        <f t="shared" si="307"/>
        <v>#N/A</v>
      </c>
      <c r="AR820" s="19">
        <f t="shared" si="308"/>
        <v>30.519999999999996</v>
      </c>
      <c r="AS820" s="19" t="e">
        <f t="shared" si="309"/>
        <v>#N/A</v>
      </c>
    </row>
    <row r="821" spans="31:45" ht="11.25" customHeight="1" x14ac:dyDescent="0.2">
      <c r="AE821" s="19">
        <v>730</v>
      </c>
      <c r="AG821" s="19">
        <f t="shared" si="297"/>
        <v>9</v>
      </c>
      <c r="AH821" s="19">
        <f t="shared" si="298"/>
        <v>1</v>
      </c>
      <c r="AI821" s="19">
        <f t="shared" si="299"/>
        <v>97.405000000000001</v>
      </c>
      <c r="AJ821" s="410">
        <f t="shared" si="300"/>
        <v>969.48</v>
      </c>
      <c r="AK821" s="19" t="e">
        <f t="shared" si="301"/>
        <v>#N/A</v>
      </c>
      <c r="AL821" s="19">
        <f t="shared" si="302"/>
        <v>769.48</v>
      </c>
      <c r="AM821" s="19" t="e">
        <f t="shared" si="303"/>
        <v>#N/A</v>
      </c>
      <c r="AN821" s="19">
        <f t="shared" si="304"/>
        <v>569.48</v>
      </c>
      <c r="AO821" s="19" t="e">
        <f t="shared" si="305"/>
        <v>#N/A</v>
      </c>
      <c r="AP821" s="19">
        <f t="shared" si="306"/>
        <v>369.48</v>
      </c>
      <c r="AQ821" s="19" t="e">
        <f t="shared" si="307"/>
        <v>#N/A</v>
      </c>
      <c r="AR821" s="19">
        <f t="shared" si="308"/>
        <v>169.48000000000002</v>
      </c>
      <c r="AS821" s="19" t="e">
        <f t="shared" si="309"/>
        <v>#N/A</v>
      </c>
    </row>
    <row r="822" spans="31:45" ht="11.25" customHeight="1" x14ac:dyDescent="0.2">
      <c r="AE822" s="19">
        <v>731</v>
      </c>
      <c r="AG822" s="19">
        <f t="shared" si="297"/>
        <v>11</v>
      </c>
      <c r="AH822" s="19">
        <f t="shared" si="298"/>
        <v>-1</v>
      </c>
      <c r="AI822" s="19">
        <f t="shared" si="299"/>
        <v>97.405000000000001</v>
      </c>
      <c r="AJ822" s="410">
        <f t="shared" si="300"/>
        <v>815.08</v>
      </c>
      <c r="AK822" s="19" t="e">
        <f t="shared" si="301"/>
        <v>#N/A</v>
      </c>
      <c r="AL822" s="19">
        <f t="shared" si="302"/>
        <v>615.08000000000004</v>
      </c>
      <c r="AM822" s="19" t="e">
        <f t="shared" si="303"/>
        <v>#N/A</v>
      </c>
      <c r="AN822" s="19">
        <f t="shared" si="304"/>
        <v>415.08</v>
      </c>
      <c r="AO822" s="19" t="e">
        <f t="shared" si="305"/>
        <v>#N/A</v>
      </c>
      <c r="AP822" s="19">
        <f t="shared" si="306"/>
        <v>215.07999999999998</v>
      </c>
      <c r="AQ822" s="19" t="e">
        <f t="shared" si="307"/>
        <v>#N/A</v>
      </c>
      <c r="AR822" s="19">
        <f t="shared" si="308"/>
        <v>15.079999999999998</v>
      </c>
      <c r="AS822" s="19" t="e">
        <f t="shared" si="309"/>
        <v>#N/A</v>
      </c>
    </row>
    <row r="823" spans="31:45" ht="11.25" customHeight="1" x14ac:dyDescent="0.2">
      <c r="AE823" s="19">
        <v>732</v>
      </c>
      <c r="AG823" s="19">
        <f t="shared" si="297"/>
        <v>11</v>
      </c>
      <c r="AH823" s="19">
        <f t="shared" si="298"/>
        <v>1</v>
      </c>
      <c r="AI823" s="19">
        <f t="shared" si="299"/>
        <v>97.405000000000001</v>
      </c>
      <c r="AJ823" s="410">
        <f t="shared" si="300"/>
        <v>984.92</v>
      </c>
      <c r="AK823" s="19" t="e">
        <f t="shared" si="301"/>
        <v>#N/A</v>
      </c>
      <c r="AL823" s="19">
        <f t="shared" si="302"/>
        <v>784.92</v>
      </c>
      <c r="AM823" s="19" t="e">
        <f t="shared" si="303"/>
        <v>#N/A</v>
      </c>
      <c r="AN823" s="19">
        <f t="shared" si="304"/>
        <v>584.91999999999996</v>
      </c>
      <c r="AO823" s="19" t="e">
        <f t="shared" si="305"/>
        <v>#N/A</v>
      </c>
      <c r="AP823" s="19">
        <f t="shared" si="306"/>
        <v>384.92</v>
      </c>
      <c r="AQ823" s="19" t="e">
        <f t="shared" si="307"/>
        <v>#N/A</v>
      </c>
      <c r="AR823" s="19">
        <f t="shared" si="308"/>
        <v>184.92000000000002</v>
      </c>
      <c r="AS823" s="19" t="e">
        <f t="shared" si="309"/>
        <v>#N/A</v>
      </c>
    </row>
    <row r="824" spans="31:45" ht="11.25" customHeight="1" x14ac:dyDescent="0.2">
      <c r="AE824" s="19">
        <v>733</v>
      </c>
      <c r="AG824" s="19">
        <f t="shared" si="297"/>
        <v>1</v>
      </c>
      <c r="AH824" s="19">
        <f t="shared" si="298"/>
        <v>-1</v>
      </c>
      <c r="AI824" s="19">
        <f t="shared" si="299"/>
        <v>99.015000000000001</v>
      </c>
      <c r="AJ824" s="410">
        <f t="shared" si="300"/>
        <v>892.28</v>
      </c>
      <c r="AK824" s="19" t="e">
        <f t="shared" si="301"/>
        <v>#N/A</v>
      </c>
      <c r="AL824" s="19">
        <f t="shared" si="302"/>
        <v>692.28</v>
      </c>
      <c r="AM824" s="19" t="e">
        <f t="shared" si="303"/>
        <v>#N/A</v>
      </c>
      <c r="AN824" s="19">
        <f t="shared" si="304"/>
        <v>492.28</v>
      </c>
      <c r="AO824" s="19" t="e">
        <f t="shared" si="305"/>
        <v>#N/A</v>
      </c>
      <c r="AP824" s="19">
        <f t="shared" si="306"/>
        <v>292.27999999999997</v>
      </c>
      <c r="AQ824" s="19" t="e">
        <f t="shared" si="307"/>
        <v>#N/A</v>
      </c>
      <c r="AR824" s="19">
        <f t="shared" si="308"/>
        <v>92.28</v>
      </c>
      <c r="AS824" s="19" t="e">
        <f t="shared" si="309"/>
        <v>#N/A</v>
      </c>
    </row>
    <row r="825" spans="31:45" ht="11.25" customHeight="1" x14ac:dyDescent="0.2">
      <c r="AE825" s="19">
        <v>734</v>
      </c>
      <c r="AG825" s="19">
        <f t="shared" si="297"/>
        <v>1</v>
      </c>
      <c r="AH825" s="19">
        <f t="shared" si="298"/>
        <v>1</v>
      </c>
      <c r="AI825" s="19">
        <f t="shared" si="299"/>
        <v>99.015000000000001</v>
      </c>
      <c r="AJ825" s="410">
        <f t="shared" si="300"/>
        <v>907.72</v>
      </c>
      <c r="AK825" s="19" t="e">
        <f t="shared" si="301"/>
        <v>#N/A</v>
      </c>
      <c r="AL825" s="19">
        <f t="shared" si="302"/>
        <v>707.72</v>
      </c>
      <c r="AM825" s="19" t="e">
        <f t="shared" si="303"/>
        <v>#N/A</v>
      </c>
      <c r="AN825" s="19">
        <f t="shared" si="304"/>
        <v>507.72</v>
      </c>
      <c r="AO825" s="19" t="e">
        <f t="shared" si="305"/>
        <v>#N/A</v>
      </c>
      <c r="AP825" s="19">
        <f t="shared" si="306"/>
        <v>307.72000000000003</v>
      </c>
      <c r="AQ825" s="19" t="e">
        <f t="shared" si="307"/>
        <v>#N/A</v>
      </c>
      <c r="AR825" s="19">
        <f t="shared" si="308"/>
        <v>107.72</v>
      </c>
      <c r="AS825" s="19" t="e">
        <f t="shared" si="309"/>
        <v>#N/A</v>
      </c>
    </row>
    <row r="826" spans="31:45" ht="11.25" customHeight="1" x14ac:dyDescent="0.2">
      <c r="AE826" s="19">
        <v>735</v>
      </c>
      <c r="AG826" s="19">
        <f t="shared" si="297"/>
        <v>3</v>
      </c>
      <c r="AH826" s="19">
        <f t="shared" si="298"/>
        <v>-1</v>
      </c>
      <c r="AI826" s="19">
        <f t="shared" si="299"/>
        <v>99.015000000000001</v>
      </c>
      <c r="AJ826" s="410">
        <f t="shared" si="300"/>
        <v>876.84</v>
      </c>
      <c r="AK826" s="19" t="e">
        <f t="shared" si="301"/>
        <v>#N/A</v>
      </c>
      <c r="AL826" s="19">
        <f t="shared" si="302"/>
        <v>676.84</v>
      </c>
      <c r="AM826" s="19" t="e">
        <f t="shared" si="303"/>
        <v>#N/A</v>
      </c>
      <c r="AN826" s="19">
        <f t="shared" si="304"/>
        <v>476.84</v>
      </c>
      <c r="AO826" s="19" t="e">
        <f t="shared" si="305"/>
        <v>#N/A</v>
      </c>
      <c r="AP826" s="19">
        <f t="shared" si="306"/>
        <v>276.83999999999997</v>
      </c>
      <c r="AQ826" s="19" t="e">
        <f t="shared" si="307"/>
        <v>#N/A</v>
      </c>
      <c r="AR826" s="19">
        <f t="shared" si="308"/>
        <v>76.84</v>
      </c>
      <c r="AS826" s="19" t="e">
        <f t="shared" si="309"/>
        <v>#N/A</v>
      </c>
    </row>
    <row r="827" spans="31:45" ht="11.25" customHeight="1" x14ac:dyDescent="0.2">
      <c r="AE827" s="19">
        <v>736</v>
      </c>
      <c r="AG827" s="19">
        <f t="shared" si="297"/>
        <v>3</v>
      </c>
      <c r="AH827" s="19">
        <f t="shared" si="298"/>
        <v>1</v>
      </c>
      <c r="AI827" s="19">
        <f t="shared" si="299"/>
        <v>99.015000000000001</v>
      </c>
      <c r="AJ827" s="410">
        <f t="shared" si="300"/>
        <v>923.16</v>
      </c>
      <c r="AK827" s="19" t="e">
        <f t="shared" si="301"/>
        <v>#N/A</v>
      </c>
      <c r="AL827" s="19">
        <f t="shared" si="302"/>
        <v>723.16</v>
      </c>
      <c r="AM827" s="19" t="e">
        <f t="shared" si="303"/>
        <v>#N/A</v>
      </c>
      <c r="AN827" s="19">
        <f t="shared" si="304"/>
        <v>523.16</v>
      </c>
      <c r="AO827" s="19" t="e">
        <f t="shared" si="305"/>
        <v>#N/A</v>
      </c>
      <c r="AP827" s="19">
        <f t="shared" si="306"/>
        <v>323.16000000000003</v>
      </c>
      <c r="AQ827" s="19" t="e">
        <f t="shared" si="307"/>
        <v>#N/A</v>
      </c>
      <c r="AR827" s="19">
        <f t="shared" si="308"/>
        <v>123.16</v>
      </c>
      <c r="AS827" s="19" t="e">
        <f t="shared" si="309"/>
        <v>#N/A</v>
      </c>
    </row>
    <row r="828" spans="31:45" ht="11.25" customHeight="1" x14ac:dyDescent="0.2">
      <c r="AE828" s="19">
        <v>737</v>
      </c>
      <c r="AG828" s="19">
        <f t="shared" si="297"/>
        <v>5</v>
      </c>
      <c r="AH828" s="19">
        <f t="shared" si="298"/>
        <v>-1</v>
      </c>
      <c r="AI828" s="19">
        <f t="shared" si="299"/>
        <v>99.015000000000001</v>
      </c>
      <c r="AJ828" s="410">
        <f t="shared" si="300"/>
        <v>861.4</v>
      </c>
      <c r="AK828" s="19" t="e">
        <f t="shared" si="301"/>
        <v>#N/A</v>
      </c>
      <c r="AL828" s="19">
        <f t="shared" si="302"/>
        <v>661.4</v>
      </c>
      <c r="AM828" s="19" t="e">
        <f t="shared" si="303"/>
        <v>#N/A</v>
      </c>
      <c r="AN828" s="19">
        <f t="shared" si="304"/>
        <v>461.4</v>
      </c>
      <c r="AO828" s="19" t="e">
        <f t="shared" si="305"/>
        <v>#N/A</v>
      </c>
      <c r="AP828" s="19">
        <f t="shared" si="306"/>
        <v>261.39999999999998</v>
      </c>
      <c r="AQ828" s="19" t="e">
        <f t="shared" si="307"/>
        <v>#N/A</v>
      </c>
      <c r="AR828" s="19">
        <f t="shared" si="308"/>
        <v>61.4</v>
      </c>
      <c r="AS828" s="19" t="e">
        <f t="shared" si="309"/>
        <v>#N/A</v>
      </c>
    </row>
    <row r="829" spans="31:45" ht="11.25" customHeight="1" x14ac:dyDescent="0.2">
      <c r="AE829" s="19">
        <v>738</v>
      </c>
      <c r="AG829" s="19">
        <f t="shared" si="297"/>
        <v>5</v>
      </c>
      <c r="AH829" s="19">
        <f t="shared" si="298"/>
        <v>1</v>
      </c>
      <c r="AI829" s="19">
        <f t="shared" si="299"/>
        <v>99.015000000000001</v>
      </c>
      <c r="AJ829" s="410">
        <f t="shared" si="300"/>
        <v>938.6</v>
      </c>
      <c r="AK829" s="19" t="e">
        <f t="shared" si="301"/>
        <v>#N/A</v>
      </c>
      <c r="AL829" s="19">
        <f t="shared" si="302"/>
        <v>738.6</v>
      </c>
      <c r="AM829" s="19" t="e">
        <f t="shared" si="303"/>
        <v>#N/A</v>
      </c>
      <c r="AN829" s="19">
        <f t="shared" si="304"/>
        <v>538.6</v>
      </c>
      <c r="AO829" s="19" t="e">
        <f t="shared" si="305"/>
        <v>#N/A</v>
      </c>
      <c r="AP829" s="19">
        <f t="shared" si="306"/>
        <v>338.6</v>
      </c>
      <c r="AQ829" s="19" t="e">
        <f t="shared" si="307"/>
        <v>#N/A</v>
      </c>
      <c r="AR829" s="19">
        <f t="shared" si="308"/>
        <v>138.6</v>
      </c>
      <c r="AS829" s="19" t="e">
        <f t="shared" si="309"/>
        <v>#N/A</v>
      </c>
    </row>
    <row r="830" spans="31:45" ht="11.25" customHeight="1" x14ac:dyDescent="0.2">
      <c r="AE830" s="19">
        <v>739</v>
      </c>
      <c r="AG830" s="19">
        <f t="shared" si="297"/>
        <v>7</v>
      </c>
      <c r="AH830" s="19">
        <f t="shared" si="298"/>
        <v>-1</v>
      </c>
      <c r="AI830" s="19">
        <f t="shared" si="299"/>
        <v>99.015000000000001</v>
      </c>
      <c r="AJ830" s="410">
        <f t="shared" si="300"/>
        <v>845.96</v>
      </c>
      <c r="AK830" s="19" t="e">
        <f t="shared" si="301"/>
        <v>#N/A</v>
      </c>
      <c r="AL830" s="19">
        <f t="shared" si="302"/>
        <v>645.96</v>
      </c>
      <c r="AM830" s="19" t="e">
        <f t="shared" si="303"/>
        <v>#N/A</v>
      </c>
      <c r="AN830" s="19">
        <f t="shared" si="304"/>
        <v>445.96</v>
      </c>
      <c r="AO830" s="19" t="e">
        <f t="shared" si="305"/>
        <v>#N/A</v>
      </c>
      <c r="AP830" s="19">
        <f t="shared" si="306"/>
        <v>245.96</v>
      </c>
      <c r="AQ830" s="19" t="e">
        <f t="shared" si="307"/>
        <v>#N/A</v>
      </c>
      <c r="AR830" s="19">
        <f t="shared" si="308"/>
        <v>45.96</v>
      </c>
      <c r="AS830" s="19" t="e">
        <f t="shared" si="309"/>
        <v>#N/A</v>
      </c>
    </row>
    <row r="831" spans="31:45" ht="11.25" customHeight="1" x14ac:dyDescent="0.2">
      <c r="AE831" s="19">
        <v>740</v>
      </c>
      <c r="AG831" s="19">
        <f t="shared" si="297"/>
        <v>7</v>
      </c>
      <c r="AH831" s="19">
        <f t="shared" si="298"/>
        <v>1</v>
      </c>
      <c r="AI831" s="19">
        <f t="shared" si="299"/>
        <v>99.015000000000001</v>
      </c>
      <c r="AJ831" s="410">
        <f t="shared" si="300"/>
        <v>954.04</v>
      </c>
      <c r="AK831" s="19" t="e">
        <f t="shared" si="301"/>
        <v>#N/A</v>
      </c>
      <c r="AL831" s="19">
        <f t="shared" si="302"/>
        <v>754.04</v>
      </c>
      <c r="AM831" s="19" t="e">
        <f t="shared" si="303"/>
        <v>#N/A</v>
      </c>
      <c r="AN831" s="19">
        <f t="shared" si="304"/>
        <v>554.04</v>
      </c>
      <c r="AO831" s="19" t="e">
        <f t="shared" si="305"/>
        <v>#N/A</v>
      </c>
      <c r="AP831" s="19">
        <f t="shared" si="306"/>
        <v>354.04</v>
      </c>
      <c r="AQ831" s="19" t="e">
        <f t="shared" si="307"/>
        <v>#N/A</v>
      </c>
      <c r="AR831" s="19">
        <f t="shared" si="308"/>
        <v>154.04</v>
      </c>
      <c r="AS831" s="19" t="e">
        <f t="shared" si="309"/>
        <v>#N/A</v>
      </c>
    </row>
    <row r="832" spans="31:45" ht="11.25" customHeight="1" x14ac:dyDescent="0.2">
      <c r="AE832" s="19">
        <v>741</v>
      </c>
      <c r="AG832" s="19">
        <f t="shared" si="297"/>
        <v>9</v>
      </c>
      <c r="AH832" s="19">
        <f t="shared" si="298"/>
        <v>-1</v>
      </c>
      <c r="AI832" s="19">
        <f t="shared" si="299"/>
        <v>99.015000000000001</v>
      </c>
      <c r="AJ832" s="410">
        <f t="shared" si="300"/>
        <v>830.52</v>
      </c>
      <c r="AK832" s="19" t="e">
        <f t="shared" si="301"/>
        <v>#N/A</v>
      </c>
      <c r="AL832" s="19">
        <f t="shared" si="302"/>
        <v>630.52</v>
      </c>
      <c r="AM832" s="19" t="e">
        <f t="shared" si="303"/>
        <v>#N/A</v>
      </c>
      <c r="AN832" s="19">
        <f t="shared" si="304"/>
        <v>430.52</v>
      </c>
      <c r="AO832" s="19" t="e">
        <f t="shared" si="305"/>
        <v>#N/A</v>
      </c>
      <c r="AP832" s="19">
        <f t="shared" si="306"/>
        <v>230.51999999999998</v>
      </c>
      <c r="AQ832" s="19" t="e">
        <f t="shared" si="307"/>
        <v>#N/A</v>
      </c>
      <c r="AR832" s="19">
        <f t="shared" si="308"/>
        <v>30.519999999999996</v>
      </c>
      <c r="AS832" s="19" t="e">
        <f t="shared" si="309"/>
        <v>#N/A</v>
      </c>
    </row>
    <row r="833" spans="31:45" ht="11.25" customHeight="1" x14ac:dyDescent="0.2">
      <c r="AE833" s="19">
        <v>742</v>
      </c>
      <c r="AG833" s="19">
        <f t="shared" si="297"/>
        <v>9</v>
      </c>
      <c r="AH833" s="19">
        <f t="shared" si="298"/>
        <v>1</v>
      </c>
      <c r="AI833" s="19">
        <f t="shared" si="299"/>
        <v>99.015000000000001</v>
      </c>
      <c r="AJ833" s="410">
        <f t="shared" si="300"/>
        <v>969.48</v>
      </c>
      <c r="AK833" s="19" t="e">
        <f t="shared" si="301"/>
        <v>#N/A</v>
      </c>
      <c r="AL833" s="19">
        <f t="shared" si="302"/>
        <v>769.48</v>
      </c>
      <c r="AM833" s="19" t="e">
        <f t="shared" si="303"/>
        <v>#N/A</v>
      </c>
      <c r="AN833" s="19">
        <f t="shared" si="304"/>
        <v>569.48</v>
      </c>
      <c r="AO833" s="19" t="e">
        <f t="shared" si="305"/>
        <v>#N/A</v>
      </c>
      <c r="AP833" s="19">
        <f t="shared" si="306"/>
        <v>369.48</v>
      </c>
      <c r="AQ833" s="19" t="e">
        <f t="shared" si="307"/>
        <v>#N/A</v>
      </c>
      <c r="AR833" s="19">
        <f t="shared" si="308"/>
        <v>169.48000000000002</v>
      </c>
      <c r="AS833" s="19" t="e">
        <f t="shared" si="309"/>
        <v>#N/A</v>
      </c>
    </row>
    <row r="834" spans="31:45" ht="11.25" customHeight="1" x14ac:dyDescent="0.2">
      <c r="AE834" s="19">
        <v>743</v>
      </c>
      <c r="AG834" s="19">
        <f t="shared" si="297"/>
        <v>11</v>
      </c>
      <c r="AH834" s="19">
        <f t="shared" si="298"/>
        <v>-1</v>
      </c>
      <c r="AI834" s="19">
        <f t="shared" si="299"/>
        <v>99.015000000000001</v>
      </c>
      <c r="AJ834" s="410">
        <f t="shared" si="300"/>
        <v>815.08</v>
      </c>
      <c r="AK834" s="19" t="e">
        <f t="shared" si="301"/>
        <v>#N/A</v>
      </c>
      <c r="AL834" s="19">
        <f t="shared" si="302"/>
        <v>615.08000000000004</v>
      </c>
      <c r="AM834" s="19" t="e">
        <f t="shared" si="303"/>
        <v>#N/A</v>
      </c>
      <c r="AN834" s="19">
        <f t="shared" si="304"/>
        <v>415.08</v>
      </c>
      <c r="AO834" s="19" t="e">
        <f t="shared" si="305"/>
        <v>#N/A</v>
      </c>
      <c r="AP834" s="19">
        <f t="shared" si="306"/>
        <v>215.07999999999998</v>
      </c>
      <c r="AQ834" s="19" t="e">
        <f t="shared" si="307"/>
        <v>#N/A</v>
      </c>
      <c r="AR834" s="19">
        <f t="shared" si="308"/>
        <v>15.079999999999998</v>
      </c>
      <c r="AS834" s="19" t="e">
        <f t="shared" si="309"/>
        <v>#N/A</v>
      </c>
    </row>
    <row r="835" spans="31:45" ht="11.25" customHeight="1" x14ac:dyDescent="0.2">
      <c r="AE835" s="19">
        <v>744</v>
      </c>
      <c r="AG835" s="19">
        <f t="shared" si="297"/>
        <v>11</v>
      </c>
      <c r="AH835" s="19">
        <f t="shared" si="298"/>
        <v>1</v>
      </c>
      <c r="AI835" s="19">
        <f t="shared" si="299"/>
        <v>99.015000000000001</v>
      </c>
      <c r="AJ835" s="410">
        <f t="shared" si="300"/>
        <v>984.92</v>
      </c>
      <c r="AK835" s="19" t="e">
        <f t="shared" si="301"/>
        <v>#N/A</v>
      </c>
      <c r="AL835" s="19">
        <f t="shared" si="302"/>
        <v>784.92</v>
      </c>
      <c r="AM835" s="19" t="e">
        <f t="shared" si="303"/>
        <v>#N/A</v>
      </c>
      <c r="AN835" s="19">
        <f t="shared" si="304"/>
        <v>584.91999999999996</v>
      </c>
      <c r="AO835" s="19" t="e">
        <f t="shared" si="305"/>
        <v>#N/A</v>
      </c>
      <c r="AP835" s="19">
        <f t="shared" si="306"/>
        <v>384.92</v>
      </c>
      <c r="AQ835" s="19" t="e">
        <f t="shared" si="307"/>
        <v>#N/A</v>
      </c>
      <c r="AR835" s="19">
        <f t="shared" si="308"/>
        <v>184.92000000000002</v>
      </c>
      <c r="AS835" s="19" t="e">
        <f t="shared" si="309"/>
        <v>#N/A</v>
      </c>
    </row>
    <row r="836" spans="31:45" ht="11.25" customHeight="1" x14ac:dyDescent="0.2">
      <c r="AE836" s="19">
        <v>745</v>
      </c>
      <c r="AG836" s="19">
        <f t="shared" si="297"/>
        <v>1</v>
      </c>
      <c r="AH836" s="19">
        <f t="shared" si="298"/>
        <v>-1</v>
      </c>
      <c r="AI836" s="19">
        <f t="shared" si="299"/>
        <v>100.625</v>
      </c>
      <c r="AJ836" s="410">
        <f t="shared" si="300"/>
        <v>892.28</v>
      </c>
      <c r="AK836" s="19" t="e">
        <f t="shared" si="301"/>
        <v>#N/A</v>
      </c>
      <c r="AL836" s="19">
        <f t="shared" si="302"/>
        <v>692.28</v>
      </c>
      <c r="AM836" s="19" t="e">
        <f t="shared" si="303"/>
        <v>#N/A</v>
      </c>
      <c r="AN836" s="19">
        <f t="shared" si="304"/>
        <v>492.28</v>
      </c>
      <c r="AO836" s="19" t="e">
        <f t="shared" si="305"/>
        <v>#N/A</v>
      </c>
      <c r="AP836" s="19">
        <f t="shared" si="306"/>
        <v>292.27999999999997</v>
      </c>
      <c r="AQ836" s="19" t="e">
        <f t="shared" si="307"/>
        <v>#N/A</v>
      </c>
      <c r="AR836" s="19">
        <f t="shared" si="308"/>
        <v>92.28</v>
      </c>
      <c r="AS836" s="19" t="e">
        <f t="shared" si="309"/>
        <v>#N/A</v>
      </c>
    </row>
    <row r="837" spans="31:45" ht="11.25" customHeight="1" x14ac:dyDescent="0.2">
      <c r="AE837" s="19">
        <v>746</v>
      </c>
      <c r="AG837" s="19">
        <f t="shared" si="297"/>
        <v>1</v>
      </c>
      <c r="AH837" s="19">
        <f t="shared" si="298"/>
        <v>1</v>
      </c>
      <c r="AI837" s="19">
        <f t="shared" si="299"/>
        <v>100.625</v>
      </c>
      <c r="AJ837" s="410">
        <f t="shared" si="300"/>
        <v>907.72</v>
      </c>
      <c r="AK837" s="19" t="e">
        <f t="shared" si="301"/>
        <v>#N/A</v>
      </c>
      <c r="AL837" s="19">
        <f t="shared" si="302"/>
        <v>707.72</v>
      </c>
      <c r="AM837" s="19" t="e">
        <f t="shared" si="303"/>
        <v>#N/A</v>
      </c>
      <c r="AN837" s="19">
        <f t="shared" si="304"/>
        <v>507.72</v>
      </c>
      <c r="AO837" s="19" t="e">
        <f t="shared" si="305"/>
        <v>#N/A</v>
      </c>
      <c r="AP837" s="19">
        <f t="shared" si="306"/>
        <v>307.72000000000003</v>
      </c>
      <c r="AQ837" s="19" t="e">
        <f t="shared" si="307"/>
        <v>#N/A</v>
      </c>
      <c r="AR837" s="19">
        <f t="shared" si="308"/>
        <v>107.72</v>
      </c>
      <c r="AS837" s="19" t="e">
        <f t="shared" si="309"/>
        <v>#N/A</v>
      </c>
    </row>
    <row r="838" spans="31:45" ht="11.25" customHeight="1" x14ac:dyDescent="0.2">
      <c r="AE838" s="19">
        <v>747</v>
      </c>
      <c r="AG838" s="19">
        <f t="shared" si="297"/>
        <v>3</v>
      </c>
      <c r="AH838" s="19">
        <f t="shared" si="298"/>
        <v>-1</v>
      </c>
      <c r="AI838" s="19">
        <f t="shared" si="299"/>
        <v>100.625</v>
      </c>
      <c r="AJ838" s="410">
        <f t="shared" si="300"/>
        <v>876.84</v>
      </c>
      <c r="AK838" s="19" t="e">
        <f t="shared" si="301"/>
        <v>#N/A</v>
      </c>
      <c r="AL838" s="19">
        <f t="shared" si="302"/>
        <v>676.84</v>
      </c>
      <c r="AM838" s="19" t="e">
        <f t="shared" si="303"/>
        <v>#N/A</v>
      </c>
      <c r="AN838" s="19">
        <f t="shared" si="304"/>
        <v>476.84</v>
      </c>
      <c r="AO838" s="19" t="e">
        <f t="shared" si="305"/>
        <v>#N/A</v>
      </c>
      <c r="AP838" s="19">
        <f t="shared" si="306"/>
        <v>276.83999999999997</v>
      </c>
      <c r="AQ838" s="19" t="e">
        <f t="shared" si="307"/>
        <v>#N/A</v>
      </c>
      <c r="AR838" s="19">
        <f t="shared" si="308"/>
        <v>76.84</v>
      </c>
      <c r="AS838" s="19" t="e">
        <f t="shared" si="309"/>
        <v>#N/A</v>
      </c>
    </row>
    <row r="839" spans="31:45" ht="11.25" customHeight="1" x14ac:dyDescent="0.2">
      <c r="AE839" s="19">
        <v>748</v>
      </c>
      <c r="AG839" s="19">
        <f t="shared" si="297"/>
        <v>3</v>
      </c>
      <c r="AH839" s="19">
        <f t="shared" si="298"/>
        <v>1</v>
      </c>
      <c r="AI839" s="19">
        <f t="shared" si="299"/>
        <v>100.625</v>
      </c>
      <c r="AJ839" s="410">
        <f t="shared" si="300"/>
        <v>923.16</v>
      </c>
      <c r="AK839" s="19" t="e">
        <f t="shared" si="301"/>
        <v>#N/A</v>
      </c>
      <c r="AL839" s="19">
        <f t="shared" si="302"/>
        <v>723.16</v>
      </c>
      <c r="AM839" s="19" t="e">
        <f t="shared" si="303"/>
        <v>#N/A</v>
      </c>
      <c r="AN839" s="19">
        <f t="shared" si="304"/>
        <v>523.16</v>
      </c>
      <c r="AO839" s="19" t="e">
        <f t="shared" si="305"/>
        <v>#N/A</v>
      </c>
      <c r="AP839" s="19">
        <f t="shared" si="306"/>
        <v>323.16000000000003</v>
      </c>
      <c r="AQ839" s="19" t="e">
        <f t="shared" si="307"/>
        <v>#N/A</v>
      </c>
      <c r="AR839" s="19">
        <f t="shared" si="308"/>
        <v>123.16</v>
      </c>
      <c r="AS839" s="19" t="e">
        <f t="shared" si="309"/>
        <v>#N/A</v>
      </c>
    </row>
    <row r="840" spans="31:45" ht="11.25" customHeight="1" x14ac:dyDescent="0.2">
      <c r="AE840" s="19">
        <v>749</v>
      </c>
      <c r="AG840" s="19">
        <f t="shared" si="297"/>
        <v>5</v>
      </c>
      <c r="AH840" s="19">
        <f t="shared" si="298"/>
        <v>-1</v>
      </c>
      <c r="AI840" s="19">
        <f t="shared" si="299"/>
        <v>100.625</v>
      </c>
      <c r="AJ840" s="410">
        <f t="shared" si="300"/>
        <v>861.4</v>
      </c>
      <c r="AK840" s="19" t="e">
        <f t="shared" si="301"/>
        <v>#N/A</v>
      </c>
      <c r="AL840" s="19">
        <f t="shared" si="302"/>
        <v>661.4</v>
      </c>
      <c r="AM840" s="19" t="e">
        <f t="shared" si="303"/>
        <v>#N/A</v>
      </c>
      <c r="AN840" s="19">
        <f t="shared" si="304"/>
        <v>461.4</v>
      </c>
      <c r="AO840" s="19" t="e">
        <f t="shared" si="305"/>
        <v>#N/A</v>
      </c>
      <c r="AP840" s="19">
        <f t="shared" si="306"/>
        <v>261.39999999999998</v>
      </c>
      <c r="AQ840" s="19" t="e">
        <f t="shared" si="307"/>
        <v>#N/A</v>
      </c>
      <c r="AR840" s="19">
        <f t="shared" si="308"/>
        <v>61.4</v>
      </c>
      <c r="AS840" s="19" t="e">
        <f t="shared" si="309"/>
        <v>#N/A</v>
      </c>
    </row>
    <row r="841" spans="31:45" ht="11.25" customHeight="1" x14ac:dyDescent="0.2">
      <c r="AE841" s="19">
        <v>750</v>
      </c>
      <c r="AG841" s="19">
        <f t="shared" si="297"/>
        <v>5</v>
      </c>
      <c r="AH841" s="19">
        <f t="shared" si="298"/>
        <v>1</v>
      </c>
      <c r="AI841" s="19">
        <f t="shared" si="299"/>
        <v>100.625</v>
      </c>
      <c r="AJ841" s="410">
        <f t="shared" si="300"/>
        <v>938.6</v>
      </c>
      <c r="AK841" s="19" t="e">
        <f t="shared" si="301"/>
        <v>#N/A</v>
      </c>
      <c r="AL841" s="19">
        <f t="shared" si="302"/>
        <v>738.6</v>
      </c>
      <c r="AM841" s="19" t="e">
        <f t="shared" si="303"/>
        <v>#N/A</v>
      </c>
      <c r="AN841" s="19">
        <f t="shared" si="304"/>
        <v>538.6</v>
      </c>
      <c r="AO841" s="19" t="e">
        <f t="shared" si="305"/>
        <v>#N/A</v>
      </c>
      <c r="AP841" s="19">
        <f t="shared" si="306"/>
        <v>338.6</v>
      </c>
      <c r="AQ841" s="19" t="e">
        <f t="shared" si="307"/>
        <v>#N/A</v>
      </c>
      <c r="AR841" s="19">
        <f t="shared" si="308"/>
        <v>138.6</v>
      </c>
      <c r="AS841" s="19" t="e">
        <f t="shared" si="309"/>
        <v>#N/A</v>
      </c>
    </row>
    <row r="842" spans="31:45" ht="11.25" customHeight="1" x14ac:dyDescent="0.2">
      <c r="AE842" s="19">
        <v>751</v>
      </c>
      <c r="AG842" s="19">
        <f t="shared" si="297"/>
        <v>7</v>
      </c>
      <c r="AH842" s="19">
        <f t="shared" si="298"/>
        <v>-1</v>
      </c>
      <c r="AI842" s="19">
        <f t="shared" si="299"/>
        <v>100.625</v>
      </c>
      <c r="AJ842" s="410">
        <f t="shared" si="300"/>
        <v>845.96</v>
      </c>
      <c r="AK842" s="19" t="e">
        <f t="shared" si="301"/>
        <v>#N/A</v>
      </c>
      <c r="AL842" s="19">
        <f t="shared" si="302"/>
        <v>645.96</v>
      </c>
      <c r="AM842" s="19" t="e">
        <f t="shared" si="303"/>
        <v>#N/A</v>
      </c>
      <c r="AN842" s="19">
        <f t="shared" si="304"/>
        <v>445.96</v>
      </c>
      <c r="AO842" s="19" t="e">
        <f t="shared" si="305"/>
        <v>#N/A</v>
      </c>
      <c r="AP842" s="19">
        <f t="shared" si="306"/>
        <v>245.96</v>
      </c>
      <c r="AQ842" s="19" t="e">
        <f t="shared" si="307"/>
        <v>#N/A</v>
      </c>
      <c r="AR842" s="19">
        <f t="shared" si="308"/>
        <v>45.96</v>
      </c>
      <c r="AS842" s="19" t="e">
        <f t="shared" si="309"/>
        <v>#N/A</v>
      </c>
    </row>
    <row r="843" spans="31:45" ht="11.25" customHeight="1" x14ac:dyDescent="0.2">
      <c r="AE843" s="19">
        <v>752</v>
      </c>
      <c r="AG843" s="19">
        <f t="shared" si="297"/>
        <v>7</v>
      </c>
      <c r="AH843" s="19">
        <f t="shared" si="298"/>
        <v>1</v>
      </c>
      <c r="AI843" s="19">
        <f t="shared" si="299"/>
        <v>100.625</v>
      </c>
      <c r="AJ843" s="410">
        <f t="shared" si="300"/>
        <v>954.04</v>
      </c>
      <c r="AK843" s="19" t="e">
        <f t="shared" si="301"/>
        <v>#N/A</v>
      </c>
      <c r="AL843" s="19">
        <f t="shared" si="302"/>
        <v>754.04</v>
      </c>
      <c r="AM843" s="19" t="e">
        <f t="shared" si="303"/>
        <v>#N/A</v>
      </c>
      <c r="AN843" s="19">
        <f t="shared" si="304"/>
        <v>554.04</v>
      </c>
      <c r="AO843" s="19" t="e">
        <f t="shared" si="305"/>
        <v>#N/A</v>
      </c>
      <c r="AP843" s="19">
        <f t="shared" si="306"/>
        <v>354.04</v>
      </c>
      <c r="AQ843" s="19" t="e">
        <f t="shared" si="307"/>
        <v>#N/A</v>
      </c>
      <c r="AR843" s="19">
        <f t="shared" si="308"/>
        <v>154.04</v>
      </c>
      <c r="AS843" s="19" t="e">
        <f t="shared" si="309"/>
        <v>#N/A</v>
      </c>
    </row>
    <row r="844" spans="31:45" ht="11.25" customHeight="1" x14ac:dyDescent="0.2">
      <c r="AE844" s="19">
        <v>753</v>
      </c>
      <c r="AG844" s="19">
        <f t="shared" si="297"/>
        <v>9</v>
      </c>
      <c r="AH844" s="19">
        <f t="shared" si="298"/>
        <v>-1</v>
      </c>
      <c r="AI844" s="19">
        <f t="shared" si="299"/>
        <v>100.625</v>
      </c>
      <c r="AJ844" s="410">
        <f t="shared" si="300"/>
        <v>830.52</v>
      </c>
      <c r="AK844" s="19" t="e">
        <f t="shared" si="301"/>
        <v>#N/A</v>
      </c>
      <c r="AL844" s="19">
        <f t="shared" si="302"/>
        <v>630.52</v>
      </c>
      <c r="AM844" s="19" t="e">
        <f t="shared" si="303"/>
        <v>#N/A</v>
      </c>
      <c r="AN844" s="19">
        <f t="shared" si="304"/>
        <v>430.52</v>
      </c>
      <c r="AO844" s="19" t="e">
        <f t="shared" si="305"/>
        <v>#N/A</v>
      </c>
      <c r="AP844" s="19">
        <f t="shared" si="306"/>
        <v>230.51999999999998</v>
      </c>
      <c r="AQ844" s="19" t="e">
        <f t="shared" si="307"/>
        <v>#N/A</v>
      </c>
      <c r="AR844" s="19">
        <f t="shared" si="308"/>
        <v>30.519999999999996</v>
      </c>
      <c r="AS844" s="19" t="e">
        <f t="shared" si="309"/>
        <v>#N/A</v>
      </c>
    </row>
    <row r="845" spans="31:45" ht="11.25" customHeight="1" x14ac:dyDescent="0.2">
      <c r="AE845" s="19">
        <v>754</v>
      </c>
      <c r="AG845" s="19">
        <f t="shared" si="297"/>
        <v>9</v>
      </c>
      <c r="AH845" s="19">
        <f t="shared" si="298"/>
        <v>1</v>
      </c>
      <c r="AI845" s="19">
        <f t="shared" si="299"/>
        <v>100.625</v>
      </c>
      <c r="AJ845" s="410">
        <f t="shared" si="300"/>
        <v>969.48</v>
      </c>
      <c r="AK845" s="19" t="e">
        <f t="shared" si="301"/>
        <v>#N/A</v>
      </c>
      <c r="AL845" s="19">
        <f t="shared" si="302"/>
        <v>769.48</v>
      </c>
      <c r="AM845" s="19" t="e">
        <f t="shared" si="303"/>
        <v>#N/A</v>
      </c>
      <c r="AN845" s="19">
        <f t="shared" si="304"/>
        <v>569.48</v>
      </c>
      <c r="AO845" s="19" t="e">
        <f t="shared" si="305"/>
        <v>#N/A</v>
      </c>
      <c r="AP845" s="19">
        <f t="shared" si="306"/>
        <v>369.48</v>
      </c>
      <c r="AQ845" s="19" t="e">
        <f t="shared" si="307"/>
        <v>#N/A</v>
      </c>
      <c r="AR845" s="19">
        <f t="shared" si="308"/>
        <v>169.48000000000002</v>
      </c>
      <c r="AS845" s="19" t="e">
        <f t="shared" si="309"/>
        <v>#N/A</v>
      </c>
    </row>
    <row r="846" spans="31:45" ht="11.25" customHeight="1" x14ac:dyDescent="0.2">
      <c r="AE846" s="19">
        <v>755</v>
      </c>
      <c r="AG846" s="19">
        <f t="shared" si="297"/>
        <v>11</v>
      </c>
      <c r="AH846" s="19">
        <f t="shared" si="298"/>
        <v>-1</v>
      </c>
      <c r="AI846" s="19">
        <f t="shared" si="299"/>
        <v>100.625</v>
      </c>
      <c r="AJ846" s="410">
        <f t="shared" si="300"/>
        <v>815.08</v>
      </c>
      <c r="AK846" s="19" t="e">
        <f t="shared" si="301"/>
        <v>#N/A</v>
      </c>
      <c r="AL846" s="19">
        <f t="shared" si="302"/>
        <v>615.08000000000004</v>
      </c>
      <c r="AM846" s="19" t="e">
        <f t="shared" si="303"/>
        <v>#N/A</v>
      </c>
      <c r="AN846" s="19">
        <f t="shared" si="304"/>
        <v>415.08</v>
      </c>
      <c r="AO846" s="19" t="e">
        <f t="shared" si="305"/>
        <v>#N/A</v>
      </c>
      <c r="AP846" s="19">
        <f t="shared" si="306"/>
        <v>215.07999999999998</v>
      </c>
      <c r="AQ846" s="19" t="e">
        <f t="shared" si="307"/>
        <v>#N/A</v>
      </c>
      <c r="AR846" s="19">
        <f t="shared" si="308"/>
        <v>15.079999999999998</v>
      </c>
      <c r="AS846" s="19" t="e">
        <f t="shared" si="309"/>
        <v>#N/A</v>
      </c>
    </row>
    <row r="847" spans="31:45" ht="11.25" customHeight="1" x14ac:dyDescent="0.2">
      <c r="AE847" s="19">
        <v>756</v>
      </c>
      <c r="AG847" s="19">
        <f t="shared" si="297"/>
        <v>11</v>
      </c>
      <c r="AH847" s="19">
        <f t="shared" si="298"/>
        <v>1</v>
      </c>
      <c r="AI847" s="19">
        <f t="shared" si="299"/>
        <v>100.625</v>
      </c>
      <c r="AJ847" s="410">
        <f t="shared" si="300"/>
        <v>984.92</v>
      </c>
      <c r="AK847" s="19" t="e">
        <f t="shared" si="301"/>
        <v>#N/A</v>
      </c>
      <c r="AL847" s="19">
        <f t="shared" si="302"/>
        <v>784.92</v>
      </c>
      <c r="AM847" s="19" t="e">
        <f t="shared" si="303"/>
        <v>#N/A</v>
      </c>
      <c r="AN847" s="19">
        <f t="shared" si="304"/>
        <v>584.91999999999996</v>
      </c>
      <c r="AO847" s="19" t="e">
        <f t="shared" si="305"/>
        <v>#N/A</v>
      </c>
      <c r="AP847" s="19">
        <f t="shared" si="306"/>
        <v>384.92</v>
      </c>
      <c r="AQ847" s="19" t="e">
        <f t="shared" si="307"/>
        <v>#N/A</v>
      </c>
      <c r="AR847" s="19">
        <f t="shared" si="308"/>
        <v>184.92000000000002</v>
      </c>
      <c r="AS847" s="19" t="e">
        <f t="shared" si="309"/>
        <v>#N/A</v>
      </c>
    </row>
    <row r="848" spans="31:45" ht="11.25" customHeight="1" x14ac:dyDescent="0.2">
      <c r="AE848" s="19">
        <v>757</v>
      </c>
      <c r="AG848" s="19">
        <f t="shared" si="297"/>
        <v>1</v>
      </c>
      <c r="AH848" s="19">
        <f t="shared" si="298"/>
        <v>-1</v>
      </c>
      <c r="AI848" s="19">
        <f t="shared" si="299"/>
        <v>102.235</v>
      </c>
      <c r="AJ848" s="410">
        <f t="shared" si="300"/>
        <v>892.28</v>
      </c>
      <c r="AK848" s="19" t="e">
        <f t="shared" si="301"/>
        <v>#N/A</v>
      </c>
      <c r="AL848" s="19">
        <f t="shared" si="302"/>
        <v>692.28</v>
      </c>
      <c r="AM848" s="19" t="e">
        <f t="shared" si="303"/>
        <v>#N/A</v>
      </c>
      <c r="AN848" s="19">
        <f t="shared" si="304"/>
        <v>492.28</v>
      </c>
      <c r="AO848" s="19" t="e">
        <f t="shared" si="305"/>
        <v>#N/A</v>
      </c>
      <c r="AP848" s="19">
        <f t="shared" si="306"/>
        <v>292.27999999999997</v>
      </c>
      <c r="AQ848" s="19" t="e">
        <f t="shared" si="307"/>
        <v>#N/A</v>
      </c>
      <c r="AR848" s="19">
        <f t="shared" si="308"/>
        <v>92.28</v>
      </c>
      <c r="AS848" s="19" t="e">
        <f t="shared" si="309"/>
        <v>#N/A</v>
      </c>
    </row>
    <row r="849" spans="31:45" ht="11.25" customHeight="1" x14ac:dyDescent="0.2">
      <c r="AE849" s="19">
        <v>758</v>
      </c>
      <c r="AG849" s="19">
        <f t="shared" si="297"/>
        <v>1</v>
      </c>
      <c r="AH849" s="19">
        <f t="shared" si="298"/>
        <v>1</v>
      </c>
      <c r="AI849" s="19">
        <f t="shared" si="299"/>
        <v>102.235</v>
      </c>
      <c r="AJ849" s="410">
        <f t="shared" si="300"/>
        <v>907.72</v>
      </c>
      <c r="AK849" s="19" t="e">
        <f t="shared" si="301"/>
        <v>#N/A</v>
      </c>
      <c r="AL849" s="19">
        <f t="shared" si="302"/>
        <v>707.72</v>
      </c>
      <c r="AM849" s="19" t="e">
        <f t="shared" si="303"/>
        <v>#N/A</v>
      </c>
      <c r="AN849" s="19">
        <f t="shared" si="304"/>
        <v>507.72</v>
      </c>
      <c r="AO849" s="19" t="e">
        <f t="shared" si="305"/>
        <v>#N/A</v>
      </c>
      <c r="AP849" s="19">
        <f t="shared" si="306"/>
        <v>307.72000000000003</v>
      </c>
      <c r="AQ849" s="19" t="e">
        <f t="shared" si="307"/>
        <v>#N/A</v>
      </c>
      <c r="AR849" s="19">
        <f t="shared" si="308"/>
        <v>107.72</v>
      </c>
      <c r="AS849" s="19" t="e">
        <f t="shared" si="309"/>
        <v>#N/A</v>
      </c>
    </row>
    <row r="850" spans="31:45" ht="11.25" customHeight="1" x14ac:dyDescent="0.2">
      <c r="AE850" s="19">
        <v>759</v>
      </c>
      <c r="AG850" s="19">
        <f t="shared" si="297"/>
        <v>3</v>
      </c>
      <c r="AH850" s="19">
        <f t="shared" si="298"/>
        <v>-1</v>
      </c>
      <c r="AI850" s="19">
        <f t="shared" si="299"/>
        <v>102.235</v>
      </c>
      <c r="AJ850" s="410">
        <f t="shared" si="300"/>
        <v>876.84</v>
      </c>
      <c r="AK850" s="19" t="e">
        <f t="shared" si="301"/>
        <v>#N/A</v>
      </c>
      <c r="AL850" s="19">
        <f t="shared" si="302"/>
        <v>676.84</v>
      </c>
      <c r="AM850" s="19" t="e">
        <f t="shared" si="303"/>
        <v>#N/A</v>
      </c>
      <c r="AN850" s="19">
        <f t="shared" si="304"/>
        <v>476.84</v>
      </c>
      <c r="AO850" s="19" t="e">
        <f t="shared" si="305"/>
        <v>#N/A</v>
      </c>
      <c r="AP850" s="19">
        <f t="shared" si="306"/>
        <v>276.83999999999997</v>
      </c>
      <c r="AQ850" s="19" t="e">
        <f t="shared" si="307"/>
        <v>#N/A</v>
      </c>
      <c r="AR850" s="19">
        <f t="shared" si="308"/>
        <v>76.84</v>
      </c>
      <c r="AS850" s="19" t="e">
        <f t="shared" si="309"/>
        <v>#N/A</v>
      </c>
    </row>
    <row r="851" spans="31:45" ht="11.25" customHeight="1" x14ac:dyDescent="0.2">
      <c r="AE851" s="19">
        <v>760</v>
      </c>
      <c r="AG851" s="19">
        <f t="shared" si="297"/>
        <v>3</v>
      </c>
      <c r="AH851" s="19">
        <f t="shared" si="298"/>
        <v>1</v>
      </c>
      <c r="AI851" s="19">
        <f t="shared" si="299"/>
        <v>102.235</v>
      </c>
      <c r="AJ851" s="410">
        <f t="shared" si="300"/>
        <v>923.16</v>
      </c>
      <c r="AK851" s="19" t="e">
        <f t="shared" si="301"/>
        <v>#N/A</v>
      </c>
      <c r="AL851" s="19">
        <f t="shared" si="302"/>
        <v>723.16</v>
      </c>
      <c r="AM851" s="19" t="e">
        <f t="shared" si="303"/>
        <v>#N/A</v>
      </c>
      <c r="AN851" s="19">
        <f t="shared" si="304"/>
        <v>523.16</v>
      </c>
      <c r="AO851" s="19" t="e">
        <f t="shared" si="305"/>
        <v>#N/A</v>
      </c>
      <c r="AP851" s="19">
        <f t="shared" si="306"/>
        <v>323.16000000000003</v>
      </c>
      <c r="AQ851" s="19" t="e">
        <f t="shared" si="307"/>
        <v>#N/A</v>
      </c>
      <c r="AR851" s="19">
        <f t="shared" si="308"/>
        <v>123.16</v>
      </c>
      <c r="AS851" s="19" t="e">
        <f t="shared" si="309"/>
        <v>#N/A</v>
      </c>
    </row>
    <row r="852" spans="31:45" ht="11.25" customHeight="1" x14ac:dyDescent="0.2">
      <c r="AE852" s="19">
        <v>761</v>
      </c>
      <c r="AG852" s="19">
        <f t="shared" si="297"/>
        <v>5</v>
      </c>
      <c r="AH852" s="19">
        <f t="shared" si="298"/>
        <v>-1</v>
      </c>
      <c r="AI852" s="19">
        <f t="shared" si="299"/>
        <v>102.235</v>
      </c>
      <c r="AJ852" s="410">
        <f t="shared" si="300"/>
        <v>861.4</v>
      </c>
      <c r="AK852" s="19" t="e">
        <f t="shared" si="301"/>
        <v>#N/A</v>
      </c>
      <c r="AL852" s="19">
        <f t="shared" si="302"/>
        <v>661.4</v>
      </c>
      <c r="AM852" s="19" t="e">
        <f t="shared" si="303"/>
        <v>#N/A</v>
      </c>
      <c r="AN852" s="19">
        <f t="shared" si="304"/>
        <v>461.4</v>
      </c>
      <c r="AO852" s="19" t="e">
        <f t="shared" si="305"/>
        <v>#N/A</v>
      </c>
      <c r="AP852" s="19">
        <f t="shared" si="306"/>
        <v>261.39999999999998</v>
      </c>
      <c r="AQ852" s="19" t="e">
        <f t="shared" si="307"/>
        <v>#N/A</v>
      </c>
      <c r="AR852" s="19">
        <f t="shared" si="308"/>
        <v>61.4</v>
      </c>
      <c r="AS852" s="19" t="e">
        <f t="shared" si="309"/>
        <v>#N/A</v>
      </c>
    </row>
    <row r="853" spans="31:45" ht="11.25" customHeight="1" x14ac:dyDescent="0.2">
      <c r="AE853" s="19">
        <v>762</v>
      </c>
      <c r="AG853" s="19">
        <f t="shared" si="297"/>
        <v>5</v>
      </c>
      <c r="AH853" s="19">
        <f t="shared" si="298"/>
        <v>1</v>
      </c>
      <c r="AI853" s="19">
        <f t="shared" si="299"/>
        <v>102.235</v>
      </c>
      <c r="AJ853" s="410">
        <f t="shared" si="300"/>
        <v>938.6</v>
      </c>
      <c r="AK853" s="19" t="e">
        <f t="shared" si="301"/>
        <v>#N/A</v>
      </c>
      <c r="AL853" s="19">
        <f t="shared" si="302"/>
        <v>738.6</v>
      </c>
      <c r="AM853" s="19" t="e">
        <f t="shared" si="303"/>
        <v>#N/A</v>
      </c>
      <c r="AN853" s="19">
        <f t="shared" si="304"/>
        <v>538.6</v>
      </c>
      <c r="AO853" s="19" t="e">
        <f t="shared" si="305"/>
        <v>#N/A</v>
      </c>
      <c r="AP853" s="19">
        <f t="shared" si="306"/>
        <v>338.6</v>
      </c>
      <c r="AQ853" s="19" t="e">
        <f t="shared" si="307"/>
        <v>#N/A</v>
      </c>
      <c r="AR853" s="19">
        <f t="shared" si="308"/>
        <v>138.6</v>
      </c>
      <c r="AS853" s="19" t="e">
        <f t="shared" si="309"/>
        <v>#N/A</v>
      </c>
    </row>
    <row r="854" spans="31:45" ht="11.25" customHeight="1" x14ac:dyDescent="0.2">
      <c r="AE854" s="19">
        <v>763</v>
      </c>
      <c r="AG854" s="19">
        <f t="shared" si="297"/>
        <v>7</v>
      </c>
      <c r="AH854" s="19">
        <f t="shared" si="298"/>
        <v>-1</v>
      </c>
      <c r="AI854" s="19">
        <f t="shared" si="299"/>
        <v>102.235</v>
      </c>
      <c r="AJ854" s="410">
        <f t="shared" si="300"/>
        <v>845.96</v>
      </c>
      <c r="AK854" s="19" t="e">
        <f t="shared" si="301"/>
        <v>#N/A</v>
      </c>
      <c r="AL854" s="19">
        <f t="shared" si="302"/>
        <v>645.96</v>
      </c>
      <c r="AM854" s="19" t="e">
        <f t="shared" si="303"/>
        <v>#N/A</v>
      </c>
      <c r="AN854" s="19">
        <f t="shared" si="304"/>
        <v>445.96</v>
      </c>
      <c r="AO854" s="19" t="e">
        <f t="shared" si="305"/>
        <v>#N/A</v>
      </c>
      <c r="AP854" s="19">
        <f t="shared" si="306"/>
        <v>245.96</v>
      </c>
      <c r="AQ854" s="19" t="e">
        <f t="shared" si="307"/>
        <v>#N/A</v>
      </c>
      <c r="AR854" s="19">
        <f t="shared" si="308"/>
        <v>45.96</v>
      </c>
      <c r="AS854" s="19" t="e">
        <f t="shared" si="309"/>
        <v>#N/A</v>
      </c>
    </row>
    <row r="855" spans="31:45" ht="11.25" customHeight="1" x14ac:dyDescent="0.2">
      <c r="AE855" s="19">
        <v>764</v>
      </c>
      <c r="AG855" s="19">
        <f t="shared" si="297"/>
        <v>7</v>
      </c>
      <c r="AH855" s="19">
        <f t="shared" si="298"/>
        <v>1</v>
      </c>
      <c r="AI855" s="19">
        <f t="shared" si="299"/>
        <v>102.235</v>
      </c>
      <c r="AJ855" s="410">
        <f t="shared" si="300"/>
        <v>954.04</v>
      </c>
      <c r="AK855" s="19" t="e">
        <f t="shared" si="301"/>
        <v>#N/A</v>
      </c>
      <c r="AL855" s="19">
        <f t="shared" si="302"/>
        <v>754.04</v>
      </c>
      <c r="AM855" s="19" t="e">
        <f t="shared" si="303"/>
        <v>#N/A</v>
      </c>
      <c r="AN855" s="19">
        <f t="shared" si="304"/>
        <v>554.04</v>
      </c>
      <c r="AO855" s="19" t="e">
        <f t="shared" si="305"/>
        <v>#N/A</v>
      </c>
      <c r="AP855" s="19">
        <f t="shared" si="306"/>
        <v>354.04</v>
      </c>
      <c r="AQ855" s="19" t="e">
        <f t="shared" si="307"/>
        <v>#N/A</v>
      </c>
      <c r="AR855" s="19">
        <f t="shared" si="308"/>
        <v>154.04</v>
      </c>
      <c r="AS855" s="19" t="e">
        <f t="shared" si="309"/>
        <v>#N/A</v>
      </c>
    </row>
    <row r="856" spans="31:45" ht="11.25" customHeight="1" x14ac:dyDescent="0.2">
      <c r="AE856" s="19">
        <v>765</v>
      </c>
      <c r="AG856" s="19">
        <f t="shared" si="297"/>
        <v>9</v>
      </c>
      <c r="AH856" s="19">
        <f t="shared" si="298"/>
        <v>-1</v>
      </c>
      <c r="AI856" s="19">
        <f t="shared" si="299"/>
        <v>102.235</v>
      </c>
      <c r="AJ856" s="410">
        <f t="shared" si="300"/>
        <v>830.52</v>
      </c>
      <c r="AK856" s="19" t="e">
        <f t="shared" si="301"/>
        <v>#N/A</v>
      </c>
      <c r="AL856" s="19">
        <f t="shared" si="302"/>
        <v>630.52</v>
      </c>
      <c r="AM856" s="19" t="e">
        <f t="shared" si="303"/>
        <v>#N/A</v>
      </c>
      <c r="AN856" s="19">
        <f t="shared" si="304"/>
        <v>430.52</v>
      </c>
      <c r="AO856" s="19" t="e">
        <f t="shared" si="305"/>
        <v>#N/A</v>
      </c>
      <c r="AP856" s="19">
        <f t="shared" si="306"/>
        <v>230.51999999999998</v>
      </c>
      <c r="AQ856" s="19" t="e">
        <f t="shared" si="307"/>
        <v>#N/A</v>
      </c>
      <c r="AR856" s="19">
        <f t="shared" si="308"/>
        <v>30.519999999999996</v>
      </c>
      <c r="AS856" s="19" t="e">
        <f t="shared" si="309"/>
        <v>#N/A</v>
      </c>
    </row>
    <row r="857" spans="31:45" ht="11.25" customHeight="1" x14ac:dyDescent="0.2">
      <c r="AE857" s="19">
        <v>766</v>
      </c>
      <c r="AG857" s="19">
        <f t="shared" si="297"/>
        <v>9</v>
      </c>
      <c r="AH857" s="19">
        <f t="shared" si="298"/>
        <v>1</v>
      </c>
      <c r="AI857" s="19">
        <f t="shared" si="299"/>
        <v>102.235</v>
      </c>
      <c r="AJ857" s="410">
        <f t="shared" si="300"/>
        <v>969.48</v>
      </c>
      <c r="AK857" s="19" t="e">
        <f t="shared" si="301"/>
        <v>#N/A</v>
      </c>
      <c r="AL857" s="19">
        <f t="shared" si="302"/>
        <v>769.48</v>
      </c>
      <c r="AM857" s="19" t="e">
        <f t="shared" si="303"/>
        <v>#N/A</v>
      </c>
      <c r="AN857" s="19">
        <f t="shared" si="304"/>
        <v>569.48</v>
      </c>
      <c r="AO857" s="19" t="e">
        <f t="shared" si="305"/>
        <v>#N/A</v>
      </c>
      <c r="AP857" s="19">
        <f t="shared" si="306"/>
        <v>369.48</v>
      </c>
      <c r="AQ857" s="19" t="e">
        <f t="shared" si="307"/>
        <v>#N/A</v>
      </c>
      <c r="AR857" s="19">
        <f t="shared" si="308"/>
        <v>169.48000000000002</v>
      </c>
      <c r="AS857" s="19" t="e">
        <f t="shared" si="309"/>
        <v>#N/A</v>
      </c>
    </row>
    <row r="858" spans="31:45" ht="11.25" customHeight="1" x14ac:dyDescent="0.2">
      <c r="AE858" s="19">
        <v>767</v>
      </c>
      <c r="AG858" s="19">
        <f t="shared" si="297"/>
        <v>11</v>
      </c>
      <c r="AH858" s="19">
        <f t="shared" si="298"/>
        <v>-1</v>
      </c>
      <c r="AI858" s="19">
        <f t="shared" si="299"/>
        <v>102.235</v>
      </c>
      <c r="AJ858" s="410">
        <f t="shared" si="300"/>
        <v>815.08</v>
      </c>
      <c r="AK858" s="19" t="e">
        <f t="shared" si="301"/>
        <v>#N/A</v>
      </c>
      <c r="AL858" s="19">
        <f t="shared" si="302"/>
        <v>615.08000000000004</v>
      </c>
      <c r="AM858" s="19" t="e">
        <f t="shared" si="303"/>
        <v>#N/A</v>
      </c>
      <c r="AN858" s="19">
        <f t="shared" si="304"/>
        <v>415.08</v>
      </c>
      <c r="AO858" s="19" t="e">
        <f t="shared" si="305"/>
        <v>#N/A</v>
      </c>
      <c r="AP858" s="19">
        <f t="shared" si="306"/>
        <v>215.07999999999998</v>
      </c>
      <c r="AQ858" s="19" t="e">
        <f t="shared" si="307"/>
        <v>#N/A</v>
      </c>
      <c r="AR858" s="19">
        <f t="shared" si="308"/>
        <v>15.079999999999998</v>
      </c>
      <c r="AS858" s="19" t="e">
        <f t="shared" si="309"/>
        <v>#N/A</v>
      </c>
    </row>
    <row r="859" spans="31:45" ht="11.25" customHeight="1" x14ac:dyDescent="0.2">
      <c r="AE859" s="19">
        <v>768</v>
      </c>
      <c r="AG859" s="19">
        <f t="shared" si="297"/>
        <v>11</v>
      </c>
      <c r="AH859" s="19">
        <f t="shared" si="298"/>
        <v>1</v>
      </c>
      <c r="AI859" s="19">
        <f t="shared" si="299"/>
        <v>102.235</v>
      </c>
      <c r="AJ859" s="410">
        <f t="shared" si="300"/>
        <v>984.92</v>
      </c>
      <c r="AK859" s="19" t="e">
        <f t="shared" si="301"/>
        <v>#N/A</v>
      </c>
      <c r="AL859" s="19">
        <f t="shared" si="302"/>
        <v>784.92</v>
      </c>
      <c r="AM859" s="19" t="e">
        <f t="shared" si="303"/>
        <v>#N/A</v>
      </c>
      <c r="AN859" s="19">
        <f t="shared" si="304"/>
        <v>584.91999999999996</v>
      </c>
      <c r="AO859" s="19" t="e">
        <f t="shared" si="305"/>
        <v>#N/A</v>
      </c>
      <c r="AP859" s="19">
        <f t="shared" si="306"/>
        <v>384.92</v>
      </c>
      <c r="AQ859" s="19" t="e">
        <f t="shared" si="307"/>
        <v>#N/A</v>
      </c>
      <c r="AR859" s="19">
        <f t="shared" si="308"/>
        <v>184.92000000000002</v>
      </c>
      <c r="AS859" s="19" t="e">
        <f t="shared" si="309"/>
        <v>#N/A</v>
      </c>
    </row>
    <row r="860" spans="31:45" ht="11.25" customHeight="1" x14ac:dyDescent="0.2">
      <c r="AE860" s="19">
        <v>769</v>
      </c>
      <c r="AG860" s="19">
        <f t="shared" ref="AG860:AG923" si="310">2*ROUNDUP((MOD(AE860-1,$AB$94)+1)/2,0)-1</f>
        <v>1</v>
      </c>
      <c r="AH860" s="19">
        <f t="shared" ref="AH860:AH923" si="311">IF(AG860=AG861,-1,1)</f>
        <v>-1</v>
      </c>
      <c r="AI860" s="19">
        <f t="shared" ref="AI860:AI923" si="312">IF($BR$7,$AB$87*(0.5+INT((AE860-0.5)/$AB$94)),NA())</f>
        <v>103.84500000000001</v>
      </c>
      <c r="AJ860" s="410">
        <f t="shared" ref="AJ860:AJ923" si="313">IF($BP$11,$AM$87+$AB$90*AH860*AG860,NA())</f>
        <v>892.28</v>
      </c>
      <c r="AK860" s="19" t="e">
        <f t="shared" ref="AK860:AK923" si="314">IF($AG$83&lt;AE860,NA(),AI860)</f>
        <v>#N/A</v>
      </c>
      <c r="AL860" s="19">
        <f t="shared" ref="AL860:AL923" si="315">IF($BP$11,$AN$87+$AB$90*AH860*AG860,NA())</f>
        <v>692.28</v>
      </c>
      <c r="AM860" s="19" t="e">
        <f t="shared" ref="AM860:AM923" si="316">IF($AH$83&lt;AE860,NA(),AI860)</f>
        <v>#N/A</v>
      </c>
      <c r="AN860" s="19">
        <f t="shared" ref="AN860:AN923" si="317">IF($BP$11,$AO$87+$AB$90*AH860*AG860,NA())</f>
        <v>492.28</v>
      </c>
      <c r="AO860" s="19" t="e">
        <f t="shared" ref="AO860:AO923" si="318">IF($AI$83&lt;AE860,NA(),AI860)</f>
        <v>#N/A</v>
      </c>
      <c r="AP860" s="19">
        <f t="shared" ref="AP860:AP923" si="319">IF($BP$11,$AP$87+$AB$90*AH860*AG860,NA())</f>
        <v>292.27999999999997</v>
      </c>
      <c r="AQ860" s="19" t="e">
        <f t="shared" ref="AQ860:AQ923" si="320">IF($AJ$83&lt;AE860,NA(),AI860)</f>
        <v>#N/A</v>
      </c>
      <c r="AR860" s="19">
        <f t="shared" ref="AR860:AR923" si="321">IF($BP$11,$AQ$87+$AB$90*AH860*AG860,NA())</f>
        <v>92.28</v>
      </c>
      <c r="AS860" s="19" t="e">
        <f t="shared" ref="AS860:AS923" si="322">IF($AK$83&lt;AE860,NA(),AI860)</f>
        <v>#N/A</v>
      </c>
    </row>
    <row r="861" spans="31:45" ht="11.25" customHeight="1" x14ac:dyDescent="0.2">
      <c r="AE861" s="19">
        <v>770</v>
      </c>
      <c r="AG861" s="19">
        <f t="shared" si="310"/>
        <v>1</v>
      </c>
      <c r="AH861" s="19">
        <f t="shared" si="311"/>
        <v>1</v>
      </c>
      <c r="AI861" s="19">
        <f t="shared" si="312"/>
        <v>103.84500000000001</v>
      </c>
      <c r="AJ861" s="410">
        <f t="shared" si="313"/>
        <v>907.72</v>
      </c>
      <c r="AK861" s="19" t="e">
        <f t="shared" si="314"/>
        <v>#N/A</v>
      </c>
      <c r="AL861" s="19">
        <f t="shared" si="315"/>
        <v>707.72</v>
      </c>
      <c r="AM861" s="19" t="e">
        <f t="shared" si="316"/>
        <v>#N/A</v>
      </c>
      <c r="AN861" s="19">
        <f t="shared" si="317"/>
        <v>507.72</v>
      </c>
      <c r="AO861" s="19" t="e">
        <f t="shared" si="318"/>
        <v>#N/A</v>
      </c>
      <c r="AP861" s="19">
        <f t="shared" si="319"/>
        <v>307.72000000000003</v>
      </c>
      <c r="AQ861" s="19" t="e">
        <f t="shared" si="320"/>
        <v>#N/A</v>
      </c>
      <c r="AR861" s="19">
        <f t="shared" si="321"/>
        <v>107.72</v>
      </c>
      <c r="AS861" s="19" t="e">
        <f t="shared" si="322"/>
        <v>#N/A</v>
      </c>
    </row>
    <row r="862" spans="31:45" ht="11.25" customHeight="1" x14ac:dyDescent="0.2">
      <c r="AE862" s="19">
        <v>771</v>
      </c>
      <c r="AG862" s="19">
        <f t="shared" si="310"/>
        <v>3</v>
      </c>
      <c r="AH862" s="19">
        <f t="shared" si="311"/>
        <v>-1</v>
      </c>
      <c r="AI862" s="19">
        <f t="shared" si="312"/>
        <v>103.84500000000001</v>
      </c>
      <c r="AJ862" s="410">
        <f t="shared" si="313"/>
        <v>876.84</v>
      </c>
      <c r="AK862" s="19" t="e">
        <f t="shared" si="314"/>
        <v>#N/A</v>
      </c>
      <c r="AL862" s="19">
        <f t="shared" si="315"/>
        <v>676.84</v>
      </c>
      <c r="AM862" s="19" t="e">
        <f t="shared" si="316"/>
        <v>#N/A</v>
      </c>
      <c r="AN862" s="19">
        <f t="shared" si="317"/>
        <v>476.84</v>
      </c>
      <c r="AO862" s="19" t="e">
        <f t="shared" si="318"/>
        <v>#N/A</v>
      </c>
      <c r="AP862" s="19">
        <f t="shared" si="319"/>
        <v>276.83999999999997</v>
      </c>
      <c r="AQ862" s="19" t="e">
        <f t="shared" si="320"/>
        <v>#N/A</v>
      </c>
      <c r="AR862" s="19">
        <f t="shared" si="321"/>
        <v>76.84</v>
      </c>
      <c r="AS862" s="19" t="e">
        <f t="shared" si="322"/>
        <v>#N/A</v>
      </c>
    </row>
    <row r="863" spans="31:45" ht="11.25" customHeight="1" x14ac:dyDescent="0.2">
      <c r="AE863" s="19">
        <v>772</v>
      </c>
      <c r="AG863" s="19">
        <f t="shared" si="310"/>
        <v>3</v>
      </c>
      <c r="AH863" s="19">
        <f t="shared" si="311"/>
        <v>1</v>
      </c>
      <c r="AI863" s="19">
        <f t="shared" si="312"/>
        <v>103.84500000000001</v>
      </c>
      <c r="AJ863" s="410">
        <f t="shared" si="313"/>
        <v>923.16</v>
      </c>
      <c r="AK863" s="19" t="e">
        <f t="shared" si="314"/>
        <v>#N/A</v>
      </c>
      <c r="AL863" s="19">
        <f t="shared" si="315"/>
        <v>723.16</v>
      </c>
      <c r="AM863" s="19" t="e">
        <f t="shared" si="316"/>
        <v>#N/A</v>
      </c>
      <c r="AN863" s="19">
        <f t="shared" si="317"/>
        <v>523.16</v>
      </c>
      <c r="AO863" s="19" t="e">
        <f t="shared" si="318"/>
        <v>#N/A</v>
      </c>
      <c r="AP863" s="19">
        <f t="shared" si="319"/>
        <v>323.16000000000003</v>
      </c>
      <c r="AQ863" s="19" t="e">
        <f t="shared" si="320"/>
        <v>#N/A</v>
      </c>
      <c r="AR863" s="19">
        <f t="shared" si="321"/>
        <v>123.16</v>
      </c>
      <c r="AS863" s="19" t="e">
        <f t="shared" si="322"/>
        <v>#N/A</v>
      </c>
    </row>
    <row r="864" spans="31:45" ht="11.25" customHeight="1" x14ac:dyDescent="0.2">
      <c r="AE864" s="19">
        <v>773</v>
      </c>
      <c r="AG864" s="19">
        <f t="shared" si="310"/>
        <v>5</v>
      </c>
      <c r="AH864" s="19">
        <f t="shared" si="311"/>
        <v>-1</v>
      </c>
      <c r="AI864" s="19">
        <f t="shared" si="312"/>
        <v>103.84500000000001</v>
      </c>
      <c r="AJ864" s="410">
        <f t="shared" si="313"/>
        <v>861.4</v>
      </c>
      <c r="AK864" s="19" t="e">
        <f t="shared" si="314"/>
        <v>#N/A</v>
      </c>
      <c r="AL864" s="19">
        <f t="shared" si="315"/>
        <v>661.4</v>
      </c>
      <c r="AM864" s="19" t="e">
        <f t="shared" si="316"/>
        <v>#N/A</v>
      </c>
      <c r="AN864" s="19">
        <f t="shared" si="317"/>
        <v>461.4</v>
      </c>
      <c r="AO864" s="19" t="e">
        <f t="shared" si="318"/>
        <v>#N/A</v>
      </c>
      <c r="AP864" s="19">
        <f t="shared" si="319"/>
        <v>261.39999999999998</v>
      </c>
      <c r="AQ864" s="19" t="e">
        <f t="shared" si="320"/>
        <v>#N/A</v>
      </c>
      <c r="AR864" s="19">
        <f t="shared" si="321"/>
        <v>61.4</v>
      </c>
      <c r="AS864" s="19" t="e">
        <f t="shared" si="322"/>
        <v>#N/A</v>
      </c>
    </row>
    <row r="865" spans="31:45" ht="11.25" customHeight="1" x14ac:dyDescent="0.2">
      <c r="AE865" s="19">
        <v>774</v>
      </c>
      <c r="AG865" s="19">
        <f t="shared" si="310"/>
        <v>5</v>
      </c>
      <c r="AH865" s="19">
        <f t="shared" si="311"/>
        <v>1</v>
      </c>
      <c r="AI865" s="19">
        <f t="shared" si="312"/>
        <v>103.84500000000001</v>
      </c>
      <c r="AJ865" s="410">
        <f t="shared" si="313"/>
        <v>938.6</v>
      </c>
      <c r="AK865" s="19" t="e">
        <f t="shared" si="314"/>
        <v>#N/A</v>
      </c>
      <c r="AL865" s="19">
        <f t="shared" si="315"/>
        <v>738.6</v>
      </c>
      <c r="AM865" s="19" t="e">
        <f t="shared" si="316"/>
        <v>#N/A</v>
      </c>
      <c r="AN865" s="19">
        <f t="shared" si="317"/>
        <v>538.6</v>
      </c>
      <c r="AO865" s="19" t="e">
        <f t="shared" si="318"/>
        <v>#N/A</v>
      </c>
      <c r="AP865" s="19">
        <f t="shared" si="319"/>
        <v>338.6</v>
      </c>
      <c r="AQ865" s="19" t="e">
        <f t="shared" si="320"/>
        <v>#N/A</v>
      </c>
      <c r="AR865" s="19">
        <f t="shared" si="321"/>
        <v>138.6</v>
      </c>
      <c r="AS865" s="19" t="e">
        <f t="shared" si="322"/>
        <v>#N/A</v>
      </c>
    </row>
    <row r="866" spans="31:45" ht="11.25" customHeight="1" x14ac:dyDescent="0.2">
      <c r="AE866" s="19">
        <v>775</v>
      </c>
      <c r="AG866" s="19">
        <f t="shared" si="310"/>
        <v>7</v>
      </c>
      <c r="AH866" s="19">
        <f t="shared" si="311"/>
        <v>-1</v>
      </c>
      <c r="AI866" s="19">
        <f t="shared" si="312"/>
        <v>103.84500000000001</v>
      </c>
      <c r="AJ866" s="410">
        <f t="shared" si="313"/>
        <v>845.96</v>
      </c>
      <c r="AK866" s="19" t="e">
        <f t="shared" si="314"/>
        <v>#N/A</v>
      </c>
      <c r="AL866" s="19">
        <f t="shared" si="315"/>
        <v>645.96</v>
      </c>
      <c r="AM866" s="19" t="e">
        <f t="shared" si="316"/>
        <v>#N/A</v>
      </c>
      <c r="AN866" s="19">
        <f t="shared" si="317"/>
        <v>445.96</v>
      </c>
      <c r="AO866" s="19" t="e">
        <f t="shared" si="318"/>
        <v>#N/A</v>
      </c>
      <c r="AP866" s="19">
        <f t="shared" si="319"/>
        <v>245.96</v>
      </c>
      <c r="AQ866" s="19" t="e">
        <f t="shared" si="320"/>
        <v>#N/A</v>
      </c>
      <c r="AR866" s="19">
        <f t="shared" si="321"/>
        <v>45.96</v>
      </c>
      <c r="AS866" s="19" t="e">
        <f t="shared" si="322"/>
        <v>#N/A</v>
      </c>
    </row>
    <row r="867" spans="31:45" ht="11.25" customHeight="1" x14ac:dyDescent="0.2">
      <c r="AE867" s="19">
        <v>776</v>
      </c>
      <c r="AG867" s="19">
        <f t="shared" si="310"/>
        <v>7</v>
      </c>
      <c r="AH867" s="19">
        <f t="shared" si="311"/>
        <v>1</v>
      </c>
      <c r="AI867" s="19">
        <f t="shared" si="312"/>
        <v>103.84500000000001</v>
      </c>
      <c r="AJ867" s="410">
        <f t="shared" si="313"/>
        <v>954.04</v>
      </c>
      <c r="AK867" s="19" t="e">
        <f t="shared" si="314"/>
        <v>#N/A</v>
      </c>
      <c r="AL867" s="19">
        <f t="shared" si="315"/>
        <v>754.04</v>
      </c>
      <c r="AM867" s="19" t="e">
        <f t="shared" si="316"/>
        <v>#N/A</v>
      </c>
      <c r="AN867" s="19">
        <f t="shared" si="317"/>
        <v>554.04</v>
      </c>
      <c r="AO867" s="19" t="e">
        <f t="shared" si="318"/>
        <v>#N/A</v>
      </c>
      <c r="AP867" s="19">
        <f t="shared" si="319"/>
        <v>354.04</v>
      </c>
      <c r="AQ867" s="19" t="e">
        <f t="shared" si="320"/>
        <v>#N/A</v>
      </c>
      <c r="AR867" s="19">
        <f t="shared" si="321"/>
        <v>154.04</v>
      </c>
      <c r="AS867" s="19" t="e">
        <f t="shared" si="322"/>
        <v>#N/A</v>
      </c>
    </row>
    <row r="868" spans="31:45" ht="11.25" customHeight="1" x14ac:dyDescent="0.2">
      <c r="AE868" s="19">
        <v>777</v>
      </c>
      <c r="AG868" s="19">
        <f t="shared" si="310"/>
        <v>9</v>
      </c>
      <c r="AH868" s="19">
        <f t="shared" si="311"/>
        <v>-1</v>
      </c>
      <c r="AI868" s="19">
        <f t="shared" si="312"/>
        <v>103.84500000000001</v>
      </c>
      <c r="AJ868" s="410">
        <f t="shared" si="313"/>
        <v>830.52</v>
      </c>
      <c r="AK868" s="19" t="e">
        <f t="shared" si="314"/>
        <v>#N/A</v>
      </c>
      <c r="AL868" s="19">
        <f t="shared" si="315"/>
        <v>630.52</v>
      </c>
      <c r="AM868" s="19" t="e">
        <f t="shared" si="316"/>
        <v>#N/A</v>
      </c>
      <c r="AN868" s="19">
        <f t="shared" si="317"/>
        <v>430.52</v>
      </c>
      <c r="AO868" s="19" t="e">
        <f t="shared" si="318"/>
        <v>#N/A</v>
      </c>
      <c r="AP868" s="19">
        <f t="shared" si="319"/>
        <v>230.51999999999998</v>
      </c>
      <c r="AQ868" s="19" t="e">
        <f t="shared" si="320"/>
        <v>#N/A</v>
      </c>
      <c r="AR868" s="19">
        <f t="shared" si="321"/>
        <v>30.519999999999996</v>
      </c>
      <c r="AS868" s="19" t="e">
        <f t="shared" si="322"/>
        <v>#N/A</v>
      </c>
    </row>
    <row r="869" spans="31:45" ht="11.25" customHeight="1" x14ac:dyDescent="0.2">
      <c r="AE869" s="19">
        <v>778</v>
      </c>
      <c r="AG869" s="19">
        <f t="shared" si="310"/>
        <v>9</v>
      </c>
      <c r="AH869" s="19">
        <f t="shared" si="311"/>
        <v>1</v>
      </c>
      <c r="AI869" s="19">
        <f t="shared" si="312"/>
        <v>103.84500000000001</v>
      </c>
      <c r="AJ869" s="410">
        <f t="shared" si="313"/>
        <v>969.48</v>
      </c>
      <c r="AK869" s="19" t="e">
        <f t="shared" si="314"/>
        <v>#N/A</v>
      </c>
      <c r="AL869" s="19">
        <f t="shared" si="315"/>
        <v>769.48</v>
      </c>
      <c r="AM869" s="19" t="e">
        <f t="shared" si="316"/>
        <v>#N/A</v>
      </c>
      <c r="AN869" s="19">
        <f t="shared" si="317"/>
        <v>569.48</v>
      </c>
      <c r="AO869" s="19" t="e">
        <f t="shared" si="318"/>
        <v>#N/A</v>
      </c>
      <c r="AP869" s="19">
        <f t="shared" si="319"/>
        <v>369.48</v>
      </c>
      <c r="AQ869" s="19" t="e">
        <f t="shared" si="320"/>
        <v>#N/A</v>
      </c>
      <c r="AR869" s="19">
        <f t="shared" si="321"/>
        <v>169.48000000000002</v>
      </c>
      <c r="AS869" s="19" t="e">
        <f t="shared" si="322"/>
        <v>#N/A</v>
      </c>
    </row>
    <row r="870" spans="31:45" ht="11.25" customHeight="1" x14ac:dyDescent="0.2">
      <c r="AE870" s="19">
        <v>779</v>
      </c>
      <c r="AG870" s="19">
        <f t="shared" si="310"/>
        <v>11</v>
      </c>
      <c r="AH870" s="19">
        <f t="shared" si="311"/>
        <v>-1</v>
      </c>
      <c r="AI870" s="19">
        <f t="shared" si="312"/>
        <v>103.84500000000001</v>
      </c>
      <c r="AJ870" s="410">
        <f t="shared" si="313"/>
        <v>815.08</v>
      </c>
      <c r="AK870" s="19" t="e">
        <f t="shared" si="314"/>
        <v>#N/A</v>
      </c>
      <c r="AL870" s="19">
        <f t="shared" si="315"/>
        <v>615.08000000000004</v>
      </c>
      <c r="AM870" s="19" t="e">
        <f t="shared" si="316"/>
        <v>#N/A</v>
      </c>
      <c r="AN870" s="19">
        <f t="shared" si="317"/>
        <v>415.08</v>
      </c>
      <c r="AO870" s="19" t="e">
        <f t="shared" si="318"/>
        <v>#N/A</v>
      </c>
      <c r="AP870" s="19">
        <f t="shared" si="319"/>
        <v>215.07999999999998</v>
      </c>
      <c r="AQ870" s="19" t="e">
        <f t="shared" si="320"/>
        <v>#N/A</v>
      </c>
      <c r="AR870" s="19">
        <f t="shared" si="321"/>
        <v>15.079999999999998</v>
      </c>
      <c r="AS870" s="19" t="e">
        <f t="shared" si="322"/>
        <v>#N/A</v>
      </c>
    </row>
    <row r="871" spans="31:45" ht="11.25" customHeight="1" x14ac:dyDescent="0.2">
      <c r="AE871" s="19">
        <v>780</v>
      </c>
      <c r="AG871" s="19">
        <f t="shared" si="310"/>
        <v>11</v>
      </c>
      <c r="AH871" s="19">
        <f t="shared" si="311"/>
        <v>1</v>
      </c>
      <c r="AI871" s="19">
        <f t="shared" si="312"/>
        <v>103.84500000000001</v>
      </c>
      <c r="AJ871" s="410">
        <f t="shared" si="313"/>
        <v>984.92</v>
      </c>
      <c r="AK871" s="19" t="e">
        <f t="shared" si="314"/>
        <v>#N/A</v>
      </c>
      <c r="AL871" s="19">
        <f t="shared" si="315"/>
        <v>784.92</v>
      </c>
      <c r="AM871" s="19" t="e">
        <f t="shared" si="316"/>
        <v>#N/A</v>
      </c>
      <c r="AN871" s="19">
        <f t="shared" si="317"/>
        <v>584.91999999999996</v>
      </c>
      <c r="AO871" s="19" t="e">
        <f t="shared" si="318"/>
        <v>#N/A</v>
      </c>
      <c r="AP871" s="19">
        <f t="shared" si="319"/>
        <v>384.92</v>
      </c>
      <c r="AQ871" s="19" t="e">
        <f t="shared" si="320"/>
        <v>#N/A</v>
      </c>
      <c r="AR871" s="19">
        <f t="shared" si="321"/>
        <v>184.92000000000002</v>
      </c>
      <c r="AS871" s="19" t="e">
        <f t="shared" si="322"/>
        <v>#N/A</v>
      </c>
    </row>
    <row r="872" spans="31:45" ht="11.25" customHeight="1" x14ac:dyDescent="0.2">
      <c r="AE872" s="19">
        <v>781</v>
      </c>
      <c r="AG872" s="19">
        <f t="shared" si="310"/>
        <v>1</v>
      </c>
      <c r="AH872" s="19">
        <f t="shared" si="311"/>
        <v>-1</v>
      </c>
      <c r="AI872" s="19">
        <f t="shared" si="312"/>
        <v>105.45500000000001</v>
      </c>
      <c r="AJ872" s="410">
        <f t="shared" si="313"/>
        <v>892.28</v>
      </c>
      <c r="AK872" s="19" t="e">
        <f t="shared" si="314"/>
        <v>#N/A</v>
      </c>
      <c r="AL872" s="19">
        <f t="shared" si="315"/>
        <v>692.28</v>
      </c>
      <c r="AM872" s="19" t="e">
        <f t="shared" si="316"/>
        <v>#N/A</v>
      </c>
      <c r="AN872" s="19">
        <f t="shared" si="317"/>
        <v>492.28</v>
      </c>
      <c r="AO872" s="19" t="e">
        <f t="shared" si="318"/>
        <v>#N/A</v>
      </c>
      <c r="AP872" s="19">
        <f t="shared" si="319"/>
        <v>292.27999999999997</v>
      </c>
      <c r="AQ872" s="19" t="e">
        <f t="shared" si="320"/>
        <v>#N/A</v>
      </c>
      <c r="AR872" s="19">
        <f t="shared" si="321"/>
        <v>92.28</v>
      </c>
      <c r="AS872" s="19" t="e">
        <f t="shared" si="322"/>
        <v>#N/A</v>
      </c>
    </row>
    <row r="873" spans="31:45" ht="11.25" customHeight="1" x14ac:dyDescent="0.2">
      <c r="AE873" s="19">
        <v>782</v>
      </c>
      <c r="AG873" s="19">
        <f t="shared" si="310"/>
        <v>1</v>
      </c>
      <c r="AH873" s="19">
        <f t="shared" si="311"/>
        <v>1</v>
      </c>
      <c r="AI873" s="19">
        <f t="shared" si="312"/>
        <v>105.45500000000001</v>
      </c>
      <c r="AJ873" s="410">
        <f t="shared" si="313"/>
        <v>907.72</v>
      </c>
      <c r="AK873" s="19" t="e">
        <f t="shared" si="314"/>
        <v>#N/A</v>
      </c>
      <c r="AL873" s="19">
        <f t="shared" si="315"/>
        <v>707.72</v>
      </c>
      <c r="AM873" s="19" t="e">
        <f t="shared" si="316"/>
        <v>#N/A</v>
      </c>
      <c r="AN873" s="19">
        <f t="shared" si="317"/>
        <v>507.72</v>
      </c>
      <c r="AO873" s="19" t="e">
        <f t="shared" si="318"/>
        <v>#N/A</v>
      </c>
      <c r="AP873" s="19">
        <f t="shared" si="319"/>
        <v>307.72000000000003</v>
      </c>
      <c r="AQ873" s="19" t="e">
        <f t="shared" si="320"/>
        <v>#N/A</v>
      </c>
      <c r="AR873" s="19">
        <f t="shared" si="321"/>
        <v>107.72</v>
      </c>
      <c r="AS873" s="19" t="e">
        <f t="shared" si="322"/>
        <v>#N/A</v>
      </c>
    </row>
    <row r="874" spans="31:45" ht="11.25" customHeight="1" x14ac:dyDescent="0.2">
      <c r="AE874" s="19">
        <v>783</v>
      </c>
      <c r="AG874" s="19">
        <f t="shared" si="310"/>
        <v>3</v>
      </c>
      <c r="AH874" s="19">
        <f t="shared" si="311"/>
        <v>-1</v>
      </c>
      <c r="AI874" s="19">
        <f t="shared" si="312"/>
        <v>105.45500000000001</v>
      </c>
      <c r="AJ874" s="410">
        <f t="shared" si="313"/>
        <v>876.84</v>
      </c>
      <c r="AK874" s="19" t="e">
        <f t="shared" si="314"/>
        <v>#N/A</v>
      </c>
      <c r="AL874" s="19">
        <f t="shared" si="315"/>
        <v>676.84</v>
      </c>
      <c r="AM874" s="19" t="e">
        <f t="shared" si="316"/>
        <v>#N/A</v>
      </c>
      <c r="AN874" s="19">
        <f t="shared" si="317"/>
        <v>476.84</v>
      </c>
      <c r="AO874" s="19" t="e">
        <f t="shared" si="318"/>
        <v>#N/A</v>
      </c>
      <c r="AP874" s="19">
        <f t="shared" si="319"/>
        <v>276.83999999999997</v>
      </c>
      <c r="AQ874" s="19" t="e">
        <f t="shared" si="320"/>
        <v>#N/A</v>
      </c>
      <c r="AR874" s="19">
        <f t="shared" si="321"/>
        <v>76.84</v>
      </c>
      <c r="AS874" s="19" t="e">
        <f t="shared" si="322"/>
        <v>#N/A</v>
      </c>
    </row>
    <row r="875" spans="31:45" ht="11.25" customHeight="1" x14ac:dyDescent="0.2">
      <c r="AE875" s="19">
        <v>784</v>
      </c>
      <c r="AG875" s="19">
        <f t="shared" si="310"/>
        <v>3</v>
      </c>
      <c r="AH875" s="19">
        <f t="shared" si="311"/>
        <v>1</v>
      </c>
      <c r="AI875" s="19">
        <f t="shared" si="312"/>
        <v>105.45500000000001</v>
      </c>
      <c r="AJ875" s="410">
        <f t="shared" si="313"/>
        <v>923.16</v>
      </c>
      <c r="AK875" s="19" t="e">
        <f t="shared" si="314"/>
        <v>#N/A</v>
      </c>
      <c r="AL875" s="19">
        <f t="shared" si="315"/>
        <v>723.16</v>
      </c>
      <c r="AM875" s="19" t="e">
        <f t="shared" si="316"/>
        <v>#N/A</v>
      </c>
      <c r="AN875" s="19">
        <f t="shared" si="317"/>
        <v>523.16</v>
      </c>
      <c r="AO875" s="19" t="e">
        <f t="shared" si="318"/>
        <v>#N/A</v>
      </c>
      <c r="AP875" s="19">
        <f t="shared" si="319"/>
        <v>323.16000000000003</v>
      </c>
      <c r="AQ875" s="19" t="e">
        <f t="shared" si="320"/>
        <v>#N/A</v>
      </c>
      <c r="AR875" s="19">
        <f t="shared" si="321"/>
        <v>123.16</v>
      </c>
      <c r="AS875" s="19" t="e">
        <f t="shared" si="322"/>
        <v>#N/A</v>
      </c>
    </row>
    <row r="876" spans="31:45" ht="11.25" customHeight="1" x14ac:dyDescent="0.2">
      <c r="AE876" s="19">
        <v>785</v>
      </c>
      <c r="AG876" s="19">
        <f t="shared" si="310"/>
        <v>5</v>
      </c>
      <c r="AH876" s="19">
        <f t="shared" si="311"/>
        <v>-1</v>
      </c>
      <c r="AI876" s="19">
        <f t="shared" si="312"/>
        <v>105.45500000000001</v>
      </c>
      <c r="AJ876" s="410">
        <f t="shared" si="313"/>
        <v>861.4</v>
      </c>
      <c r="AK876" s="19" t="e">
        <f t="shared" si="314"/>
        <v>#N/A</v>
      </c>
      <c r="AL876" s="19">
        <f t="shared" si="315"/>
        <v>661.4</v>
      </c>
      <c r="AM876" s="19" t="e">
        <f t="shared" si="316"/>
        <v>#N/A</v>
      </c>
      <c r="AN876" s="19">
        <f t="shared" si="317"/>
        <v>461.4</v>
      </c>
      <c r="AO876" s="19" t="e">
        <f t="shared" si="318"/>
        <v>#N/A</v>
      </c>
      <c r="AP876" s="19">
        <f t="shared" si="319"/>
        <v>261.39999999999998</v>
      </c>
      <c r="AQ876" s="19" t="e">
        <f t="shared" si="320"/>
        <v>#N/A</v>
      </c>
      <c r="AR876" s="19">
        <f t="shared" si="321"/>
        <v>61.4</v>
      </c>
      <c r="AS876" s="19" t="e">
        <f t="shared" si="322"/>
        <v>#N/A</v>
      </c>
    </row>
    <row r="877" spans="31:45" ht="11.25" customHeight="1" x14ac:dyDescent="0.2">
      <c r="AE877" s="19">
        <v>786</v>
      </c>
      <c r="AG877" s="19">
        <f t="shared" si="310"/>
        <v>5</v>
      </c>
      <c r="AH877" s="19">
        <f t="shared" si="311"/>
        <v>1</v>
      </c>
      <c r="AI877" s="19">
        <f t="shared" si="312"/>
        <v>105.45500000000001</v>
      </c>
      <c r="AJ877" s="410">
        <f t="shared" si="313"/>
        <v>938.6</v>
      </c>
      <c r="AK877" s="19" t="e">
        <f t="shared" si="314"/>
        <v>#N/A</v>
      </c>
      <c r="AL877" s="19">
        <f t="shared" si="315"/>
        <v>738.6</v>
      </c>
      <c r="AM877" s="19" t="e">
        <f t="shared" si="316"/>
        <v>#N/A</v>
      </c>
      <c r="AN877" s="19">
        <f t="shared" si="317"/>
        <v>538.6</v>
      </c>
      <c r="AO877" s="19" t="e">
        <f t="shared" si="318"/>
        <v>#N/A</v>
      </c>
      <c r="AP877" s="19">
        <f t="shared" si="319"/>
        <v>338.6</v>
      </c>
      <c r="AQ877" s="19" t="e">
        <f t="shared" si="320"/>
        <v>#N/A</v>
      </c>
      <c r="AR877" s="19">
        <f t="shared" si="321"/>
        <v>138.6</v>
      </c>
      <c r="AS877" s="19" t="e">
        <f t="shared" si="322"/>
        <v>#N/A</v>
      </c>
    </row>
    <row r="878" spans="31:45" ht="11.25" customHeight="1" x14ac:dyDescent="0.2">
      <c r="AE878" s="19">
        <v>787</v>
      </c>
      <c r="AG878" s="19">
        <f t="shared" si="310"/>
        <v>7</v>
      </c>
      <c r="AH878" s="19">
        <f t="shared" si="311"/>
        <v>-1</v>
      </c>
      <c r="AI878" s="19">
        <f t="shared" si="312"/>
        <v>105.45500000000001</v>
      </c>
      <c r="AJ878" s="410">
        <f t="shared" si="313"/>
        <v>845.96</v>
      </c>
      <c r="AK878" s="19" t="e">
        <f t="shared" si="314"/>
        <v>#N/A</v>
      </c>
      <c r="AL878" s="19">
        <f t="shared" si="315"/>
        <v>645.96</v>
      </c>
      <c r="AM878" s="19" t="e">
        <f t="shared" si="316"/>
        <v>#N/A</v>
      </c>
      <c r="AN878" s="19">
        <f t="shared" si="317"/>
        <v>445.96</v>
      </c>
      <c r="AO878" s="19" t="e">
        <f t="shared" si="318"/>
        <v>#N/A</v>
      </c>
      <c r="AP878" s="19">
        <f t="shared" si="319"/>
        <v>245.96</v>
      </c>
      <c r="AQ878" s="19" t="e">
        <f t="shared" si="320"/>
        <v>#N/A</v>
      </c>
      <c r="AR878" s="19">
        <f t="shared" si="321"/>
        <v>45.96</v>
      </c>
      <c r="AS878" s="19" t="e">
        <f t="shared" si="322"/>
        <v>#N/A</v>
      </c>
    </row>
    <row r="879" spans="31:45" ht="11.25" customHeight="1" x14ac:dyDescent="0.2">
      <c r="AE879" s="19">
        <v>788</v>
      </c>
      <c r="AG879" s="19">
        <f t="shared" si="310"/>
        <v>7</v>
      </c>
      <c r="AH879" s="19">
        <f t="shared" si="311"/>
        <v>1</v>
      </c>
      <c r="AI879" s="19">
        <f t="shared" si="312"/>
        <v>105.45500000000001</v>
      </c>
      <c r="AJ879" s="410">
        <f t="shared" si="313"/>
        <v>954.04</v>
      </c>
      <c r="AK879" s="19" t="e">
        <f t="shared" si="314"/>
        <v>#N/A</v>
      </c>
      <c r="AL879" s="19">
        <f t="shared" si="315"/>
        <v>754.04</v>
      </c>
      <c r="AM879" s="19" t="e">
        <f t="shared" si="316"/>
        <v>#N/A</v>
      </c>
      <c r="AN879" s="19">
        <f t="shared" si="317"/>
        <v>554.04</v>
      </c>
      <c r="AO879" s="19" t="e">
        <f t="shared" si="318"/>
        <v>#N/A</v>
      </c>
      <c r="AP879" s="19">
        <f t="shared" si="319"/>
        <v>354.04</v>
      </c>
      <c r="AQ879" s="19" t="e">
        <f t="shared" si="320"/>
        <v>#N/A</v>
      </c>
      <c r="AR879" s="19">
        <f t="shared" si="321"/>
        <v>154.04</v>
      </c>
      <c r="AS879" s="19" t="e">
        <f t="shared" si="322"/>
        <v>#N/A</v>
      </c>
    </row>
    <row r="880" spans="31:45" ht="11.25" customHeight="1" x14ac:dyDescent="0.2">
      <c r="AE880" s="19">
        <v>789</v>
      </c>
      <c r="AG880" s="19">
        <f t="shared" si="310"/>
        <v>9</v>
      </c>
      <c r="AH880" s="19">
        <f t="shared" si="311"/>
        <v>-1</v>
      </c>
      <c r="AI880" s="19">
        <f t="shared" si="312"/>
        <v>105.45500000000001</v>
      </c>
      <c r="AJ880" s="410">
        <f t="shared" si="313"/>
        <v>830.52</v>
      </c>
      <c r="AK880" s="19" t="e">
        <f t="shared" si="314"/>
        <v>#N/A</v>
      </c>
      <c r="AL880" s="19">
        <f t="shared" si="315"/>
        <v>630.52</v>
      </c>
      <c r="AM880" s="19" t="e">
        <f t="shared" si="316"/>
        <v>#N/A</v>
      </c>
      <c r="AN880" s="19">
        <f t="shared" si="317"/>
        <v>430.52</v>
      </c>
      <c r="AO880" s="19" t="e">
        <f t="shared" si="318"/>
        <v>#N/A</v>
      </c>
      <c r="AP880" s="19">
        <f t="shared" si="319"/>
        <v>230.51999999999998</v>
      </c>
      <c r="AQ880" s="19" t="e">
        <f t="shared" si="320"/>
        <v>#N/A</v>
      </c>
      <c r="AR880" s="19">
        <f t="shared" si="321"/>
        <v>30.519999999999996</v>
      </c>
      <c r="AS880" s="19" t="e">
        <f t="shared" si="322"/>
        <v>#N/A</v>
      </c>
    </row>
    <row r="881" spans="31:45" ht="11.25" customHeight="1" x14ac:dyDescent="0.2">
      <c r="AE881" s="19">
        <v>790</v>
      </c>
      <c r="AG881" s="19">
        <f t="shared" si="310"/>
        <v>9</v>
      </c>
      <c r="AH881" s="19">
        <f t="shared" si="311"/>
        <v>1</v>
      </c>
      <c r="AI881" s="19">
        <f t="shared" si="312"/>
        <v>105.45500000000001</v>
      </c>
      <c r="AJ881" s="410">
        <f t="shared" si="313"/>
        <v>969.48</v>
      </c>
      <c r="AK881" s="19" t="e">
        <f t="shared" si="314"/>
        <v>#N/A</v>
      </c>
      <c r="AL881" s="19">
        <f t="shared" si="315"/>
        <v>769.48</v>
      </c>
      <c r="AM881" s="19" t="e">
        <f t="shared" si="316"/>
        <v>#N/A</v>
      </c>
      <c r="AN881" s="19">
        <f t="shared" si="317"/>
        <v>569.48</v>
      </c>
      <c r="AO881" s="19" t="e">
        <f t="shared" si="318"/>
        <v>#N/A</v>
      </c>
      <c r="AP881" s="19">
        <f t="shared" si="319"/>
        <v>369.48</v>
      </c>
      <c r="AQ881" s="19" t="e">
        <f t="shared" si="320"/>
        <v>#N/A</v>
      </c>
      <c r="AR881" s="19">
        <f t="shared" si="321"/>
        <v>169.48000000000002</v>
      </c>
      <c r="AS881" s="19" t="e">
        <f t="shared" si="322"/>
        <v>#N/A</v>
      </c>
    </row>
    <row r="882" spans="31:45" ht="11.25" customHeight="1" x14ac:dyDescent="0.2">
      <c r="AE882" s="19">
        <v>791</v>
      </c>
      <c r="AG882" s="19">
        <f t="shared" si="310"/>
        <v>11</v>
      </c>
      <c r="AH882" s="19">
        <f t="shared" si="311"/>
        <v>-1</v>
      </c>
      <c r="AI882" s="19">
        <f t="shared" si="312"/>
        <v>105.45500000000001</v>
      </c>
      <c r="AJ882" s="410">
        <f t="shared" si="313"/>
        <v>815.08</v>
      </c>
      <c r="AK882" s="19" t="e">
        <f t="shared" si="314"/>
        <v>#N/A</v>
      </c>
      <c r="AL882" s="19">
        <f t="shared" si="315"/>
        <v>615.08000000000004</v>
      </c>
      <c r="AM882" s="19" t="e">
        <f t="shared" si="316"/>
        <v>#N/A</v>
      </c>
      <c r="AN882" s="19">
        <f t="shared" si="317"/>
        <v>415.08</v>
      </c>
      <c r="AO882" s="19" t="e">
        <f t="shared" si="318"/>
        <v>#N/A</v>
      </c>
      <c r="AP882" s="19">
        <f t="shared" si="319"/>
        <v>215.07999999999998</v>
      </c>
      <c r="AQ882" s="19" t="e">
        <f t="shared" si="320"/>
        <v>#N/A</v>
      </c>
      <c r="AR882" s="19">
        <f t="shared" si="321"/>
        <v>15.079999999999998</v>
      </c>
      <c r="AS882" s="19" t="e">
        <f t="shared" si="322"/>
        <v>#N/A</v>
      </c>
    </row>
    <row r="883" spans="31:45" ht="11.25" customHeight="1" x14ac:dyDescent="0.2">
      <c r="AE883" s="19">
        <v>792</v>
      </c>
      <c r="AG883" s="19">
        <f t="shared" si="310"/>
        <v>11</v>
      </c>
      <c r="AH883" s="19">
        <f t="shared" si="311"/>
        <v>1</v>
      </c>
      <c r="AI883" s="19">
        <f t="shared" si="312"/>
        <v>105.45500000000001</v>
      </c>
      <c r="AJ883" s="410">
        <f t="shared" si="313"/>
        <v>984.92</v>
      </c>
      <c r="AK883" s="19" t="e">
        <f t="shared" si="314"/>
        <v>#N/A</v>
      </c>
      <c r="AL883" s="19">
        <f t="shared" si="315"/>
        <v>784.92</v>
      </c>
      <c r="AM883" s="19" t="e">
        <f t="shared" si="316"/>
        <v>#N/A</v>
      </c>
      <c r="AN883" s="19">
        <f t="shared" si="317"/>
        <v>584.91999999999996</v>
      </c>
      <c r="AO883" s="19" t="e">
        <f t="shared" si="318"/>
        <v>#N/A</v>
      </c>
      <c r="AP883" s="19">
        <f t="shared" si="319"/>
        <v>384.92</v>
      </c>
      <c r="AQ883" s="19" t="e">
        <f t="shared" si="320"/>
        <v>#N/A</v>
      </c>
      <c r="AR883" s="19">
        <f t="shared" si="321"/>
        <v>184.92000000000002</v>
      </c>
      <c r="AS883" s="19" t="e">
        <f t="shared" si="322"/>
        <v>#N/A</v>
      </c>
    </row>
    <row r="884" spans="31:45" ht="11.25" customHeight="1" x14ac:dyDescent="0.2">
      <c r="AE884" s="19">
        <v>793</v>
      </c>
      <c r="AG884" s="19">
        <f t="shared" si="310"/>
        <v>1</v>
      </c>
      <c r="AH884" s="19">
        <f t="shared" si="311"/>
        <v>-1</v>
      </c>
      <c r="AI884" s="19">
        <f t="shared" si="312"/>
        <v>107.06500000000001</v>
      </c>
      <c r="AJ884" s="410">
        <f t="shared" si="313"/>
        <v>892.28</v>
      </c>
      <c r="AK884" s="19" t="e">
        <f t="shared" si="314"/>
        <v>#N/A</v>
      </c>
      <c r="AL884" s="19">
        <f t="shared" si="315"/>
        <v>692.28</v>
      </c>
      <c r="AM884" s="19" t="e">
        <f t="shared" si="316"/>
        <v>#N/A</v>
      </c>
      <c r="AN884" s="19">
        <f t="shared" si="317"/>
        <v>492.28</v>
      </c>
      <c r="AO884" s="19" t="e">
        <f t="shared" si="318"/>
        <v>#N/A</v>
      </c>
      <c r="AP884" s="19">
        <f t="shared" si="319"/>
        <v>292.27999999999997</v>
      </c>
      <c r="AQ884" s="19" t="e">
        <f t="shared" si="320"/>
        <v>#N/A</v>
      </c>
      <c r="AR884" s="19">
        <f t="shared" si="321"/>
        <v>92.28</v>
      </c>
      <c r="AS884" s="19" t="e">
        <f t="shared" si="322"/>
        <v>#N/A</v>
      </c>
    </row>
    <row r="885" spans="31:45" ht="11.25" customHeight="1" x14ac:dyDescent="0.2">
      <c r="AE885" s="19">
        <v>794</v>
      </c>
      <c r="AG885" s="19">
        <f t="shared" si="310"/>
        <v>1</v>
      </c>
      <c r="AH885" s="19">
        <f t="shared" si="311"/>
        <v>1</v>
      </c>
      <c r="AI885" s="19">
        <f t="shared" si="312"/>
        <v>107.06500000000001</v>
      </c>
      <c r="AJ885" s="410">
        <f t="shared" si="313"/>
        <v>907.72</v>
      </c>
      <c r="AK885" s="19" t="e">
        <f t="shared" si="314"/>
        <v>#N/A</v>
      </c>
      <c r="AL885" s="19">
        <f t="shared" si="315"/>
        <v>707.72</v>
      </c>
      <c r="AM885" s="19" t="e">
        <f t="shared" si="316"/>
        <v>#N/A</v>
      </c>
      <c r="AN885" s="19">
        <f t="shared" si="317"/>
        <v>507.72</v>
      </c>
      <c r="AO885" s="19" t="e">
        <f t="shared" si="318"/>
        <v>#N/A</v>
      </c>
      <c r="AP885" s="19">
        <f t="shared" si="319"/>
        <v>307.72000000000003</v>
      </c>
      <c r="AQ885" s="19" t="e">
        <f t="shared" si="320"/>
        <v>#N/A</v>
      </c>
      <c r="AR885" s="19">
        <f t="shared" si="321"/>
        <v>107.72</v>
      </c>
      <c r="AS885" s="19" t="e">
        <f t="shared" si="322"/>
        <v>#N/A</v>
      </c>
    </row>
    <row r="886" spans="31:45" ht="11.25" customHeight="1" x14ac:dyDescent="0.2">
      <c r="AE886" s="19">
        <v>795</v>
      </c>
      <c r="AG886" s="19">
        <f t="shared" si="310"/>
        <v>3</v>
      </c>
      <c r="AH886" s="19">
        <f t="shared" si="311"/>
        <v>-1</v>
      </c>
      <c r="AI886" s="19">
        <f t="shared" si="312"/>
        <v>107.06500000000001</v>
      </c>
      <c r="AJ886" s="410">
        <f t="shared" si="313"/>
        <v>876.84</v>
      </c>
      <c r="AK886" s="19" t="e">
        <f t="shared" si="314"/>
        <v>#N/A</v>
      </c>
      <c r="AL886" s="19">
        <f t="shared" si="315"/>
        <v>676.84</v>
      </c>
      <c r="AM886" s="19" t="e">
        <f t="shared" si="316"/>
        <v>#N/A</v>
      </c>
      <c r="AN886" s="19">
        <f t="shared" si="317"/>
        <v>476.84</v>
      </c>
      <c r="AO886" s="19" t="e">
        <f t="shared" si="318"/>
        <v>#N/A</v>
      </c>
      <c r="AP886" s="19">
        <f t="shared" si="319"/>
        <v>276.83999999999997</v>
      </c>
      <c r="AQ886" s="19" t="e">
        <f t="shared" si="320"/>
        <v>#N/A</v>
      </c>
      <c r="AR886" s="19">
        <f t="shared" si="321"/>
        <v>76.84</v>
      </c>
      <c r="AS886" s="19" t="e">
        <f t="shared" si="322"/>
        <v>#N/A</v>
      </c>
    </row>
    <row r="887" spans="31:45" ht="11.25" customHeight="1" x14ac:dyDescent="0.2">
      <c r="AE887" s="19">
        <v>796</v>
      </c>
      <c r="AG887" s="19">
        <f t="shared" si="310"/>
        <v>3</v>
      </c>
      <c r="AH887" s="19">
        <f t="shared" si="311"/>
        <v>1</v>
      </c>
      <c r="AI887" s="19">
        <f t="shared" si="312"/>
        <v>107.06500000000001</v>
      </c>
      <c r="AJ887" s="410">
        <f t="shared" si="313"/>
        <v>923.16</v>
      </c>
      <c r="AK887" s="19" t="e">
        <f t="shared" si="314"/>
        <v>#N/A</v>
      </c>
      <c r="AL887" s="19">
        <f t="shared" si="315"/>
        <v>723.16</v>
      </c>
      <c r="AM887" s="19" t="e">
        <f t="shared" si="316"/>
        <v>#N/A</v>
      </c>
      <c r="AN887" s="19">
        <f t="shared" si="317"/>
        <v>523.16</v>
      </c>
      <c r="AO887" s="19" t="e">
        <f t="shared" si="318"/>
        <v>#N/A</v>
      </c>
      <c r="AP887" s="19">
        <f t="shared" si="319"/>
        <v>323.16000000000003</v>
      </c>
      <c r="AQ887" s="19" t="e">
        <f t="shared" si="320"/>
        <v>#N/A</v>
      </c>
      <c r="AR887" s="19">
        <f t="shared" si="321"/>
        <v>123.16</v>
      </c>
      <c r="AS887" s="19" t="e">
        <f t="shared" si="322"/>
        <v>#N/A</v>
      </c>
    </row>
    <row r="888" spans="31:45" ht="11.25" customHeight="1" x14ac:dyDescent="0.2">
      <c r="AE888" s="19">
        <v>797</v>
      </c>
      <c r="AG888" s="19">
        <f t="shared" si="310"/>
        <v>5</v>
      </c>
      <c r="AH888" s="19">
        <f t="shared" si="311"/>
        <v>-1</v>
      </c>
      <c r="AI888" s="19">
        <f t="shared" si="312"/>
        <v>107.06500000000001</v>
      </c>
      <c r="AJ888" s="410">
        <f t="shared" si="313"/>
        <v>861.4</v>
      </c>
      <c r="AK888" s="19" t="e">
        <f t="shared" si="314"/>
        <v>#N/A</v>
      </c>
      <c r="AL888" s="19">
        <f t="shared" si="315"/>
        <v>661.4</v>
      </c>
      <c r="AM888" s="19" t="e">
        <f t="shared" si="316"/>
        <v>#N/A</v>
      </c>
      <c r="AN888" s="19">
        <f t="shared" si="317"/>
        <v>461.4</v>
      </c>
      <c r="AO888" s="19" t="e">
        <f t="shared" si="318"/>
        <v>#N/A</v>
      </c>
      <c r="AP888" s="19">
        <f t="shared" si="319"/>
        <v>261.39999999999998</v>
      </c>
      <c r="AQ888" s="19" t="e">
        <f t="shared" si="320"/>
        <v>#N/A</v>
      </c>
      <c r="AR888" s="19">
        <f t="shared" si="321"/>
        <v>61.4</v>
      </c>
      <c r="AS888" s="19" t="e">
        <f t="shared" si="322"/>
        <v>#N/A</v>
      </c>
    </row>
    <row r="889" spans="31:45" ht="11.25" customHeight="1" x14ac:dyDescent="0.2">
      <c r="AE889" s="19">
        <v>798</v>
      </c>
      <c r="AG889" s="19">
        <f t="shared" si="310"/>
        <v>5</v>
      </c>
      <c r="AH889" s="19">
        <f t="shared" si="311"/>
        <v>1</v>
      </c>
      <c r="AI889" s="19">
        <f t="shared" si="312"/>
        <v>107.06500000000001</v>
      </c>
      <c r="AJ889" s="410">
        <f t="shared" si="313"/>
        <v>938.6</v>
      </c>
      <c r="AK889" s="19" t="e">
        <f t="shared" si="314"/>
        <v>#N/A</v>
      </c>
      <c r="AL889" s="19">
        <f t="shared" si="315"/>
        <v>738.6</v>
      </c>
      <c r="AM889" s="19" t="e">
        <f t="shared" si="316"/>
        <v>#N/A</v>
      </c>
      <c r="AN889" s="19">
        <f t="shared" si="317"/>
        <v>538.6</v>
      </c>
      <c r="AO889" s="19" t="e">
        <f t="shared" si="318"/>
        <v>#N/A</v>
      </c>
      <c r="AP889" s="19">
        <f t="shared" si="319"/>
        <v>338.6</v>
      </c>
      <c r="AQ889" s="19" t="e">
        <f t="shared" si="320"/>
        <v>#N/A</v>
      </c>
      <c r="AR889" s="19">
        <f t="shared" si="321"/>
        <v>138.6</v>
      </c>
      <c r="AS889" s="19" t="e">
        <f t="shared" si="322"/>
        <v>#N/A</v>
      </c>
    </row>
    <row r="890" spans="31:45" ht="11.25" customHeight="1" x14ac:dyDescent="0.2">
      <c r="AE890" s="19">
        <v>799</v>
      </c>
      <c r="AG890" s="19">
        <f t="shared" si="310"/>
        <v>7</v>
      </c>
      <c r="AH890" s="19">
        <f t="shared" si="311"/>
        <v>-1</v>
      </c>
      <c r="AI890" s="19">
        <f t="shared" si="312"/>
        <v>107.06500000000001</v>
      </c>
      <c r="AJ890" s="410">
        <f t="shared" si="313"/>
        <v>845.96</v>
      </c>
      <c r="AK890" s="19" t="e">
        <f t="shared" si="314"/>
        <v>#N/A</v>
      </c>
      <c r="AL890" s="19">
        <f t="shared" si="315"/>
        <v>645.96</v>
      </c>
      <c r="AM890" s="19" t="e">
        <f t="shared" si="316"/>
        <v>#N/A</v>
      </c>
      <c r="AN890" s="19">
        <f t="shared" si="317"/>
        <v>445.96</v>
      </c>
      <c r="AO890" s="19" t="e">
        <f t="shared" si="318"/>
        <v>#N/A</v>
      </c>
      <c r="AP890" s="19">
        <f t="shared" si="319"/>
        <v>245.96</v>
      </c>
      <c r="AQ890" s="19" t="e">
        <f t="shared" si="320"/>
        <v>#N/A</v>
      </c>
      <c r="AR890" s="19">
        <f t="shared" si="321"/>
        <v>45.96</v>
      </c>
      <c r="AS890" s="19" t="e">
        <f t="shared" si="322"/>
        <v>#N/A</v>
      </c>
    </row>
    <row r="891" spans="31:45" ht="11.25" customHeight="1" x14ac:dyDescent="0.2">
      <c r="AE891" s="19">
        <v>800</v>
      </c>
      <c r="AG891" s="19">
        <f t="shared" si="310"/>
        <v>7</v>
      </c>
      <c r="AH891" s="19">
        <f t="shared" si="311"/>
        <v>1</v>
      </c>
      <c r="AI891" s="19">
        <f t="shared" si="312"/>
        <v>107.06500000000001</v>
      </c>
      <c r="AJ891" s="410">
        <f t="shared" si="313"/>
        <v>954.04</v>
      </c>
      <c r="AK891" s="19" t="e">
        <f t="shared" si="314"/>
        <v>#N/A</v>
      </c>
      <c r="AL891" s="19">
        <f t="shared" si="315"/>
        <v>754.04</v>
      </c>
      <c r="AM891" s="19" t="e">
        <f t="shared" si="316"/>
        <v>#N/A</v>
      </c>
      <c r="AN891" s="19">
        <f t="shared" si="317"/>
        <v>554.04</v>
      </c>
      <c r="AO891" s="19" t="e">
        <f t="shared" si="318"/>
        <v>#N/A</v>
      </c>
      <c r="AP891" s="19">
        <f t="shared" si="319"/>
        <v>354.04</v>
      </c>
      <c r="AQ891" s="19" t="e">
        <f t="shared" si="320"/>
        <v>#N/A</v>
      </c>
      <c r="AR891" s="19">
        <f t="shared" si="321"/>
        <v>154.04</v>
      </c>
      <c r="AS891" s="19" t="e">
        <f t="shared" si="322"/>
        <v>#N/A</v>
      </c>
    </row>
    <row r="892" spans="31:45" ht="11.25" customHeight="1" x14ac:dyDescent="0.2">
      <c r="AE892" s="19">
        <v>801</v>
      </c>
      <c r="AG892" s="19">
        <f t="shared" si="310"/>
        <v>9</v>
      </c>
      <c r="AH892" s="19">
        <f t="shared" si="311"/>
        <v>-1</v>
      </c>
      <c r="AI892" s="19">
        <f t="shared" si="312"/>
        <v>107.06500000000001</v>
      </c>
      <c r="AJ892" s="410">
        <f t="shared" si="313"/>
        <v>830.52</v>
      </c>
      <c r="AK892" s="19" t="e">
        <f t="shared" si="314"/>
        <v>#N/A</v>
      </c>
      <c r="AL892" s="19">
        <f t="shared" si="315"/>
        <v>630.52</v>
      </c>
      <c r="AM892" s="19" t="e">
        <f t="shared" si="316"/>
        <v>#N/A</v>
      </c>
      <c r="AN892" s="19">
        <f t="shared" si="317"/>
        <v>430.52</v>
      </c>
      <c r="AO892" s="19" t="e">
        <f t="shared" si="318"/>
        <v>#N/A</v>
      </c>
      <c r="AP892" s="19">
        <f t="shared" si="319"/>
        <v>230.51999999999998</v>
      </c>
      <c r="AQ892" s="19" t="e">
        <f t="shared" si="320"/>
        <v>#N/A</v>
      </c>
      <c r="AR892" s="19">
        <f t="shared" si="321"/>
        <v>30.519999999999996</v>
      </c>
      <c r="AS892" s="19" t="e">
        <f t="shared" si="322"/>
        <v>#N/A</v>
      </c>
    </row>
    <row r="893" spans="31:45" ht="11.25" customHeight="1" x14ac:dyDescent="0.2">
      <c r="AE893" s="19">
        <v>802</v>
      </c>
      <c r="AG893" s="19">
        <f t="shared" si="310"/>
        <v>9</v>
      </c>
      <c r="AH893" s="19">
        <f t="shared" si="311"/>
        <v>1</v>
      </c>
      <c r="AI893" s="19">
        <f t="shared" si="312"/>
        <v>107.06500000000001</v>
      </c>
      <c r="AJ893" s="410">
        <f t="shared" si="313"/>
        <v>969.48</v>
      </c>
      <c r="AK893" s="19" t="e">
        <f t="shared" si="314"/>
        <v>#N/A</v>
      </c>
      <c r="AL893" s="19">
        <f t="shared" si="315"/>
        <v>769.48</v>
      </c>
      <c r="AM893" s="19" t="e">
        <f t="shared" si="316"/>
        <v>#N/A</v>
      </c>
      <c r="AN893" s="19">
        <f t="shared" si="317"/>
        <v>569.48</v>
      </c>
      <c r="AO893" s="19" t="e">
        <f t="shared" si="318"/>
        <v>#N/A</v>
      </c>
      <c r="AP893" s="19">
        <f t="shared" si="319"/>
        <v>369.48</v>
      </c>
      <c r="AQ893" s="19" t="e">
        <f t="shared" si="320"/>
        <v>#N/A</v>
      </c>
      <c r="AR893" s="19">
        <f t="shared" si="321"/>
        <v>169.48000000000002</v>
      </c>
      <c r="AS893" s="19" t="e">
        <f t="shared" si="322"/>
        <v>#N/A</v>
      </c>
    </row>
    <row r="894" spans="31:45" ht="11.25" customHeight="1" x14ac:dyDescent="0.2">
      <c r="AE894" s="19">
        <v>803</v>
      </c>
      <c r="AG894" s="19">
        <f t="shared" si="310"/>
        <v>11</v>
      </c>
      <c r="AH894" s="19">
        <f t="shared" si="311"/>
        <v>-1</v>
      </c>
      <c r="AI894" s="19">
        <f t="shared" si="312"/>
        <v>107.06500000000001</v>
      </c>
      <c r="AJ894" s="410">
        <f t="shared" si="313"/>
        <v>815.08</v>
      </c>
      <c r="AK894" s="19" t="e">
        <f t="shared" si="314"/>
        <v>#N/A</v>
      </c>
      <c r="AL894" s="19">
        <f t="shared" si="315"/>
        <v>615.08000000000004</v>
      </c>
      <c r="AM894" s="19" t="e">
        <f t="shared" si="316"/>
        <v>#N/A</v>
      </c>
      <c r="AN894" s="19">
        <f t="shared" si="317"/>
        <v>415.08</v>
      </c>
      <c r="AO894" s="19" t="e">
        <f t="shared" si="318"/>
        <v>#N/A</v>
      </c>
      <c r="AP894" s="19">
        <f t="shared" si="319"/>
        <v>215.07999999999998</v>
      </c>
      <c r="AQ894" s="19" t="e">
        <f t="shared" si="320"/>
        <v>#N/A</v>
      </c>
      <c r="AR894" s="19">
        <f t="shared" si="321"/>
        <v>15.079999999999998</v>
      </c>
      <c r="AS894" s="19" t="e">
        <f t="shared" si="322"/>
        <v>#N/A</v>
      </c>
    </row>
    <row r="895" spans="31:45" ht="11.25" customHeight="1" x14ac:dyDescent="0.2">
      <c r="AE895" s="19">
        <v>804</v>
      </c>
      <c r="AG895" s="19">
        <f t="shared" si="310"/>
        <v>11</v>
      </c>
      <c r="AH895" s="19">
        <f t="shared" si="311"/>
        <v>1</v>
      </c>
      <c r="AI895" s="19">
        <f t="shared" si="312"/>
        <v>107.06500000000001</v>
      </c>
      <c r="AJ895" s="410">
        <f t="shared" si="313"/>
        <v>984.92</v>
      </c>
      <c r="AK895" s="19" t="e">
        <f t="shared" si="314"/>
        <v>#N/A</v>
      </c>
      <c r="AL895" s="19">
        <f t="shared" si="315"/>
        <v>784.92</v>
      </c>
      <c r="AM895" s="19" t="e">
        <f t="shared" si="316"/>
        <v>#N/A</v>
      </c>
      <c r="AN895" s="19">
        <f t="shared" si="317"/>
        <v>584.91999999999996</v>
      </c>
      <c r="AO895" s="19" t="e">
        <f t="shared" si="318"/>
        <v>#N/A</v>
      </c>
      <c r="AP895" s="19">
        <f t="shared" si="319"/>
        <v>384.92</v>
      </c>
      <c r="AQ895" s="19" t="e">
        <f t="shared" si="320"/>
        <v>#N/A</v>
      </c>
      <c r="AR895" s="19">
        <f t="shared" si="321"/>
        <v>184.92000000000002</v>
      </c>
      <c r="AS895" s="19" t="e">
        <f t="shared" si="322"/>
        <v>#N/A</v>
      </c>
    </row>
    <row r="896" spans="31:45" ht="11.25" customHeight="1" x14ac:dyDescent="0.2">
      <c r="AE896" s="19">
        <v>805</v>
      </c>
      <c r="AG896" s="19">
        <f t="shared" si="310"/>
        <v>1</v>
      </c>
      <c r="AH896" s="19">
        <f t="shared" si="311"/>
        <v>-1</v>
      </c>
      <c r="AI896" s="19">
        <f t="shared" si="312"/>
        <v>108.67500000000001</v>
      </c>
      <c r="AJ896" s="410">
        <f t="shared" si="313"/>
        <v>892.28</v>
      </c>
      <c r="AK896" s="19" t="e">
        <f t="shared" si="314"/>
        <v>#N/A</v>
      </c>
      <c r="AL896" s="19">
        <f t="shared" si="315"/>
        <v>692.28</v>
      </c>
      <c r="AM896" s="19" t="e">
        <f t="shared" si="316"/>
        <v>#N/A</v>
      </c>
      <c r="AN896" s="19">
        <f t="shared" si="317"/>
        <v>492.28</v>
      </c>
      <c r="AO896" s="19" t="e">
        <f t="shared" si="318"/>
        <v>#N/A</v>
      </c>
      <c r="AP896" s="19">
        <f t="shared" si="319"/>
        <v>292.27999999999997</v>
      </c>
      <c r="AQ896" s="19" t="e">
        <f t="shared" si="320"/>
        <v>#N/A</v>
      </c>
      <c r="AR896" s="19">
        <f t="shared" si="321"/>
        <v>92.28</v>
      </c>
      <c r="AS896" s="19" t="e">
        <f t="shared" si="322"/>
        <v>#N/A</v>
      </c>
    </row>
    <row r="897" spans="31:45" ht="11.25" customHeight="1" x14ac:dyDescent="0.2">
      <c r="AE897" s="19">
        <v>806</v>
      </c>
      <c r="AG897" s="19">
        <f t="shared" si="310"/>
        <v>1</v>
      </c>
      <c r="AH897" s="19">
        <f t="shared" si="311"/>
        <v>1</v>
      </c>
      <c r="AI897" s="19">
        <f t="shared" si="312"/>
        <v>108.67500000000001</v>
      </c>
      <c r="AJ897" s="410">
        <f t="shared" si="313"/>
        <v>907.72</v>
      </c>
      <c r="AK897" s="19" t="e">
        <f t="shared" si="314"/>
        <v>#N/A</v>
      </c>
      <c r="AL897" s="19">
        <f t="shared" si="315"/>
        <v>707.72</v>
      </c>
      <c r="AM897" s="19" t="e">
        <f t="shared" si="316"/>
        <v>#N/A</v>
      </c>
      <c r="AN897" s="19">
        <f t="shared" si="317"/>
        <v>507.72</v>
      </c>
      <c r="AO897" s="19" t="e">
        <f t="shared" si="318"/>
        <v>#N/A</v>
      </c>
      <c r="AP897" s="19">
        <f t="shared" si="319"/>
        <v>307.72000000000003</v>
      </c>
      <c r="AQ897" s="19" t="e">
        <f t="shared" si="320"/>
        <v>#N/A</v>
      </c>
      <c r="AR897" s="19">
        <f t="shared" si="321"/>
        <v>107.72</v>
      </c>
      <c r="AS897" s="19" t="e">
        <f t="shared" si="322"/>
        <v>#N/A</v>
      </c>
    </row>
    <row r="898" spans="31:45" ht="11.25" customHeight="1" x14ac:dyDescent="0.2">
      <c r="AE898" s="19">
        <v>807</v>
      </c>
      <c r="AG898" s="19">
        <f t="shared" si="310"/>
        <v>3</v>
      </c>
      <c r="AH898" s="19">
        <f t="shared" si="311"/>
        <v>-1</v>
      </c>
      <c r="AI898" s="19">
        <f t="shared" si="312"/>
        <v>108.67500000000001</v>
      </c>
      <c r="AJ898" s="410">
        <f t="shared" si="313"/>
        <v>876.84</v>
      </c>
      <c r="AK898" s="19" t="e">
        <f t="shared" si="314"/>
        <v>#N/A</v>
      </c>
      <c r="AL898" s="19">
        <f t="shared" si="315"/>
        <v>676.84</v>
      </c>
      <c r="AM898" s="19" t="e">
        <f t="shared" si="316"/>
        <v>#N/A</v>
      </c>
      <c r="AN898" s="19">
        <f t="shared" si="317"/>
        <v>476.84</v>
      </c>
      <c r="AO898" s="19" t="e">
        <f t="shared" si="318"/>
        <v>#N/A</v>
      </c>
      <c r="AP898" s="19">
        <f t="shared" si="319"/>
        <v>276.83999999999997</v>
      </c>
      <c r="AQ898" s="19" t="e">
        <f t="shared" si="320"/>
        <v>#N/A</v>
      </c>
      <c r="AR898" s="19">
        <f t="shared" si="321"/>
        <v>76.84</v>
      </c>
      <c r="AS898" s="19" t="e">
        <f t="shared" si="322"/>
        <v>#N/A</v>
      </c>
    </row>
    <row r="899" spans="31:45" ht="11.25" customHeight="1" x14ac:dyDescent="0.2">
      <c r="AE899" s="19">
        <v>808</v>
      </c>
      <c r="AG899" s="19">
        <f t="shared" si="310"/>
        <v>3</v>
      </c>
      <c r="AH899" s="19">
        <f t="shared" si="311"/>
        <v>1</v>
      </c>
      <c r="AI899" s="19">
        <f t="shared" si="312"/>
        <v>108.67500000000001</v>
      </c>
      <c r="AJ899" s="410">
        <f t="shared" si="313"/>
        <v>923.16</v>
      </c>
      <c r="AK899" s="19" t="e">
        <f t="shared" si="314"/>
        <v>#N/A</v>
      </c>
      <c r="AL899" s="19">
        <f t="shared" si="315"/>
        <v>723.16</v>
      </c>
      <c r="AM899" s="19" t="e">
        <f t="shared" si="316"/>
        <v>#N/A</v>
      </c>
      <c r="AN899" s="19">
        <f t="shared" si="317"/>
        <v>523.16</v>
      </c>
      <c r="AO899" s="19" t="e">
        <f t="shared" si="318"/>
        <v>#N/A</v>
      </c>
      <c r="AP899" s="19">
        <f t="shared" si="319"/>
        <v>323.16000000000003</v>
      </c>
      <c r="AQ899" s="19" t="e">
        <f t="shared" si="320"/>
        <v>#N/A</v>
      </c>
      <c r="AR899" s="19">
        <f t="shared" si="321"/>
        <v>123.16</v>
      </c>
      <c r="AS899" s="19" t="e">
        <f t="shared" si="322"/>
        <v>#N/A</v>
      </c>
    </row>
    <row r="900" spans="31:45" ht="11.25" customHeight="1" x14ac:dyDescent="0.2">
      <c r="AE900" s="19">
        <v>809</v>
      </c>
      <c r="AG900" s="19">
        <f t="shared" si="310"/>
        <v>5</v>
      </c>
      <c r="AH900" s="19">
        <f t="shared" si="311"/>
        <v>-1</v>
      </c>
      <c r="AI900" s="19">
        <f t="shared" si="312"/>
        <v>108.67500000000001</v>
      </c>
      <c r="AJ900" s="410">
        <f t="shared" si="313"/>
        <v>861.4</v>
      </c>
      <c r="AK900" s="19" t="e">
        <f t="shared" si="314"/>
        <v>#N/A</v>
      </c>
      <c r="AL900" s="19">
        <f t="shared" si="315"/>
        <v>661.4</v>
      </c>
      <c r="AM900" s="19" t="e">
        <f t="shared" si="316"/>
        <v>#N/A</v>
      </c>
      <c r="AN900" s="19">
        <f t="shared" si="317"/>
        <v>461.4</v>
      </c>
      <c r="AO900" s="19" t="e">
        <f t="shared" si="318"/>
        <v>#N/A</v>
      </c>
      <c r="AP900" s="19">
        <f t="shared" si="319"/>
        <v>261.39999999999998</v>
      </c>
      <c r="AQ900" s="19" t="e">
        <f t="shared" si="320"/>
        <v>#N/A</v>
      </c>
      <c r="AR900" s="19">
        <f t="shared" si="321"/>
        <v>61.4</v>
      </c>
      <c r="AS900" s="19" t="e">
        <f t="shared" si="322"/>
        <v>#N/A</v>
      </c>
    </row>
    <row r="901" spans="31:45" ht="11.25" customHeight="1" x14ac:dyDescent="0.2">
      <c r="AE901" s="19">
        <v>810</v>
      </c>
      <c r="AG901" s="19">
        <f t="shared" si="310"/>
        <v>5</v>
      </c>
      <c r="AH901" s="19">
        <f t="shared" si="311"/>
        <v>1</v>
      </c>
      <c r="AI901" s="19">
        <f t="shared" si="312"/>
        <v>108.67500000000001</v>
      </c>
      <c r="AJ901" s="410">
        <f t="shared" si="313"/>
        <v>938.6</v>
      </c>
      <c r="AK901" s="19" t="e">
        <f t="shared" si="314"/>
        <v>#N/A</v>
      </c>
      <c r="AL901" s="19">
        <f t="shared" si="315"/>
        <v>738.6</v>
      </c>
      <c r="AM901" s="19" t="e">
        <f t="shared" si="316"/>
        <v>#N/A</v>
      </c>
      <c r="AN901" s="19">
        <f t="shared" si="317"/>
        <v>538.6</v>
      </c>
      <c r="AO901" s="19" t="e">
        <f t="shared" si="318"/>
        <v>#N/A</v>
      </c>
      <c r="AP901" s="19">
        <f t="shared" si="319"/>
        <v>338.6</v>
      </c>
      <c r="AQ901" s="19" t="e">
        <f t="shared" si="320"/>
        <v>#N/A</v>
      </c>
      <c r="AR901" s="19">
        <f t="shared" si="321"/>
        <v>138.6</v>
      </c>
      <c r="AS901" s="19" t="e">
        <f t="shared" si="322"/>
        <v>#N/A</v>
      </c>
    </row>
    <row r="902" spans="31:45" ht="11.25" customHeight="1" x14ac:dyDescent="0.2">
      <c r="AE902" s="19">
        <v>811</v>
      </c>
      <c r="AG902" s="19">
        <f t="shared" si="310"/>
        <v>7</v>
      </c>
      <c r="AH902" s="19">
        <f t="shared" si="311"/>
        <v>-1</v>
      </c>
      <c r="AI902" s="19">
        <f t="shared" si="312"/>
        <v>108.67500000000001</v>
      </c>
      <c r="AJ902" s="410">
        <f t="shared" si="313"/>
        <v>845.96</v>
      </c>
      <c r="AK902" s="19" t="e">
        <f t="shared" si="314"/>
        <v>#N/A</v>
      </c>
      <c r="AL902" s="19">
        <f t="shared" si="315"/>
        <v>645.96</v>
      </c>
      <c r="AM902" s="19" t="e">
        <f t="shared" si="316"/>
        <v>#N/A</v>
      </c>
      <c r="AN902" s="19">
        <f t="shared" si="317"/>
        <v>445.96</v>
      </c>
      <c r="AO902" s="19" t="e">
        <f t="shared" si="318"/>
        <v>#N/A</v>
      </c>
      <c r="AP902" s="19">
        <f t="shared" si="319"/>
        <v>245.96</v>
      </c>
      <c r="AQ902" s="19" t="e">
        <f t="shared" si="320"/>
        <v>#N/A</v>
      </c>
      <c r="AR902" s="19">
        <f t="shared" si="321"/>
        <v>45.96</v>
      </c>
      <c r="AS902" s="19" t="e">
        <f t="shared" si="322"/>
        <v>#N/A</v>
      </c>
    </row>
    <row r="903" spans="31:45" ht="11.25" customHeight="1" x14ac:dyDescent="0.2">
      <c r="AE903" s="19">
        <v>812</v>
      </c>
      <c r="AG903" s="19">
        <f t="shared" si="310"/>
        <v>7</v>
      </c>
      <c r="AH903" s="19">
        <f t="shared" si="311"/>
        <v>1</v>
      </c>
      <c r="AI903" s="19">
        <f t="shared" si="312"/>
        <v>108.67500000000001</v>
      </c>
      <c r="AJ903" s="410">
        <f t="shared" si="313"/>
        <v>954.04</v>
      </c>
      <c r="AK903" s="19" t="e">
        <f t="shared" si="314"/>
        <v>#N/A</v>
      </c>
      <c r="AL903" s="19">
        <f t="shared" si="315"/>
        <v>754.04</v>
      </c>
      <c r="AM903" s="19" t="e">
        <f t="shared" si="316"/>
        <v>#N/A</v>
      </c>
      <c r="AN903" s="19">
        <f t="shared" si="317"/>
        <v>554.04</v>
      </c>
      <c r="AO903" s="19" t="e">
        <f t="shared" si="318"/>
        <v>#N/A</v>
      </c>
      <c r="AP903" s="19">
        <f t="shared" si="319"/>
        <v>354.04</v>
      </c>
      <c r="AQ903" s="19" t="e">
        <f t="shared" si="320"/>
        <v>#N/A</v>
      </c>
      <c r="AR903" s="19">
        <f t="shared" si="321"/>
        <v>154.04</v>
      </c>
      <c r="AS903" s="19" t="e">
        <f t="shared" si="322"/>
        <v>#N/A</v>
      </c>
    </row>
    <row r="904" spans="31:45" ht="11.25" customHeight="1" x14ac:dyDescent="0.2">
      <c r="AE904" s="19">
        <v>813</v>
      </c>
      <c r="AG904" s="19">
        <f t="shared" si="310"/>
        <v>9</v>
      </c>
      <c r="AH904" s="19">
        <f t="shared" si="311"/>
        <v>-1</v>
      </c>
      <c r="AI904" s="19">
        <f t="shared" si="312"/>
        <v>108.67500000000001</v>
      </c>
      <c r="AJ904" s="410">
        <f t="shared" si="313"/>
        <v>830.52</v>
      </c>
      <c r="AK904" s="19" t="e">
        <f t="shared" si="314"/>
        <v>#N/A</v>
      </c>
      <c r="AL904" s="19">
        <f t="shared" si="315"/>
        <v>630.52</v>
      </c>
      <c r="AM904" s="19" t="e">
        <f t="shared" si="316"/>
        <v>#N/A</v>
      </c>
      <c r="AN904" s="19">
        <f t="shared" si="317"/>
        <v>430.52</v>
      </c>
      <c r="AO904" s="19" t="e">
        <f t="shared" si="318"/>
        <v>#N/A</v>
      </c>
      <c r="AP904" s="19">
        <f t="shared" si="319"/>
        <v>230.51999999999998</v>
      </c>
      <c r="AQ904" s="19" t="e">
        <f t="shared" si="320"/>
        <v>#N/A</v>
      </c>
      <c r="AR904" s="19">
        <f t="shared" si="321"/>
        <v>30.519999999999996</v>
      </c>
      <c r="AS904" s="19" t="e">
        <f t="shared" si="322"/>
        <v>#N/A</v>
      </c>
    </row>
    <row r="905" spans="31:45" ht="11.25" customHeight="1" x14ac:dyDescent="0.2">
      <c r="AE905" s="19">
        <v>814</v>
      </c>
      <c r="AG905" s="19">
        <f t="shared" si="310"/>
        <v>9</v>
      </c>
      <c r="AH905" s="19">
        <f t="shared" si="311"/>
        <v>1</v>
      </c>
      <c r="AI905" s="19">
        <f t="shared" si="312"/>
        <v>108.67500000000001</v>
      </c>
      <c r="AJ905" s="410">
        <f t="shared" si="313"/>
        <v>969.48</v>
      </c>
      <c r="AK905" s="19" t="e">
        <f t="shared" si="314"/>
        <v>#N/A</v>
      </c>
      <c r="AL905" s="19">
        <f t="shared" si="315"/>
        <v>769.48</v>
      </c>
      <c r="AM905" s="19" t="e">
        <f t="shared" si="316"/>
        <v>#N/A</v>
      </c>
      <c r="AN905" s="19">
        <f t="shared" si="317"/>
        <v>569.48</v>
      </c>
      <c r="AO905" s="19" t="e">
        <f t="shared" si="318"/>
        <v>#N/A</v>
      </c>
      <c r="AP905" s="19">
        <f t="shared" si="319"/>
        <v>369.48</v>
      </c>
      <c r="AQ905" s="19" t="e">
        <f t="shared" si="320"/>
        <v>#N/A</v>
      </c>
      <c r="AR905" s="19">
        <f t="shared" si="321"/>
        <v>169.48000000000002</v>
      </c>
      <c r="AS905" s="19" t="e">
        <f t="shared" si="322"/>
        <v>#N/A</v>
      </c>
    </row>
    <row r="906" spans="31:45" ht="11.25" customHeight="1" x14ac:dyDescent="0.2">
      <c r="AE906" s="19">
        <v>815</v>
      </c>
      <c r="AG906" s="19">
        <f t="shared" si="310"/>
        <v>11</v>
      </c>
      <c r="AH906" s="19">
        <f t="shared" si="311"/>
        <v>-1</v>
      </c>
      <c r="AI906" s="19">
        <f t="shared" si="312"/>
        <v>108.67500000000001</v>
      </c>
      <c r="AJ906" s="410">
        <f t="shared" si="313"/>
        <v>815.08</v>
      </c>
      <c r="AK906" s="19" t="e">
        <f t="shared" si="314"/>
        <v>#N/A</v>
      </c>
      <c r="AL906" s="19">
        <f t="shared" si="315"/>
        <v>615.08000000000004</v>
      </c>
      <c r="AM906" s="19" t="e">
        <f t="shared" si="316"/>
        <v>#N/A</v>
      </c>
      <c r="AN906" s="19">
        <f t="shared" si="317"/>
        <v>415.08</v>
      </c>
      <c r="AO906" s="19" t="e">
        <f t="shared" si="318"/>
        <v>#N/A</v>
      </c>
      <c r="AP906" s="19">
        <f t="shared" si="319"/>
        <v>215.07999999999998</v>
      </c>
      <c r="AQ906" s="19" t="e">
        <f t="shared" si="320"/>
        <v>#N/A</v>
      </c>
      <c r="AR906" s="19">
        <f t="shared" si="321"/>
        <v>15.079999999999998</v>
      </c>
      <c r="AS906" s="19" t="e">
        <f t="shared" si="322"/>
        <v>#N/A</v>
      </c>
    </row>
    <row r="907" spans="31:45" ht="11.25" customHeight="1" x14ac:dyDescent="0.2">
      <c r="AE907" s="19">
        <v>816</v>
      </c>
      <c r="AG907" s="19">
        <f t="shared" si="310"/>
        <v>11</v>
      </c>
      <c r="AH907" s="19">
        <f t="shared" si="311"/>
        <v>1</v>
      </c>
      <c r="AI907" s="19">
        <f t="shared" si="312"/>
        <v>108.67500000000001</v>
      </c>
      <c r="AJ907" s="410">
        <f t="shared" si="313"/>
        <v>984.92</v>
      </c>
      <c r="AK907" s="19" t="e">
        <f t="shared" si="314"/>
        <v>#N/A</v>
      </c>
      <c r="AL907" s="19">
        <f t="shared" si="315"/>
        <v>784.92</v>
      </c>
      <c r="AM907" s="19" t="e">
        <f t="shared" si="316"/>
        <v>#N/A</v>
      </c>
      <c r="AN907" s="19">
        <f t="shared" si="317"/>
        <v>584.91999999999996</v>
      </c>
      <c r="AO907" s="19" t="e">
        <f t="shared" si="318"/>
        <v>#N/A</v>
      </c>
      <c r="AP907" s="19">
        <f t="shared" si="319"/>
        <v>384.92</v>
      </c>
      <c r="AQ907" s="19" t="e">
        <f t="shared" si="320"/>
        <v>#N/A</v>
      </c>
      <c r="AR907" s="19">
        <f t="shared" si="321"/>
        <v>184.92000000000002</v>
      </c>
      <c r="AS907" s="19" t="e">
        <f t="shared" si="322"/>
        <v>#N/A</v>
      </c>
    </row>
    <row r="908" spans="31:45" ht="11.25" customHeight="1" x14ac:dyDescent="0.2">
      <c r="AE908" s="19">
        <v>817</v>
      </c>
      <c r="AG908" s="19">
        <f t="shared" si="310"/>
        <v>1</v>
      </c>
      <c r="AH908" s="19">
        <f t="shared" si="311"/>
        <v>-1</v>
      </c>
      <c r="AI908" s="19">
        <f t="shared" si="312"/>
        <v>110.28500000000001</v>
      </c>
      <c r="AJ908" s="410">
        <f t="shared" si="313"/>
        <v>892.28</v>
      </c>
      <c r="AK908" s="19" t="e">
        <f t="shared" si="314"/>
        <v>#N/A</v>
      </c>
      <c r="AL908" s="19">
        <f t="shared" si="315"/>
        <v>692.28</v>
      </c>
      <c r="AM908" s="19" t="e">
        <f t="shared" si="316"/>
        <v>#N/A</v>
      </c>
      <c r="AN908" s="19">
        <f t="shared" si="317"/>
        <v>492.28</v>
      </c>
      <c r="AO908" s="19" t="e">
        <f t="shared" si="318"/>
        <v>#N/A</v>
      </c>
      <c r="AP908" s="19">
        <f t="shared" si="319"/>
        <v>292.27999999999997</v>
      </c>
      <c r="AQ908" s="19" t="e">
        <f t="shared" si="320"/>
        <v>#N/A</v>
      </c>
      <c r="AR908" s="19">
        <f t="shared" si="321"/>
        <v>92.28</v>
      </c>
      <c r="AS908" s="19" t="e">
        <f t="shared" si="322"/>
        <v>#N/A</v>
      </c>
    </row>
    <row r="909" spans="31:45" ht="11.25" customHeight="1" x14ac:dyDescent="0.2">
      <c r="AE909" s="19">
        <v>818</v>
      </c>
      <c r="AG909" s="19">
        <f t="shared" si="310"/>
        <v>1</v>
      </c>
      <c r="AH909" s="19">
        <f t="shared" si="311"/>
        <v>1</v>
      </c>
      <c r="AI909" s="19">
        <f t="shared" si="312"/>
        <v>110.28500000000001</v>
      </c>
      <c r="AJ909" s="410">
        <f t="shared" si="313"/>
        <v>907.72</v>
      </c>
      <c r="AK909" s="19" t="e">
        <f t="shared" si="314"/>
        <v>#N/A</v>
      </c>
      <c r="AL909" s="19">
        <f t="shared" si="315"/>
        <v>707.72</v>
      </c>
      <c r="AM909" s="19" t="e">
        <f t="shared" si="316"/>
        <v>#N/A</v>
      </c>
      <c r="AN909" s="19">
        <f t="shared" si="317"/>
        <v>507.72</v>
      </c>
      <c r="AO909" s="19" t="e">
        <f t="shared" si="318"/>
        <v>#N/A</v>
      </c>
      <c r="AP909" s="19">
        <f t="shared" si="319"/>
        <v>307.72000000000003</v>
      </c>
      <c r="AQ909" s="19" t="e">
        <f t="shared" si="320"/>
        <v>#N/A</v>
      </c>
      <c r="AR909" s="19">
        <f t="shared" si="321"/>
        <v>107.72</v>
      </c>
      <c r="AS909" s="19" t="e">
        <f t="shared" si="322"/>
        <v>#N/A</v>
      </c>
    </row>
    <row r="910" spans="31:45" ht="11.25" customHeight="1" x14ac:dyDescent="0.2">
      <c r="AE910" s="19">
        <v>819</v>
      </c>
      <c r="AG910" s="19">
        <f t="shared" si="310"/>
        <v>3</v>
      </c>
      <c r="AH910" s="19">
        <f t="shared" si="311"/>
        <v>-1</v>
      </c>
      <c r="AI910" s="19">
        <f t="shared" si="312"/>
        <v>110.28500000000001</v>
      </c>
      <c r="AJ910" s="410">
        <f t="shared" si="313"/>
        <v>876.84</v>
      </c>
      <c r="AK910" s="19" t="e">
        <f t="shared" si="314"/>
        <v>#N/A</v>
      </c>
      <c r="AL910" s="19">
        <f t="shared" si="315"/>
        <v>676.84</v>
      </c>
      <c r="AM910" s="19" t="e">
        <f t="shared" si="316"/>
        <v>#N/A</v>
      </c>
      <c r="AN910" s="19">
        <f t="shared" si="317"/>
        <v>476.84</v>
      </c>
      <c r="AO910" s="19" t="e">
        <f t="shared" si="318"/>
        <v>#N/A</v>
      </c>
      <c r="AP910" s="19">
        <f t="shared" si="319"/>
        <v>276.83999999999997</v>
      </c>
      <c r="AQ910" s="19" t="e">
        <f t="shared" si="320"/>
        <v>#N/A</v>
      </c>
      <c r="AR910" s="19">
        <f t="shared" si="321"/>
        <v>76.84</v>
      </c>
      <c r="AS910" s="19" t="e">
        <f t="shared" si="322"/>
        <v>#N/A</v>
      </c>
    </row>
    <row r="911" spans="31:45" ht="11.25" customHeight="1" x14ac:dyDescent="0.2">
      <c r="AE911" s="19">
        <v>820</v>
      </c>
      <c r="AG911" s="19">
        <f t="shared" si="310"/>
        <v>3</v>
      </c>
      <c r="AH911" s="19">
        <f t="shared" si="311"/>
        <v>1</v>
      </c>
      <c r="AI911" s="19">
        <f t="shared" si="312"/>
        <v>110.28500000000001</v>
      </c>
      <c r="AJ911" s="410">
        <f t="shared" si="313"/>
        <v>923.16</v>
      </c>
      <c r="AK911" s="19" t="e">
        <f t="shared" si="314"/>
        <v>#N/A</v>
      </c>
      <c r="AL911" s="19">
        <f t="shared" si="315"/>
        <v>723.16</v>
      </c>
      <c r="AM911" s="19" t="e">
        <f t="shared" si="316"/>
        <v>#N/A</v>
      </c>
      <c r="AN911" s="19">
        <f t="shared" si="317"/>
        <v>523.16</v>
      </c>
      <c r="AO911" s="19" t="e">
        <f t="shared" si="318"/>
        <v>#N/A</v>
      </c>
      <c r="AP911" s="19">
        <f t="shared" si="319"/>
        <v>323.16000000000003</v>
      </c>
      <c r="AQ911" s="19" t="e">
        <f t="shared" si="320"/>
        <v>#N/A</v>
      </c>
      <c r="AR911" s="19">
        <f t="shared" si="321"/>
        <v>123.16</v>
      </c>
      <c r="AS911" s="19" t="e">
        <f t="shared" si="322"/>
        <v>#N/A</v>
      </c>
    </row>
    <row r="912" spans="31:45" ht="11.25" customHeight="1" x14ac:dyDescent="0.2">
      <c r="AE912" s="19">
        <v>821</v>
      </c>
      <c r="AG912" s="19">
        <f t="shared" si="310"/>
        <v>5</v>
      </c>
      <c r="AH912" s="19">
        <f t="shared" si="311"/>
        <v>-1</v>
      </c>
      <c r="AI912" s="19">
        <f t="shared" si="312"/>
        <v>110.28500000000001</v>
      </c>
      <c r="AJ912" s="410">
        <f t="shared" si="313"/>
        <v>861.4</v>
      </c>
      <c r="AK912" s="19" t="e">
        <f t="shared" si="314"/>
        <v>#N/A</v>
      </c>
      <c r="AL912" s="19">
        <f t="shared" si="315"/>
        <v>661.4</v>
      </c>
      <c r="AM912" s="19" t="e">
        <f t="shared" si="316"/>
        <v>#N/A</v>
      </c>
      <c r="AN912" s="19">
        <f t="shared" si="317"/>
        <v>461.4</v>
      </c>
      <c r="AO912" s="19" t="e">
        <f t="shared" si="318"/>
        <v>#N/A</v>
      </c>
      <c r="AP912" s="19">
        <f t="shared" si="319"/>
        <v>261.39999999999998</v>
      </c>
      <c r="AQ912" s="19" t="e">
        <f t="shared" si="320"/>
        <v>#N/A</v>
      </c>
      <c r="AR912" s="19">
        <f t="shared" si="321"/>
        <v>61.4</v>
      </c>
      <c r="AS912" s="19" t="e">
        <f t="shared" si="322"/>
        <v>#N/A</v>
      </c>
    </row>
    <row r="913" spans="31:45" ht="11.25" customHeight="1" x14ac:dyDescent="0.2">
      <c r="AE913" s="19">
        <v>822</v>
      </c>
      <c r="AG913" s="19">
        <f t="shared" si="310"/>
        <v>5</v>
      </c>
      <c r="AH913" s="19">
        <f t="shared" si="311"/>
        <v>1</v>
      </c>
      <c r="AI913" s="19">
        <f t="shared" si="312"/>
        <v>110.28500000000001</v>
      </c>
      <c r="AJ913" s="410">
        <f t="shared" si="313"/>
        <v>938.6</v>
      </c>
      <c r="AK913" s="19" t="e">
        <f t="shared" si="314"/>
        <v>#N/A</v>
      </c>
      <c r="AL913" s="19">
        <f t="shared" si="315"/>
        <v>738.6</v>
      </c>
      <c r="AM913" s="19" t="e">
        <f t="shared" si="316"/>
        <v>#N/A</v>
      </c>
      <c r="AN913" s="19">
        <f t="shared" si="317"/>
        <v>538.6</v>
      </c>
      <c r="AO913" s="19" t="e">
        <f t="shared" si="318"/>
        <v>#N/A</v>
      </c>
      <c r="AP913" s="19">
        <f t="shared" si="319"/>
        <v>338.6</v>
      </c>
      <c r="AQ913" s="19" t="e">
        <f t="shared" si="320"/>
        <v>#N/A</v>
      </c>
      <c r="AR913" s="19">
        <f t="shared" si="321"/>
        <v>138.6</v>
      </c>
      <c r="AS913" s="19" t="e">
        <f t="shared" si="322"/>
        <v>#N/A</v>
      </c>
    </row>
    <row r="914" spans="31:45" ht="11.25" customHeight="1" x14ac:dyDescent="0.2">
      <c r="AE914" s="19">
        <v>823</v>
      </c>
      <c r="AG914" s="19">
        <f t="shared" si="310"/>
        <v>7</v>
      </c>
      <c r="AH914" s="19">
        <f t="shared" si="311"/>
        <v>-1</v>
      </c>
      <c r="AI914" s="19">
        <f t="shared" si="312"/>
        <v>110.28500000000001</v>
      </c>
      <c r="AJ914" s="410">
        <f t="shared" si="313"/>
        <v>845.96</v>
      </c>
      <c r="AK914" s="19" t="e">
        <f t="shared" si="314"/>
        <v>#N/A</v>
      </c>
      <c r="AL914" s="19">
        <f t="shared" si="315"/>
        <v>645.96</v>
      </c>
      <c r="AM914" s="19" t="e">
        <f t="shared" si="316"/>
        <v>#N/A</v>
      </c>
      <c r="AN914" s="19">
        <f t="shared" si="317"/>
        <v>445.96</v>
      </c>
      <c r="AO914" s="19" t="e">
        <f t="shared" si="318"/>
        <v>#N/A</v>
      </c>
      <c r="AP914" s="19">
        <f t="shared" si="319"/>
        <v>245.96</v>
      </c>
      <c r="AQ914" s="19" t="e">
        <f t="shared" si="320"/>
        <v>#N/A</v>
      </c>
      <c r="AR914" s="19">
        <f t="shared" si="321"/>
        <v>45.96</v>
      </c>
      <c r="AS914" s="19" t="e">
        <f t="shared" si="322"/>
        <v>#N/A</v>
      </c>
    </row>
    <row r="915" spans="31:45" ht="11.25" customHeight="1" x14ac:dyDescent="0.2">
      <c r="AE915" s="19">
        <v>824</v>
      </c>
      <c r="AG915" s="19">
        <f t="shared" si="310"/>
        <v>7</v>
      </c>
      <c r="AH915" s="19">
        <f t="shared" si="311"/>
        <v>1</v>
      </c>
      <c r="AI915" s="19">
        <f t="shared" si="312"/>
        <v>110.28500000000001</v>
      </c>
      <c r="AJ915" s="410">
        <f t="shared" si="313"/>
        <v>954.04</v>
      </c>
      <c r="AK915" s="19" t="e">
        <f t="shared" si="314"/>
        <v>#N/A</v>
      </c>
      <c r="AL915" s="19">
        <f t="shared" si="315"/>
        <v>754.04</v>
      </c>
      <c r="AM915" s="19" t="e">
        <f t="shared" si="316"/>
        <v>#N/A</v>
      </c>
      <c r="AN915" s="19">
        <f t="shared" si="317"/>
        <v>554.04</v>
      </c>
      <c r="AO915" s="19" t="e">
        <f t="shared" si="318"/>
        <v>#N/A</v>
      </c>
      <c r="AP915" s="19">
        <f t="shared" si="319"/>
        <v>354.04</v>
      </c>
      <c r="AQ915" s="19" t="e">
        <f t="shared" si="320"/>
        <v>#N/A</v>
      </c>
      <c r="AR915" s="19">
        <f t="shared" si="321"/>
        <v>154.04</v>
      </c>
      <c r="AS915" s="19" t="e">
        <f t="shared" si="322"/>
        <v>#N/A</v>
      </c>
    </row>
    <row r="916" spans="31:45" ht="11.25" customHeight="1" x14ac:dyDescent="0.2">
      <c r="AE916" s="19">
        <v>825</v>
      </c>
      <c r="AG916" s="19">
        <f t="shared" si="310"/>
        <v>9</v>
      </c>
      <c r="AH916" s="19">
        <f t="shared" si="311"/>
        <v>-1</v>
      </c>
      <c r="AI916" s="19">
        <f t="shared" si="312"/>
        <v>110.28500000000001</v>
      </c>
      <c r="AJ916" s="410">
        <f t="shared" si="313"/>
        <v>830.52</v>
      </c>
      <c r="AK916" s="19" t="e">
        <f t="shared" si="314"/>
        <v>#N/A</v>
      </c>
      <c r="AL916" s="19">
        <f t="shared" si="315"/>
        <v>630.52</v>
      </c>
      <c r="AM916" s="19" t="e">
        <f t="shared" si="316"/>
        <v>#N/A</v>
      </c>
      <c r="AN916" s="19">
        <f t="shared" si="317"/>
        <v>430.52</v>
      </c>
      <c r="AO916" s="19" t="e">
        <f t="shared" si="318"/>
        <v>#N/A</v>
      </c>
      <c r="AP916" s="19">
        <f t="shared" si="319"/>
        <v>230.51999999999998</v>
      </c>
      <c r="AQ916" s="19" t="e">
        <f t="shared" si="320"/>
        <v>#N/A</v>
      </c>
      <c r="AR916" s="19">
        <f t="shared" si="321"/>
        <v>30.519999999999996</v>
      </c>
      <c r="AS916" s="19" t="e">
        <f t="shared" si="322"/>
        <v>#N/A</v>
      </c>
    </row>
    <row r="917" spans="31:45" ht="11.25" customHeight="1" x14ac:dyDescent="0.2">
      <c r="AE917" s="19">
        <v>826</v>
      </c>
      <c r="AG917" s="19">
        <f t="shared" si="310"/>
        <v>9</v>
      </c>
      <c r="AH917" s="19">
        <f t="shared" si="311"/>
        <v>1</v>
      </c>
      <c r="AI917" s="19">
        <f t="shared" si="312"/>
        <v>110.28500000000001</v>
      </c>
      <c r="AJ917" s="410">
        <f t="shared" si="313"/>
        <v>969.48</v>
      </c>
      <c r="AK917" s="19" t="e">
        <f t="shared" si="314"/>
        <v>#N/A</v>
      </c>
      <c r="AL917" s="19">
        <f t="shared" si="315"/>
        <v>769.48</v>
      </c>
      <c r="AM917" s="19" t="e">
        <f t="shared" si="316"/>
        <v>#N/A</v>
      </c>
      <c r="AN917" s="19">
        <f t="shared" si="317"/>
        <v>569.48</v>
      </c>
      <c r="AO917" s="19" t="e">
        <f t="shared" si="318"/>
        <v>#N/A</v>
      </c>
      <c r="AP917" s="19">
        <f t="shared" si="319"/>
        <v>369.48</v>
      </c>
      <c r="AQ917" s="19" t="e">
        <f t="shared" si="320"/>
        <v>#N/A</v>
      </c>
      <c r="AR917" s="19">
        <f t="shared" si="321"/>
        <v>169.48000000000002</v>
      </c>
      <c r="AS917" s="19" t="e">
        <f t="shared" si="322"/>
        <v>#N/A</v>
      </c>
    </row>
    <row r="918" spans="31:45" ht="11.25" customHeight="1" x14ac:dyDescent="0.2">
      <c r="AE918" s="19">
        <v>827</v>
      </c>
      <c r="AG918" s="19">
        <f t="shared" si="310"/>
        <v>11</v>
      </c>
      <c r="AH918" s="19">
        <f t="shared" si="311"/>
        <v>-1</v>
      </c>
      <c r="AI918" s="19">
        <f t="shared" si="312"/>
        <v>110.28500000000001</v>
      </c>
      <c r="AJ918" s="410">
        <f t="shared" si="313"/>
        <v>815.08</v>
      </c>
      <c r="AK918" s="19" t="e">
        <f t="shared" si="314"/>
        <v>#N/A</v>
      </c>
      <c r="AL918" s="19">
        <f t="shared" si="315"/>
        <v>615.08000000000004</v>
      </c>
      <c r="AM918" s="19" t="e">
        <f t="shared" si="316"/>
        <v>#N/A</v>
      </c>
      <c r="AN918" s="19">
        <f t="shared" si="317"/>
        <v>415.08</v>
      </c>
      <c r="AO918" s="19" t="e">
        <f t="shared" si="318"/>
        <v>#N/A</v>
      </c>
      <c r="AP918" s="19">
        <f t="shared" si="319"/>
        <v>215.07999999999998</v>
      </c>
      <c r="AQ918" s="19" t="e">
        <f t="shared" si="320"/>
        <v>#N/A</v>
      </c>
      <c r="AR918" s="19">
        <f t="shared" si="321"/>
        <v>15.079999999999998</v>
      </c>
      <c r="AS918" s="19" t="e">
        <f t="shared" si="322"/>
        <v>#N/A</v>
      </c>
    </row>
    <row r="919" spans="31:45" ht="11.25" customHeight="1" x14ac:dyDescent="0.2">
      <c r="AE919" s="19">
        <v>828</v>
      </c>
      <c r="AG919" s="19">
        <f t="shared" si="310"/>
        <v>11</v>
      </c>
      <c r="AH919" s="19">
        <f t="shared" si="311"/>
        <v>1</v>
      </c>
      <c r="AI919" s="19">
        <f t="shared" si="312"/>
        <v>110.28500000000001</v>
      </c>
      <c r="AJ919" s="410">
        <f t="shared" si="313"/>
        <v>984.92</v>
      </c>
      <c r="AK919" s="19" t="e">
        <f t="shared" si="314"/>
        <v>#N/A</v>
      </c>
      <c r="AL919" s="19">
        <f t="shared" si="315"/>
        <v>784.92</v>
      </c>
      <c r="AM919" s="19" t="e">
        <f t="shared" si="316"/>
        <v>#N/A</v>
      </c>
      <c r="AN919" s="19">
        <f t="shared" si="317"/>
        <v>584.91999999999996</v>
      </c>
      <c r="AO919" s="19" t="e">
        <f t="shared" si="318"/>
        <v>#N/A</v>
      </c>
      <c r="AP919" s="19">
        <f t="shared" si="319"/>
        <v>384.92</v>
      </c>
      <c r="AQ919" s="19" t="e">
        <f t="shared" si="320"/>
        <v>#N/A</v>
      </c>
      <c r="AR919" s="19">
        <f t="shared" si="321"/>
        <v>184.92000000000002</v>
      </c>
      <c r="AS919" s="19" t="e">
        <f t="shared" si="322"/>
        <v>#N/A</v>
      </c>
    </row>
    <row r="920" spans="31:45" ht="11.25" customHeight="1" x14ac:dyDescent="0.2">
      <c r="AE920" s="19">
        <v>829</v>
      </c>
      <c r="AG920" s="19">
        <f t="shared" si="310"/>
        <v>1</v>
      </c>
      <c r="AH920" s="19">
        <f t="shared" si="311"/>
        <v>-1</v>
      </c>
      <c r="AI920" s="19">
        <f t="shared" si="312"/>
        <v>111.89500000000001</v>
      </c>
      <c r="AJ920" s="410">
        <f t="shared" si="313"/>
        <v>892.28</v>
      </c>
      <c r="AK920" s="19" t="e">
        <f t="shared" si="314"/>
        <v>#N/A</v>
      </c>
      <c r="AL920" s="19">
        <f t="shared" si="315"/>
        <v>692.28</v>
      </c>
      <c r="AM920" s="19" t="e">
        <f t="shared" si="316"/>
        <v>#N/A</v>
      </c>
      <c r="AN920" s="19">
        <f t="shared" si="317"/>
        <v>492.28</v>
      </c>
      <c r="AO920" s="19" t="e">
        <f t="shared" si="318"/>
        <v>#N/A</v>
      </c>
      <c r="AP920" s="19">
        <f t="shared" si="319"/>
        <v>292.27999999999997</v>
      </c>
      <c r="AQ920" s="19" t="e">
        <f t="shared" si="320"/>
        <v>#N/A</v>
      </c>
      <c r="AR920" s="19">
        <f t="shared" si="321"/>
        <v>92.28</v>
      </c>
      <c r="AS920" s="19" t="e">
        <f t="shared" si="322"/>
        <v>#N/A</v>
      </c>
    </row>
    <row r="921" spans="31:45" ht="11.25" customHeight="1" x14ac:dyDescent="0.2">
      <c r="AE921" s="19">
        <v>830</v>
      </c>
      <c r="AG921" s="19">
        <f t="shared" si="310"/>
        <v>1</v>
      </c>
      <c r="AH921" s="19">
        <f t="shared" si="311"/>
        <v>1</v>
      </c>
      <c r="AI921" s="19">
        <f t="shared" si="312"/>
        <v>111.89500000000001</v>
      </c>
      <c r="AJ921" s="410">
        <f t="shared" si="313"/>
        <v>907.72</v>
      </c>
      <c r="AK921" s="19" t="e">
        <f t="shared" si="314"/>
        <v>#N/A</v>
      </c>
      <c r="AL921" s="19">
        <f t="shared" si="315"/>
        <v>707.72</v>
      </c>
      <c r="AM921" s="19" t="e">
        <f t="shared" si="316"/>
        <v>#N/A</v>
      </c>
      <c r="AN921" s="19">
        <f t="shared" si="317"/>
        <v>507.72</v>
      </c>
      <c r="AO921" s="19" t="e">
        <f t="shared" si="318"/>
        <v>#N/A</v>
      </c>
      <c r="AP921" s="19">
        <f t="shared" si="319"/>
        <v>307.72000000000003</v>
      </c>
      <c r="AQ921" s="19" t="e">
        <f t="shared" si="320"/>
        <v>#N/A</v>
      </c>
      <c r="AR921" s="19">
        <f t="shared" si="321"/>
        <v>107.72</v>
      </c>
      <c r="AS921" s="19" t="e">
        <f t="shared" si="322"/>
        <v>#N/A</v>
      </c>
    </row>
    <row r="922" spans="31:45" ht="11.25" customHeight="1" x14ac:dyDescent="0.2">
      <c r="AE922" s="19">
        <v>831</v>
      </c>
      <c r="AG922" s="19">
        <f t="shared" si="310"/>
        <v>3</v>
      </c>
      <c r="AH922" s="19">
        <f t="shared" si="311"/>
        <v>-1</v>
      </c>
      <c r="AI922" s="19">
        <f t="shared" si="312"/>
        <v>111.89500000000001</v>
      </c>
      <c r="AJ922" s="410">
        <f t="shared" si="313"/>
        <v>876.84</v>
      </c>
      <c r="AK922" s="19" t="e">
        <f t="shared" si="314"/>
        <v>#N/A</v>
      </c>
      <c r="AL922" s="19">
        <f t="shared" si="315"/>
        <v>676.84</v>
      </c>
      <c r="AM922" s="19" t="e">
        <f t="shared" si="316"/>
        <v>#N/A</v>
      </c>
      <c r="AN922" s="19">
        <f t="shared" si="317"/>
        <v>476.84</v>
      </c>
      <c r="AO922" s="19" t="e">
        <f t="shared" si="318"/>
        <v>#N/A</v>
      </c>
      <c r="AP922" s="19">
        <f t="shared" si="319"/>
        <v>276.83999999999997</v>
      </c>
      <c r="AQ922" s="19" t="e">
        <f t="shared" si="320"/>
        <v>#N/A</v>
      </c>
      <c r="AR922" s="19">
        <f t="shared" si="321"/>
        <v>76.84</v>
      </c>
      <c r="AS922" s="19" t="e">
        <f t="shared" si="322"/>
        <v>#N/A</v>
      </c>
    </row>
    <row r="923" spans="31:45" ht="11.25" customHeight="1" x14ac:dyDescent="0.2">
      <c r="AE923" s="19">
        <v>832</v>
      </c>
      <c r="AG923" s="19">
        <f t="shared" si="310"/>
        <v>3</v>
      </c>
      <c r="AH923" s="19">
        <f t="shared" si="311"/>
        <v>1</v>
      </c>
      <c r="AI923" s="19">
        <f t="shared" si="312"/>
        <v>111.89500000000001</v>
      </c>
      <c r="AJ923" s="410">
        <f t="shared" si="313"/>
        <v>923.16</v>
      </c>
      <c r="AK923" s="19" t="e">
        <f t="shared" si="314"/>
        <v>#N/A</v>
      </c>
      <c r="AL923" s="19">
        <f t="shared" si="315"/>
        <v>723.16</v>
      </c>
      <c r="AM923" s="19" t="e">
        <f t="shared" si="316"/>
        <v>#N/A</v>
      </c>
      <c r="AN923" s="19">
        <f t="shared" si="317"/>
        <v>523.16</v>
      </c>
      <c r="AO923" s="19" t="e">
        <f t="shared" si="318"/>
        <v>#N/A</v>
      </c>
      <c r="AP923" s="19">
        <f t="shared" si="319"/>
        <v>323.16000000000003</v>
      </c>
      <c r="AQ923" s="19" t="e">
        <f t="shared" si="320"/>
        <v>#N/A</v>
      </c>
      <c r="AR923" s="19">
        <f t="shared" si="321"/>
        <v>123.16</v>
      </c>
      <c r="AS923" s="19" t="e">
        <f t="shared" si="322"/>
        <v>#N/A</v>
      </c>
    </row>
    <row r="924" spans="31:45" ht="11.25" customHeight="1" x14ac:dyDescent="0.2">
      <c r="AE924" s="19">
        <v>833</v>
      </c>
      <c r="AG924" s="19">
        <f t="shared" ref="AG924:AG987" si="323">2*ROUNDUP((MOD(AE924-1,$AB$94)+1)/2,0)-1</f>
        <v>5</v>
      </c>
      <c r="AH924" s="19">
        <f t="shared" ref="AH924:AH987" si="324">IF(AG924=AG925,-1,1)</f>
        <v>-1</v>
      </c>
      <c r="AI924" s="19">
        <f t="shared" ref="AI924:AI987" si="325">IF($BR$7,$AB$87*(0.5+INT((AE924-0.5)/$AB$94)),NA())</f>
        <v>111.89500000000001</v>
      </c>
      <c r="AJ924" s="410">
        <f t="shared" ref="AJ924:AJ987" si="326">IF($BP$11,$AM$87+$AB$90*AH924*AG924,NA())</f>
        <v>861.4</v>
      </c>
      <c r="AK924" s="19" t="e">
        <f t="shared" ref="AK924:AK987" si="327">IF($AG$83&lt;AE924,NA(),AI924)</f>
        <v>#N/A</v>
      </c>
      <c r="AL924" s="19">
        <f t="shared" ref="AL924:AL987" si="328">IF($BP$11,$AN$87+$AB$90*AH924*AG924,NA())</f>
        <v>661.4</v>
      </c>
      <c r="AM924" s="19" t="e">
        <f t="shared" ref="AM924:AM987" si="329">IF($AH$83&lt;AE924,NA(),AI924)</f>
        <v>#N/A</v>
      </c>
      <c r="AN924" s="19">
        <f t="shared" ref="AN924:AN987" si="330">IF($BP$11,$AO$87+$AB$90*AH924*AG924,NA())</f>
        <v>461.4</v>
      </c>
      <c r="AO924" s="19" t="e">
        <f t="shared" ref="AO924:AO987" si="331">IF($AI$83&lt;AE924,NA(),AI924)</f>
        <v>#N/A</v>
      </c>
      <c r="AP924" s="19">
        <f t="shared" ref="AP924:AP987" si="332">IF($BP$11,$AP$87+$AB$90*AH924*AG924,NA())</f>
        <v>261.39999999999998</v>
      </c>
      <c r="AQ924" s="19" t="e">
        <f t="shared" ref="AQ924:AQ987" si="333">IF($AJ$83&lt;AE924,NA(),AI924)</f>
        <v>#N/A</v>
      </c>
      <c r="AR924" s="19">
        <f t="shared" ref="AR924:AR987" si="334">IF($BP$11,$AQ$87+$AB$90*AH924*AG924,NA())</f>
        <v>61.4</v>
      </c>
      <c r="AS924" s="19" t="e">
        <f t="shared" ref="AS924:AS987" si="335">IF($AK$83&lt;AE924,NA(),AI924)</f>
        <v>#N/A</v>
      </c>
    </row>
    <row r="925" spans="31:45" ht="11.25" customHeight="1" x14ac:dyDescent="0.2">
      <c r="AE925" s="19">
        <v>834</v>
      </c>
      <c r="AG925" s="19">
        <f t="shared" si="323"/>
        <v>5</v>
      </c>
      <c r="AH925" s="19">
        <f t="shared" si="324"/>
        <v>1</v>
      </c>
      <c r="AI925" s="19">
        <f t="shared" si="325"/>
        <v>111.89500000000001</v>
      </c>
      <c r="AJ925" s="410">
        <f t="shared" si="326"/>
        <v>938.6</v>
      </c>
      <c r="AK925" s="19" t="e">
        <f t="shared" si="327"/>
        <v>#N/A</v>
      </c>
      <c r="AL925" s="19">
        <f t="shared" si="328"/>
        <v>738.6</v>
      </c>
      <c r="AM925" s="19" t="e">
        <f t="shared" si="329"/>
        <v>#N/A</v>
      </c>
      <c r="AN925" s="19">
        <f t="shared" si="330"/>
        <v>538.6</v>
      </c>
      <c r="AO925" s="19" t="e">
        <f t="shared" si="331"/>
        <v>#N/A</v>
      </c>
      <c r="AP925" s="19">
        <f t="shared" si="332"/>
        <v>338.6</v>
      </c>
      <c r="AQ925" s="19" t="e">
        <f t="shared" si="333"/>
        <v>#N/A</v>
      </c>
      <c r="AR925" s="19">
        <f t="shared" si="334"/>
        <v>138.6</v>
      </c>
      <c r="AS925" s="19" t="e">
        <f t="shared" si="335"/>
        <v>#N/A</v>
      </c>
    </row>
    <row r="926" spans="31:45" ht="11.25" customHeight="1" x14ac:dyDescent="0.2">
      <c r="AE926" s="19">
        <v>835</v>
      </c>
      <c r="AG926" s="19">
        <f t="shared" si="323"/>
        <v>7</v>
      </c>
      <c r="AH926" s="19">
        <f t="shared" si="324"/>
        <v>-1</v>
      </c>
      <c r="AI926" s="19">
        <f t="shared" si="325"/>
        <v>111.89500000000001</v>
      </c>
      <c r="AJ926" s="410">
        <f t="shared" si="326"/>
        <v>845.96</v>
      </c>
      <c r="AK926" s="19" t="e">
        <f t="shared" si="327"/>
        <v>#N/A</v>
      </c>
      <c r="AL926" s="19">
        <f t="shared" si="328"/>
        <v>645.96</v>
      </c>
      <c r="AM926" s="19" t="e">
        <f t="shared" si="329"/>
        <v>#N/A</v>
      </c>
      <c r="AN926" s="19">
        <f t="shared" si="330"/>
        <v>445.96</v>
      </c>
      <c r="AO926" s="19" t="e">
        <f t="shared" si="331"/>
        <v>#N/A</v>
      </c>
      <c r="AP926" s="19">
        <f t="shared" si="332"/>
        <v>245.96</v>
      </c>
      <c r="AQ926" s="19" t="e">
        <f t="shared" si="333"/>
        <v>#N/A</v>
      </c>
      <c r="AR926" s="19">
        <f t="shared" si="334"/>
        <v>45.96</v>
      </c>
      <c r="AS926" s="19" t="e">
        <f t="shared" si="335"/>
        <v>#N/A</v>
      </c>
    </row>
    <row r="927" spans="31:45" ht="11.25" customHeight="1" x14ac:dyDescent="0.2">
      <c r="AE927" s="19">
        <v>836</v>
      </c>
      <c r="AG927" s="19">
        <f t="shared" si="323"/>
        <v>7</v>
      </c>
      <c r="AH927" s="19">
        <f t="shared" si="324"/>
        <v>1</v>
      </c>
      <c r="AI927" s="19">
        <f t="shared" si="325"/>
        <v>111.89500000000001</v>
      </c>
      <c r="AJ927" s="410">
        <f t="shared" si="326"/>
        <v>954.04</v>
      </c>
      <c r="AK927" s="19" t="e">
        <f t="shared" si="327"/>
        <v>#N/A</v>
      </c>
      <c r="AL927" s="19">
        <f t="shared" si="328"/>
        <v>754.04</v>
      </c>
      <c r="AM927" s="19" t="e">
        <f t="shared" si="329"/>
        <v>#N/A</v>
      </c>
      <c r="AN927" s="19">
        <f t="shared" si="330"/>
        <v>554.04</v>
      </c>
      <c r="AO927" s="19" t="e">
        <f t="shared" si="331"/>
        <v>#N/A</v>
      </c>
      <c r="AP927" s="19">
        <f t="shared" si="332"/>
        <v>354.04</v>
      </c>
      <c r="AQ927" s="19" t="e">
        <f t="shared" si="333"/>
        <v>#N/A</v>
      </c>
      <c r="AR927" s="19">
        <f t="shared" si="334"/>
        <v>154.04</v>
      </c>
      <c r="AS927" s="19" t="e">
        <f t="shared" si="335"/>
        <v>#N/A</v>
      </c>
    </row>
    <row r="928" spans="31:45" ht="11.25" customHeight="1" x14ac:dyDescent="0.2">
      <c r="AE928" s="19">
        <v>837</v>
      </c>
      <c r="AG928" s="19">
        <f t="shared" si="323"/>
        <v>9</v>
      </c>
      <c r="AH928" s="19">
        <f t="shared" si="324"/>
        <v>-1</v>
      </c>
      <c r="AI928" s="19">
        <f t="shared" si="325"/>
        <v>111.89500000000001</v>
      </c>
      <c r="AJ928" s="410">
        <f t="shared" si="326"/>
        <v>830.52</v>
      </c>
      <c r="AK928" s="19" t="e">
        <f t="shared" si="327"/>
        <v>#N/A</v>
      </c>
      <c r="AL928" s="19">
        <f t="shared" si="328"/>
        <v>630.52</v>
      </c>
      <c r="AM928" s="19" t="e">
        <f t="shared" si="329"/>
        <v>#N/A</v>
      </c>
      <c r="AN928" s="19">
        <f t="shared" si="330"/>
        <v>430.52</v>
      </c>
      <c r="AO928" s="19" t="e">
        <f t="shared" si="331"/>
        <v>#N/A</v>
      </c>
      <c r="AP928" s="19">
        <f t="shared" si="332"/>
        <v>230.51999999999998</v>
      </c>
      <c r="AQ928" s="19" t="e">
        <f t="shared" si="333"/>
        <v>#N/A</v>
      </c>
      <c r="AR928" s="19">
        <f t="shared" si="334"/>
        <v>30.519999999999996</v>
      </c>
      <c r="AS928" s="19" t="e">
        <f t="shared" si="335"/>
        <v>#N/A</v>
      </c>
    </row>
    <row r="929" spans="31:45" ht="11.25" customHeight="1" x14ac:dyDescent="0.2">
      <c r="AE929" s="19">
        <v>838</v>
      </c>
      <c r="AG929" s="19">
        <f t="shared" si="323"/>
        <v>9</v>
      </c>
      <c r="AH929" s="19">
        <f t="shared" si="324"/>
        <v>1</v>
      </c>
      <c r="AI929" s="19">
        <f t="shared" si="325"/>
        <v>111.89500000000001</v>
      </c>
      <c r="AJ929" s="410">
        <f t="shared" si="326"/>
        <v>969.48</v>
      </c>
      <c r="AK929" s="19" t="e">
        <f t="shared" si="327"/>
        <v>#N/A</v>
      </c>
      <c r="AL929" s="19">
        <f t="shared" si="328"/>
        <v>769.48</v>
      </c>
      <c r="AM929" s="19" t="e">
        <f t="shared" si="329"/>
        <v>#N/A</v>
      </c>
      <c r="AN929" s="19">
        <f t="shared" si="330"/>
        <v>569.48</v>
      </c>
      <c r="AO929" s="19" t="e">
        <f t="shared" si="331"/>
        <v>#N/A</v>
      </c>
      <c r="AP929" s="19">
        <f t="shared" si="332"/>
        <v>369.48</v>
      </c>
      <c r="AQ929" s="19" t="e">
        <f t="shared" si="333"/>
        <v>#N/A</v>
      </c>
      <c r="AR929" s="19">
        <f t="shared" si="334"/>
        <v>169.48000000000002</v>
      </c>
      <c r="AS929" s="19" t="e">
        <f t="shared" si="335"/>
        <v>#N/A</v>
      </c>
    </row>
    <row r="930" spans="31:45" ht="11.25" customHeight="1" x14ac:dyDescent="0.2">
      <c r="AE930" s="19">
        <v>839</v>
      </c>
      <c r="AG930" s="19">
        <f t="shared" si="323"/>
        <v>11</v>
      </c>
      <c r="AH930" s="19">
        <f t="shared" si="324"/>
        <v>-1</v>
      </c>
      <c r="AI930" s="19">
        <f t="shared" si="325"/>
        <v>111.89500000000001</v>
      </c>
      <c r="AJ930" s="410">
        <f t="shared" si="326"/>
        <v>815.08</v>
      </c>
      <c r="AK930" s="19" t="e">
        <f t="shared" si="327"/>
        <v>#N/A</v>
      </c>
      <c r="AL930" s="19">
        <f t="shared" si="328"/>
        <v>615.08000000000004</v>
      </c>
      <c r="AM930" s="19" t="e">
        <f t="shared" si="329"/>
        <v>#N/A</v>
      </c>
      <c r="AN930" s="19">
        <f t="shared" si="330"/>
        <v>415.08</v>
      </c>
      <c r="AO930" s="19" t="e">
        <f t="shared" si="331"/>
        <v>#N/A</v>
      </c>
      <c r="AP930" s="19">
        <f t="shared" si="332"/>
        <v>215.07999999999998</v>
      </c>
      <c r="AQ930" s="19" t="e">
        <f t="shared" si="333"/>
        <v>#N/A</v>
      </c>
      <c r="AR930" s="19">
        <f t="shared" si="334"/>
        <v>15.079999999999998</v>
      </c>
      <c r="AS930" s="19" t="e">
        <f t="shared" si="335"/>
        <v>#N/A</v>
      </c>
    </row>
    <row r="931" spans="31:45" ht="11.25" customHeight="1" x14ac:dyDescent="0.2">
      <c r="AE931" s="19">
        <v>840</v>
      </c>
      <c r="AG931" s="19">
        <f t="shared" si="323"/>
        <v>11</v>
      </c>
      <c r="AH931" s="19">
        <f t="shared" si="324"/>
        <v>1</v>
      </c>
      <c r="AI931" s="19">
        <f t="shared" si="325"/>
        <v>111.89500000000001</v>
      </c>
      <c r="AJ931" s="410">
        <f t="shared" si="326"/>
        <v>984.92</v>
      </c>
      <c r="AK931" s="19" t="e">
        <f t="shared" si="327"/>
        <v>#N/A</v>
      </c>
      <c r="AL931" s="19">
        <f t="shared" si="328"/>
        <v>784.92</v>
      </c>
      <c r="AM931" s="19" t="e">
        <f t="shared" si="329"/>
        <v>#N/A</v>
      </c>
      <c r="AN931" s="19">
        <f t="shared" si="330"/>
        <v>584.91999999999996</v>
      </c>
      <c r="AO931" s="19" t="e">
        <f t="shared" si="331"/>
        <v>#N/A</v>
      </c>
      <c r="AP931" s="19">
        <f t="shared" si="332"/>
        <v>384.92</v>
      </c>
      <c r="AQ931" s="19" t="e">
        <f t="shared" si="333"/>
        <v>#N/A</v>
      </c>
      <c r="AR931" s="19">
        <f t="shared" si="334"/>
        <v>184.92000000000002</v>
      </c>
      <c r="AS931" s="19" t="e">
        <f t="shared" si="335"/>
        <v>#N/A</v>
      </c>
    </row>
    <row r="932" spans="31:45" ht="11.25" customHeight="1" x14ac:dyDescent="0.2">
      <c r="AE932" s="19">
        <v>841</v>
      </c>
      <c r="AG932" s="19">
        <f t="shared" si="323"/>
        <v>1</v>
      </c>
      <c r="AH932" s="19">
        <f t="shared" si="324"/>
        <v>-1</v>
      </c>
      <c r="AI932" s="19">
        <f t="shared" si="325"/>
        <v>113.50500000000001</v>
      </c>
      <c r="AJ932" s="410">
        <f t="shared" si="326"/>
        <v>892.28</v>
      </c>
      <c r="AK932" s="19" t="e">
        <f t="shared" si="327"/>
        <v>#N/A</v>
      </c>
      <c r="AL932" s="19">
        <f t="shared" si="328"/>
        <v>692.28</v>
      </c>
      <c r="AM932" s="19" t="e">
        <f t="shared" si="329"/>
        <v>#N/A</v>
      </c>
      <c r="AN932" s="19">
        <f t="shared" si="330"/>
        <v>492.28</v>
      </c>
      <c r="AO932" s="19" t="e">
        <f t="shared" si="331"/>
        <v>#N/A</v>
      </c>
      <c r="AP932" s="19">
        <f t="shared" si="332"/>
        <v>292.27999999999997</v>
      </c>
      <c r="AQ932" s="19" t="e">
        <f t="shared" si="333"/>
        <v>#N/A</v>
      </c>
      <c r="AR932" s="19">
        <f t="shared" si="334"/>
        <v>92.28</v>
      </c>
      <c r="AS932" s="19" t="e">
        <f t="shared" si="335"/>
        <v>#N/A</v>
      </c>
    </row>
    <row r="933" spans="31:45" ht="11.25" customHeight="1" x14ac:dyDescent="0.2">
      <c r="AE933" s="19">
        <v>842</v>
      </c>
      <c r="AG933" s="19">
        <f t="shared" si="323"/>
        <v>1</v>
      </c>
      <c r="AH933" s="19">
        <f t="shared" si="324"/>
        <v>1</v>
      </c>
      <c r="AI933" s="19">
        <f t="shared" si="325"/>
        <v>113.50500000000001</v>
      </c>
      <c r="AJ933" s="410">
        <f t="shared" si="326"/>
        <v>907.72</v>
      </c>
      <c r="AK933" s="19" t="e">
        <f t="shared" si="327"/>
        <v>#N/A</v>
      </c>
      <c r="AL933" s="19">
        <f t="shared" si="328"/>
        <v>707.72</v>
      </c>
      <c r="AM933" s="19" t="e">
        <f t="shared" si="329"/>
        <v>#N/A</v>
      </c>
      <c r="AN933" s="19">
        <f t="shared" si="330"/>
        <v>507.72</v>
      </c>
      <c r="AO933" s="19" t="e">
        <f t="shared" si="331"/>
        <v>#N/A</v>
      </c>
      <c r="AP933" s="19">
        <f t="shared" si="332"/>
        <v>307.72000000000003</v>
      </c>
      <c r="AQ933" s="19" t="e">
        <f t="shared" si="333"/>
        <v>#N/A</v>
      </c>
      <c r="AR933" s="19">
        <f t="shared" si="334"/>
        <v>107.72</v>
      </c>
      <c r="AS933" s="19" t="e">
        <f t="shared" si="335"/>
        <v>#N/A</v>
      </c>
    </row>
    <row r="934" spans="31:45" ht="11.25" customHeight="1" x14ac:dyDescent="0.2">
      <c r="AE934" s="19">
        <v>843</v>
      </c>
      <c r="AG934" s="19">
        <f t="shared" si="323"/>
        <v>3</v>
      </c>
      <c r="AH934" s="19">
        <f t="shared" si="324"/>
        <v>-1</v>
      </c>
      <c r="AI934" s="19">
        <f t="shared" si="325"/>
        <v>113.50500000000001</v>
      </c>
      <c r="AJ934" s="410">
        <f t="shared" si="326"/>
        <v>876.84</v>
      </c>
      <c r="AK934" s="19" t="e">
        <f t="shared" si="327"/>
        <v>#N/A</v>
      </c>
      <c r="AL934" s="19">
        <f t="shared" si="328"/>
        <v>676.84</v>
      </c>
      <c r="AM934" s="19" t="e">
        <f t="shared" si="329"/>
        <v>#N/A</v>
      </c>
      <c r="AN934" s="19">
        <f t="shared" si="330"/>
        <v>476.84</v>
      </c>
      <c r="AO934" s="19" t="e">
        <f t="shared" si="331"/>
        <v>#N/A</v>
      </c>
      <c r="AP934" s="19">
        <f t="shared" si="332"/>
        <v>276.83999999999997</v>
      </c>
      <c r="AQ934" s="19" t="e">
        <f t="shared" si="333"/>
        <v>#N/A</v>
      </c>
      <c r="AR934" s="19">
        <f t="shared" si="334"/>
        <v>76.84</v>
      </c>
      <c r="AS934" s="19" t="e">
        <f t="shared" si="335"/>
        <v>#N/A</v>
      </c>
    </row>
    <row r="935" spans="31:45" ht="11.25" customHeight="1" x14ac:dyDescent="0.2">
      <c r="AE935" s="19">
        <v>844</v>
      </c>
      <c r="AG935" s="19">
        <f t="shared" si="323"/>
        <v>3</v>
      </c>
      <c r="AH935" s="19">
        <f t="shared" si="324"/>
        <v>1</v>
      </c>
      <c r="AI935" s="19">
        <f t="shared" si="325"/>
        <v>113.50500000000001</v>
      </c>
      <c r="AJ935" s="410">
        <f t="shared" si="326"/>
        <v>923.16</v>
      </c>
      <c r="AK935" s="19" t="e">
        <f t="shared" si="327"/>
        <v>#N/A</v>
      </c>
      <c r="AL935" s="19">
        <f t="shared" si="328"/>
        <v>723.16</v>
      </c>
      <c r="AM935" s="19" t="e">
        <f t="shared" si="329"/>
        <v>#N/A</v>
      </c>
      <c r="AN935" s="19">
        <f t="shared" si="330"/>
        <v>523.16</v>
      </c>
      <c r="AO935" s="19" t="e">
        <f t="shared" si="331"/>
        <v>#N/A</v>
      </c>
      <c r="AP935" s="19">
        <f t="shared" si="332"/>
        <v>323.16000000000003</v>
      </c>
      <c r="AQ935" s="19" t="e">
        <f t="shared" si="333"/>
        <v>#N/A</v>
      </c>
      <c r="AR935" s="19">
        <f t="shared" si="334"/>
        <v>123.16</v>
      </c>
      <c r="AS935" s="19" t="e">
        <f t="shared" si="335"/>
        <v>#N/A</v>
      </c>
    </row>
    <row r="936" spans="31:45" ht="11.25" customHeight="1" x14ac:dyDescent="0.2">
      <c r="AE936" s="19">
        <v>845</v>
      </c>
      <c r="AG936" s="19">
        <f t="shared" si="323"/>
        <v>5</v>
      </c>
      <c r="AH936" s="19">
        <f t="shared" si="324"/>
        <v>-1</v>
      </c>
      <c r="AI936" s="19">
        <f t="shared" si="325"/>
        <v>113.50500000000001</v>
      </c>
      <c r="AJ936" s="410">
        <f t="shared" si="326"/>
        <v>861.4</v>
      </c>
      <c r="AK936" s="19" t="e">
        <f t="shared" si="327"/>
        <v>#N/A</v>
      </c>
      <c r="AL936" s="19">
        <f t="shared" si="328"/>
        <v>661.4</v>
      </c>
      <c r="AM936" s="19" t="e">
        <f t="shared" si="329"/>
        <v>#N/A</v>
      </c>
      <c r="AN936" s="19">
        <f t="shared" si="330"/>
        <v>461.4</v>
      </c>
      <c r="AO936" s="19" t="e">
        <f t="shared" si="331"/>
        <v>#N/A</v>
      </c>
      <c r="AP936" s="19">
        <f t="shared" si="332"/>
        <v>261.39999999999998</v>
      </c>
      <c r="AQ936" s="19" t="e">
        <f t="shared" si="333"/>
        <v>#N/A</v>
      </c>
      <c r="AR936" s="19">
        <f t="shared" si="334"/>
        <v>61.4</v>
      </c>
      <c r="AS936" s="19" t="e">
        <f t="shared" si="335"/>
        <v>#N/A</v>
      </c>
    </row>
    <row r="937" spans="31:45" ht="11.25" customHeight="1" x14ac:dyDescent="0.2">
      <c r="AE937" s="19">
        <v>846</v>
      </c>
      <c r="AG937" s="19">
        <f t="shared" si="323"/>
        <v>5</v>
      </c>
      <c r="AH937" s="19">
        <f t="shared" si="324"/>
        <v>1</v>
      </c>
      <c r="AI937" s="19">
        <f t="shared" si="325"/>
        <v>113.50500000000001</v>
      </c>
      <c r="AJ937" s="410">
        <f t="shared" si="326"/>
        <v>938.6</v>
      </c>
      <c r="AK937" s="19" t="e">
        <f t="shared" si="327"/>
        <v>#N/A</v>
      </c>
      <c r="AL937" s="19">
        <f t="shared" si="328"/>
        <v>738.6</v>
      </c>
      <c r="AM937" s="19" t="e">
        <f t="shared" si="329"/>
        <v>#N/A</v>
      </c>
      <c r="AN937" s="19">
        <f t="shared" si="330"/>
        <v>538.6</v>
      </c>
      <c r="AO937" s="19" t="e">
        <f t="shared" si="331"/>
        <v>#N/A</v>
      </c>
      <c r="AP937" s="19">
        <f t="shared" si="332"/>
        <v>338.6</v>
      </c>
      <c r="AQ937" s="19" t="e">
        <f t="shared" si="333"/>
        <v>#N/A</v>
      </c>
      <c r="AR937" s="19">
        <f t="shared" si="334"/>
        <v>138.6</v>
      </c>
      <c r="AS937" s="19" t="e">
        <f t="shared" si="335"/>
        <v>#N/A</v>
      </c>
    </row>
    <row r="938" spans="31:45" ht="11.25" customHeight="1" x14ac:dyDescent="0.2">
      <c r="AE938" s="19">
        <v>847</v>
      </c>
      <c r="AG938" s="19">
        <f t="shared" si="323"/>
        <v>7</v>
      </c>
      <c r="AH938" s="19">
        <f t="shared" si="324"/>
        <v>-1</v>
      </c>
      <c r="AI938" s="19">
        <f t="shared" si="325"/>
        <v>113.50500000000001</v>
      </c>
      <c r="AJ938" s="410">
        <f t="shared" si="326"/>
        <v>845.96</v>
      </c>
      <c r="AK938" s="19" t="e">
        <f t="shared" si="327"/>
        <v>#N/A</v>
      </c>
      <c r="AL938" s="19">
        <f t="shared" si="328"/>
        <v>645.96</v>
      </c>
      <c r="AM938" s="19" t="e">
        <f t="shared" si="329"/>
        <v>#N/A</v>
      </c>
      <c r="AN938" s="19">
        <f t="shared" si="330"/>
        <v>445.96</v>
      </c>
      <c r="AO938" s="19" t="e">
        <f t="shared" si="331"/>
        <v>#N/A</v>
      </c>
      <c r="AP938" s="19">
        <f t="shared" si="332"/>
        <v>245.96</v>
      </c>
      <c r="AQ938" s="19" t="e">
        <f t="shared" si="333"/>
        <v>#N/A</v>
      </c>
      <c r="AR938" s="19">
        <f t="shared" si="334"/>
        <v>45.96</v>
      </c>
      <c r="AS938" s="19" t="e">
        <f t="shared" si="335"/>
        <v>#N/A</v>
      </c>
    </row>
    <row r="939" spans="31:45" ht="11.25" customHeight="1" x14ac:dyDescent="0.2">
      <c r="AE939" s="19">
        <v>848</v>
      </c>
      <c r="AG939" s="19">
        <f t="shared" si="323"/>
        <v>7</v>
      </c>
      <c r="AH939" s="19">
        <f t="shared" si="324"/>
        <v>1</v>
      </c>
      <c r="AI939" s="19">
        <f t="shared" si="325"/>
        <v>113.50500000000001</v>
      </c>
      <c r="AJ939" s="410">
        <f t="shared" si="326"/>
        <v>954.04</v>
      </c>
      <c r="AK939" s="19" t="e">
        <f t="shared" si="327"/>
        <v>#N/A</v>
      </c>
      <c r="AL939" s="19">
        <f t="shared" si="328"/>
        <v>754.04</v>
      </c>
      <c r="AM939" s="19" t="e">
        <f t="shared" si="329"/>
        <v>#N/A</v>
      </c>
      <c r="AN939" s="19">
        <f t="shared" si="330"/>
        <v>554.04</v>
      </c>
      <c r="AO939" s="19" t="e">
        <f t="shared" si="331"/>
        <v>#N/A</v>
      </c>
      <c r="AP939" s="19">
        <f t="shared" si="332"/>
        <v>354.04</v>
      </c>
      <c r="AQ939" s="19" t="e">
        <f t="shared" si="333"/>
        <v>#N/A</v>
      </c>
      <c r="AR939" s="19">
        <f t="shared" si="334"/>
        <v>154.04</v>
      </c>
      <c r="AS939" s="19" t="e">
        <f t="shared" si="335"/>
        <v>#N/A</v>
      </c>
    </row>
    <row r="940" spans="31:45" ht="11.25" customHeight="1" x14ac:dyDescent="0.2">
      <c r="AE940" s="19">
        <v>849</v>
      </c>
      <c r="AG940" s="19">
        <f t="shared" si="323"/>
        <v>9</v>
      </c>
      <c r="AH940" s="19">
        <f t="shared" si="324"/>
        <v>-1</v>
      </c>
      <c r="AI940" s="19">
        <f t="shared" si="325"/>
        <v>113.50500000000001</v>
      </c>
      <c r="AJ940" s="410">
        <f t="shared" si="326"/>
        <v>830.52</v>
      </c>
      <c r="AK940" s="19" t="e">
        <f t="shared" si="327"/>
        <v>#N/A</v>
      </c>
      <c r="AL940" s="19">
        <f t="shared" si="328"/>
        <v>630.52</v>
      </c>
      <c r="AM940" s="19" t="e">
        <f t="shared" si="329"/>
        <v>#N/A</v>
      </c>
      <c r="AN940" s="19">
        <f t="shared" si="330"/>
        <v>430.52</v>
      </c>
      <c r="AO940" s="19" t="e">
        <f t="shared" si="331"/>
        <v>#N/A</v>
      </c>
      <c r="AP940" s="19">
        <f t="shared" si="332"/>
        <v>230.51999999999998</v>
      </c>
      <c r="AQ940" s="19" t="e">
        <f t="shared" si="333"/>
        <v>#N/A</v>
      </c>
      <c r="AR940" s="19">
        <f t="shared" si="334"/>
        <v>30.519999999999996</v>
      </c>
      <c r="AS940" s="19" t="e">
        <f t="shared" si="335"/>
        <v>#N/A</v>
      </c>
    </row>
    <row r="941" spans="31:45" ht="11.25" customHeight="1" x14ac:dyDescent="0.2">
      <c r="AE941" s="19">
        <v>850</v>
      </c>
      <c r="AG941" s="19">
        <f t="shared" si="323"/>
        <v>9</v>
      </c>
      <c r="AH941" s="19">
        <f t="shared" si="324"/>
        <v>1</v>
      </c>
      <c r="AI941" s="19">
        <f t="shared" si="325"/>
        <v>113.50500000000001</v>
      </c>
      <c r="AJ941" s="410">
        <f t="shared" si="326"/>
        <v>969.48</v>
      </c>
      <c r="AK941" s="19" t="e">
        <f t="shared" si="327"/>
        <v>#N/A</v>
      </c>
      <c r="AL941" s="19">
        <f t="shared" si="328"/>
        <v>769.48</v>
      </c>
      <c r="AM941" s="19" t="e">
        <f t="shared" si="329"/>
        <v>#N/A</v>
      </c>
      <c r="AN941" s="19">
        <f t="shared" si="330"/>
        <v>569.48</v>
      </c>
      <c r="AO941" s="19" t="e">
        <f t="shared" si="331"/>
        <v>#N/A</v>
      </c>
      <c r="AP941" s="19">
        <f t="shared" si="332"/>
        <v>369.48</v>
      </c>
      <c r="AQ941" s="19" t="e">
        <f t="shared" si="333"/>
        <v>#N/A</v>
      </c>
      <c r="AR941" s="19">
        <f t="shared" si="334"/>
        <v>169.48000000000002</v>
      </c>
      <c r="AS941" s="19" t="e">
        <f t="shared" si="335"/>
        <v>#N/A</v>
      </c>
    </row>
    <row r="942" spans="31:45" ht="11.25" customHeight="1" x14ac:dyDescent="0.2">
      <c r="AE942" s="19">
        <v>851</v>
      </c>
      <c r="AG942" s="19">
        <f t="shared" si="323"/>
        <v>11</v>
      </c>
      <c r="AH942" s="19">
        <f t="shared" si="324"/>
        <v>-1</v>
      </c>
      <c r="AI942" s="19">
        <f t="shared" si="325"/>
        <v>113.50500000000001</v>
      </c>
      <c r="AJ942" s="410">
        <f t="shared" si="326"/>
        <v>815.08</v>
      </c>
      <c r="AK942" s="19" t="e">
        <f t="shared" si="327"/>
        <v>#N/A</v>
      </c>
      <c r="AL942" s="19">
        <f t="shared" si="328"/>
        <v>615.08000000000004</v>
      </c>
      <c r="AM942" s="19" t="e">
        <f t="shared" si="329"/>
        <v>#N/A</v>
      </c>
      <c r="AN942" s="19">
        <f t="shared" si="330"/>
        <v>415.08</v>
      </c>
      <c r="AO942" s="19" t="e">
        <f t="shared" si="331"/>
        <v>#N/A</v>
      </c>
      <c r="AP942" s="19">
        <f t="shared" si="332"/>
        <v>215.07999999999998</v>
      </c>
      <c r="AQ942" s="19" t="e">
        <f t="shared" si="333"/>
        <v>#N/A</v>
      </c>
      <c r="AR942" s="19">
        <f t="shared" si="334"/>
        <v>15.079999999999998</v>
      </c>
      <c r="AS942" s="19" t="e">
        <f t="shared" si="335"/>
        <v>#N/A</v>
      </c>
    </row>
    <row r="943" spans="31:45" ht="11.25" customHeight="1" x14ac:dyDescent="0.2">
      <c r="AE943" s="19">
        <v>852</v>
      </c>
      <c r="AG943" s="19">
        <f t="shared" si="323"/>
        <v>11</v>
      </c>
      <c r="AH943" s="19">
        <f t="shared" si="324"/>
        <v>1</v>
      </c>
      <c r="AI943" s="19">
        <f t="shared" si="325"/>
        <v>113.50500000000001</v>
      </c>
      <c r="AJ943" s="410">
        <f t="shared" si="326"/>
        <v>984.92</v>
      </c>
      <c r="AK943" s="19" t="e">
        <f t="shared" si="327"/>
        <v>#N/A</v>
      </c>
      <c r="AL943" s="19">
        <f t="shared" si="328"/>
        <v>784.92</v>
      </c>
      <c r="AM943" s="19" t="e">
        <f t="shared" si="329"/>
        <v>#N/A</v>
      </c>
      <c r="AN943" s="19">
        <f t="shared" si="330"/>
        <v>584.91999999999996</v>
      </c>
      <c r="AO943" s="19" t="e">
        <f t="shared" si="331"/>
        <v>#N/A</v>
      </c>
      <c r="AP943" s="19">
        <f t="shared" si="332"/>
        <v>384.92</v>
      </c>
      <c r="AQ943" s="19" t="e">
        <f t="shared" si="333"/>
        <v>#N/A</v>
      </c>
      <c r="AR943" s="19">
        <f t="shared" si="334"/>
        <v>184.92000000000002</v>
      </c>
      <c r="AS943" s="19" t="e">
        <f t="shared" si="335"/>
        <v>#N/A</v>
      </c>
    </row>
    <row r="944" spans="31:45" ht="11.25" customHeight="1" x14ac:dyDescent="0.2">
      <c r="AE944" s="19">
        <v>853</v>
      </c>
      <c r="AG944" s="19">
        <f t="shared" si="323"/>
        <v>1</v>
      </c>
      <c r="AH944" s="19">
        <f t="shared" si="324"/>
        <v>-1</v>
      </c>
      <c r="AI944" s="19">
        <f t="shared" si="325"/>
        <v>115.11500000000001</v>
      </c>
      <c r="AJ944" s="410">
        <f t="shared" si="326"/>
        <v>892.28</v>
      </c>
      <c r="AK944" s="19" t="e">
        <f t="shared" si="327"/>
        <v>#N/A</v>
      </c>
      <c r="AL944" s="19">
        <f t="shared" si="328"/>
        <v>692.28</v>
      </c>
      <c r="AM944" s="19" t="e">
        <f t="shared" si="329"/>
        <v>#N/A</v>
      </c>
      <c r="AN944" s="19">
        <f t="shared" si="330"/>
        <v>492.28</v>
      </c>
      <c r="AO944" s="19" t="e">
        <f t="shared" si="331"/>
        <v>#N/A</v>
      </c>
      <c r="AP944" s="19">
        <f t="shared" si="332"/>
        <v>292.27999999999997</v>
      </c>
      <c r="AQ944" s="19" t="e">
        <f t="shared" si="333"/>
        <v>#N/A</v>
      </c>
      <c r="AR944" s="19">
        <f t="shared" si="334"/>
        <v>92.28</v>
      </c>
      <c r="AS944" s="19" t="e">
        <f t="shared" si="335"/>
        <v>#N/A</v>
      </c>
    </row>
    <row r="945" spans="31:45" ht="11.25" customHeight="1" x14ac:dyDescent="0.2">
      <c r="AE945" s="19">
        <v>854</v>
      </c>
      <c r="AG945" s="19">
        <f t="shared" si="323"/>
        <v>1</v>
      </c>
      <c r="AH945" s="19">
        <f t="shared" si="324"/>
        <v>1</v>
      </c>
      <c r="AI945" s="19">
        <f t="shared" si="325"/>
        <v>115.11500000000001</v>
      </c>
      <c r="AJ945" s="410">
        <f t="shared" si="326"/>
        <v>907.72</v>
      </c>
      <c r="AK945" s="19" t="e">
        <f t="shared" si="327"/>
        <v>#N/A</v>
      </c>
      <c r="AL945" s="19">
        <f t="shared" si="328"/>
        <v>707.72</v>
      </c>
      <c r="AM945" s="19" t="e">
        <f t="shared" si="329"/>
        <v>#N/A</v>
      </c>
      <c r="AN945" s="19">
        <f t="shared" si="330"/>
        <v>507.72</v>
      </c>
      <c r="AO945" s="19" t="e">
        <f t="shared" si="331"/>
        <v>#N/A</v>
      </c>
      <c r="AP945" s="19">
        <f t="shared" si="332"/>
        <v>307.72000000000003</v>
      </c>
      <c r="AQ945" s="19" t="e">
        <f t="shared" si="333"/>
        <v>#N/A</v>
      </c>
      <c r="AR945" s="19">
        <f t="shared" si="334"/>
        <v>107.72</v>
      </c>
      <c r="AS945" s="19" t="e">
        <f t="shared" si="335"/>
        <v>#N/A</v>
      </c>
    </row>
    <row r="946" spans="31:45" ht="11.25" customHeight="1" x14ac:dyDescent="0.2">
      <c r="AE946" s="19">
        <v>855</v>
      </c>
      <c r="AG946" s="19">
        <f t="shared" si="323"/>
        <v>3</v>
      </c>
      <c r="AH946" s="19">
        <f t="shared" si="324"/>
        <v>-1</v>
      </c>
      <c r="AI946" s="19">
        <f t="shared" si="325"/>
        <v>115.11500000000001</v>
      </c>
      <c r="AJ946" s="410">
        <f t="shared" si="326"/>
        <v>876.84</v>
      </c>
      <c r="AK946" s="19" t="e">
        <f t="shared" si="327"/>
        <v>#N/A</v>
      </c>
      <c r="AL946" s="19">
        <f t="shared" si="328"/>
        <v>676.84</v>
      </c>
      <c r="AM946" s="19" t="e">
        <f t="shared" si="329"/>
        <v>#N/A</v>
      </c>
      <c r="AN946" s="19">
        <f t="shared" si="330"/>
        <v>476.84</v>
      </c>
      <c r="AO946" s="19" t="e">
        <f t="shared" si="331"/>
        <v>#N/A</v>
      </c>
      <c r="AP946" s="19">
        <f t="shared" si="332"/>
        <v>276.83999999999997</v>
      </c>
      <c r="AQ946" s="19" t="e">
        <f t="shared" si="333"/>
        <v>#N/A</v>
      </c>
      <c r="AR946" s="19">
        <f t="shared" si="334"/>
        <v>76.84</v>
      </c>
      <c r="AS946" s="19" t="e">
        <f t="shared" si="335"/>
        <v>#N/A</v>
      </c>
    </row>
    <row r="947" spans="31:45" ht="11.25" customHeight="1" x14ac:dyDescent="0.2">
      <c r="AE947" s="19">
        <v>856</v>
      </c>
      <c r="AG947" s="19">
        <f t="shared" si="323"/>
        <v>3</v>
      </c>
      <c r="AH947" s="19">
        <f t="shared" si="324"/>
        <v>1</v>
      </c>
      <c r="AI947" s="19">
        <f t="shared" si="325"/>
        <v>115.11500000000001</v>
      </c>
      <c r="AJ947" s="410">
        <f t="shared" si="326"/>
        <v>923.16</v>
      </c>
      <c r="AK947" s="19" t="e">
        <f t="shared" si="327"/>
        <v>#N/A</v>
      </c>
      <c r="AL947" s="19">
        <f t="shared" si="328"/>
        <v>723.16</v>
      </c>
      <c r="AM947" s="19" t="e">
        <f t="shared" si="329"/>
        <v>#N/A</v>
      </c>
      <c r="AN947" s="19">
        <f t="shared" si="330"/>
        <v>523.16</v>
      </c>
      <c r="AO947" s="19" t="e">
        <f t="shared" si="331"/>
        <v>#N/A</v>
      </c>
      <c r="AP947" s="19">
        <f t="shared" si="332"/>
        <v>323.16000000000003</v>
      </c>
      <c r="AQ947" s="19" t="e">
        <f t="shared" si="333"/>
        <v>#N/A</v>
      </c>
      <c r="AR947" s="19">
        <f t="shared" si="334"/>
        <v>123.16</v>
      </c>
      <c r="AS947" s="19" t="e">
        <f t="shared" si="335"/>
        <v>#N/A</v>
      </c>
    </row>
    <row r="948" spans="31:45" ht="11.25" customHeight="1" x14ac:dyDescent="0.2">
      <c r="AE948" s="19">
        <v>857</v>
      </c>
      <c r="AG948" s="19">
        <f t="shared" si="323"/>
        <v>5</v>
      </c>
      <c r="AH948" s="19">
        <f t="shared" si="324"/>
        <v>-1</v>
      </c>
      <c r="AI948" s="19">
        <f t="shared" si="325"/>
        <v>115.11500000000001</v>
      </c>
      <c r="AJ948" s="410">
        <f t="shared" si="326"/>
        <v>861.4</v>
      </c>
      <c r="AK948" s="19" t="e">
        <f t="shared" si="327"/>
        <v>#N/A</v>
      </c>
      <c r="AL948" s="19">
        <f t="shared" si="328"/>
        <v>661.4</v>
      </c>
      <c r="AM948" s="19" t="e">
        <f t="shared" si="329"/>
        <v>#N/A</v>
      </c>
      <c r="AN948" s="19">
        <f t="shared" si="330"/>
        <v>461.4</v>
      </c>
      <c r="AO948" s="19" t="e">
        <f t="shared" si="331"/>
        <v>#N/A</v>
      </c>
      <c r="AP948" s="19">
        <f t="shared" si="332"/>
        <v>261.39999999999998</v>
      </c>
      <c r="AQ948" s="19" t="e">
        <f t="shared" si="333"/>
        <v>#N/A</v>
      </c>
      <c r="AR948" s="19">
        <f t="shared" si="334"/>
        <v>61.4</v>
      </c>
      <c r="AS948" s="19" t="e">
        <f t="shared" si="335"/>
        <v>#N/A</v>
      </c>
    </row>
    <row r="949" spans="31:45" ht="11.25" customHeight="1" x14ac:dyDescent="0.2">
      <c r="AE949" s="19">
        <v>858</v>
      </c>
      <c r="AG949" s="19">
        <f t="shared" si="323"/>
        <v>5</v>
      </c>
      <c r="AH949" s="19">
        <f t="shared" si="324"/>
        <v>1</v>
      </c>
      <c r="AI949" s="19">
        <f t="shared" si="325"/>
        <v>115.11500000000001</v>
      </c>
      <c r="AJ949" s="410">
        <f t="shared" si="326"/>
        <v>938.6</v>
      </c>
      <c r="AK949" s="19" t="e">
        <f t="shared" si="327"/>
        <v>#N/A</v>
      </c>
      <c r="AL949" s="19">
        <f t="shared" si="328"/>
        <v>738.6</v>
      </c>
      <c r="AM949" s="19" t="e">
        <f t="shared" si="329"/>
        <v>#N/A</v>
      </c>
      <c r="AN949" s="19">
        <f t="shared" si="330"/>
        <v>538.6</v>
      </c>
      <c r="AO949" s="19" t="e">
        <f t="shared" si="331"/>
        <v>#N/A</v>
      </c>
      <c r="AP949" s="19">
        <f t="shared" si="332"/>
        <v>338.6</v>
      </c>
      <c r="AQ949" s="19" t="e">
        <f t="shared" si="333"/>
        <v>#N/A</v>
      </c>
      <c r="AR949" s="19">
        <f t="shared" si="334"/>
        <v>138.6</v>
      </c>
      <c r="AS949" s="19" t="e">
        <f t="shared" si="335"/>
        <v>#N/A</v>
      </c>
    </row>
    <row r="950" spans="31:45" ht="11.25" customHeight="1" x14ac:dyDescent="0.2">
      <c r="AE950" s="19">
        <v>859</v>
      </c>
      <c r="AG950" s="19">
        <f t="shared" si="323"/>
        <v>7</v>
      </c>
      <c r="AH950" s="19">
        <f t="shared" si="324"/>
        <v>-1</v>
      </c>
      <c r="AI950" s="19">
        <f t="shared" si="325"/>
        <v>115.11500000000001</v>
      </c>
      <c r="AJ950" s="410">
        <f t="shared" si="326"/>
        <v>845.96</v>
      </c>
      <c r="AK950" s="19" t="e">
        <f t="shared" si="327"/>
        <v>#N/A</v>
      </c>
      <c r="AL950" s="19">
        <f t="shared" si="328"/>
        <v>645.96</v>
      </c>
      <c r="AM950" s="19" t="e">
        <f t="shared" si="329"/>
        <v>#N/A</v>
      </c>
      <c r="AN950" s="19">
        <f t="shared" si="330"/>
        <v>445.96</v>
      </c>
      <c r="AO950" s="19" t="e">
        <f t="shared" si="331"/>
        <v>#N/A</v>
      </c>
      <c r="AP950" s="19">
        <f t="shared" si="332"/>
        <v>245.96</v>
      </c>
      <c r="AQ950" s="19" t="e">
        <f t="shared" si="333"/>
        <v>#N/A</v>
      </c>
      <c r="AR950" s="19">
        <f t="shared" si="334"/>
        <v>45.96</v>
      </c>
      <c r="AS950" s="19" t="e">
        <f t="shared" si="335"/>
        <v>#N/A</v>
      </c>
    </row>
    <row r="951" spans="31:45" ht="11.25" customHeight="1" x14ac:dyDescent="0.2">
      <c r="AE951" s="19">
        <v>860</v>
      </c>
      <c r="AG951" s="19">
        <f t="shared" si="323"/>
        <v>7</v>
      </c>
      <c r="AH951" s="19">
        <f t="shared" si="324"/>
        <v>1</v>
      </c>
      <c r="AI951" s="19">
        <f t="shared" si="325"/>
        <v>115.11500000000001</v>
      </c>
      <c r="AJ951" s="410">
        <f t="shared" si="326"/>
        <v>954.04</v>
      </c>
      <c r="AK951" s="19" t="e">
        <f t="shared" si="327"/>
        <v>#N/A</v>
      </c>
      <c r="AL951" s="19">
        <f t="shared" si="328"/>
        <v>754.04</v>
      </c>
      <c r="AM951" s="19" t="e">
        <f t="shared" si="329"/>
        <v>#N/A</v>
      </c>
      <c r="AN951" s="19">
        <f t="shared" si="330"/>
        <v>554.04</v>
      </c>
      <c r="AO951" s="19" t="e">
        <f t="shared" si="331"/>
        <v>#N/A</v>
      </c>
      <c r="AP951" s="19">
        <f t="shared" si="332"/>
        <v>354.04</v>
      </c>
      <c r="AQ951" s="19" t="e">
        <f t="shared" si="333"/>
        <v>#N/A</v>
      </c>
      <c r="AR951" s="19">
        <f t="shared" si="334"/>
        <v>154.04</v>
      </c>
      <c r="AS951" s="19" t="e">
        <f t="shared" si="335"/>
        <v>#N/A</v>
      </c>
    </row>
    <row r="952" spans="31:45" ht="11.25" customHeight="1" x14ac:dyDescent="0.2">
      <c r="AE952" s="19">
        <v>861</v>
      </c>
      <c r="AG952" s="19">
        <f t="shared" si="323"/>
        <v>9</v>
      </c>
      <c r="AH952" s="19">
        <f t="shared" si="324"/>
        <v>-1</v>
      </c>
      <c r="AI952" s="19">
        <f t="shared" si="325"/>
        <v>115.11500000000001</v>
      </c>
      <c r="AJ952" s="410">
        <f t="shared" si="326"/>
        <v>830.52</v>
      </c>
      <c r="AK952" s="19" t="e">
        <f t="shared" si="327"/>
        <v>#N/A</v>
      </c>
      <c r="AL952" s="19">
        <f t="shared" si="328"/>
        <v>630.52</v>
      </c>
      <c r="AM952" s="19" t="e">
        <f t="shared" si="329"/>
        <v>#N/A</v>
      </c>
      <c r="AN952" s="19">
        <f t="shared" si="330"/>
        <v>430.52</v>
      </c>
      <c r="AO952" s="19" t="e">
        <f t="shared" si="331"/>
        <v>#N/A</v>
      </c>
      <c r="AP952" s="19">
        <f t="shared" si="332"/>
        <v>230.51999999999998</v>
      </c>
      <c r="AQ952" s="19" t="e">
        <f t="shared" si="333"/>
        <v>#N/A</v>
      </c>
      <c r="AR952" s="19">
        <f t="shared" si="334"/>
        <v>30.519999999999996</v>
      </c>
      <c r="AS952" s="19" t="e">
        <f t="shared" si="335"/>
        <v>#N/A</v>
      </c>
    </row>
    <row r="953" spans="31:45" ht="11.25" customHeight="1" x14ac:dyDescent="0.2">
      <c r="AE953" s="19">
        <v>862</v>
      </c>
      <c r="AG953" s="19">
        <f t="shared" si="323"/>
        <v>9</v>
      </c>
      <c r="AH953" s="19">
        <f t="shared" si="324"/>
        <v>1</v>
      </c>
      <c r="AI953" s="19">
        <f t="shared" si="325"/>
        <v>115.11500000000001</v>
      </c>
      <c r="AJ953" s="410">
        <f t="shared" si="326"/>
        <v>969.48</v>
      </c>
      <c r="AK953" s="19" t="e">
        <f t="shared" si="327"/>
        <v>#N/A</v>
      </c>
      <c r="AL953" s="19">
        <f t="shared" si="328"/>
        <v>769.48</v>
      </c>
      <c r="AM953" s="19" t="e">
        <f t="shared" si="329"/>
        <v>#N/A</v>
      </c>
      <c r="AN953" s="19">
        <f t="shared" si="330"/>
        <v>569.48</v>
      </c>
      <c r="AO953" s="19" t="e">
        <f t="shared" si="331"/>
        <v>#N/A</v>
      </c>
      <c r="AP953" s="19">
        <f t="shared" si="332"/>
        <v>369.48</v>
      </c>
      <c r="AQ953" s="19" t="e">
        <f t="shared" si="333"/>
        <v>#N/A</v>
      </c>
      <c r="AR953" s="19">
        <f t="shared" si="334"/>
        <v>169.48000000000002</v>
      </c>
      <c r="AS953" s="19" t="e">
        <f t="shared" si="335"/>
        <v>#N/A</v>
      </c>
    </row>
    <row r="954" spans="31:45" ht="11.25" customHeight="1" x14ac:dyDescent="0.2">
      <c r="AE954" s="19">
        <v>863</v>
      </c>
      <c r="AG954" s="19">
        <f t="shared" si="323"/>
        <v>11</v>
      </c>
      <c r="AH954" s="19">
        <f t="shared" si="324"/>
        <v>-1</v>
      </c>
      <c r="AI954" s="19">
        <f t="shared" si="325"/>
        <v>115.11500000000001</v>
      </c>
      <c r="AJ954" s="410">
        <f t="shared" si="326"/>
        <v>815.08</v>
      </c>
      <c r="AK954" s="19" t="e">
        <f t="shared" si="327"/>
        <v>#N/A</v>
      </c>
      <c r="AL954" s="19">
        <f t="shared" si="328"/>
        <v>615.08000000000004</v>
      </c>
      <c r="AM954" s="19" t="e">
        <f t="shared" si="329"/>
        <v>#N/A</v>
      </c>
      <c r="AN954" s="19">
        <f t="shared" si="330"/>
        <v>415.08</v>
      </c>
      <c r="AO954" s="19" t="e">
        <f t="shared" si="331"/>
        <v>#N/A</v>
      </c>
      <c r="AP954" s="19">
        <f t="shared" si="332"/>
        <v>215.07999999999998</v>
      </c>
      <c r="AQ954" s="19" t="e">
        <f t="shared" si="333"/>
        <v>#N/A</v>
      </c>
      <c r="AR954" s="19">
        <f t="shared" si="334"/>
        <v>15.079999999999998</v>
      </c>
      <c r="AS954" s="19" t="e">
        <f t="shared" si="335"/>
        <v>#N/A</v>
      </c>
    </row>
    <row r="955" spans="31:45" ht="11.25" customHeight="1" x14ac:dyDescent="0.2">
      <c r="AE955" s="19">
        <v>864</v>
      </c>
      <c r="AG955" s="19">
        <f t="shared" si="323"/>
        <v>11</v>
      </c>
      <c r="AH955" s="19">
        <f t="shared" si="324"/>
        <v>1</v>
      </c>
      <c r="AI955" s="19">
        <f t="shared" si="325"/>
        <v>115.11500000000001</v>
      </c>
      <c r="AJ955" s="410">
        <f t="shared" si="326"/>
        <v>984.92</v>
      </c>
      <c r="AK955" s="19" t="e">
        <f t="shared" si="327"/>
        <v>#N/A</v>
      </c>
      <c r="AL955" s="19">
        <f t="shared" si="328"/>
        <v>784.92</v>
      </c>
      <c r="AM955" s="19" t="e">
        <f t="shared" si="329"/>
        <v>#N/A</v>
      </c>
      <c r="AN955" s="19">
        <f t="shared" si="330"/>
        <v>584.91999999999996</v>
      </c>
      <c r="AO955" s="19" t="e">
        <f t="shared" si="331"/>
        <v>#N/A</v>
      </c>
      <c r="AP955" s="19">
        <f t="shared" si="332"/>
        <v>384.92</v>
      </c>
      <c r="AQ955" s="19" t="e">
        <f t="shared" si="333"/>
        <v>#N/A</v>
      </c>
      <c r="AR955" s="19">
        <f t="shared" si="334"/>
        <v>184.92000000000002</v>
      </c>
      <c r="AS955" s="19" t="e">
        <f t="shared" si="335"/>
        <v>#N/A</v>
      </c>
    </row>
    <row r="956" spans="31:45" ht="11.25" customHeight="1" x14ac:dyDescent="0.2">
      <c r="AE956" s="19">
        <v>865</v>
      </c>
      <c r="AG956" s="19">
        <f t="shared" si="323"/>
        <v>1</v>
      </c>
      <c r="AH956" s="19">
        <f t="shared" si="324"/>
        <v>-1</v>
      </c>
      <c r="AI956" s="19">
        <f t="shared" si="325"/>
        <v>116.72500000000001</v>
      </c>
      <c r="AJ956" s="410">
        <f t="shared" si="326"/>
        <v>892.28</v>
      </c>
      <c r="AK956" s="19" t="e">
        <f t="shared" si="327"/>
        <v>#N/A</v>
      </c>
      <c r="AL956" s="19">
        <f t="shared" si="328"/>
        <v>692.28</v>
      </c>
      <c r="AM956" s="19" t="e">
        <f t="shared" si="329"/>
        <v>#N/A</v>
      </c>
      <c r="AN956" s="19">
        <f t="shared" si="330"/>
        <v>492.28</v>
      </c>
      <c r="AO956" s="19" t="e">
        <f t="shared" si="331"/>
        <v>#N/A</v>
      </c>
      <c r="AP956" s="19">
        <f t="shared" si="332"/>
        <v>292.27999999999997</v>
      </c>
      <c r="AQ956" s="19" t="e">
        <f t="shared" si="333"/>
        <v>#N/A</v>
      </c>
      <c r="AR956" s="19">
        <f t="shared" si="334"/>
        <v>92.28</v>
      </c>
      <c r="AS956" s="19" t="e">
        <f t="shared" si="335"/>
        <v>#N/A</v>
      </c>
    </row>
    <row r="957" spans="31:45" ht="11.25" customHeight="1" x14ac:dyDescent="0.2">
      <c r="AE957" s="19">
        <v>866</v>
      </c>
      <c r="AG957" s="19">
        <f t="shared" si="323"/>
        <v>1</v>
      </c>
      <c r="AH957" s="19">
        <f t="shared" si="324"/>
        <v>1</v>
      </c>
      <c r="AI957" s="19">
        <f t="shared" si="325"/>
        <v>116.72500000000001</v>
      </c>
      <c r="AJ957" s="410">
        <f t="shared" si="326"/>
        <v>907.72</v>
      </c>
      <c r="AK957" s="19" t="e">
        <f t="shared" si="327"/>
        <v>#N/A</v>
      </c>
      <c r="AL957" s="19">
        <f t="shared" si="328"/>
        <v>707.72</v>
      </c>
      <c r="AM957" s="19" t="e">
        <f t="shared" si="329"/>
        <v>#N/A</v>
      </c>
      <c r="AN957" s="19">
        <f t="shared" si="330"/>
        <v>507.72</v>
      </c>
      <c r="AO957" s="19" t="e">
        <f t="shared" si="331"/>
        <v>#N/A</v>
      </c>
      <c r="AP957" s="19">
        <f t="shared" si="332"/>
        <v>307.72000000000003</v>
      </c>
      <c r="AQ957" s="19" t="e">
        <f t="shared" si="333"/>
        <v>#N/A</v>
      </c>
      <c r="AR957" s="19">
        <f t="shared" si="334"/>
        <v>107.72</v>
      </c>
      <c r="AS957" s="19" t="e">
        <f t="shared" si="335"/>
        <v>#N/A</v>
      </c>
    </row>
    <row r="958" spans="31:45" ht="11.25" customHeight="1" x14ac:dyDescent="0.2">
      <c r="AE958" s="19">
        <v>867</v>
      </c>
      <c r="AG958" s="19">
        <f t="shared" si="323"/>
        <v>3</v>
      </c>
      <c r="AH958" s="19">
        <f t="shared" si="324"/>
        <v>-1</v>
      </c>
      <c r="AI958" s="19">
        <f t="shared" si="325"/>
        <v>116.72500000000001</v>
      </c>
      <c r="AJ958" s="410">
        <f t="shared" si="326"/>
        <v>876.84</v>
      </c>
      <c r="AK958" s="19" t="e">
        <f t="shared" si="327"/>
        <v>#N/A</v>
      </c>
      <c r="AL958" s="19">
        <f t="shared" si="328"/>
        <v>676.84</v>
      </c>
      <c r="AM958" s="19" t="e">
        <f t="shared" si="329"/>
        <v>#N/A</v>
      </c>
      <c r="AN958" s="19">
        <f t="shared" si="330"/>
        <v>476.84</v>
      </c>
      <c r="AO958" s="19" t="e">
        <f t="shared" si="331"/>
        <v>#N/A</v>
      </c>
      <c r="AP958" s="19">
        <f t="shared" si="332"/>
        <v>276.83999999999997</v>
      </c>
      <c r="AQ958" s="19" t="e">
        <f t="shared" si="333"/>
        <v>#N/A</v>
      </c>
      <c r="AR958" s="19">
        <f t="shared" si="334"/>
        <v>76.84</v>
      </c>
      <c r="AS958" s="19" t="e">
        <f t="shared" si="335"/>
        <v>#N/A</v>
      </c>
    </row>
    <row r="959" spans="31:45" ht="11.25" customHeight="1" x14ac:dyDescent="0.2">
      <c r="AE959" s="19">
        <v>868</v>
      </c>
      <c r="AG959" s="19">
        <f t="shared" si="323"/>
        <v>3</v>
      </c>
      <c r="AH959" s="19">
        <f t="shared" si="324"/>
        <v>1</v>
      </c>
      <c r="AI959" s="19">
        <f t="shared" si="325"/>
        <v>116.72500000000001</v>
      </c>
      <c r="AJ959" s="410">
        <f t="shared" si="326"/>
        <v>923.16</v>
      </c>
      <c r="AK959" s="19" t="e">
        <f t="shared" si="327"/>
        <v>#N/A</v>
      </c>
      <c r="AL959" s="19">
        <f t="shared" si="328"/>
        <v>723.16</v>
      </c>
      <c r="AM959" s="19" t="e">
        <f t="shared" si="329"/>
        <v>#N/A</v>
      </c>
      <c r="AN959" s="19">
        <f t="shared" si="330"/>
        <v>523.16</v>
      </c>
      <c r="AO959" s="19" t="e">
        <f t="shared" si="331"/>
        <v>#N/A</v>
      </c>
      <c r="AP959" s="19">
        <f t="shared" si="332"/>
        <v>323.16000000000003</v>
      </c>
      <c r="AQ959" s="19" t="e">
        <f t="shared" si="333"/>
        <v>#N/A</v>
      </c>
      <c r="AR959" s="19">
        <f t="shared" si="334"/>
        <v>123.16</v>
      </c>
      <c r="AS959" s="19" t="e">
        <f t="shared" si="335"/>
        <v>#N/A</v>
      </c>
    </row>
    <row r="960" spans="31:45" ht="11.25" customHeight="1" x14ac:dyDescent="0.2">
      <c r="AE960" s="19">
        <v>869</v>
      </c>
      <c r="AG960" s="19">
        <f t="shared" si="323"/>
        <v>5</v>
      </c>
      <c r="AH960" s="19">
        <f t="shared" si="324"/>
        <v>-1</v>
      </c>
      <c r="AI960" s="19">
        <f t="shared" si="325"/>
        <v>116.72500000000001</v>
      </c>
      <c r="AJ960" s="410">
        <f t="shared" si="326"/>
        <v>861.4</v>
      </c>
      <c r="AK960" s="19" t="e">
        <f t="shared" si="327"/>
        <v>#N/A</v>
      </c>
      <c r="AL960" s="19">
        <f t="shared" si="328"/>
        <v>661.4</v>
      </c>
      <c r="AM960" s="19" t="e">
        <f t="shared" si="329"/>
        <v>#N/A</v>
      </c>
      <c r="AN960" s="19">
        <f t="shared" si="330"/>
        <v>461.4</v>
      </c>
      <c r="AO960" s="19" t="e">
        <f t="shared" si="331"/>
        <v>#N/A</v>
      </c>
      <c r="AP960" s="19">
        <f t="shared" si="332"/>
        <v>261.39999999999998</v>
      </c>
      <c r="AQ960" s="19" t="e">
        <f t="shared" si="333"/>
        <v>#N/A</v>
      </c>
      <c r="AR960" s="19">
        <f t="shared" si="334"/>
        <v>61.4</v>
      </c>
      <c r="AS960" s="19" t="e">
        <f t="shared" si="335"/>
        <v>#N/A</v>
      </c>
    </row>
    <row r="961" spans="31:45" ht="11.25" customHeight="1" x14ac:dyDescent="0.2">
      <c r="AE961" s="19">
        <v>870</v>
      </c>
      <c r="AG961" s="19">
        <f t="shared" si="323"/>
        <v>5</v>
      </c>
      <c r="AH961" s="19">
        <f t="shared" si="324"/>
        <v>1</v>
      </c>
      <c r="AI961" s="19">
        <f t="shared" si="325"/>
        <v>116.72500000000001</v>
      </c>
      <c r="AJ961" s="410">
        <f t="shared" si="326"/>
        <v>938.6</v>
      </c>
      <c r="AK961" s="19" t="e">
        <f t="shared" si="327"/>
        <v>#N/A</v>
      </c>
      <c r="AL961" s="19">
        <f t="shared" si="328"/>
        <v>738.6</v>
      </c>
      <c r="AM961" s="19" t="e">
        <f t="shared" si="329"/>
        <v>#N/A</v>
      </c>
      <c r="AN961" s="19">
        <f t="shared" si="330"/>
        <v>538.6</v>
      </c>
      <c r="AO961" s="19" t="e">
        <f t="shared" si="331"/>
        <v>#N/A</v>
      </c>
      <c r="AP961" s="19">
        <f t="shared" si="332"/>
        <v>338.6</v>
      </c>
      <c r="AQ961" s="19" t="e">
        <f t="shared" si="333"/>
        <v>#N/A</v>
      </c>
      <c r="AR961" s="19">
        <f t="shared" si="334"/>
        <v>138.6</v>
      </c>
      <c r="AS961" s="19" t="e">
        <f t="shared" si="335"/>
        <v>#N/A</v>
      </c>
    </row>
    <row r="962" spans="31:45" ht="11.25" customHeight="1" x14ac:dyDescent="0.2">
      <c r="AE962" s="19">
        <v>871</v>
      </c>
      <c r="AG962" s="19">
        <f t="shared" si="323"/>
        <v>7</v>
      </c>
      <c r="AH962" s="19">
        <f t="shared" si="324"/>
        <v>-1</v>
      </c>
      <c r="AI962" s="19">
        <f t="shared" si="325"/>
        <v>116.72500000000001</v>
      </c>
      <c r="AJ962" s="410">
        <f t="shared" si="326"/>
        <v>845.96</v>
      </c>
      <c r="AK962" s="19" t="e">
        <f t="shared" si="327"/>
        <v>#N/A</v>
      </c>
      <c r="AL962" s="19">
        <f t="shared" si="328"/>
        <v>645.96</v>
      </c>
      <c r="AM962" s="19" t="e">
        <f t="shared" si="329"/>
        <v>#N/A</v>
      </c>
      <c r="AN962" s="19">
        <f t="shared" si="330"/>
        <v>445.96</v>
      </c>
      <c r="AO962" s="19" t="e">
        <f t="shared" si="331"/>
        <v>#N/A</v>
      </c>
      <c r="AP962" s="19">
        <f t="shared" si="332"/>
        <v>245.96</v>
      </c>
      <c r="AQ962" s="19" t="e">
        <f t="shared" si="333"/>
        <v>#N/A</v>
      </c>
      <c r="AR962" s="19">
        <f t="shared" si="334"/>
        <v>45.96</v>
      </c>
      <c r="AS962" s="19" t="e">
        <f t="shared" si="335"/>
        <v>#N/A</v>
      </c>
    </row>
    <row r="963" spans="31:45" ht="11.25" customHeight="1" x14ac:dyDescent="0.2">
      <c r="AE963" s="19">
        <v>872</v>
      </c>
      <c r="AG963" s="19">
        <f t="shared" si="323"/>
        <v>7</v>
      </c>
      <c r="AH963" s="19">
        <f t="shared" si="324"/>
        <v>1</v>
      </c>
      <c r="AI963" s="19">
        <f t="shared" si="325"/>
        <v>116.72500000000001</v>
      </c>
      <c r="AJ963" s="410">
        <f t="shared" si="326"/>
        <v>954.04</v>
      </c>
      <c r="AK963" s="19" t="e">
        <f t="shared" si="327"/>
        <v>#N/A</v>
      </c>
      <c r="AL963" s="19">
        <f t="shared" si="328"/>
        <v>754.04</v>
      </c>
      <c r="AM963" s="19" t="e">
        <f t="shared" si="329"/>
        <v>#N/A</v>
      </c>
      <c r="AN963" s="19">
        <f t="shared" si="330"/>
        <v>554.04</v>
      </c>
      <c r="AO963" s="19" t="e">
        <f t="shared" si="331"/>
        <v>#N/A</v>
      </c>
      <c r="AP963" s="19">
        <f t="shared" si="332"/>
        <v>354.04</v>
      </c>
      <c r="AQ963" s="19" t="e">
        <f t="shared" si="333"/>
        <v>#N/A</v>
      </c>
      <c r="AR963" s="19">
        <f t="shared" si="334"/>
        <v>154.04</v>
      </c>
      <c r="AS963" s="19" t="e">
        <f t="shared" si="335"/>
        <v>#N/A</v>
      </c>
    </row>
    <row r="964" spans="31:45" ht="11.25" customHeight="1" x14ac:dyDescent="0.2">
      <c r="AE964" s="19">
        <v>873</v>
      </c>
      <c r="AG964" s="19">
        <f t="shared" si="323"/>
        <v>9</v>
      </c>
      <c r="AH964" s="19">
        <f t="shared" si="324"/>
        <v>-1</v>
      </c>
      <c r="AI964" s="19">
        <f t="shared" si="325"/>
        <v>116.72500000000001</v>
      </c>
      <c r="AJ964" s="410">
        <f t="shared" si="326"/>
        <v>830.52</v>
      </c>
      <c r="AK964" s="19" t="e">
        <f t="shared" si="327"/>
        <v>#N/A</v>
      </c>
      <c r="AL964" s="19">
        <f t="shared" si="328"/>
        <v>630.52</v>
      </c>
      <c r="AM964" s="19" t="e">
        <f t="shared" si="329"/>
        <v>#N/A</v>
      </c>
      <c r="AN964" s="19">
        <f t="shared" si="330"/>
        <v>430.52</v>
      </c>
      <c r="AO964" s="19" t="e">
        <f t="shared" si="331"/>
        <v>#N/A</v>
      </c>
      <c r="AP964" s="19">
        <f t="shared" si="332"/>
        <v>230.51999999999998</v>
      </c>
      <c r="AQ964" s="19" t="e">
        <f t="shared" si="333"/>
        <v>#N/A</v>
      </c>
      <c r="AR964" s="19">
        <f t="shared" si="334"/>
        <v>30.519999999999996</v>
      </c>
      <c r="AS964" s="19" t="e">
        <f t="shared" si="335"/>
        <v>#N/A</v>
      </c>
    </row>
    <row r="965" spans="31:45" ht="11.25" customHeight="1" x14ac:dyDescent="0.2">
      <c r="AE965" s="19">
        <v>874</v>
      </c>
      <c r="AG965" s="19">
        <f t="shared" si="323"/>
        <v>9</v>
      </c>
      <c r="AH965" s="19">
        <f t="shared" si="324"/>
        <v>1</v>
      </c>
      <c r="AI965" s="19">
        <f t="shared" si="325"/>
        <v>116.72500000000001</v>
      </c>
      <c r="AJ965" s="410">
        <f t="shared" si="326"/>
        <v>969.48</v>
      </c>
      <c r="AK965" s="19" t="e">
        <f t="shared" si="327"/>
        <v>#N/A</v>
      </c>
      <c r="AL965" s="19">
        <f t="shared" si="328"/>
        <v>769.48</v>
      </c>
      <c r="AM965" s="19" t="e">
        <f t="shared" si="329"/>
        <v>#N/A</v>
      </c>
      <c r="AN965" s="19">
        <f t="shared" si="330"/>
        <v>569.48</v>
      </c>
      <c r="AO965" s="19" t="e">
        <f t="shared" si="331"/>
        <v>#N/A</v>
      </c>
      <c r="AP965" s="19">
        <f t="shared" si="332"/>
        <v>369.48</v>
      </c>
      <c r="AQ965" s="19" t="e">
        <f t="shared" si="333"/>
        <v>#N/A</v>
      </c>
      <c r="AR965" s="19">
        <f t="shared" si="334"/>
        <v>169.48000000000002</v>
      </c>
      <c r="AS965" s="19" t="e">
        <f t="shared" si="335"/>
        <v>#N/A</v>
      </c>
    </row>
    <row r="966" spans="31:45" ht="11.25" customHeight="1" x14ac:dyDescent="0.2">
      <c r="AE966" s="19">
        <v>875</v>
      </c>
      <c r="AG966" s="19">
        <f t="shared" si="323"/>
        <v>11</v>
      </c>
      <c r="AH966" s="19">
        <f t="shared" si="324"/>
        <v>-1</v>
      </c>
      <c r="AI966" s="19">
        <f t="shared" si="325"/>
        <v>116.72500000000001</v>
      </c>
      <c r="AJ966" s="410">
        <f t="shared" si="326"/>
        <v>815.08</v>
      </c>
      <c r="AK966" s="19" t="e">
        <f t="shared" si="327"/>
        <v>#N/A</v>
      </c>
      <c r="AL966" s="19">
        <f t="shared" si="328"/>
        <v>615.08000000000004</v>
      </c>
      <c r="AM966" s="19" t="e">
        <f t="shared" si="329"/>
        <v>#N/A</v>
      </c>
      <c r="AN966" s="19">
        <f t="shared" si="330"/>
        <v>415.08</v>
      </c>
      <c r="AO966" s="19" t="e">
        <f t="shared" si="331"/>
        <v>#N/A</v>
      </c>
      <c r="AP966" s="19">
        <f t="shared" si="332"/>
        <v>215.07999999999998</v>
      </c>
      <c r="AQ966" s="19" t="e">
        <f t="shared" si="333"/>
        <v>#N/A</v>
      </c>
      <c r="AR966" s="19">
        <f t="shared" si="334"/>
        <v>15.079999999999998</v>
      </c>
      <c r="AS966" s="19" t="e">
        <f t="shared" si="335"/>
        <v>#N/A</v>
      </c>
    </row>
    <row r="967" spans="31:45" ht="11.25" customHeight="1" x14ac:dyDescent="0.2">
      <c r="AE967" s="19">
        <v>876</v>
      </c>
      <c r="AG967" s="19">
        <f t="shared" si="323"/>
        <v>11</v>
      </c>
      <c r="AH967" s="19">
        <f t="shared" si="324"/>
        <v>1</v>
      </c>
      <c r="AI967" s="19">
        <f t="shared" si="325"/>
        <v>116.72500000000001</v>
      </c>
      <c r="AJ967" s="410">
        <f t="shared" si="326"/>
        <v>984.92</v>
      </c>
      <c r="AK967" s="19" t="e">
        <f t="shared" si="327"/>
        <v>#N/A</v>
      </c>
      <c r="AL967" s="19">
        <f t="shared" si="328"/>
        <v>784.92</v>
      </c>
      <c r="AM967" s="19" t="e">
        <f t="shared" si="329"/>
        <v>#N/A</v>
      </c>
      <c r="AN967" s="19">
        <f t="shared" si="330"/>
        <v>584.91999999999996</v>
      </c>
      <c r="AO967" s="19" t="e">
        <f t="shared" si="331"/>
        <v>#N/A</v>
      </c>
      <c r="AP967" s="19">
        <f t="shared" si="332"/>
        <v>384.92</v>
      </c>
      <c r="AQ967" s="19" t="e">
        <f t="shared" si="333"/>
        <v>#N/A</v>
      </c>
      <c r="AR967" s="19">
        <f t="shared" si="334"/>
        <v>184.92000000000002</v>
      </c>
      <c r="AS967" s="19" t="e">
        <f t="shared" si="335"/>
        <v>#N/A</v>
      </c>
    </row>
    <row r="968" spans="31:45" ht="11.25" customHeight="1" x14ac:dyDescent="0.2">
      <c r="AE968" s="19">
        <v>877</v>
      </c>
      <c r="AG968" s="19">
        <f t="shared" si="323"/>
        <v>1</v>
      </c>
      <c r="AH968" s="19">
        <f t="shared" si="324"/>
        <v>-1</v>
      </c>
      <c r="AI968" s="19">
        <f t="shared" si="325"/>
        <v>118.33500000000001</v>
      </c>
      <c r="AJ968" s="410">
        <f t="shared" si="326"/>
        <v>892.28</v>
      </c>
      <c r="AK968" s="19" t="e">
        <f t="shared" si="327"/>
        <v>#N/A</v>
      </c>
      <c r="AL968" s="19">
        <f t="shared" si="328"/>
        <v>692.28</v>
      </c>
      <c r="AM968" s="19" t="e">
        <f t="shared" si="329"/>
        <v>#N/A</v>
      </c>
      <c r="AN968" s="19">
        <f t="shared" si="330"/>
        <v>492.28</v>
      </c>
      <c r="AO968" s="19" t="e">
        <f t="shared" si="331"/>
        <v>#N/A</v>
      </c>
      <c r="AP968" s="19">
        <f t="shared" si="332"/>
        <v>292.27999999999997</v>
      </c>
      <c r="AQ968" s="19" t="e">
        <f t="shared" si="333"/>
        <v>#N/A</v>
      </c>
      <c r="AR968" s="19">
        <f t="shared" si="334"/>
        <v>92.28</v>
      </c>
      <c r="AS968" s="19" t="e">
        <f t="shared" si="335"/>
        <v>#N/A</v>
      </c>
    </row>
    <row r="969" spans="31:45" ht="11.25" customHeight="1" x14ac:dyDescent="0.2">
      <c r="AE969" s="19">
        <v>878</v>
      </c>
      <c r="AG969" s="19">
        <f t="shared" si="323"/>
        <v>1</v>
      </c>
      <c r="AH969" s="19">
        <f t="shared" si="324"/>
        <v>1</v>
      </c>
      <c r="AI969" s="19">
        <f t="shared" si="325"/>
        <v>118.33500000000001</v>
      </c>
      <c r="AJ969" s="410">
        <f t="shared" si="326"/>
        <v>907.72</v>
      </c>
      <c r="AK969" s="19" t="e">
        <f t="shared" si="327"/>
        <v>#N/A</v>
      </c>
      <c r="AL969" s="19">
        <f t="shared" si="328"/>
        <v>707.72</v>
      </c>
      <c r="AM969" s="19" t="e">
        <f t="shared" si="329"/>
        <v>#N/A</v>
      </c>
      <c r="AN969" s="19">
        <f t="shared" si="330"/>
        <v>507.72</v>
      </c>
      <c r="AO969" s="19" t="e">
        <f t="shared" si="331"/>
        <v>#N/A</v>
      </c>
      <c r="AP969" s="19">
        <f t="shared" si="332"/>
        <v>307.72000000000003</v>
      </c>
      <c r="AQ969" s="19" t="e">
        <f t="shared" si="333"/>
        <v>#N/A</v>
      </c>
      <c r="AR969" s="19">
        <f t="shared" si="334"/>
        <v>107.72</v>
      </c>
      <c r="AS969" s="19" t="e">
        <f t="shared" si="335"/>
        <v>#N/A</v>
      </c>
    </row>
    <row r="970" spans="31:45" ht="11.25" customHeight="1" x14ac:dyDescent="0.2">
      <c r="AE970" s="19">
        <v>879</v>
      </c>
      <c r="AG970" s="19">
        <f t="shared" si="323"/>
        <v>3</v>
      </c>
      <c r="AH970" s="19">
        <f t="shared" si="324"/>
        <v>-1</v>
      </c>
      <c r="AI970" s="19">
        <f t="shared" si="325"/>
        <v>118.33500000000001</v>
      </c>
      <c r="AJ970" s="410">
        <f t="shared" si="326"/>
        <v>876.84</v>
      </c>
      <c r="AK970" s="19" t="e">
        <f t="shared" si="327"/>
        <v>#N/A</v>
      </c>
      <c r="AL970" s="19">
        <f t="shared" si="328"/>
        <v>676.84</v>
      </c>
      <c r="AM970" s="19" t="e">
        <f t="shared" si="329"/>
        <v>#N/A</v>
      </c>
      <c r="AN970" s="19">
        <f t="shared" si="330"/>
        <v>476.84</v>
      </c>
      <c r="AO970" s="19" t="e">
        <f t="shared" si="331"/>
        <v>#N/A</v>
      </c>
      <c r="AP970" s="19">
        <f t="shared" si="332"/>
        <v>276.83999999999997</v>
      </c>
      <c r="AQ970" s="19" t="e">
        <f t="shared" si="333"/>
        <v>#N/A</v>
      </c>
      <c r="AR970" s="19">
        <f t="shared" si="334"/>
        <v>76.84</v>
      </c>
      <c r="AS970" s="19" t="e">
        <f t="shared" si="335"/>
        <v>#N/A</v>
      </c>
    </row>
    <row r="971" spans="31:45" ht="11.25" customHeight="1" x14ac:dyDescent="0.2">
      <c r="AE971" s="19">
        <v>880</v>
      </c>
      <c r="AG971" s="19">
        <f t="shared" si="323"/>
        <v>3</v>
      </c>
      <c r="AH971" s="19">
        <f t="shared" si="324"/>
        <v>1</v>
      </c>
      <c r="AI971" s="19">
        <f t="shared" si="325"/>
        <v>118.33500000000001</v>
      </c>
      <c r="AJ971" s="410">
        <f t="shared" si="326"/>
        <v>923.16</v>
      </c>
      <c r="AK971" s="19" t="e">
        <f t="shared" si="327"/>
        <v>#N/A</v>
      </c>
      <c r="AL971" s="19">
        <f t="shared" si="328"/>
        <v>723.16</v>
      </c>
      <c r="AM971" s="19" t="e">
        <f t="shared" si="329"/>
        <v>#N/A</v>
      </c>
      <c r="AN971" s="19">
        <f t="shared" si="330"/>
        <v>523.16</v>
      </c>
      <c r="AO971" s="19" t="e">
        <f t="shared" si="331"/>
        <v>#N/A</v>
      </c>
      <c r="AP971" s="19">
        <f t="shared" si="332"/>
        <v>323.16000000000003</v>
      </c>
      <c r="AQ971" s="19" t="e">
        <f t="shared" si="333"/>
        <v>#N/A</v>
      </c>
      <c r="AR971" s="19">
        <f t="shared" si="334"/>
        <v>123.16</v>
      </c>
      <c r="AS971" s="19" t="e">
        <f t="shared" si="335"/>
        <v>#N/A</v>
      </c>
    </row>
    <row r="972" spans="31:45" ht="11.25" customHeight="1" x14ac:dyDescent="0.2">
      <c r="AE972" s="19">
        <v>881</v>
      </c>
      <c r="AG972" s="19">
        <f t="shared" si="323"/>
        <v>5</v>
      </c>
      <c r="AH972" s="19">
        <f t="shared" si="324"/>
        <v>-1</v>
      </c>
      <c r="AI972" s="19">
        <f t="shared" si="325"/>
        <v>118.33500000000001</v>
      </c>
      <c r="AJ972" s="410">
        <f t="shared" si="326"/>
        <v>861.4</v>
      </c>
      <c r="AK972" s="19" t="e">
        <f t="shared" si="327"/>
        <v>#N/A</v>
      </c>
      <c r="AL972" s="19">
        <f t="shared" si="328"/>
        <v>661.4</v>
      </c>
      <c r="AM972" s="19" t="e">
        <f t="shared" si="329"/>
        <v>#N/A</v>
      </c>
      <c r="AN972" s="19">
        <f t="shared" si="330"/>
        <v>461.4</v>
      </c>
      <c r="AO972" s="19" t="e">
        <f t="shared" si="331"/>
        <v>#N/A</v>
      </c>
      <c r="AP972" s="19">
        <f t="shared" si="332"/>
        <v>261.39999999999998</v>
      </c>
      <c r="AQ972" s="19" t="e">
        <f t="shared" si="333"/>
        <v>#N/A</v>
      </c>
      <c r="AR972" s="19">
        <f t="shared" si="334"/>
        <v>61.4</v>
      </c>
      <c r="AS972" s="19" t="e">
        <f t="shared" si="335"/>
        <v>#N/A</v>
      </c>
    </row>
    <row r="973" spans="31:45" ht="11.25" customHeight="1" x14ac:dyDescent="0.2">
      <c r="AE973" s="19">
        <v>882</v>
      </c>
      <c r="AG973" s="19">
        <f t="shared" si="323"/>
        <v>5</v>
      </c>
      <c r="AH973" s="19">
        <f t="shared" si="324"/>
        <v>1</v>
      </c>
      <c r="AI973" s="19">
        <f t="shared" si="325"/>
        <v>118.33500000000001</v>
      </c>
      <c r="AJ973" s="410">
        <f t="shared" si="326"/>
        <v>938.6</v>
      </c>
      <c r="AK973" s="19" t="e">
        <f t="shared" si="327"/>
        <v>#N/A</v>
      </c>
      <c r="AL973" s="19">
        <f t="shared" si="328"/>
        <v>738.6</v>
      </c>
      <c r="AM973" s="19" t="e">
        <f t="shared" si="329"/>
        <v>#N/A</v>
      </c>
      <c r="AN973" s="19">
        <f t="shared" si="330"/>
        <v>538.6</v>
      </c>
      <c r="AO973" s="19" t="e">
        <f t="shared" si="331"/>
        <v>#N/A</v>
      </c>
      <c r="AP973" s="19">
        <f t="shared" si="332"/>
        <v>338.6</v>
      </c>
      <c r="AQ973" s="19" t="e">
        <f t="shared" si="333"/>
        <v>#N/A</v>
      </c>
      <c r="AR973" s="19">
        <f t="shared" si="334"/>
        <v>138.6</v>
      </c>
      <c r="AS973" s="19" t="e">
        <f t="shared" si="335"/>
        <v>#N/A</v>
      </c>
    </row>
    <row r="974" spans="31:45" ht="11.25" customHeight="1" x14ac:dyDescent="0.2">
      <c r="AE974" s="19">
        <v>883</v>
      </c>
      <c r="AG974" s="19">
        <f t="shared" si="323"/>
        <v>7</v>
      </c>
      <c r="AH974" s="19">
        <f t="shared" si="324"/>
        <v>-1</v>
      </c>
      <c r="AI974" s="19">
        <f t="shared" si="325"/>
        <v>118.33500000000001</v>
      </c>
      <c r="AJ974" s="410">
        <f t="shared" si="326"/>
        <v>845.96</v>
      </c>
      <c r="AK974" s="19" t="e">
        <f t="shared" si="327"/>
        <v>#N/A</v>
      </c>
      <c r="AL974" s="19">
        <f t="shared" si="328"/>
        <v>645.96</v>
      </c>
      <c r="AM974" s="19" t="e">
        <f t="shared" si="329"/>
        <v>#N/A</v>
      </c>
      <c r="AN974" s="19">
        <f t="shared" si="330"/>
        <v>445.96</v>
      </c>
      <c r="AO974" s="19" t="e">
        <f t="shared" si="331"/>
        <v>#N/A</v>
      </c>
      <c r="AP974" s="19">
        <f t="shared" si="332"/>
        <v>245.96</v>
      </c>
      <c r="AQ974" s="19" t="e">
        <f t="shared" si="333"/>
        <v>#N/A</v>
      </c>
      <c r="AR974" s="19">
        <f t="shared" si="334"/>
        <v>45.96</v>
      </c>
      <c r="AS974" s="19" t="e">
        <f t="shared" si="335"/>
        <v>#N/A</v>
      </c>
    </row>
    <row r="975" spans="31:45" ht="11.25" customHeight="1" x14ac:dyDescent="0.2">
      <c r="AE975" s="19">
        <v>884</v>
      </c>
      <c r="AG975" s="19">
        <f t="shared" si="323"/>
        <v>7</v>
      </c>
      <c r="AH975" s="19">
        <f t="shared" si="324"/>
        <v>1</v>
      </c>
      <c r="AI975" s="19">
        <f t="shared" si="325"/>
        <v>118.33500000000001</v>
      </c>
      <c r="AJ975" s="410">
        <f t="shared" si="326"/>
        <v>954.04</v>
      </c>
      <c r="AK975" s="19" t="e">
        <f t="shared" si="327"/>
        <v>#N/A</v>
      </c>
      <c r="AL975" s="19">
        <f t="shared" si="328"/>
        <v>754.04</v>
      </c>
      <c r="AM975" s="19" t="e">
        <f t="shared" si="329"/>
        <v>#N/A</v>
      </c>
      <c r="AN975" s="19">
        <f t="shared" si="330"/>
        <v>554.04</v>
      </c>
      <c r="AO975" s="19" t="e">
        <f t="shared" si="331"/>
        <v>#N/A</v>
      </c>
      <c r="AP975" s="19">
        <f t="shared" si="332"/>
        <v>354.04</v>
      </c>
      <c r="AQ975" s="19" t="e">
        <f t="shared" si="333"/>
        <v>#N/A</v>
      </c>
      <c r="AR975" s="19">
        <f t="shared" si="334"/>
        <v>154.04</v>
      </c>
      <c r="AS975" s="19" t="e">
        <f t="shared" si="335"/>
        <v>#N/A</v>
      </c>
    </row>
    <row r="976" spans="31:45" ht="11.25" customHeight="1" x14ac:dyDescent="0.2">
      <c r="AE976" s="19">
        <v>885</v>
      </c>
      <c r="AG976" s="19">
        <f t="shared" si="323"/>
        <v>9</v>
      </c>
      <c r="AH976" s="19">
        <f t="shared" si="324"/>
        <v>-1</v>
      </c>
      <c r="AI976" s="19">
        <f t="shared" si="325"/>
        <v>118.33500000000001</v>
      </c>
      <c r="AJ976" s="410">
        <f t="shared" si="326"/>
        <v>830.52</v>
      </c>
      <c r="AK976" s="19" t="e">
        <f t="shared" si="327"/>
        <v>#N/A</v>
      </c>
      <c r="AL976" s="19">
        <f t="shared" si="328"/>
        <v>630.52</v>
      </c>
      <c r="AM976" s="19" t="e">
        <f t="shared" si="329"/>
        <v>#N/A</v>
      </c>
      <c r="AN976" s="19">
        <f t="shared" si="330"/>
        <v>430.52</v>
      </c>
      <c r="AO976" s="19" t="e">
        <f t="shared" si="331"/>
        <v>#N/A</v>
      </c>
      <c r="AP976" s="19">
        <f t="shared" si="332"/>
        <v>230.51999999999998</v>
      </c>
      <c r="AQ976" s="19" t="e">
        <f t="shared" si="333"/>
        <v>#N/A</v>
      </c>
      <c r="AR976" s="19">
        <f t="shared" si="334"/>
        <v>30.519999999999996</v>
      </c>
      <c r="AS976" s="19" t="e">
        <f t="shared" si="335"/>
        <v>#N/A</v>
      </c>
    </row>
    <row r="977" spans="31:45" ht="11.25" customHeight="1" x14ac:dyDescent="0.2">
      <c r="AE977" s="19">
        <v>886</v>
      </c>
      <c r="AG977" s="19">
        <f t="shared" si="323"/>
        <v>9</v>
      </c>
      <c r="AH977" s="19">
        <f t="shared" si="324"/>
        <v>1</v>
      </c>
      <c r="AI977" s="19">
        <f t="shared" si="325"/>
        <v>118.33500000000001</v>
      </c>
      <c r="AJ977" s="410">
        <f t="shared" si="326"/>
        <v>969.48</v>
      </c>
      <c r="AK977" s="19" t="e">
        <f t="shared" si="327"/>
        <v>#N/A</v>
      </c>
      <c r="AL977" s="19">
        <f t="shared" si="328"/>
        <v>769.48</v>
      </c>
      <c r="AM977" s="19" t="e">
        <f t="shared" si="329"/>
        <v>#N/A</v>
      </c>
      <c r="AN977" s="19">
        <f t="shared" si="330"/>
        <v>569.48</v>
      </c>
      <c r="AO977" s="19" t="e">
        <f t="shared" si="331"/>
        <v>#N/A</v>
      </c>
      <c r="AP977" s="19">
        <f t="shared" si="332"/>
        <v>369.48</v>
      </c>
      <c r="AQ977" s="19" t="e">
        <f t="shared" si="333"/>
        <v>#N/A</v>
      </c>
      <c r="AR977" s="19">
        <f t="shared" si="334"/>
        <v>169.48000000000002</v>
      </c>
      <c r="AS977" s="19" t="e">
        <f t="shared" si="335"/>
        <v>#N/A</v>
      </c>
    </row>
    <row r="978" spans="31:45" ht="11.25" customHeight="1" x14ac:dyDescent="0.2">
      <c r="AE978" s="19">
        <v>887</v>
      </c>
      <c r="AG978" s="19">
        <f t="shared" si="323"/>
        <v>11</v>
      </c>
      <c r="AH978" s="19">
        <f t="shared" si="324"/>
        <v>-1</v>
      </c>
      <c r="AI978" s="19">
        <f t="shared" si="325"/>
        <v>118.33500000000001</v>
      </c>
      <c r="AJ978" s="410">
        <f t="shared" si="326"/>
        <v>815.08</v>
      </c>
      <c r="AK978" s="19" t="e">
        <f t="shared" si="327"/>
        <v>#N/A</v>
      </c>
      <c r="AL978" s="19">
        <f t="shared" si="328"/>
        <v>615.08000000000004</v>
      </c>
      <c r="AM978" s="19" t="e">
        <f t="shared" si="329"/>
        <v>#N/A</v>
      </c>
      <c r="AN978" s="19">
        <f t="shared" si="330"/>
        <v>415.08</v>
      </c>
      <c r="AO978" s="19" t="e">
        <f t="shared" si="331"/>
        <v>#N/A</v>
      </c>
      <c r="AP978" s="19">
        <f t="shared" si="332"/>
        <v>215.07999999999998</v>
      </c>
      <c r="AQ978" s="19" t="e">
        <f t="shared" si="333"/>
        <v>#N/A</v>
      </c>
      <c r="AR978" s="19">
        <f t="shared" si="334"/>
        <v>15.079999999999998</v>
      </c>
      <c r="AS978" s="19" t="e">
        <f t="shared" si="335"/>
        <v>#N/A</v>
      </c>
    </row>
    <row r="979" spans="31:45" ht="11.25" customHeight="1" x14ac:dyDescent="0.2">
      <c r="AE979" s="19">
        <v>888</v>
      </c>
      <c r="AG979" s="19">
        <f t="shared" si="323"/>
        <v>11</v>
      </c>
      <c r="AH979" s="19">
        <f t="shared" si="324"/>
        <v>1</v>
      </c>
      <c r="AI979" s="19">
        <f t="shared" si="325"/>
        <v>118.33500000000001</v>
      </c>
      <c r="AJ979" s="410">
        <f t="shared" si="326"/>
        <v>984.92</v>
      </c>
      <c r="AK979" s="19" t="e">
        <f t="shared" si="327"/>
        <v>#N/A</v>
      </c>
      <c r="AL979" s="19">
        <f t="shared" si="328"/>
        <v>784.92</v>
      </c>
      <c r="AM979" s="19" t="e">
        <f t="shared" si="329"/>
        <v>#N/A</v>
      </c>
      <c r="AN979" s="19">
        <f t="shared" si="330"/>
        <v>584.91999999999996</v>
      </c>
      <c r="AO979" s="19" t="e">
        <f t="shared" si="331"/>
        <v>#N/A</v>
      </c>
      <c r="AP979" s="19">
        <f t="shared" si="332"/>
        <v>384.92</v>
      </c>
      <c r="AQ979" s="19" t="e">
        <f t="shared" si="333"/>
        <v>#N/A</v>
      </c>
      <c r="AR979" s="19">
        <f t="shared" si="334"/>
        <v>184.92000000000002</v>
      </c>
      <c r="AS979" s="19" t="e">
        <f t="shared" si="335"/>
        <v>#N/A</v>
      </c>
    </row>
    <row r="980" spans="31:45" ht="11.25" customHeight="1" x14ac:dyDescent="0.2">
      <c r="AE980" s="19">
        <v>889</v>
      </c>
      <c r="AG980" s="19">
        <f t="shared" si="323"/>
        <v>1</v>
      </c>
      <c r="AH980" s="19">
        <f t="shared" si="324"/>
        <v>-1</v>
      </c>
      <c r="AI980" s="19">
        <f t="shared" si="325"/>
        <v>119.94500000000001</v>
      </c>
      <c r="AJ980" s="410">
        <f t="shared" si="326"/>
        <v>892.28</v>
      </c>
      <c r="AK980" s="19" t="e">
        <f t="shared" si="327"/>
        <v>#N/A</v>
      </c>
      <c r="AL980" s="19">
        <f t="shared" si="328"/>
        <v>692.28</v>
      </c>
      <c r="AM980" s="19" t="e">
        <f t="shared" si="329"/>
        <v>#N/A</v>
      </c>
      <c r="AN980" s="19">
        <f t="shared" si="330"/>
        <v>492.28</v>
      </c>
      <c r="AO980" s="19" t="e">
        <f t="shared" si="331"/>
        <v>#N/A</v>
      </c>
      <c r="AP980" s="19">
        <f t="shared" si="332"/>
        <v>292.27999999999997</v>
      </c>
      <c r="AQ980" s="19" t="e">
        <f t="shared" si="333"/>
        <v>#N/A</v>
      </c>
      <c r="AR980" s="19">
        <f t="shared" si="334"/>
        <v>92.28</v>
      </c>
      <c r="AS980" s="19" t="e">
        <f t="shared" si="335"/>
        <v>#N/A</v>
      </c>
    </row>
    <row r="981" spans="31:45" ht="11.25" customHeight="1" x14ac:dyDescent="0.2">
      <c r="AE981" s="19">
        <v>890</v>
      </c>
      <c r="AG981" s="19">
        <f t="shared" si="323"/>
        <v>1</v>
      </c>
      <c r="AH981" s="19">
        <f t="shared" si="324"/>
        <v>1</v>
      </c>
      <c r="AI981" s="19">
        <f t="shared" si="325"/>
        <v>119.94500000000001</v>
      </c>
      <c r="AJ981" s="410">
        <f t="shared" si="326"/>
        <v>907.72</v>
      </c>
      <c r="AK981" s="19" t="e">
        <f t="shared" si="327"/>
        <v>#N/A</v>
      </c>
      <c r="AL981" s="19">
        <f t="shared" si="328"/>
        <v>707.72</v>
      </c>
      <c r="AM981" s="19" t="e">
        <f t="shared" si="329"/>
        <v>#N/A</v>
      </c>
      <c r="AN981" s="19">
        <f t="shared" si="330"/>
        <v>507.72</v>
      </c>
      <c r="AO981" s="19" t="e">
        <f t="shared" si="331"/>
        <v>#N/A</v>
      </c>
      <c r="AP981" s="19">
        <f t="shared" si="332"/>
        <v>307.72000000000003</v>
      </c>
      <c r="AQ981" s="19" t="e">
        <f t="shared" si="333"/>
        <v>#N/A</v>
      </c>
      <c r="AR981" s="19">
        <f t="shared" si="334"/>
        <v>107.72</v>
      </c>
      <c r="AS981" s="19" t="e">
        <f t="shared" si="335"/>
        <v>#N/A</v>
      </c>
    </row>
    <row r="982" spans="31:45" ht="11.25" customHeight="1" x14ac:dyDescent="0.2">
      <c r="AE982" s="19">
        <v>891</v>
      </c>
      <c r="AG982" s="19">
        <f t="shared" si="323"/>
        <v>3</v>
      </c>
      <c r="AH982" s="19">
        <f t="shared" si="324"/>
        <v>-1</v>
      </c>
      <c r="AI982" s="19">
        <f t="shared" si="325"/>
        <v>119.94500000000001</v>
      </c>
      <c r="AJ982" s="410">
        <f t="shared" si="326"/>
        <v>876.84</v>
      </c>
      <c r="AK982" s="19" t="e">
        <f t="shared" si="327"/>
        <v>#N/A</v>
      </c>
      <c r="AL982" s="19">
        <f t="shared" si="328"/>
        <v>676.84</v>
      </c>
      <c r="AM982" s="19" t="e">
        <f t="shared" si="329"/>
        <v>#N/A</v>
      </c>
      <c r="AN982" s="19">
        <f t="shared" si="330"/>
        <v>476.84</v>
      </c>
      <c r="AO982" s="19" t="e">
        <f t="shared" si="331"/>
        <v>#N/A</v>
      </c>
      <c r="AP982" s="19">
        <f t="shared" si="332"/>
        <v>276.83999999999997</v>
      </c>
      <c r="AQ982" s="19" t="e">
        <f t="shared" si="333"/>
        <v>#N/A</v>
      </c>
      <c r="AR982" s="19">
        <f t="shared" si="334"/>
        <v>76.84</v>
      </c>
      <c r="AS982" s="19" t="e">
        <f t="shared" si="335"/>
        <v>#N/A</v>
      </c>
    </row>
    <row r="983" spans="31:45" ht="11.25" customHeight="1" x14ac:dyDescent="0.2">
      <c r="AE983" s="19">
        <v>892</v>
      </c>
      <c r="AG983" s="19">
        <f t="shared" si="323"/>
        <v>3</v>
      </c>
      <c r="AH983" s="19">
        <f t="shared" si="324"/>
        <v>1</v>
      </c>
      <c r="AI983" s="19">
        <f t="shared" si="325"/>
        <v>119.94500000000001</v>
      </c>
      <c r="AJ983" s="410">
        <f t="shared" si="326"/>
        <v>923.16</v>
      </c>
      <c r="AK983" s="19" t="e">
        <f t="shared" si="327"/>
        <v>#N/A</v>
      </c>
      <c r="AL983" s="19">
        <f t="shared" si="328"/>
        <v>723.16</v>
      </c>
      <c r="AM983" s="19" t="e">
        <f t="shared" si="329"/>
        <v>#N/A</v>
      </c>
      <c r="AN983" s="19">
        <f t="shared" si="330"/>
        <v>523.16</v>
      </c>
      <c r="AO983" s="19" t="e">
        <f t="shared" si="331"/>
        <v>#N/A</v>
      </c>
      <c r="AP983" s="19">
        <f t="shared" si="332"/>
        <v>323.16000000000003</v>
      </c>
      <c r="AQ983" s="19" t="e">
        <f t="shared" si="333"/>
        <v>#N/A</v>
      </c>
      <c r="AR983" s="19">
        <f t="shared" si="334"/>
        <v>123.16</v>
      </c>
      <c r="AS983" s="19" t="e">
        <f t="shared" si="335"/>
        <v>#N/A</v>
      </c>
    </row>
    <row r="984" spans="31:45" ht="11.25" customHeight="1" x14ac:dyDescent="0.2">
      <c r="AE984" s="19">
        <v>893</v>
      </c>
      <c r="AG984" s="19">
        <f t="shared" si="323"/>
        <v>5</v>
      </c>
      <c r="AH984" s="19">
        <f t="shared" si="324"/>
        <v>-1</v>
      </c>
      <c r="AI984" s="19">
        <f t="shared" si="325"/>
        <v>119.94500000000001</v>
      </c>
      <c r="AJ984" s="410">
        <f t="shared" si="326"/>
        <v>861.4</v>
      </c>
      <c r="AK984" s="19" t="e">
        <f t="shared" si="327"/>
        <v>#N/A</v>
      </c>
      <c r="AL984" s="19">
        <f t="shared" si="328"/>
        <v>661.4</v>
      </c>
      <c r="AM984" s="19" t="e">
        <f t="shared" si="329"/>
        <v>#N/A</v>
      </c>
      <c r="AN984" s="19">
        <f t="shared" si="330"/>
        <v>461.4</v>
      </c>
      <c r="AO984" s="19" t="e">
        <f t="shared" si="331"/>
        <v>#N/A</v>
      </c>
      <c r="AP984" s="19">
        <f t="shared" si="332"/>
        <v>261.39999999999998</v>
      </c>
      <c r="AQ984" s="19" t="e">
        <f t="shared" si="333"/>
        <v>#N/A</v>
      </c>
      <c r="AR984" s="19">
        <f t="shared" si="334"/>
        <v>61.4</v>
      </c>
      <c r="AS984" s="19" t="e">
        <f t="shared" si="335"/>
        <v>#N/A</v>
      </c>
    </row>
    <row r="985" spans="31:45" ht="11.25" customHeight="1" x14ac:dyDescent="0.2">
      <c r="AE985" s="19">
        <v>894</v>
      </c>
      <c r="AG985" s="19">
        <f t="shared" si="323"/>
        <v>5</v>
      </c>
      <c r="AH985" s="19">
        <f t="shared" si="324"/>
        <v>1</v>
      </c>
      <c r="AI985" s="19">
        <f t="shared" si="325"/>
        <v>119.94500000000001</v>
      </c>
      <c r="AJ985" s="410">
        <f t="shared" si="326"/>
        <v>938.6</v>
      </c>
      <c r="AK985" s="19" t="e">
        <f t="shared" si="327"/>
        <v>#N/A</v>
      </c>
      <c r="AL985" s="19">
        <f t="shared" si="328"/>
        <v>738.6</v>
      </c>
      <c r="AM985" s="19" t="e">
        <f t="shared" si="329"/>
        <v>#N/A</v>
      </c>
      <c r="AN985" s="19">
        <f t="shared" si="330"/>
        <v>538.6</v>
      </c>
      <c r="AO985" s="19" t="e">
        <f t="shared" si="331"/>
        <v>#N/A</v>
      </c>
      <c r="AP985" s="19">
        <f t="shared" si="332"/>
        <v>338.6</v>
      </c>
      <c r="AQ985" s="19" t="e">
        <f t="shared" si="333"/>
        <v>#N/A</v>
      </c>
      <c r="AR985" s="19">
        <f t="shared" si="334"/>
        <v>138.6</v>
      </c>
      <c r="AS985" s="19" t="e">
        <f t="shared" si="335"/>
        <v>#N/A</v>
      </c>
    </row>
    <row r="986" spans="31:45" ht="11.25" customHeight="1" x14ac:dyDescent="0.2">
      <c r="AE986" s="19">
        <v>895</v>
      </c>
      <c r="AG986" s="19">
        <f t="shared" si="323"/>
        <v>7</v>
      </c>
      <c r="AH986" s="19">
        <f t="shared" si="324"/>
        <v>-1</v>
      </c>
      <c r="AI986" s="19">
        <f t="shared" si="325"/>
        <v>119.94500000000001</v>
      </c>
      <c r="AJ986" s="410">
        <f t="shared" si="326"/>
        <v>845.96</v>
      </c>
      <c r="AK986" s="19" t="e">
        <f t="shared" si="327"/>
        <v>#N/A</v>
      </c>
      <c r="AL986" s="19">
        <f t="shared" si="328"/>
        <v>645.96</v>
      </c>
      <c r="AM986" s="19" t="e">
        <f t="shared" si="329"/>
        <v>#N/A</v>
      </c>
      <c r="AN986" s="19">
        <f t="shared" si="330"/>
        <v>445.96</v>
      </c>
      <c r="AO986" s="19" t="e">
        <f t="shared" si="331"/>
        <v>#N/A</v>
      </c>
      <c r="AP986" s="19">
        <f t="shared" si="332"/>
        <v>245.96</v>
      </c>
      <c r="AQ986" s="19" t="e">
        <f t="shared" si="333"/>
        <v>#N/A</v>
      </c>
      <c r="AR986" s="19">
        <f t="shared" si="334"/>
        <v>45.96</v>
      </c>
      <c r="AS986" s="19" t="e">
        <f t="shared" si="335"/>
        <v>#N/A</v>
      </c>
    </row>
    <row r="987" spans="31:45" ht="11.25" customHeight="1" x14ac:dyDescent="0.2">
      <c r="AE987" s="19">
        <v>896</v>
      </c>
      <c r="AG987" s="19">
        <f t="shared" si="323"/>
        <v>7</v>
      </c>
      <c r="AH987" s="19">
        <f t="shared" si="324"/>
        <v>1</v>
      </c>
      <c r="AI987" s="19">
        <f t="shared" si="325"/>
        <v>119.94500000000001</v>
      </c>
      <c r="AJ987" s="410">
        <f t="shared" si="326"/>
        <v>954.04</v>
      </c>
      <c r="AK987" s="19" t="e">
        <f t="shared" si="327"/>
        <v>#N/A</v>
      </c>
      <c r="AL987" s="19">
        <f t="shared" si="328"/>
        <v>754.04</v>
      </c>
      <c r="AM987" s="19" t="e">
        <f t="shared" si="329"/>
        <v>#N/A</v>
      </c>
      <c r="AN987" s="19">
        <f t="shared" si="330"/>
        <v>554.04</v>
      </c>
      <c r="AO987" s="19" t="e">
        <f t="shared" si="331"/>
        <v>#N/A</v>
      </c>
      <c r="AP987" s="19">
        <f t="shared" si="332"/>
        <v>354.04</v>
      </c>
      <c r="AQ987" s="19" t="e">
        <f t="shared" si="333"/>
        <v>#N/A</v>
      </c>
      <c r="AR987" s="19">
        <f t="shared" si="334"/>
        <v>154.04</v>
      </c>
      <c r="AS987" s="19" t="e">
        <f t="shared" si="335"/>
        <v>#N/A</v>
      </c>
    </row>
    <row r="988" spans="31:45" ht="11.25" customHeight="1" x14ac:dyDescent="0.2">
      <c r="AE988" s="19">
        <v>897</v>
      </c>
      <c r="AG988" s="19">
        <f t="shared" ref="AG988:AG1051" si="336">2*ROUNDUP((MOD(AE988-1,$AB$94)+1)/2,0)-1</f>
        <v>9</v>
      </c>
      <c r="AH988" s="19">
        <f t="shared" ref="AH988:AH1051" si="337">IF(AG988=AG989,-1,1)</f>
        <v>-1</v>
      </c>
      <c r="AI988" s="19">
        <f t="shared" ref="AI988:AI1051" si="338">IF($BR$7,$AB$87*(0.5+INT((AE988-0.5)/$AB$94)),NA())</f>
        <v>119.94500000000001</v>
      </c>
      <c r="AJ988" s="410">
        <f t="shared" ref="AJ988:AJ1051" si="339">IF($BP$11,$AM$87+$AB$90*AH988*AG988,NA())</f>
        <v>830.52</v>
      </c>
      <c r="AK988" s="19" t="e">
        <f t="shared" ref="AK988:AK1051" si="340">IF($AG$83&lt;AE988,NA(),AI988)</f>
        <v>#N/A</v>
      </c>
      <c r="AL988" s="19">
        <f t="shared" ref="AL988:AL1051" si="341">IF($BP$11,$AN$87+$AB$90*AH988*AG988,NA())</f>
        <v>630.52</v>
      </c>
      <c r="AM988" s="19" t="e">
        <f t="shared" ref="AM988:AM1051" si="342">IF($AH$83&lt;AE988,NA(),AI988)</f>
        <v>#N/A</v>
      </c>
      <c r="AN988" s="19">
        <f t="shared" ref="AN988:AN1051" si="343">IF($BP$11,$AO$87+$AB$90*AH988*AG988,NA())</f>
        <v>430.52</v>
      </c>
      <c r="AO988" s="19" t="e">
        <f t="shared" ref="AO988:AO1051" si="344">IF($AI$83&lt;AE988,NA(),AI988)</f>
        <v>#N/A</v>
      </c>
      <c r="AP988" s="19">
        <f t="shared" ref="AP988:AP1051" si="345">IF($BP$11,$AP$87+$AB$90*AH988*AG988,NA())</f>
        <v>230.51999999999998</v>
      </c>
      <c r="AQ988" s="19" t="e">
        <f t="shared" ref="AQ988:AQ1051" si="346">IF($AJ$83&lt;AE988,NA(),AI988)</f>
        <v>#N/A</v>
      </c>
      <c r="AR988" s="19">
        <f t="shared" ref="AR988:AR1051" si="347">IF($BP$11,$AQ$87+$AB$90*AH988*AG988,NA())</f>
        <v>30.519999999999996</v>
      </c>
      <c r="AS988" s="19" t="e">
        <f t="shared" ref="AS988:AS1051" si="348">IF($AK$83&lt;AE988,NA(),AI988)</f>
        <v>#N/A</v>
      </c>
    </row>
    <row r="989" spans="31:45" ht="11.25" customHeight="1" x14ac:dyDescent="0.2">
      <c r="AE989" s="19">
        <v>898</v>
      </c>
      <c r="AG989" s="19">
        <f t="shared" si="336"/>
        <v>9</v>
      </c>
      <c r="AH989" s="19">
        <f t="shared" si="337"/>
        <v>1</v>
      </c>
      <c r="AI989" s="19">
        <f t="shared" si="338"/>
        <v>119.94500000000001</v>
      </c>
      <c r="AJ989" s="410">
        <f t="shared" si="339"/>
        <v>969.48</v>
      </c>
      <c r="AK989" s="19" t="e">
        <f t="shared" si="340"/>
        <v>#N/A</v>
      </c>
      <c r="AL989" s="19">
        <f t="shared" si="341"/>
        <v>769.48</v>
      </c>
      <c r="AM989" s="19" t="e">
        <f t="shared" si="342"/>
        <v>#N/A</v>
      </c>
      <c r="AN989" s="19">
        <f t="shared" si="343"/>
        <v>569.48</v>
      </c>
      <c r="AO989" s="19" t="e">
        <f t="shared" si="344"/>
        <v>#N/A</v>
      </c>
      <c r="AP989" s="19">
        <f t="shared" si="345"/>
        <v>369.48</v>
      </c>
      <c r="AQ989" s="19" t="e">
        <f t="shared" si="346"/>
        <v>#N/A</v>
      </c>
      <c r="AR989" s="19">
        <f t="shared" si="347"/>
        <v>169.48000000000002</v>
      </c>
      <c r="AS989" s="19" t="e">
        <f t="shared" si="348"/>
        <v>#N/A</v>
      </c>
    </row>
    <row r="990" spans="31:45" ht="11.25" customHeight="1" x14ac:dyDescent="0.2">
      <c r="AE990" s="19">
        <v>899</v>
      </c>
      <c r="AG990" s="19">
        <f t="shared" si="336"/>
        <v>11</v>
      </c>
      <c r="AH990" s="19">
        <f t="shared" si="337"/>
        <v>-1</v>
      </c>
      <c r="AI990" s="19">
        <f t="shared" si="338"/>
        <v>119.94500000000001</v>
      </c>
      <c r="AJ990" s="410">
        <f t="shared" si="339"/>
        <v>815.08</v>
      </c>
      <c r="AK990" s="19" t="e">
        <f t="shared" si="340"/>
        <v>#N/A</v>
      </c>
      <c r="AL990" s="19">
        <f t="shared" si="341"/>
        <v>615.08000000000004</v>
      </c>
      <c r="AM990" s="19" t="e">
        <f t="shared" si="342"/>
        <v>#N/A</v>
      </c>
      <c r="AN990" s="19">
        <f t="shared" si="343"/>
        <v>415.08</v>
      </c>
      <c r="AO990" s="19" t="e">
        <f t="shared" si="344"/>
        <v>#N/A</v>
      </c>
      <c r="AP990" s="19">
        <f t="shared" si="345"/>
        <v>215.07999999999998</v>
      </c>
      <c r="AQ990" s="19" t="e">
        <f t="shared" si="346"/>
        <v>#N/A</v>
      </c>
      <c r="AR990" s="19">
        <f t="shared" si="347"/>
        <v>15.079999999999998</v>
      </c>
      <c r="AS990" s="19" t="e">
        <f t="shared" si="348"/>
        <v>#N/A</v>
      </c>
    </row>
    <row r="991" spans="31:45" ht="11.25" customHeight="1" x14ac:dyDescent="0.2">
      <c r="AE991" s="19">
        <v>900</v>
      </c>
      <c r="AG991" s="19">
        <f t="shared" si="336"/>
        <v>11</v>
      </c>
      <c r="AH991" s="19">
        <f t="shared" si="337"/>
        <v>1</v>
      </c>
      <c r="AI991" s="19">
        <f t="shared" si="338"/>
        <v>119.94500000000001</v>
      </c>
      <c r="AJ991" s="410">
        <f t="shared" si="339"/>
        <v>984.92</v>
      </c>
      <c r="AK991" s="19" t="e">
        <f t="shared" si="340"/>
        <v>#N/A</v>
      </c>
      <c r="AL991" s="19">
        <f t="shared" si="341"/>
        <v>784.92</v>
      </c>
      <c r="AM991" s="19" t="e">
        <f t="shared" si="342"/>
        <v>#N/A</v>
      </c>
      <c r="AN991" s="19">
        <f t="shared" si="343"/>
        <v>584.91999999999996</v>
      </c>
      <c r="AO991" s="19" t="e">
        <f t="shared" si="344"/>
        <v>#N/A</v>
      </c>
      <c r="AP991" s="19">
        <f t="shared" si="345"/>
        <v>384.92</v>
      </c>
      <c r="AQ991" s="19" t="e">
        <f t="shared" si="346"/>
        <v>#N/A</v>
      </c>
      <c r="AR991" s="19">
        <f t="shared" si="347"/>
        <v>184.92000000000002</v>
      </c>
      <c r="AS991" s="19" t="e">
        <f t="shared" si="348"/>
        <v>#N/A</v>
      </c>
    </row>
    <row r="992" spans="31:45" ht="11.25" customHeight="1" x14ac:dyDescent="0.2">
      <c r="AE992" s="19">
        <v>901</v>
      </c>
      <c r="AG992" s="19">
        <f t="shared" si="336"/>
        <v>1</v>
      </c>
      <c r="AH992" s="19">
        <f t="shared" si="337"/>
        <v>-1</v>
      </c>
      <c r="AI992" s="19">
        <f t="shared" si="338"/>
        <v>121.55500000000001</v>
      </c>
      <c r="AJ992" s="410">
        <f t="shared" si="339"/>
        <v>892.28</v>
      </c>
      <c r="AK992" s="19" t="e">
        <f t="shared" si="340"/>
        <v>#N/A</v>
      </c>
      <c r="AL992" s="19">
        <f t="shared" si="341"/>
        <v>692.28</v>
      </c>
      <c r="AM992" s="19" t="e">
        <f t="shared" si="342"/>
        <v>#N/A</v>
      </c>
      <c r="AN992" s="19">
        <f t="shared" si="343"/>
        <v>492.28</v>
      </c>
      <c r="AO992" s="19" t="e">
        <f t="shared" si="344"/>
        <v>#N/A</v>
      </c>
      <c r="AP992" s="19">
        <f t="shared" si="345"/>
        <v>292.27999999999997</v>
      </c>
      <c r="AQ992" s="19" t="e">
        <f t="shared" si="346"/>
        <v>#N/A</v>
      </c>
      <c r="AR992" s="19">
        <f t="shared" si="347"/>
        <v>92.28</v>
      </c>
      <c r="AS992" s="19" t="e">
        <f t="shared" si="348"/>
        <v>#N/A</v>
      </c>
    </row>
    <row r="993" spans="31:45" ht="11.25" customHeight="1" x14ac:dyDescent="0.2">
      <c r="AE993" s="19">
        <v>902</v>
      </c>
      <c r="AG993" s="19">
        <f t="shared" si="336"/>
        <v>1</v>
      </c>
      <c r="AH993" s="19">
        <f t="shared" si="337"/>
        <v>1</v>
      </c>
      <c r="AI993" s="19">
        <f t="shared" si="338"/>
        <v>121.55500000000001</v>
      </c>
      <c r="AJ993" s="410">
        <f t="shared" si="339"/>
        <v>907.72</v>
      </c>
      <c r="AK993" s="19" t="e">
        <f t="shared" si="340"/>
        <v>#N/A</v>
      </c>
      <c r="AL993" s="19">
        <f t="shared" si="341"/>
        <v>707.72</v>
      </c>
      <c r="AM993" s="19" t="e">
        <f t="shared" si="342"/>
        <v>#N/A</v>
      </c>
      <c r="AN993" s="19">
        <f t="shared" si="343"/>
        <v>507.72</v>
      </c>
      <c r="AO993" s="19" t="e">
        <f t="shared" si="344"/>
        <v>#N/A</v>
      </c>
      <c r="AP993" s="19">
        <f t="shared" si="345"/>
        <v>307.72000000000003</v>
      </c>
      <c r="AQ993" s="19" t="e">
        <f t="shared" si="346"/>
        <v>#N/A</v>
      </c>
      <c r="AR993" s="19">
        <f t="shared" si="347"/>
        <v>107.72</v>
      </c>
      <c r="AS993" s="19" t="e">
        <f t="shared" si="348"/>
        <v>#N/A</v>
      </c>
    </row>
    <row r="994" spans="31:45" ht="11.25" customHeight="1" x14ac:dyDescent="0.2">
      <c r="AE994" s="19">
        <v>903</v>
      </c>
      <c r="AG994" s="19">
        <f t="shared" si="336"/>
        <v>3</v>
      </c>
      <c r="AH994" s="19">
        <f t="shared" si="337"/>
        <v>-1</v>
      </c>
      <c r="AI994" s="19">
        <f t="shared" si="338"/>
        <v>121.55500000000001</v>
      </c>
      <c r="AJ994" s="410">
        <f t="shared" si="339"/>
        <v>876.84</v>
      </c>
      <c r="AK994" s="19" t="e">
        <f t="shared" si="340"/>
        <v>#N/A</v>
      </c>
      <c r="AL994" s="19">
        <f t="shared" si="341"/>
        <v>676.84</v>
      </c>
      <c r="AM994" s="19" t="e">
        <f t="shared" si="342"/>
        <v>#N/A</v>
      </c>
      <c r="AN994" s="19">
        <f t="shared" si="343"/>
        <v>476.84</v>
      </c>
      <c r="AO994" s="19" t="e">
        <f t="shared" si="344"/>
        <v>#N/A</v>
      </c>
      <c r="AP994" s="19">
        <f t="shared" si="345"/>
        <v>276.83999999999997</v>
      </c>
      <c r="AQ994" s="19" t="e">
        <f t="shared" si="346"/>
        <v>#N/A</v>
      </c>
      <c r="AR994" s="19">
        <f t="shared" si="347"/>
        <v>76.84</v>
      </c>
      <c r="AS994" s="19" t="e">
        <f t="shared" si="348"/>
        <v>#N/A</v>
      </c>
    </row>
    <row r="995" spans="31:45" ht="11.25" customHeight="1" x14ac:dyDescent="0.2">
      <c r="AE995" s="19">
        <v>904</v>
      </c>
      <c r="AG995" s="19">
        <f t="shared" si="336"/>
        <v>3</v>
      </c>
      <c r="AH995" s="19">
        <f t="shared" si="337"/>
        <v>1</v>
      </c>
      <c r="AI995" s="19">
        <f t="shared" si="338"/>
        <v>121.55500000000001</v>
      </c>
      <c r="AJ995" s="410">
        <f t="shared" si="339"/>
        <v>923.16</v>
      </c>
      <c r="AK995" s="19" t="e">
        <f t="shared" si="340"/>
        <v>#N/A</v>
      </c>
      <c r="AL995" s="19">
        <f t="shared" si="341"/>
        <v>723.16</v>
      </c>
      <c r="AM995" s="19" t="e">
        <f t="shared" si="342"/>
        <v>#N/A</v>
      </c>
      <c r="AN995" s="19">
        <f t="shared" si="343"/>
        <v>523.16</v>
      </c>
      <c r="AO995" s="19" t="e">
        <f t="shared" si="344"/>
        <v>#N/A</v>
      </c>
      <c r="AP995" s="19">
        <f t="shared" si="345"/>
        <v>323.16000000000003</v>
      </c>
      <c r="AQ995" s="19" t="e">
        <f t="shared" si="346"/>
        <v>#N/A</v>
      </c>
      <c r="AR995" s="19">
        <f t="shared" si="347"/>
        <v>123.16</v>
      </c>
      <c r="AS995" s="19" t="e">
        <f t="shared" si="348"/>
        <v>#N/A</v>
      </c>
    </row>
    <row r="996" spans="31:45" ht="11.25" customHeight="1" x14ac:dyDescent="0.2">
      <c r="AE996" s="19">
        <v>905</v>
      </c>
      <c r="AG996" s="19">
        <f t="shared" si="336"/>
        <v>5</v>
      </c>
      <c r="AH996" s="19">
        <f t="shared" si="337"/>
        <v>-1</v>
      </c>
      <c r="AI996" s="19">
        <f t="shared" si="338"/>
        <v>121.55500000000001</v>
      </c>
      <c r="AJ996" s="410">
        <f t="shared" si="339"/>
        <v>861.4</v>
      </c>
      <c r="AK996" s="19" t="e">
        <f t="shared" si="340"/>
        <v>#N/A</v>
      </c>
      <c r="AL996" s="19">
        <f t="shared" si="341"/>
        <v>661.4</v>
      </c>
      <c r="AM996" s="19" t="e">
        <f t="shared" si="342"/>
        <v>#N/A</v>
      </c>
      <c r="AN996" s="19">
        <f t="shared" si="343"/>
        <v>461.4</v>
      </c>
      <c r="AO996" s="19" t="e">
        <f t="shared" si="344"/>
        <v>#N/A</v>
      </c>
      <c r="AP996" s="19">
        <f t="shared" si="345"/>
        <v>261.39999999999998</v>
      </c>
      <c r="AQ996" s="19" t="e">
        <f t="shared" si="346"/>
        <v>#N/A</v>
      </c>
      <c r="AR996" s="19">
        <f t="shared" si="347"/>
        <v>61.4</v>
      </c>
      <c r="AS996" s="19" t="e">
        <f t="shared" si="348"/>
        <v>#N/A</v>
      </c>
    </row>
    <row r="997" spans="31:45" ht="11.25" customHeight="1" x14ac:dyDescent="0.2">
      <c r="AE997" s="19">
        <v>906</v>
      </c>
      <c r="AG997" s="19">
        <f t="shared" si="336"/>
        <v>5</v>
      </c>
      <c r="AH997" s="19">
        <f t="shared" si="337"/>
        <v>1</v>
      </c>
      <c r="AI997" s="19">
        <f t="shared" si="338"/>
        <v>121.55500000000001</v>
      </c>
      <c r="AJ997" s="410">
        <f t="shared" si="339"/>
        <v>938.6</v>
      </c>
      <c r="AK997" s="19" t="e">
        <f t="shared" si="340"/>
        <v>#N/A</v>
      </c>
      <c r="AL997" s="19">
        <f t="shared" si="341"/>
        <v>738.6</v>
      </c>
      <c r="AM997" s="19" t="e">
        <f t="shared" si="342"/>
        <v>#N/A</v>
      </c>
      <c r="AN997" s="19">
        <f t="shared" si="343"/>
        <v>538.6</v>
      </c>
      <c r="AO997" s="19" t="e">
        <f t="shared" si="344"/>
        <v>#N/A</v>
      </c>
      <c r="AP997" s="19">
        <f t="shared" si="345"/>
        <v>338.6</v>
      </c>
      <c r="AQ997" s="19" t="e">
        <f t="shared" si="346"/>
        <v>#N/A</v>
      </c>
      <c r="AR997" s="19">
        <f t="shared" si="347"/>
        <v>138.6</v>
      </c>
      <c r="AS997" s="19" t="e">
        <f t="shared" si="348"/>
        <v>#N/A</v>
      </c>
    </row>
    <row r="998" spans="31:45" ht="11.25" customHeight="1" x14ac:dyDescent="0.2">
      <c r="AE998" s="19">
        <v>907</v>
      </c>
      <c r="AG998" s="19">
        <f t="shared" si="336"/>
        <v>7</v>
      </c>
      <c r="AH998" s="19">
        <f t="shared" si="337"/>
        <v>-1</v>
      </c>
      <c r="AI998" s="19">
        <f t="shared" si="338"/>
        <v>121.55500000000001</v>
      </c>
      <c r="AJ998" s="410">
        <f t="shared" si="339"/>
        <v>845.96</v>
      </c>
      <c r="AK998" s="19" t="e">
        <f t="shared" si="340"/>
        <v>#N/A</v>
      </c>
      <c r="AL998" s="19">
        <f t="shared" si="341"/>
        <v>645.96</v>
      </c>
      <c r="AM998" s="19" t="e">
        <f t="shared" si="342"/>
        <v>#N/A</v>
      </c>
      <c r="AN998" s="19">
        <f t="shared" si="343"/>
        <v>445.96</v>
      </c>
      <c r="AO998" s="19" t="e">
        <f t="shared" si="344"/>
        <v>#N/A</v>
      </c>
      <c r="AP998" s="19">
        <f t="shared" si="345"/>
        <v>245.96</v>
      </c>
      <c r="AQ998" s="19" t="e">
        <f t="shared" si="346"/>
        <v>#N/A</v>
      </c>
      <c r="AR998" s="19">
        <f t="shared" si="347"/>
        <v>45.96</v>
      </c>
      <c r="AS998" s="19" t="e">
        <f t="shared" si="348"/>
        <v>#N/A</v>
      </c>
    </row>
    <row r="999" spans="31:45" ht="11.25" customHeight="1" x14ac:dyDescent="0.2">
      <c r="AE999" s="19">
        <v>908</v>
      </c>
      <c r="AG999" s="19">
        <f t="shared" si="336"/>
        <v>7</v>
      </c>
      <c r="AH999" s="19">
        <f t="shared" si="337"/>
        <v>1</v>
      </c>
      <c r="AI999" s="19">
        <f t="shared" si="338"/>
        <v>121.55500000000001</v>
      </c>
      <c r="AJ999" s="410">
        <f t="shared" si="339"/>
        <v>954.04</v>
      </c>
      <c r="AK999" s="19" t="e">
        <f t="shared" si="340"/>
        <v>#N/A</v>
      </c>
      <c r="AL999" s="19">
        <f t="shared" si="341"/>
        <v>754.04</v>
      </c>
      <c r="AM999" s="19" t="e">
        <f t="shared" si="342"/>
        <v>#N/A</v>
      </c>
      <c r="AN999" s="19">
        <f t="shared" si="343"/>
        <v>554.04</v>
      </c>
      <c r="AO999" s="19" t="e">
        <f t="shared" si="344"/>
        <v>#N/A</v>
      </c>
      <c r="AP999" s="19">
        <f t="shared" si="345"/>
        <v>354.04</v>
      </c>
      <c r="AQ999" s="19" t="e">
        <f t="shared" si="346"/>
        <v>#N/A</v>
      </c>
      <c r="AR999" s="19">
        <f t="shared" si="347"/>
        <v>154.04</v>
      </c>
      <c r="AS999" s="19" t="e">
        <f t="shared" si="348"/>
        <v>#N/A</v>
      </c>
    </row>
    <row r="1000" spans="31:45" ht="11.25" customHeight="1" x14ac:dyDescent="0.2">
      <c r="AE1000" s="19">
        <v>909</v>
      </c>
      <c r="AG1000" s="19">
        <f t="shared" si="336"/>
        <v>9</v>
      </c>
      <c r="AH1000" s="19">
        <f t="shared" si="337"/>
        <v>-1</v>
      </c>
      <c r="AI1000" s="19">
        <f t="shared" si="338"/>
        <v>121.55500000000001</v>
      </c>
      <c r="AJ1000" s="410">
        <f t="shared" si="339"/>
        <v>830.52</v>
      </c>
      <c r="AK1000" s="19" t="e">
        <f t="shared" si="340"/>
        <v>#N/A</v>
      </c>
      <c r="AL1000" s="19">
        <f t="shared" si="341"/>
        <v>630.52</v>
      </c>
      <c r="AM1000" s="19" t="e">
        <f t="shared" si="342"/>
        <v>#N/A</v>
      </c>
      <c r="AN1000" s="19">
        <f t="shared" si="343"/>
        <v>430.52</v>
      </c>
      <c r="AO1000" s="19" t="e">
        <f t="shared" si="344"/>
        <v>#N/A</v>
      </c>
      <c r="AP1000" s="19">
        <f t="shared" si="345"/>
        <v>230.51999999999998</v>
      </c>
      <c r="AQ1000" s="19" t="e">
        <f t="shared" si="346"/>
        <v>#N/A</v>
      </c>
      <c r="AR1000" s="19">
        <f t="shared" si="347"/>
        <v>30.519999999999996</v>
      </c>
      <c r="AS1000" s="19" t="e">
        <f t="shared" si="348"/>
        <v>#N/A</v>
      </c>
    </row>
    <row r="1001" spans="31:45" ht="11.25" customHeight="1" x14ac:dyDescent="0.2">
      <c r="AE1001" s="19">
        <v>910</v>
      </c>
      <c r="AG1001" s="19">
        <f t="shared" si="336"/>
        <v>9</v>
      </c>
      <c r="AH1001" s="19">
        <f t="shared" si="337"/>
        <v>1</v>
      </c>
      <c r="AI1001" s="19">
        <f t="shared" si="338"/>
        <v>121.55500000000001</v>
      </c>
      <c r="AJ1001" s="410">
        <f t="shared" si="339"/>
        <v>969.48</v>
      </c>
      <c r="AK1001" s="19" t="e">
        <f t="shared" si="340"/>
        <v>#N/A</v>
      </c>
      <c r="AL1001" s="19">
        <f t="shared" si="341"/>
        <v>769.48</v>
      </c>
      <c r="AM1001" s="19" t="e">
        <f t="shared" si="342"/>
        <v>#N/A</v>
      </c>
      <c r="AN1001" s="19">
        <f t="shared" si="343"/>
        <v>569.48</v>
      </c>
      <c r="AO1001" s="19" t="e">
        <f t="shared" si="344"/>
        <v>#N/A</v>
      </c>
      <c r="AP1001" s="19">
        <f t="shared" si="345"/>
        <v>369.48</v>
      </c>
      <c r="AQ1001" s="19" t="e">
        <f t="shared" si="346"/>
        <v>#N/A</v>
      </c>
      <c r="AR1001" s="19">
        <f t="shared" si="347"/>
        <v>169.48000000000002</v>
      </c>
      <c r="AS1001" s="19" t="e">
        <f t="shared" si="348"/>
        <v>#N/A</v>
      </c>
    </row>
    <row r="1002" spans="31:45" ht="11.25" customHeight="1" x14ac:dyDescent="0.2">
      <c r="AE1002" s="19">
        <v>911</v>
      </c>
      <c r="AG1002" s="19">
        <f t="shared" si="336"/>
        <v>11</v>
      </c>
      <c r="AH1002" s="19">
        <f t="shared" si="337"/>
        <v>-1</v>
      </c>
      <c r="AI1002" s="19">
        <f t="shared" si="338"/>
        <v>121.55500000000001</v>
      </c>
      <c r="AJ1002" s="410">
        <f t="shared" si="339"/>
        <v>815.08</v>
      </c>
      <c r="AK1002" s="19" t="e">
        <f t="shared" si="340"/>
        <v>#N/A</v>
      </c>
      <c r="AL1002" s="19">
        <f t="shared" si="341"/>
        <v>615.08000000000004</v>
      </c>
      <c r="AM1002" s="19" t="e">
        <f t="shared" si="342"/>
        <v>#N/A</v>
      </c>
      <c r="AN1002" s="19">
        <f t="shared" si="343"/>
        <v>415.08</v>
      </c>
      <c r="AO1002" s="19" t="e">
        <f t="shared" si="344"/>
        <v>#N/A</v>
      </c>
      <c r="AP1002" s="19">
        <f t="shared" si="345"/>
        <v>215.07999999999998</v>
      </c>
      <c r="AQ1002" s="19" t="e">
        <f t="shared" si="346"/>
        <v>#N/A</v>
      </c>
      <c r="AR1002" s="19">
        <f t="shared" si="347"/>
        <v>15.079999999999998</v>
      </c>
      <c r="AS1002" s="19" t="e">
        <f t="shared" si="348"/>
        <v>#N/A</v>
      </c>
    </row>
    <row r="1003" spans="31:45" ht="11.25" customHeight="1" x14ac:dyDescent="0.2">
      <c r="AE1003" s="19">
        <v>912</v>
      </c>
      <c r="AG1003" s="19">
        <f t="shared" si="336"/>
        <v>11</v>
      </c>
      <c r="AH1003" s="19">
        <f t="shared" si="337"/>
        <v>1</v>
      </c>
      <c r="AI1003" s="19">
        <f t="shared" si="338"/>
        <v>121.55500000000001</v>
      </c>
      <c r="AJ1003" s="410">
        <f t="shared" si="339"/>
        <v>984.92</v>
      </c>
      <c r="AK1003" s="19" t="e">
        <f t="shared" si="340"/>
        <v>#N/A</v>
      </c>
      <c r="AL1003" s="19">
        <f t="shared" si="341"/>
        <v>784.92</v>
      </c>
      <c r="AM1003" s="19" t="e">
        <f t="shared" si="342"/>
        <v>#N/A</v>
      </c>
      <c r="AN1003" s="19">
        <f t="shared" si="343"/>
        <v>584.91999999999996</v>
      </c>
      <c r="AO1003" s="19" t="e">
        <f t="shared" si="344"/>
        <v>#N/A</v>
      </c>
      <c r="AP1003" s="19">
        <f t="shared" si="345"/>
        <v>384.92</v>
      </c>
      <c r="AQ1003" s="19" t="e">
        <f t="shared" si="346"/>
        <v>#N/A</v>
      </c>
      <c r="AR1003" s="19">
        <f t="shared" si="347"/>
        <v>184.92000000000002</v>
      </c>
      <c r="AS1003" s="19" t="e">
        <f t="shared" si="348"/>
        <v>#N/A</v>
      </c>
    </row>
    <row r="1004" spans="31:45" ht="11.25" customHeight="1" x14ac:dyDescent="0.2">
      <c r="AE1004" s="19">
        <v>913</v>
      </c>
      <c r="AG1004" s="19">
        <f t="shared" si="336"/>
        <v>1</v>
      </c>
      <c r="AH1004" s="19">
        <f t="shared" si="337"/>
        <v>-1</v>
      </c>
      <c r="AI1004" s="19">
        <f t="shared" si="338"/>
        <v>123.16500000000001</v>
      </c>
      <c r="AJ1004" s="410">
        <f t="shared" si="339"/>
        <v>892.28</v>
      </c>
      <c r="AK1004" s="19" t="e">
        <f t="shared" si="340"/>
        <v>#N/A</v>
      </c>
      <c r="AL1004" s="19">
        <f t="shared" si="341"/>
        <v>692.28</v>
      </c>
      <c r="AM1004" s="19" t="e">
        <f t="shared" si="342"/>
        <v>#N/A</v>
      </c>
      <c r="AN1004" s="19">
        <f t="shared" si="343"/>
        <v>492.28</v>
      </c>
      <c r="AO1004" s="19" t="e">
        <f t="shared" si="344"/>
        <v>#N/A</v>
      </c>
      <c r="AP1004" s="19">
        <f t="shared" si="345"/>
        <v>292.27999999999997</v>
      </c>
      <c r="AQ1004" s="19" t="e">
        <f t="shared" si="346"/>
        <v>#N/A</v>
      </c>
      <c r="AR1004" s="19">
        <f t="shared" si="347"/>
        <v>92.28</v>
      </c>
      <c r="AS1004" s="19" t="e">
        <f t="shared" si="348"/>
        <v>#N/A</v>
      </c>
    </row>
    <row r="1005" spans="31:45" ht="11.25" customHeight="1" x14ac:dyDescent="0.2">
      <c r="AE1005" s="19">
        <v>914</v>
      </c>
      <c r="AG1005" s="19">
        <f t="shared" si="336"/>
        <v>1</v>
      </c>
      <c r="AH1005" s="19">
        <f t="shared" si="337"/>
        <v>1</v>
      </c>
      <c r="AI1005" s="19">
        <f t="shared" si="338"/>
        <v>123.16500000000001</v>
      </c>
      <c r="AJ1005" s="410">
        <f t="shared" si="339"/>
        <v>907.72</v>
      </c>
      <c r="AK1005" s="19" t="e">
        <f t="shared" si="340"/>
        <v>#N/A</v>
      </c>
      <c r="AL1005" s="19">
        <f t="shared" si="341"/>
        <v>707.72</v>
      </c>
      <c r="AM1005" s="19" t="e">
        <f t="shared" si="342"/>
        <v>#N/A</v>
      </c>
      <c r="AN1005" s="19">
        <f t="shared" si="343"/>
        <v>507.72</v>
      </c>
      <c r="AO1005" s="19" t="e">
        <f t="shared" si="344"/>
        <v>#N/A</v>
      </c>
      <c r="AP1005" s="19">
        <f t="shared" si="345"/>
        <v>307.72000000000003</v>
      </c>
      <c r="AQ1005" s="19" t="e">
        <f t="shared" si="346"/>
        <v>#N/A</v>
      </c>
      <c r="AR1005" s="19">
        <f t="shared" si="347"/>
        <v>107.72</v>
      </c>
      <c r="AS1005" s="19" t="e">
        <f t="shared" si="348"/>
        <v>#N/A</v>
      </c>
    </row>
    <row r="1006" spans="31:45" ht="11.25" customHeight="1" x14ac:dyDescent="0.2">
      <c r="AE1006" s="19">
        <v>915</v>
      </c>
      <c r="AG1006" s="19">
        <f t="shared" si="336"/>
        <v>3</v>
      </c>
      <c r="AH1006" s="19">
        <f t="shared" si="337"/>
        <v>-1</v>
      </c>
      <c r="AI1006" s="19">
        <f t="shared" si="338"/>
        <v>123.16500000000001</v>
      </c>
      <c r="AJ1006" s="410">
        <f t="shared" si="339"/>
        <v>876.84</v>
      </c>
      <c r="AK1006" s="19" t="e">
        <f t="shared" si="340"/>
        <v>#N/A</v>
      </c>
      <c r="AL1006" s="19">
        <f t="shared" si="341"/>
        <v>676.84</v>
      </c>
      <c r="AM1006" s="19" t="e">
        <f t="shared" si="342"/>
        <v>#N/A</v>
      </c>
      <c r="AN1006" s="19">
        <f t="shared" si="343"/>
        <v>476.84</v>
      </c>
      <c r="AO1006" s="19" t="e">
        <f t="shared" si="344"/>
        <v>#N/A</v>
      </c>
      <c r="AP1006" s="19">
        <f t="shared" si="345"/>
        <v>276.83999999999997</v>
      </c>
      <c r="AQ1006" s="19" t="e">
        <f t="shared" si="346"/>
        <v>#N/A</v>
      </c>
      <c r="AR1006" s="19">
        <f t="shared" si="347"/>
        <v>76.84</v>
      </c>
      <c r="AS1006" s="19" t="e">
        <f t="shared" si="348"/>
        <v>#N/A</v>
      </c>
    </row>
    <row r="1007" spans="31:45" ht="11.25" customHeight="1" x14ac:dyDescent="0.2">
      <c r="AE1007" s="19">
        <v>916</v>
      </c>
      <c r="AG1007" s="19">
        <f t="shared" si="336"/>
        <v>3</v>
      </c>
      <c r="AH1007" s="19">
        <f t="shared" si="337"/>
        <v>1</v>
      </c>
      <c r="AI1007" s="19">
        <f t="shared" si="338"/>
        <v>123.16500000000001</v>
      </c>
      <c r="AJ1007" s="410">
        <f t="shared" si="339"/>
        <v>923.16</v>
      </c>
      <c r="AK1007" s="19" t="e">
        <f t="shared" si="340"/>
        <v>#N/A</v>
      </c>
      <c r="AL1007" s="19">
        <f t="shared" si="341"/>
        <v>723.16</v>
      </c>
      <c r="AM1007" s="19" t="e">
        <f t="shared" si="342"/>
        <v>#N/A</v>
      </c>
      <c r="AN1007" s="19">
        <f t="shared" si="343"/>
        <v>523.16</v>
      </c>
      <c r="AO1007" s="19" t="e">
        <f t="shared" si="344"/>
        <v>#N/A</v>
      </c>
      <c r="AP1007" s="19">
        <f t="shared" si="345"/>
        <v>323.16000000000003</v>
      </c>
      <c r="AQ1007" s="19" t="e">
        <f t="shared" si="346"/>
        <v>#N/A</v>
      </c>
      <c r="AR1007" s="19">
        <f t="shared" si="347"/>
        <v>123.16</v>
      </c>
      <c r="AS1007" s="19" t="e">
        <f t="shared" si="348"/>
        <v>#N/A</v>
      </c>
    </row>
    <row r="1008" spans="31:45" ht="11.25" customHeight="1" x14ac:dyDescent="0.2">
      <c r="AE1008" s="19">
        <v>917</v>
      </c>
      <c r="AG1008" s="19">
        <f t="shared" si="336"/>
        <v>5</v>
      </c>
      <c r="AH1008" s="19">
        <f t="shared" si="337"/>
        <v>-1</v>
      </c>
      <c r="AI1008" s="19">
        <f t="shared" si="338"/>
        <v>123.16500000000001</v>
      </c>
      <c r="AJ1008" s="410">
        <f t="shared" si="339"/>
        <v>861.4</v>
      </c>
      <c r="AK1008" s="19" t="e">
        <f t="shared" si="340"/>
        <v>#N/A</v>
      </c>
      <c r="AL1008" s="19">
        <f t="shared" si="341"/>
        <v>661.4</v>
      </c>
      <c r="AM1008" s="19" t="e">
        <f t="shared" si="342"/>
        <v>#N/A</v>
      </c>
      <c r="AN1008" s="19">
        <f t="shared" si="343"/>
        <v>461.4</v>
      </c>
      <c r="AO1008" s="19" t="e">
        <f t="shared" si="344"/>
        <v>#N/A</v>
      </c>
      <c r="AP1008" s="19">
        <f t="shared" si="345"/>
        <v>261.39999999999998</v>
      </c>
      <c r="AQ1008" s="19" t="e">
        <f t="shared" si="346"/>
        <v>#N/A</v>
      </c>
      <c r="AR1008" s="19">
        <f t="shared" si="347"/>
        <v>61.4</v>
      </c>
      <c r="AS1008" s="19" t="e">
        <f t="shared" si="348"/>
        <v>#N/A</v>
      </c>
    </row>
    <row r="1009" spans="31:45" ht="11.25" customHeight="1" x14ac:dyDescent="0.2">
      <c r="AE1009" s="19">
        <v>918</v>
      </c>
      <c r="AG1009" s="19">
        <f t="shared" si="336"/>
        <v>5</v>
      </c>
      <c r="AH1009" s="19">
        <f t="shared" si="337"/>
        <v>1</v>
      </c>
      <c r="AI1009" s="19">
        <f t="shared" si="338"/>
        <v>123.16500000000001</v>
      </c>
      <c r="AJ1009" s="410">
        <f t="shared" si="339"/>
        <v>938.6</v>
      </c>
      <c r="AK1009" s="19" t="e">
        <f t="shared" si="340"/>
        <v>#N/A</v>
      </c>
      <c r="AL1009" s="19">
        <f t="shared" si="341"/>
        <v>738.6</v>
      </c>
      <c r="AM1009" s="19" t="e">
        <f t="shared" si="342"/>
        <v>#N/A</v>
      </c>
      <c r="AN1009" s="19">
        <f t="shared" si="343"/>
        <v>538.6</v>
      </c>
      <c r="AO1009" s="19" t="e">
        <f t="shared" si="344"/>
        <v>#N/A</v>
      </c>
      <c r="AP1009" s="19">
        <f t="shared" si="345"/>
        <v>338.6</v>
      </c>
      <c r="AQ1009" s="19" t="e">
        <f t="shared" si="346"/>
        <v>#N/A</v>
      </c>
      <c r="AR1009" s="19">
        <f t="shared" si="347"/>
        <v>138.6</v>
      </c>
      <c r="AS1009" s="19" t="e">
        <f t="shared" si="348"/>
        <v>#N/A</v>
      </c>
    </row>
    <row r="1010" spans="31:45" ht="11.25" customHeight="1" x14ac:dyDescent="0.2">
      <c r="AE1010" s="19">
        <v>919</v>
      </c>
      <c r="AG1010" s="19">
        <f t="shared" si="336"/>
        <v>7</v>
      </c>
      <c r="AH1010" s="19">
        <f t="shared" si="337"/>
        <v>-1</v>
      </c>
      <c r="AI1010" s="19">
        <f t="shared" si="338"/>
        <v>123.16500000000001</v>
      </c>
      <c r="AJ1010" s="410">
        <f t="shared" si="339"/>
        <v>845.96</v>
      </c>
      <c r="AK1010" s="19" t="e">
        <f t="shared" si="340"/>
        <v>#N/A</v>
      </c>
      <c r="AL1010" s="19">
        <f t="shared" si="341"/>
        <v>645.96</v>
      </c>
      <c r="AM1010" s="19" t="e">
        <f t="shared" si="342"/>
        <v>#N/A</v>
      </c>
      <c r="AN1010" s="19">
        <f t="shared" si="343"/>
        <v>445.96</v>
      </c>
      <c r="AO1010" s="19" t="e">
        <f t="shared" si="344"/>
        <v>#N/A</v>
      </c>
      <c r="AP1010" s="19">
        <f t="shared" si="345"/>
        <v>245.96</v>
      </c>
      <c r="AQ1010" s="19" t="e">
        <f t="shared" si="346"/>
        <v>#N/A</v>
      </c>
      <c r="AR1010" s="19">
        <f t="shared" si="347"/>
        <v>45.96</v>
      </c>
      <c r="AS1010" s="19" t="e">
        <f t="shared" si="348"/>
        <v>#N/A</v>
      </c>
    </row>
    <row r="1011" spans="31:45" ht="11.25" customHeight="1" x14ac:dyDescent="0.2">
      <c r="AE1011" s="19">
        <v>920</v>
      </c>
      <c r="AG1011" s="19">
        <f t="shared" si="336"/>
        <v>7</v>
      </c>
      <c r="AH1011" s="19">
        <f t="shared" si="337"/>
        <v>1</v>
      </c>
      <c r="AI1011" s="19">
        <f t="shared" si="338"/>
        <v>123.16500000000001</v>
      </c>
      <c r="AJ1011" s="410">
        <f t="shared" si="339"/>
        <v>954.04</v>
      </c>
      <c r="AK1011" s="19" t="e">
        <f t="shared" si="340"/>
        <v>#N/A</v>
      </c>
      <c r="AL1011" s="19">
        <f t="shared" si="341"/>
        <v>754.04</v>
      </c>
      <c r="AM1011" s="19" t="e">
        <f t="shared" si="342"/>
        <v>#N/A</v>
      </c>
      <c r="AN1011" s="19">
        <f t="shared" si="343"/>
        <v>554.04</v>
      </c>
      <c r="AO1011" s="19" t="e">
        <f t="shared" si="344"/>
        <v>#N/A</v>
      </c>
      <c r="AP1011" s="19">
        <f t="shared" si="345"/>
        <v>354.04</v>
      </c>
      <c r="AQ1011" s="19" t="e">
        <f t="shared" si="346"/>
        <v>#N/A</v>
      </c>
      <c r="AR1011" s="19">
        <f t="shared" si="347"/>
        <v>154.04</v>
      </c>
      <c r="AS1011" s="19" t="e">
        <f t="shared" si="348"/>
        <v>#N/A</v>
      </c>
    </row>
    <row r="1012" spans="31:45" ht="11.25" customHeight="1" x14ac:dyDescent="0.2">
      <c r="AE1012" s="19">
        <v>921</v>
      </c>
      <c r="AG1012" s="19">
        <f t="shared" si="336"/>
        <v>9</v>
      </c>
      <c r="AH1012" s="19">
        <f t="shared" si="337"/>
        <v>-1</v>
      </c>
      <c r="AI1012" s="19">
        <f t="shared" si="338"/>
        <v>123.16500000000001</v>
      </c>
      <c r="AJ1012" s="410">
        <f t="shared" si="339"/>
        <v>830.52</v>
      </c>
      <c r="AK1012" s="19" t="e">
        <f t="shared" si="340"/>
        <v>#N/A</v>
      </c>
      <c r="AL1012" s="19">
        <f t="shared" si="341"/>
        <v>630.52</v>
      </c>
      <c r="AM1012" s="19" t="e">
        <f t="shared" si="342"/>
        <v>#N/A</v>
      </c>
      <c r="AN1012" s="19">
        <f t="shared" si="343"/>
        <v>430.52</v>
      </c>
      <c r="AO1012" s="19" t="e">
        <f t="shared" si="344"/>
        <v>#N/A</v>
      </c>
      <c r="AP1012" s="19">
        <f t="shared" si="345"/>
        <v>230.51999999999998</v>
      </c>
      <c r="AQ1012" s="19" t="e">
        <f t="shared" si="346"/>
        <v>#N/A</v>
      </c>
      <c r="AR1012" s="19">
        <f t="shared" si="347"/>
        <v>30.519999999999996</v>
      </c>
      <c r="AS1012" s="19" t="e">
        <f t="shared" si="348"/>
        <v>#N/A</v>
      </c>
    </row>
    <row r="1013" spans="31:45" ht="11.25" customHeight="1" x14ac:dyDescent="0.2">
      <c r="AE1013" s="19">
        <v>922</v>
      </c>
      <c r="AG1013" s="19">
        <f t="shared" si="336"/>
        <v>9</v>
      </c>
      <c r="AH1013" s="19">
        <f t="shared" si="337"/>
        <v>1</v>
      </c>
      <c r="AI1013" s="19">
        <f t="shared" si="338"/>
        <v>123.16500000000001</v>
      </c>
      <c r="AJ1013" s="410">
        <f t="shared" si="339"/>
        <v>969.48</v>
      </c>
      <c r="AK1013" s="19" t="e">
        <f t="shared" si="340"/>
        <v>#N/A</v>
      </c>
      <c r="AL1013" s="19">
        <f t="shared" si="341"/>
        <v>769.48</v>
      </c>
      <c r="AM1013" s="19" t="e">
        <f t="shared" si="342"/>
        <v>#N/A</v>
      </c>
      <c r="AN1013" s="19">
        <f t="shared" si="343"/>
        <v>569.48</v>
      </c>
      <c r="AO1013" s="19" t="e">
        <f t="shared" si="344"/>
        <v>#N/A</v>
      </c>
      <c r="AP1013" s="19">
        <f t="shared" si="345"/>
        <v>369.48</v>
      </c>
      <c r="AQ1013" s="19" t="e">
        <f t="shared" si="346"/>
        <v>#N/A</v>
      </c>
      <c r="AR1013" s="19">
        <f t="shared" si="347"/>
        <v>169.48000000000002</v>
      </c>
      <c r="AS1013" s="19" t="e">
        <f t="shared" si="348"/>
        <v>#N/A</v>
      </c>
    </row>
    <row r="1014" spans="31:45" ht="11.25" customHeight="1" x14ac:dyDescent="0.2">
      <c r="AE1014" s="19">
        <v>923</v>
      </c>
      <c r="AG1014" s="19">
        <f t="shared" si="336"/>
        <v>11</v>
      </c>
      <c r="AH1014" s="19">
        <f t="shared" si="337"/>
        <v>-1</v>
      </c>
      <c r="AI1014" s="19">
        <f t="shared" si="338"/>
        <v>123.16500000000001</v>
      </c>
      <c r="AJ1014" s="410">
        <f t="shared" si="339"/>
        <v>815.08</v>
      </c>
      <c r="AK1014" s="19" t="e">
        <f t="shared" si="340"/>
        <v>#N/A</v>
      </c>
      <c r="AL1014" s="19">
        <f t="shared" si="341"/>
        <v>615.08000000000004</v>
      </c>
      <c r="AM1014" s="19" t="e">
        <f t="shared" si="342"/>
        <v>#N/A</v>
      </c>
      <c r="AN1014" s="19">
        <f t="shared" si="343"/>
        <v>415.08</v>
      </c>
      <c r="AO1014" s="19" t="e">
        <f t="shared" si="344"/>
        <v>#N/A</v>
      </c>
      <c r="AP1014" s="19">
        <f t="shared" si="345"/>
        <v>215.07999999999998</v>
      </c>
      <c r="AQ1014" s="19" t="e">
        <f t="shared" si="346"/>
        <v>#N/A</v>
      </c>
      <c r="AR1014" s="19">
        <f t="shared" si="347"/>
        <v>15.079999999999998</v>
      </c>
      <c r="AS1014" s="19" t="e">
        <f t="shared" si="348"/>
        <v>#N/A</v>
      </c>
    </row>
    <row r="1015" spans="31:45" ht="11.25" customHeight="1" x14ac:dyDescent="0.2">
      <c r="AE1015" s="19">
        <v>924</v>
      </c>
      <c r="AG1015" s="19">
        <f t="shared" si="336"/>
        <v>11</v>
      </c>
      <c r="AH1015" s="19">
        <f t="shared" si="337"/>
        <v>1</v>
      </c>
      <c r="AI1015" s="19">
        <f t="shared" si="338"/>
        <v>123.16500000000001</v>
      </c>
      <c r="AJ1015" s="410">
        <f t="shared" si="339"/>
        <v>984.92</v>
      </c>
      <c r="AK1015" s="19" t="e">
        <f t="shared" si="340"/>
        <v>#N/A</v>
      </c>
      <c r="AL1015" s="19">
        <f t="shared" si="341"/>
        <v>784.92</v>
      </c>
      <c r="AM1015" s="19" t="e">
        <f t="shared" si="342"/>
        <v>#N/A</v>
      </c>
      <c r="AN1015" s="19">
        <f t="shared" si="343"/>
        <v>584.91999999999996</v>
      </c>
      <c r="AO1015" s="19" t="e">
        <f t="shared" si="344"/>
        <v>#N/A</v>
      </c>
      <c r="AP1015" s="19">
        <f t="shared" si="345"/>
        <v>384.92</v>
      </c>
      <c r="AQ1015" s="19" t="e">
        <f t="shared" si="346"/>
        <v>#N/A</v>
      </c>
      <c r="AR1015" s="19">
        <f t="shared" si="347"/>
        <v>184.92000000000002</v>
      </c>
      <c r="AS1015" s="19" t="e">
        <f t="shared" si="348"/>
        <v>#N/A</v>
      </c>
    </row>
    <row r="1016" spans="31:45" ht="11.25" customHeight="1" x14ac:dyDescent="0.2">
      <c r="AE1016" s="19">
        <v>925</v>
      </c>
      <c r="AG1016" s="19">
        <f t="shared" si="336"/>
        <v>1</v>
      </c>
      <c r="AH1016" s="19">
        <f t="shared" si="337"/>
        <v>-1</v>
      </c>
      <c r="AI1016" s="19">
        <f t="shared" si="338"/>
        <v>124.77500000000001</v>
      </c>
      <c r="AJ1016" s="410">
        <f t="shared" si="339"/>
        <v>892.28</v>
      </c>
      <c r="AK1016" s="19" t="e">
        <f t="shared" si="340"/>
        <v>#N/A</v>
      </c>
      <c r="AL1016" s="19">
        <f t="shared" si="341"/>
        <v>692.28</v>
      </c>
      <c r="AM1016" s="19" t="e">
        <f t="shared" si="342"/>
        <v>#N/A</v>
      </c>
      <c r="AN1016" s="19">
        <f t="shared" si="343"/>
        <v>492.28</v>
      </c>
      <c r="AO1016" s="19" t="e">
        <f t="shared" si="344"/>
        <v>#N/A</v>
      </c>
      <c r="AP1016" s="19">
        <f t="shared" si="345"/>
        <v>292.27999999999997</v>
      </c>
      <c r="AQ1016" s="19" t="e">
        <f t="shared" si="346"/>
        <v>#N/A</v>
      </c>
      <c r="AR1016" s="19">
        <f t="shared" si="347"/>
        <v>92.28</v>
      </c>
      <c r="AS1016" s="19" t="e">
        <f t="shared" si="348"/>
        <v>#N/A</v>
      </c>
    </row>
    <row r="1017" spans="31:45" ht="11.25" customHeight="1" x14ac:dyDescent="0.2">
      <c r="AE1017" s="19">
        <v>926</v>
      </c>
      <c r="AG1017" s="19">
        <f t="shared" si="336"/>
        <v>1</v>
      </c>
      <c r="AH1017" s="19">
        <f t="shared" si="337"/>
        <v>1</v>
      </c>
      <c r="AI1017" s="19">
        <f t="shared" si="338"/>
        <v>124.77500000000001</v>
      </c>
      <c r="AJ1017" s="410">
        <f t="shared" si="339"/>
        <v>907.72</v>
      </c>
      <c r="AK1017" s="19" t="e">
        <f t="shared" si="340"/>
        <v>#N/A</v>
      </c>
      <c r="AL1017" s="19">
        <f t="shared" si="341"/>
        <v>707.72</v>
      </c>
      <c r="AM1017" s="19" t="e">
        <f t="shared" si="342"/>
        <v>#N/A</v>
      </c>
      <c r="AN1017" s="19">
        <f t="shared" si="343"/>
        <v>507.72</v>
      </c>
      <c r="AO1017" s="19" t="e">
        <f t="shared" si="344"/>
        <v>#N/A</v>
      </c>
      <c r="AP1017" s="19">
        <f t="shared" si="345"/>
        <v>307.72000000000003</v>
      </c>
      <c r="AQ1017" s="19" t="e">
        <f t="shared" si="346"/>
        <v>#N/A</v>
      </c>
      <c r="AR1017" s="19">
        <f t="shared" si="347"/>
        <v>107.72</v>
      </c>
      <c r="AS1017" s="19" t="e">
        <f t="shared" si="348"/>
        <v>#N/A</v>
      </c>
    </row>
    <row r="1018" spans="31:45" ht="11.25" customHeight="1" x14ac:dyDescent="0.2">
      <c r="AE1018" s="19">
        <v>927</v>
      </c>
      <c r="AG1018" s="19">
        <f t="shared" si="336"/>
        <v>3</v>
      </c>
      <c r="AH1018" s="19">
        <f t="shared" si="337"/>
        <v>-1</v>
      </c>
      <c r="AI1018" s="19">
        <f t="shared" si="338"/>
        <v>124.77500000000001</v>
      </c>
      <c r="AJ1018" s="410">
        <f t="shared" si="339"/>
        <v>876.84</v>
      </c>
      <c r="AK1018" s="19" t="e">
        <f t="shared" si="340"/>
        <v>#N/A</v>
      </c>
      <c r="AL1018" s="19">
        <f t="shared" si="341"/>
        <v>676.84</v>
      </c>
      <c r="AM1018" s="19" t="e">
        <f t="shared" si="342"/>
        <v>#N/A</v>
      </c>
      <c r="AN1018" s="19">
        <f t="shared" si="343"/>
        <v>476.84</v>
      </c>
      <c r="AO1018" s="19" t="e">
        <f t="shared" si="344"/>
        <v>#N/A</v>
      </c>
      <c r="AP1018" s="19">
        <f t="shared" si="345"/>
        <v>276.83999999999997</v>
      </c>
      <c r="AQ1018" s="19" t="e">
        <f t="shared" si="346"/>
        <v>#N/A</v>
      </c>
      <c r="AR1018" s="19">
        <f t="shared" si="347"/>
        <v>76.84</v>
      </c>
      <c r="AS1018" s="19" t="e">
        <f t="shared" si="348"/>
        <v>#N/A</v>
      </c>
    </row>
    <row r="1019" spans="31:45" ht="11.25" customHeight="1" x14ac:dyDescent="0.2">
      <c r="AE1019" s="19">
        <v>928</v>
      </c>
      <c r="AG1019" s="19">
        <f t="shared" si="336"/>
        <v>3</v>
      </c>
      <c r="AH1019" s="19">
        <f t="shared" si="337"/>
        <v>1</v>
      </c>
      <c r="AI1019" s="19">
        <f t="shared" si="338"/>
        <v>124.77500000000001</v>
      </c>
      <c r="AJ1019" s="410">
        <f t="shared" si="339"/>
        <v>923.16</v>
      </c>
      <c r="AK1019" s="19" t="e">
        <f t="shared" si="340"/>
        <v>#N/A</v>
      </c>
      <c r="AL1019" s="19">
        <f t="shared" si="341"/>
        <v>723.16</v>
      </c>
      <c r="AM1019" s="19" t="e">
        <f t="shared" si="342"/>
        <v>#N/A</v>
      </c>
      <c r="AN1019" s="19">
        <f t="shared" si="343"/>
        <v>523.16</v>
      </c>
      <c r="AO1019" s="19" t="e">
        <f t="shared" si="344"/>
        <v>#N/A</v>
      </c>
      <c r="AP1019" s="19">
        <f t="shared" si="345"/>
        <v>323.16000000000003</v>
      </c>
      <c r="AQ1019" s="19" t="e">
        <f t="shared" si="346"/>
        <v>#N/A</v>
      </c>
      <c r="AR1019" s="19">
        <f t="shared" si="347"/>
        <v>123.16</v>
      </c>
      <c r="AS1019" s="19" t="e">
        <f t="shared" si="348"/>
        <v>#N/A</v>
      </c>
    </row>
    <row r="1020" spans="31:45" ht="11.25" customHeight="1" x14ac:dyDescent="0.2">
      <c r="AE1020" s="19">
        <v>929</v>
      </c>
      <c r="AG1020" s="19">
        <f t="shared" si="336"/>
        <v>5</v>
      </c>
      <c r="AH1020" s="19">
        <f t="shared" si="337"/>
        <v>-1</v>
      </c>
      <c r="AI1020" s="19">
        <f t="shared" si="338"/>
        <v>124.77500000000001</v>
      </c>
      <c r="AJ1020" s="410">
        <f t="shared" si="339"/>
        <v>861.4</v>
      </c>
      <c r="AK1020" s="19" t="e">
        <f t="shared" si="340"/>
        <v>#N/A</v>
      </c>
      <c r="AL1020" s="19">
        <f t="shared" si="341"/>
        <v>661.4</v>
      </c>
      <c r="AM1020" s="19" t="e">
        <f t="shared" si="342"/>
        <v>#N/A</v>
      </c>
      <c r="AN1020" s="19">
        <f t="shared" si="343"/>
        <v>461.4</v>
      </c>
      <c r="AO1020" s="19" t="e">
        <f t="shared" si="344"/>
        <v>#N/A</v>
      </c>
      <c r="AP1020" s="19">
        <f t="shared" si="345"/>
        <v>261.39999999999998</v>
      </c>
      <c r="AQ1020" s="19" t="e">
        <f t="shared" si="346"/>
        <v>#N/A</v>
      </c>
      <c r="AR1020" s="19">
        <f t="shared" si="347"/>
        <v>61.4</v>
      </c>
      <c r="AS1020" s="19" t="e">
        <f t="shared" si="348"/>
        <v>#N/A</v>
      </c>
    </row>
    <row r="1021" spans="31:45" ht="11.25" customHeight="1" x14ac:dyDescent="0.2">
      <c r="AE1021" s="19">
        <v>930</v>
      </c>
      <c r="AG1021" s="19">
        <f t="shared" si="336"/>
        <v>5</v>
      </c>
      <c r="AH1021" s="19">
        <f t="shared" si="337"/>
        <v>1</v>
      </c>
      <c r="AI1021" s="19">
        <f t="shared" si="338"/>
        <v>124.77500000000001</v>
      </c>
      <c r="AJ1021" s="410">
        <f t="shared" si="339"/>
        <v>938.6</v>
      </c>
      <c r="AK1021" s="19" t="e">
        <f t="shared" si="340"/>
        <v>#N/A</v>
      </c>
      <c r="AL1021" s="19">
        <f t="shared" si="341"/>
        <v>738.6</v>
      </c>
      <c r="AM1021" s="19" t="e">
        <f t="shared" si="342"/>
        <v>#N/A</v>
      </c>
      <c r="AN1021" s="19">
        <f t="shared" si="343"/>
        <v>538.6</v>
      </c>
      <c r="AO1021" s="19" t="e">
        <f t="shared" si="344"/>
        <v>#N/A</v>
      </c>
      <c r="AP1021" s="19">
        <f t="shared" si="345"/>
        <v>338.6</v>
      </c>
      <c r="AQ1021" s="19" t="e">
        <f t="shared" si="346"/>
        <v>#N/A</v>
      </c>
      <c r="AR1021" s="19">
        <f t="shared" si="347"/>
        <v>138.6</v>
      </c>
      <c r="AS1021" s="19" t="e">
        <f t="shared" si="348"/>
        <v>#N/A</v>
      </c>
    </row>
    <row r="1022" spans="31:45" ht="11.25" customHeight="1" x14ac:dyDescent="0.2">
      <c r="AE1022" s="19">
        <v>931</v>
      </c>
      <c r="AG1022" s="19">
        <f t="shared" si="336"/>
        <v>7</v>
      </c>
      <c r="AH1022" s="19">
        <f t="shared" si="337"/>
        <v>-1</v>
      </c>
      <c r="AI1022" s="19">
        <f t="shared" si="338"/>
        <v>124.77500000000001</v>
      </c>
      <c r="AJ1022" s="410">
        <f t="shared" si="339"/>
        <v>845.96</v>
      </c>
      <c r="AK1022" s="19" t="e">
        <f t="shared" si="340"/>
        <v>#N/A</v>
      </c>
      <c r="AL1022" s="19">
        <f t="shared" si="341"/>
        <v>645.96</v>
      </c>
      <c r="AM1022" s="19" t="e">
        <f t="shared" si="342"/>
        <v>#N/A</v>
      </c>
      <c r="AN1022" s="19">
        <f t="shared" si="343"/>
        <v>445.96</v>
      </c>
      <c r="AO1022" s="19" t="e">
        <f t="shared" si="344"/>
        <v>#N/A</v>
      </c>
      <c r="AP1022" s="19">
        <f t="shared" si="345"/>
        <v>245.96</v>
      </c>
      <c r="AQ1022" s="19" t="e">
        <f t="shared" si="346"/>
        <v>#N/A</v>
      </c>
      <c r="AR1022" s="19">
        <f t="shared" si="347"/>
        <v>45.96</v>
      </c>
      <c r="AS1022" s="19" t="e">
        <f t="shared" si="348"/>
        <v>#N/A</v>
      </c>
    </row>
    <row r="1023" spans="31:45" ht="11.25" customHeight="1" x14ac:dyDescent="0.2">
      <c r="AE1023" s="19">
        <v>932</v>
      </c>
      <c r="AG1023" s="19">
        <f t="shared" si="336"/>
        <v>7</v>
      </c>
      <c r="AH1023" s="19">
        <f t="shared" si="337"/>
        <v>1</v>
      </c>
      <c r="AI1023" s="19">
        <f t="shared" si="338"/>
        <v>124.77500000000001</v>
      </c>
      <c r="AJ1023" s="410">
        <f t="shared" si="339"/>
        <v>954.04</v>
      </c>
      <c r="AK1023" s="19" t="e">
        <f t="shared" si="340"/>
        <v>#N/A</v>
      </c>
      <c r="AL1023" s="19">
        <f t="shared" si="341"/>
        <v>754.04</v>
      </c>
      <c r="AM1023" s="19" t="e">
        <f t="shared" si="342"/>
        <v>#N/A</v>
      </c>
      <c r="AN1023" s="19">
        <f t="shared" si="343"/>
        <v>554.04</v>
      </c>
      <c r="AO1023" s="19" t="e">
        <f t="shared" si="344"/>
        <v>#N/A</v>
      </c>
      <c r="AP1023" s="19">
        <f t="shared" si="345"/>
        <v>354.04</v>
      </c>
      <c r="AQ1023" s="19" t="e">
        <f t="shared" si="346"/>
        <v>#N/A</v>
      </c>
      <c r="AR1023" s="19">
        <f t="shared" si="347"/>
        <v>154.04</v>
      </c>
      <c r="AS1023" s="19" t="e">
        <f t="shared" si="348"/>
        <v>#N/A</v>
      </c>
    </row>
    <row r="1024" spans="31:45" ht="11.25" customHeight="1" x14ac:dyDescent="0.2">
      <c r="AE1024" s="19">
        <v>933</v>
      </c>
      <c r="AG1024" s="19">
        <f t="shared" si="336"/>
        <v>9</v>
      </c>
      <c r="AH1024" s="19">
        <f t="shared" si="337"/>
        <v>-1</v>
      </c>
      <c r="AI1024" s="19">
        <f t="shared" si="338"/>
        <v>124.77500000000001</v>
      </c>
      <c r="AJ1024" s="410">
        <f t="shared" si="339"/>
        <v>830.52</v>
      </c>
      <c r="AK1024" s="19" t="e">
        <f t="shared" si="340"/>
        <v>#N/A</v>
      </c>
      <c r="AL1024" s="19">
        <f t="shared" si="341"/>
        <v>630.52</v>
      </c>
      <c r="AM1024" s="19" t="e">
        <f t="shared" si="342"/>
        <v>#N/A</v>
      </c>
      <c r="AN1024" s="19">
        <f t="shared" si="343"/>
        <v>430.52</v>
      </c>
      <c r="AO1024" s="19" t="e">
        <f t="shared" si="344"/>
        <v>#N/A</v>
      </c>
      <c r="AP1024" s="19">
        <f t="shared" si="345"/>
        <v>230.51999999999998</v>
      </c>
      <c r="AQ1024" s="19" t="e">
        <f t="shared" si="346"/>
        <v>#N/A</v>
      </c>
      <c r="AR1024" s="19">
        <f t="shared" si="347"/>
        <v>30.519999999999996</v>
      </c>
      <c r="AS1024" s="19" t="e">
        <f t="shared" si="348"/>
        <v>#N/A</v>
      </c>
    </row>
    <row r="1025" spans="31:45" ht="11.25" customHeight="1" x14ac:dyDescent="0.2">
      <c r="AE1025" s="19">
        <v>934</v>
      </c>
      <c r="AG1025" s="19">
        <f t="shared" si="336"/>
        <v>9</v>
      </c>
      <c r="AH1025" s="19">
        <f t="shared" si="337"/>
        <v>1</v>
      </c>
      <c r="AI1025" s="19">
        <f t="shared" si="338"/>
        <v>124.77500000000001</v>
      </c>
      <c r="AJ1025" s="410">
        <f t="shared" si="339"/>
        <v>969.48</v>
      </c>
      <c r="AK1025" s="19" t="e">
        <f t="shared" si="340"/>
        <v>#N/A</v>
      </c>
      <c r="AL1025" s="19">
        <f t="shared" si="341"/>
        <v>769.48</v>
      </c>
      <c r="AM1025" s="19" t="e">
        <f t="shared" si="342"/>
        <v>#N/A</v>
      </c>
      <c r="AN1025" s="19">
        <f t="shared" si="343"/>
        <v>569.48</v>
      </c>
      <c r="AO1025" s="19" t="e">
        <f t="shared" si="344"/>
        <v>#N/A</v>
      </c>
      <c r="AP1025" s="19">
        <f t="shared" si="345"/>
        <v>369.48</v>
      </c>
      <c r="AQ1025" s="19" t="e">
        <f t="shared" si="346"/>
        <v>#N/A</v>
      </c>
      <c r="AR1025" s="19">
        <f t="shared" si="347"/>
        <v>169.48000000000002</v>
      </c>
      <c r="AS1025" s="19" t="e">
        <f t="shared" si="348"/>
        <v>#N/A</v>
      </c>
    </row>
    <row r="1026" spans="31:45" ht="11.25" customHeight="1" x14ac:dyDescent="0.2">
      <c r="AE1026" s="19">
        <v>935</v>
      </c>
      <c r="AG1026" s="19">
        <f t="shared" si="336"/>
        <v>11</v>
      </c>
      <c r="AH1026" s="19">
        <f t="shared" si="337"/>
        <v>-1</v>
      </c>
      <c r="AI1026" s="19">
        <f t="shared" si="338"/>
        <v>124.77500000000001</v>
      </c>
      <c r="AJ1026" s="410">
        <f t="shared" si="339"/>
        <v>815.08</v>
      </c>
      <c r="AK1026" s="19" t="e">
        <f t="shared" si="340"/>
        <v>#N/A</v>
      </c>
      <c r="AL1026" s="19">
        <f t="shared" si="341"/>
        <v>615.08000000000004</v>
      </c>
      <c r="AM1026" s="19" t="e">
        <f t="shared" si="342"/>
        <v>#N/A</v>
      </c>
      <c r="AN1026" s="19">
        <f t="shared" si="343"/>
        <v>415.08</v>
      </c>
      <c r="AO1026" s="19" t="e">
        <f t="shared" si="344"/>
        <v>#N/A</v>
      </c>
      <c r="AP1026" s="19">
        <f t="shared" si="345"/>
        <v>215.07999999999998</v>
      </c>
      <c r="AQ1026" s="19" t="e">
        <f t="shared" si="346"/>
        <v>#N/A</v>
      </c>
      <c r="AR1026" s="19">
        <f t="shared" si="347"/>
        <v>15.079999999999998</v>
      </c>
      <c r="AS1026" s="19" t="e">
        <f t="shared" si="348"/>
        <v>#N/A</v>
      </c>
    </row>
    <row r="1027" spans="31:45" ht="11.25" customHeight="1" x14ac:dyDescent="0.2">
      <c r="AE1027" s="19">
        <v>936</v>
      </c>
      <c r="AG1027" s="19">
        <f t="shared" si="336"/>
        <v>11</v>
      </c>
      <c r="AH1027" s="19">
        <f t="shared" si="337"/>
        <v>1</v>
      </c>
      <c r="AI1027" s="19">
        <f t="shared" si="338"/>
        <v>124.77500000000001</v>
      </c>
      <c r="AJ1027" s="410">
        <f t="shared" si="339"/>
        <v>984.92</v>
      </c>
      <c r="AK1027" s="19" t="e">
        <f t="shared" si="340"/>
        <v>#N/A</v>
      </c>
      <c r="AL1027" s="19">
        <f t="shared" si="341"/>
        <v>784.92</v>
      </c>
      <c r="AM1027" s="19" t="e">
        <f t="shared" si="342"/>
        <v>#N/A</v>
      </c>
      <c r="AN1027" s="19">
        <f t="shared" si="343"/>
        <v>584.91999999999996</v>
      </c>
      <c r="AO1027" s="19" t="e">
        <f t="shared" si="344"/>
        <v>#N/A</v>
      </c>
      <c r="AP1027" s="19">
        <f t="shared" si="345"/>
        <v>384.92</v>
      </c>
      <c r="AQ1027" s="19" t="e">
        <f t="shared" si="346"/>
        <v>#N/A</v>
      </c>
      <c r="AR1027" s="19">
        <f t="shared" si="347"/>
        <v>184.92000000000002</v>
      </c>
      <c r="AS1027" s="19" t="e">
        <f t="shared" si="348"/>
        <v>#N/A</v>
      </c>
    </row>
    <row r="1028" spans="31:45" ht="11.25" customHeight="1" x14ac:dyDescent="0.2">
      <c r="AE1028" s="19">
        <v>937</v>
      </c>
      <c r="AG1028" s="19">
        <f t="shared" si="336"/>
        <v>1</v>
      </c>
      <c r="AH1028" s="19">
        <f t="shared" si="337"/>
        <v>-1</v>
      </c>
      <c r="AI1028" s="19">
        <f t="shared" si="338"/>
        <v>126.38500000000001</v>
      </c>
      <c r="AJ1028" s="410">
        <f t="shared" si="339"/>
        <v>892.28</v>
      </c>
      <c r="AK1028" s="19" t="e">
        <f t="shared" si="340"/>
        <v>#N/A</v>
      </c>
      <c r="AL1028" s="19">
        <f t="shared" si="341"/>
        <v>692.28</v>
      </c>
      <c r="AM1028" s="19" t="e">
        <f t="shared" si="342"/>
        <v>#N/A</v>
      </c>
      <c r="AN1028" s="19">
        <f t="shared" si="343"/>
        <v>492.28</v>
      </c>
      <c r="AO1028" s="19" t="e">
        <f t="shared" si="344"/>
        <v>#N/A</v>
      </c>
      <c r="AP1028" s="19">
        <f t="shared" si="345"/>
        <v>292.27999999999997</v>
      </c>
      <c r="AQ1028" s="19" t="e">
        <f t="shared" si="346"/>
        <v>#N/A</v>
      </c>
      <c r="AR1028" s="19">
        <f t="shared" si="347"/>
        <v>92.28</v>
      </c>
      <c r="AS1028" s="19" t="e">
        <f t="shared" si="348"/>
        <v>#N/A</v>
      </c>
    </row>
    <row r="1029" spans="31:45" ht="11.25" customHeight="1" x14ac:dyDescent="0.2">
      <c r="AE1029" s="19">
        <v>938</v>
      </c>
      <c r="AG1029" s="19">
        <f t="shared" si="336"/>
        <v>1</v>
      </c>
      <c r="AH1029" s="19">
        <f t="shared" si="337"/>
        <v>1</v>
      </c>
      <c r="AI1029" s="19">
        <f t="shared" si="338"/>
        <v>126.38500000000001</v>
      </c>
      <c r="AJ1029" s="410">
        <f t="shared" si="339"/>
        <v>907.72</v>
      </c>
      <c r="AK1029" s="19" t="e">
        <f t="shared" si="340"/>
        <v>#N/A</v>
      </c>
      <c r="AL1029" s="19">
        <f t="shared" si="341"/>
        <v>707.72</v>
      </c>
      <c r="AM1029" s="19" t="e">
        <f t="shared" si="342"/>
        <v>#N/A</v>
      </c>
      <c r="AN1029" s="19">
        <f t="shared" si="343"/>
        <v>507.72</v>
      </c>
      <c r="AO1029" s="19" t="e">
        <f t="shared" si="344"/>
        <v>#N/A</v>
      </c>
      <c r="AP1029" s="19">
        <f t="shared" si="345"/>
        <v>307.72000000000003</v>
      </c>
      <c r="AQ1029" s="19" t="e">
        <f t="shared" si="346"/>
        <v>#N/A</v>
      </c>
      <c r="AR1029" s="19">
        <f t="shared" si="347"/>
        <v>107.72</v>
      </c>
      <c r="AS1029" s="19" t="e">
        <f t="shared" si="348"/>
        <v>#N/A</v>
      </c>
    </row>
    <row r="1030" spans="31:45" ht="11.25" customHeight="1" x14ac:dyDescent="0.2">
      <c r="AE1030" s="19">
        <v>939</v>
      </c>
      <c r="AG1030" s="19">
        <f t="shared" si="336"/>
        <v>3</v>
      </c>
      <c r="AH1030" s="19">
        <f t="shared" si="337"/>
        <v>-1</v>
      </c>
      <c r="AI1030" s="19">
        <f t="shared" si="338"/>
        <v>126.38500000000001</v>
      </c>
      <c r="AJ1030" s="410">
        <f t="shared" si="339"/>
        <v>876.84</v>
      </c>
      <c r="AK1030" s="19" t="e">
        <f t="shared" si="340"/>
        <v>#N/A</v>
      </c>
      <c r="AL1030" s="19">
        <f t="shared" si="341"/>
        <v>676.84</v>
      </c>
      <c r="AM1030" s="19" t="e">
        <f t="shared" si="342"/>
        <v>#N/A</v>
      </c>
      <c r="AN1030" s="19">
        <f t="shared" si="343"/>
        <v>476.84</v>
      </c>
      <c r="AO1030" s="19" t="e">
        <f t="shared" si="344"/>
        <v>#N/A</v>
      </c>
      <c r="AP1030" s="19">
        <f t="shared" si="345"/>
        <v>276.83999999999997</v>
      </c>
      <c r="AQ1030" s="19" t="e">
        <f t="shared" si="346"/>
        <v>#N/A</v>
      </c>
      <c r="AR1030" s="19">
        <f t="shared" si="347"/>
        <v>76.84</v>
      </c>
      <c r="AS1030" s="19" t="e">
        <f t="shared" si="348"/>
        <v>#N/A</v>
      </c>
    </row>
    <row r="1031" spans="31:45" ht="11.25" customHeight="1" x14ac:dyDescent="0.2">
      <c r="AE1031" s="19">
        <v>940</v>
      </c>
      <c r="AG1031" s="19">
        <f t="shared" si="336"/>
        <v>3</v>
      </c>
      <c r="AH1031" s="19">
        <f t="shared" si="337"/>
        <v>1</v>
      </c>
      <c r="AI1031" s="19">
        <f t="shared" si="338"/>
        <v>126.38500000000001</v>
      </c>
      <c r="AJ1031" s="410">
        <f t="shared" si="339"/>
        <v>923.16</v>
      </c>
      <c r="AK1031" s="19" t="e">
        <f t="shared" si="340"/>
        <v>#N/A</v>
      </c>
      <c r="AL1031" s="19">
        <f t="shared" si="341"/>
        <v>723.16</v>
      </c>
      <c r="AM1031" s="19" t="e">
        <f t="shared" si="342"/>
        <v>#N/A</v>
      </c>
      <c r="AN1031" s="19">
        <f t="shared" si="343"/>
        <v>523.16</v>
      </c>
      <c r="AO1031" s="19" t="e">
        <f t="shared" si="344"/>
        <v>#N/A</v>
      </c>
      <c r="AP1031" s="19">
        <f t="shared" si="345"/>
        <v>323.16000000000003</v>
      </c>
      <c r="AQ1031" s="19" t="e">
        <f t="shared" si="346"/>
        <v>#N/A</v>
      </c>
      <c r="AR1031" s="19">
        <f t="shared" si="347"/>
        <v>123.16</v>
      </c>
      <c r="AS1031" s="19" t="e">
        <f t="shared" si="348"/>
        <v>#N/A</v>
      </c>
    </row>
    <row r="1032" spans="31:45" ht="11.25" customHeight="1" x14ac:dyDescent="0.2">
      <c r="AE1032" s="19">
        <v>941</v>
      </c>
      <c r="AG1032" s="19">
        <f t="shared" si="336"/>
        <v>5</v>
      </c>
      <c r="AH1032" s="19">
        <f t="shared" si="337"/>
        <v>-1</v>
      </c>
      <c r="AI1032" s="19">
        <f t="shared" si="338"/>
        <v>126.38500000000001</v>
      </c>
      <c r="AJ1032" s="410">
        <f t="shared" si="339"/>
        <v>861.4</v>
      </c>
      <c r="AK1032" s="19" t="e">
        <f t="shared" si="340"/>
        <v>#N/A</v>
      </c>
      <c r="AL1032" s="19">
        <f t="shared" si="341"/>
        <v>661.4</v>
      </c>
      <c r="AM1032" s="19" t="e">
        <f t="shared" si="342"/>
        <v>#N/A</v>
      </c>
      <c r="AN1032" s="19">
        <f t="shared" si="343"/>
        <v>461.4</v>
      </c>
      <c r="AO1032" s="19" t="e">
        <f t="shared" si="344"/>
        <v>#N/A</v>
      </c>
      <c r="AP1032" s="19">
        <f t="shared" si="345"/>
        <v>261.39999999999998</v>
      </c>
      <c r="AQ1032" s="19" t="e">
        <f t="shared" si="346"/>
        <v>#N/A</v>
      </c>
      <c r="AR1032" s="19">
        <f t="shared" si="347"/>
        <v>61.4</v>
      </c>
      <c r="AS1032" s="19" t="e">
        <f t="shared" si="348"/>
        <v>#N/A</v>
      </c>
    </row>
    <row r="1033" spans="31:45" ht="11.25" customHeight="1" x14ac:dyDescent="0.2">
      <c r="AE1033" s="19">
        <v>942</v>
      </c>
      <c r="AG1033" s="19">
        <f t="shared" si="336"/>
        <v>5</v>
      </c>
      <c r="AH1033" s="19">
        <f t="shared" si="337"/>
        <v>1</v>
      </c>
      <c r="AI1033" s="19">
        <f t="shared" si="338"/>
        <v>126.38500000000001</v>
      </c>
      <c r="AJ1033" s="410">
        <f t="shared" si="339"/>
        <v>938.6</v>
      </c>
      <c r="AK1033" s="19" t="e">
        <f t="shared" si="340"/>
        <v>#N/A</v>
      </c>
      <c r="AL1033" s="19">
        <f t="shared" si="341"/>
        <v>738.6</v>
      </c>
      <c r="AM1033" s="19" t="e">
        <f t="shared" si="342"/>
        <v>#N/A</v>
      </c>
      <c r="AN1033" s="19">
        <f t="shared" si="343"/>
        <v>538.6</v>
      </c>
      <c r="AO1033" s="19" t="e">
        <f t="shared" si="344"/>
        <v>#N/A</v>
      </c>
      <c r="AP1033" s="19">
        <f t="shared" si="345"/>
        <v>338.6</v>
      </c>
      <c r="AQ1033" s="19" t="e">
        <f t="shared" si="346"/>
        <v>#N/A</v>
      </c>
      <c r="AR1033" s="19">
        <f t="shared" si="347"/>
        <v>138.6</v>
      </c>
      <c r="AS1033" s="19" t="e">
        <f t="shared" si="348"/>
        <v>#N/A</v>
      </c>
    </row>
    <row r="1034" spans="31:45" ht="11.25" customHeight="1" x14ac:dyDescent="0.2">
      <c r="AE1034" s="19">
        <v>943</v>
      </c>
      <c r="AG1034" s="19">
        <f t="shared" si="336"/>
        <v>7</v>
      </c>
      <c r="AH1034" s="19">
        <f t="shared" si="337"/>
        <v>-1</v>
      </c>
      <c r="AI1034" s="19">
        <f t="shared" si="338"/>
        <v>126.38500000000001</v>
      </c>
      <c r="AJ1034" s="410">
        <f t="shared" si="339"/>
        <v>845.96</v>
      </c>
      <c r="AK1034" s="19" t="e">
        <f t="shared" si="340"/>
        <v>#N/A</v>
      </c>
      <c r="AL1034" s="19">
        <f t="shared" si="341"/>
        <v>645.96</v>
      </c>
      <c r="AM1034" s="19" t="e">
        <f t="shared" si="342"/>
        <v>#N/A</v>
      </c>
      <c r="AN1034" s="19">
        <f t="shared" si="343"/>
        <v>445.96</v>
      </c>
      <c r="AO1034" s="19" t="e">
        <f t="shared" si="344"/>
        <v>#N/A</v>
      </c>
      <c r="AP1034" s="19">
        <f t="shared" si="345"/>
        <v>245.96</v>
      </c>
      <c r="AQ1034" s="19" t="e">
        <f t="shared" si="346"/>
        <v>#N/A</v>
      </c>
      <c r="AR1034" s="19">
        <f t="shared" si="347"/>
        <v>45.96</v>
      </c>
      <c r="AS1034" s="19" t="e">
        <f t="shared" si="348"/>
        <v>#N/A</v>
      </c>
    </row>
    <row r="1035" spans="31:45" ht="11.25" customHeight="1" x14ac:dyDescent="0.2">
      <c r="AE1035" s="19">
        <v>944</v>
      </c>
      <c r="AG1035" s="19">
        <f t="shared" si="336"/>
        <v>7</v>
      </c>
      <c r="AH1035" s="19">
        <f t="shared" si="337"/>
        <v>1</v>
      </c>
      <c r="AI1035" s="19">
        <f t="shared" si="338"/>
        <v>126.38500000000001</v>
      </c>
      <c r="AJ1035" s="410">
        <f t="shared" si="339"/>
        <v>954.04</v>
      </c>
      <c r="AK1035" s="19" t="e">
        <f t="shared" si="340"/>
        <v>#N/A</v>
      </c>
      <c r="AL1035" s="19">
        <f t="shared" si="341"/>
        <v>754.04</v>
      </c>
      <c r="AM1035" s="19" t="e">
        <f t="shared" si="342"/>
        <v>#N/A</v>
      </c>
      <c r="AN1035" s="19">
        <f t="shared" si="343"/>
        <v>554.04</v>
      </c>
      <c r="AO1035" s="19" t="e">
        <f t="shared" si="344"/>
        <v>#N/A</v>
      </c>
      <c r="AP1035" s="19">
        <f t="shared" si="345"/>
        <v>354.04</v>
      </c>
      <c r="AQ1035" s="19" t="e">
        <f t="shared" si="346"/>
        <v>#N/A</v>
      </c>
      <c r="AR1035" s="19">
        <f t="shared" si="347"/>
        <v>154.04</v>
      </c>
      <c r="AS1035" s="19" t="e">
        <f t="shared" si="348"/>
        <v>#N/A</v>
      </c>
    </row>
    <row r="1036" spans="31:45" ht="11.25" customHeight="1" x14ac:dyDescent="0.2">
      <c r="AE1036" s="19">
        <v>945</v>
      </c>
      <c r="AG1036" s="19">
        <f t="shared" si="336"/>
        <v>9</v>
      </c>
      <c r="AH1036" s="19">
        <f t="shared" si="337"/>
        <v>-1</v>
      </c>
      <c r="AI1036" s="19">
        <f t="shared" si="338"/>
        <v>126.38500000000001</v>
      </c>
      <c r="AJ1036" s="410">
        <f t="shared" si="339"/>
        <v>830.52</v>
      </c>
      <c r="AK1036" s="19" t="e">
        <f t="shared" si="340"/>
        <v>#N/A</v>
      </c>
      <c r="AL1036" s="19">
        <f t="shared" si="341"/>
        <v>630.52</v>
      </c>
      <c r="AM1036" s="19" t="e">
        <f t="shared" si="342"/>
        <v>#N/A</v>
      </c>
      <c r="AN1036" s="19">
        <f t="shared" si="343"/>
        <v>430.52</v>
      </c>
      <c r="AO1036" s="19" t="e">
        <f t="shared" si="344"/>
        <v>#N/A</v>
      </c>
      <c r="AP1036" s="19">
        <f t="shared" si="345"/>
        <v>230.51999999999998</v>
      </c>
      <c r="AQ1036" s="19" t="e">
        <f t="shared" si="346"/>
        <v>#N/A</v>
      </c>
      <c r="AR1036" s="19">
        <f t="shared" si="347"/>
        <v>30.519999999999996</v>
      </c>
      <c r="AS1036" s="19" t="e">
        <f t="shared" si="348"/>
        <v>#N/A</v>
      </c>
    </row>
    <row r="1037" spans="31:45" ht="11.25" customHeight="1" x14ac:dyDescent="0.2">
      <c r="AE1037" s="19">
        <v>946</v>
      </c>
      <c r="AG1037" s="19">
        <f t="shared" si="336"/>
        <v>9</v>
      </c>
      <c r="AH1037" s="19">
        <f t="shared" si="337"/>
        <v>1</v>
      </c>
      <c r="AI1037" s="19">
        <f t="shared" si="338"/>
        <v>126.38500000000001</v>
      </c>
      <c r="AJ1037" s="410">
        <f t="shared" si="339"/>
        <v>969.48</v>
      </c>
      <c r="AK1037" s="19" t="e">
        <f t="shared" si="340"/>
        <v>#N/A</v>
      </c>
      <c r="AL1037" s="19">
        <f t="shared" si="341"/>
        <v>769.48</v>
      </c>
      <c r="AM1037" s="19" t="e">
        <f t="shared" si="342"/>
        <v>#N/A</v>
      </c>
      <c r="AN1037" s="19">
        <f t="shared" si="343"/>
        <v>569.48</v>
      </c>
      <c r="AO1037" s="19" t="e">
        <f t="shared" si="344"/>
        <v>#N/A</v>
      </c>
      <c r="AP1037" s="19">
        <f t="shared" si="345"/>
        <v>369.48</v>
      </c>
      <c r="AQ1037" s="19" t="e">
        <f t="shared" si="346"/>
        <v>#N/A</v>
      </c>
      <c r="AR1037" s="19">
        <f t="shared" si="347"/>
        <v>169.48000000000002</v>
      </c>
      <c r="AS1037" s="19" t="e">
        <f t="shared" si="348"/>
        <v>#N/A</v>
      </c>
    </row>
    <row r="1038" spans="31:45" ht="11.25" customHeight="1" x14ac:dyDescent="0.2">
      <c r="AE1038" s="19">
        <v>947</v>
      </c>
      <c r="AG1038" s="19">
        <f t="shared" si="336"/>
        <v>11</v>
      </c>
      <c r="AH1038" s="19">
        <f t="shared" si="337"/>
        <v>-1</v>
      </c>
      <c r="AI1038" s="19">
        <f t="shared" si="338"/>
        <v>126.38500000000001</v>
      </c>
      <c r="AJ1038" s="410">
        <f t="shared" si="339"/>
        <v>815.08</v>
      </c>
      <c r="AK1038" s="19" t="e">
        <f t="shared" si="340"/>
        <v>#N/A</v>
      </c>
      <c r="AL1038" s="19">
        <f t="shared" si="341"/>
        <v>615.08000000000004</v>
      </c>
      <c r="AM1038" s="19" t="e">
        <f t="shared" si="342"/>
        <v>#N/A</v>
      </c>
      <c r="AN1038" s="19">
        <f t="shared" si="343"/>
        <v>415.08</v>
      </c>
      <c r="AO1038" s="19" t="e">
        <f t="shared" si="344"/>
        <v>#N/A</v>
      </c>
      <c r="AP1038" s="19">
        <f t="shared" si="345"/>
        <v>215.07999999999998</v>
      </c>
      <c r="AQ1038" s="19" t="e">
        <f t="shared" si="346"/>
        <v>#N/A</v>
      </c>
      <c r="AR1038" s="19">
        <f t="shared" si="347"/>
        <v>15.079999999999998</v>
      </c>
      <c r="AS1038" s="19" t="e">
        <f t="shared" si="348"/>
        <v>#N/A</v>
      </c>
    </row>
    <row r="1039" spans="31:45" ht="11.25" customHeight="1" x14ac:dyDescent="0.2">
      <c r="AE1039" s="19">
        <v>948</v>
      </c>
      <c r="AG1039" s="19">
        <f t="shared" si="336"/>
        <v>11</v>
      </c>
      <c r="AH1039" s="19">
        <f t="shared" si="337"/>
        <v>1</v>
      </c>
      <c r="AI1039" s="19">
        <f t="shared" si="338"/>
        <v>126.38500000000001</v>
      </c>
      <c r="AJ1039" s="410">
        <f t="shared" si="339"/>
        <v>984.92</v>
      </c>
      <c r="AK1039" s="19" t="e">
        <f t="shared" si="340"/>
        <v>#N/A</v>
      </c>
      <c r="AL1039" s="19">
        <f t="shared" si="341"/>
        <v>784.92</v>
      </c>
      <c r="AM1039" s="19" t="e">
        <f t="shared" si="342"/>
        <v>#N/A</v>
      </c>
      <c r="AN1039" s="19">
        <f t="shared" si="343"/>
        <v>584.91999999999996</v>
      </c>
      <c r="AO1039" s="19" t="e">
        <f t="shared" si="344"/>
        <v>#N/A</v>
      </c>
      <c r="AP1039" s="19">
        <f t="shared" si="345"/>
        <v>384.92</v>
      </c>
      <c r="AQ1039" s="19" t="e">
        <f t="shared" si="346"/>
        <v>#N/A</v>
      </c>
      <c r="AR1039" s="19">
        <f t="shared" si="347"/>
        <v>184.92000000000002</v>
      </c>
      <c r="AS1039" s="19" t="e">
        <f t="shared" si="348"/>
        <v>#N/A</v>
      </c>
    </row>
    <row r="1040" spans="31:45" ht="11.25" customHeight="1" x14ac:dyDescent="0.2">
      <c r="AE1040" s="19">
        <v>949</v>
      </c>
      <c r="AG1040" s="19">
        <f t="shared" si="336"/>
        <v>1</v>
      </c>
      <c r="AH1040" s="19">
        <f t="shared" si="337"/>
        <v>-1</v>
      </c>
      <c r="AI1040" s="19">
        <f t="shared" si="338"/>
        <v>127.995</v>
      </c>
      <c r="AJ1040" s="410">
        <f t="shared" si="339"/>
        <v>892.28</v>
      </c>
      <c r="AK1040" s="19" t="e">
        <f t="shared" si="340"/>
        <v>#N/A</v>
      </c>
      <c r="AL1040" s="19">
        <f t="shared" si="341"/>
        <v>692.28</v>
      </c>
      <c r="AM1040" s="19" t="e">
        <f t="shared" si="342"/>
        <v>#N/A</v>
      </c>
      <c r="AN1040" s="19">
        <f t="shared" si="343"/>
        <v>492.28</v>
      </c>
      <c r="AO1040" s="19" t="e">
        <f t="shared" si="344"/>
        <v>#N/A</v>
      </c>
      <c r="AP1040" s="19">
        <f t="shared" si="345"/>
        <v>292.27999999999997</v>
      </c>
      <c r="AQ1040" s="19" t="e">
        <f t="shared" si="346"/>
        <v>#N/A</v>
      </c>
      <c r="AR1040" s="19">
        <f t="shared" si="347"/>
        <v>92.28</v>
      </c>
      <c r="AS1040" s="19" t="e">
        <f t="shared" si="348"/>
        <v>#N/A</v>
      </c>
    </row>
    <row r="1041" spans="31:45" ht="11.25" customHeight="1" x14ac:dyDescent="0.2">
      <c r="AE1041" s="19">
        <v>950</v>
      </c>
      <c r="AG1041" s="19">
        <f t="shared" si="336"/>
        <v>1</v>
      </c>
      <c r="AH1041" s="19">
        <f t="shared" si="337"/>
        <v>1</v>
      </c>
      <c r="AI1041" s="19">
        <f t="shared" si="338"/>
        <v>127.995</v>
      </c>
      <c r="AJ1041" s="410">
        <f t="shared" si="339"/>
        <v>907.72</v>
      </c>
      <c r="AK1041" s="19" t="e">
        <f t="shared" si="340"/>
        <v>#N/A</v>
      </c>
      <c r="AL1041" s="19">
        <f t="shared" si="341"/>
        <v>707.72</v>
      </c>
      <c r="AM1041" s="19" t="e">
        <f t="shared" si="342"/>
        <v>#N/A</v>
      </c>
      <c r="AN1041" s="19">
        <f t="shared" si="343"/>
        <v>507.72</v>
      </c>
      <c r="AO1041" s="19" t="e">
        <f t="shared" si="344"/>
        <v>#N/A</v>
      </c>
      <c r="AP1041" s="19">
        <f t="shared" si="345"/>
        <v>307.72000000000003</v>
      </c>
      <c r="AQ1041" s="19" t="e">
        <f t="shared" si="346"/>
        <v>#N/A</v>
      </c>
      <c r="AR1041" s="19">
        <f t="shared" si="347"/>
        <v>107.72</v>
      </c>
      <c r="AS1041" s="19" t="e">
        <f t="shared" si="348"/>
        <v>#N/A</v>
      </c>
    </row>
    <row r="1042" spans="31:45" ht="11.25" customHeight="1" x14ac:dyDescent="0.2">
      <c r="AE1042" s="19">
        <v>951</v>
      </c>
      <c r="AG1042" s="19">
        <f t="shared" si="336"/>
        <v>3</v>
      </c>
      <c r="AH1042" s="19">
        <f t="shared" si="337"/>
        <v>-1</v>
      </c>
      <c r="AI1042" s="19">
        <f t="shared" si="338"/>
        <v>127.995</v>
      </c>
      <c r="AJ1042" s="410">
        <f t="shared" si="339"/>
        <v>876.84</v>
      </c>
      <c r="AK1042" s="19" t="e">
        <f t="shared" si="340"/>
        <v>#N/A</v>
      </c>
      <c r="AL1042" s="19">
        <f t="shared" si="341"/>
        <v>676.84</v>
      </c>
      <c r="AM1042" s="19" t="e">
        <f t="shared" si="342"/>
        <v>#N/A</v>
      </c>
      <c r="AN1042" s="19">
        <f t="shared" si="343"/>
        <v>476.84</v>
      </c>
      <c r="AO1042" s="19" t="e">
        <f t="shared" si="344"/>
        <v>#N/A</v>
      </c>
      <c r="AP1042" s="19">
        <f t="shared" si="345"/>
        <v>276.83999999999997</v>
      </c>
      <c r="AQ1042" s="19" t="e">
        <f t="shared" si="346"/>
        <v>#N/A</v>
      </c>
      <c r="AR1042" s="19">
        <f t="shared" si="347"/>
        <v>76.84</v>
      </c>
      <c r="AS1042" s="19" t="e">
        <f t="shared" si="348"/>
        <v>#N/A</v>
      </c>
    </row>
    <row r="1043" spans="31:45" ht="11.25" customHeight="1" x14ac:dyDescent="0.2">
      <c r="AE1043" s="19">
        <v>952</v>
      </c>
      <c r="AG1043" s="19">
        <f t="shared" si="336"/>
        <v>3</v>
      </c>
      <c r="AH1043" s="19">
        <f t="shared" si="337"/>
        <v>1</v>
      </c>
      <c r="AI1043" s="19">
        <f t="shared" si="338"/>
        <v>127.995</v>
      </c>
      <c r="AJ1043" s="410">
        <f t="shared" si="339"/>
        <v>923.16</v>
      </c>
      <c r="AK1043" s="19" t="e">
        <f t="shared" si="340"/>
        <v>#N/A</v>
      </c>
      <c r="AL1043" s="19">
        <f t="shared" si="341"/>
        <v>723.16</v>
      </c>
      <c r="AM1043" s="19" t="e">
        <f t="shared" si="342"/>
        <v>#N/A</v>
      </c>
      <c r="AN1043" s="19">
        <f t="shared" si="343"/>
        <v>523.16</v>
      </c>
      <c r="AO1043" s="19" t="e">
        <f t="shared" si="344"/>
        <v>#N/A</v>
      </c>
      <c r="AP1043" s="19">
        <f t="shared" si="345"/>
        <v>323.16000000000003</v>
      </c>
      <c r="AQ1043" s="19" t="e">
        <f t="shared" si="346"/>
        <v>#N/A</v>
      </c>
      <c r="AR1043" s="19">
        <f t="shared" si="347"/>
        <v>123.16</v>
      </c>
      <c r="AS1043" s="19" t="e">
        <f t="shared" si="348"/>
        <v>#N/A</v>
      </c>
    </row>
    <row r="1044" spans="31:45" ht="11.25" customHeight="1" x14ac:dyDescent="0.2">
      <c r="AE1044" s="19">
        <v>953</v>
      </c>
      <c r="AG1044" s="19">
        <f t="shared" si="336"/>
        <v>5</v>
      </c>
      <c r="AH1044" s="19">
        <f t="shared" si="337"/>
        <v>-1</v>
      </c>
      <c r="AI1044" s="19">
        <f t="shared" si="338"/>
        <v>127.995</v>
      </c>
      <c r="AJ1044" s="410">
        <f t="shared" si="339"/>
        <v>861.4</v>
      </c>
      <c r="AK1044" s="19" t="e">
        <f t="shared" si="340"/>
        <v>#N/A</v>
      </c>
      <c r="AL1044" s="19">
        <f t="shared" si="341"/>
        <v>661.4</v>
      </c>
      <c r="AM1044" s="19" t="e">
        <f t="shared" si="342"/>
        <v>#N/A</v>
      </c>
      <c r="AN1044" s="19">
        <f t="shared" si="343"/>
        <v>461.4</v>
      </c>
      <c r="AO1044" s="19" t="e">
        <f t="shared" si="344"/>
        <v>#N/A</v>
      </c>
      <c r="AP1044" s="19">
        <f t="shared" si="345"/>
        <v>261.39999999999998</v>
      </c>
      <c r="AQ1044" s="19" t="e">
        <f t="shared" si="346"/>
        <v>#N/A</v>
      </c>
      <c r="AR1044" s="19">
        <f t="shared" si="347"/>
        <v>61.4</v>
      </c>
      <c r="AS1044" s="19" t="e">
        <f t="shared" si="348"/>
        <v>#N/A</v>
      </c>
    </row>
    <row r="1045" spans="31:45" ht="11.25" customHeight="1" x14ac:dyDescent="0.2">
      <c r="AE1045" s="19">
        <v>954</v>
      </c>
      <c r="AG1045" s="19">
        <f t="shared" si="336"/>
        <v>5</v>
      </c>
      <c r="AH1045" s="19">
        <f t="shared" si="337"/>
        <v>1</v>
      </c>
      <c r="AI1045" s="19">
        <f t="shared" si="338"/>
        <v>127.995</v>
      </c>
      <c r="AJ1045" s="410">
        <f t="shared" si="339"/>
        <v>938.6</v>
      </c>
      <c r="AK1045" s="19" t="e">
        <f t="shared" si="340"/>
        <v>#N/A</v>
      </c>
      <c r="AL1045" s="19">
        <f t="shared" si="341"/>
        <v>738.6</v>
      </c>
      <c r="AM1045" s="19" t="e">
        <f t="shared" si="342"/>
        <v>#N/A</v>
      </c>
      <c r="AN1045" s="19">
        <f t="shared" si="343"/>
        <v>538.6</v>
      </c>
      <c r="AO1045" s="19" t="e">
        <f t="shared" si="344"/>
        <v>#N/A</v>
      </c>
      <c r="AP1045" s="19">
        <f t="shared" si="345"/>
        <v>338.6</v>
      </c>
      <c r="AQ1045" s="19" t="e">
        <f t="shared" si="346"/>
        <v>#N/A</v>
      </c>
      <c r="AR1045" s="19">
        <f t="shared" si="347"/>
        <v>138.6</v>
      </c>
      <c r="AS1045" s="19" t="e">
        <f t="shared" si="348"/>
        <v>#N/A</v>
      </c>
    </row>
    <row r="1046" spans="31:45" ht="11.25" customHeight="1" x14ac:dyDescent="0.2">
      <c r="AE1046" s="19">
        <v>955</v>
      </c>
      <c r="AG1046" s="19">
        <f t="shared" si="336"/>
        <v>7</v>
      </c>
      <c r="AH1046" s="19">
        <f t="shared" si="337"/>
        <v>-1</v>
      </c>
      <c r="AI1046" s="19">
        <f t="shared" si="338"/>
        <v>127.995</v>
      </c>
      <c r="AJ1046" s="410">
        <f t="shared" si="339"/>
        <v>845.96</v>
      </c>
      <c r="AK1046" s="19" t="e">
        <f t="shared" si="340"/>
        <v>#N/A</v>
      </c>
      <c r="AL1046" s="19">
        <f t="shared" si="341"/>
        <v>645.96</v>
      </c>
      <c r="AM1046" s="19" t="e">
        <f t="shared" si="342"/>
        <v>#N/A</v>
      </c>
      <c r="AN1046" s="19">
        <f t="shared" si="343"/>
        <v>445.96</v>
      </c>
      <c r="AO1046" s="19" t="e">
        <f t="shared" si="344"/>
        <v>#N/A</v>
      </c>
      <c r="AP1046" s="19">
        <f t="shared" si="345"/>
        <v>245.96</v>
      </c>
      <c r="AQ1046" s="19" t="e">
        <f t="shared" si="346"/>
        <v>#N/A</v>
      </c>
      <c r="AR1046" s="19">
        <f t="shared" si="347"/>
        <v>45.96</v>
      </c>
      <c r="AS1046" s="19" t="e">
        <f t="shared" si="348"/>
        <v>#N/A</v>
      </c>
    </row>
    <row r="1047" spans="31:45" ht="11.25" customHeight="1" x14ac:dyDescent="0.2">
      <c r="AE1047" s="19">
        <v>956</v>
      </c>
      <c r="AG1047" s="19">
        <f t="shared" si="336"/>
        <v>7</v>
      </c>
      <c r="AH1047" s="19">
        <f t="shared" si="337"/>
        <v>1</v>
      </c>
      <c r="AI1047" s="19">
        <f t="shared" si="338"/>
        <v>127.995</v>
      </c>
      <c r="AJ1047" s="410">
        <f t="shared" si="339"/>
        <v>954.04</v>
      </c>
      <c r="AK1047" s="19" t="e">
        <f t="shared" si="340"/>
        <v>#N/A</v>
      </c>
      <c r="AL1047" s="19">
        <f t="shared" si="341"/>
        <v>754.04</v>
      </c>
      <c r="AM1047" s="19" t="e">
        <f t="shared" si="342"/>
        <v>#N/A</v>
      </c>
      <c r="AN1047" s="19">
        <f t="shared" si="343"/>
        <v>554.04</v>
      </c>
      <c r="AO1047" s="19" t="e">
        <f t="shared" si="344"/>
        <v>#N/A</v>
      </c>
      <c r="AP1047" s="19">
        <f t="shared" si="345"/>
        <v>354.04</v>
      </c>
      <c r="AQ1047" s="19" t="e">
        <f t="shared" si="346"/>
        <v>#N/A</v>
      </c>
      <c r="AR1047" s="19">
        <f t="shared" si="347"/>
        <v>154.04</v>
      </c>
      <c r="AS1047" s="19" t="e">
        <f t="shared" si="348"/>
        <v>#N/A</v>
      </c>
    </row>
    <row r="1048" spans="31:45" ht="11.25" customHeight="1" x14ac:dyDescent="0.2">
      <c r="AE1048" s="19">
        <v>957</v>
      </c>
      <c r="AG1048" s="19">
        <f t="shared" si="336"/>
        <v>9</v>
      </c>
      <c r="AH1048" s="19">
        <f t="shared" si="337"/>
        <v>-1</v>
      </c>
      <c r="AI1048" s="19">
        <f t="shared" si="338"/>
        <v>127.995</v>
      </c>
      <c r="AJ1048" s="410">
        <f t="shared" si="339"/>
        <v>830.52</v>
      </c>
      <c r="AK1048" s="19" t="e">
        <f t="shared" si="340"/>
        <v>#N/A</v>
      </c>
      <c r="AL1048" s="19">
        <f t="shared" si="341"/>
        <v>630.52</v>
      </c>
      <c r="AM1048" s="19" t="e">
        <f t="shared" si="342"/>
        <v>#N/A</v>
      </c>
      <c r="AN1048" s="19">
        <f t="shared" si="343"/>
        <v>430.52</v>
      </c>
      <c r="AO1048" s="19" t="e">
        <f t="shared" si="344"/>
        <v>#N/A</v>
      </c>
      <c r="AP1048" s="19">
        <f t="shared" si="345"/>
        <v>230.51999999999998</v>
      </c>
      <c r="AQ1048" s="19" t="e">
        <f t="shared" si="346"/>
        <v>#N/A</v>
      </c>
      <c r="AR1048" s="19">
        <f t="shared" si="347"/>
        <v>30.519999999999996</v>
      </c>
      <c r="AS1048" s="19" t="e">
        <f t="shared" si="348"/>
        <v>#N/A</v>
      </c>
    </row>
    <row r="1049" spans="31:45" ht="11.25" customHeight="1" x14ac:dyDescent="0.2">
      <c r="AE1049" s="19">
        <v>958</v>
      </c>
      <c r="AG1049" s="19">
        <f t="shared" si="336"/>
        <v>9</v>
      </c>
      <c r="AH1049" s="19">
        <f t="shared" si="337"/>
        <v>1</v>
      </c>
      <c r="AI1049" s="19">
        <f t="shared" si="338"/>
        <v>127.995</v>
      </c>
      <c r="AJ1049" s="410">
        <f t="shared" si="339"/>
        <v>969.48</v>
      </c>
      <c r="AK1049" s="19" t="e">
        <f t="shared" si="340"/>
        <v>#N/A</v>
      </c>
      <c r="AL1049" s="19">
        <f t="shared" si="341"/>
        <v>769.48</v>
      </c>
      <c r="AM1049" s="19" t="e">
        <f t="shared" si="342"/>
        <v>#N/A</v>
      </c>
      <c r="AN1049" s="19">
        <f t="shared" si="343"/>
        <v>569.48</v>
      </c>
      <c r="AO1049" s="19" t="e">
        <f t="shared" si="344"/>
        <v>#N/A</v>
      </c>
      <c r="AP1049" s="19">
        <f t="shared" si="345"/>
        <v>369.48</v>
      </c>
      <c r="AQ1049" s="19" t="e">
        <f t="shared" si="346"/>
        <v>#N/A</v>
      </c>
      <c r="AR1049" s="19">
        <f t="shared" si="347"/>
        <v>169.48000000000002</v>
      </c>
      <c r="AS1049" s="19" t="e">
        <f t="shared" si="348"/>
        <v>#N/A</v>
      </c>
    </row>
    <row r="1050" spans="31:45" ht="11.25" customHeight="1" x14ac:dyDescent="0.2">
      <c r="AE1050" s="19">
        <v>959</v>
      </c>
      <c r="AG1050" s="19">
        <f t="shared" si="336"/>
        <v>11</v>
      </c>
      <c r="AH1050" s="19">
        <f t="shared" si="337"/>
        <v>-1</v>
      </c>
      <c r="AI1050" s="19">
        <f t="shared" si="338"/>
        <v>127.995</v>
      </c>
      <c r="AJ1050" s="410">
        <f t="shared" si="339"/>
        <v>815.08</v>
      </c>
      <c r="AK1050" s="19" t="e">
        <f t="shared" si="340"/>
        <v>#N/A</v>
      </c>
      <c r="AL1050" s="19">
        <f t="shared" si="341"/>
        <v>615.08000000000004</v>
      </c>
      <c r="AM1050" s="19" t="e">
        <f t="shared" si="342"/>
        <v>#N/A</v>
      </c>
      <c r="AN1050" s="19">
        <f t="shared" si="343"/>
        <v>415.08</v>
      </c>
      <c r="AO1050" s="19" t="e">
        <f t="shared" si="344"/>
        <v>#N/A</v>
      </c>
      <c r="AP1050" s="19">
        <f t="shared" si="345"/>
        <v>215.07999999999998</v>
      </c>
      <c r="AQ1050" s="19" t="e">
        <f t="shared" si="346"/>
        <v>#N/A</v>
      </c>
      <c r="AR1050" s="19">
        <f t="shared" si="347"/>
        <v>15.079999999999998</v>
      </c>
      <c r="AS1050" s="19" t="e">
        <f t="shared" si="348"/>
        <v>#N/A</v>
      </c>
    </row>
    <row r="1051" spans="31:45" ht="11.25" customHeight="1" x14ac:dyDescent="0.2">
      <c r="AE1051" s="19">
        <v>960</v>
      </c>
      <c r="AG1051" s="19">
        <f t="shared" si="336"/>
        <v>11</v>
      </c>
      <c r="AH1051" s="19">
        <f t="shared" si="337"/>
        <v>1</v>
      </c>
      <c r="AI1051" s="19">
        <f t="shared" si="338"/>
        <v>127.995</v>
      </c>
      <c r="AJ1051" s="410">
        <f t="shared" si="339"/>
        <v>984.92</v>
      </c>
      <c r="AK1051" s="19" t="e">
        <f t="shared" si="340"/>
        <v>#N/A</v>
      </c>
      <c r="AL1051" s="19">
        <f t="shared" si="341"/>
        <v>784.92</v>
      </c>
      <c r="AM1051" s="19" t="e">
        <f t="shared" si="342"/>
        <v>#N/A</v>
      </c>
      <c r="AN1051" s="19">
        <f t="shared" si="343"/>
        <v>584.91999999999996</v>
      </c>
      <c r="AO1051" s="19" t="e">
        <f t="shared" si="344"/>
        <v>#N/A</v>
      </c>
      <c r="AP1051" s="19">
        <f t="shared" si="345"/>
        <v>384.92</v>
      </c>
      <c r="AQ1051" s="19" t="e">
        <f t="shared" si="346"/>
        <v>#N/A</v>
      </c>
      <c r="AR1051" s="19">
        <f t="shared" si="347"/>
        <v>184.92000000000002</v>
      </c>
      <c r="AS1051" s="19" t="e">
        <f t="shared" si="348"/>
        <v>#N/A</v>
      </c>
    </row>
    <row r="1052" spans="31:45" ht="11.25" customHeight="1" x14ac:dyDescent="0.2">
      <c r="AE1052" s="19">
        <v>961</v>
      </c>
      <c r="AG1052" s="19">
        <f t="shared" ref="AG1052:AG1091" si="349">2*ROUNDUP((MOD(AE1052-1,$AB$94)+1)/2,0)-1</f>
        <v>1</v>
      </c>
      <c r="AH1052" s="19">
        <f t="shared" ref="AH1052:AH1091" si="350">IF(AG1052=AG1053,-1,1)</f>
        <v>-1</v>
      </c>
      <c r="AI1052" s="19">
        <f t="shared" ref="AI1052:AI1091" si="351">IF($BR$7,$AB$87*(0.5+INT((AE1052-0.5)/$AB$94)),NA())</f>
        <v>129.60500000000002</v>
      </c>
      <c r="AJ1052" s="410">
        <f t="shared" ref="AJ1052:AJ1091" si="352">IF($BP$11,$AM$87+$AB$90*AH1052*AG1052,NA())</f>
        <v>892.28</v>
      </c>
      <c r="AK1052" s="19" t="e">
        <f t="shared" ref="AK1052:AK1091" si="353">IF($AG$83&lt;AE1052,NA(),AI1052)</f>
        <v>#N/A</v>
      </c>
      <c r="AL1052" s="19">
        <f t="shared" ref="AL1052:AL1091" si="354">IF($BP$11,$AN$87+$AB$90*AH1052*AG1052,NA())</f>
        <v>692.28</v>
      </c>
      <c r="AM1052" s="19" t="e">
        <f t="shared" ref="AM1052:AM1091" si="355">IF($AH$83&lt;AE1052,NA(),AI1052)</f>
        <v>#N/A</v>
      </c>
      <c r="AN1052" s="19">
        <f t="shared" ref="AN1052:AN1091" si="356">IF($BP$11,$AO$87+$AB$90*AH1052*AG1052,NA())</f>
        <v>492.28</v>
      </c>
      <c r="AO1052" s="19" t="e">
        <f t="shared" ref="AO1052:AO1091" si="357">IF($AI$83&lt;AE1052,NA(),AI1052)</f>
        <v>#N/A</v>
      </c>
      <c r="AP1052" s="19">
        <f t="shared" ref="AP1052:AP1091" si="358">IF($BP$11,$AP$87+$AB$90*AH1052*AG1052,NA())</f>
        <v>292.27999999999997</v>
      </c>
      <c r="AQ1052" s="19" t="e">
        <f t="shared" ref="AQ1052:AQ1091" si="359">IF($AJ$83&lt;AE1052,NA(),AI1052)</f>
        <v>#N/A</v>
      </c>
      <c r="AR1052" s="19">
        <f t="shared" ref="AR1052:AR1091" si="360">IF($BP$11,$AQ$87+$AB$90*AH1052*AG1052,NA())</f>
        <v>92.28</v>
      </c>
      <c r="AS1052" s="19" t="e">
        <f t="shared" ref="AS1052:AS1091" si="361">IF($AK$83&lt;AE1052,NA(),AI1052)</f>
        <v>#N/A</v>
      </c>
    </row>
    <row r="1053" spans="31:45" ht="11.25" customHeight="1" x14ac:dyDescent="0.2">
      <c r="AE1053" s="19">
        <v>962</v>
      </c>
      <c r="AG1053" s="19">
        <f t="shared" si="349"/>
        <v>1</v>
      </c>
      <c r="AH1053" s="19">
        <f t="shared" si="350"/>
        <v>1</v>
      </c>
      <c r="AI1053" s="19">
        <f t="shared" si="351"/>
        <v>129.60500000000002</v>
      </c>
      <c r="AJ1053" s="410">
        <f t="shared" si="352"/>
        <v>907.72</v>
      </c>
      <c r="AK1053" s="19" t="e">
        <f t="shared" si="353"/>
        <v>#N/A</v>
      </c>
      <c r="AL1053" s="19">
        <f t="shared" si="354"/>
        <v>707.72</v>
      </c>
      <c r="AM1053" s="19" t="e">
        <f t="shared" si="355"/>
        <v>#N/A</v>
      </c>
      <c r="AN1053" s="19">
        <f t="shared" si="356"/>
        <v>507.72</v>
      </c>
      <c r="AO1053" s="19" t="e">
        <f t="shared" si="357"/>
        <v>#N/A</v>
      </c>
      <c r="AP1053" s="19">
        <f t="shared" si="358"/>
        <v>307.72000000000003</v>
      </c>
      <c r="AQ1053" s="19" t="e">
        <f t="shared" si="359"/>
        <v>#N/A</v>
      </c>
      <c r="AR1053" s="19">
        <f t="shared" si="360"/>
        <v>107.72</v>
      </c>
      <c r="AS1053" s="19" t="e">
        <f t="shared" si="361"/>
        <v>#N/A</v>
      </c>
    </row>
    <row r="1054" spans="31:45" ht="11.25" customHeight="1" x14ac:dyDescent="0.2">
      <c r="AE1054" s="19">
        <v>963</v>
      </c>
      <c r="AG1054" s="19">
        <f t="shared" si="349"/>
        <v>3</v>
      </c>
      <c r="AH1054" s="19">
        <f t="shared" si="350"/>
        <v>-1</v>
      </c>
      <c r="AI1054" s="19">
        <f t="shared" si="351"/>
        <v>129.60500000000002</v>
      </c>
      <c r="AJ1054" s="410">
        <f t="shared" si="352"/>
        <v>876.84</v>
      </c>
      <c r="AK1054" s="19" t="e">
        <f t="shared" si="353"/>
        <v>#N/A</v>
      </c>
      <c r="AL1054" s="19">
        <f t="shared" si="354"/>
        <v>676.84</v>
      </c>
      <c r="AM1054" s="19" t="e">
        <f t="shared" si="355"/>
        <v>#N/A</v>
      </c>
      <c r="AN1054" s="19">
        <f t="shared" si="356"/>
        <v>476.84</v>
      </c>
      <c r="AO1054" s="19" t="e">
        <f t="shared" si="357"/>
        <v>#N/A</v>
      </c>
      <c r="AP1054" s="19">
        <f t="shared" si="358"/>
        <v>276.83999999999997</v>
      </c>
      <c r="AQ1054" s="19" t="e">
        <f t="shared" si="359"/>
        <v>#N/A</v>
      </c>
      <c r="AR1054" s="19">
        <f t="shared" si="360"/>
        <v>76.84</v>
      </c>
      <c r="AS1054" s="19" t="e">
        <f t="shared" si="361"/>
        <v>#N/A</v>
      </c>
    </row>
    <row r="1055" spans="31:45" ht="11.25" customHeight="1" x14ac:dyDescent="0.2">
      <c r="AE1055" s="19">
        <v>964</v>
      </c>
      <c r="AG1055" s="19">
        <f t="shared" si="349"/>
        <v>3</v>
      </c>
      <c r="AH1055" s="19">
        <f t="shared" si="350"/>
        <v>1</v>
      </c>
      <c r="AI1055" s="19">
        <f t="shared" si="351"/>
        <v>129.60500000000002</v>
      </c>
      <c r="AJ1055" s="410">
        <f t="shared" si="352"/>
        <v>923.16</v>
      </c>
      <c r="AK1055" s="19" t="e">
        <f t="shared" si="353"/>
        <v>#N/A</v>
      </c>
      <c r="AL1055" s="19">
        <f t="shared" si="354"/>
        <v>723.16</v>
      </c>
      <c r="AM1055" s="19" t="e">
        <f t="shared" si="355"/>
        <v>#N/A</v>
      </c>
      <c r="AN1055" s="19">
        <f t="shared" si="356"/>
        <v>523.16</v>
      </c>
      <c r="AO1055" s="19" t="e">
        <f t="shared" si="357"/>
        <v>#N/A</v>
      </c>
      <c r="AP1055" s="19">
        <f t="shared" si="358"/>
        <v>323.16000000000003</v>
      </c>
      <c r="AQ1055" s="19" t="e">
        <f t="shared" si="359"/>
        <v>#N/A</v>
      </c>
      <c r="AR1055" s="19">
        <f t="shared" si="360"/>
        <v>123.16</v>
      </c>
      <c r="AS1055" s="19" t="e">
        <f t="shared" si="361"/>
        <v>#N/A</v>
      </c>
    </row>
    <row r="1056" spans="31:45" ht="11.25" customHeight="1" x14ac:dyDescent="0.2">
      <c r="AE1056" s="19">
        <v>965</v>
      </c>
      <c r="AG1056" s="19">
        <f t="shared" si="349"/>
        <v>5</v>
      </c>
      <c r="AH1056" s="19">
        <f t="shared" si="350"/>
        <v>-1</v>
      </c>
      <c r="AI1056" s="19">
        <f t="shared" si="351"/>
        <v>129.60500000000002</v>
      </c>
      <c r="AJ1056" s="410">
        <f t="shared" si="352"/>
        <v>861.4</v>
      </c>
      <c r="AK1056" s="19" t="e">
        <f t="shared" si="353"/>
        <v>#N/A</v>
      </c>
      <c r="AL1056" s="19">
        <f t="shared" si="354"/>
        <v>661.4</v>
      </c>
      <c r="AM1056" s="19" t="e">
        <f t="shared" si="355"/>
        <v>#N/A</v>
      </c>
      <c r="AN1056" s="19">
        <f t="shared" si="356"/>
        <v>461.4</v>
      </c>
      <c r="AO1056" s="19" t="e">
        <f t="shared" si="357"/>
        <v>#N/A</v>
      </c>
      <c r="AP1056" s="19">
        <f t="shared" si="358"/>
        <v>261.39999999999998</v>
      </c>
      <c r="AQ1056" s="19" t="e">
        <f t="shared" si="359"/>
        <v>#N/A</v>
      </c>
      <c r="AR1056" s="19">
        <f t="shared" si="360"/>
        <v>61.4</v>
      </c>
      <c r="AS1056" s="19" t="e">
        <f t="shared" si="361"/>
        <v>#N/A</v>
      </c>
    </row>
    <row r="1057" spans="31:45" ht="11.25" customHeight="1" x14ac:dyDescent="0.2">
      <c r="AE1057" s="19">
        <v>966</v>
      </c>
      <c r="AG1057" s="19">
        <f t="shared" si="349"/>
        <v>5</v>
      </c>
      <c r="AH1057" s="19">
        <f t="shared" si="350"/>
        <v>1</v>
      </c>
      <c r="AI1057" s="19">
        <f t="shared" si="351"/>
        <v>129.60500000000002</v>
      </c>
      <c r="AJ1057" s="410">
        <f t="shared" si="352"/>
        <v>938.6</v>
      </c>
      <c r="AK1057" s="19" t="e">
        <f t="shared" si="353"/>
        <v>#N/A</v>
      </c>
      <c r="AL1057" s="19">
        <f t="shared" si="354"/>
        <v>738.6</v>
      </c>
      <c r="AM1057" s="19" t="e">
        <f t="shared" si="355"/>
        <v>#N/A</v>
      </c>
      <c r="AN1057" s="19">
        <f t="shared" si="356"/>
        <v>538.6</v>
      </c>
      <c r="AO1057" s="19" t="e">
        <f t="shared" si="357"/>
        <v>#N/A</v>
      </c>
      <c r="AP1057" s="19">
        <f t="shared" si="358"/>
        <v>338.6</v>
      </c>
      <c r="AQ1057" s="19" t="e">
        <f t="shared" si="359"/>
        <v>#N/A</v>
      </c>
      <c r="AR1057" s="19">
        <f t="shared" si="360"/>
        <v>138.6</v>
      </c>
      <c r="AS1057" s="19" t="e">
        <f t="shared" si="361"/>
        <v>#N/A</v>
      </c>
    </row>
    <row r="1058" spans="31:45" ht="11.25" customHeight="1" x14ac:dyDescent="0.2">
      <c r="AE1058" s="19">
        <v>967</v>
      </c>
      <c r="AG1058" s="19">
        <f t="shared" si="349"/>
        <v>7</v>
      </c>
      <c r="AH1058" s="19">
        <f t="shared" si="350"/>
        <v>-1</v>
      </c>
      <c r="AI1058" s="19">
        <f t="shared" si="351"/>
        <v>129.60500000000002</v>
      </c>
      <c r="AJ1058" s="410">
        <f t="shared" si="352"/>
        <v>845.96</v>
      </c>
      <c r="AK1058" s="19" t="e">
        <f t="shared" si="353"/>
        <v>#N/A</v>
      </c>
      <c r="AL1058" s="19">
        <f t="shared" si="354"/>
        <v>645.96</v>
      </c>
      <c r="AM1058" s="19" t="e">
        <f t="shared" si="355"/>
        <v>#N/A</v>
      </c>
      <c r="AN1058" s="19">
        <f t="shared" si="356"/>
        <v>445.96</v>
      </c>
      <c r="AO1058" s="19" t="e">
        <f t="shared" si="357"/>
        <v>#N/A</v>
      </c>
      <c r="AP1058" s="19">
        <f t="shared" si="358"/>
        <v>245.96</v>
      </c>
      <c r="AQ1058" s="19" t="e">
        <f t="shared" si="359"/>
        <v>#N/A</v>
      </c>
      <c r="AR1058" s="19">
        <f t="shared" si="360"/>
        <v>45.96</v>
      </c>
      <c r="AS1058" s="19" t="e">
        <f t="shared" si="361"/>
        <v>#N/A</v>
      </c>
    </row>
    <row r="1059" spans="31:45" ht="11.25" customHeight="1" x14ac:dyDescent="0.2">
      <c r="AE1059" s="19">
        <v>968</v>
      </c>
      <c r="AG1059" s="19">
        <f t="shared" si="349"/>
        <v>7</v>
      </c>
      <c r="AH1059" s="19">
        <f t="shared" si="350"/>
        <v>1</v>
      </c>
      <c r="AI1059" s="19">
        <f t="shared" si="351"/>
        <v>129.60500000000002</v>
      </c>
      <c r="AJ1059" s="410">
        <f t="shared" si="352"/>
        <v>954.04</v>
      </c>
      <c r="AK1059" s="19" t="e">
        <f t="shared" si="353"/>
        <v>#N/A</v>
      </c>
      <c r="AL1059" s="19">
        <f t="shared" si="354"/>
        <v>754.04</v>
      </c>
      <c r="AM1059" s="19" t="e">
        <f t="shared" si="355"/>
        <v>#N/A</v>
      </c>
      <c r="AN1059" s="19">
        <f t="shared" si="356"/>
        <v>554.04</v>
      </c>
      <c r="AO1059" s="19" t="e">
        <f t="shared" si="357"/>
        <v>#N/A</v>
      </c>
      <c r="AP1059" s="19">
        <f t="shared" si="358"/>
        <v>354.04</v>
      </c>
      <c r="AQ1059" s="19" t="e">
        <f t="shared" si="359"/>
        <v>#N/A</v>
      </c>
      <c r="AR1059" s="19">
        <f t="shared" si="360"/>
        <v>154.04</v>
      </c>
      <c r="AS1059" s="19" t="e">
        <f t="shared" si="361"/>
        <v>#N/A</v>
      </c>
    </row>
    <row r="1060" spans="31:45" ht="11.25" customHeight="1" x14ac:dyDescent="0.2">
      <c r="AE1060" s="19">
        <v>969</v>
      </c>
      <c r="AG1060" s="19">
        <f t="shared" si="349"/>
        <v>9</v>
      </c>
      <c r="AH1060" s="19">
        <f t="shared" si="350"/>
        <v>-1</v>
      </c>
      <c r="AI1060" s="19">
        <f t="shared" si="351"/>
        <v>129.60500000000002</v>
      </c>
      <c r="AJ1060" s="410">
        <f t="shared" si="352"/>
        <v>830.52</v>
      </c>
      <c r="AK1060" s="19" t="e">
        <f t="shared" si="353"/>
        <v>#N/A</v>
      </c>
      <c r="AL1060" s="19">
        <f t="shared" si="354"/>
        <v>630.52</v>
      </c>
      <c r="AM1060" s="19" t="e">
        <f t="shared" si="355"/>
        <v>#N/A</v>
      </c>
      <c r="AN1060" s="19">
        <f t="shared" si="356"/>
        <v>430.52</v>
      </c>
      <c r="AO1060" s="19" t="e">
        <f t="shared" si="357"/>
        <v>#N/A</v>
      </c>
      <c r="AP1060" s="19">
        <f t="shared" si="358"/>
        <v>230.51999999999998</v>
      </c>
      <c r="AQ1060" s="19" t="e">
        <f t="shared" si="359"/>
        <v>#N/A</v>
      </c>
      <c r="AR1060" s="19">
        <f t="shared" si="360"/>
        <v>30.519999999999996</v>
      </c>
      <c r="AS1060" s="19" t="e">
        <f t="shared" si="361"/>
        <v>#N/A</v>
      </c>
    </row>
    <row r="1061" spans="31:45" ht="11.25" customHeight="1" x14ac:dyDescent="0.2">
      <c r="AE1061" s="19">
        <v>970</v>
      </c>
      <c r="AG1061" s="19">
        <f t="shared" si="349"/>
        <v>9</v>
      </c>
      <c r="AH1061" s="19">
        <f t="shared" si="350"/>
        <v>1</v>
      </c>
      <c r="AI1061" s="19">
        <f t="shared" si="351"/>
        <v>129.60500000000002</v>
      </c>
      <c r="AJ1061" s="410">
        <f t="shared" si="352"/>
        <v>969.48</v>
      </c>
      <c r="AK1061" s="19" t="e">
        <f t="shared" si="353"/>
        <v>#N/A</v>
      </c>
      <c r="AL1061" s="19">
        <f t="shared" si="354"/>
        <v>769.48</v>
      </c>
      <c r="AM1061" s="19" t="e">
        <f t="shared" si="355"/>
        <v>#N/A</v>
      </c>
      <c r="AN1061" s="19">
        <f t="shared" si="356"/>
        <v>569.48</v>
      </c>
      <c r="AO1061" s="19" t="e">
        <f t="shared" si="357"/>
        <v>#N/A</v>
      </c>
      <c r="AP1061" s="19">
        <f t="shared" si="358"/>
        <v>369.48</v>
      </c>
      <c r="AQ1061" s="19" t="e">
        <f t="shared" si="359"/>
        <v>#N/A</v>
      </c>
      <c r="AR1061" s="19">
        <f t="shared" si="360"/>
        <v>169.48000000000002</v>
      </c>
      <c r="AS1061" s="19" t="e">
        <f t="shared" si="361"/>
        <v>#N/A</v>
      </c>
    </row>
    <row r="1062" spans="31:45" ht="11.25" customHeight="1" x14ac:dyDescent="0.2">
      <c r="AE1062" s="19">
        <v>971</v>
      </c>
      <c r="AG1062" s="19">
        <f t="shared" si="349"/>
        <v>11</v>
      </c>
      <c r="AH1062" s="19">
        <f t="shared" si="350"/>
        <v>-1</v>
      </c>
      <c r="AI1062" s="19">
        <f t="shared" si="351"/>
        <v>129.60500000000002</v>
      </c>
      <c r="AJ1062" s="410">
        <f t="shared" si="352"/>
        <v>815.08</v>
      </c>
      <c r="AK1062" s="19" t="e">
        <f t="shared" si="353"/>
        <v>#N/A</v>
      </c>
      <c r="AL1062" s="19">
        <f t="shared" si="354"/>
        <v>615.08000000000004</v>
      </c>
      <c r="AM1062" s="19" t="e">
        <f t="shared" si="355"/>
        <v>#N/A</v>
      </c>
      <c r="AN1062" s="19">
        <f t="shared" si="356"/>
        <v>415.08</v>
      </c>
      <c r="AO1062" s="19" t="e">
        <f t="shared" si="357"/>
        <v>#N/A</v>
      </c>
      <c r="AP1062" s="19">
        <f t="shared" si="358"/>
        <v>215.07999999999998</v>
      </c>
      <c r="AQ1062" s="19" t="e">
        <f t="shared" si="359"/>
        <v>#N/A</v>
      </c>
      <c r="AR1062" s="19">
        <f t="shared" si="360"/>
        <v>15.079999999999998</v>
      </c>
      <c r="AS1062" s="19" t="e">
        <f t="shared" si="361"/>
        <v>#N/A</v>
      </c>
    </row>
    <row r="1063" spans="31:45" ht="11.25" customHeight="1" x14ac:dyDescent="0.2">
      <c r="AE1063" s="19">
        <v>972</v>
      </c>
      <c r="AG1063" s="19">
        <f t="shared" si="349"/>
        <v>11</v>
      </c>
      <c r="AH1063" s="19">
        <f t="shared" si="350"/>
        <v>1</v>
      </c>
      <c r="AI1063" s="19">
        <f t="shared" si="351"/>
        <v>129.60500000000002</v>
      </c>
      <c r="AJ1063" s="410">
        <f t="shared" si="352"/>
        <v>984.92</v>
      </c>
      <c r="AK1063" s="19" t="e">
        <f t="shared" si="353"/>
        <v>#N/A</v>
      </c>
      <c r="AL1063" s="19">
        <f t="shared" si="354"/>
        <v>784.92</v>
      </c>
      <c r="AM1063" s="19" t="e">
        <f t="shared" si="355"/>
        <v>#N/A</v>
      </c>
      <c r="AN1063" s="19">
        <f t="shared" si="356"/>
        <v>584.91999999999996</v>
      </c>
      <c r="AO1063" s="19" t="e">
        <f t="shared" si="357"/>
        <v>#N/A</v>
      </c>
      <c r="AP1063" s="19">
        <f t="shared" si="358"/>
        <v>384.92</v>
      </c>
      <c r="AQ1063" s="19" t="e">
        <f t="shared" si="359"/>
        <v>#N/A</v>
      </c>
      <c r="AR1063" s="19">
        <f t="shared" si="360"/>
        <v>184.92000000000002</v>
      </c>
      <c r="AS1063" s="19" t="e">
        <f t="shared" si="361"/>
        <v>#N/A</v>
      </c>
    </row>
    <row r="1064" spans="31:45" ht="11.25" customHeight="1" x14ac:dyDescent="0.2">
      <c r="AE1064" s="19">
        <v>973</v>
      </c>
      <c r="AG1064" s="19">
        <f t="shared" si="349"/>
        <v>1</v>
      </c>
      <c r="AH1064" s="19">
        <f t="shared" si="350"/>
        <v>-1</v>
      </c>
      <c r="AI1064" s="19">
        <f t="shared" si="351"/>
        <v>131.215</v>
      </c>
      <c r="AJ1064" s="410">
        <f t="shared" si="352"/>
        <v>892.28</v>
      </c>
      <c r="AK1064" s="19" t="e">
        <f t="shared" si="353"/>
        <v>#N/A</v>
      </c>
      <c r="AL1064" s="19">
        <f t="shared" si="354"/>
        <v>692.28</v>
      </c>
      <c r="AM1064" s="19" t="e">
        <f t="shared" si="355"/>
        <v>#N/A</v>
      </c>
      <c r="AN1064" s="19">
        <f t="shared" si="356"/>
        <v>492.28</v>
      </c>
      <c r="AO1064" s="19" t="e">
        <f t="shared" si="357"/>
        <v>#N/A</v>
      </c>
      <c r="AP1064" s="19">
        <f t="shared" si="358"/>
        <v>292.27999999999997</v>
      </c>
      <c r="AQ1064" s="19" t="e">
        <f t="shared" si="359"/>
        <v>#N/A</v>
      </c>
      <c r="AR1064" s="19">
        <f t="shared" si="360"/>
        <v>92.28</v>
      </c>
      <c r="AS1064" s="19" t="e">
        <f t="shared" si="361"/>
        <v>#N/A</v>
      </c>
    </row>
    <row r="1065" spans="31:45" ht="11.25" customHeight="1" x14ac:dyDescent="0.2">
      <c r="AE1065" s="19">
        <v>974</v>
      </c>
      <c r="AG1065" s="19">
        <f t="shared" si="349"/>
        <v>1</v>
      </c>
      <c r="AH1065" s="19">
        <f t="shared" si="350"/>
        <v>1</v>
      </c>
      <c r="AI1065" s="19">
        <f t="shared" si="351"/>
        <v>131.215</v>
      </c>
      <c r="AJ1065" s="410">
        <f t="shared" si="352"/>
        <v>907.72</v>
      </c>
      <c r="AK1065" s="19" t="e">
        <f t="shared" si="353"/>
        <v>#N/A</v>
      </c>
      <c r="AL1065" s="19">
        <f t="shared" si="354"/>
        <v>707.72</v>
      </c>
      <c r="AM1065" s="19" t="e">
        <f t="shared" si="355"/>
        <v>#N/A</v>
      </c>
      <c r="AN1065" s="19">
        <f t="shared" si="356"/>
        <v>507.72</v>
      </c>
      <c r="AO1065" s="19" t="e">
        <f t="shared" si="357"/>
        <v>#N/A</v>
      </c>
      <c r="AP1065" s="19">
        <f t="shared" si="358"/>
        <v>307.72000000000003</v>
      </c>
      <c r="AQ1065" s="19" t="e">
        <f t="shared" si="359"/>
        <v>#N/A</v>
      </c>
      <c r="AR1065" s="19">
        <f t="shared" si="360"/>
        <v>107.72</v>
      </c>
      <c r="AS1065" s="19" t="e">
        <f t="shared" si="361"/>
        <v>#N/A</v>
      </c>
    </row>
    <row r="1066" spans="31:45" ht="11.25" customHeight="1" x14ac:dyDescent="0.2">
      <c r="AE1066" s="19">
        <v>975</v>
      </c>
      <c r="AG1066" s="19">
        <f t="shared" si="349"/>
        <v>3</v>
      </c>
      <c r="AH1066" s="19">
        <f t="shared" si="350"/>
        <v>-1</v>
      </c>
      <c r="AI1066" s="19">
        <f t="shared" si="351"/>
        <v>131.215</v>
      </c>
      <c r="AJ1066" s="410">
        <f t="shared" si="352"/>
        <v>876.84</v>
      </c>
      <c r="AK1066" s="19" t="e">
        <f t="shared" si="353"/>
        <v>#N/A</v>
      </c>
      <c r="AL1066" s="19">
        <f t="shared" si="354"/>
        <v>676.84</v>
      </c>
      <c r="AM1066" s="19" t="e">
        <f t="shared" si="355"/>
        <v>#N/A</v>
      </c>
      <c r="AN1066" s="19">
        <f t="shared" si="356"/>
        <v>476.84</v>
      </c>
      <c r="AO1066" s="19" t="e">
        <f t="shared" si="357"/>
        <v>#N/A</v>
      </c>
      <c r="AP1066" s="19">
        <f t="shared" si="358"/>
        <v>276.83999999999997</v>
      </c>
      <c r="AQ1066" s="19" t="e">
        <f t="shared" si="359"/>
        <v>#N/A</v>
      </c>
      <c r="AR1066" s="19">
        <f t="shared" si="360"/>
        <v>76.84</v>
      </c>
      <c r="AS1066" s="19" t="e">
        <f t="shared" si="361"/>
        <v>#N/A</v>
      </c>
    </row>
    <row r="1067" spans="31:45" ht="11.25" customHeight="1" x14ac:dyDescent="0.2">
      <c r="AE1067" s="19">
        <v>976</v>
      </c>
      <c r="AG1067" s="19">
        <f t="shared" si="349"/>
        <v>3</v>
      </c>
      <c r="AH1067" s="19">
        <f t="shared" si="350"/>
        <v>1</v>
      </c>
      <c r="AI1067" s="19">
        <f t="shared" si="351"/>
        <v>131.215</v>
      </c>
      <c r="AJ1067" s="410">
        <f t="shared" si="352"/>
        <v>923.16</v>
      </c>
      <c r="AK1067" s="19" t="e">
        <f t="shared" si="353"/>
        <v>#N/A</v>
      </c>
      <c r="AL1067" s="19">
        <f t="shared" si="354"/>
        <v>723.16</v>
      </c>
      <c r="AM1067" s="19" t="e">
        <f t="shared" si="355"/>
        <v>#N/A</v>
      </c>
      <c r="AN1067" s="19">
        <f t="shared" si="356"/>
        <v>523.16</v>
      </c>
      <c r="AO1067" s="19" t="e">
        <f t="shared" si="357"/>
        <v>#N/A</v>
      </c>
      <c r="AP1067" s="19">
        <f t="shared" si="358"/>
        <v>323.16000000000003</v>
      </c>
      <c r="AQ1067" s="19" t="e">
        <f t="shared" si="359"/>
        <v>#N/A</v>
      </c>
      <c r="AR1067" s="19">
        <f t="shared" si="360"/>
        <v>123.16</v>
      </c>
      <c r="AS1067" s="19" t="e">
        <f t="shared" si="361"/>
        <v>#N/A</v>
      </c>
    </row>
    <row r="1068" spans="31:45" ht="11.25" customHeight="1" x14ac:dyDescent="0.2">
      <c r="AE1068" s="19">
        <v>977</v>
      </c>
      <c r="AG1068" s="19">
        <f t="shared" si="349"/>
        <v>5</v>
      </c>
      <c r="AH1068" s="19">
        <f t="shared" si="350"/>
        <v>-1</v>
      </c>
      <c r="AI1068" s="19">
        <f t="shared" si="351"/>
        <v>131.215</v>
      </c>
      <c r="AJ1068" s="410">
        <f t="shared" si="352"/>
        <v>861.4</v>
      </c>
      <c r="AK1068" s="19" t="e">
        <f t="shared" si="353"/>
        <v>#N/A</v>
      </c>
      <c r="AL1068" s="19">
        <f t="shared" si="354"/>
        <v>661.4</v>
      </c>
      <c r="AM1068" s="19" t="e">
        <f t="shared" si="355"/>
        <v>#N/A</v>
      </c>
      <c r="AN1068" s="19">
        <f t="shared" si="356"/>
        <v>461.4</v>
      </c>
      <c r="AO1068" s="19" t="e">
        <f t="shared" si="357"/>
        <v>#N/A</v>
      </c>
      <c r="AP1068" s="19">
        <f t="shared" si="358"/>
        <v>261.39999999999998</v>
      </c>
      <c r="AQ1068" s="19" t="e">
        <f t="shared" si="359"/>
        <v>#N/A</v>
      </c>
      <c r="AR1068" s="19">
        <f t="shared" si="360"/>
        <v>61.4</v>
      </c>
      <c r="AS1068" s="19" t="e">
        <f t="shared" si="361"/>
        <v>#N/A</v>
      </c>
    </row>
    <row r="1069" spans="31:45" ht="11.25" customHeight="1" x14ac:dyDescent="0.2">
      <c r="AE1069" s="19">
        <v>978</v>
      </c>
      <c r="AG1069" s="19">
        <f t="shared" si="349"/>
        <v>5</v>
      </c>
      <c r="AH1069" s="19">
        <f t="shared" si="350"/>
        <v>1</v>
      </c>
      <c r="AI1069" s="19">
        <f t="shared" si="351"/>
        <v>131.215</v>
      </c>
      <c r="AJ1069" s="410">
        <f t="shared" si="352"/>
        <v>938.6</v>
      </c>
      <c r="AK1069" s="19" t="e">
        <f t="shared" si="353"/>
        <v>#N/A</v>
      </c>
      <c r="AL1069" s="19">
        <f t="shared" si="354"/>
        <v>738.6</v>
      </c>
      <c r="AM1069" s="19" t="e">
        <f t="shared" si="355"/>
        <v>#N/A</v>
      </c>
      <c r="AN1069" s="19">
        <f t="shared" si="356"/>
        <v>538.6</v>
      </c>
      <c r="AO1069" s="19" t="e">
        <f t="shared" si="357"/>
        <v>#N/A</v>
      </c>
      <c r="AP1069" s="19">
        <f t="shared" si="358"/>
        <v>338.6</v>
      </c>
      <c r="AQ1069" s="19" t="e">
        <f t="shared" si="359"/>
        <v>#N/A</v>
      </c>
      <c r="AR1069" s="19">
        <f t="shared" si="360"/>
        <v>138.6</v>
      </c>
      <c r="AS1069" s="19" t="e">
        <f t="shared" si="361"/>
        <v>#N/A</v>
      </c>
    </row>
    <row r="1070" spans="31:45" ht="11.25" customHeight="1" x14ac:dyDescent="0.2">
      <c r="AE1070" s="19">
        <v>979</v>
      </c>
      <c r="AG1070" s="19">
        <f t="shared" si="349"/>
        <v>7</v>
      </c>
      <c r="AH1070" s="19">
        <f t="shared" si="350"/>
        <v>-1</v>
      </c>
      <c r="AI1070" s="19">
        <f t="shared" si="351"/>
        <v>131.215</v>
      </c>
      <c r="AJ1070" s="410">
        <f t="shared" si="352"/>
        <v>845.96</v>
      </c>
      <c r="AK1070" s="19" t="e">
        <f t="shared" si="353"/>
        <v>#N/A</v>
      </c>
      <c r="AL1070" s="19">
        <f t="shared" si="354"/>
        <v>645.96</v>
      </c>
      <c r="AM1070" s="19" t="e">
        <f t="shared" si="355"/>
        <v>#N/A</v>
      </c>
      <c r="AN1070" s="19">
        <f t="shared" si="356"/>
        <v>445.96</v>
      </c>
      <c r="AO1070" s="19" t="e">
        <f t="shared" si="357"/>
        <v>#N/A</v>
      </c>
      <c r="AP1070" s="19">
        <f t="shared" si="358"/>
        <v>245.96</v>
      </c>
      <c r="AQ1070" s="19" t="e">
        <f t="shared" si="359"/>
        <v>#N/A</v>
      </c>
      <c r="AR1070" s="19">
        <f t="shared" si="360"/>
        <v>45.96</v>
      </c>
      <c r="AS1070" s="19" t="e">
        <f t="shared" si="361"/>
        <v>#N/A</v>
      </c>
    </row>
    <row r="1071" spans="31:45" ht="11.25" customHeight="1" x14ac:dyDescent="0.2">
      <c r="AE1071" s="19">
        <v>980</v>
      </c>
      <c r="AG1071" s="19">
        <f t="shared" si="349"/>
        <v>7</v>
      </c>
      <c r="AH1071" s="19">
        <f t="shared" si="350"/>
        <v>1</v>
      </c>
      <c r="AI1071" s="19">
        <f t="shared" si="351"/>
        <v>131.215</v>
      </c>
      <c r="AJ1071" s="410">
        <f t="shared" si="352"/>
        <v>954.04</v>
      </c>
      <c r="AK1071" s="19" t="e">
        <f t="shared" si="353"/>
        <v>#N/A</v>
      </c>
      <c r="AL1071" s="19">
        <f t="shared" si="354"/>
        <v>754.04</v>
      </c>
      <c r="AM1071" s="19" t="e">
        <f t="shared" si="355"/>
        <v>#N/A</v>
      </c>
      <c r="AN1071" s="19">
        <f t="shared" si="356"/>
        <v>554.04</v>
      </c>
      <c r="AO1071" s="19" t="e">
        <f t="shared" si="357"/>
        <v>#N/A</v>
      </c>
      <c r="AP1071" s="19">
        <f t="shared" si="358"/>
        <v>354.04</v>
      </c>
      <c r="AQ1071" s="19" t="e">
        <f t="shared" si="359"/>
        <v>#N/A</v>
      </c>
      <c r="AR1071" s="19">
        <f t="shared" si="360"/>
        <v>154.04</v>
      </c>
      <c r="AS1071" s="19" t="e">
        <f t="shared" si="361"/>
        <v>#N/A</v>
      </c>
    </row>
    <row r="1072" spans="31:45" ht="11.25" customHeight="1" x14ac:dyDescent="0.2">
      <c r="AE1072" s="19">
        <v>981</v>
      </c>
      <c r="AG1072" s="19">
        <f t="shared" si="349"/>
        <v>9</v>
      </c>
      <c r="AH1072" s="19">
        <f t="shared" si="350"/>
        <v>-1</v>
      </c>
      <c r="AI1072" s="19">
        <f t="shared" si="351"/>
        <v>131.215</v>
      </c>
      <c r="AJ1072" s="410">
        <f t="shared" si="352"/>
        <v>830.52</v>
      </c>
      <c r="AK1072" s="19" t="e">
        <f t="shared" si="353"/>
        <v>#N/A</v>
      </c>
      <c r="AL1072" s="19">
        <f t="shared" si="354"/>
        <v>630.52</v>
      </c>
      <c r="AM1072" s="19" t="e">
        <f t="shared" si="355"/>
        <v>#N/A</v>
      </c>
      <c r="AN1072" s="19">
        <f t="shared" si="356"/>
        <v>430.52</v>
      </c>
      <c r="AO1072" s="19" t="e">
        <f t="shared" si="357"/>
        <v>#N/A</v>
      </c>
      <c r="AP1072" s="19">
        <f t="shared" si="358"/>
        <v>230.51999999999998</v>
      </c>
      <c r="AQ1072" s="19" t="e">
        <f t="shared" si="359"/>
        <v>#N/A</v>
      </c>
      <c r="AR1072" s="19">
        <f t="shared" si="360"/>
        <v>30.519999999999996</v>
      </c>
      <c r="AS1072" s="19" t="e">
        <f t="shared" si="361"/>
        <v>#N/A</v>
      </c>
    </row>
    <row r="1073" spans="31:45" ht="11.25" customHeight="1" x14ac:dyDescent="0.2">
      <c r="AE1073" s="19">
        <v>982</v>
      </c>
      <c r="AG1073" s="19">
        <f t="shared" si="349"/>
        <v>9</v>
      </c>
      <c r="AH1073" s="19">
        <f t="shared" si="350"/>
        <v>1</v>
      </c>
      <c r="AI1073" s="19">
        <f t="shared" si="351"/>
        <v>131.215</v>
      </c>
      <c r="AJ1073" s="410">
        <f t="shared" si="352"/>
        <v>969.48</v>
      </c>
      <c r="AK1073" s="19" t="e">
        <f t="shared" si="353"/>
        <v>#N/A</v>
      </c>
      <c r="AL1073" s="19">
        <f t="shared" si="354"/>
        <v>769.48</v>
      </c>
      <c r="AM1073" s="19" t="e">
        <f t="shared" si="355"/>
        <v>#N/A</v>
      </c>
      <c r="AN1073" s="19">
        <f t="shared" si="356"/>
        <v>569.48</v>
      </c>
      <c r="AO1073" s="19" t="e">
        <f t="shared" si="357"/>
        <v>#N/A</v>
      </c>
      <c r="AP1073" s="19">
        <f t="shared" si="358"/>
        <v>369.48</v>
      </c>
      <c r="AQ1073" s="19" t="e">
        <f t="shared" si="359"/>
        <v>#N/A</v>
      </c>
      <c r="AR1073" s="19">
        <f t="shared" si="360"/>
        <v>169.48000000000002</v>
      </c>
      <c r="AS1073" s="19" t="e">
        <f t="shared" si="361"/>
        <v>#N/A</v>
      </c>
    </row>
    <row r="1074" spans="31:45" ht="11.25" customHeight="1" x14ac:dyDescent="0.2">
      <c r="AE1074" s="19">
        <v>983</v>
      </c>
      <c r="AG1074" s="19">
        <f t="shared" si="349"/>
        <v>11</v>
      </c>
      <c r="AH1074" s="19">
        <f t="shared" si="350"/>
        <v>-1</v>
      </c>
      <c r="AI1074" s="19">
        <f t="shared" si="351"/>
        <v>131.215</v>
      </c>
      <c r="AJ1074" s="410">
        <f t="shared" si="352"/>
        <v>815.08</v>
      </c>
      <c r="AK1074" s="19" t="e">
        <f t="shared" si="353"/>
        <v>#N/A</v>
      </c>
      <c r="AL1074" s="19">
        <f t="shared" si="354"/>
        <v>615.08000000000004</v>
      </c>
      <c r="AM1074" s="19" t="e">
        <f t="shared" si="355"/>
        <v>#N/A</v>
      </c>
      <c r="AN1074" s="19">
        <f t="shared" si="356"/>
        <v>415.08</v>
      </c>
      <c r="AO1074" s="19" t="e">
        <f t="shared" si="357"/>
        <v>#N/A</v>
      </c>
      <c r="AP1074" s="19">
        <f t="shared" si="358"/>
        <v>215.07999999999998</v>
      </c>
      <c r="AQ1074" s="19" t="e">
        <f t="shared" si="359"/>
        <v>#N/A</v>
      </c>
      <c r="AR1074" s="19">
        <f t="shared" si="360"/>
        <v>15.079999999999998</v>
      </c>
      <c r="AS1074" s="19" t="e">
        <f t="shared" si="361"/>
        <v>#N/A</v>
      </c>
    </row>
    <row r="1075" spans="31:45" ht="11.25" customHeight="1" x14ac:dyDescent="0.2">
      <c r="AE1075" s="19">
        <v>984</v>
      </c>
      <c r="AG1075" s="19">
        <f t="shared" si="349"/>
        <v>11</v>
      </c>
      <c r="AH1075" s="19">
        <f t="shared" si="350"/>
        <v>1</v>
      </c>
      <c r="AI1075" s="19">
        <f t="shared" si="351"/>
        <v>131.215</v>
      </c>
      <c r="AJ1075" s="410">
        <f t="shared" si="352"/>
        <v>984.92</v>
      </c>
      <c r="AK1075" s="19" t="e">
        <f t="shared" si="353"/>
        <v>#N/A</v>
      </c>
      <c r="AL1075" s="19">
        <f t="shared" si="354"/>
        <v>784.92</v>
      </c>
      <c r="AM1075" s="19" t="e">
        <f t="shared" si="355"/>
        <v>#N/A</v>
      </c>
      <c r="AN1075" s="19">
        <f t="shared" si="356"/>
        <v>584.91999999999996</v>
      </c>
      <c r="AO1075" s="19" t="e">
        <f t="shared" si="357"/>
        <v>#N/A</v>
      </c>
      <c r="AP1075" s="19">
        <f t="shared" si="358"/>
        <v>384.92</v>
      </c>
      <c r="AQ1075" s="19" t="e">
        <f t="shared" si="359"/>
        <v>#N/A</v>
      </c>
      <c r="AR1075" s="19">
        <f t="shared" si="360"/>
        <v>184.92000000000002</v>
      </c>
      <c r="AS1075" s="19" t="e">
        <f t="shared" si="361"/>
        <v>#N/A</v>
      </c>
    </row>
    <row r="1076" spans="31:45" ht="11.25" customHeight="1" x14ac:dyDescent="0.2">
      <c r="AE1076" s="19">
        <v>985</v>
      </c>
      <c r="AG1076" s="19">
        <f t="shared" si="349"/>
        <v>1</v>
      </c>
      <c r="AH1076" s="19">
        <f t="shared" si="350"/>
        <v>-1</v>
      </c>
      <c r="AI1076" s="19">
        <f t="shared" si="351"/>
        <v>132.82500000000002</v>
      </c>
      <c r="AJ1076" s="410">
        <f t="shared" si="352"/>
        <v>892.28</v>
      </c>
      <c r="AK1076" s="19" t="e">
        <f t="shared" si="353"/>
        <v>#N/A</v>
      </c>
      <c r="AL1076" s="19">
        <f t="shared" si="354"/>
        <v>692.28</v>
      </c>
      <c r="AM1076" s="19" t="e">
        <f t="shared" si="355"/>
        <v>#N/A</v>
      </c>
      <c r="AN1076" s="19">
        <f t="shared" si="356"/>
        <v>492.28</v>
      </c>
      <c r="AO1076" s="19" t="e">
        <f t="shared" si="357"/>
        <v>#N/A</v>
      </c>
      <c r="AP1076" s="19">
        <f t="shared" si="358"/>
        <v>292.27999999999997</v>
      </c>
      <c r="AQ1076" s="19" t="e">
        <f t="shared" si="359"/>
        <v>#N/A</v>
      </c>
      <c r="AR1076" s="19">
        <f t="shared" si="360"/>
        <v>92.28</v>
      </c>
      <c r="AS1076" s="19" t="e">
        <f t="shared" si="361"/>
        <v>#N/A</v>
      </c>
    </row>
    <row r="1077" spans="31:45" ht="11.25" customHeight="1" x14ac:dyDescent="0.2">
      <c r="AE1077" s="19">
        <v>986</v>
      </c>
      <c r="AG1077" s="19">
        <f t="shared" si="349"/>
        <v>1</v>
      </c>
      <c r="AH1077" s="19">
        <f t="shared" si="350"/>
        <v>1</v>
      </c>
      <c r="AI1077" s="19">
        <f t="shared" si="351"/>
        <v>132.82500000000002</v>
      </c>
      <c r="AJ1077" s="410">
        <f t="shared" si="352"/>
        <v>907.72</v>
      </c>
      <c r="AK1077" s="19" t="e">
        <f t="shared" si="353"/>
        <v>#N/A</v>
      </c>
      <c r="AL1077" s="19">
        <f t="shared" si="354"/>
        <v>707.72</v>
      </c>
      <c r="AM1077" s="19" t="e">
        <f t="shared" si="355"/>
        <v>#N/A</v>
      </c>
      <c r="AN1077" s="19">
        <f t="shared" si="356"/>
        <v>507.72</v>
      </c>
      <c r="AO1077" s="19" t="e">
        <f t="shared" si="357"/>
        <v>#N/A</v>
      </c>
      <c r="AP1077" s="19">
        <f t="shared" si="358"/>
        <v>307.72000000000003</v>
      </c>
      <c r="AQ1077" s="19" t="e">
        <f t="shared" si="359"/>
        <v>#N/A</v>
      </c>
      <c r="AR1077" s="19">
        <f t="shared" si="360"/>
        <v>107.72</v>
      </c>
      <c r="AS1077" s="19" t="e">
        <f t="shared" si="361"/>
        <v>#N/A</v>
      </c>
    </row>
    <row r="1078" spans="31:45" ht="11.25" customHeight="1" x14ac:dyDescent="0.2">
      <c r="AE1078" s="19">
        <v>987</v>
      </c>
      <c r="AG1078" s="19">
        <f t="shared" si="349"/>
        <v>3</v>
      </c>
      <c r="AH1078" s="19">
        <f t="shared" si="350"/>
        <v>-1</v>
      </c>
      <c r="AI1078" s="19">
        <f t="shared" si="351"/>
        <v>132.82500000000002</v>
      </c>
      <c r="AJ1078" s="410">
        <f t="shared" si="352"/>
        <v>876.84</v>
      </c>
      <c r="AK1078" s="19" t="e">
        <f t="shared" si="353"/>
        <v>#N/A</v>
      </c>
      <c r="AL1078" s="19">
        <f t="shared" si="354"/>
        <v>676.84</v>
      </c>
      <c r="AM1078" s="19" t="e">
        <f t="shared" si="355"/>
        <v>#N/A</v>
      </c>
      <c r="AN1078" s="19">
        <f t="shared" si="356"/>
        <v>476.84</v>
      </c>
      <c r="AO1078" s="19" t="e">
        <f t="shared" si="357"/>
        <v>#N/A</v>
      </c>
      <c r="AP1078" s="19">
        <f t="shared" si="358"/>
        <v>276.83999999999997</v>
      </c>
      <c r="AQ1078" s="19" t="e">
        <f t="shared" si="359"/>
        <v>#N/A</v>
      </c>
      <c r="AR1078" s="19">
        <f t="shared" si="360"/>
        <v>76.84</v>
      </c>
      <c r="AS1078" s="19" t="e">
        <f t="shared" si="361"/>
        <v>#N/A</v>
      </c>
    </row>
    <row r="1079" spans="31:45" ht="11.25" customHeight="1" x14ac:dyDescent="0.2">
      <c r="AE1079" s="19">
        <v>988</v>
      </c>
      <c r="AG1079" s="19">
        <f t="shared" si="349"/>
        <v>3</v>
      </c>
      <c r="AH1079" s="19">
        <f t="shared" si="350"/>
        <v>1</v>
      </c>
      <c r="AI1079" s="19">
        <f t="shared" si="351"/>
        <v>132.82500000000002</v>
      </c>
      <c r="AJ1079" s="410">
        <f t="shared" si="352"/>
        <v>923.16</v>
      </c>
      <c r="AK1079" s="19" t="e">
        <f t="shared" si="353"/>
        <v>#N/A</v>
      </c>
      <c r="AL1079" s="19">
        <f t="shared" si="354"/>
        <v>723.16</v>
      </c>
      <c r="AM1079" s="19" t="e">
        <f t="shared" si="355"/>
        <v>#N/A</v>
      </c>
      <c r="AN1079" s="19">
        <f t="shared" si="356"/>
        <v>523.16</v>
      </c>
      <c r="AO1079" s="19" t="e">
        <f t="shared" si="357"/>
        <v>#N/A</v>
      </c>
      <c r="AP1079" s="19">
        <f t="shared" si="358"/>
        <v>323.16000000000003</v>
      </c>
      <c r="AQ1079" s="19" t="e">
        <f t="shared" si="359"/>
        <v>#N/A</v>
      </c>
      <c r="AR1079" s="19">
        <f t="shared" si="360"/>
        <v>123.16</v>
      </c>
      <c r="AS1079" s="19" t="e">
        <f t="shared" si="361"/>
        <v>#N/A</v>
      </c>
    </row>
    <row r="1080" spans="31:45" ht="11.25" customHeight="1" x14ac:dyDescent="0.2">
      <c r="AE1080" s="19">
        <v>989</v>
      </c>
      <c r="AG1080" s="19">
        <f t="shared" si="349"/>
        <v>5</v>
      </c>
      <c r="AH1080" s="19">
        <f t="shared" si="350"/>
        <v>-1</v>
      </c>
      <c r="AI1080" s="19">
        <f t="shared" si="351"/>
        <v>132.82500000000002</v>
      </c>
      <c r="AJ1080" s="410">
        <f t="shared" si="352"/>
        <v>861.4</v>
      </c>
      <c r="AK1080" s="19" t="e">
        <f t="shared" si="353"/>
        <v>#N/A</v>
      </c>
      <c r="AL1080" s="19">
        <f t="shared" si="354"/>
        <v>661.4</v>
      </c>
      <c r="AM1080" s="19" t="e">
        <f t="shared" si="355"/>
        <v>#N/A</v>
      </c>
      <c r="AN1080" s="19">
        <f t="shared" si="356"/>
        <v>461.4</v>
      </c>
      <c r="AO1080" s="19" t="e">
        <f t="shared" si="357"/>
        <v>#N/A</v>
      </c>
      <c r="AP1080" s="19">
        <f t="shared" si="358"/>
        <v>261.39999999999998</v>
      </c>
      <c r="AQ1080" s="19" t="e">
        <f t="shared" si="359"/>
        <v>#N/A</v>
      </c>
      <c r="AR1080" s="19">
        <f t="shared" si="360"/>
        <v>61.4</v>
      </c>
      <c r="AS1080" s="19" t="e">
        <f t="shared" si="361"/>
        <v>#N/A</v>
      </c>
    </row>
    <row r="1081" spans="31:45" ht="11.25" customHeight="1" x14ac:dyDescent="0.2">
      <c r="AE1081" s="19">
        <v>990</v>
      </c>
      <c r="AG1081" s="19">
        <f t="shared" si="349"/>
        <v>5</v>
      </c>
      <c r="AH1081" s="19">
        <f t="shared" si="350"/>
        <v>1</v>
      </c>
      <c r="AI1081" s="19">
        <f t="shared" si="351"/>
        <v>132.82500000000002</v>
      </c>
      <c r="AJ1081" s="410">
        <f t="shared" si="352"/>
        <v>938.6</v>
      </c>
      <c r="AK1081" s="19" t="e">
        <f t="shared" si="353"/>
        <v>#N/A</v>
      </c>
      <c r="AL1081" s="19">
        <f t="shared" si="354"/>
        <v>738.6</v>
      </c>
      <c r="AM1081" s="19" t="e">
        <f t="shared" si="355"/>
        <v>#N/A</v>
      </c>
      <c r="AN1081" s="19">
        <f t="shared" si="356"/>
        <v>538.6</v>
      </c>
      <c r="AO1081" s="19" t="e">
        <f t="shared" si="357"/>
        <v>#N/A</v>
      </c>
      <c r="AP1081" s="19">
        <f t="shared" si="358"/>
        <v>338.6</v>
      </c>
      <c r="AQ1081" s="19" t="e">
        <f t="shared" si="359"/>
        <v>#N/A</v>
      </c>
      <c r="AR1081" s="19">
        <f t="shared" si="360"/>
        <v>138.6</v>
      </c>
      <c r="AS1081" s="19" t="e">
        <f t="shared" si="361"/>
        <v>#N/A</v>
      </c>
    </row>
    <row r="1082" spans="31:45" ht="11.25" customHeight="1" x14ac:dyDescent="0.2">
      <c r="AE1082" s="19">
        <v>991</v>
      </c>
      <c r="AG1082" s="19">
        <f t="shared" si="349"/>
        <v>7</v>
      </c>
      <c r="AH1082" s="19">
        <f t="shared" si="350"/>
        <v>-1</v>
      </c>
      <c r="AI1082" s="19">
        <f t="shared" si="351"/>
        <v>132.82500000000002</v>
      </c>
      <c r="AJ1082" s="410">
        <f t="shared" si="352"/>
        <v>845.96</v>
      </c>
      <c r="AK1082" s="19" t="e">
        <f t="shared" si="353"/>
        <v>#N/A</v>
      </c>
      <c r="AL1082" s="19">
        <f t="shared" si="354"/>
        <v>645.96</v>
      </c>
      <c r="AM1082" s="19" t="e">
        <f t="shared" si="355"/>
        <v>#N/A</v>
      </c>
      <c r="AN1082" s="19">
        <f t="shared" si="356"/>
        <v>445.96</v>
      </c>
      <c r="AO1082" s="19" t="e">
        <f t="shared" si="357"/>
        <v>#N/A</v>
      </c>
      <c r="AP1082" s="19">
        <f t="shared" si="358"/>
        <v>245.96</v>
      </c>
      <c r="AQ1082" s="19" t="e">
        <f t="shared" si="359"/>
        <v>#N/A</v>
      </c>
      <c r="AR1082" s="19">
        <f t="shared" si="360"/>
        <v>45.96</v>
      </c>
      <c r="AS1082" s="19" t="e">
        <f t="shared" si="361"/>
        <v>#N/A</v>
      </c>
    </row>
    <row r="1083" spans="31:45" ht="11.25" customHeight="1" x14ac:dyDescent="0.2">
      <c r="AE1083" s="19">
        <v>992</v>
      </c>
      <c r="AG1083" s="19">
        <f t="shared" si="349"/>
        <v>7</v>
      </c>
      <c r="AH1083" s="19">
        <f t="shared" si="350"/>
        <v>1</v>
      </c>
      <c r="AI1083" s="19">
        <f t="shared" si="351"/>
        <v>132.82500000000002</v>
      </c>
      <c r="AJ1083" s="410">
        <f t="shared" si="352"/>
        <v>954.04</v>
      </c>
      <c r="AK1083" s="19" t="e">
        <f t="shared" si="353"/>
        <v>#N/A</v>
      </c>
      <c r="AL1083" s="19">
        <f t="shared" si="354"/>
        <v>754.04</v>
      </c>
      <c r="AM1083" s="19" t="e">
        <f t="shared" si="355"/>
        <v>#N/A</v>
      </c>
      <c r="AN1083" s="19">
        <f t="shared" si="356"/>
        <v>554.04</v>
      </c>
      <c r="AO1083" s="19" t="e">
        <f t="shared" si="357"/>
        <v>#N/A</v>
      </c>
      <c r="AP1083" s="19">
        <f t="shared" si="358"/>
        <v>354.04</v>
      </c>
      <c r="AQ1083" s="19" t="e">
        <f t="shared" si="359"/>
        <v>#N/A</v>
      </c>
      <c r="AR1083" s="19">
        <f t="shared" si="360"/>
        <v>154.04</v>
      </c>
      <c r="AS1083" s="19" t="e">
        <f t="shared" si="361"/>
        <v>#N/A</v>
      </c>
    </row>
    <row r="1084" spans="31:45" ht="11.25" customHeight="1" x14ac:dyDescent="0.2">
      <c r="AE1084" s="19">
        <v>993</v>
      </c>
      <c r="AG1084" s="19">
        <f t="shared" si="349"/>
        <v>9</v>
      </c>
      <c r="AH1084" s="19">
        <f t="shared" si="350"/>
        <v>-1</v>
      </c>
      <c r="AI1084" s="19">
        <f t="shared" si="351"/>
        <v>132.82500000000002</v>
      </c>
      <c r="AJ1084" s="410">
        <f t="shared" si="352"/>
        <v>830.52</v>
      </c>
      <c r="AK1084" s="19" t="e">
        <f t="shared" si="353"/>
        <v>#N/A</v>
      </c>
      <c r="AL1084" s="19">
        <f t="shared" si="354"/>
        <v>630.52</v>
      </c>
      <c r="AM1084" s="19" t="e">
        <f t="shared" si="355"/>
        <v>#N/A</v>
      </c>
      <c r="AN1084" s="19">
        <f t="shared" si="356"/>
        <v>430.52</v>
      </c>
      <c r="AO1084" s="19" t="e">
        <f t="shared" si="357"/>
        <v>#N/A</v>
      </c>
      <c r="AP1084" s="19">
        <f t="shared" si="358"/>
        <v>230.51999999999998</v>
      </c>
      <c r="AQ1084" s="19" t="e">
        <f t="shared" si="359"/>
        <v>#N/A</v>
      </c>
      <c r="AR1084" s="19">
        <f t="shared" si="360"/>
        <v>30.519999999999996</v>
      </c>
      <c r="AS1084" s="19" t="e">
        <f t="shared" si="361"/>
        <v>#N/A</v>
      </c>
    </row>
    <row r="1085" spans="31:45" ht="11.25" customHeight="1" x14ac:dyDescent="0.2">
      <c r="AE1085" s="19">
        <v>994</v>
      </c>
      <c r="AG1085" s="19">
        <f t="shared" si="349"/>
        <v>9</v>
      </c>
      <c r="AH1085" s="19">
        <f t="shared" si="350"/>
        <v>1</v>
      </c>
      <c r="AI1085" s="19">
        <f t="shared" si="351"/>
        <v>132.82500000000002</v>
      </c>
      <c r="AJ1085" s="410">
        <f t="shared" si="352"/>
        <v>969.48</v>
      </c>
      <c r="AK1085" s="19" t="e">
        <f t="shared" si="353"/>
        <v>#N/A</v>
      </c>
      <c r="AL1085" s="19">
        <f t="shared" si="354"/>
        <v>769.48</v>
      </c>
      <c r="AM1085" s="19" t="e">
        <f t="shared" si="355"/>
        <v>#N/A</v>
      </c>
      <c r="AN1085" s="19">
        <f t="shared" si="356"/>
        <v>569.48</v>
      </c>
      <c r="AO1085" s="19" t="e">
        <f t="shared" si="357"/>
        <v>#N/A</v>
      </c>
      <c r="AP1085" s="19">
        <f t="shared" si="358"/>
        <v>369.48</v>
      </c>
      <c r="AQ1085" s="19" t="e">
        <f t="shared" si="359"/>
        <v>#N/A</v>
      </c>
      <c r="AR1085" s="19">
        <f t="shared" si="360"/>
        <v>169.48000000000002</v>
      </c>
      <c r="AS1085" s="19" t="e">
        <f t="shared" si="361"/>
        <v>#N/A</v>
      </c>
    </row>
    <row r="1086" spans="31:45" ht="11.25" customHeight="1" x14ac:dyDescent="0.2">
      <c r="AE1086" s="19">
        <v>995</v>
      </c>
      <c r="AG1086" s="19">
        <f t="shared" si="349"/>
        <v>11</v>
      </c>
      <c r="AH1086" s="19">
        <f t="shared" si="350"/>
        <v>-1</v>
      </c>
      <c r="AI1086" s="19">
        <f t="shared" si="351"/>
        <v>132.82500000000002</v>
      </c>
      <c r="AJ1086" s="410">
        <f t="shared" si="352"/>
        <v>815.08</v>
      </c>
      <c r="AK1086" s="19" t="e">
        <f t="shared" si="353"/>
        <v>#N/A</v>
      </c>
      <c r="AL1086" s="19">
        <f t="shared" si="354"/>
        <v>615.08000000000004</v>
      </c>
      <c r="AM1086" s="19" t="e">
        <f t="shared" si="355"/>
        <v>#N/A</v>
      </c>
      <c r="AN1086" s="19">
        <f t="shared" si="356"/>
        <v>415.08</v>
      </c>
      <c r="AO1086" s="19" t="e">
        <f t="shared" si="357"/>
        <v>#N/A</v>
      </c>
      <c r="AP1086" s="19">
        <f t="shared" si="358"/>
        <v>215.07999999999998</v>
      </c>
      <c r="AQ1086" s="19" t="e">
        <f t="shared" si="359"/>
        <v>#N/A</v>
      </c>
      <c r="AR1086" s="19">
        <f t="shared" si="360"/>
        <v>15.079999999999998</v>
      </c>
      <c r="AS1086" s="19" t="e">
        <f t="shared" si="361"/>
        <v>#N/A</v>
      </c>
    </row>
    <row r="1087" spans="31:45" ht="11.25" customHeight="1" x14ac:dyDescent="0.2">
      <c r="AE1087" s="19">
        <v>996</v>
      </c>
      <c r="AG1087" s="19">
        <f t="shared" si="349"/>
        <v>11</v>
      </c>
      <c r="AH1087" s="19">
        <f t="shared" si="350"/>
        <v>1</v>
      </c>
      <c r="AI1087" s="19">
        <f t="shared" si="351"/>
        <v>132.82500000000002</v>
      </c>
      <c r="AJ1087" s="410">
        <f t="shared" si="352"/>
        <v>984.92</v>
      </c>
      <c r="AK1087" s="19" t="e">
        <f t="shared" si="353"/>
        <v>#N/A</v>
      </c>
      <c r="AL1087" s="19">
        <f t="shared" si="354"/>
        <v>784.92</v>
      </c>
      <c r="AM1087" s="19" t="e">
        <f t="shared" si="355"/>
        <v>#N/A</v>
      </c>
      <c r="AN1087" s="19">
        <f t="shared" si="356"/>
        <v>584.91999999999996</v>
      </c>
      <c r="AO1087" s="19" t="e">
        <f t="shared" si="357"/>
        <v>#N/A</v>
      </c>
      <c r="AP1087" s="19">
        <f t="shared" si="358"/>
        <v>384.92</v>
      </c>
      <c r="AQ1087" s="19" t="e">
        <f t="shared" si="359"/>
        <v>#N/A</v>
      </c>
      <c r="AR1087" s="19">
        <f t="shared" si="360"/>
        <v>184.92000000000002</v>
      </c>
      <c r="AS1087" s="19" t="e">
        <f t="shared" si="361"/>
        <v>#N/A</v>
      </c>
    </row>
    <row r="1088" spans="31:45" ht="11.25" customHeight="1" x14ac:dyDescent="0.2">
      <c r="AE1088" s="19">
        <v>997</v>
      </c>
      <c r="AG1088" s="19">
        <f t="shared" si="349"/>
        <v>1</v>
      </c>
      <c r="AH1088" s="19">
        <f t="shared" si="350"/>
        <v>-1</v>
      </c>
      <c r="AI1088" s="19">
        <f t="shared" si="351"/>
        <v>134.435</v>
      </c>
      <c r="AJ1088" s="410">
        <f t="shared" si="352"/>
        <v>892.28</v>
      </c>
      <c r="AK1088" s="19" t="e">
        <f t="shared" si="353"/>
        <v>#N/A</v>
      </c>
      <c r="AL1088" s="19">
        <f t="shared" si="354"/>
        <v>692.28</v>
      </c>
      <c r="AM1088" s="19" t="e">
        <f t="shared" si="355"/>
        <v>#N/A</v>
      </c>
      <c r="AN1088" s="19">
        <f t="shared" si="356"/>
        <v>492.28</v>
      </c>
      <c r="AO1088" s="19" t="e">
        <f t="shared" si="357"/>
        <v>#N/A</v>
      </c>
      <c r="AP1088" s="19">
        <f t="shared" si="358"/>
        <v>292.27999999999997</v>
      </c>
      <c r="AQ1088" s="19" t="e">
        <f t="shared" si="359"/>
        <v>#N/A</v>
      </c>
      <c r="AR1088" s="19">
        <f t="shared" si="360"/>
        <v>92.28</v>
      </c>
      <c r="AS1088" s="19" t="e">
        <f t="shared" si="361"/>
        <v>#N/A</v>
      </c>
    </row>
    <row r="1089" spans="31:45" ht="11.25" customHeight="1" x14ac:dyDescent="0.2">
      <c r="AE1089" s="19">
        <v>998</v>
      </c>
      <c r="AG1089" s="19">
        <f t="shared" si="349"/>
        <v>1</v>
      </c>
      <c r="AH1089" s="19">
        <f t="shared" si="350"/>
        <v>1</v>
      </c>
      <c r="AI1089" s="19">
        <f t="shared" si="351"/>
        <v>134.435</v>
      </c>
      <c r="AJ1089" s="410">
        <f t="shared" si="352"/>
        <v>907.72</v>
      </c>
      <c r="AK1089" s="19" t="e">
        <f t="shared" si="353"/>
        <v>#N/A</v>
      </c>
      <c r="AL1089" s="19">
        <f t="shared" si="354"/>
        <v>707.72</v>
      </c>
      <c r="AM1089" s="19" t="e">
        <f t="shared" si="355"/>
        <v>#N/A</v>
      </c>
      <c r="AN1089" s="19">
        <f t="shared" si="356"/>
        <v>507.72</v>
      </c>
      <c r="AO1089" s="19" t="e">
        <f t="shared" si="357"/>
        <v>#N/A</v>
      </c>
      <c r="AP1089" s="19">
        <f t="shared" si="358"/>
        <v>307.72000000000003</v>
      </c>
      <c r="AQ1089" s="19" t="e">
        <f t="shared" si="359"/>
        <v>#N/A</v>
      </c>
      <c r="AR1089" s="19">
        <f t="shared" si="360"/>
        <v>107.72</v>
      </c>
      <c r="AS1089" s="19" t="e">
        <f t="shared" si="361"/>
        <v>#N/A</v>
      </c>
    </row>
    <row r="1090" spans="31:45" ht="11.25" customHeight="1" x14ac:dyDescent="0.2">
      <c r="AE1090" s="19">
        <v>999</v>
      </c>
      <c r="AG1090" s="19">
        <f t="shared" si="349"/>
        <v>3</v>
      </c>
      <c r="AH1090" s="19">
        <f t="shared" si="350"/>
        <v>-1</v>
      </c>
      <c r="AI1090" s="19">
        <f t="shared" si="351"/>
        <v>134.435</v>
      </c>
      <c r="AJ1090" s="410">
        <f t="shared" si="352"/>
        <v>876.84</v>
      </c>
      <c r="AK1090" s="19" t="e">
        <f t="shared" si="353"/>
        <v>#N/A</v>
      </c>
      <c r="AL1090" s="19">
        <f t="shared" si="354"/>
        <v>676.84</v>
      </c>
      <c r="AM1090" s="19" t="e">
        <f t="shared" si="355"/>
        <v>#N/A</v>
      </c>
      <c r="AN1090" s="19">
        <f t="shared" si="356"/>
        <v>476.84</v>
      </c>
      <c r="AO1090" s="19" t="e">
        <f t="shared" si="357"/>
        <v>#N/A</v>
      </c>
      <c r="AP1090" s="19">
        <f t="shared" si="358"/>
        <v>276.83999999999997</v>
      </c>
      <c r="AQ1090" s="19" t="e">
        <f t="shared" si="359"/>
        <v>#N/A</v>
      </c>
      <c r="AR1090" s="19">
        <f t="shared" si="360"/>
        <v>76.84</v>
      </c>
      <c r="AS1090" s="19" t="e">
        <f t="shared" si="361"/>
        <v>#N/A</v>
      </c>
    </row>
    <row r="1091" spans="31:45" ht="11.25" customHeight="1" x14ac:dyDescent="0.2">
      <c r="AE1091" s="19">
        <v>1000</v>
      </c>
      <c r="AG1091" s="19">
        <f t="shared" si="349"/>
        <v>3</v>
      </c>
      <c r="AH1091" s="19">
        <f t="shared" si="350"/>
        <v>1</v>
      </c>
      <c r="AI1091" s="19">
        <f t="shared" si="351"/>
        <v>134.435</v>
      </c>
      <c r="AJ1091" s="410">
        <f t="shared" si="352"/>
        <v>923.16</v>
      </c>
      <c r="AK1091" s="19" t="e">
        <f t="shared" si="353"/>
        <v>#N/A</v>
      </c>
      <c r="AL1091" s="19">
        <f t="shared" si="354"/>
        <v>723.16</v>
      </c>
      <c r="AM1091" s="19" t="e">
        <f t="shared" si="355"/>
        <v>#N/A</v>
      </c>
      <c r="AN1091" s="19">
        <f t="shared" si="356"/>
        <v>523.16</v>
      </c>
      <c r="AO1091" s="19" t="e">
        <f t="shared" si="357"/>
        <v>#N/A</v>
      </c>
      <c r="AP1091" s="19">
        <f t="shared" si="358"/>
        <v>323.16000000000003</v>
      </c>
      <c r="AQ1091" s="19" t="e">
        <f t="shared" si="359"/>
        <v>#N/A</v>
      </c>
      <c r="AR1091" s="19">
        <f t="shared" si="360"/>
        <v>123.16</v>
      </c>
      <c r="AS1091" s="19" t="e">
        <f t="shared" si="361"/>
        <v>#N/A</v>
      </c>
    </row>
    <row r="1092" spans="31:45" ht="11.25" customHeight="1" x14ac:dyDescent="0.2">
      <c r="AG1092" s="19"/>
      <c r="AJ1092" s="410"/>
    </row>
    <row r="1093" spans="31:45" ht="11.25" customHeight="1" x14ac:dyDescent="0.2">
      <c r="AG1093" s="19"/>
      <c r="AJ1093" s="410"/>
    </row>
    <row r="1094" spans="31:45" ht="11.25" customHeight="1" x14ac:dyDescent="0.2">
      <c r="AG1094" s="19"/>
      <c r="AJ1094" s="410"/>
    </row>
    <row r="1095" spans="31:45" ht="11.25" customHeight="1" x14ac:dyDescent="0.2">
      <c r="AG1095" s="19"/>
      <c r="AJ1095" s="410"/>
    </row>
    <row r="1096" spans="31:45" ht="11.25" customHeight="1" x14ac:dyDescent="0.2">
      <c r="AG1096" s="19"/>
      <c r="AJ1096" s="410"/>
    </row>
    <row r="1097" spans="31:45" ht="11.25" customHeight="1" x14ac:dyDescent="0.2">
      <c r="AG1097" s="19"/>
      <c r="AJ1097" s="410"/>
    </row>
    <row r="1098" spans="31:45" ht="11.25" customHeight="1" x14ac:dyDescent="0.2">
      <c r="AG1098" s="19"/>
      <c r="AJ1098" s="410"/>
    </row>
    <row r="1099" spans="31:45" ht="11.25" customHeight="1" x14ac:dyDescent="0.2">
      <c r="AG1099" s="19"/>
      <c r="AJ1099" s="410"/>
    </row>
    <row r="1100" spans="31:45" ht="11.25" customHeight="1" x14ac:dyDescent="0.2">
      <c r="AG1100" s="19"/>
      <c r="AJ1100" s="410"/>
    </row>
    <row r="1101" spans="31:45" ht="11.25" customHeight="1" x14ac:dyDescent="0.2">
      <c r="AG1101" s="19"/>
      <c r="AJ1101" s="410"/>
    </row>
    <row r="1102" spans="31:45" ht="11.25" customHeight="1" x14ac:dyDescent="0.2">
      <c r="AG1102" s="19"/>
      <c r="AJ1102" s="410"/>
    </row>
    <row r="1103" spans="31:45" ht="11.25" customHeight="1" x14ac:dyDescent="0.2">
      <c r="AG1103" s="19"/>
      <c r="AJ1103" s="410"/>
    </row>
    <row r="1104" spans="31:45" ht="11.25" customHeight="1" x14ac:dyDescent="0.2">
      <c r="AG1104" s="19"/>
      <c r="AJ1104" s="410"/>
    </row>
    <row r="1105" spans="33:36" ht="11.25" customHeight="1" x14ac:dyDescent="0.2">
      <c r="AG1105" s="19"/>
      <c r="AJ1105" s="410"/>
    </row>
    <row r="1106" spans="33:36" ht="11.25" customHeight="1" x14ac:dyDescent="0.2">
      <c r="AG1106" s="19"/>
      <c r="AJ1106" s="410"/>
    </row>
    <row r="1107" spans="33:36" ht="11.25" customHeight="1" x14ac:dyDescent="0.2">
      <c r="AG1107" s="19"/>
      <c r="AJ1107" s="410"/>
    </row>
    <row r="1108" spans="33:36" ht="11.25" customHeight="1" x14ac:dyDescent="0.2">
      <c r="AG1108" s="19"/>
      <c r="AJ1108" s="410"/>
    </row>
    <row r="1109" spans="33:36" ht="11.25" customHeight="1" x14ac:dyDescent="0.2">
      <c r="AG1109" s="19"/>
      <c r="AJ1109" s="410"/>
    </row>
    <row r="1110" spans="33:36" ht="11.25" customHeight="1" x14ac:dyDescent="0.2">
      <c r="AG1110" s="19"/>
      <c r="AJ1110" s="410"/>
    </row>
    <row r="1111" spans="33:36" ht="11.25" customHeight="1" x14ac:dyDescent="0.2">
      <c r="AG1111" s="19"/>
      <c r="AJ1111" s="410"/>
    </row>
    <row r="1112" spans="33:36" ht="11.25" customHeight="1" x14ac:dyDescent="0.2">
      <c r="AG1112" s="19"/>
      <c r="AJ1112" s="410"/>
    </row>
    <row r="1113" spans="33:36" ht="11.25" customHeight="1" x14ac:dyDescent="0.2">
      <c r="AG1113" s="19"/>
      <c r="AJ1113" s="410"/>
    </row>
    <row r="1114" spans="33:36" ht="11.25" customHeight="1" x14ac:dyDescent="0.2">
      <c r="AG1114" s="19"/>
      <c r="AJ1114" s="410"/>
    </row>
    <row r="1115" spans="33:36" ht="11.25" customHeight="1" x14ac:dyDescent="0.2">
      <c r="AG1115" s="19"/>
      <c r="AJ1115" s="410"/>
    </row>
    <row r="1116" spans="33:36" ht="11.25" customHeight="1" x14ac:dyDescent="0.2">
      <c r="AG1116" s="19"/>
      <c r="AJ1116" s="410"/>
    </row>
    <row r="1117" spans="33:36" ht="11.25" customHeight="1" x14ac:dyDescent="0.2">
      <c r="AG1117" s="19"/>
      <c r="AJ1117" s="410"/>
    </row>
    <row r="1118" spans="33:36" ht="11.25" customHeight="1" x14ac:dyDescent="0.2">
      <c r="AG1118" s="19"/>
      <c r="AJ1118" s="410"/>
    </row>
    <row r="1119" spans="33:36" ht="11.25" customHeight="1" x14ac:dyDescent="0.2">
      <c r="AG1119" s="19"/>
      <c r="AJ1119" s="410"/>
    </row>
    <row r="1120" spans="33:36" ht="11.25" customHeight="1" x14ac:dyDescent="0.2">
      <c r="AG1120" s="19"/>
      <c r="AJ1120" s="410"/>
    </row>
    <row r="1121" spans="33:36" ht="11.25" customHeight="1" x14ac:dyDescent="0.2">
      <c r="AG1121" s="19"/>
      <c r="AJ1121" s="410"/>
    </row>
    <row r="1122" spans="33:36" ht="11.25" customHeight="1" x14ac:dyDescent="0.2">
      <c r="AG1122" s="19"/>
      <c r="AJ1122" s="410"/>
    </row>
    <row r="1123" spans="33:36" ht="11.25" customHeight="1" x14ac:dyDescent="0.2">
      <c r="AG1123" s="19"/>
      <c r="AJ1123" s="410"/>
    </row>
    <row r="1124" spans="33:36" ht="11.25" customHeight="1" x14ac:dyDescent="0.2">
      <c r="AG1124" s="19"/>
      <c r="AJ1124" s="410"/>
    </row>
    <row r="1125" spans="33:36" ht="11.25" customHeight="1" x14ac:dyDescent="0.2">
      <c r="AG1125" s="19"/>
      <c r="AJ1125" s="410"/>
    </row>
    <row r="1126" spans="33:36" ht="11.25" customHeight="1" x14ac:dyDescent="0.2">
      <c r="AG1126" s="19"/>
      <c r="AJ1126" s="410"/>
    </row>
    <row r="1127" spans="33:36" ht="11.25" customHeight="1" x14ac:dyDescent="0.2">
      <c r="AG1127" s="19"/>
      <c r="AJ1127" s="410"/>
    </row>
    <row r="1128" spans="33:36" ht="11.25" customHeight="1" x14ac:dyDescent="0.2">
      <c r="AG1128" s="19"/>
      <c r="AJ1128" s="410"/>
    </row>
    <row r="1129" spans="33:36" ht="11.25" customHeight="1" x14ac:dyDescent="0.2">
      <c r="AG1129" s="19"/>
      <c r="AJ1129" s="410"/>
    </row>
    <row r="1130" spans="33:36" ht="11.25" customHeight="1" x14ac:dyDescent="0.2">
      <c r="AG1130" s="19"/>
      <c r="AJ1130" s="410"/>
    </row>
    <row r="1131" spans="33:36" ht="11.25" customHeight="1" x14ac:dyDescent="0.2">
      <c r="AG1131" s="19"/>
      <c r="AJ1131" s="410"/>
    </row>
    <row r="1132" spans="33:36" ht="11.25" customHeight="1" x14ac:dyDescent="0.2">
      <c r="AG1132" s="19"/>
      <c r="AJ1132" s="410"/>
    </row>
    <row r="1133" spans="33:36" ht="11.25" customHeight="1" x14ac:dyDescent="0.2">
      <c r="AG1133" s="19"/>
      <c r="AJ1133" s="410"/>
    </row>
    <row r="1134" spans="33:36" ht="11.25" customHeight="1" x14ac:dyDescent="0.2">
      <c r="AG1134" s="19"/>
      <c r="AJ1134" s="410"/>
    </row>
    <row r="1135" spans="33:36" ht="11.25" customHeight="1" x14ac:dyDescent="0.2">
      <c r="AG1135" s="19"/>
      <c r="AJ1135" s="410"/>
    </row>
    <row r="1136" spans="33:36" ht="11.25" customHeight="1" x14ac:dyDescent="0.2">
      <c r="AG1136" s="19"/>
      <c r="AJ1136" s="410"/>
    </row>
    <row r="1137" spans="33:36" ht="11.25" customHeight="1" x14ac:dyDescent="0.2">
      <c r="AG1137" s="19"/>
      <c r="AJ1137" s="410"/>
    </row>
    <row r="1138" spans="33:36" ht="11.25" customHeight="1" x14ac:dyDescent="0.2">
      <c r="AG1138" s="19"/>
      <c r="AJ1138" s="410"/>
    </row>
    <row r="1139" spans="33:36" ht="11.25" customHeight="1" x14ac:dyDescent="0.2">
      <c r="AG1139" s="19"/>
      <c r="AJ1139" s="410"/>
    </row>
    <row r="1140" spans="33:36" ht="11.25" customHeight="1" x14ac:dyDescent="0.2">
      <c r="AG1140" s="19"/>
      <c r="AJ1140" s="410"/>
    </row>
    <row r="1141" spans="33:36" ht="11.25" customHeight="1" x14ac:dyDescent="0.2">
      <c r="AG1141" s="19"/>
      <c r="AJ1141" s="410"/>
    </row>
    <row r="1142" spans="33:36" ht="11.25" customHeight="1" x14ac:dyDescent="0.2">
      <c r="AG1142" s="19"/>
      <c r="AJ1142" s="410"/>
    </row>
    <row r="1143" spans="33:36" ht="11.25" customHeight="1" x14ac:dyDescent="0.2">
      <c r="AG1143" s="19"/>
      <c r="AJ1143" s="410"/>
    </row>
    <row r="1144" spans="33:36" ht="11.25" customHeight="1" x14ac:dyDescent="0.2">
      <c r="AG1144" s="19"/>
      <c r="AJ1144" s="410"/>
    </row>
    <row r="1145" spans="33:36" ht="11.25" customHeight="1" x14ac:dyDescent="0.2">
      <c r="AG1145" s="19"/>
      <c r="AJ1145" s="410"/>
    </row>
    <row r="1146" spans="33:36" ht="11.25" customHeight="1" x14ac:dyDescent="0.2">
      <c r="AG1146" s="19"/>
      <c r="AJ1146" s="410"/>
    </row>
    <row r="1147" spans="33:36" ht="11.25" customHeight="1" x14ac:dyDescent="0.2">
      <c r="AG1147" s="19"/>
      <c r="AJ1147" s="410"/>
    </row>
    <row r="1148" spans="33:36" ht="11.25" customHeight="1" x14ac:dyDescent="0.2">
      <c r="AG1148" s="19"/>
      <c r="AJ1148" s="410"/>
    </row>
    <row r="1149" spans="33:36" ht="11.25" customHeight="1" x14ac:dyDescent="0.2">
      <c r="AG1149" s="19"/>
      <c r="AJ1149" s="410"/>
    </row>
    <row r="1150" spans="33:36" ht="11.25" customHeight="1" x14ac:dyDescent="0.2">
      <c r="AG1150" s="19"/>
      <c r="AJ1150" s="410"/>
    </row>
    <row r="1151" spans="33:36" ht="11.25" customHeight="1" x14ac:dyDescent="0.2">
      <c r="AG1151" s="19"/>
      <c r="AJ1151" s="410"/>
    </row>
    <row r="1152" spans="33:36" ht="11.25" customHeight="1" x14ac:dyDescent="0.2">
      <c r="AG1152" s="19"/>
      <c r="AJ1152" s="410"/>
    </row>
    <row r="1153" spans="33:36" ht="11.25" customHeight="1" x14ac:dyDescent="0.2">
      <c r="AG1153" s="19"/>
      <c r="AJ1153" s="410"/>
    </row>
    <row r="1154" spans="33:36" ht="11.25" customHeight="1" x14ac:dyDescent="0.2">
      <c r="AG1154" s="19"/>
      <c r="AJ1154" s="410"/>
    </row>
    <row r="1155" spans="33:36" ht="11.25" customHeight="1" x14ac:dyDescent="0.2">
      <c r="AG1155" s="19"/>
      <c r="AJ1155" s="410"/>
    </row>
    <row r="1156" spans="33:36" ht="11.25" customHeight="1" x14ac:dyDescent="0.2">
      <c r="AG1156" s="19"/>
      <c r="AJ1156" s="410"/>
    </row>
    <row r="1157" spans="33:36" ht="11.25" customHeight="1" x14ac:dyDescent="0.2">
      <c r="AG1157" s="19"/>
      <c r="AJ1157" s="410"/>
    </row>
    <row r="1158" spans="33:36" ht="11.25" customHeight="1" x14ac:dyDescent="0.2">
      <c r="AG1158" s="19"/>
      <c r="AJ1158" s="410"/>
    </row>
    <row r="1159" spans="33:36" ht="11.25" customHeight="1" x14ac:dyDescent="0.2">
      <c r="AG1159" s="19"/>
      <c r="AJ1159" s="410"/>
    </row>
    <row r="1160" spans="33:36" ht="11.25" customHeight="1" x14ac:dyDescent="0.2">
      <c r="AG1160" s="19"/>
      <c r="AJ1160" s="410"/>
    </row>
    <row r="1161" spans="33:36" ht="11.25" customHeight="1" x14ac:dyDescent="0.2">
      <c r="AG1161" s="19"/>
      <c r="AJ1161" s="410"/>
    </row>
    <row r="1162" spans="33:36" ht="11.25" customHeight="1" x14ac:dyDescent="0.2">
      <c r="AG1162" s="19"/>
      <c r="AJ1162" s="410"/>
    </row>
    <row r="1163" spans="33:36" ht="11.25" customHeight="1" x14ac:dyDescent="0.2">
      <c r="AG1163" s="19"/>
      <c r="AJ1163" s="410"/>
    </row>
    <row r="1164" spans="33:36" ht="11.25" customHeight="1" x14ac:dyDescent="0.2">
      <c r="AG1164" s="19"/>
      <c r="AJ1164" s="410"/>
    </row>
    <row r="1165" spans="33:36" ht="11.25" customHeight="1" x14ac:dyDescent="0.2">
      <c r="AG1165" s="19"/>
      <c r="AJ1165" s="410"/>
    </row>
    <row r="1166" spans="33:36" ht="11.25" customHeight="1" x14ac:dyDescent="0.2">
      <c r="AG1166" s="19"/>
      <c r="AJ1166" s="410"/>
    </row>
    <row r="1167" spans="33:36" ht="11.25" customHeight="1" x14ac:dyDescent="0.2">
      <c r="AG1167" s="19"/>
      <c r="AJ1167" s="410"/>
    </row>
    <row r="1168" spans="33:36" ht="11.25" customHeight="1" x14ac:dyDescent="0.2">
      <c r="AG1168" s="19"/>
      <c r="AJ1168" s="410"/>
    </row>
    <row r="1169" spans="33:36" ht="11.25" customHeight="1" x14ac:dyDescent="0.2">
      <c r="AG1169" s="19"/>
      <c r="AJ1169" s="410"/>
    </row>
    <row r="1170" spans="33:36" ht="11.25" customHeight="1" x14ac:dyDescent="0.2">
      <c r="AG1170" s="19"/>
      <c r="AJ1170" s="410"/>
    </row>
    <row r="1171" spans="33:36" ht="11.25" customHeight="1" x14ac:dyDescent="0.2">
      <c r="AG1171" s="19"/>
      <c r="AJ1171" s="410"/>
    </row>
    <row r="1172" spans="33:36" ht="11.25" customHeight="1" x14ac:dyDescent="0.2">
      <c r="AG1172" s="19"/>
      <c r="AJ1172" s="410"/>
    </row>
    <row r="1173" spans="33:36" ht="11.25" customHeight="1" x14ac:dyDescent="0.2">
      <c r="AG1173" s="19"/>
      <c r="AJ1173" s="410"/>
    </row>
    <row r="1174" spans="33:36" ht="11.25" customHeight="1" x14ac:dyDescent="0.2">
      <c r="AG1174" s="19"/>
      <c r="AJ1174" s="410"/>
    </row>
    <row r="1175" spans="33:36" ht="11.25" customHeight="1" x14ac:dyDescent="0.2">
      <c r="AG1175" s="19"/>
      <c r="AJ1175" s="410"/>
    </row>
    <row r="1176" spans="33:36" ht="11.25" customHeight="1" x14ac:dyDescent="0.2">
      <c r="AG1176" s="19"/>
      <c r="AJ1176" s="410"/>
    </row>
    <row r="1177" spans="33:36" ht="11.25" customHeight="1" x14ac:dyDescent="0.2">
      <c r="AG1177" s="19"/>
      <c r="AJ1177" s="410"/>
    </row>
    <row r="1178" spans="33:36" ht="11.25" customHeight="1" x14ac:dyDescent="0.2">
      <c r="AG1178" s="19"/>
      <c r="AJ1178" s="410"/>
    </row>
    <row r="1179" spans="33:36" ht="11.25" customHeight="1" x14ac:dyDescent="0.2">
      <c r="AG1179" s="19"/>
      <c r="AJ1179" s="410"/>
    </row>
    <row r="1180" spans="33:36" ht="11.25" customHeight="1" x14ac:dyDescent="0.2">
      <c r="AG1180" s="19"/>
      <c r="AJ1180" s="410"/>
    </row>
    <row r="1181" spans="33:36" ht="11.25" customHeight="1" x14ac:dyDescent="0.2">
      <c r="AG1181" s="19"/>
      <c r="AJ1181" s="410"/>
    </row>
    <row r="1182" spans="33:36" ht="11.25" customHeight="1" x14ac:dyDescent="0.2">
      <c r="AG1182" s="19"/>
      <c r="AJ1182" s="410"/>
    </row>
    <row r="1183" spans="33:36" ht="11.25" customHeight="1" x14ac:dyDescent="0.2">
      <c r="AG1183" s="19"/>
      <c r="AJ1183" s="410"/>
    </row>
    <row r="1184" spans="33:36" ht="11.25" customHeight="1" x14ac:dyDescent="0.2">
      <c r="AG1184" s="19"/>
      <c r="AJ1184" s="410"/>
    </row>
    <row r="1185" spans="33:36" ht="11.25" customHeight="1" x14ac:dyDescent="0.2">
      <c r="AG1185" s="19"/>
      <c r="AJ1185" s="410"/>
    </row>
    <row r="1186" spans="33:36" ht="11.25" customHeight="1" x14ac:dyDescent="0.2">
      <c r="AG1186" s="19"/>
      <c r="AJ1186" s="410"/>
    </row>
    <row r="1187" spans="33:36" ht="11.25" customHeight="1" x14ac:dyDescent="0.2">
      <c r="AG1187" s="19"/>
      <c r="AJ1187" s="410"/>
    </row>
    <row r="1188" spans="33:36" ht="11.25" customHeight="1" x14ac:dyDescent="0.2">
      <c r="AG1188" s="19"/>
      <c r="AJ1188" s="410"/>
    </row>
    <row r="1189" spans="33:36" ht="11.25" customHeight="1" x14ac:dyDescent="0.2">
      <c r="AG1189" s="19"/>
      <c r="AJ1189" s="410"/>
    </row>
    <row r="1190" spans="33:36" ht="11.25" customHeight="1" x14ac:dyDescent="0.2">
      <c r="AG1190" s="19"/>
      <c r="AJ1190" s="410"/>
    </row>
    <row r="1191" spans="33:36" ht="11.25" customHeight="1" x14ac:dyDescent="0.2">
      <c r="AG1191" s="19"/>
      <c r="AJ1191" s="410"/>
    </row>
    <row r="1192" spans="33:36" ht="11.25" customHeight="1" x14ac:dyDescent="0.2">
      <c r="AG1192" s="19"/>
      <c r="AJ1192" s="410"/>
    </row>
    <row r="1193" spans="33:36" ht="11.25" customHeight="1" x14ac:dyDescent="0.2">
      <c r="AG1193" s="19"/>
      <c r="AJ1193" s="410"/>
    </row>
    <row r="1194" spans="33:36" ht="11.25" customHeight="1" x14ac:dyDescent="0.2">
      <c r="AG1194" s="19"/>
      <c r="AJ1194" s="410"/>
    </row>
    <row r="1195" spans="33:36" ht="11.25" customHeight="1" x14ac:dyDescent="0.2">
      <c r="AG1195" s="19"/>
      <c r="AJ1195" s="410"/>
    </row>
    <row r="1196" spans="33:36" ht="11.25" customHeight="1" x14ac:dyDescent="0.2">
      <c r="AG1196" s="19"/>
      <c r="AJ1196" s="410"/>
    </row>
    <row r="1197" spans="33:36" ht="11.25" customHeight="1" x14ac:dyDescent="0.2">
      <c r="AG1197" s="19"/>
      <c r="AJ1197" s="410"/>
    </row>
    <row r="1198" spans="33:36" ht="11.25" customHeight="1" x14ac:dyDescent="0.2">
      <c r="AG1198" s="19"/>
      <c r="AJ1198" s="410"/>
    </row>
    <row r="1199" spans="33:36" ht="11.25" customHeight="1" x14ac:dyDescent="0.2">
      <c r="AG1199" s="19"/>
      <c r="AJ1199" s="410"/>
    </row>
    <row r="1200" spans="33:36" ht="11.25" customHeight="1" x14ac:dyDescent="0.2">
      <c r="AG1200" s="19"/>
      <c r="AJ1200" s="410"/>
    </row>
    <row r="1201" spans="33:36" ht="11.25" customHeight="1" x14ac:dyDescent="0.2">
      <c r="AG1201" s="19"/>
      <c r="AJ1201" s="410"/>
    </row>
    <row r="1202" spans="33:36" ht="11.25" customHeight="1" x14ac:dyDescent="0.2">
      <c r="AG1202" s="19"/>
      <c r="AJ1202" s="410"/>
    </row>
    <row r="1203" spans="33:36" ht="11.25" customHeight="1" x14ac:dyDescent="0.2">
      <c r="AG1203" s="19"/>
      <c r="AJ1203" s="410"/>
    </row>
    <row r="1204" spans="33:36" ht="11.25" customHeight="1" x14ac:dyDescent="0.2">
      <c r="AG1204" s="19"/>
      <c r="AJ1204" s="410"/>
    </row>
    <row r="1205" spans="33:36" ht="11.25" customHeight="1" x14ac:dyDescent="0.2">
      <c r="AG1205" s="19"/>
      <c r="AJ1205" s="410"/>
    </row>
    <row r="1206" spans="33:36" ht="11.25" customHeight="1" x14ac:dyDescent="0.2">
      <c r="AG1206" s="19"/>
      <c r="AJ1206" s="410"/>
    </row>
    <row r="1207" spans="33:36" ht="11.25" customHeight="1" x14ac:dyDescent="0.2">
      <c r="AG1207" s="19"/>
      <c r="AJ1207" s="410"/>
    </row>
    <row r="1208" spans="33:36" ht="11.25" customHeight="1" x14ac:dyDescent="0.2">
      <c r="AG1208" s="19"/>
      <c r="AJ1208" s="410"/>
    </row>
    <row r="1209" spans="33:36" ht="11.25" customHeight="1" x14ac:dyDescent="0.2">
      <c r="AG1209" s="19"/>
      <c r="AJ1209" s="410"/>
    </row>
    <row r="1210" spans="33:36" ht="11.25" customHeight="1" x14ac:dyDescent="0.2">
      <c r="AG1210" s="19"/>
      <c r="AJ1210" s="410"/>
    </row>
    <row r="1211" spans="33:36" ht="11.25" customHeight="1" x14ac:dyDescent="0.2">
      <c r="AG1211" s="19"/>
      <c r="AJ1211" s="410"/>
    </row>
    <row r="1212" spans="33:36" ht="11.25" customHeight="1" x14ac:dyDescent="0.2">
      <c r="AG1212" s="19"/>
      <c r="AJ1212" s="410"/>
    </row>
    <row r="1213" spans="33:36" ht="11.25" customHeight="1" x14ac:dyDescent="0.2">
      <c r="AG1213" s="19"/>
      <c r="AJ1213" s="410"/>
    </row>
    <row r="1214" spans="33:36" ht="11.25" customHeight="1" x14ac:dyDescent="0.2">
      <c r="AG1214" s="19"/>
      <c r="AJ1214" s="410"/>
    </row>
    <row r="1215" spans="33:36" ht="11.25" customHeight="1" x14ac:dyDescent="0.2">
      <c r="AG1215" s="19"/>
      <c r="AJ1215" s="410"/>
    </row>
    <row r="1216" spans="33:36" ht="11.25" customHeight="1" x14ac:dyDescent="0.2">
      <c r="AG1216" s="19"/>
      <c r="AJ1216" s="410"/>
    </row>
    <row r="1217" spans="33:36" ht="11.25" customHeight="1" x14ac:dyDescent="0.2">
      <c r="AG1217" s="19"/>
      <c r="AJ1217" s="410"/>
    </row>
    <row r="1218" spans="33:36" ht="11.25" customHeight="1" x14ac:dyDescent="0.2">
      <c r="AG1218" s="19"/>
      <c r="AJ1218" s="410"/>
    </row>
    <row r="1219" spans="33:36" ht="11.25" customHeight="1" x14ac:dyDescent="0.2">
      <c r="AG1219" s="19"/>
      <c r="AJ1219" s="410"/>
    </row>
    <row r="1220" spans="33:36" ht="11.25" customHeight="1" x14ac:dyDescent="0.2">
      <c r="AG1220" s="19"/>
      <c r="AJ1220" s="410"/>
    </row>
    <row r="1221" spans="33:36" ht="11.25" customHeight="1" x14ac:dyDescent="0.2">
      <c r="AG1221" s="19"/>
      <c r="AJ1221" s="410"/>
    </row>
    <row r="1222" spans="33:36" ht="11.25" customHeight="1" x14ac:dyDescent="0.2">
      <c r="AG1222" s="19"/>
      <c r="AJ1222" s="410"/>
    </row>
    <row r="1223" spans="33:36" ht="11.25" customHeight="1" x14ac:dyDescent="0.2">
      <c r="AG1223" s="19"/>
      <c r="AJ1223" s="410"/>
    </row>
    <row r="1224" spans="33:36" ht="11.25" customHeight="1" x14ac:dyDescent="0.2">
      <c r="AG1224" s="19"/>
      <c r="AJ1224" s="410"/>
    </row>
    <row r="1225" spans="33:36" ht="11.25" customHeight="1" x14ac:dyDescent="0.2">
      <c r="AG1225" s="19"/>
      <c r="AJ1225" s="410"/>
    </row>
    <row r="1226" spans="33:36" ht="11.25" customHeight="1" x14ac:dyDescent="0.2">
      <c r="AG1226" s="19"/>
      <c r="AJ1226" s="410"/>
    </row>
    <row r="1227" spans="33:36" ht="11.25" customHeight="1" x14ac:dyDescent="0.2">
      <c r="AG1227" s="19"/>
      <c r="AJ1227" s="410"/>
    </row>
    <row r="1228" spans="33:36" ht="11.25" customHeight="1" x14ac:dyDescent="0.2">
      <c r="AG1228" s="19"/>
      <c r="AJ1228" s="410"/>
    </row>
    <row r="1229" spans="33:36" ht="11.25" customHeight="1" x14ac:dyDescent="0.2">
      <c r="AG1229" s="19"/>
      <c r="AJ1229" s="410"/>
    </row>
    <row r="1230" spans="33:36" ht="11.25" customHeight="1" x14ac:dyDescent="0.2">
      <c r="AG1230" s="19"/>
      <c r="AJ1230" s="410"/>
    </row>
    <row r="1231" spans="33:36" ht="11.25" customHeight="1" x14ac:dyDescent="0.2">
      <c r="AG1231" s="19"/>
      <c r="AJ1231" s="410"/>
    </row>
    <row r="1232" spans="33:36" ht="11.25" customHeight="1" x14ac:dyDescent="0.2">
      <c r="AG1232" s="19"/>
      <c r="AJ1232" s="410"/>
    </row>
    <row r="1233" spans="33:36" ht="11.25" customHeight="1" x14ac:dyDescent="0.2">
      <c r="AG1233" s="19"/>
      <c r="AJ1233" s="410"/>
    </row>
    <row r="1234" spans="33:36" ht="11.25" customHeight="1" x14ac:dyDescent="0.2">
      <c r="AG1234" s="19"/>
      <c r="AJ1234" s="410"/>
    </row>
    <row r="1235" spans="33:36" ht="11.25" customHeight="1" x14ac:dyDescent="0.2">
      <c r="AG1235" s="19"/>
      <c r="AJ1235" s="410"/>
    </row>
    <row r="1236" spans="33:36" ht="11.25" customHeight="1" x14ac:dyDescent="0.2">
      <c r="AG1236" s="19"/>
      <c r="AJ1236" s="410"/>
    </row>
    <row r="1237" spans="33:36" ht="11.25" customHeight="1" x14ac:dyDescent="0.2">
      <c r="AG1237" s="19"/>
      <c r="AJ1237" s="410"/>
    </row>
    <row r="1238" spans="33:36" ht="11.25" customHeight="1" x14ac:dyDescent="0.2">
      <c r="AG1238" s="19"/>
      <c r="AJ1238" s="410"/>
    </row>
    <row r="1239" spans="33:36" ht="11.25" customHeight="1" x14ac:dyDescent="0.2">
      <c r="AG1239" s="19"/>
      <c r="AJ1239" s="410"/>
    </row>
    <row r="1240" spans="33:36" ht="11.25" customHeight="1" x14ac:dyDescent="0.2">
      <c r="AG1240" s="19"/>
      <c r="AJ1240" s="410"/>
    </row>
    <row r="1241" spans="33:36" ht="11.25" customHeight="1" x14ac:dyDescent="0.2">
      <c r="AG1241" s="19"/>
      <c r="AJ1241" s="410"/>
    </row>
    <row r="1242" spans="33:36" ht="11.25" customHeight="1" x14ac:dyDescent="0.2">
      <c r="AG1242" s="19"/>
      <c r="AJ1242" s="410"/>
    </row>
    <row r="1243" spans="33:36" ht="11.25" customHeight="1" x14ac:dyDescent="0.2">
      <c r="AG1243" s="19"/>
      <c r="AJ1243" s="410"/>
    </row>
    <row r="1244" spans="33:36" ht="11.25" customHeight="1" x14ac:dyDescent="0.2">
      <c r="AG1244" s="19"/>
      <c r="AJ1244" s="410"/>
    </row>
    <row r="1245" spans="33:36" ht="11.25" customHeight="1" x14ac:dyDescent="0.2">
      <c r="AG1245" s="19"/>
      <c r="AJ1245" s="410"/>
    </row>
    <row r="1246" spans="33:36" ht="11.25" customHeight="1" x14ac:dyDescent="0.2">
      <c r="AG1246" s="19"/>
      <c r="AJ1246" s="410"/>
    </row>
    <row r="1247" spans="33:36" ht="11.25" customHeight="1" x14ac:dyDescent="0.2">
      <c r="AG1247" s="19"/>
      <c r="AJ1247" s="410"/>
    </row>
    <row r="1248" spans="33:36" ht="11.25" customHeight="1" x14ac:dyDescent="0.2">
      <c r="AG1248" s="19"/>
      <c r="AJ1248" s="410"/>
    </row>
    <row r="1249" spans="33:36" ht="11.25" customHeight="1" x14ac:dyDescent="0.2">
      <c r="AG1249" s="19"/>
      <c r="AJ1249" s="410"/>
    </row>
    <row r="1250" spans="33:36" ht="11.25" customHeight="1" x14ac:dyDescent="0.2">
      <c r="AG1250" s="19"/>
      <c r="AJ1250" s="410"/>
    </row>
    <row r="1251" spans="33:36" ht="11.25" customHeight="1" x14ac:dyDescent="0.2">
      <c r="AG1251" s="19"/>
      <c r="AJ1251" s="410"/>
    </row>
    <row r="1252" spans="33:36" ht="11.25" customHeight="1" x14ac:dyDescent="0.2">
      <c r="AG1252" s="19"/>
      <c r="AJ1252" s="410"/>
    </row>
    <row r="1253" spans="33:36" ht="11.25" customHeight="1" x14ac:dyDescent="0.2">
      <c r="AG1253" s="19"/>
      <c r="AJ1253" s="410"/>
    </row>
    <row r="1254" spans="33:36" ht="11.25" customHeight="1" x14ac:dyDescent="0.2">
      <c r="AG1254" s="19"/>
      <c r="AJ1254" s="410"/>
    </row>
    <row r="1255" spans="33:36" ht="11.25" customHeight="1" x14ac:dyDescent="0.2">
      <c r="AG1255" s="19"/>
      <c r="AJ1255" s="410"/>
    </row>
    <row r="1256" spans="33:36" ht="11.25" customHeight="1" x14ac:dyDescent="0.2">
      <c r="AG1256" s="19"/>
      <c r="AJ1256" s="410"/>
    </row>
    <row r="1257" spans="33:36" ht="11.25" customHeight="1" x14ac:dyDescent="0.2">
      <c r="AG1257" s="19"/>
      <c r="AJ1257" s="410"/>
    </row>
    <row r="1258" spans="33:36" ht="11.25" customHeight="1" x14ac:dyDescent="0.2">
      <c r="AG1258" s="19"/>
      <c r="AJ1258" s="410"/>
    </row>
    <row r="1259" spans="33:36" ht="11.25" customHeight="1" x14ac:dyDescent="0.2">
      <c r="AG1259" s="19"/>
      <c r="AJ1259" s="410"/>
    </row>
    <row r="1260" spans="33:36" ht="11.25" customHeight="1" x14ac:dyDescent="0.2">
      <c r="AG1260" s="19"/>
      <c r="AJ1260" s="410"/>
    </row>
    <row r="1261" spans="33:36" ht="11.25" customHeight="1" x14ac:dyDescent="0.2">
      <c r="AG1261" s="19"/>
      <c r="AJ1261" s="410"/>
    </row>
    <row r="1262" spans="33:36" ht="11.25" customHeight="1" x14ac:dyDescent="0.2">
      <c r="AG1262" s="19"/>
      <c r="AJ1262" s="410"/>
    </row>
    <row r="1263" spans="33:36" ht="11.25" customHeight="1" x14ac:dyDescent="0.2">
      <c r="AG1263" s="19"/>
      <c r="AJ1263" s="410"/>
    </row>
    <row r="1264" spans="33:36" ht="11.25" customHeight="1" x14ac:dyDescent="0.2">
      <c r="AG1264" s="19"/>
      <c r="AJ1264" s="410"/>
    </row>
    <row r="1265" spans="33:36" ht="11.25" customHeight="1" x14ac:dyDescent="0.2">
      <c r="AG1265" s="19"/>
      <c r="AJ1265" s="410"/>
    </row>
    <row r="1266" spans="33:36" ht="11.25" customHeight="1" x14ac:dyDescent="0.2">
      <c r="AG1266" s="19"/>
      <c r="AJ1266" s="410"/>
    </row>
    <row r="1267" spans="33:36" ht="11.25" customHeight="1" x14ac:dyDescent="0.2">
      <c r="AG1267" s="19"/>
      <c r="AJ1267" s="410"/>
    </row>
    <row r="1268" spans="33:36" ht="11.25" customHeight="1" x14ac:dyDescent="0.2">
      <c r="AG1268" s="19"/>
      <c r="AJ1268" s="410"/>
    </row>
    <row r="1269" spans="33:36" ht="11.25" customHeight="1" x14ac:dyDescent="0.2">
      <c r="AG1269" s="19"/>
      <c r="AJ1269" s="410"/>
    </row>
    <row r="1270" spans="33:36" ht="11.25" customHeight="1" x14ac:dyDescent="0.2">
      <c r="AG1270" s="19"/>
      <c r="AJ1270" s="410"/>
    </row>
    <row r="1271" spans="33:36" ht="11.25" customHeight="1" x14ac:dyDescent="0.2">
      <c r="AG1271" s="19"/>
      <c r="AJ1271" s="410"/>
    </row>
    <row r="1272" spans="33:36" ht="11.25" customHeight="1" x14ac:dyDescent="0.2">
      <c r="AG1272" s="19"/>
      <c r="AJ1272" s="410"/>
    </row>
    <row r="1273" spans="33:36" ht="11.25" customHeight="1" x14ac:dyDescent="0.2">
      <c r="AG1273" s="19"/>
      <c r="AJ1273" s="410"/>
    </row>
    <row r="1274" spans="33:36" ht="11.25" customHeight="1" x14ac:dyDescent="0.2">
      <c r="AG1274" s="19"/>
      <c r="AJ1274" s="410"/>
    </row>
    <row r="1275" spans="33:36" ht="11.25" customHeight="1" x14ac:dyDescent="0.2">
      <c r="AG1275" s="19"/>
      <c r="AJ1275" s="410"/>
    </row>
    <row r="1276" spans="33:36" ht="11.25" customHeight="1" x14ac:dyDescent="0.2">
      <c r="AG1276" s="19"/>
      <c r="AJ1276" s="410"/>
    </row>
    <row r="1277" spans="33:36" ht="11.25" customHeight="1" x14ac:dyDescent="0.2">
      <c r="AG1277" s="19"/>
      <c r="AJ1277" s="410"/>
    </row>
    <row r="1278" spans="33:36" ht="11.25" customHeight="1" x14ac:dyDescent="0.2">
      <c r="AG1278" s="19"/>
      <c r="AJ1278" s="410"/>
    </row>
    <row r="1279" spans="33:36" ht="11.25" customHeight="1" x14ac:dyDescent="0.2">
      <c r="AG1279" s="19"/>
      <c r="AJ1279" s="410"/>
    </row>
    <row r="1280" spans="33:36" ht="11.25" customHeight="1" x14ac:dyDescent="0.2">
      <c r="AG1280" s="19"/>
      <c r="AJ1280" s="410"/>
    </row>
    <row r="1281" spans="33:36" ht="11.25" customHeight="1" x14ac:dyDescent="0.2">
      <c r="AG1281" s="19"/>
      <c r="AJ1281" s="410"/>
    </row>
    <row r="1282" spans="33:36" ht="11.25" customHeight="1" x14ac:dyDescent="0.2">
      <c r="AG1282" s="19"/>
      <c r="AJ1282" s="410"/>
    </row>
    <row r="1283" spans="33:36" ht="11.25" customHeight="1" x14ac:dyDescent="0.2">
      <c r="AG1283" s="19"/>
      <c r="AJ1283" s="410"/>
    </row>
    <row r="1284" spans="33:36" ht="11.25" customHeight="1" x14ac:dyDescent="0.2">
      <c r="AG1284" s="19"/>
      <c r="AJ1284" s="410"/>
    </row>
    <row r="1285" spans="33:36" ht="11.25" customHeight="1" x14ac:dyDescent="0.2">
      <c r="AG1285" s="19"/>
      <c r="AJ1285" s="410"/>
    </row>
    <row r="1286" spans="33:36" ht="11.25" customHeight="1" x14ac:dyDescent="0.2">
      <c r="AG1286" s="19"/>
      <c r="AJ1286" s="410"/>
    </row>
    <row r="1287" spans="33:36" ht="11.25" customHeight="1" x14ac:dyDescent="0.2">
      <c r="AG1287" s="19"/>
      <c r="AJ1287" s="410"/>
    </row>
    <row r="1288" spans="33:36" ht="11.25" customHeight="1" x14ac:dyDescent="0.2">
      <c r="AG1288" s="19"/>
      <c r="AJ1288" s="410"/>
    </row>
    <row r="1289" spans="33:36" ht="11.25" customHeight="1" x14ac:dyDescent="0.2">
      <c r="AG1289" s="19"/>
      <c r="AJ1289" s="410"/>
    </row>
    <row r="1290" spans="33:36" ht="11.25" customHeight="1" x14ac:dyDescent="0.2">
      <c r="AG1290" s="19"/>
      <c r="AJ1290" s="410"/>
    </row>
    <row r="1291" spans="33:36" ht="11.25" customHeight="1" x14ac:dyDescent="0.2">
      <c r="AG1291" s="19"/>
      <c r="AJ1291" s="410"/>
    </row>
    <row r="1292" spans="33:36" ht="11.25" customHeight="1" x14ac:dyDescent="0.2">
      <c r="AG1292" s="19"/>
      <c r="AJ1292" s="410"/>
    </row>
    <row r="1293" spans="33:36" ht="11.25" customHeight="1" x14ac:dyDescent="0.2">
      <c r="AG1293" s="19"/>
      <c r="AJ1293" s="410"/>
    </row>
    <row r="1294" spans="33:36" ht="11.25" customHeight="1" x14ac:dyDescent="0.2">
      <c r="AG1294" s="19"/>
      <c r="AJ1294" s="410"/>
    </row>
    <row r="1295" spans="33:36" ht="11.25" customHeight="1" x14ac:dyDescent="0.2">
      <c r="AG1295" s="19"/>
      <c r="AJ1295" s="410"/>
    </row>
    <row r="1296" spans="33:36" ht="11.25" customHeight="1" x14ac:dyDescent="0.2">
      <c r="AG1296" s="19"/>
      <c r="AJ1296" s="410"/>
    </row>
    <row r="1297" spans="33:36" ht="11.25" customHeight="1" x14ac:dyDescent="0.2">
      <c r="AG1297" s="19"/>
      <c r="AJ1297" s="410"/>
    </row>
    <row r="1298" spans="33:36" ht="11.25" customHeight="1" x14ac:dyDescent="0.2">
      <c r="AG1298" s="19"/>
      <c r="AJ1298" s="410"/>
    </row>
    <row r="1299" spans="33:36" ht="11.25" customHeight="1" x14ac:dyDescent="0.2">
      <c r="AG1299" s="19"/>
      <c r="AJ1299" s="410"/>
    </row>
    <row r="1300" spans="33:36" ht="11.25" customHeight="1" x14ac:dyDescent="0.2">
      <c r="AG1300" s="19"/>
      <c r="AJ1300" s="410"/>
    </row>
    <row r="1301" spans="33:36" ht="11.25" customHeight="1" x14ac:dyDescent="0.2">
      <c r="AG1301" s="19"/>
      <c r="AJ1301" s="410"/>
    </row>
    <row r="1302" spans="33:36" ht="11.25" customHeight="1" x14ac:dyDescent="0.2">
      <c r="AG1302" s="19"/>
      <c r="AJ1302" s="410"/>
    </row>
    <row r="1303" spans="33:36" ht="11.25" customHeight="1" x14ac:dyDescent="0.2">
      <c r="AG1303" s="19"/>
      <c r="AJ1303" s="410"/>
    </row>
    <row r="1304" spans="33:36" ht="11.25" customHeight="1" x14ac:dyDescent="0.2">
      <c r="AG1304" s="19"/>
      <c r="AJ1304" s="410"/>
    </row>
    <row r="1305" spans="33:36" ht="11.25" customHeight="1" x14ac:dyDescent="0.2">
      <c r="AG1305" s="19"/>
      <c r="AJ1305" s="410"/>
    </row>
    <row r="1306" spans="33:36" ht="11.25" customHeight="1" x14ac:dyDescent="0.2">
      <c r="AG1306" s="19"/>
      <c r="AJ1306" s="410"/>
    </row>
    <row r="1307" spans="33:36" ht="11.25" customHeight="1" x14ac:dyDescent="0.2">
      <c r="AG1307" s="19"/>
      <c r="AJ1307" s="410"/>
    </row>
    <row r="1308" spans="33:36" ht="11.25" customHeight="1" x14ac:dyDescent="0.2">
      <c r="AG1308" s="19"/>
      <c r="AJ1308" s="410"/>
    </row>
    <row r="1309" spans="33:36" ht="11.25" customHeight="1" x14ac:dyDescent="0.2">
      <c r="AG1309" s="19"/>
      <c r="AJ1309" s="410"/>
    </row>
    <row r="1310" spans="33:36" ht="11.25" customHeight="1" x14ac:dyDescent="0.2">
      <c r="AG1310" s="19"/>
      <c r="AJ1310" s="410"/>
    </row>
    <row r="1311" spans="33:36" ht="11.25" customHeight="1" x14ac:dyDescent="0.2">
      <c r="AG1311" s="19"/>
      <c r="AJ1311" s="410"/>
    </row>
    <row r="1312" spans="33:36" ht="11.25" customHeight="1" x14ac:dyDescent="0.2">
      <c r="AG1312" s="19"/>
      <c r="AJ1312" s="410"/>
    </row>
    <row r="1313" spans="33:36" ht="11.25" customHeight="1" x14ac:dyDescent="0.2">
      <c r="AG1313" s="19"/>
      <c r="AJ1313" s="410"/>
    </row>
    <row r="1314" spans="33:36" ht="11.25" customHeight="1" x14ac:dyDescent="0.2">
      <c r="AG1314" s="19"/>
      <c r="AJ1314" s="410"/>
    </row>
    <row r="1315" spans="33:36" ht="11.25" customHeight="1" x14ac:dyDescent="0.2">
      <c r="AG1315" s="19"/>
      <c r="AJ1315" s="410"/>
    </row>
    <row r="1316" spans="33:36" ht="11.25" customHeight="1" x14ac:dyDescent="0.2">
      <c r="AG1316" s="19"/>
      <c r="AJ1316" s="410"/>
    </row>
    <row r="1317" spans="33:36" ht="11.25" customHeight="1" x14ac:dyDescent="0.2">
      <c r="AG1317" s="19"/>
      <c r="AJ1317" s="410"/>
    </row>
    <row r="1318" spans="33:36" ht="11.25" customHeight="1" x14ac:dyDescent="0.2">
      <c r="AG1318" s="19"/>
      <c r="AJ1318" s="410"/>
    </row>
    <row r="1319" spans="33:36" ht="11.25" customHeight="1" x14ac:dyDescent="0.2">
      <c r="AG1319" s="19"/>
      <c r="AJ1319" s="410"/>
    </row>
    <row r="1320" spans="33:36" ht="11.25" customHeight="1" x14ac:dyDescent="0.2">
      <c r="AG1320" s="19"/>
      <c r="AJ1320" s="410"/>
    </row>
    <row r="1321" spans="33:36" ht="11.25" customHeight="1" x14ac:dyDescent="0.2">
      <c r="AG1321" s="19"/>
      <c r="AJ1321" s="410"/>
    </row>
    <row r="1322" spans="33:36" ht="11.25" customHeight="1" x14ac:dyDescent="0.2">
      <c r="AG1322" s="19"/>
      <c r="AJ1322" s="410"/>
    </row>
    <row r="1323" spans="33:36" ht="11.25" customHeight="1" x14ac:dyDescent="0.2">
      <c r="AG1323" s="19"/>
      <c r="AJ1323" s="410"/>
    </row>
    <row r="1324" spans="33:36" ht="11.25" customHeight="1" x14ac:dyDescent="0.2">
      <c r="AG1324" s="19"/>
      <c r="AJ1324" s="410"/>
    </row>
    <row r="1325" spans="33:36" ht="11.25" customHeight="1" x14ac:dyDescent="0.2">
      <c r="AG1325" s="19"/>
      <c r="AJ1325" s="410"/>
    </row>
    <row r="1326" spans="33:36" ht="11.25" customHeight="1" x14ac:dyDescent="0.2">
      <c r="AG1326" s="19"/>
      <c r="AJ1326" s="410"/>
    </row>
    <row r="1327" spans="33:36" ht="11.25" customHeight="1" x14ac:dyDescent="0.2">
      <c r="AG1327" s="19"/>
      <c r="AJ1327" s="410"/>
    </row>
    <row r="1328" spans="33:36" ht="11.25" customHeight="1" x14ac:dyDescent="0.2">
      <c r="AG1328" s="19"/>
      <c r="AJ1328" s="410"/>
    </row>
    <row r="1329" spans="33:36" ht="11.25" customHeight="1" x14ac:dyDescent="0.2">
      <c r="AG1329" s="19"/>
      <c r="AJ1329" s="410"/>
    </row>
    <row r="1330" spans="33:36" ht="11.25" customHeight="1" x14ac:dyDescent="0.2">
      <c r="AG1330" s="19"/>
      <c r="AJ1330" s="410"/>
    </row>
    <row r="1331" spans="33:36" ht="11.25" customHeight="1" x14ac:dyDescent="0.2">
      <c r="AG1331" s="19"/>
      <c r="AJ1331" s="410"/>
    </row>
    <row r="1332" spans="33:36" ht="11.25" customHeight="1" x14ac:dyDescent="0.2">
      <c r="AG1332" s="19"/>
      <c r="AJ1332" s="410"/>
    </row>
    <row r="1333" spans="33:36" ht="11.25" customHeight="1" x14ac:dyDescent="0.2">
      <c r="AG1333" s="19"/>
      <c r="AJ1333" s="410"/>
    </row>
    <row r="1334" spans="33:36" ht="11.25" customHeight="1" x14ac:dyDescent="0.2">
      <c r="AG1334" s="19"/>
      <c r="AJ1334" s="410"/>
    </row>
    <row r="1335" spans="33:36" ht="11.25" customHeight="1" x14ac:dyDescent="0.2">
      <c r="AG1335" s="19"/>
      <c r="AJ1335" s="410"/>
    </row>
    <row r="1336" spans="33:36" ht="11.25" customHeight="1" x14ac:dyDescent="0.2">
      <c r="AG1336" s="19"/>
      <c r="AJ1336" s="410"/>
    </row>
    <row r="1337" spans="33:36" ht="11.25" customHeight="1" x14ac:dyDescent="0.2">
      <c r="AG1337" s="19"/>
      <c r="AJ1337" s="410"/>
    </row>
    <row r="1338" spans="33:36" ht="11.25" customHeight="1" x14ac:dyDescent="0.2">
      <c r="AG1338" s="19"/>
      <c r="AJ1338" s="410"/>
    </row>
    <row r="1339" spans="33:36" ht="11.25" customHeight="1" x14ac:dyDescent="0.2">
      <c r="AG1339" s="19"/>
      <c r="AJ1339" s="410"/>
    </row>
    <row r="1340" spans="33:36" ht="11.25" customHeight="1" x14ac:dyDescent="0.2">
      <c r="AG1340" s="19"/>
      <c r="AJ1340" s="410"/>
    </row>
    <row r="1341" spans="33:36" ht="11.25" customHeight="1" x14ac:dyDescent="0.2">
      <c r="AG1341" s="19"/>
      <c r="AJ1341" s="410"/>
    </row>
    <row r="1342" spans="33:36" ht="11.25" customHeight="1" x14ac:dyDescent="0.2">
      <c r="AG1342" s="19"/>
      <c r="AJ1342" s="410"/>
    </row>
    <row r="1343" spans="33:36" ht="11.25" customHeight="1" x14ac:dyDescent="0.2">
      <c r="AG1343" s="19"/>
      <c r="AJ1343" s="410"/>
    </row>
    <row r="1344" spans="33:36" ht="11.25" customHeight="1" x14ac:dyDescent="0.2">
      <c r="AG1344" s="19"/>
      <c r="AJ1344" s="410"/>
    </row>
    <row r="1345" spans="33:36" ht="11.25" customHeight="1" x14ac:dyDescent="0.2">
      <c r="AG1345" s="19"/>
      <c r="AJ1345" s="410"/>
    </row>
    <row r="1346" spans="33:36" ht="11.25" customHeight="1" x14ac:dyDescent="0.2">
      <c r="AG1346" s="19"/>
      <c r="AJ1346" s="410"/>
    </row>
    <row r="1347" spans="33:36" ht="11.25" customHeight="1" x14ac:dyDescent="0.2">
      <c r="AG1347" s="19"/>
      <c r="AJ1347" s="410"/>
    </row>
    <row r="1348" spans="33:36" ht="11.25" customHeight="1" x14ac:dyDescent="0.2">
      <c r="AG1348" s="19"/>
      <c r="AJ1348" s="410"/>
    </row>
    <row r="1349" spans="33:36" ht="11.25" customHeight="1" x14ac:dyDescent="0.2">
      <c r="AG1349" s="19"/>
      <c r="AJ1349" s="410"/>
    </row>
    <row r="1350" spans="33:36" ht="11.25" customHeight="1" x14ac:dyDescent="0.2">
      <c r="AG1350" s="19"/>
      <c r="AJ1350" s="410"/>
    </row>
    <row r="1351" spans="33:36" ht="11.25" customHeight="1" x14ac:dyDescent="0.2">
      <c r="AG1351" s="19"/>
      <c r="AJ1351" s="410"/>
    </row>
    <row r="1352" spans="33:36" ht="11.25" customHeight="1" x14ac:dyDescent="0.2">
      <c r="AG1352" s="19"/>
      <c r="AJ1352" s="410"/>
    </row>
    <row r="1353" spans="33:36" ht="11.25" customHeight="1" x14ac:dyDescent="0.2">
      <c r="AG1353" s="19"/>
      <c r="AJ1353" s="410"/>
    </row>
    <row r="1354" spans="33:36" ht="11.25" customHeight="1" x14ac:dyDescent="0.2">
      <c r="AG1354" s="19"/>
      <c r="AJ1354" s="410"/>
    </row>
    <row r="1355" spans="33:36" ht="11.25" customHeight="1" x14ac:dyDescent="0.2">
      <c r="AG1355" s="19"/>
      <c r="AJ1355" s="410"/>
    </row>
    <row r="1356" spans="33:36" ht="11.25" customHeight="1" x14ac:dyDescent="0.2">
      <c r="AG1356" s="19"/>
      <c r="AJ1356" s="410"/>
    </row>
    <row r="1357" spans="33:36" ht="11.25" customHeight="1" x14ac:dyDescent="0.2">
      <c r="AG1357" s="19"/>
      <c r="AJ1357" s="410"/>
    </row>
    <row r="1358" spans="33:36" ht="11.25" customHeight="1" x14ac:dyDescent="0.2">
      <c r="AG1358" s="19"/>
      <c r="AJ1358" s="410"/>
    </row>
    <row r="1359" spans="33:36" ht="11.25" customHeight="1" x14ac:dyDescent="0.2">
      <c r="AG1359" s="19"/>
      <c r="AJ1359" s="410"/>
    </row>
    <row r="1360" spans="33:36" ht="11.25" customHeight="1" x14ac:dyDescent="0.2">
      <c r="AG1360" s="19"/>
      <c r="AJ1360" s="410"/>
    </row>
    <row r="1361" spans="33:36" ht="11.25" customHeight="1" x14ac:dyDescent="0.2">
      <c r="AG1361" s="19"/>
      <c r="AJ1361" s="410"/>
    </row>
    <row r="1362" spans="33:36" ht="11.25" customHeight="1" x14ac:dyDescent="0.2">
      <c r="AG1362" s="19"/>
      <c r="AJ1362" s="410"/>
    </row>
    <row r="1363" spans="33:36" ht="11.25" customHeight="1" x14ac:dyDescent="0.2">
      <c r="AG1363" s="19"/>
      <c r="AJ1363" s="410"/>
    </row>
    <row r="1364" spans="33:36" ht="11.25" customHeight="1" x14ac:dyDescent="0.2">
      <c r="AG1364" s="19"/>
      <c r="AJ1364" s="410"/>
    </row>
    <row r="1365" spans="33:36" ht="11.25" customHeight="1" x14ac:dyDescent="0.2">
      <c r="AG1365" s="19"/>
      <c r="AJ1365" s="410"/>
    </row>
    <row r="1366" spans="33:36" ht="11.25" customHeight="1" x14ac:dyDescent="0.2">
      <c r="AG1366" s="19"/>
      <c r="AJ1366" s="410"/>
    </row>
    <row r="1367" spans="33:36" ht="11.25" customHeight="1" x14ac:dyDescent="0.2">
      <c r="AG1367" s="19"/>
      <c r="AJ1367" s="410"/>
    </row>
    <row r="1368" spans="33:36" ht="11.25" customHeight="1" x14ac:dyDescent="0.2">
      <c r="AG1368" s="19"/>
      <c r="AJ1368" s="410"/>
    </row>
    <row r="1369" spans="33:36" ht="11.25" customHeight="1" x14ac:dyDescent="0.2">
      <c r="AG1369" s="19"/>
      <c r="AJ1369" s="410"/>
    </row>
    <row r="1370" spans="33:36" ht="11.25" customHeight="1" x14ac:dyDescent="0.2">
      <c r="AG1370" s="19"/>
      <c r="AJ1370" s="410"/>
    </row>
    <row r="1371" spans="33:36" ht="11.25" customHeight="1" x14ac:dyDescent="0.2">
      <c r="AG1371" s="19"/>
      <c r="AJ1371" s="410"/>
    </row>
    <row r="1372" spans="33:36" ht="11.25" customHeight="1" x14ac:dyDescent="0.2">
      <c r="AG1372" s="19"/>
      <c r="AJ1372" s="410"/>
    </row>
    <row r="1373" spans="33:36" ht="11.25" customHeight="1" x14ac:dyDescent="0.2">
      <c r="AG1373" s="19"/>
      <c r="AJ1373" s="410"/>
    </row>
    <row r="1374" spans="33:36" ht="11.25" customHeight="1" x14ac:dyDescent="0.2">
      <c r="AG1374" s="19"/>
      <c r="AJ1374" s="410"/>
    </row>
    <row r="1375" spans="33:36" ht="11.25" customHeight="1" x14ac:dyDescent="0.2">
      <c r="AG1375" s="19"/>
      <c r="AJ1375" s="410"/>
    </row>
    <row r="1376" spans="33:36" ht="11.25" customHeight="1" x14ac:dyDescent="0.2">
      <c r="AG1376" s="19"/>
      <c r="AJ1376" s="410"/>
    </row>
    <row r="1377" spans="33:36" ht="11.25" customHeight="1" x14ac:dyDescent="0.2">
      <c r="AG1377" s="19"/>
      <c r="AJ1377" s="410"/>
    </row>
    <row r="1378" spans="33:36" ht="11.25" customHeight="1" x14ac:dyDescent="0.2">
      <c r="AG1378" s="19"/>
      <c r="AJ1378" s="410"/>
    </row>
    <row r="1379" spans="33:36" ht="11.25" customHeight="1" x14ac:dyDescent="0.2">
      <c r="AG1379" s="19"/>
      <c r="AJ1379" s="410"/>
    </row>
    <row r="1380" spans="33:36" ht="11.25" customHeight="1" x14ac:dyDescent="0.2">
      <c r="AG1380" s="19"/>
      <c r="AJ1380" s="410"/>
    </row>
    <row r="1381" spans="33:36" ht="11.25" customHeight="1" x14ac:dyDescent="0.2">
      <c r="AG1381" s="19"/>
      <c r="AJ1381" s="410"/>
    </row>
    <row r="1382" spans="33:36" ht="11.25" customHeight="1" x14ac:dyDescent="0.2">
      <c r="AG1382" s="19"/>
      <c r="AJ1382" s="410"/>
    </row>
    <row r="1383" spans="33:36" ht="11.25" customHeight="1" x14ac:dyDescent="0.2">
      <c r="AG1383" s="19"/>
      <c r="AJ1383" s="410"/>
    </row>
    <row r="1384" spans="33:36" ht="11.25" customHeight="1" x14ac:dyDescent="0.2">
      <c r="AG1384" s="19"/>
      <c r="AJ1384" s="410"/>
    </row>
    <row r="1385" spans="33:36" ht="11.25" customHeight="1" x14ac:dyDescent="0.2">
      <c r="AG1385" s="19"/>
      <c r="AJ1385" s="410"/>
    </row>
    <row r="1386" spans="33:36" ht="11.25" customHeight="1" x14ac:dyDescent="0.2">
      <c r="AG1386" s="19"/>
      <c r="AJ1386" s="410"/>
    </row>
    <row r="1387" spans="33:36" ht="11.25" customHeight="1" x14ac:dyDescent="0.2">
      <c r="AG1387" s="19"/>
      <c r="AJ1387" s="410"/>
    </row>
    <row r="1388" spans="33:36" ht="11.25" customHeight="1" x14ac:dyDescent="0.2">
      <c r="AG1388" s="19"/>
      <c r="AJ1388" s="410"/>
    </row>
    <row r="1389" spans="33:36" ht="11.25" customHeight="1" x14ac:dyDescent="0.2">
      <c r="AG1389" s="19"/>
      <c r="AJ1389" s="410"/>
    </row>
    <row r="1390" spans="33:36" ht="11.25" customHeight="1" x14ac:dyDescent="0.2">
      <c r="AG1390" s="19"/>
      <c r="AJ1390" s="410"/>
    </row>
    <row r="1391" spans="33:36" ht="11.25" customHeight="1" x14ac:dyDescent="0.2">
      <c r="AG1391" s="19"/>
      <c r="AJ1391" s="410"/>
    </row>
    <row r="1392" spans="33:36" ht="11.25" customHeight="1" x14ac:dyDescent="0.2">
      <c r="AG1392" s="19"/>
      <c r="AJ1392" s="410"/>
    </row>
    <row r="1393" spans="33:36" ht="11.25" customHeight="1" x14ac:dyDescent="0.2">
      <c r="AG1393" s="19"/>
      <c r="AJ1393" s="410"/>
    </row>
    <row r="1394" spans="33:36" ht="11.25" customHeight="1" x14ac:dyDescent="0.2">
      <c r="AG1394" s="19"/>
      <c r="AJ1394" s="410"/>
    </row>
    <row r="1395" spans="33:36" ht="11.25" customHeight="1" x14ac:dyDescent="0.2">
      <c r="AG1395" s="19"/>
      <c r="AJ1395" s="410"/>
    </row>
    <row r="1396" spans="33:36" ht="11.25" customHeight="1" x14ac:dyDescent="0.2">
      <c r="AG1396" s="19"/>
      <c r="AJ1396" s="410"/>
    </row>
    <row r="1397" spans="33:36" ht="11.25" customHeight="1" x14ac:dyDescent="0.2">
      <c r="AG1397" s="19"/>
      <c r="AJ1397" s="410"/>
    </row>
    <row r="1398" spans="33:36" ht="11.25" customHeight="1" x14ac:dyDescent="0.2">
      <c r="AG1398" s="19"/>
      <c r="AJ1398" s="410"/>
    </row>
    <row r="1399" spans="33:36" ht="11.25" customHeight="1" x14ac:dyDescent="0.2">
      <c r="AG1399" s="19"/>
      <c r="AJ1399" s="410"/>
    </row>
    <row r="1400" spans="33:36" ht="11.25" customHeight="1" x14ac:dyDescent="0.2">
      <c r="AG1400" s="19"/>
      <c r="AJ1400" s="410"/>
    </row>
    <row r="1401" spans="33:36" ht="11.25" customHeight="1" x14ac:dyDescent="0.2">
      <c r="AG1401" s="19"/>
      <c r="AJ1401" s="410"/>
    </row>
    <row r="1402" spans="33:36" ht="11.25" customHeight="1" x14ac:dyDescent="0.2">
      <c r="AG1402" s="19"/>
      <c r="AJ1402" s="410"/>
    </row>
    <row r="1403" spans="33:36" ht="11.25" customHeight="1" x14ac:dyDescent="0.2">
      <c r="AG1403" s="19"/>
      <c r="AJ1403" s="410"/>
    </row>
    <row r="1404" spans="33:36" ht="11.25" customHeight="1" x14ac:dyDescent="0.2">
      <c r="AG1404" s="19"/>
      <c r="AJ1404" s="410"/>
    </row>
    <row r="1405" spans="33:36" ht="11.25" customHeight="1" x14ac:dyDescent="0.2">
      <c r="AG1405" s="19"/>
      <c r="AJ1405" s="410"/>
    </row>
    <row r="1406" spans="33:36" ht="11.25" customHeight="1" x14ac:dyDescent="0.2">
      <c r="AG1406" s="19"/>
      <c r="AJ1406" s="410"/>
    </row>
    <row r="1407" spans="33:36" ht="11.25" customHeight="1" x14ac:dyDescent="0.2">
      <c r="AG1407" s="19"/>
      <c r="AJ1407" s="410"/>
    </row>
    <row r="1408" spans="33:36" ht="11.25" customHeight="1" x14ac:dyDescent="0.2">
      <c r="AG1408" s="19"/>
      <c r="AJ1408" s="410"/>
    </row>
    <row r="1409" spans="33:36" ht="11.25" customHeight="1" x14ac:dyDescent="0.2">
      <c r="AG1409" s="19"/>
      <c r="AJ1409" s="410"/>
    </row>
    <row r="1410" spans="33:36" ht="11.25" customHeight="1" x14ac:dyDescent="0.2">
      <c r="AG1410" s="19"/>
      <c r="AJ1410" s="410"/>
    </row>
    <row r="1411" spans="33:36" ht="11.25" customHeight="1" x14ac:dyDescent="0.2">
      <c r="AG1411" s="19"/>
      <c r="AJ1411" s="410"/>
    </row>
    <row r="1412" spans="33:36" ht="11.25" customHeight="1" x14ac:dyDescent="0.2">
      <c r="AG1412" s="19"/>
      <c r="AJ1412" s="410"/>
    </row>
    <row r="1413" spans="33:36" ht="11.25" customHeight="1" x14ac:dyDescent="0.2">
      <c r="AG1413" s="19"/>
      <c r="AJ1413" s="410"/>
    </row>
    <row r="1414" spans="33:36" ht="11.25" customHeight="1" x14ac:dyDescent="0.2">
      <c r="AG1414" s="19"/>
      <c r="AJ1414" s="410"/>
    </row>
    <row r="1415" spans="33:36" ht="11.25" customHeight="1" x14ac:dyDescent="0.2">
      <c r="AG1415" s="19"/>
      <c r="AJ1415" s="410"/>
    </row>
    <row r="1416" spans="33:36" ht="11.25" customHeight="1" x14ac:dyDescent="0.2">
      <c r="AG1416" s="19"/>
      <c r="AJ1416" s="410"/>
    </row>
    <row r="1417" spans="33:36" ht="11.25" customHeight="1" x14ac:dyDescent="0.2">
      <c r="AG1417" s="19"/>
      <c r="AJ1417" s="410"/>
    </row>
    <row r="1418" spans="33:36" ht="11.25" customHeight="1" x14ac:dyDescent="0.2">
      <c r="AG1418" s="19"/>
      <c r="AJ1418" s="410"/>
    </row>
    <row r="1419" spans="33:36" ht="11.25" customHeight="1" x14ac:dyDescent="0.2">
      <c r="AG1419" s="19"/>
      <c r="AJ1419" s="410"/>
    </row>
    <row r="1420" spans="33:36" ht="11.25" customHeight="1" x14ac:dyDescent="0.2">
      <c r="AG1420" s="19"/>
      <c r="AJ1420" s="410"/>
    </row>
    <row r="1421" spans="33:36" ht="11.25" customHeight="1" x14ac:dyDescent="0.2">
      <c r="AG1421" s="19"/>
      <c r="AJ1421" s="410"/>
    </row>
    <row r="1422" spans="33:36" ht="11.25" customHeight="1" x14ac:dyDescent="0.2">
      <c r="AG1422" s="19"/>
      <c r="AJ1422" s="410"/>
    </row>
    <row r="1423" spans="33:36" ht="11.25" customHeight="1" x14ac:dyDescent="0.2">
      <c r="AG1423" s="19"/>
      <c r="AJ1423" s="410"/>
    </row>
    <row r="1424" spans="33:36" ht="11.25" customHeight="1" x14ac:dyDescent="0.2">
      <c r="AG1424" s="19"/>
      <c r="AJ1424" s="410"/>
    </row>
    <row r="1425" spans="33:36" ht="11.25" customHeight="1" x14ac:dyDescent="0.2">
      <c r="AG1425" s="19"/>
      <c r="AJ1425" s="410"/>
    </row>
    <row r="1426" spans="33:36" ht="11.25" customHeight="1" x14ac:dyDescent="0.2">
      <c r="AG1426" s="19"/>
      <c r="AJ1426" s="410"/>
    </row>
    <row r="1427" spans="33:36" ht="11.25" customHeight="1" x14ac:dyDescent="0.2">
      <c r="AG1427" s="19"/>
      <c r="AJ1427" s="410"/>
    </row>
    <row r="1428" spans="33:36" ht="11.25" customHeight="1" x14ac:dyDescent="0.2">
      <c r="AG1428" s="19"/>
      <c r="AJ1428" s="410"/>
    </row>
    <row r="1429" spans="33:36" ht="11.25" customHeight="1" x14ac:dyDescent="0.2">
      <c r="AG1429" s="19"/>
      <c r="AJ1429" s="410"/>
    </row>
    <row r="1430" spans="33:36" ht="11.25" customHeight="1" x14ac:dyDescent="0.2">
      <c r="AG1430" s="19"/>
      <c r="AJ1430" s="410"/>
    </row>
    <row r="1431" spans="33:36" ht="11.25" customHeight="1" x14ac:dyDescent="0.2">
      <c r="AG1431" s="19"/>
      <c r="AJ1431" s="410"/>
    </row>
    <row r="1432" spans="33:36" ht="11.25" customHeight="1" x14ac:dyDescent="0.2">
      <c r="AG1432" s="19"/>
      <c r="AJ1432" s="410"/>
    </row>
    <row r="1433" spans="33:36" ht="11.25" customHeight="1" x14ac:dyDescent="0.2">
      <c r="AG1433" s="19"/>
      <c r="AJ1433" s="410"/>
    </row>
    <row r="1434" spans="33:36" ht="11.25" customHeight="1" x14ac:dyDescent="0.2">
      <c r="AG1434" s="19"/>
      <c r="AJ1434" s="410"/>
    </row>
    <row r="1435" spans="33:36" ht="11.25" customHeight="1" x14ac:dyDescent="0.2">
      <c r="AG1435" s="19"/>
      <c r="AJ1435" s="410"/>
    </row>
    <row r="1436" spans="33:36" ht="11.25" customHeight="1" x14ac:dyDescent="0.2">
      <c r="AG1436" s="19"/>
      <c r="AJ1436" s="410"/>
    </row>
    <row r="1437" spans="33:36" ht="11.25" customHeight="1" x14ac:dyDescent="0.2">
      <c r="AG1437" s="19"/>
      <c r="AJ1437" s="410"/>
    </row>
    <row r="1438" spans="33:36" ht="11.25" customHeight="1" x14ac:dyDescent="0.2">
      <c r="AG1438" s="19"/>
      <c r="AJ1438" s="410"/>
    </row>
    <row r="1439" spans="33:36" ht="11.25" customHeight="1" x14ac:dyDescent="0.2">
      <c r="AG1439" s="19"/>
      <c r="AJ1439" s="410"/>
    </row>
    <row r="1440" spans="33:36" ht="11.25" customHeight="1" x14ac:dyDescent="0.2">
      <c r="AG1440" s="19"/>
      <c r="AJ1440" s="410"/>
    </row>
    <row r="1441" spans="33:36" ht="11.25" customHeight="1" x14ac:dyDescent="0.2">
      <c r="AG1441" s="19"/>
      <c r="AJ1441" s="410"/>
    </row>
    <row r="1442" spans="33:36" ht="11.25" customHeight="1" x14ac:dyDescent="0.2">
      <c r="AG1442" s="19"/>
      <c r="AJ1442" s="410"/>
    </row>
    <row r="1443" spans="33:36" ht="11.25" customHeight="1" x14ac:dyDescent="0.2">
      <c r="AG1443" s="19"/>
      <c r="AJ1443" s="410"/>
    </row>
    <row r="1444" spans="33:36" ht="11.25" customHeight="1" x14ac:dyDescent="0.2">
      <c r="AG1444" s="19"/>
      <c r="AJ1444" s="410"/>
    </row>
    <row r="1445" spans="33:36" ht="11.25" customHeight="1" x14ac:dyDescent="0.2">
      <c r="AG1445" s="19"/>
      <c r="AJ1445" s="410"/>
    </row>
    <row r="1446" spans="33:36" ht="11.25" customHeight="1" x14ac:dyDescent="0.2">
      <c r="AG1446" s="19"/>
      <c r="AJ1446" s="410"/>
    </row>
    <row r="1447" spans="33:36" ht="11.25" customHeight="1" x14ac:dyDescent="0.2">
      <c r="AG1447" s="19"/>
      <c r="AJ1447" s="410"/>
    </row>
    <row r="1448" spans="33:36" ht="11.25" customHeight="1" x14ac:dyDescent="0.2">
      <c r="AG1448" s="19"/>
      <c r="AJ1448" s="410"/>
    </row>
    <row r="1449" spans="33:36" ht="11.25" customHeight="1" x14ac:dyDescent="0.2">
      <c r="AG1449" s="19"/>
      <c r="AJ1449" s="410"/>
    </row>
    <row r="1450" spans="33:36" ht="11.25" customHeight="1" x14ac:dyDescent="0.2">
      <c r="AG1450" s="19"/>
      <c r="AJ1450" s="410"/>
    </row>
    <row r="1451" spans="33:36" ht="11.25" customHeight="1" x14ac:dyDescent="0.2">
      <c r="AG1451" s="19"/>
      <c r="AJ1451" s="410"/>
    </row>
    <row r="1452" spans="33:36" ht="11.25" customHeight="1" x14ac:dyDescent="0.2">
      <c r="AG1452" s="19"/>
      <c r="AJ1452" s="410"/>
    </row>
    <row r="1453" spans="33:36" ht="11.25" customHeight="1" x14ac:dyDescent="0.2">
      <c r="AG1453" s="19"/>
      <c r="AJ1453" s="410"/>
    </row>
    <row r="1454" spans="33:36" ht="11.25" customHeight="1" x14ac:dyDescent="0.2">
      <c r="AG1454" s="19"/>
      <c r="AJ1454" s="410"/>
    </row>
    <row r="1455" spans="33:36" ht="11.25" customHeight="1" x14ac:dyDescent="0.2">
      <c r="AG1455" s="19"/>
      <c r="AJ1455" s="410"/>
    </row>
    <row r="1456" spans="33:36" ht="11.25" customHeight="1" x14ac:dyDescent="0.2">
      <c r="AG1456" s="19"/>
      <c r="AJ1456" s="410"/>
    </row>
    <row r="1457" spans="33:36" ht="11.25" customHeight="1" x14ac:dyDescent="0.2">
      <c r="AG1457" s="19"/>
      <c r="AJ1457" s="410"/>
    </row>
    <row r="1458" spans="33:36" ht="11.25" customHeight="1" x14ac:dyDescent="0.2">
      <c r="AG1458" s="19"/>
      <c r="AJ1458" s="410"/>
    </row>
    <row r="1459" spans="33:36" ht="11.25" customHeight="1" x14ac:dyDescent="0.2">
      <c r="AG1459" s="19"/>
      <c r="AJ1459" s="410"/>
    </row>
    <row r="1460" spans="33:36" ht="11.25" customHeight="1" x14ac:dyDescent="0.2">
      <c r="AG1460" s="19"/>
      <c r="AJ1460" s="410"/>
    </row>
    <row r="1461" spans="33:36" ht="11.25" customHeight="1" x14ac:dyDescent="0.2">
      <c r="AG1461" s="19"/>
      <c r="AJ1461" s="410"/>
    </row>
    <row r="1462" spans="33:36" ht="11.25" customHeight="1" x14ac:dyDescent="0.2">
      <c r="AG1462" s="19"/>
      <c r="AJ1462" s="410"/>
    </row>
    <row r="1463" spans="33:36" ht="11.25" customHeight="1" x14ac:dyDescent="0.2">
      <c r="AG1463" s="19"/>
      <c r="AJ1463" s="410"/>
    </row>
    <row r="1464" spans="33:36" ht="11.25" customHeight="1" x14ac:dyDescent="0.2">
      <c r="AG1464" s="19"/>
      <c r="AJ1464" s="410"/>
    </row>
    <row r="1465" spans="33:36" ht="11.25" customHeight="1" x14ac:dyDescent="0.2">
      <c r="AG1465" s="19"/>
      <c r="AJ1465" s="410"/>
    </row>
    <row r="1466" spans="33:36" ht="11.25" customHeight="1" x14ac:dyDescent="0.2">
      <c r="AG1466" s="19"/>
      <c r="AJ1466" s="410"/>
    </row>
    <row r="1467" spans="33:36" ht="11.25" customHeight="1" x14ac:dyDescent="0.2">
      <c r="AG1467" s="19"/>
      <c r="AJ1467" s="410"/>
    </row>
    <row r="1468" spans="33:36" ht="11.25" customHeight="1" x14ac:dyDescent="0.2">
      <c r="AG1468" s="19"/>
      <c r="AJ1468" s="410"/>
    </row>
    <row r="1469" spans="33:36" ht="11.25" customHeight="1" x14ac:dyDescent="0.2">
      <c r="AG1469" s="19"/>
      <c r="AJ1469" s="410"/>
    </row>
    <row r="1470" spans="33:36" ht="11.25" customHeight="1" x14ac:dyDescent="0.2">
      <c r="AG1470" s="19"/>
      <c r="AJ1470" s="410"/>
    </row>
    <row r="1471" spans="33:36" ht="11.25" customHeight="1" x14ac:dyDescent="0.2">
      <c r="AG1471" s="19"/>
      <c r="AJ1471" s="410"/>
    </row>
    <row r="1472" spans="33:36" ht="11.25" customHeight="1" x14ac:dyDescent="0.2">
      <c r="AG1472" s="19"/>
      <c r="AJ1472" s="410"/>
    </row>
    <row r="1473" spans="33:36" ht="11.25" customHeight="1" x14ac:dyDescent="0.2">
      <c r="AG1473" s="19"/>
      <c r="AJ1473" s="410"/>
    </row>
    <row r="1474" spans="33:36" ht="11.25" customHeight="1" x14ac:dyDescent="0.2">
      <c r="AG1474" s="19"/>
      <c r="AJ1474" s="410"/>
    </row>
    <row r="1475" spans="33:36" ht="11.25" customHeight="1" x14ac:dyDescent="0.2">
      <c r="AG1475" s="19"/>
      <c r="AJ1475" s="410"/>
    </row>
    <row r="1476" spans="33:36" ht="11.25" customHeight="1" x14ac:dyDescent="0.2">
      <c r="AG1476" s="19"/>
      <c r="AJ1476" s="410"/>
    </row>
    <row r="1477" spans="33:36" ht="11.25" customHeight="1" x14ac:dyDescent="0.2">
      <c r="AG1477" s="19"/>
      <c r="AJ1477" s="410"/>
    </row>
    <row r="1478" spans="33:36" ht="11.25" customHeight="1" x14ac:dyDescent="0.2">
      <c r="AG1478" s="19"/>
      <c r="AJ1478" s="410"/>
    </row>
    <row r="1479" spans="33:36" ht="11.25" customHeight="1" x14ac:dyDescent="0.2">
      <c r="AG1479" s="19"/>
      <c r="AJ1479" s="410"/>
    </row>
    <row r="1480" spans="33:36" ht="11.25" customHeight="1" x14ac:dyDescent="0.2">
      <c r="AG1480" s="19"/>
      <c r="AJ1480" s="410"/>
    </row>
    <row r="1481" spans="33:36" ht="11.25" customHeight="1" x14ac:dyDescent="0.2">
      <c r="AG1481" s="19"/>
      <c r="AJ1481" s="410"/>
    </row>
    <row r="1482" spans="33:36" ht="11.25" customHeight="1" x14ac:dyDescent="0.2">
      <c r="AG1482" s="19"/>
      <c r="AJ1482" s="410"/>
    </row>
    <row r="1483" spans="33:36" ht="11.25" customHeight="1" x14ac:dyDescent="0.2">
      <c r="AG1483" s="19"/>
      <c r="AJ1483" s="410"/>
    </row>
    <row r="1484" spans="33:36" ht="11.25" customHeight="1" x14ac:dyDescent="0.2">
      <c r="AG1484" s="19"/>
      <c r="AJ1484" s="410"/>
    </row>
    <row r="1485" spans="33:36" ht="11.25" customHeight="1" x14ac:dyDescent="0.2">
      <c r="AG1485" s="19"/>
      <c r="AJ1485" s="410"/>
    </row>
    <row r="1486" spans="33:36" ht="11.25" customHeight="1" x14ac:dyDescent="0.2">
      <c r="AG1486" s="19"/>
      <c r="AJ1486" s="410"/>
    </row>
    <row r="1487" spans="33:36" ht="11.25" customHeight="1" x14ac:dyDescent="0.2">
      <c r="AG1487" s="19"/>
      <c r="AJ1487" s="410"/>
    </row>
    <row r="1488" spans="33:36" ht="11.25" customHeight="1" x14ac:dyDescent="0.2">
      <c r="AG1488" s="19"/>
      <c r="AJ1488" s="410"/>
    </row>
    <row r="1489" spans="33:36" ht="11.25" customHeight="1" x14ac:dyDescent="0.2">
      <c r="AG1489" s="19"/>
      <c r="AJ1489" s="410"/>
    </row>
    <row r="1490" spans="33:36" ht="11.25" customHeight="1" x14ac:dyDescent="0.2">
      <c r="AG1490" s="19"/>
      <c r="AJ1490" s="410"/>
    </row>
    <row r="1491" spans="33:36" ht="11.25" customHeight="1" x14ac:dyDescent="0.2">
      <c r="AG1491" s="19"/>
      <c r="AJ1491" s="410"/>
    </row>
    <row r="1492" spans="33:36" ht="11.25" customHeight="1" x14ac:dyDescent="0.2">
      <c r="AG1492" s="19"/>
      <c r="AJ1492" s="410"/>
    </row>
    <row r="1493" spans="33:36" ht="11.25" customHeight="1" x14ac:dyDescent="0.2">
      <c r="AG1493" s="19"/>
      <c r="AJ1493" s="410"/>
    </row>
    <row r="1494" spans="33:36" ht="11.25" customHeight="1" x14ac:dyDescent="0.2">
      <c r="AG1494" s="19"/>
      <c r="AJ1494" s="410"/>
    </row>
    <row r="1495" spans="33:36" ht="11.25" customHeight="1" x14ac:dyDescent="0.2">
      <c r="AG1495" s="19"/>
      <c r="AJ1495" s="410"/>
    </row>
    <row r="1496" spans="33:36" ht="11.25" customHeight="1" x14ac:dyDescent="0.2">
      <c r="AG1496" s="19"/>
      <c r="AJ1496" s="410"/>
    </row>
    <row r="1497" spans="33:36" ht="11.25" customHeight="1" x14ac:dyDescent="0.2">
      <c r="AG1497" s="19"/>
      <c r="AJ1497" s="410"/>
    </row>
    <row r="1498" spans="33:36" ht="11.25" customHeight="1" x14ac:dyDescent="0.2">
      <c r="AG1498" s="19"/>
      <c r="AJ1498" s="410"/>
    </row>
    <row r="1499" spans="33:36" ht="11.25" customHeight="1" x14ac:dyDescent="0.2">
      <c r="AG1499" s="19"/>
      <c r="AJ1499" s="410"/>
    </row>
    <row r="1500" spans="33:36" ht="11.25" customHeight="1" x14ac:dyDescent="0.2">
      <c r="AG1500" s="19"/>
      <c r="AJ1500" s="410"/>
    </row>
    <row r="1501" spans="33:36" ht="11.25" customHeight="1" x14ac:dyDescent="0.2">
      <c r="AG1501" s="19"/>
      <c r="AJ1501" s="410"/>
    </row>
    <row r="1502" spans="33:36" ht="11.25" customHeight="1" x14ac:dyDescent="0.2">
      <c r="AG1502" s="19"/>
      <c r="AJ1502" s="410"/>
    </row>
    <row r="1503" spans="33:36" ht="11.25" customHeight="1" x14ac:dyDescent="0.2">
      <c r="AG1503" s="19"/>
      <c r="AJ1503" s="410"/>
    </row>
    <row r="1504" spans="33:36" ht="11.25" customHeight="1" x14ac:dyDescent="0.2">
      <c r="AG1504" s="19"/>
      <c r="AJ1504" s="410"/>
    </row>
    <row r="1505" spans="33:36" ht="11.25" customHeight="1" x14ac:dyDescent="0.2">
      <c r="AG1505" s="19"/>
      <c r="AJ1505" s="410"/>
    </row>
    <row r="1506" spans="33:36" ht="11.25" customHeight="1" x14ac:dyDescent="0.2">
      <c r="AG1506" s="19"/>
      <c r="AJ1506" s="410"/>
    </row>
    <row r="1507" spans="33:36" ht="11.25" customHeight="1" x14ac:dyDescent="0.2">
      <c r="AG1507" s="19"/>
      <c r="AJ1507" s="410"/>
    </row>
    <row r="1508" spans="33:36" ht="11.25" customHeight="1" x14ac:dyDescent="0.2">
      <c r="AG1508" s="19"/>
      <c r="AJ1508" s="410"/>
    </row>
    <row r="1509" spans="33:36" ht="11.25" customHeight="1" x14ac:dyDescent="0.2">
      <c r="AG1509" s="19"/>
      <c r="AJ1509" s="410"/>
    </row>
    <row r="1510" spans="33:36" ht="11.25" customHeight="1" x14ac:dyDescent="0.2">
      <c r="AG1510" s="19"/>
      <c r="AJ1510" s="410"/>
    </row>
    <row r="1511" spans="33:36" ht="11.25" customHeight="1" x14ac:dyDescent="0.2">
      <c r="AG1511" s="19"/>
      <c r="AJ1511" s="410"/>
    </row>
    <row r="1512" spans="33:36" ht="11.25" customHeight="1" x14ac:dyDescent="0.2">
      <c r="AG1512" s="19"/>
      <c r="AJ1512" s="410"/>
    </row>
    <row r="1513" spans="33:36" ht="11.25" customHeight="1" x14ac:dyDescent="0.2">
      <c r="AG1513" s="19"/>
      <c r="AJ1513" s="410"/>
    </row>
    <row r="1514" spans="33:36" ht="11.25" customHeight="1" x14ac:dyDescent="0.2">
      <c r="AG1514" s="19"/>
      <c r="AJ1514" s="410"/>
    </row>
    <row r="1515" spans="33:36" ht="11.25" customHeight="1" x14ac:dyDescent="0.2">
      <c r="AG1515" s="19"/>
      <c r="AJ1515" s="410"/>
    </row>
    <row r="1516" spans="33:36" ht="11.25" customHeight="1" x14ac:dyDescent="0.2">
      <c r="AG1516" s="19"/>
      <c r="AJ1516" s="410"/>
    </row>
    <row r="1517" spans="33:36" ht="11.25" customHeight="1" x14ac:dyDescent="0.2">
      <c r="AG1517" s="19"/>
      <c r="AJ1517" s="410"/>
    </row>
    <row r="1518" spans="33:36" ht="11.25" customHeight="1" x14ac:dyDescent="0.2">
      <c r="AG1518" s="19"/>
      <c r="AJ1518" s="410"/>
    </row>
    <row r="1519" spans="33:36" ht="11.25" customHeight="1" x14ac:dyDescent="0.2">
      <c r="AG1519" s="19"/>
      <c r="AJ1519" s="410"/>
    </row>
    <row r="1520" spans="33:36" ht="11.25" customHeight="1" x14ac:dyDescent="0.2">
      <c r="AG1520" s="19"/>
      <c r="AJ1520" s="410"/>
    </row>
    <row r="1521" spans="33:36" ht="11.25" customHeight="1" x14ac:dyDescent="0.2">
      <c r="AG1521" s="19"/>
      <c r="AJ1521" s="410"/>
    </row>
    <row r="1522" spans="33:36" ht="11.25" customHeight="1" x14ac:dyDescent="0.2">
      <c r="AG1522" s="19"/>
      <c r="AJ1522" s="410"/>
    </row>
    <row r="1523" spans="33:36" ht="11.25" customHeight="1" x14ac:dyDescent="0.2">
      <c r="AG1523" s="19"/>
      <c r="AJ1523" s="410"/>
    </row>
    <row r="1524" spans="33:36" ht="11.25" customHeight="1" x14ac:dyDescent="0.2">
      <c r="AG1524" s="19"/>
      <c r="AJ1524" s="410"/>
    </row>
    <row r="1525" spans="33:36" ht="11.25" customHeight="1" x14ac:dyDescent="0.2">
      <c r="AG1525" s="19"/>
      <c r="AJ1525" s="410"/>
    </row>
    <row r="1526" spans="33:36" ht="11.25" customHeight="1" x14ac:dyDescent="0.2">
      <c r="AG1526" s="19"/>
      <c r="AJ1526" s="410"/>
    </row>
    <row r="1527" spans="33:36" ht="11.25" customHeight="1" x14ac:dyDescent="0.2">
      <c r="AG1527" s="19"/>
      <c r="AJ1527" s="410"/>
    </row>
    <row r="1528" spans="33:36" ht="11.25" customHeight="1" x14ac:dyDescent="0.2">
      <c r="AG1528" s="19"/>
      <c r="AJ1528" s="410"/>
    </row>
    <row r="1529" spans="33:36" ht="11.25" customHeight="1" x14ac:dyDescent="0.2">
      <c r="AG1529" s="19"/>
      <c r="AJ1529" s="410"/>
    </row>
    <row r="1530" spans="33:36" ht="11.25" customHeight="1" x14ac:dyDescent="0.2">
      <c r="AG1530" s="19"/>
      <c r="AJ1530" s="410"/>
    </row>
    <row r="1531" spans="33:36" ht="11.25" customHeight="1" x14ac:dyDescent="0.2">
      <c r="AG1531" s="19"/>
      <c r="AJ1531" s="410"/>
    </row>
    <row r="1532" spans="33:36" ht="11.25" customHeight="1" x14ac:dyDescent="0.2">
      <c r="AG1532" s="19"/>
      <c r="AJ1532" s="410"/>
    </row>
    <row r="1533" spans="33:36" ht="11.25" customHeight="1" x14ac:dyDescent="0.2">
      <c r="AG1533" s="19"/>
      <c r="AJ1533" s="410"/>
    </row>
    <row r="1534" spans="33:36" ht="11.25" customHeight="1" x14ac:dyDescent="0.2">
      <c r="AG1534" s="19"/>
      <c r="AJ1534" s="410"/>
    </row>
    <row r="1535" spans="33:36" ht="11.25" customHeight="1" x14ac:dyDescent="0.2">
      <c r="AG1535" s="19"/>
      <c r="AJ1535" s="410"/>
    </row>
    <row r="1536" spans="33:36" ht="11.25" customHeight="1" x14ac:dyDescent="0.2">
      <c r="AG1536" s="19"/>
      <c r="AJ1536" s="410"/>
    </row>
    <row r="1537" spans="33:36" ht="11.25" customHeight="1" x14ac:dyDescent="0.2">
      <c r="AG1537" s="19"/>
      <c r="AJ1537" s="410"/>
    </row>
    <row r="1538" spans="33:36" ht="11.25" customHeight="1" x14ac:dyDescent="0.2">
      <c r="AG1538" s="19"/>
      <c r="AJ1538" s="410"/>
    </row>
    <row r="1539" spans="33:36" ht="11.25" customHeight="1" x14ac:dyDescent="0.2">
      <c r="AG1539" s="19"/>
      <c r="AJ1539" s="410"/>
    </row>
    <row r="1540" spans="33:36" ht="11.25" customHeight="1" x14ac:dyDescent="0.2">
      <c r="AG1540" s="19"/>
      <c r="AJ1540" s="410"/>
    </row>
    <row r="1541" spans="33:36" ht="11.25" customHeight="1" x14ac:dyDescent="0.2">
      <c r="AG1541" s="19"/>
      <c r="AJ1541" s="410"/>
    </row>
    <row r="1542" spans="33:36" ht="11.25" customHeight="1" x14ac:dyDescent="0.2">
      <c r="AG1542" s="19"/>
      <c r="AJ1542" s="410"/>
    </row>
    <row r="1543" spans="33:36" ht="11.25" customHeight="1" x14ac:dyDescent="0.2">
      <c r="AG1543" s="19"/>
      <c r="AJ1543" s="410"/>
    </row>
    <row r="1544" spans="33:36" ht="11.25" customHeight="1" x14ac:dyDescent="0.2">
      <c r="AG1544" s="19"/>
      <c r="AJ1544" s="410"/>
    </row>
    <row r="1545" spans="33:36" ht="11.25" customHeight="1" x14ac:dyDescent="0.2">
      <c r="AG1545" s="19"/>
      <c r="AJ1545" s="410"/>
    </row>
    <row r="1546" spans="33:36" ht="11.25" customHeight="1" x14ac:dyDescent="0.2">
      <c r="AG1546" s="19"/>
      <c r="AJ1546" s="410"/>
    </row>
    <row r="1547" spans="33:36" ht="11.25" customHeight="1" x14ac:dyDescent="0.2">
      <c r="AG1547" s="19"/>
      <c r="AJ1547" s="410"/>
    </row>
    <row r="1548" spans="33:36" ht="11.25" customHeight="1" x14ac:dyDescent="0.2">
      <c r="AG1548" s="19"/>
      <c r="AJ1548" s="410"/>
    </row>
    <row r="1549" spans="33:36" ht="11.25" customHeight="1" x14ac:dyDescent="0.2">
      <c r="AG1549" s="19"/>
      <c r="AJ1549" s="410"/>
    </row>
    <row r="1550" spans="33:36" ht="11.25" customHeight="1" x14ac:dyDescent="0.2">
      <c r="AG1550" s="19"/>
      <c r="AJ1550" s="410"/>
    </row>
    <row r="1551" spans="33:36" ht="11.25" customHeight="1" x14ac:dyDescent="0.2">
      <c r="AG1551" s="19"/>
      <c r="AJ1551" s="410"/>
    </row>
    <row r="1552" spans="33:36" ht="11.25" customHeight="1" x14ac:dyDescent="0.2">
      <c r="AG1552" s="19"/>
      <c r="AJ1552" s="410"/>
    </row>
    <row r="1553" spans="33:36" ht="11.25" customHeight="1" x14ac:dyDescent="0.2">
      <c r="AG1553" s="19"/>
      <c r="AJ1553" s="410"/>
    </row>
    <row r="1554" spans="33:36" ht="11.25" customHeight="1" x14ac:dyDescent="0.2">
      <c r="AG1554" s="19"/>
      <c r="AJ1554" s="410"/>
    </row>
    <row r="1555" spans="33:36" ht="11.25" customHeight="1" x14ac:dyDescent="0.2">
      <c r="AG1555" s="19"/>
      <c r="AJ1555" s="410"/>
    </row>
    <row r="1556" spans="33:36" ht="11.25" customHeight="1" x14ac:dyDescent="0.2">
      <c r="AG1556" s="19"/>
      <c r="AJ1556" s="410"/>
    </row>
    <row r="1557" spans="33:36" ht="11.25" customHeight="1" x14ac:dyDescent="0.2">
      <c r="AG1557" s="19"/>
      <c r="AJ1557" s="410"/>
    </row>
    <row r="1558" spans="33:36" ht="11.25" customHeight="1" x14ac:dyDescent="0.2">
      <c r="AG1558" s="19"/>
      <c r="AJ1558" s="410"/>
    </row>
    <row r="1559" spans="33:36" ht="11.25" customHeight="1" x14ac:dyDescent="0.2">
      <c r="AG1559" s="19"/>
      <c r="AJ1559" s="410"/>
    </row>
    <row r="1560" spans="33:36" ht="11.25" customHeight="1" x14ac:dyDescent="0.2">
      <c r="AG1560" s="19"/>
      <c r="AJ1560" s="410"/>
    </row>
    <row r="1561" spans="33:36" ht="11.25" customHeight="1" x14ac:dyDescent="0.2">
      <c r="AG1561" s="19"/>
      <c r="AJ1561" s="410"/>
    </row>
    <row r="1562" spans="33:36" ht="11.25" customHeight="1" x14ac:dyDescent="0.2">
      <c r="AG1562" s="19"/>
      <c r="AJ1562" s="410"/>
    </row>
    <row r="1563" spans="33:36" ht="11.25" customHeight="1" x14ac:dyDescent="0.2">
      <c r="AG1563" s="19"/>
      <c r="AJ1563" s="410"/>
    </row>
    <row r="1564" spans="33:36" ht="11.25" customHeight="1" x14ac:dyDescent="0.2">
      <c r="AG1564" s="19"/>
      <c r="AJ1564" s="410"/>
    </row>
    <row r="1565" spans="33:36" ht="11.25" customHeight="1" x14ac:dyDescent="0.2">
      <c r="AG1565" s="19"/>
      <c r="AJ1565" s="410"/>
    </row>
    <row r="1566" spans="33:36" ht="11.25" customHeight="1" x14ac:dyDescent="0.2">
      <c r="AG1566" s="19"/>
      <c r="AJ1566" s="410"/>
    </row>
    <row r="1567" spans="33:36" ht="11.25" customHeight="1" x14ac:dyDescent="0.2">
      <c r="AG1567" s="19"/>
      <c r="AJ1567" s="410"/>
    </row>
    <row r="1568" spans="33:36" ht="11.25" customHeight="1" x14ac:dyDescent="0.2">
      <c r="AG1568" s="19"/>
      <c r="AJ1568" s="410"/>
    </row>
    <row r="1569" spans="33:36" ht="11.25" customHeight="1" x14ac:dyDescent="0.2">
      <c r="AG1569" s="19"/>
      <c r="AJ1569" s="410"/>
    </row>
    <row r="1570" spans="33:36" ht="11.25" customHeight="1" x14ac:dyDescent="0.2">
      <c r="AG1570" s="19"/>
      <c r="AJ1570" s="410"/>
    </row>
    <row r="1571" spans="33:36" ht="11.25" customHeight="1" x14ac:dyDescent="0.2">
      <c r="AG1571" s="19"/>
      <c r="AJ1571" s="410"/>
    </row>
    <row r="1572" spans="33:36" ht="11.25" customHeight="1" x14ac:dyDescent="0.2">
      <c r="AG1572" s="19"/>
      <c r="AJ1572" s="410"/>
    </row>
    <row r="1573" spans="33:36" ht="11.25" customHeight="1" x14ac:dyDescent="0.2">
      <c r="AG1573" s="19"/>
      <c r="AJ1573" s="410"/>
    </row>
    <row r="1574" spans="33:36" ht="11.25" customHeight="1" x14ac:dyDescent="0.2">
      <c r="AG1574" s="19"/>
      <c r="AJ1574" s="410"/>
    </row>
    <row r="1575" spans="33:36" ht="11.25" customHeight="1" x14ac:dyDescent="0.2">
      <c r="AG1575" s="19"/>
      <c r="AJ1575" s="410"/>
    </row>
    <row r="1576" spans="33:36" ht="11.25" customHeight="1" x14ac:dyDescent="0.2">
      <c r="AG1576" s="19"/>
      <c r="AJ1576" s="410"/>
    </row>
    <row r="1577" spans="33:36" ht="11.25" customHeight="1" x14ac:dyDescent="0.2">
      <c r="AG1577" s="19"/>
      <c r="AJ1577" s="410"/>
    </row>
    <row r="1578" spans="33:36" ht="11.25" customHeight="1" x14ac:dyDescent="0.2">
      <c r="AG1578" s="19"/>
      <c r="AJ1578" s="410"/>
    </row>
    <row r="1579" spans="33:36" ht="11.25" customHeight="1" x14ac:dyDescent="0.2">
      <c r="AG1579" s="19"/>
      <c r="AJ1579" s="410"/>
    </row>
    <row r="1580" spans="33:36" ht="11.25" customHeight="1" x14ac:dyDescent="0.2">
      <c r="AG1580" s="19"/>
      <c r="AJ1580" s="410"/>
    </row>
    <row r="1581" spans="33:36" ht="11.25" customHeight="1" x14ac:dyDescent="0.2">
      <c r="AG1581" s="19"/>
      <c r="AJ1581" s="410"/>
    </row>
    <row r="1582" spans="33:36" ht="11.25" customHeight="1" x14ac:dyDescent="0.2">
      <c r="AG1582" s="19"/>
      <c r="AJ1582" s="410"/>
    </row>
    <row r="1583" spans="33:36" ht="11.25" customHeight="1" x14ac:dyDescent="0.2">
      <c r="AG1583" s="19"/>
      <c r="AJ1583" s="410"/>
    </row>
    <row r="1584" spans="33:36" ht="11.25" customHeight="1" x14ac:dyDescent="0.2">
      <c r="AG1584" s="19"/>
      <c r="AJ1584" s="410"/>
    </row>
    <row r="1585" spans="33:36" ht="11.25" customHeight="1" x14ac:dyDescent="0.2">
      <c r="AG1585" s="19"/>
      <c r="AJ1585" s="410"/>
    </row>
    <row r="1586" spans="33:36" ht="11.25" customHeight="1" x14ac:dyDescent="0.2">
      <c r="AG1586" s="19"/>
      <c r="AJ1586" s="410"/>
    </row>
    <row r="1587" spans="33:36" ht="11.25" customHeight="1" x14ac:dyDescent="0.2">
      <c r="AG1587" s="19"/>
      <c r="AJ1587" s="410"/>
    </row>
    <row r="1588" spans="33:36" ht="11.25" customHeight="1" x14ac:dyDescent="0.2">
      <c r="AG1588" s="19"/>
      <c r="AJ1588" s="410"/>
    </row>
    <row r="1589" spans="33:36" ht="11.25" customHeight="1" x14ac:dyDescent="0.2">
      <c r="AG1589" s="19"/>
      <c r="AJ1589" s="410"/>
    </row>
    <row r="1590" spans="33:36" ht="11.25" customHeight="1" x14ac:dyDescent="0.2">
      <c r="AG1590" s="19"/>
      <c r="AJ1590" s="410"/>
    </row>
    <row r="1591" spans="33:36" ht="11.25" customHeight="1" x14ac:dyDescent="0.2">
      <c r="AG1591" s="19"/>
      <c r="AJ1591" s="410"/>
    </row>
    <row r="1592" spans="33:36" ht="11.25" customHeight="1" x14ac:dyDescent="0.2">
      <c r="AG1592" s="19"/>
      <c r="AJ1592" s="410"/>
    </row>
    <row r="1593" spans="33:36" ht="11.25" customHeight="1" x14ac:dyDescent="0.2">
      <c r="AG1593" s="19"/>
      <c r="AJ1593" s="410"/>
    </row>
    <row r="1594" spans="33:36" ht="11.25" customHeight="1" x14ac:dyDescent="0.2">
      <c r="AG1594" s="19"/>
      <c r="AJ1594" s="410"/>
    </row>
    <row r="1595" spans="33:36" ht="11.25" customHeight="1" x14ac:dyDescent="0.2">
      <c r="AG1595" s="19"/>
      <c r="AJ1595" s="410"/>
    </row>
    <row r="1596" spans="33:36" ht="11.25" customHeight="1" x14ac:dyDescent="0.2">
      <c r="AG1596" s="19"/>
      <c r="AJ1596" s="410"/>
    </row>
    <row r="1597" spans="33:36" ht="11.25" customHeight="1" x14ac:dyDescent="0.2">
      <c r="AG1597" s="19"/>
      <c r="AJ1597" s="410"/>
    </row>
    <row r="1598" spans="33:36" ht="11.25" customHeight="1" x14ac:dyDescent="0.2">
      <c r="AG1598" s="19"/>
      <c r="AJ1598" s="410"/>
    </row>
    <row r="1599" spans="33:36" ht="11.25" customHeight="1" x14ac:dyDescent="0.2">
      <c r="AG1599" s="19"/>
      <c r="AJ1599" s="410"/>
    </row>
    <row r="1600" spans="33:36" ht="11.25" customHeight="1" x14ac:dyDescent="0.2">
      <c r="AG1600" s="19"/>
      <c r="AJ1600" s="410"/>
    </row>
    <row r="1601" spans="33:36" ht="11.25" customHeight="1" x14ac:dyDescent="0.2">
      <c r="AG1601" s="19"/>
      <c r="AJ1601" s="410"/>
    </row>
    <row r="1602" spans="33:36" ht="11.25" customHeight="1" x14ac:dyDescent="0.2">
      <c r="AG1602" s="19"/>
      <c r="AJ1602" s="410"/>
    </row>
    <row r="1603" spans="33:36" ht="11.25" customHeight="1" x14ac:dyDescent="0.2">
      <c r="AG1603" s="19"/>
      <c r="AJ1603" s="410"/>
    </row>
    <row r="1604" spans="33:36" ht="11.25" customHeight="1" x14ac:dyDescent="0.2">
      <c r="AG1604" s="19"/>
      <c r="AJ1604" s="410"/>
    </row>
    <row r="1605" spans="33:36" ht="11.25" customHeight="1" x14ac:dyDescent="0.2">
      <c r="AG1605" s="19"/>
      <c r="AJ1605" s="410"/>
    </row>
    <row r="1606" spans="33:36" ht="11.25" customHeight="1" x14ac:dyDescent="0.2">
      <c r="AG1606" s="19"/>
      <c r="AJ1606" s="410"/>
    </row>
    <row r="1607" spans="33:36" ht="11.25" customHeight="1" x14ac:dyDescent="0.2">
      <c r="AG1607" s="19"/>
      <c r="AJ1607" s="410"/>
    </row>
    <row r="1608" spans="33:36" ht="11.25" customHeight="1" x14ac:dyDescent="0.2">
      <c r="AG1608" s="19"/>
      <c r="AJ1608" s="410"/>
    </row>
    <row r="1609" spans="33:36" ht="11.25" customHeight="1" x14ac:dyDescent="0.2">
      <c r="AG1609" s="19"/>
      <c r="AJ1609" s="410"/>
    </row>
    <row r="1610" spans="33:36" ht="11.25" customHeight="1" x14ac:dyDescent="0.2">
      <c r="AG1610" s="19"/>
      <c r="AJ1610" s="410"/>
    </row>
    <row r="1611" spans="33:36" ht="11.25" customHeight="1" x14ac:dyDescent="0.2">
      <c r="AG1611" s="19"/>
      <c r="AJ1611" s="410"/>
    </row>
    <row r="1612" spans="33:36" ht="11.25" customHeight="1" x14ac:dyDescent="0.2">
      <c r="AG1612" s="19"/>
      <c r="AJ1612" s="410"/>
    </row>
    <row r="1613" spans="33:36" ht="11.25" customHeight="1" x14ac:dyDescent="0.2">
      <c r="AG1613" s="19"/>
      <c r="AJ1613" s="410"/>
    </row>
    <row r="1614" spans="33:36" ht="11.25" customHeight="1" x14ac:dyDescent="0.2">
      <c r="AG1614" s="19"/>
      <c r="AJ1614" s="410"/>
    </row>
    <row r="1615" spans="33:36" ht="11.25" customHeight="1" x14ac:dyDescent="0.2">
      <c r="AG1615" s="19"/>
      <c r="AJ1615" s="410"/>
    </row>
    <row r="1616" spans="33:36" ht="11.25" customHeight="1" x14ac:dyDescent="0.2">
      <c r="AG1616" s="19"/>
      <c r="AJ1616" s="410"/>
    </row>
    <row r="1617" spans="33:36" ht="11.25" customHeight="1" x14ac:dyDescent="0.2">
      <c r="AG1617" s="19"/>
      <c r="AJ1617" s="410"/>
    </row>
    <row r="1618" spans="33:36" ht="11.25" customHeight="1" x14ac:dyDescent="0.2">
      <c r="AG1618" s="19"/>
      <c r="AJ1618" s="410"/>
    </row>
    <row r="1619" spans="33:36" ht="11.25" customHeight="1" x14ac:dyDescent="0.2">
      <c r="AG1619" s="19"/>
      <c r="AJ1619" s="410"/>
    </row>
    <row r="1620" spans="33:36" ht="11.25" customHeight="1" x14ac:dyDescent="0.2">
      <c r="AG1620" s="19"/>
      <c r="AJ1620" s="410"/>
    </row>
    <row r="1621" spans="33:36" ht="11.25" customHeight="1" x14ac:dyDescent="0.2">
      <c r="AG1621" s="19"/>
      <c r="AJ1621" s="410"/>
    </row>
    <row r="1622" spans="33:36" ht="11.25" customHeight="1" x14ac:dyDescent="0.2">
      <c r="AG1622" s="19"/>
      <c r="AJ1622" s="410"/>
    </row>
    <row r="1623" spans="33:36" ht="11.25" customHeight="1" x14ac:dyDescent="0.2">
      <c r="AG1623" s="19"/>
      <c r="AJ1623" s="410"/>
    </row>
    <row r="1624" spans="33:36" ht="11.25" customHeight="1" x14ac:dyDescent="0.2">
      <c r="AG1624" s="19"/>
      <c r="AJ1624" s="410"/>
    </row>
    <row r="1625" spans="33:36" ht="11.25" customHeight="1" x14ac:dyDescent="0.2">
      <c r="AG1625" s="19"/>
      <c r="AJ1625" s="410"/>
    </row>
    <row r="1626" spans="33:36" ht="11.25" customHeight="1" x14ac:dyDescent="0.2">
      <c r="AG1626" s="19"/>
      <c r="AJ1626" s="410"/>
    </row>
    <row r="1627" spans="33:36" ht="11.25" customHeight="1" x14ac:dyDescent="0.2">
      <c r="AG1627" s="19"/>
      <c r="AJ1627" s="410"/>
    </row>
    <row r="1628" spans="33:36" ht="11.25" customHeight="1" x14ac:dyDescent="0.2">
      <c r="AG1628" s="19"/>
      <c r="AJ1628" s="410"/>
    </row>
    <row r="1629" spans="33:36" ht="11.25" customHeight="1" x14ac:dyDescent="0.2">
      <c r="AG1629" s="19"/>
      <c r="AJ1629" s="410"/>
    </row>
    <row r="1630" spans="33:36" ht="11.25" customHeight="1" x14ac:dyDescent="0.2">
      <c r="AG1630" s="19"/>
      <c r="AJ1630" s="410"/>
    </row>
    <row r="1631" spans="33:36" ht="11.25" customHeight="1" x14ac:dyDescent="0.2">
      <c r="AG1631" s="19"/>
      <c r="AJ1631" s="410"/>
    </row>
    <row r="1632" spans="33:36" ht="11.25" customHeight="1" x14ac:dyDescent="0.2">
      <c r="AG1632" s="19"/>
      <c r="AJ1632" s="410"/>
    </row>
    <row r="1633" spans="33:36" ht="11.25" customHeight="1" x14ac:dyDescent="0.2">
      <c r="AG1633" s="19"/>
      <c r="AJ1633" s="410"/>
    </row>
    <row r="1634" spans="33:36" ht="11.25" customHeight="1" x14ac:dyDescent="0.2">
      <c r="AG1634" s="19"/>
      <c r="AJ1634" s="410"/>
    </row>
    <row r="1635" spans="33:36" ht="11.25" customHeight="1" x14ac:dyDescent="0.2">
      <c r="AG1635" s="19"/>
      <c r="AJ1635" s="410"/>
    </row>
    <row r="1636" spans="33:36" ht="11.25" customHeight="1" x14ac:dyDescent="0.2">
      <c r="AG1636" s="19"/>
      <c r="AJ1636" s="410"/>
    </row>
    <row r="1637" spans="33:36" ht="11.25" customHeight="1" x14ac:dyDescent="0.2">
      <c r="AG1637" s="19"/>
      <c r="AJ1637" s="410"/>
    </row>
    <row r="1638" spans="33:36" ht="11.25" customHeight="1" x14ac:dyDescent="0.2">
      <c r="AG1638" s="19"/>
      <c r="AJ1638" s="410"/>
    </row>
    <row r="1639" spans="33:36" ht="11.25" customHeight="1" x14ac:dyDescent="0.2">
      <c r="AG1639" s="19"/>
      <c r="AJ1639" s="410"/>
    </row>
    <row r="1640" spans="33:36" ht="11.25" customHeight="1" x14ac:dyDescent="0.2">
      <c r="AG1640" s="19"/>
      <c r="AJ1640" s="410"/>
    </row>
    <row r="1641" spans="33:36" ht="11.25" customHeight="1" x14ac:dyDescent="0.2">
      <c r="AG1641" s="19"/>
      <c r="AJ1641" s="410"/>
    </row>
    <row r="1642" spans="33:36" ht="11.25" customHeight="1" x14ac:dyDescent="0.2">
      <c r="AG1642" s="19"/>
      <c r="AJ1642" s="410"/>
    </row>
    <row r="1643" spans="33:36" ht="11.25" customHeight="1" x14ac:dyDescent="0.2">
      <c r="AG1643" s="19"/>
      <c r="AJ1643" s="410"/>
    </row>
    <row r="1644" spans="33:36" ht="11.25" customHeight="1" x14ac:dyDescent="0.2">
      <c r="AG1644" s="19"/>
      <c r="AJ1644" s="410"/>
    </row>
    <row r="1645" spans="33:36" ht="11.25" customHeight="1" x14ac:dyDescent="0.2">
      <c r="AG1645" s="19"/>
      <c r="AJ1645" s="410"/>
    </row>
    <row r="1646" spans="33:36" ht="11.25" customHeight="1" x14ac:dyDescent="0.2">
      <c r="AG1646" s="19"/>
      <c r="AJ1646" s="410"/>
    </row>
    <row r="1647" spans="33:36" ht="11.25" customHeight="1" x14ac:dyDescent="0.2">
      <c r="AG1647" s="19"/>
      <c r="AJ1647" s="410"/>
    </row>
    <row r="1648" spans="33:36" ht="11.25" customHeight="1" x14ac:dyDescent="0.2">
      <c r="AG1648" s="19"/>
      <c r="AJ1648" s="410"/>
    </row>
    <row r="1649" spans="33:36" ht="11.25" customHeight="1" x14ac:dyDescent="0.2">
      <c r="AG1649" s="19"/>
      <c r="AJ1649" s="410"/>
    </row>
    <row r="1650" spans="33:36" ht="11.25" customHeight="1" x14ac:dyDescent="0.2">
      <c r="AG1650" s="19"/>
      <c r="AJ1650" s="410"/>
    </row>
    <row r="1651" spans="33:36" ht="11.25" customHeight="1" x14ac:dyDescent="0.2">
      <c r="AG1651" s="19"/>
      <c r="AJ1651" s="410"/>
    </row>
    <row r="1652" spans="33:36" ht="11.25" customHeight="1" x14ac:dyDescent="0.2">
      <c r="AG1652" s="19"/>
      <c r="AJ1652" s="410"/>
    </row>
    <row r="1653" spans="33:36" ht="11.25" customHeight="1" x14ac:dyDescent="0.2">
      <c r="AG1653" s="19"/>
      <c r="AJ1653" s="410"/>
    </row>
    <row r="1654" spans="33:36" ht="11.25" customHeight="1" x14ac:dyDescent="0.2">
      <c r="AG1654" s="19"/>
      <c r="AJ1654" s="410"/>
    </row>
    <row r="1655" spans="33:36" ht="11.25" customHeight="1" x14ac:dyDescent="0.2">
      <c r="AG1655" s="19"/>
      <c r="AJ1655" s="410"/>
    </row>
    <row r="1656" spans="33:36" ht="11.25" customHeight="1" x14ac:dyDescent="0.2">
      <c r="AG1656" s="19"/>
      <c r="AJ1656" s="410"/>
    </row>
    <row r="1657" spans="33:36" ht="11.25" customHeight="1" x14ac:dyDescent="0.2">
      <c r="AG1657" s="19"/>
      <c r="AJ1657" s="410"/>
    </row>
    <row r="1658" spans="33:36" ht="11.25" customHeight="1" x14ac:dyDescent="0.2">
      <c r="AG1658" s="19"/>
      <c r="AJ1658" s="410"/>
    </row>
    <row r="1659" spans="33:36" ht="11.25" customHeight="1" x14ac:dyDescent="0.2">
      <c r="AG1659" s="19"/>
      <c r="AJ1659" s="410"/>
    </row>
    <row r="1660" spans="33:36" ht="11.25" customHeight="1" x14ac:dyDescent="0.2">
      <c r="AG1660" s="19"/>
      <c r="AJ1660" s="410"/>
    </row>
    <row r="1661" spans="33:36" ht="11.25" customHeight="1" x14ac:dyDescent="0.2">
      <c r="AG1661" s="19"/>
      <c r="AJ1661" s="410"/>
    </row>
    <row r="1662" spans="33:36" ht="11.25" customHeight="1" x14ac:dyDescent="0.2">
      <c r="AG1662" s="19"/>
      <c r="AJ1662" s="410"/>
    </row>
    <row r="1663" spans="33:36" ht="11.25" customHeight="1" x14ac:dyDescent="0.2">
      <c r="AG1663" s="19"/>
      <c r="AJ1663" s="410"/>
    </row>
    <row r="1664" spans="33:36" ht="11.25" customHeight="1" x14ac:dyDescent="0.2">
      <c r="AG1664" s="19"/>
      <c r="AJ1664" s="410"/>
    </row>
    <row r="1665" spans="33:36" ht="11.25" customHeight="1" x14ac:dyDescent="0.2">
      <c r="AG1665" s="19"/>
      <c r="AJ1665" s="410"/>
    </row>
    <row r="1666" spans="33:36" ht="11.25" customHeight="1" x14ac:dyDescent="0.2">
      <c r="AG1666" s="19"/>
      <c r="AJ1666" s="410"/>
    </row>
    <row r="1667" spans="33:36" ht="11.25" customHeight="1" x14ac:dyDescent="0.2">
      <c r="AG1667" s="19"/>
      <c r="AJ1667" s="410"/>
    </row>
    <row r="1668" spans="33:36" ht="11.25" customHeight="1" x14ac:dyDescent="0.2">
      <c r="AG1668" s="19"/>
      <c r="AJ1668" s="410"/>
    </row>
    <row r="1669" spans="33:36" ht="11.25" customHeight="1" x14ac:dyDescent="0.2">
      <c r="AG1669" s="19"/>
      <c r="AJ1669" s="410"/>
    </row>
    <row r="1670" spans="33:36" ht="11.25" customHeight="1" x14ac:dyDescent="0.2">
      <c r="AG1670" s="19"/>
      <c r="AJ1670" s="410"/>
    </row>
    <row r="1671" spans="33:36" ht="11.25" customHeight="1" x14ac:dyDescent="0.2">
      <c r="AG1671" s="19"/>
      <c r="AJ1671" s="410"/>
    </row>
    <row r="1672" spans="33:36" ht="11.25" customHeight="1" x14ac:dyDescent="0.2">
      <c r="AG1672" s="19"/>
      <c r="AJ1672" s="410"/>
    </row>
    <row r="1673" spans="33:36" ht="11.25" customHeight="1" x14ac:dyDescent="0.2">
      <c r="AG1673" s="19"/>
      <c r="AJ1673" s="410"/>
    </row>
    <row r="1674" spans="33:36" ht="11.25" customHeight="1" x14ac:dyDescent="0.2">
      <c r="AG1674" s="19"/>
      <c r="AJ1674" s="410"/>
    </row>
    <row r="1675" spans="33:36" ht="11.25" customHeight="1" x14ac:dyDescent="0.2">
      <c r="AG1675" s="19"/>
      <c r="AJ1675" s="410"/>
    </row>
    <row r="1676" spans="33:36" ht="11.25" customHeight="1" x14ac:dyDescent="0.2">
      <c r="AG1676" s="19"/>
      <c r="AJ1676" s="410"/>
    </row>
    <row r="1677" spans="33:36" ht="11.25" customHeight="1" x14ac:dyDescent="0.2">
      <c r="AG1677" s="19"/>
      <c r="AJ1677" s="410"/>
    </row>
    <row r="1678" spans="33:36" ht="11.25" customHeight="1" x14ac:dyDescent="0.2">
      <c r="AG1678" s="19"/>
      <c r="AJ1678" s="410"/>
    </row>
    <row r="1679" spans="33:36" ht="11.25" customHeight="1" x14ac:dyDescent="0.2">
      <c r="AG1679" s="19"/>
      <c r="AJ1679" s="410"/>
    </row>
    <row r="1680" spans="33:36" ht="11.25" customHeight="1" x14ac:dyDescent="0.2">
      <c r="AG1680" s="19"/>
      <c r="AJ1680" s="410"/>
    </row>
    <row r="1681" spans="33:36" ht="11.25" customHeight="1" x14ac:dyDescent="0.2">
      <c r="AG1681" s="19"/>
      <c r="AJ1681" s="410"/>
    </row>
    <row r="1682" spans="33:36" ht="11.25" customHeight="1" x14ac:dyDescent="0.2">
      <c r="AG1682" s="19"/>
      <c r="AJ1682" s="410"/>
    </row>
    <row r="1683" spans="33:36" ht="11.25" customHeight="1" x14ac:dyDescent="0.2">
      <c r="AG1683" s="19"/>
      <c r="AJ1683" s="410"/>
    </row>
    <row r="1684" spans="33:36" ht="11.25" customHeight="1" x14ac:dyDescent="0.2">
      <c r="AG1684" s="19"/>
      <c r="AJ1684" s="410"/>
    </row>
    <row r="1685" spans="33:36" ht="11.25" customHeight="1" x14ac:dyDescent="0.2">
      <c r="AG1685" s="19"/>
      <c r="AJ1685" s="410"/>
    </row>
    <row r="1686" spans="33:36" ht="11.25" customHeight="1" x14ac:dyDescent="0.2">
      <c r="AG1686" s="19"/>
      <c r="AJ1686" s="410"/>
    </row>
    <row r="1687" spans="33:36" ht="11.25" customHeight="1" x14ac:dyDescent="0.2">
      <c r="AG1687" s="19"/>
      <c r="AJ1687" s="410"/>
    </row>
    <row r="1688" spans="33:36" ht="11.25" customHeight="1" x14ac:dyDescent="0.2">
      <c r="AG1688" s="19"/>
      <c r="AJ1688" s="410"/>
    </row>
    <row r="1689" spans="33:36" ht="11.25" customHeight="1" x14ac:dyDescent="0.2">
      <c r="AG1689" s="19"/>
      <c r="AJ1689" s="410"/>
    </row>
    <row r="1690" spans="33:36" ht="11.25" customHeight="1" x14ac:dyDescent="0.2">
      <c r="AG1690" s="19"/>
      <c r="AJ1690" s="410"/>
    </row>
    <row r="1691" spans="33:36" ht="11.25" customHeight="1" x14ac:dyDescent="0.2">
      <c r="AG1691" s="19"/>
      <c r="AJ1691" s="410"/>
    </row>
    <row r="1692" spans="33:36" ht="11.25" customHeight="1" x14ac:dyDescent="0.2">
      <c r="AG1692" s="19"/>
      <c r="AJ1692" s="410"/>
    </row>
    <row r="1693" spans="33:36" ht="11.25" customHeight="1" x14ac:dyDescent="0.2">
      <c r="AG1693" s="19"/>
      <c r="AJ1693" s="410"/>
    </row>
    <row r="1694" spans="33:36" ht="11.25" customHeight="1" x14ac:dyDescent="0.2">
      <c r="AG1694" s="19"/>
      <c r="AJ1694" s="410"/>
    </row>
    <row r="1695" spans="33:36" ht="11.25" customHeight="1" x14ac:dyDescent="0.2">
      <c r="AG1695" s="19"/>
      <c r="AJ1695" s="410"/>
    </row>
    <row r="1696" spans="33:36" ht="11.25" customHeight="1" x14ac:dyDescent="0.2">
      <c r="AG1696" s="19"/>
      <c r="AJ1696" s="410"/>
    </row>
    <row r="1697" spans="33:36" ht="11.25" customHeight="1" x14ac:dyDescent="0.2">
      <c r="AG1697" s="19"/>
      <c r="AJ1697" s="410"/>
    </row>
    <row r="1698" spans="33:36" ht="11.25" customHeight="1" x14ac:dyDescent="0.2">
      <c r="AG1698" s="19"/>
      <c r="AJ1698" s="410"/>
    </row>
    <row r="1699" spans="33:36" ht="11.25" customHeight="1" x14ac:dyDescent="0.2">
      <c r="AG1699" s="19"/>
      <c r="AJ1699" s="410"/>
    </row>
    <row r="1700" spans="33:36" ht="11.25" customHeight="1" x14ac:dyDescent="0.2">
      <c r="AG1700" s="19"/>
      <c r="AJ1700" s="410"/>
    </row>
    <row r="1701" spans="33:36" ht="11.25" customHeight="1" x14ac:dyDescent="0.2">
      <c r="AG1701" s="19"/>
      <c r="AJ1701" s="410"/>
    </row>
    <row r="1702" spans="33:36" ht="11.25" customHeight="1" x14ac:dyDescent="0.2">
      <c r="AG1702" s="19"/>
      <c r="AJ1702" s="410"/>
    </row>
    <row r="1703" spans="33:36" ht="11.25" customHeight="1" x14ac:dyDescent="0.2">
      <c r="AG1703" s="19"/>
      <c r="AJ1703" s="410"/>
    </row>
    <row r="1704" spans="33:36" ht="11.25" customHeight="1" x14ac:dyDescent="0.2">
      <c r="AG1704" s="19"/>
      <c r="AJ1704" s="410"/>
    </row>
    <row r="1705" spans="33:36" ht="11.25" customHeight="1" x14ac:dyDescent="0.2">
      <c r="AG1705" s="19"/>
      <c r="AJ1705" s="410"/>
    </row>
    <row r="1706" spans="33:36" ht="11.25" customHeight="1" x14ac:dyDescent="0.2">
      <c r="AG1706" s="19"/>
      <c r="AJ1706" s="410"/>
    </row>
    <row r="1707" spans="33:36" ht="11.25" customHeight="1" x14ac:dyDescent="0.2">
      <c r="AG1707" s="19"/>
      <c r="AJ1707" s="410"/>
    </row>
    <row r="1708" spans="33:36" ht="11.25" customHeight="1" x14ac:dyDescent="0.2">
      <c r="AG1708" s="19"/>
      <c r="AJ1708" s="410"/>
    </row>
    <row r="1709" spans="33:36" ht="11.25" customHeight="1" x14ac:dyDescent="0.2">
      <c r="AG1709" s="19"/>
      <c r="AJ1709" s="410"/>
    </row>
    <row r="1710" spans="33:36" ht="11.25" customHeight="1" x14ac:dyDescent="0.2">
      <c r="AG1710" s="19"/>
      <c r="AJ1710" s="410"/>
    </row>
    <row r="1711" spans="33:36" ht="11.25" customHeight="1" x14ac:dyDescent="0.2">
      <c r="AG1711" s="19"/>
      <c r="AJ1711" s="410"/>
    </row>
    <row r="1712" spans="33:36" ht="11.25" customHeight="1" x14ac:dyDescent="0.2">
      <c r="AG1712" s="19"/>
      <c r="AJ1712" s="410"/>
    </row>
    <row r="1713" spans="33:36" ht="11.25" customHeight="1" x14ac:dyDescent="0.2">
      <c r="AG1713" s="19"/>
      <c r="AJ1713" s="410"/>
    </row>
    <row r="1714" spans="33:36" ht="11.25" customHeight="1" x14ac:dyDescent="0.2">
      <c r="AG1714" s="19"/>
      <c r="AJ1714" s="410"/>
    </row>
    <row r="1715" spans="33:36" ht="11.25" customHeight="1" x14ac:dyDescent="0.2">
      <c r="AG1715" s="19"/>
      <c r="AJ1715" s="410"/>
    </row>
    <row r="1716" spans="33:36" ht="11.25" customHeight="1" x14ac:dyDescent="0.2">
      <c r="AG1716" s="19"/>
      <c r="AJ1716" s="410"/>
    </row>
    <row r="1717" spans="33:36" ht="11.25" customHeight="1" x14ac:dyDescent="0.2">
      <c r="AG1717" s="19"/>
      <c r="AJ1717" s="410"/>
    </row>
    <row r="1718" spans="33:36" ht="11.25" customHeight="1" x14ac:dyDescent="0.2">
      <c r="AG1718" s="19"/>
      <c r="AJ1718" s="410"/>
    </row>
    <row r="1719" spans="33:36" ht="11.25" customHeight="1" x14ac:dyDescent="0.2">
      <c r="AG1719" s="19"/>
      <c r="AJ1719" s="410"/>
    </row>
    <row r="1720" spans="33:36" ht="11.25" customHeight="1" x14ac:dyDescent="0.2">
      <c r="AG1720" s="19"/>
      <c r="AJ1720" s="410"/>
    </row>
    <row r="1721" spans="33:36" ht="11.25" customHeight="1" x14ac:dyDescent="0.2">
      <c r="AG1721" s="19"/>
      <c r="AJ1721" s="410"/>
    </row>
    <row r="1722" spans="33:36" ht="11.25" customHeight="1" x14ac:dyDescent="0.2">
      <c r="AG1722" s="19"/>
      <c r="AJ1722" s="410"/>
    </row>
    <row r="1723" spans="33:36" ht="11.25" customHeight="1" x14ac:dyDescent="0.2">
      <c r="AG1723" s="19"/>
      <c r="AJ1723" s="410"/>
    </row>
    <row r="1724" spans="33:36" ht="11.25" customHeight="1" x14ac:dyDescent="0.2">
      <c r="AG1724" s="19"/>
      <c r="AJ1724" s="410"/>
    </row>
    <row r="1725" spans="33:36" ht="11.25" customHeight="1" x14ac:dyDescent="0.2">
      <c r="AG1725" s="19"/>
      <c r="AJ1725" s="410"/>
    </row>
    <row r="1726" spans="33:36" ht="11.25" customHeight="1" x14ac:dyDescent="0.2">
      <c r="AG1726" s="19"/>
      <c r="AJ1726" s="410"/>
    </row>
    <row r="1727" spans="33:36" ht="11.25" customHeight="1" x14ac:dyDescent="0.2">
      <c r="AG1727" s="19"/>
      <c r="AJ1727" s="410"/>
    </row>
    <row r="1728" spans="33:36" ht="11.25" customHeight="1" x14ac:dyDescent="0.2">
      <c r="AG1728" s="19"/>
      <c r="AJ1728" s="410"/>
    </row>
    <row r="1729" spans="33:36" ht="11.25" customHeight="1" x14ac:dyDescent="0.2">
      <c r="AG1729" s="19"/>
      <c r="AJ1729" s="410"/>
    </row>
    <row r="1730" spans="33:36" ht="11.25" customHeight="1" x14ac:dyDescent="0.2">
      <c r="AG1730" s="19"/>
      <c r="AJ1730" s="410"/>
    </row>
    <row r="1731" spans="33:36" ht="11.25" customHeight="1" x14ac:dyDescent="0.2">
      <c r="AG1731" s="19"/>
      <c r="AJ1731" s="410"/>
    </row>
    <row r="1732" spans="33:36" ht="11.25" customHeight="1" x14ac:dyDescent="0.2">
      <c r="AG1732" s="19"/>
      <c r="AJ1732" s="410"/>
    </row>
    <row r="1733" spans="33:36" ht="11.25" customHeight="1" x14ac:dyDescent="0.2">
      <c r="AG1733" s="19"/>
      <c r="AJ1733" s="410"/>
    </row>
    <row r="1734" spans="33:36" ht="11.25" customHeight="1" x14ac:dyDescent="0.2">
      <c r="AG1734" s="19"/>
      <c r="AJ1734" s="410"/>
    </row>
    <row r="1735" spans="33:36" ht="11.25" customHeight="1" x14ac:dyDescent="0.2">
      <c r="AG1735" s="19"/>
      <c r="AJ1735" s="410"/>
    </row>
    <row r="1736" spans="33:36" ht="11.25" customHeight="1" x14ac:dyDescent="0.2">
      <c r="AG1736" s="19"/>
      <c r="AJ1736" s="410"/>
    </row>
    <row r="1737" spans="33:36" ht="11.25" customHeight="1" x14ac:dyDescent="0.2">
      <c r="AG1737" s="19"/>
      <c r="AJ1737" s="410"/>
    </row>
    <row r="1738" spans="33:36" ht="11.25" customHeight="1" x14ac:dyDescent="0.2">
      <c r="AG1738" s="19"/>
      <c r="AJ1738" s="410"/>
    </row>
    <row r="1739" spans="33:36" ht="11.25" customHeight="1" x14ac:dyDescent="0.2">
      <c r="AG1739" s="19"/>
      <c r="AJ1739" s="410"/>
    </row>
    <row r="1740" spans="33:36" ht="11.25" customHeight="1" x14ac:dyDescent="0.2">
      <c r="AG1740" s="19"/>
      <c r="AJ1740" s="410"/>
    </row>
    <row r="1741" spans="33:36" ht="11.25" customHeight="1" x14ac:dyDescent="0.2">
      <c r="AG1741" s="19"/>
      <c r="AJ1741" s="410"/>
    </row>
    <row r="1742" spans="33:36" ht="11.25" customHeight="1" x14ac:dyDescent="0.2">
      <c r="AG1742" s="19"/>
      <c r="AJ1742" s="410"/>
    </row>
    <row r="1743" spans="33:36" ht="11.25" customHeight="1" x14ac:dyDescent="0.2">
      <c r="AG1743" s="19"/>
      <c r="AJ1743" s="410"/>
    </row>
    <row r="1744" spans="33:36" ht="11.25" customHeight="1" x14ac:dyDescent="0.2">
      <c r="AG1744" s="19"/>
      <c r="AJ1744" s="410"/>
    </row>
    <row r="1745" spans="33:36" ht="11.25" customHeight="1" x14ac:dyDescent="0.2">
      <c r="AG1745" s="19"/>
      <c r="AJ1745" s="410"/>
    </row>
    <row r="1746" spans="33:36" ht="11.25" customHeight="1" x14ac:dyDescent="0.2">
      <c r="AG1746" s="19"/>
      <c r="AJ1746" s="410"/>
    </row>
    <row r="1747" spans="33:36" ht="11.25" customHeight="1" x14ac:dyDescent="0.2">
      <c r="AG1747" s="19"/>
      <c r="AJ1747" s="410"/>
    </row>
    <row r="1748" spans="33:36" ht="11.25" customHeight="1" x14ac:dyDescent="0.2">
      <c r="AG1748" s="19"/>
      <c r="AJ1748" s="410"/>
    </row>
    <row r="1749" spans="33:36" ht="11.25" customHeight="1" x14ac:dyDescent="0.2">
      <c r="AG1749" s="19"/>
      <c r="AJ1749" s="410"/>
    </row>
    <row r="1750" spans="33:36" ht="11.25" customHeight="1" x14ac:dyDescent="0.2">
      <c r="AG1750" s="19"/>
      <c r="AJ1750" s="410"/>
    </row>
    <row r="1751" spans="33:36" ht="11.25" customHeight="1" x14ac:dyDescent="0.2">
      <c r="AG1751" s="19"/>
      <c r="AJ1751" s="410"/>
    </row>
    <row r="1752" spans="33:36" ht="11.25" customHeight="1" x14ac:dyDescent="0.2">
      <c r="AG1752" s="19"/>
      <c r="AJ1752" s="410"/>
    </row>
    <row r="1753" spans="33:36" ht="11.25" customHeight="1" x14ac:dyDescent="0.2">
      <c r="AG1753" s="19"/>
      <c r="AJ1753" s="410"/>
    </row>
    <row r="1754" spans="33:36" ht="11.25" customHeight="1" x14ac:dyDescent="0.2">
      <c r="AG1754" s="19"/>
      <c r="AJ1754" s="410"/>
    </row>
    <row r="1755" spans="33:36" ht="11.25" customHeight="1" x14ac:dyDescent="0.2">
      <c r="AG1755" s="19"/>
      <c r="AJ1755" s="410"/>
    </row>
    <row r="1756" spans="33:36" ht="11.25" customHeight="1" x14ac:dyDescent="0.2">
      <c r="AG1756" s="19"/>
      <c r="AJ1756" s="410"/>
    </row>
    <row r="1757" spans="33:36" ht="11.25" customHeight="1" x14ac:dyDescent="0.2">
      <c r="AG1757" s="19"/>
      <c r="AJ1757" s="410"/>
    </row>
    <row r="1758" spans="33:36" ht="11.25" customHeight="1" x14ac:dyDescent="0.2">
      <c r="AG1758" s="19"/>
      <c r="AJ1758" s="410"/>
    </row>
    <row r="1759" spans="33:36" ht="11.25" customHeight="1" x14ac:dyDescent="0.2">
      <c r="AG1759" s="19"/>
      <c r="AJ1759" s="410"/>
    </row>
    <row r="1760" spans="33:36" ht="11.25" customHeight="1" x14ac:dyDescent="0.2">
      <c r="AG1760" s="19"/>
      <c r="AJ1760" s="410"/>
    </row>
    <row r="1761" spans="33:36" ht="11.25" customHeight="1" x14ac:dyDescent="0.2">
      <c r="AG1761" s="19"/>
      <c r="AJ1761" s="410"/>
    </row>
    <row r="1762" spans="33:36" ht="11.25" customHeight="1" x14ac:dyDescent="0.2">
      <c r="AG1762" s="19"/>
      <c r="AJ1762" s="410"/>
    </row>
    <row r="1763" spans="33:36" ht="11.25" customHeight="1" x14ac:dyDescent="0.2">
      <c r="AG1763" s="19"/>
      <c r="AJ1763" s="410"/>
    </row>
    <row r="1764" spans="33:36" ht="11.25" customHeight="1" x14ac:dyDescent="0.2">
      <c r="AG1764" s="19"/>
      <c r="AJ1764" s="410"/>
    </row>
    <row r="1765" spans="33:36" ht="11.25" customHeight="1" x14ac:dyDescent="0.2">
      <c r="AG1765" s="19"/>
      <c r="AJ1765" s="410"/>
    </row>
    <row r="1766" spans="33:36" ht="11.25" customHeight="1" x14ac:dyDescent="0.2">
      <c r="AG1766" s="19"/>
      <c r="AJ1766" s="410"/>
    </row>
    <row r="1767" spans="33:36" ht="11.25" customHeight="1" x14ac:dyDescent="0.2">
      <c r="AG1767" s="19"/>
      <c r="AJ1767" s="410"/>
    </row>
    <row r="1768" spans="33:36" ht="11.25" customHeight="1" x14ac:dyDescent="0.2">
      <c r="AG1768" s="19"/>
      <c r="AJ1768" s="410"/>
    </row>
    <row r="1769" spans="33:36" ht="11.25" customHeight="1" x14ac:dyDescent="0.2">
      <c r="AG1769" s="19"/>
      <c r="AJ1769" s="410"/>
    </row>
    <row r="1770" spans="33:36" ht="11.25" customHeight="1" x14ac:dyDescent="0.2">
      <c r="AG1770" s="19"/>
      <c r="AJ1770" s="410"/>
    </row>
    <row r="1771" spans="33:36" ht="11.25" customHeight="1" x14ac:dyDescent="0.2">
      <c r="AG1771" s="19"/>
      <c r="AJ1771" s="410"/>
    </row>
    <row r="1772" spans="33:36" ht="11.25" customHeight="1" x14ac:dyDescent="0.2">
      <c r="AG1772" s="19"/>
      <c r="AJ1772" s="410"/>
    </row>
    <row r="1773" spans="33:36" ht="11.25" customHeight="1" x14ac:dyDescent="0.2">
      <c r="AG1773" s="19"/>
      <c r="AJ1773" s="410"/>
    </row>
    <row r="1774" spans="33:36" ht="11.25" customHeight="1" x14ac:dyDescent="0.2">
      <c r="AG1774" s="19"/>
      <c r="AJ1774" s="410"/>
    </row>
    <row r="1775" spans="33:36" ht="11.25" customHeight="1" x14ac:dyDescent="0.2">
      <c r="AG1775" s="19"/>
      <c r="AJ1775" s="410"/>
    </row>
    <row r="1776" spans="33:36" ht="11.25" customHeight="1" x14ac:dyDescent="0.2">
      <c r="AG1776" s="19"/>
      <c r="AJ1776" s="410"/>
    </row>
    <row r="1777" spans="33:36" ht="11.25" customHeight="1" x14ac:dyDescent="0.2">
      <c r="AG1777" s="19"/>
      <c r="AJ1777" s="410"/>
    </row>
    <row r="1778" spans="33:36" ht="11.25" customHeight="1" x14ac:dyDescent="0.2">
      <c r="AG1778" s="19"/>
      <c r="AJ1778" s="410"/>
    </row>
    <row r="1779" spans="33:36" ht="11.25" customHeight="1" x14ac:dyDescent="0.2">
      <c r="AG1779" s="19"/>
      <c r="AJ1779" s="410"/>
    </row>
    <row r="1780" spans="33:36" ht="11.25" customHeight="1" x14ac:dyDescent="0.2">
      <c r="AG1780" s="19"/>
      <c r="AJ1780" s="410"/>
    </row>
    <row r="1781" spans="33:36" ht="11.25" customHeight="1" x14ac:dyDescent="0.2">
      <c r="AG1781" s="19"/>
      <c r="AJ1781" s="410"/>
    </row>
    <row r="1782" spans="33:36" ht="11.25" customHeight="1" x14ac:dyDescent="0.2">
      <c r="AG1782" s="19"/>
      <c r="AJ1782" s="410"/>
    </row>
    <row r="1783" spans="33:36" ht="11.25" customHeight="1" x14ac:dyDescent="0.2">
      <c r="AG1783" s="19"/>
      <c r="AJ1783" s="410"/>
    </row>
    <row r="1784" spans="33:36" ht="11.25" customHeight="1" x14ac:dyDescent="0.2">
      <c r="AG1784" s="19"/>
      <c r="AJ1784" s="410"/>
    </row>
    <row r="1785" spans="33:36" ht="11.25" customHeight="1" x14ac:dyDescent="0.2">
      <c r="AG1785" s="19"/>
      <c r="AJ1785" s="410"/>
    </row>
    <row r="1786" spans="33:36" ht="11.25" customHeight="1" x14ac:dyDescent="0.2">
      <c r="AG1786" s="19"/>
      <c r="AJ1786" s="410"/>
    </row>
    <row r="1787" spans="33:36" ht="11.25" customHeight="1" x14ac:dyDescent="0.2">
      <c r="AG1787" s="19"/>
      <c r="AJ1787" s="410"/>
    </row>
    <row r="1788" spans="33:36" ht="11.25" customHeight="1" x14ac:dyDescent="0.2">
      <c r="AG1788" s="19"/>
      <c r="AJ1788" s="410"/>
    </row>
    <row r="1789" spans="33:36" ht="11.25" customHeight="1" x14ac:dyDescent="0.2">
      <c r="AG1789" s="19"/>
      <c r="AJ1789" s="410"/>
    </row>
    <row r="1790" spans="33:36" ht="11.25" customHeight="1" x14ac:dyDescent="0.2">
      <c r="AG1790" s="19"/>
      <c r="AJ1790" s="410"/>
    </row>
    <row r="1791" spans="33:36" ht="11.25" customHeight="1" x14ac:dyDescent="0.2">
      <c r="AG1791" s="19"/>
      <c r="AJ1791" s="410"/>
    </row>
    <row r="1792" spans="33:36" ht="11.25" customHeight="1" x14ac:dyDescent="0.2">
      <c r="AG1792" s="19"/>
      <c r="AJ1792" s="410"/>
    </row>
    <row r="1793" spans="33:36" ht="11.25" customHeight="1" x14ac:dyDescent="0.2">
      <c r="AG1793" s="19"/>
      <c r="AJ1793" s="410"/>
    </row>
    <row r="1794" spans="33:36" ht="11.25" customHeight="1" x14ac:dyDescent="0.2">
      <c r="AG1794" s="19"/>
      <c r="AJ1794" s="410"/>
    </row>
    <row r="1795" spans="33:36" ht="11.25" customHeight="1" x14ac:dyDescent="0.2">
      <c r="AG1795" s="19"/>
      <c r="AJ1795" s="410"/>
    </row>
    <row r="1796" spans="33:36" ht="11.25" customHeight="1" x14ac:dyDescent="0.2">
      <c r="AG1796" s="19"/>
      <c r="AJ1796" s="410"/>
    </row>
    <row r="1797" spans="33:36" ht="11.25" customHeight="1" x14ac:dyDescent="0.2">
      <c r="AG1797" s="19"/>
      <c r="AJ1797" s="410"/>
    </row>
    <row r="1798" spans="33:36" ht="11.25" customHeight="1" x14ac:dyDescent="0.2">
      <c r="AG1798" s="19"/>
      <c r="AJ1798" s="410"/>
    </row>
    <row r="1799" spans="33:36" ht="11.25" customHeight="1" x14ac:dyDescent="0.2">
      <c r="AG1799" s="19"/>
      <c r="AJ1799" s="410"/>
    </row>
    <row r="1800" spans="33:36" ht="11.25" customHeight="1" x14ac:dyDescent="0.2">
      <c r="AG1800" s="19"/>
      <c r="AJ1800" s="410"/>
    </row>
    <row r="1801" spans="33:36" ht="11.25" customHeight="1" x14ac:dyDescent="0.2">
      <c r="AG1801" s="19"/>
      <c r="AJ1801" s="410"/>
    </row>
    <row r="1802" spans="33:36" ht="11.25" customHeight="1" x14ac:dyDescent="0.2">
      <c r="AG1802" s="19"/>
      <c r="AJ1802" s="410"/>
    </row>
    <row r="1803" spans="33:36" ht="11.25" customHeight="1" x14ac:dyDescent="0.2">
      <c r="AG1803" s="19"/>
      <c r="AJ1803" s="410"/>
    </row>
    <row r="1804" spans="33:36" ht="11.25" customHeight="1" x14ac:dyDescent="0.2">
      <c r="AG1804" s="19"/>
      <c r="AJ1804" s="410"/>
    </row>
    <row r="1805" spans="33:36" ht="11.25" customHeight="1" x14ac:dyDescent="0.2">
      <c r="AG1805" s="19"/>
      <c r="AJ1805" s="410"/>
    </row>
    <row r="1806" spans="33:36" ht="11.25" customHeight="1" x14ac:dyDescent="0.2">
      <c r="AG1806" s="19"/>
      <c r="AJ1806" s="410"/>
    </row>
    <row r="1807" spans="33:36" ht="11.25" customHeight="1" x14ac:dyDescent="0.2">
      <c r="AG1807" s="19"/>
      <c r="AJ1807" s="410"/>
    </row>
    <row r="1808" spans="33:36" ht="11.25" customHeight="1" x14ac:dyDescent="0.2">
      <c r="AG1808" s="19"/>
      <c r="AJ1808" s="410"/>
    </row>
    <row r="1809" spans="33:36" ht="11.25" customHeight="1" x14ac:dyDescent="0.2">
      <c r="AG1809" s="19"/>
      <c r="AJ1809" s="410"/>
    </row>
    <row r="1810" spans="33:36" ht="11.25" customHeight="1" x14ac:dyDescent="0.2">
      <c r="AG1810" s="19"/>
      <c r="AJ1810" s="410"/>
    </row>
    <row r="1811" spans="33:36" ht="11.25" customHeight="1" x14ac:dyDescent="0.2">
      <c r="AG1811" s="19"/>
      <c r="AJ1811" s="410"/>
    </row>
    <row r="1812" spans="33:36" ht="11.25" customHeight="1" x14ac:dyDescent="0.2">
      <c r="AG1812" s="19"/>
      <c r="AJ1812" s="410"/>
    </row>
    <row r="1813" spans="33:36" ht="11.25" customHeight="1" x14ac:dyDescent="0.2">
      <c r="AG1813" s="19"/>
      <c r="AJ1813" s="410"/>
    </row>
    <row r="1814" spans="33:36" ht="11.25" customHeight="1" x14ac:dyDescent="0.2">
      <c r="AG1814" s="19"/>
      <c r="AJ1814" s="410"/>
    </row>
    <row r="1815" spans="33:36" ht="11.25" customHeight="1" x14ac:dyDescent="0.2">
      <c r="AG1815" s="19"/>
      <c r="AJ1815" s="410"/>
    </row>
    <row r="1816" spans="33:36" ht="11.25" customHeight="1" x14ac:dyDescent="0.2">
      <c r="AG1816" s="19"/>
      <c r="AJ1816" s="410"/>
    </row>
    <row r="1817" spans="33:36" ht="11.25" customHeight="1" x14ac:dyDescent="0.2">
      <c r="AG1817" s="19"/>
      <c r="AJ1817" s="410"/>
    </row>
    <row r="1818" spans="33:36" ht="11.25" customHeight="1" x14ac:dyDescent="0.2">
      <c r="AG1818" s="19"/>
      <c r="AJ1818" s="410"/>
    </row>
    <row r="1819" spans="33:36" ht="11.25" customHeight="1" x14ac:dyDescent="0.2">
      <c r="AG1819" s="19"/>
      <c r="AJ1819" s="410"/>
    </row>
    <row r="1820" spans="33:36" ht="11.25" customHeight="1" x14ac:dyDescent="0.2">
      <c r="AG1820" s="19"/>
      <c r="AJ1820" s="410"/>
    </row>
    <row r="1821" spans="33:36" ht="11.25" customHeight="1" x14ac:dyDescent="0.2">
      <c r="AG1821" s="19"/>
      <c r="AJ1821" s="410"/>
    </row>
    <row r="1822" spans="33:36" ht="11.25" customHeight="1" x14ac:dyDescent="0.2">
      <c r="AG1822" s="19"/>
      <c r="AJ1822" s="410"/>
    </row>
    <row r="1823" spans="33:36" ht="11.25" customHeight="1" x14ac:dyDescent="0.2">
      <c r="AG1823" s="19"/>
      <c r="AJ1823" s="410"/>
    </row>
    <row r="1824" spans="33:36" ht="11.25" customHeight="1" x14ac:dyDescent="0.2">
      <c r="AG1824" s="19"/>
      <c r="AJ1824" s="410"/>
    </row>
    <row r="1825" spans="33:36" ht="11.25" customHeight="1" x14ac:dyDescent="0.2">
      <c r="AG1825" s="19"/>
      <c r="AJ1825" s="410"/>
    </row>
    <row r="1826" spans="33:36" ht="11.25" customHeight="1" x14ac:dyDescent="0.2">
      <c r="AG1826" s="19"/>
      <c r="AJ1826" s="410"/>
    </row>
    <row r="1827" spans="33:36" ht="11.25" customHeight="1" x14ac:dyDescent="0.2">
      <c r="AG1827" s="19"/>
      <c r="AJ1827" s="410"/>
    </row>
    <row r="1828" spans="33:36" ht="11.25" customHeight="1" x14ac:dyDescent="0.2">
      <c r="AG1828" s="19"/>
      <c r="AJ1828" s="410"/>
    </row>
    <row r="1829" spans="33:36" ht="11.25" customHeight="1" x14ac:dyDescent="0.2">
      <c r="AG1829" s="19"/>
      <c r="AJ1829" s="410"/>
    </row>
    <row r="1830" spans="33:36" ht="11.25" customHeight="1" x14ac:dyDescent="0.2">
      <c r="AG1830" s="19"/>
      <c r="AJ1830" s="410"/>
    </row>
    <row r="1831" spans="33:36" ht="11.25" customHeight="1" x14ac:dyDescent="0.2">
      <c r="AG1831" s="19"/>
      <c r="AJ1831" s="410"/>
    </row>
    <row r="1832" spans="33:36" ht="11.25" customHeight="1" x14ac:dyDescent="0.2">
      <c r="AG1832" s="19"/>
      <c r="AJ1832" s="410"/>
    </row>
    <row r="1833" spans="33:36" ht="11.25" customHeight="1" x14ac:dyDescent="0.2">
      <c r="AG1833" s="19"/>
      <c r="AJ1833" s="410"/>
    </row>
    <row r="1834" spans="33:36" ht="11.25" customHeight="1" x14ac:dyDescent="0.2">
      <c r="AG1834" s="19"/>
      <c r="AJ1834" s="410"/>
    </row>
    <row r="1835" spans="33:36" ht="11.25" customHeight="1" x14ac:dyDescent="0.2">
      <c r="AG1835" s="19"/>
      <c r="AJ1835" s="410"/>
    </row>
    <row r="1836" spans="33:36" ht="11.25" customHeight="1" x14ac:dyDescent="0.2">
      <c r="AG1836" s="19"/>
      <c r="AJ1836" s="410"/>
    </row>
    <row r="1837" spans="33:36" ht="11.25" customHeight="1" x14ac:dyDescent="0.2">
      <c r="AG1837" s="19"/>
      <c r="AJ1837" s="410"/>
    </row>
    <row r="1838" spans="33:36" ht="11.25" customHeight="1" x14ac:dyDescent="0.2">
      <c r="AG1838" s="19"/>
      <c r="AJ1838" s="410"/>
    </row>
    <row r="1839" spans="33:36" ht="11.25" customHeight="1" x14ac:dyDescent="0.2">
      <c r="AG1839" s="19"/>
      <c r="AJ1839" s="410"/>
    </row>
    <row r="1840" spans="33:36" ht="11.25" customHeight="1" x14ac:dyDescent="0.2">
      <c r="AG1840" s="19"/>
      <c r="AJ1840" s="410"/>
    </row>
    <row r="1841" spans="33:36" ht="11.25" customHeight="1" x14ac:dyDescent="0.2">
      <c r="AG1841" s="19"/>
      <c r="AJ1841" s="410"/>
    </row>
    <row r="1842" spans="33:36" ht="11.25" customHeight="1" x14ac:dyDescent="0.2">
      <c r="AG1842" s="19"/>
      <c r="AJ1842" s="410"/>
    </row>
    <row r="1843" spans="33:36" ht="11.25" customHeight="1" x14ac:dyDescent="0.2">
      <c r="AG1843" s="19"/>
      <c r="AJ1843" s="410"/>
    </row>
    <row r="1844" spans="33:36" ht="11.25" customHeight="1" x14ac:dyDescent="0.2">
      <c r="AG1844" s="19"/>
      <c r="AJ1844" s="410"/>
    </row>
    <row r="1845" spans="33:36" ht="11.25" customHeight="1" x14ac:dyDescent="0.2">
      <c r="AG1845" s="19"/>
      <c r="AJ1845" s="410"/>
    </row>
    <row r="1846" spans="33:36" ht="11.25" customHeight="1" x14ac:dyDescent="0.2">
      <c r="AG1846" s="19"/>
      <c r="AJ1846" s="410"/>
    </row>
    <row r="1847" spans="33:36" ht="11.25" customHeight="1" x14ac:dyDescent="0.2">
      <c r="AG1847" s="19"/>
      <c r="AJ1847" s="410"/>
    </row>
    <row r="1848" spans="33:36" ht="11.25" customHeight="1" x14ac:dyDescent="0.2">
      <c r="AG1848" s="19"/>
      <c r="AJ1848" s="410"/>
    </row>
    <row r="1849" spans="33:36" ht="11.25" customHeight="1" x14ac:dyDescent="0.2">
      <c r="AG1849" s="19"/>
      <c r="AJ1849" s="410"/>
    </row>
    <row r="1850" spans="33:36" ht="11.25" customHeight="1" x14ac:dyDescent="0.2">
      <c r="AG1850" s="19"/>
      <c r="AJ1850" s="410"/>
    </row>
    <row r="1851" spans="33:36" ht="11.25" customHeight="1" x14ac:dyDescent="0.2">
      <c r="AG1851" s="19"/>
      <c r="AJ1851" s="410"/>
    </row>
    <row r="1852" spans="33:36" ht="11.25" customHeight="1" x14ac:dyDescent="0.2">
      <c r="AG1852" s="19"/>
      <c r="AJ1852" s="410"/>
    </row>
    <row r="1853" spans="33:36" ht="11.25" customHeight="1" x14ac:dyDescent="0.2">
      <c r="AG1853" s="19"/>
      <c r="AJ1853" s="410"/>
    </row>
    <row r="1854" spans="33:36" ht="11.25" customHeight="1" x14ac:dyDescent="0.2">
      <c r="AG1854" s="19"/>
      <c r="AJ1854" s="410"/>
    </row>
    <row r="1855" spans="33:36" ht="11.25" customHeight="1" x14ac:dyDescent="0.2">
      <c r="AG1855" s="19"/>
      <c r="AJ1855" s="410"/>
    </row>
    <row r="1856" spans="33:36" ht="11.25" customHeight="1" x14ac:dyDescent="0.2">
      <c r="AG1856" s="19"/>
      <c r="AJ1856" s="410"/>
    </row>
    <row r="1857" spans="33:36" ht="11.25" customHeight="1" x14ac:dyDescent="0.2">
      <c r="AG1857" s="19"/>
      <c r="AJ1857" s="410"/>
    </row>
    <row r="1858" spans="33:36" ht="11.25" customHeight="1" x14ac:dyDescent="0.2">
      <c r="AG1858" s="19"/>
      <c r="AJ1858" s="410"/>
    </row>
    <row r="1859" spans="33:36" ht="11.25" customHeight="1" x14ac:dyDescent="0.2">
      <c r="AG1859" s="19"/>
      <c r="AJ1859" s="410"/>
    </row>
    <row r="1860" spans="33:36" ht="11.25" customHeight="1" x14ac:dyDescent="0.2">
      <c r="AG1860" s="19"/>
      <c r="AJ1860" s="410"/>
    </row>
    <row r="1861" spans="33:36" ht="11.25" customHeight="1" x14ac:dyDescent="0.2">
      <c r="AG1861" s="19"/>
      <c r="AJ1861" s="410"/>
    </row>
    <row r="1862" spans="33:36" ht="11.25" customHeight="1" x14ac:dyDescent="0.2">
      <c r="AG1862" s="19"/>
      <c r="AJ1862" s="410"/>
    </row>
    <row r="1863" spans="33:36" ht="11.25" customHeight="1" x14ac:dyDescent="0.2">
      <c r="AG1863" s="19"/>
      <c r="AJ1863" s="410"/>
    </row>
    <row r="1864" spans="33:36" ht="11.25" customHeight="1" x14ac:dyDescent="0.2">
      <c r="AG1864" s="19"/>
      <c r="AJ1864" s="410"/>
    </row>
    <row r="1865" spans="33:36" ht="11.25" customHeight="1" x14ac:dyDescent="0.2">
      <c r="AG1865" s="19"/>
      <c r="AJ1865" s="410"/>
    </row>
    <row r="1866" spans="33:36" ht="11.25" customHeight="1" x14ac:dyDescent="0.2">
      <c r="AG1866" s="19"/>
      <c r="AJ1866" s="410"/>
    </row>
    <row r="1867" spans="33:36" ht="11.25" customHeight="1" x14ac:dyDescent="0.2">
      <c r="AG1867" s="19"/>
      <c r="AJ1867" s="410"/>
    </row>
    <row r="1868" spans="33:36" ht="11.25" customHeight="1" x14ac:dyDescent="0.2">
      <c r="AG1868" s="19"/>
      <c r="AJ1868" s="410"/>
    </row>
    <row r="1869" spans="33:36" ht="11.25" customHeight="1" x14ac:dyDescent="0.2">
      <c r="AG1869" s="19"/>
      <c r="AJ1869" s="410"/>
    </row>
    <row r="1870" spans="33:36" ht="11.25" customHeight="1" x14ac:dyDescent="0.2">
      <c r="AG1870" s="19"/>
      <c r="AJ1870" s="410"/>
    </row>
    <row r="1871" spans="33:36" ht="11.25" customHeight="1" x14ac:dyDescent="0.2">
      <c r="AG1871" s="19"/>
      <c r="AJ1871" s="410"/>
    </row>
    <row r="1872" spans="33:36" ht="11.25" customHeight="1" x14ac:dyDescent="0.2">
      <c r="AG1872" s="19"/>
      <c r="AJ1872" s="410"/>
    </row>
    <row r="1873" spans="33:36" ht="11.25" customHeight="1" x14ac:dyDescent="0.2">
      <c r="AG1873" s="19"/>
      <c r="AJ1873" s="410"/>
    </row>
    <row r="1874" spans="33:36" ht="11.25" customHeight="1" x14ac:dyDescent="0.2">
      <c r="AG1874" s="19"/>
      <c r="AJ1874" s="410"/>
    </row>
    <row r="1875" spans="33:36" ht="11.25" customHeight="1" x14ac:dyDescent="0.2">
      <c r="AG1875" s="19"/>
      <c r="AJ1875" s="410"/>
    </row>
    <row r="1876" spans="33:36" ht="11.25" customHeight="1" x14ac:dyDescent="0.2">
      <c r="AG1876" s="19"/>
      <c r="AJ1876" s="410"/>
    </row>
    <row r="1877" spans="33:36" ht="11.25" customHeight="1" x14ac:dyDescent="0.2">
      <c r="AG1877" s="19"/>
      <c r="AJ1877" s="410"/>
    </row>
    <row r="1878" spans="33:36" ht="11.25" customHeight="1" x14ac:dyDescent="0.2">
      <c r="AG1878" s="19"/>
      <c r="AJ1878" s="410"/>
    </row>
    <row r="1879" spans="33:36" ht="11.25" customHeight="1" x14ac:dyDescent="0.2">
      <c r="AG1879" s="19"/>
      <c r="AJ1879" s="410"/>
    </row>
    <row r="1880" spans="33:36" ht="11.25" customHeight="1" x14ac:dyDescent="0.2">
      <c r="AG1880" s="19"/>
      <c r="AJ1880" s="410"/>
    </row>
    <row r="1881" spans="33:36" ht="11.25" customHeight="1" x14ac:dyDescent="0.2">
      <c r="AG1881" s="19"/>
      <c r="AJ1881" s="410"/>
    </row>
    <row r="1882" spans="33:36" ht="11.25" customHeight="1" x14ac:dyDescent="0.2">
      <c r="AG1882" s="19"/>
      <c r="AJ1882" s="410"/>
    </row>
    <row r="1883" spans="33:36" ht="11.25" customHeight="1" x14ac:dyDescent="0.2">
      <c r="AG1883" s="19"/>
      <c r="AJ1883" s="410"/>
    </row>
    <row r="1884" spans="33:36" ht="11.25" customHeight="1" x14ac:dyDescent="0.2">
      <c r="AG1884" s="19"/>
      <c r="AJ1884" s="410"/>
    </row>
    <row r="1885" spans="33:36" ht="11.25" customHeight="1" x14ac:dyDescent="0.2">
      <c r="AG1885" s="19"/>
      <c r="AJ1885" s="410"/>
    </row>
    <row r="1886" spans="33:36" ht="11.25" customHeight="1" x14ac:dyDescent="0.2">
      <c r="AG1886" s="19"/>
      <c r="AJ1886" s="410"/>
    </row>
    <row r="1887" spans="33:36" ht="11.25" customHeight="1" x14ac:dyDescent="0.2">
      <c r="AG1887" s="19"/>
      <c r="AJ1887" s="410"/>
    </row>
    <row r="1888" spans="33:36" ht="11.25" customHeight="1" x14ac:dyDescent="0.2">
      <c r="AG1888" s="19"/>
      <c r="AJ1888" s="410"/>
    </row>
    <row r="1889" spans="33:36" ht="11.25" customHeight="1" x14ac:dyDescent="0.2">
      <c r="AG1889" s="19"/>
      <c r="AJ1889" s="410"/>
    </row>
    <row r="1890" spans="33:36" ht="11.25" customHeight="1" x14ac:dyDescent="0.2">
      <c r="AG1890" s="19"/>
      <c r="AJ1890" s="410"/>
    </row>
    <row r="1891" spans="33:36" ht="11.25" customHeight="1" x14ac:dyDescent="0.2">
      <c r="AG1891" s="19"/>
      <c r="AJ1891" s="410"/>
    </row>
    <row r="1892" spans="33:36" ht="11.25" customHeight="1" x14ac:dyDescent="0.2">
      <c r="AG1892" s="19"/>
      <c r="AJ1892" s="410"/>
    </row>
    <row r="1893" spans="33:36" ht="11.25" customHeight="1" x14ac:dyDescent="0.2">
      <c r="AG1893" s="19"/>
      <c r="AJ1893" s="410"/>
    </row>
    <row r="1894" spans="33:36" ht="11.25" customHeight="1" x14ac:dyDescent="0.2">
      <c r="AG1894" s="19"/>
      <c r="AJ1894" s="410"/>
    </row>
    <row r="1895" spans="33:36" ht="11.25" customHeight="1" x14ac:dyDescent="0.2">
      <c r="AG1895" s="19"/>
      <c r="AJ1895" s="410"/>
    </row>
    <row r="1896" spans="33:36" ht="11.25" customHeight="1" x14ac:dyDescent="0.2">
      <c r="AG1896" s="19"/>
      <c r="AJ1896" s="410"/>
    </row>
    <row r="1897" spans="33:36" ht="11.25" customHeight="1" x14ac:dyDescent="0.2">
      <c r="AG1897" s="19"/>
      <c r="AJ1897" s="410"/>
    </row>
    <row r="1898" spans="33:36" ht="11.25" customHeight="1" x14ac:dyDescent="0.2">
      <c r="AG1898" s="19"/>
      <c r="AJ1898" s="410"/>
    </row>
    <row r="1899" spans="33:36" ht="11.25" customHeight="1" x14ac:dyDescent="0.2">
      <c r="AG1899" s="19"/>
      <c r="AJ1899" s="410"/>
    </row>
    <row r="1900" spans="33:36" ht="11.25" customHeight="1" x14ac:dyDescent="0.2">
      <c r="AG1900" s="19"/>
      <c r="AJ1900" s="410"/>
    </row>
    <row r="1901" spans="33:36" ht="11.25" customHeight="1" x14ac:dyDescent="0.2">
      <c r="AG1901" s="19"/>
      <c r="AJ1901" s="410"/>
    </row>
    <row r="1902" spans="33:36" ht="11.25" customHeight="1" x14ac:dyDescent="0.2">
      <c r="AG1902" s="19"/>
      <c r="AJ1902" s="410"/>
    </row>
    <row r="1903" spans="33:36" ht="11.25" customHeight="1" x14ac:dyDescent="0.2">
      <c r="AG1903" s="19"/>
      <c r="AJ1903" s="410"/>
    </row>
    <row r="1904" spans="33:36" ht="11.25" customHeight="1" x14ac:dyDescent="0.2">
      <c r="AG1904" s="19"/>
      <c r="AJ1904" s="410"/>
    </row>
    <row r="1905" spans="33:36" ht="11.25" customHeight="1" x14ac:dyDescent="0.2">
      <c r="AG1905" s="19"/>
      <c r="AJ1905" s="410"/>
    </row>
    <row r="1906" spans="33:36" ht="11.25" customHeight="1" x14ac:dyDescent="0.2">
      <c r="AG1906" s="19"/>
      <c r="AJ1906" s="410"/>
    </row>
    <row r="1907" spans="33:36" ht="11.25" customHeight="1" x14ac:dyDescent="0.2">
      <c r="AG1907" s="19"/>
      <c r="AJ1907" s="410"/>
    </row>
    <row r="1908" spans="33:36" ht="11.25" customHeight="1" x14ac:dyDescent="0.2">
      <c r="AG1908" s="19"/>
      <c r="AJ1908" s="410"/>
    </row>
    <row r="1909" spans="33:36" ht="11.25" customHeight="1" x14ac:dyDescent="0.2">
      <c r="AG1909" s="19"/>
      <c r="AJ1909" s="410"/>
    </row>
    <row r="1910" spans="33:36" ht="11.25" customHeight="1" x14ac:dyDescent="0.2">
      <c r="AG1910" s="19"/>
      <c r="AJ1910" s="410"/>
    </row>
    <row r="1911" spans="33:36" ht="11.25" customHeight="1" x14ac:dyDescent="0.2">
      <c r="AG1911" s="19"/>
      <c r="AJ1911" s="410"/>
    </row>
    <row r="1912" spans="33:36" ht="11.25" customHeight="1" x14ac:dyDescent="0.2">
      <c r="AG1912" s="19"/>
      <c r="AJ1912" s="410"/>
    </row>
    <row r="1913" spans="33:36" ht="11.25" customHeight="1" x14ac:dyDescent="0.2">
      <c r="AG1913" s="19"/>
      <c r="AJ1913" s="410"/>
    </row>
    <row r="1914" spans="33:36" ht="11.25" customHeight="1" x14ac:dyDescent="0.2">
      <c r="AG1914" s="19"/>
      <c r="AJ1914" s="410"/>
    </row>
    <row r="1915" spans="33:36" ht="11.25" customHeight="1" x14ac:dyDescent="0.2">
      <c r="AG1915" s="19"/>
      <c r="AJ1915" s="410"/>
    </row>
    <row r="1916" spans="33:36" ht="11.25" customHeight="1" x14ac:dyDescent="0.2">
      <c r="AG1916" s="19"/>
      <c r="AJ1916" s="410"/>
    </row>
    <row r="1917" spans="33:36" ht="11.25" customHeight="1" x14ac:dyDescent="0.2">
      <c r="AG1917" s="19"/>
      <c r="AJ1917" s="410"/>
    </row>
    <row r="1918" spans="33:36" ht="11.25" customHeight="1" x14ac:dyDescent="0.2">
      <c r="AG1918" s="19"/>
      <c r="AJ1918" s="410"/>
    </row>
    <row r="1919" spans="33:36" ht="11.25" customHeight="1" x14ac:dyDescent="0.2">
      <c r="AG1919" s="19"/>
      <c r="AJ1919" s="410"/>
    </row>
    <row r="1920" spans="33:36" ht="11.25" customHeight="1" x14ac:dyDescent="0.2">
      <c r="AG1920" s="19"/>
      <c r="AJ1920" s="410"/>
    </row>
    <row r="1921" spans="33:36" ht="11.25" customHeight="1" x14ac:dyDescent="0.2">
      <c r="AG1921" s="19"/>
      <c r="AJ1921" s="410"/>
    </row>
    <row r="1922" spans="33:36" ht="11.25" customHeight="1" x14ac:dyDescent="0.2">
      <c r="AG1922" s="19"/>
      <c r="AJ1922" s="410"/>
    </row>
    <row r="1923" spans="33:36" ht="11.25" customHeight="1" x14ac:dyDescent="0.2">
      <c r="AG1923" s="19"/>
      <c r="AJ1923" s="410"/>
    </row>
    <row r="1924" spans="33:36" ht="11.25" customHeight="1" x14ac:dyDescent="0.2">
      <c r="AG1924" s="19"/>
      <c r="AJ1924" s="410"/>
    </row>
    <row r="1925" spans="33:36" ht="11.25" customHeight="1" x14ac:dyDescent="0.2">
      <c r="AG1925" s="19"/>
      <c r="AJ1925" s="410"/>
    </row>
    <row r="1926" spans="33:36" ht="11.25" customHeight="1" x14ac:dyDescent="0.2">
      <c r="AG1926" s="19"/>
      <c r="AJ1926" s="410"/>
    </row>
    <row r="1927" spans="33:36" ht="11.25" customHeight="1" x14ac:dyDescent="0.2">
      <c r="AG1927" s="19"/>
      <c r="AJ1927" s="410"/>
    </row>
    <row r="1928" spans="33:36" ht="11.25" customHeight="1" x14ac:dyDescent="0.2">
      <c r="AG1928" s="19"/>
      <c r="AJ1928" s="410"/>
    </row>
    <row r="1929" spans="33:36" ht="11.25" customHeight="1" x14ac:dyDescent="0.2">
      <c r="AG1929" s="19"/>
      <c r="AJ1929" s="410"/>
    </row>
    <row r="1930" spans="33:36" ht="11.25" customHeight="1" x14ac:dyDescent="0.2">
      <c r="AG1930" s="19"/>
      <c r="AJ1930" s="410"/>
    </row>
    <row r="1931" spans="33:36" ht="11.25" customHeight="1" x14ac:dyDescent="0.2">
      <c r="AG1931" s="19"/>
      <c r="AJ1931" s="410"/>
    </row>
    <row r="1932" spans="33:36" ht="11.25" customHeight="1" x14ac:dyDescent="0.2">
      <c r="AG1932" s="19"/>
      <c r="AJ1932" s="410"/>
    </row>
    <row r="1933" spans="33:36" ht="11.25" customHeight="1" x14ac:dyDescent="0.2">
      <c r="AG1933" s="19"/>
      <c r="AJ1933" s="410"/>
    </row>
    <row r="1934" spans="33:36" ht="11.25" customHeight="1" x14ac:dyDescent="0.2">
      <c r="AG1934" s="19"/>
      <c r="AJ1934" s="410"/>
    </row>
    <row r="1935" spans="33:36" ht="11.25" customHeight="1" x14ac:dyDescent="0.2">
      <c r="AG1935" s="19"/>
      <c r="AJ1935" s="410"/>
    </row>
    <row r="1936" spans="33:36" ht="11.25" customHeight="1" x14ac:dyDescent="0.2">
      <c r="AG1936" s="19"/>
      <c r="AJ1936" s="410"/>
    </row>
    <row r="1937" spans="33:36" ht="11.25" customHeight="1" x14ac:dyDescent="0.2">
      <c r="AG1937" s="19"/>
      <c r="AJ1937" s="410"/>
    </row>
    <row r="1938" spans="33:36" ht="11.25" customHeight="1" x14ac:dyDescent="0.2">
      <c r="AG1938" s="19"/>
      <c r="AJ1938" s="410"/>
    </row>
    <row r="1939" spans="33:36" ht="11.25" customHeight="1" x14ac:dyDescent="0.2">
      <c r="AG1939" s="19"/>
      <c r="AJ1939" s="410"/>
    </row>
    <row r="1940" spans="33:36" ht="11.25" customHeight="1" x14ac:dyDescent="0.2">
      <c r="AG1940" s="19"/>
      <c r="AJ1940" s="410"/>
    </row>
    <row r="1941" spans="33:36" ht="11.25" customHeight="1" x14ac:dyDescent="0.2">
      <c r="AG1941" s="19"/>
      <c r="AJ1941" s="410"/>
    </row>
    <row r="1942" spans="33:36" ht="11.25" customHeight="1" x14ac:dyDescent="0.2">
      <c r="AG1942" s="19"/>
      <c r="AJ1942" s="410"/>
    </row>
    <row r="1943" spans="33:36" ht="11.25" customHeight="1" x14ac:dyDescent="0.2">
      <c r="AG1943" s="19"/>
      <c r="AJ1943" s="410"/>
    </row>
    <row r="1944" spans="33:36" ht="11.25" customHeight="1" x14ac:dyDescent="0.2">
      <c r="AG1944" s="19"/>
      <c r="AJ1944" s="410"/>
    </row>
    <row r="1945" spans="33:36" ht="11.25" customHeight="1" x14ac:dyDescent="0.2">
      <c r="AG1945" s="19"/>
      <c r="AJ1945" s="410"/>
    </row>
    <row r="1946" spans="33:36" ht="11.25" customHeight="1" x14ac:dyDescent="0.2">
      <c r="AG1946" s="19"/>
      <c r="AJ1946" s="410"/>
    </row>
    <row r="1947" spans="33:36" ht="11.25" customHeight="1" x14ac:dyDescent="0.2">
      <c r="AG1947" s="19"/>
      <c r="AJ1947" s="410"/>
    </row>
    <row r="1948" spans="33:36" ht="11.25" customHeight="1" x14ac:dyDescent="0.2">
      <c r="AG1948" s="19"/>
      <c r="AJ1948" s="410"/>
    </row>
    <row r="1949" spans="33:36" ht="11.25" customHeight="1" x14ac:dyDescent="0.2">
      <c r="AG1949" s="19"/>
      <c r="AJ1949" s="410"/>
    </row>
    <row r="1950" spans="33:36" ht="11.25" customHeight="1" x14ac:dyDescent="0.2">
      <c r="AG1950" s="19"/>
      <c r="AJ1950" s="410"/>
    </row>
    <row r="1951" spans="33:36" ht="11.25" customHeight="1" x14ac:dyDescent="0.2">
      <c r="AG1951" s="19"/>
      <c r="AJ1951" s="410"/>
    </row>
    <row r="1952" spans="33:36" ht="11.25" customHeight="1" x14ac:dyDescent="0.2">
      <c r="AG1952" s="19"/>
      <c r="AJ1952" s="410"/>
    </row>
    <row r="1953" spans="33:36" ht="11.25" customHeight="1" x14ac:dyDescent="0.2">
      <c r="AG1953" s="19"/>
      <c r="AJ1953" s="410"/>
    </row>
    <row r="1954" spans="33:36" ht="11.25" customHeight="1" x14ac:dyDescent="0.2">
      <c r="AG1954" s="19"/>
      <c r="AJ1954" s="410"/>
    </row>
    <row r="1955" spans="33:36" ht="11.25" customHeight="1" x14ac:dyDescent="0.2">
      <c r="AG1955" s="19"/>
      <c r="AJ1955" s="410"/>
    </row>
    <row r="1956" spans="33:36" ht="11.25" customHeight="1" x14ac:dyDescent="0.2">
      <c r="AG1956" s="19"/>
      <c r="AJ1956" s="410"/>
    </row>
    <row r="1957" spans="33:36" ht="11.25" customHeight="1" x14ac:dyDescent="0.2">
      <c r="AG1957" s="19"/>
      <c r="AJ1957" s="410"/>
    </row>
    <row r="1958" spans="33:36" ht="11.25" customHeight="1" x14ac:dyDescent="0.2">
      <c r="AG1958" s="19"/>
      <c r="AJ1958" s="410"/>
    </row>
    <row r="1959" spans="33:36" ht="11.25" customHeight="1" x14ac:dyDescent="0.2">
      <c r="AG1959" s="19"/>
      <c r="AJ1959" s="410"/>
    </row>
    <row r="1960" spans="33:36" ht="11.25" customHeight="1" x14ac:dyDescent="0.2">
      <c r="AG1960" s="19"/>
      <c r="AJ1960" s="410"/>
    </row>
    <row r="1961" spans="33:36" ht="11.25" customHeight="1" x14ac:dyDescent="0.2">
      <c r="AG1961" s="19"/>
      <c r="AJ1961" s="410"/>
    </row>
    <row r="1962" spans="33:36" ht="11.25" customHeight="1" x14ac:dyDescent="0.2">
      <c r="AG1962" s="19"/>
      <c r="AJ1962" s="410"/>
    </row>
    <row r="1963" spans="33:36" ht="11.25" customHeight="1" x14ac:dyDescent="0.2">
      <c r="AG1963" s="19"/>
      <c r="AJ1963" s="410"/>
    </row>
    <row r="1964" spans="33:36" ht="11.25" customHeight="1" x14ac:dyDescent="0.2">
      <c r="AG1964" s="19"/>
      <c r="AJ1964" s="410"/>
    </row>
    <row r="1965" spans="33:36" ht="11.25" customHeight="1" x14ac:dyDescent="0.2">
      <c r="AG1965" s="19"/>
      <c r="AJ1965" s="410"/>
    </row>
    <row r="1966" spans="33:36" ht="11.25" customHeight="1" x14ac:dyDescent="0.2">
      <c r="AG1966" s="19"/>
      <c r="AJ1966" s="410"/>
    </row>
    <row r="1967" spans="33:36" ht="11.25" customHeight="1" x14ac:dyDescent="0.2">
      <c r="AG1967" s="19"/>
      <c r="AJ1967" s="410"/>
    </row>
    <row r="1968" spans="33:36" ht="11.25" customHeight="1" x14ac:dyDescent="0.2">
      <c r="AG1968" s="19"/>
      <c r="AJ1968" s="410"/>
    </row>
    <row r="1969" spans="33:36" ht="11.25" customHeight="1" x14ac:dyDescent="0.2">
      <c r="AG1969" s="19"/>
      <c r="AJ1969" s="410"/>
    </row>
    <row r="1970" spans="33:36" ht="11.25" customHeight="1" x14ac:dyDescent="0.2">
      <c r="AG1970" s="19"/>
      <c r="AJ1970" s="410"/>
    </row>
    <row r="1971" spans="33:36" ht="11.25" customHeight="1" x14ac:dyDescent="0.2">
      <c r="AG1971" s="19"/>
      <c r="AJ1971" s="410"/>
    </row>
    <row r="1972" spans="33:36" ht="11.25" customHeight="1" x14ac:dyDescent="0.2">
      <c r="AG1972" s="19"/>
      <c r="AJ1972" s="410"/>
    </row>
    <row r="1973" spans="33:36" ht="11.25" customHeight="1" x14ac:dyDescent="0.2">
      <c r="AG1973" s="19"/>
      <c r="AJ1973" s="410"/>
    </row>
    <row r="1974" spans="33:36" ht="11.25" customHeight="1" x14ac:dyDescent="0.2">
      <c r="AG1974" s="19"/>
      <c r="AJ1974" s="410"/>
    </row>
    <row r="1975" spans="33:36" ht="11.25" customHeight="1" x14ac:dyDescent="0.2">
      <c r="AG1975" s="19"/>
      <c r="AJ1975" s="410"/>
    </row>
    <row r="1976" spans="33:36" ht="11.25" customHeight="1" x14ac:dyDescent="0.2">
      <c r="AG1976" s="19"/>
      <c r="AJ1976" s="410"/>
    </row>
    <row r="1977" spans="33:36" ht="11.25" customHeight="1" x14ac:dyDescent="0.2">
      <c r="AG1977" s="19"/>
      <c r="AJ1977" s="410"/>
    </row>
    <row r="1978" spans="33:36" ht="11.25" customHeight="1" x14ac:dyDescent="0.2">
      <c r="AG1978" s="19"/>
      <c r="AJ1978" s="410"/>
    </row>
    <row r="1979" spans="33:36" ht="11.25" customHeight="1" x14ac:dyDescent="0.2">
      <c r="AG1979" s="19"/>
      <c r="AJ1979" s="410"/>
    </row>
    <row r="1980" spans="33:36" ht="11.25" customHeight="1" x14ac:dyDescent="0.2">
      <c r="AG1980" s="19"/>
      <c r="AJ1980" s="410"/>
    </row>
    <row r="1981" spans="33:36" ht="11.25" customHeight="1" x14ac:dyDescent="0.2">
      <c r="AG1981" s="19"/>
      <c r="AJ1981" s="410"/>
    </row>
    <row r="1982" spans="33:36" ht="11.25" customHeight="1" x14ac:dyDescent="0.2">
      <c r="AG1982" s="19"/>
      <c r="AJ1982" s="410"/>
    </row>
    <row r="1983" spans="33:36" ht="11.25" customHeight="1" x14ac:dyDescent="0.2">
      <c r="AG1983" s="19"/>
      <c r="AJ1983" s="410"/>
    </row>
    <row r="1984" spans="33:36" ht="11.25" customHeight="1" x14ac:dyDescent="0.2">
      <c r="AG1984" s="19"/>
      <c r="AJ1984" s="410"/>
    </row>
    <row r="1985" spans="33:36" ht="11.25" customHeight="1" x14ac:dyDescent="0.2">
      <c r="AG1985" s="19"/>
      <c r="AJ1985" s="410"/>
    </row>
    <row r="1986" spans="33:36" ht="11.25" customHeight="1" x14ac:dyDescent="0.2">
      <c r="AG1986" s="19"/>
      <c r="AJ1986" s="410"/>
    </row>
    <row r="1987" spans="33:36" ht="11.25" customHeight="1" x14ac:dyDescent="0.2">
      <c r="AG1987" s="19"/>
      <c r="AJ1987" s="410"/>
    </row>
    <row r="1988" spans="33:36" ht="11.25" customHeight="1" x14ac:dyDescent="0.2">
      <c r="AG1988" s="19"/>
      <c r="AJ1988" s="410"/>
    </row>
    <row r="1989" spans="33:36" ht="11.25" customHeight="1" x14ac:dyDescent="0.2">
      <c r="AG1989" s="19"/>
      <c r="AJ1989" s="410"/>
    </row>
    <row r="1990" spans="33:36" ht="11.25" customHeight="1" x14ac:dyDescent="0.2">
      <c r="AG1990" s="19"/>
      <c r="AJ1990" s="410"/>
    </row>
    <row r="1991" spans="33:36" ht="11.25" customHeight="1" x14ac:dyDescent="0.2">
      <c r="AG1991" s="19"/>
      <c r="AJ1991" s="410"/>
    </row>
    <row r="1992" spans="33:36" ht="11.25" customHeight="1" x14ac:dyDescent="0.2">
      <c r="AG1992" s="19"/>
      <c r="AJ1992" s="410"/>
    </row>
    <row r="1993" spans="33:36" ht="11.25" customHeight="1" x14ac:dyDescent="0.2">
      <c r="AG1993" s="19"/>
      <c r="AJ1993" s="410"/>
    </row>
    <row r="1994" spans="33:36" ht="11.25" customHeight="1" x14ac:dyDescent="0.2">
      <c r="AG1994" s="19"/>
      <c r="AJ1994" s="410"/>
    </row>
    <row r="1995" spans="33:36" ht="11.25" customHeight="1" x14ac:dyDescent="0.2">
      <c r="AG1995" s="19"/>
      <c r="AJ1995" s="410"/>
    </row>
    <row r="1996" spans="33:36" ht="11.25" customHeight="1" x14ac:dyDescent="0.2">
      <c r="AG1996" s="19"/>
      <c r="AJ1996" s="410"/>
    </row>
    <row r="1997" spans="33:36" ht="11.25" customHeight="1" x14ac:dyDescent="0.2">
      <c r="AG1997" s="19"/>
      <c r="AJ1997" s="410"/>
    </row>
    <row r="1998" spans="33:36" ht="11.25" customHeight="1" x14ac:dyDescent="0.2">
      <c r="AG1998" s="19"/>
      <c r="AJ1998" s="410"/>
    </row>
    <row r="1999" spans="33:36" ht="11.25" customHeight="1" x14ac:dyDescent="0.2">
      <c r="AG1999" s="19"/>
      <c r="AJ1999" s="410"/>
    </row>
    <row r="2000" spans="33:36" ht="11.25" customHeight="1" x14ac:dyDescent="0.2">
      <c r="AG2000" s="19"/>
      <c r="AJ2000" s="410"/>
    </row>
    <row r="2001" spans="33:36" ht="11.25" customHeight="1" x14ac:dyDescent="0.2">
      <c r="AG2001" s="19"/>
      <c r="AJ2001" s="410"/>
    </row>
    <row r="2002" spans="33:36" ht="11.25" customHeight="1" x14ac:dyDescent="0.2">
      <c r="AG2002" s="19"/>
      <c r="AJ2002" s="410"/>
    </row>
    <row r="2003" spans="33:36" ht="11.25" customHeight="1" x14ac:dyDescent="0.2">
      <c r="AG2003" s="19"/>
      <c r="AJ2003" s="410"/>
    </row>
    <row r="2004" spans="33:36" ht="11.25" customHeight="1" x14ac:dyDescent="0.2">
      <c r="AG2004" s="19"/>
      <c r="AJ2004" s="410"/>
    </row>
    <row r="2005" spans="33:36" ht="11.25" customHeight="1" x14ac:dyDescent="0.2">
      <c r="AG2005" s="19"/>
      <c r="AJ2005" s="410"/>
    </row>
    <row r="2006" spans="33:36" ht="11.25" customHeight="1" x14ac:dyDescent="0.2">
      <c r="AG2006" s="19"/>
      <c r="AJ2006" s="410"/>
    </row>
    <row r="2007" spans="33:36" ht="11.25" customHeight="1" x14ac:dyDescent="0.2">
      <c r="AG2007" s="19"/>
      <c r="AJ2007" s="410"/>
    </row>
    <row r="2008" spans="33:36" ht="11.25" customHeight="1" x14ac:dyDescent="0.2">
      <c r="AG2008" s="19"/>
      <c r="AJ2008" s="410"/>
    </row>
    <row r="2009" spans="33:36" ht="11.25" customHeight="1" x14ac:dyDescent="0.2">
      <c r="AG2009" s="19"/>
      <c r="AJ2009" s="410"/>
    </row>
    <row r="2010" spans="33:36" ht="11.25" customHeight="1" x14ac:dyDescent="0.2">
      <c r="AG2010" s="19"/>
      <c r="AJ2010" s="410"/>
    </row>
    <row r="2011" spans="33:36" ht="11.25" customHeight="1" x14ac:dyDescent="0.2">
      <c r="AG2011" s="19"/>
      <c r="AJ2011" s="410"/>
    </row>
    <row r="2012" spans="33:36" ht="11.25" customHeight="1" x14ac:dyDescent="0.2">
      <c r="AG2012" s="19"/>
      <c r="AJ2012" s="410"/>
    </row>
    <row r="2013" spans="33:36" ht="11.25" customHeight="1" x14ac:dyDescent="0.2">
      <c r="AG2013" s="19"/>
      <c r="AJ2013" s="410"/>
    </row>
    <row r="2014" spans="33:36" ht="11.25" customHeight="1" x14ac:dyDescent="0.2">
      <c r="AG2014" s="19"/>
      <c r="AJ2014" s="410"/>
    </row>
    <row r="2015" spans="33:36" ht="11.25" customHeight="1" x14ac:dyDescent="0.2">
      <c r="AG2015" s="19"/>
      <c r="AJ2015" s="410"/>
    </row>
    <row r="2016" spans="33:36" ht="11.25" customHeight="1" x14ac:dyDescent="0.2">
      <c r="AG2016" s="19"/>
      <c r="AJ2016" s="410"/>
    </row>
    <row r="2017" spans="33:36" ht="11.25" customHeight="1" x14ac:dyDescent="0.2">
      <c r="AG2017" s="19"/>
      <c r="AJ2017" s="410"/>
    </row>
    <row r="2018" spans="33:36" ht="11.25" customHeight="1" x14ac:dyDescent="0.2">
      <c r="AG2018" s="19"/>
      <c r="AJ2018" s="410"/>
    </row>
    <row r="2019" spans="33:36" ht="11.25" customHeight="1" x14ac:dyDescent="0.2">
      <c r="AG2019" s="19"/>
      <c r="AJ2019" s="410"/>
    </row>
    <row r="2020" spans="33:36" ht="11.25" customHeight="1" x14ac:dyDescent="0.2">
      <c r="AG2020" s="19"/>
      <c r="AJ2020" s="410"/>
    </row>
    <row r="2021" spans="33:36" ht="11.25" customHeight="1" x14ac:dyDescent="0.2">
      <c r="AG2021" s="19"/>
      <c r="AJ2021" s="410"/>
    </row>
    <row r="2022" spans="33:36" ht="11.25" customHeight="1" x14ac:dyDescent="0.2">
      <c r="AG2022" s="19"/>
      <c r="AJ2022" s="410"/>
    </row>
    <row r="2023" spans="33:36" ht="11.25" customHeight="1" x14ac:dyDescent="0.2">
      <c r="AG2023" s="19"/>
      <c r="AJ2023" s="410"/>
    </row>
    <row r="2024" spans="33:36" ht="11.25" customHeight="1" x14ac:dyDescent="0.2">
      <c r="AG2024" s="19"/>
      <c r="AJ2024" s="410"/>
    </row>
    <row r="2025" spans="33:36" ht="11.25" customHeight="1" x14ac:dyDescent="0.2">
      <c r="AG2025" s="19"/>
      <c r="AJ2025" s="410"/>
    </row>
    <row r="2026" spans="33:36" ht="11.25" customHeight="1" x14ac:dyDescent="0.2">
      <c r="AG2026" s="19"/>
      <c r="AJ2026" s="410"/>
    </row>
    <row r="2027" spans="33:36" ht="11.25" customHeight="1" x14ac:dyDescent="0.2">
      <c r="AG2027" s="19"/>
      <c r="AJ2027" s="410"/>
    </row>
    <row r="2028" spans="33:36" ht="11.25" customHeight="1" x14ac:dyDescent="0.2">
      <c r="AG2028" s="19"/>
      <c r="AJ2028" s="410"/>
    </row>
    <row r="2029" spans="33:36" ht="11.25" customHeight="1" x14ac:dyDescent="0.2">
      <c r="AG2029" s="19"/>
      <c r="AJ2029" s="410"/>
    </row>
    <row r="2030" spans="33:36" ht="11.25" customHeight="1" x14ac:dyDescent="0.2">
      <c r="AG2030" s="19"/>
      <c r="AJ2030" s="410"/>
    </row>
    <row r="2031" spans="33:36" ht="11.25" customHeight="1" x14ac:dyDescent="0.2">
      <c r="AG2031" s="19"/>
      <c r="AJ2031" s="410"/>
    </row>
    <row r="2032" spans="33:36" ht="11.25" customHeight="1" x14ac:dyDescent="0.2">
      <c r="AG2032" s="19"/>
      <c r="AJ2032" s="410"/>
    </row>
    <row r="2033" spans="33:36" ht="11.25" customHeight="1" x14ac:dyDescent="0.2">
      <c r="AG2033" s="19"/>
      <c r="AJ2033" s="410"/>
    </row>
    <row r="2034" spans="33:36" ht="11.25" customHeight="1" x14ac:dyDescent="0.2">
      <c r="AG2034" s="19"/>
      <c r="AJ2034" s="410"/>
    </row>
    <row r="2035" spans="33:36" ht="11.25" customHeight="1" x14ac:dyDescent="0.2">
      <c r="AG2035" s="19"/>
      <c r="AJ2035" s="410"/>
    </row>
    <row r="2036" spans="33:36" ht="11.25" customHeight="1" x14ac:dyDescent="0.2">
      <c r="AG2036" s="19"/>
      <c r="AJ2036" s="410"/>
    </row>
    <row r="2037" spans="33:36" ht="11.25" customHeight="1" x14ac:dyDescent="0.2">
      <c r="AG2037" s="19"/>
      <c r="AJ2037" s="410"/>
    </row>
    <row r="2038" spans="33:36" ht="11.25" customHeight="1" x14ac:dyDescent="0.2">
      <c r="AG2038" s="19"/>
      <c r="AJ2038" s="410"/>
    </row>
    <row r="2039" spans="33:36" ht="11.25" customHeight="1" x14ac:dyDescent="0.2">
      <c r="AG2039" s="19"/>
      <c r="AJ2039" s="410"/>
    </row>
    <row r="2040" spans="33:36" ht="11.25" customHeight="1" x14ac:dyDescent="0.2">
      <c r="AG2040" s="19"/>
      <c r="AJ2040" s="410"/>
    </row>
    <row r="2041" spans="33:36" ht="11.25" customHeight="1" x14ac:dyDescent="0.2">
      <c r="AG2041" s="19"/>
      <c r="AJ2041" s="410"/>
    </row>
    <row r="2042" spans="33:36" ht="11.25" customHeight="1" x14ac:dyDescent="0.2">
      <c r="AG2042" s="19"/>
      <c r="AJ2042" s="410"/>
    </row>
    <row r="2043" spans="33:36" ht="11.25" customHeight="1" x14ac:dyDescent="0.2">
      <c r="AG2043" s="19"/>
      <c r="AJ2043" s="410"/>
    </row>
    <row r="2044" spans="33:36" ht="11.25" customHeight="1" x14ac:dyDescent="0.2">
      <c r="AG2044" s="19"/>
      <c r="AJ2044" s="410"/>
    </row>
    <row r="2045" spans="33:36" ht="11.25" customHeight="1" x14ac:dyDescent="0.2">
      <c r="AG2045" s="19"/>
      <c r="AJ2045" s="410"/>
    </row>
    <row r="2046" spans="33:36" ht="11.25" customHeight="1" x14ac:dyDescent="0.2">
      <c r="AG2046" s="19"/>
      <c r="AJ2046" s="410"/>
    </row>
    <row r="2047" spans="33:36" ht="11.25" customHeight="1" x14ac:dyDescent="0.2">
      <c r="AG2047" s="19"/>
      <c r="AJ2047" s="410"/>
    </row>
    <row r="2048" spans="33:36" ht="11.25" customHeight="1" x14ac:dyDescent="0.2">
      <c r="AG2048" s="19"/>
      <c r="AJ2048" s="410"/>
    </row>
    <row r="2049" spans="33:36" ht="11.25" customHeight="1" x14ac:dyDescent="0.2">
      <c r="AG2049" s="19"/>
      <c r="AJ2049" s="410"/>
    </row>
    <row r="2050" spans="33:36" ht="11.25" customHeight="1" x14ac:dyDescent="0.2">
      <c r="AG2050" s="19"/>
      <c r="AJ2050" s="410"/>
    </row>
    <row r="2051" spans="33:36" ht="11.25" customHeight="1" x14ac:dyDescent="0.2">
      <c r="AG2051" s="19"/>
      <c r="AJ2051" s="410"/>
    </row>
    <row r="2052" spans="33:36" ht="11.25" customHeight="1" x14ac:dyDescent="0.2">
      <c r="AG2052" s="19"/>
      <c r="AJ2052" s="410"/>
    </row>
    <row r="2053" spans="33:36" ht="11.25" customHeight="1" x14ac:dyDescent="0.2">
      <c r="AG2053" s="19"/>
      <c r="AJ2053" s="410"/>
    </row>
    <row r="2054" spans="33:36" ht="11.25" customHeight="1" x14ac:dyDescent="0.2">
      <c r="AG2054" s="19"/>
      <c r="AJ2054" s="410"/>
    </row>
    <row r="2055" spans="33:36" ht="11.25" customHeight="1" x14ac:dyDescent="0.2">
      <c r="AG2055" s="19"/>
      <c r="AJ2055" s="410"/>
    </row>
    <row r="2056" spans="33:36" ht="11.25" customHeight="1" x14ac:dyDescent="0.2">
      <c r="AG2056" s="19"/>
      <c r="AJ2056" s="410"/>
    </row>
    <row r="2057" spans="33:36" ht="11.25" customHeight="1" x14ac:dyDescent="0.2">
      <c r="AG2057" s="19"/>
      <c r="AJ2057" s="410"/>
    </row>
    <row r="2058" spans="33:36" ht="11.25" customHeight="1" x14ac:dyDescent="0.2">
      <c r="AG2058" s="19"/>
      <c r="AJ2058" s="410"/>
    </row>
    <row r="2059" spans="33:36" ht="11.25" customHeight="1" x14ac:dyDescent="0.2">
      <c r="AG2059" s="19"/>
      <c r="AJ2059" s="410"/>
    </row>
    <row r="2060" spans="33:36" ht="11.25" customHeight="1" x14ac:dyDescent="0.2">
      <c r="AG2060" s="19"/>
      <c r="AJ2060" s="410"/>
    </row>
    <row r="2061" spans="33:36" ht="11.25" customHeight="1" x14ac:dyDescent="0.2">
      <c r="AG2061" s="19"/>
      <c r="AJ2061" s="410"/>
    </row>
    <row r="2062" spans="33:36" ht="11.25" customHeight="1" x14ac:dyDescent="0.2">
      <c r="AG2062" s="19"/>
      <c r="AJ2062" s="410"/>
    </row>
    <row r="2063" spans="33:36" ht="11.25" customHeight="1" x14ac:dyDescent="0.2">
      <c r="AG2063" s="19"/>
      <c r="AJ2063" s="410"/>
    </row>
    <row r="2064" spans="33:36" ht="11.25" customHeight="1" x14ac:dyDescent="0.2">
      <c r="AG2064" s="19"/>
      <c r="AJ2064" s="410"/>
    </row>
    <row r="2065" spans="33:36" ht="11.25" customHeight="1" x14ac:dyDescent="0.2">
      <c r="AG2065" s="19"/>
      <c r="AJ2065" s="410"/>
    </row>
    <row r="2066" spans="33:36" ht="11.25" customHeight="1" x14ac:dyDescent="0.2">
      <c r="AG2066" s="19"/>
      <c r="AJ2066" s="410"/>
    </row>
    <row r="2067" spans="33:36" ht="11.25" customHeight="1" x14ac:dyDescent="0.2">
      <c r="AG2067" s="19"/>
      <c r="AJ2067" s="410"/>
    </row>
    <row r="2068" spans="33:36" ht="11.25" customHeight="1" x14ac:dyDescent="0.2">
      <c r="AG2068" s="19"/>
      <c r="AJ2068" s="410"/>
    </row>
    <row r="2069" spans="33:36" ht="11.25" customHeight="1" x14ac:dyDescent="0.2">
      <c r="AG2069" s="19"/>
      <c r="AJ2069" s="410"/>
    </row>
    <row r="2070" spans="33:36" ht="11.25" customHeight="1" x14ac:dyDescent="0.2">
      <c r="AG2070" s="19"/>
      <c r="AJ2070" s="410"/>
    </row>
    <row r="2071" spans="33:36" ht="11.25" customHeight="1" x14ac:dyDescent="0.2">
      <c r="AG2071" s="19"/>
      <c r="AJ2071" s="410"/>
    </row>
    <row r="2072" spans="33:36" ht="11.25" customHeight="1" x14ac:dyDescent="0.2">
      <c r="AG2072" s="19"/>
      <c r="AJ2072" s="410"/>
    </row>
    <row r="2073" spans="33:36" ht="11.25" customHeight="1" x14ac:dyDescent="0.2">
      <c r="AG2073" s="19"/>
      <c r="AJ2073" s="410"/>
    </row>
    <row r="2074" spans="33:36" ht="11.25" customHeight="1" x14ac:dyDescent="0.2">
      <c r="AG2074" s="19"/>
      <c r="AJ2074" s="410"/>
    </row>
    <row r="2075" spans="33:36" ht="11.25" customHeight="1" x14ac:dyDescent="0.2">
      <c r="AG2075" s="19"/>
      <c r="AJ2075" s="410"/>
    </row>
    <row r="2076" spans="33:36" ht="11.25" customHeight="1" x14ac:dyDescent="0.2">
      <c r="AG2076" s="19"/>
      <c r="AJ2076" s="410"/>
    </row>
    <row r="2077" spans="33:36" ht="11.25" customHeight="1" x14ac:dyDescent="0.2">
      <c r="AG2077" s="19"/>
      <c r="AJ2077" s="410"/>
    </row>
    <row r="2078" spans="33:36" ht="11.25" customHeight="1" x14ac:dyDescent="0.2">
      <c r="AG2078" s="19"/>
      <c r="AJ2078" s="410"/>
    </row>
    <row r="2079" spans="33:36" ht="11.25" customHeight="1" x14ac:dyDescent="0.2">
      <c r="AG2079" s="19"/>
      <c r="AJ2079" s="410"/>
    </row>
    <row r="2080" spans="33:36" ht="11.25" customHeight="1" x14ac:dyDescent="0.2">
      <c r="AG2080" s="19"/>
      <c r="AJ2080" s="410"/>
    </row>
    <row r="2081" spans="33:36" ht="11.25" customHeight="1" x14ac:dyDescent="0.2">
      <c r="AG2081" s="19"/>
      <c r="AJ2081" s="410"/>
    </row>
    <row r="2082" spans="33:36" ht="11.25" customHeight="1" x14ac:dyDescent="0.2">
      <c r="AG2082" s="19"/>
      <c r="AJ2082" s="410"/>
    </row>
    <row r="2083" spans="33:36" ht="11.25" customHeight="1" x14ac:dyDescent="0.2">
      <c r="AG2083" s="19"/>
      <c r="AJ2083" s="410"/>
    </row>
    <row r="2084" spans="33:36" ht="11.25" customHeight="1" x14ac:dyDescent="0.2">
      <c r="AG2084" s="19"/>
      <c r="AJ2084" s="410"/>
    </row>
    <row r="2085" spans="33:36" ht="11.25" customHeight="1" x14ac:dyDescent="0.2">
      <c r="AG2085" s="19"/>
      <c r="AJ2085" s="410"/>
    </row>
    <row r="2086" spans="33:36" ht="11.25" customHeight="1" x14ac:dyDescent="0.2">
      <c r="AG2086" s="19"/>
      <c r="AJ2086" s="410"/>
    </row>
    <row r="2087" spans="33:36" ht="11.25" customHeight="1" x14ac:dyDescent="0.2">
      <c r="AG2087" s="19"/>
      <c r="AJ2087" s="410"/>
    </row>
    <row r="2088" spans="33:36" ht="11.25" customHeight="1" x14ac:dyDescent="0.2">
      <c r="AG2088" s="19"/>
      <c r="AJ2088" s="410"/>
    </row>
    <row r="2089" spans="33:36" ht="11.25" customHeight="1" x14ac:dyDescent="0.2">
      <c r="AG2089" s="19"/>
      <c r="AJ2089" s="410"/>
    </row>
    <row r="2090" spans="33:36" ht="11.25" customHeight="1" x14ac:dyDescent="0.2">
      <c r="AG2090" s="19"/>
      <c r="AJ2090" s="410"/>
    </row>
    <row r="2091" spans="33:36" ht="11.25" customHeight="1" x14ac:dyDescent="0.2">
      <c r="AG2091" s="19"/>
      <c r="AJ2091" s="410"/>
    </row>
    <row r="2092" spans="33:36" ht="11.25" customHeight="1" x14ac:dyDescent="0.2">
      <c r="AG2092" s="19"/>
      <c r="AJ2092" s="410"/>
    </row>
    <row r="2093" spans="33:36" ht="11.25" customHeight="1" x14ac:dyDescent="0.2">
      <c r="AG2093" s="19"/>
      <c r="AJ2093" s="410"/>
    </row>
    <row r="2094" spans="33:36" ht="11.25" customHeight="1" x14ac:dyDescent="0.2">
      <c r="AG2094" s="19"/>
      <c r="AJ2094" s="410"/>
    </row>
    <row r="2095" spans="33:36" ht="11.25" customHeight="1" x14ac:dyDescent="0.2">
      <c r="AG2095" s="19"/>
      <c r="AJ2095" s="410"/>
    </row>
    <row r="2096" spans="33:36" ht="11.25" customHeight="1" x14ac:dyDescent="0.2">
      <c r="AG2096" s="19"/>
      <c r="AJ2096" s="410"/>
    </row>
    <row r="2097" spans="33:36" ht="11.25" customHeight="1" x14ac:dyDescent="0.2">
      <c r="AG2097" s="19"/>
      <c r="AJ2097" s="410"/>
    </row>
    <row r="2098" spans="33:36" ht="11.25" customHeight="1" x14ac:dyDescent="0.2">
      <c r="AG2098" s="19"/>
      <c r="AJ2098" s="410"/>
    </row>
    <row r="2099" spans="33:36" ht="11.25" customHeight="1" x14ac:dyDescent="0.2">
      <c r="AG2099" s="19"/>
      <c r="AJ2099" s="410"/>
    </row>
    <row r="2100" spans="33:36" ht="11.25" customHeight="1" x14ac:dyDescent="0.2">
      <c r="AG2100" s="19"/>
      <c r="AJ2100" s="410"/>
    </row>
    <row r="2101" spans="33:36" ht="11.25" customHeight="1" x14ac:dyDescent="0.2">
      <c r="AG2101" s="19"/>
      <c r="AJ2101" s="410"/>
    </row>
    <row r="2102" spans="33:36" ht="11.25" customHeight="1" x14ac:dyDescent="0.2">
      <c r="AG2102" s="19"/>
      <c r="AJ2102" s="410"/>
    </row>
    <row r="2103" spans="33:36" ht="11.25" customHeight="1" x14ac:dyDescent="0.2">
      <c r="AG2103" s="19"/>
      <c r="AJ2103" s="410"/>
    </row>
    <row r="2104" spans="33:36" ht="11.25" customHeight="1" x14ac:dyDescent="0.2">
      <c r="AG2104" s="19"/>
      <c r="AJ2104" s="410"/>
    </row>
    <row r="2105" spans="33:36" ht="11.25" customHeight="1" x14ac:dyDescent="0.2">
      <c r="AG2105" s="19"/>
      <c r="AJ2105" s="410"/>
    </row>
    <row r="2106" spans="33:36" ht="11.25" customHeight="1" x14ac:dyDescent="0.2">
      <c r="AG2106" s="19"/>
      <c r="AJ2106" s="410"/>
    </row>
    <row r="2107" spans="33:36" ht="11.25" customHeight="1" x14ac:dyDescent="0.2">
      <c r="AG2107" s="19"/>
      <c r="AJ2107" s="410"/>
    </row>
    <row r="2108" spans="33:36" ht="11.25" customHeight="1" x14ac:dyDescent="0.2">
      <c r="AG2108" s="19"/>
      <c r="AJ2108" s="410"/>
    </row>
    <row r="2109" spans="33:36" ht="11.25" customHeight="1" x14ac:dyDescent="0.2">
      <c r="AG2109" s="19"/>
      <c r="AJ2109" s="410"/>
    </row>
    <row r="2110" spans="33:36" ht="11.25" customHeight="1" x14ac:dyDescent="0.2">
      <c r="AG2110" s="19"/>
      <c r="AJ2110" s="410"/>
    </row>
    <row r="2111" spans="33:36" ht="11.25" customHeight="1" x14ac:dyDescent="0.2">
      <c r="AG2111" s="19"/>
      <c r="AJ2111" s="410"/>
    </row>
    <row r="2112" spans="33:36" ht="11.25" customHeight="1" x14ac:dyDescent="0.2">
      <c r="AG2112" s="19"/>
      <c r="AJ2112" s="410"/>
    </row>
    <row r="2113" spans="33:36" ht="11.25" customHeight="1" x14ac:dyDescent="0.2">
      <c r="AG2113" s="19"/>
      <c r="AJ2113" s="410"/>
    </row>
    <row r="2114" spans="33:36" ht="11.25" customHeight="1" x14ac:dyDescent="0.2">
      <c r="AG2114" s="19"/>
      <c r="AJ2114" s="410"/>
    </row>
    <row r="2115" spans="33:36" ht="11.25" customHeight="1" x14ac:dyDescent="0.2">
      <c r="AG2115" s="19"/>
      <c r="AJ2115" s="410"/>
    </row>
    <row r="2116" spans="33:36" ht="11.25" customHeight="1" x14ac:dyDescent="0.2">
      <c r="AG2116" s="19"/>
      <c r="AJ2116" s="410"/>
    </row>
    <row r="2117" spans="33:36" ht="11.25" customHeight="1" x14ac:dyDescent="0.2">
      <c r="AG2117" s="19"/>
      <c r="AJ2117" s="410"/>
    </row>
    <row r="2118" spans="33:36" ht="11.25" customHeight="1" x14ac:dyDescent="0.2">
      <c r="AG2118" s="19"/>
      <c r="AJ2118" s="410"/>
    </row>
    <row r="2119" spans="33:36" ht="11.25" customHeight="1" x14ac:dyDescent="0.2">
      <c r="AG2119" s="19"/>
      <c r="AJ2119" s="410"/>
    </row>
    <row r="2120" spans="33:36" ht="11.25" customHeight="1" x14ac:dyDescent="0.2">
      <c r="AG2120" s="19"/>
      <c r="AJ2120" s="410"/>
    </row>
    <row r="2121" spans="33:36" ht="11.25" customHeight="1" x14ac:dyDescent="0.2">
      <c r="AG2121" s="19"/>
      <c r="AJ2121" s="410"/>
    </row>
    <row r="2122" spans="33:36" ht="11.25" customHeight="1" x14ac:dyDescent="0.2">
      <c r="AG2122" s="19"/>
      <c r="AJ2122" s="410"/>
    </row>
    <row r="2123" spans="33:36" ht="11.25" customHeight="1" x14ac:dyDescent="0.2">
      <c r="AG2123" s="19"/>
      <c r="AJ2123" s="410"/>
    </row>
    <row r="2124" spans="33:36" ht="11.25" customHeight="1" x14ac:dyDescent="0.2">
      <c r="AG2124" s="19"/>
      <c r="AJ2124" s="410"/>
    </row>
    <row r="2125" spans="33:36" ht="11.25" customHeight="1" x14ac:dyDescent="0.2">
      <c r="AG2125" s="19"/>
      <c r="AJ2125" s="410"/>
    </row>
    <row r="2126" spans="33:36" ht="11.25" customHeight="1" x14ac:dyDescent="0.2">
      <c r="AG2126" s="19"/>
      <c r="AJ2126" s="410"/>
    </row>
    <row r="2127" spans="33:36" ht="11.25" customHeight="1" x14ac:dyDescent="0.2">
      <c r="AG2127" s="19"/>
      <c r="AJ2127" s="410"/>
    </row>
    <row r="2128" spans="33:36" ht="11.25" customHeight="1" x14ac:dyDescent="0.2">
      <c r="AG2128" s="19"/>
      <c r="AJ2128" s="410"/>
    </row>
    <row r="2129" spans="33:36" ht="11.25" customHeight="1" x14ac:dyDescent="0.2">
      <c r="AG2129" s="19"/>
      <c r="AJ2129" s="410"/>
    </row>
    <row r="2130" spans="33:36" ht="11.25" customHeight="1" x14ac:dyDescent="0.2">
      <c r="AG2130" s="19"/>
      <c r="AJ2130" s="410"/>
    </row>
    <row r="2131" spans="33:36" ht="11.25" customHeight="1" x14ac:dyDescent="0.2">
      <c r="AG2131" s="19"/>
      <c r="AJ2131" s="410"/>
    </row>
    <row r="2132" spans="33:36" ht="11.25" customHeight="1" x14ac:dyDescent="0.2">
      <c r="AG2132" s="19"/>
      <c r="AJ2132" s="410"/>
    </row>
    <row r="2133" spans="33:36" ht="11.25" customHeight="1" x14ac:dyDescent="0.2">
      <c r="AG2133" s="19"/>
      <c r="AJ2133" s="410"/>
    </row>
    <row r="2134" spans="33:36" ht="11.25" customHeight="1" x14ac:dyDescent="0.2">
      <c r="AG2134" s="19"/>
      <c r="AJ2134" s="410"/>
    </row>
    <row r="2135" spans="33:36" ht="11.25" customHeight="1" x14ac:dyDescent="0.2">
      <c r="AG2135" s="19"/>
      <c r="AJ2135" s="410"/>
    </row>
    <row r="2136" spans="33:36" ht="11.25" customHeight="1" x14ac:dyDescent="0.2">
      <c r="AG2136" s="19"/>
      <c r="AJ2136" s="410"/>
    </row>
    <row r="2137" spans="33:36" ht="11.25" customHeight="1" x14ac:dyDescent="0.2">
      <c r="AG2137" s="19"/>
      <c r="AJ2137" s="410"/>
    </row>
    <row r="2138" spans="33:36" ht="11.25" customHeight="1" x14ac:dyDescent="0.2">
      <c r="AG2138" s="19"/>
      <c r="AJ2138" s="410"/>
    </row>
    <row r="2139" spans="33:36" ht="11.25" customHeight="1" x14ac:dyDescent="0.2">
      <c r="AG2139" s="19"/>
      <c r="AJ2139" s="410"/>
    </row>
    <row r="2140" spans="33:36" ht="11.25" customHeight="1" x14ac:dyDescent="0.2">
      <c r="AG2140" s="19"/>
      <c r="AJ2140" s="410"/>
    </row>
    <row r="2141" spans="33:36" ht="11.25" customHeight="1" x14ac:dyDescent="0.2">
      <c r="AG2141" s="19"/>
      <c r="AJ2141" s="410"/>
    </row>
    <row r="2142" spans="33:36" ht="11.25" customHeight="1" x14ac:dyDescent="0.2">
      <c r="AG2142" s="19"/>
      <c r="AJ2142" s="410"/>
    </row>
    <row r="2143" spans="33:36" ht="11.25" customHeight="1" x14ac:dyDescent="0.2">
      <c r="AG2143" s="19"/>
      <c r="AJ2143" s="410"/>
    </row>
    <row r="2144" spans="33:36" ht="11.25" customHeight="1" x14ac:dyDescent="0.2">
      <c r="AG2144" s="19"/>
      <c r="AJ2144" s="410"/>
    </row>
    <row r="2145" spans="33:36" ht="11.25" customHeight="1" x14ac:dyDescent="0.2">
      <c r="AG2145" s="19"/>
      <c r="AJ2145" s="410"/>
    </row>
    <row r="2146" spans="33:36" ht="11.25" customHeight="1" x14ac:dyDescent="0.2">
      <c r="AG2146" s="19"/>
      <c r="AJ2146" s="410"/>
    </row>
    <row r="2147" spans="33:36" ht="11.25" customHeight="1" x14ac:dyDescent="0.2">
      <c r="AG2147" s="19"/>
      <c r="AJ2147" s="410"/>
    </row>
    <row r="2148" spans="33:36" ht="11.25" customHeight="1" x14ac:dyDescent="0.2">
      <c r="AG2148" s="19"/>
      <c r="AJ2148" s="410"/>
    </row>
    <row r="2149" spans="33:36" ht="11.25" customHeight="1" x14ac:dyDescent="0.2">
      <c r="AG2149" s="19"/>
      <c r="AJ2149" s="410"/>
    </row>
    <row r="2150" spans="33:36" ht="11.25" customHeight="1" x14ac:dyDescent="0.2">
      <c r="AG2150" s="19"/>
      <c r="AJ2150" s="410"/>
    </row>
    <row r="2151" spans="33:36" ht="11.25" customHeight="1" x14ac:dyDescent="0.2">
      <c r="AG2151" s="19"/>
      <c r="AJ2151" s="410"/>
    </row>
    <row r="2152" spans="33:36" ht="11.25" customHeight="1" x14ac:dyDescent="0.2">
      <c r="AG2152" s="19"/>
      <c r="AJ2152" s="410"/>
    </row>
    <row r="2153" spans="33:36" ht="11.25" customHeight="1" x14ac:dyDescent="0.2">
      <c r="AG2153" s="19"/>
      <c r="AJ2153" s="410"/>
    </row>
    <row r="2154" spans="33:36" ht="11.25" customHeight="1" x14ac:dyDescent="0.2">
      <c r="AG2154" s="19"/>
      <c r="AJ2154" s="410"/>
    </row>
    <row r="2155" spans="33:36" ht="11.25" customHeight="1" x14ac:dyDescent="0.2">
      <c r="AG2155" s="19"/>
      <c r="AJ2155" s="410"/>
    </row>
    <row r="2156" spans="33:36" ht="11.25" customHeight="1" x14ac:dyDescent="0.2">
      <c r="AG2156" s="19"/>
      <c r="AJ2156" s="410"/>
    </row>
    <row r="2157" spans="33:36" ht="11.25" customHeight="1" x14ac:dyDescent="0.2">
      <c r="AG2157" s="19"/>
      <c r="AJ2157" s="410"/>
    </row>
    <row r="2158" spans="33:36" ht="11.25" customHeight="1" x14ac:dyDescent="0.2">
      <c r="AG2158" s="19"/>
      <c r="AJ2158" s="410"/>
    </row>
    <row r="2159" spans="33:36" ht="11.25" customHeight="1" x14ac:dyDescent="0.2">
      <c r="AG2159" s="19"/>
      <c r="AJ2159" s="410"/>
    </row>
    <row r="2160" spans="33:36" ht="11.25" customHeight="1" x14ac:dyDescent="0.2">
      <c r="AG2160" s="19"/>
      <c r="AJ2160" s="410"/>
    </row>
    <row r="2161" spans="33:36" ht="11.25" customHeight="1" x14ac:dyDescent="0.2">
      <c r="AG2161" s="19"/>
      <c r="AJ2161" s="410"/>
    </row>
    <row r="2162" spans="33:36" ht="11.25" customHeight="1" x14ac:dyDescent="0.2">
      <c r="AG2162" s="19"/>
      <c r="AJ2162" s="410"/>
    </row>
    <row r="2163" spans="33:36" ht="11.25" customHeight="1" x14ac:dyDescent="0.2">
      <c r="AG2163" s="19"/>
      <c r="AJ2163" s="410"/>
    </row>
    <row r="2164" spans="33:36" ht="11.25" customHeight="1" x14ac:dyDescent="0.2">
      <c r="AG2164" s="19"/>
      <c r="AJ2164" s="410"/>
    </row>
    <row r="2165" spans="33:36" ht="11.25" customHeight="1" x14ac:dyDescent="0.2">
      <c r="AG2165" s="19"/>
      <c r="AJ2165" s="410"/>
    </row>
    <row r="2166" spans="33:36" ht="11.25" customHeight="1" x14ac:dyDescent="0.2">
      <c r="AG2166" s="19"/>
      <c r="AJ2166" s="410"/>
    </row>
    <row r="2167" spans="33:36" ht="11.25" customHeight="1" x14ac:dyDescent="0.2">
      <c r="AG2167" s="19"/>
      <c r="AJ2167" s="410"/>
    </row>
    <row r="2168" spans="33:36" ht="11.25" customHeight="1" x14ac:dyDescent="0.2">
      <c r="AG2168" s="19"/>
      <c r="AJ2168" s="410"/>
    </row>
    <row r="2169" spans="33:36" ht="11.25" customHeight="1" x14ac:dyDescent="0.2">
      <c r="AG2169" s="19"/>
      <c r="AJ2169" s="410"/>
    </row>
    <row r="2170" spans="33:36" ht="11.25" customHeight="1" x14ac:dyDescent="0.2">
      <c r="AG2170" s="19"/>
      <c r="AJ2170" s="410"/>
    </row>
    <row r="2171" spans="33:36" ht="11.25" customHeight="1" x14ac:dyDescent="0.2">
      <c r="AG2171" s="19"/>
      <c r="AJ2171" s="410"/>
    </row>
    <row r="2172" spans="33:36" ht="11.25" customHeight="1" x14ac:dyDescent="0.2">
      <c r="AG2172" s="19"/>
      <c r="AJ2172" s="410"/>
    </row>
    <row r="2173" spans="33:36" ht="11.25" customHeight="1" x14ac:dyDescent="0.2">
      <c r="AG2173" s="19"/>
      <c r="AJ2173" s="410"/>
    </row>
    <row r="2174" spans="33:36" ht="11.25" customHeight="1" x14ac:dyDescent="0.2">
      <c r="AG2174" s="19"/>
      <c r="AJ2174" s="410"/>
    </row>
    <row r="2175" spans="33:36" ht="11.25" customHeight="1" x14ac:dyDescent="0.2">
      <c r="AG2175" s="19"/>
      <c r="AJ2175" s="410"/>
    </row>
    <row r="2176" spans="33:36" ht="11.25" customHeight="1" x14ac:dyDescent="0.2">
      <c r="AG2176" s="19"/>
      <c r="AJ2176" s="410"/>
    </row>
    <row r="2177" spans="33:36" ht="11.25" customHeight="1" x14ac:dyDescent="0.2">
      <c r="AG2177" s="19"/>
      <c r="AJ2177" s="410"/>
    </row>
    <row r="2178" spans="33:36" ht="11.25" customHeight="1" x14ac:dyDescent="0.2">
      <c r="AG2178" s="19"/>
      <c r="AJ2178" s="410"/>
    </row>
    <row r="2179" spans="33:36" ht="11.25" customHeight="1" x14ac:dyDescent="0.2">
      <c r="AG2179" s="19"/>
      <c r="AJ2179" s="410"/>
    </row>
    <row r="2180" spans="33:36" ht="11.25" customHeight="1" x14ac:dyDescent="0.2">
      <c r="AG2180" s="19"/>
      <c r="AJ2180" s="410"/>
    </row>
    <row r="2181" spans="33:36" ht="11.25" customHeight="1" x14ac:dyDescent="0.2">
      <c r="AG2181" s="19"/>
      <c r="AJ2181" s="410"/>
    </row>
    <row r="2182" spans="33:36" ht="11.25" customHeight="1" x14ac:dyDescent="0.2">
      <c r="AG2182" s="19"/>
      <c r="AJ2182" s="410"/>
    </row>
    <row r="2183" spans="33:36" ht="11.25" customHeight="1" x14ac:dyDescent="0.2">
      <c r="AG2183" s="19"/>
      <c r="AJ2183" s="410"/>
    </row>
    <row r="2184" spans="33:36" ht="11.25" customHeight="1" x14ac:dyDescent="0.2">
      <c r="AG2184" s="19"/>
      <c r="AJ2184" s="410"/>
    </row>
    <row r="2185" spans="33:36" ht="11.25" customHeight="1" x14ac:dyDescent="0.2">
      <c r="AG2185" s="19"/>
      <c r="AJ2185" s="410"/>
    </row>
    <row r="2186" spans="33:36" ht="11.25" customHeight="1" x14ac:dyDescent="0.2">
      <c r="AG2186" s="19"/>
      <c r="AJ2186" s="410"/>
    </row>
    <row r="2187" spans="33:36" ht="11.25" customHeight="1" x14ac:dyDescent="0.2">
      <c r="AG2187" s="19"/>
      <c r="AJ2187" s="410"/>
    </row>
    <row r="2188" spans="33:36" ht="11.25" customHeight="1" x14ac:dyDescent="0.2">
      <c r="AG2188" s="19"/>
      <c r="AJ2188" s="410"/>
    </row>
    <row r="2189" spans="33:36" ht="11.25" customHeight="1" x14ac:dyDescent="0.2">
      <c r="AG2189" s="19"/>
      <c r="AJ2189" s="410"/>
    </row>
    <row r="2190" spans="33:36" ht="11.25" customHeight="1" x14ac:dyDescent="0.2">
      <c r="AG2190" s="19"/>
      <c r="AJ2190" s="410"/>
    </row>
    <row r="2191" spans="33:36" ht="11.25" customHeight="1" x14ac:dyDescent="0.2">
      <c r="AG2191" s="19"/>
      <c r="AJ2191" s="410"/>
    </row>
    <row r="2192" spans="33:36" ht="11.25" customHeight="1" x14ac:dyDescent="0.2">
      <c r="AG2192" s="19"/>
      <c r="AJ2192" s="410"/>
    </row>
    <row r="2193" spans="33:36" ht="11.25" customHeight="1" x14ac:dyDescent="0.2">
      <c r="AG2193" s="19"/>
      <c r="AJ2193" s="410"/>
    </row>
    <row r="2194" spans="33:36" ht="11.25" customHeight="1" x14ac:dyDescent="0.2">
      <c r="AG2194" s="19"/>
      <c r="AJ2194" s="410"/>
    </row>
    <row r="2195" spans="33:36" ht="11.25" customHeight="1" x14ac:dyDescent="0.2">
      <c r="AG2195" s="19"/>
      <c r="AJ2195" s="410"/>
    </row>
    <row r="2196" spans="33:36" ht="11.25" customHeight="1" x14ac:dyDescent="0.2">
      <c r="AG2196" s="19"/>
      <c r="AJ2196" s="410"/>
    </row>
    <row r="2197" spans="33:36" ht="11.25" customHeight="1" x14ac:dyDescent="0.2">
      <c r="AG2197" s="19"/>
      <c r="AJ2197" s="410"/>
    </row>
    <row r="2198" spans="33:36" ht="11.25" customHeight="1" x14ac:dyDescent="0.2">
      <c r="AG2198" s="19"/>
      <c r="AJ2198" s="410"/>
    </row>
    <row r="2199" spans="33:36" ht="11.25" customHeight="1" x14ac:dyDescent="0.2">
      <c r="AG2199" s="19"/>
      <c r="AJ2199" s="410"/>
    </row>
    <row r="2200" spans="33:36" ht="11.25" customHeight="1" x14ac:dyDescent="0.2">
      <c r="AG2200" s="19"/>
      <c r="AJ2200" s="410"/>
    </row>
    <row r="2201" spans="33:36" ht="11.25" customHeight="1" x14ac:dyDescent="0.2">
      <c r="AG2201" s="19"/>
      <c r="AJ2201" s="410"/>
    </row>
    <row r="2202" spans="33:36" ht="11.25" customHeight="1" x14ac:dyDescent="0.2">
      <c r="AG2202" s="19"/>
      <c r="AJ2202" s="410"/>
    </row>
    <row r="2203" spans="33:36" ht="11.25" customHeight="1" x14ac:dyDescent="0.2">
      <c r="AG2203" s="19"/>
      <c r="AJ2203" s="410"/>
    </row>
    <row r="2204" spans="33:36" ht="11.25" customHeight="1" x14ac:dyDescent="0.2">
      <c r="AG2204" s="19"/>
      <c r="AJ2204" s="410"/>
    </row>
    <row r="2205" spans="33:36" ht="11.25" customHeight="1" x14ac:dyDescent="0.2">
      <c r="AG2205" s="19"/>
      <c r="AJ2205" s="410"/>
    </row>
    <row r="2206" spans="33:36" ht="11.25" customHeight="1" x14ac:dyDescent="0.2">
      <c r="AG2206" s="19"/>
      <c r="AJ2206" s="410"/>
    </row>
    <row r="2207" spans="33:36" ht="11.25" customHeight="1" x14ac:dyDescent="0.2">
      <c r="AG2207" s="19"/>
      <c r="AJ2207" s="410"/>
    </row>
    <row r="2208" spans="33:36" ht="11.25" customHeight="1" x14ac:dyDescent="0.2">
      <c r="AG2208" s="19"/>
      <c r="AJ2208" s="410"/>
    </row>
    <row r="2209" spans="33:36" ht="11.25" customHeight="1" x14ac:dyDescent="0.2">
      <c r="AG2209" s="19"/>
      <c r="AJ2209" s="410"/>
    </row>
    <row r="2210" spans="33:36" ht="11.25" customHeight="1" x14ac:dyDescent="0.2">
      <c r="AG2210" s="19"/>
      <c r="AJ2210" s="410"/>
    </row>
    <row r="2211" spans="33:36" ht="11.25" customHeight="1" x14ac:dyDescent="0.2">
      <c r="AG2211" s="19"/>
      <c r="AJ2211" s="410"/>
    </row>
    <row r="2212" spans="33:36" ht="11.25" customHeight="1" x14ac:dyDescent="0.2">
      <c r="AG2212" s="19"/>
      <c r="AJ2212" s="410"/>
    </row>
    <row r="2213" spans="33:36" ht="11.25" customHeight="1" x14ac:dyDescent="0.2">
      <c r="AG2213" s="19"/>
      <c r="AJ2213" s="410"/>
    </row>
    <row r="2214" spans="33:36" ht="11.25" customHeight="1" x14ac:dyDescent="0.2">
      <c r="AG2214" s="19"/>
      <c r="AJ2214" s="410"/>
    </row>
    <row r="2215" spans="33:36" ht="11.25" customHeight="1" x14ac:dyDescent="0.2">
      <c r="AG2215" s="19"/>
      <c r="AJ2215" s="410"/>
    </row>
    <row r="2216" spans="33:36" ht="11.25" customHeight="1" x14ac:dyDescent="0.2">
      <c r="AG2216" s="19"/>
      <c r="AJ2216" s="410"/>
    </row>
    <row r="2217" spans="33:36" ht="11.25" customHeight="1" x14ac:dyDescent="0.2">
      <c r="AG2217" s="19"/>
      <c r="AJ2217" s="410"/>
    </row>
    <row r="2218" spans="33:36" ht="11.25" customHeight="1" x14ac:dyDescent="0.2">
      <c r="AG2218" s="19"/>
      <c r="AJ2218" s="410"/>
    </row>
    <row r="2219" spans="33:36" ht="11.25" customHeight="1" x14ac:dyDescent="0.2">
      <c r="AG2219" s="19"/>
      <c r="AJ2219" s="410"/>
    </row>
    <row r="2220" spans="33:36" ht="11.25" customHeight="1" x14ac:dyDescent="0.2">
      <c r="AG2220" s="19"/>
      <c r="AJ2220" s="410"/>
    </row>
    <row r="2221" spans="33:36" ht="11.25" customHeight="1" x14ac:dyDescent="0.2">
      <c r="AG2221" s="19"/>
      <c r="AJ2221" s="410"/>
    </row>
    <row r="2222" spans="33:36" ht="11.25" customHeight="1" x14ac:dyDescent="0.2">
      <c r="AG2222" s="19"/>
      <c r="AJ2222" s="410"/>
    </row>
    <row r="2223" spans="33:36" ht="11.25" customHeight="1" x14ac:dyDescent="0.2">
      <c r="AG2223" s="19"/>
      <c r="AJ2223" s="410"/>
    </row>
    <row r="2224" spans="33:36" ht="11.25" customHeight="1" x14ac:dyDescent="0.2">
      <c r="AG2224" s="19"/>
      <c r="AJ2224" s="410"/>
    </row>
    <row r="2225" spans="33:36" ht="11.25" customHeight="1" x14ac:dyDescent="0.2">
      <c r="AG2225" s="19"/>
      <c r="AJ2225" s="410"/>
    </row>
    <row r="2226" spans="33:36" ht="11.25" customHeight="1" x14ac:dyDescent="0.2">
      <c r="AG2226" s="19"/>
      <c r="AJ2226" s="410"/>
    </row>
    <row r="2227" spans="33:36" ht="11.25" customHeight="1" x14ac:dyDescent="0.2">
      <c r="AG2227" s="19"/>
      <c r="AJ2227" s="410"/>
    </row>
    <row r="2228" spans="33:36" ht="11.25" customHeight="1" x14ac:dyDescent="0.2">
      <c r="AG2228" s="19"/>
      <c r="AJ2228" s="410"/>
    </row>
    <row r="2229" spans="33:36" ht="11.25" customHeight="1" x14ac:dyDescent="0.2">
      <c r="AG2229" s="19"/>
      <c r="AJ2229" s="410"/>
    </row>
    <row r="2230" spans="33:36" ht="11.25" customHeight="1" x14ac:dyDescent="0.2">
      <c r="AG2230" s="19"/>
      <c r="AJ2230" s="410"/>
    </row>
    <row r="2231" spans="33:36" ht="11.25" customHeight="1" x14ac:dyDescent="0.2">
      <c r="AG2231" s="19"/>
      <c r="AJ2231" s="410"/>
    </row>
    <row r="2232" spans="33:36" ht="11.25" customHeight="1" x14ac:dyDescent="0.2">
      <c r="AG2232" s="19"/>
      <c r="AJ2232" s="410"/>
    </row>
    <row r="2233" spans="33:36" ht="11.25" customHeight="1" x14ac:dyDescent="0.2">
      <c r="AG2233" s="19"/>
      <c r="AJ2233" s="410"/>
    </row>
    <row r="2234" spans="33:36" ht="11.25" customHeight="1" x14ac:dyDescent="0.2">
      <c r="AG2234" s="19"/>
      <c r="AJ2234" s="410"/>
    </row>
    <row r="2235" spans="33:36" ht="11.25" customHeight="1" x14ac:dyDescent="0.2">
      <c r="AG2235" s="19"/>
      <c r="AJ2235" s="410"/>
    </row>
    <row r="2236" spans="33:36" ht="11.25" customHeight="1" x14ac:dyDescent="0.2">
      <c r="AG2236" s="19"/>
      <c r="AJ2236" s="410"/>
    </row>
    <row r="2237" spans="33:36" ht="11.25" customHeight="1" x14ac:dyDescent="0.2">
      <c r="AG2237" s="19"/>
      <c r="AJ2237" s="410"/>
    </row>
    <row r="2238" spans="33:36" ht="11.25" customHeight="1" x14ac:dyDescent="0.2">
      <c r="AG2238" s="19"/>
      <c r="AJ2238" s="410"/>
    </row>
    <row r="2239" spans="33:36" ht="11.25" customHeight="1" x14ac:dyDescent="0.2">
      <c r="AG2239" s="19"/>
      <c r="AJ2239" s="410"/>
    </row>
    <row r="2240" spans="33:36" ht="11.25" customHeight="1" x14ac:dyDescent="0.2">
      <c r="AG2240" s="19"/>
      <c r="AJ2240" s="410"/>
    </row>
    <row r="2241" spans="33:36" ht="11.25" customHeight="1" x14ac:dyDescent="0.2">
      <c r="AG2241" s="19"/>
      <c r="AJ2241" s="410"/>
    </row>
    <row r="2242" spans="33:36" ht="11.25" customHeight="1" x14ac:dyDescent="0.2">
      <c r="AG2242" s="19"/>
      <c r="AJ2242" s="410"/>
    </row>
    <row r="2243" spans="33:36" ht="11.25" customHeight="1" x14ac:dyDescent="0.2">
      <c r="AG2243" s="19"/>
      <c r="AJ2243" s="410"/>
    </row>
    <row r="2244" spans="33:36" ht="11.25" customHeight="1" x14ac:dyDescent="0.2">
      <c r="AG2244" s="19"/>
      <c r="AJ2244" s="410"/>
    </row>
    <row r="2245" spans="33:36" ht="11.25" customHeight="1" x14ac:dyDescent="0.2">
      <c r="AG2245" s="19"/>
      <c r="AJ2245" s="410"/>
    </row>
    <row r="2246" spans="33:36" ht="11.25" customHeight="1" x14ac:dyDescent="0.2">
      <c r="AG2246" s="19"/>
      <c r="AJ2246" s="410"/>
    </row>
    <row r="2247" spans="33:36" ht="11.25" customHeight="1" x14ac:dyDescent="0.2">
      <c r="AG2247" s="19"/>
      <c r="AJ2247" s="410"/>
    </row>
    <row r="2248" spans="33:36" ht="11.25" customHeight="1" x14ac:dyDescent="0.2">
      <c r="AG2248" s="19"/>
      <c r="AJ2248" s="410"/>
    </row>
    <row r="2249" spans="33:36" ht="11.25" customHeight="1" x14ac:dyDescent="0.2">
      <c r="AG2249" s="19"/>
      <c r="AJ2249" s="410"/>
    </row>
    <row r="2250" spans="33:36" ht="11.25" customHeight="1" x14ac:dyDescent="0.2">
      <c r="AG2250" s="19"/>
      <c r="AJ2250" s="410"/>
    </row>
    <row r="2251" spans="33:36" ht="11.25" customHeight="1" x14ac:dyDescent="0.2">
      <c r="AG2251" s="19"/>
      <c r="AJ2251" s="410"/>
    </row>
    <row r="2252" spans="33:36" ht="11.25" customHeight="1" x14ac:dyDescent="0.2">
      <c r="AG2252" s="19"/>
      <c r="AJ2252" s="410"/>
    </row>
    <row r="2253" spans="33:36" ht="11.25" customHeight="1" x14ac:dyDescent="0.2">
      <c r="AG2253" s="19"/>
      <c r="AJ2253" s="410"/>
    </row>
    <row r="2254" spans="33:36" ht="11.25" customHeight="1" x14ac:dyDescent="0.2">
      <c r="AG2254" s="19"/>
      <c r="AJ2254" s="410"/>
    </row>
    <row r="2255" spans="33:36" ht="11.25" customHeight="1" x14ac:dyDescent="0.2">
      <c r="AG2255" s="19"/>
      <c r="AJ2255" s="410"/>
    </row>
    <row r="2256" spans="33:36" ht="11.25" customHeight="1" x14ac:dyDescent="0.2">
      <c r="AG2256" s="19"/>
      <c r="AJ2256" s="410"/>
    </row>
    <row r="2257" spans="33:36" ht="11.25" customHeight="1" x14ac:dyDescent="0.2">
      <c r="AG2257" s="19"/>
      <c r="AJ2257" s="410"/>
    </row>
    <row r="2258" spans="33:36" ht="11.25" customHeight="1" x14ac:dyDescent="0.2">
      <c r="AG2258" s="19"/>
      <c r="AJ2258" s="410"/>
    </row>
    <row r="2259" spans="33:36" ht="11.25" customHeight="1" x14ac:dyDescent="0.2">
      <c r="AG2259" s="19"/>
      <c r="AJ2259" s="410"/>
    </row>
    <row r="2260" spans="33:36" ht="11.25" customHeight="1" x14ac:dyDescent="0.2">
      <c r="AG2260" s="19"/>
      <c r="AJ2260" s="410"/>
    </row>
    <row r="2261" spans="33:36" ht="11.25" customHeight="1" x14ac:dyDescent="0.2">
      <c r="AG2261" s="19"/>
      <c r="AJ2261" s="410"/>
    </row>
    <row r="2262" spans="33:36" ht="11.25" customHeight="1" x14ac:dyDescent="0.2">
      <c r="AG2262" s="19"/>
      <c r="AJ2262" s="410"/>
    </row>
    <row r="2263" spans="33:36" ht="11.25" customHeight="1" x14ac:dyDescent="0.2">
      <c r="AG2263" s="19"/>
      <c r="AJ2263" s="410"/>
    </row>
    <row r="2264" spans="33:36" ht="11.25" customHeight="1" x14ac:dyDescent="0.2">
      <c r="AG2264" s="19"/>
      <c r="AJ2264" s="410"/>
    </row>
    <row r="2265" spans="33:36" ht="11.25" customHeight="1" x14ac:dyDescent="0.2">
      <c r="AG2265" s="19"/>
      <c r="AJ2265" s="410"/>
    </row>
    <row r="2266" spans="33:36" ht="11.25" customHeight="1" x14ac:dyDescent="0.2">
      <c r="AG2266" s="19"/>
      <c r="AJ2266" s="410"/>
    </row>
    <row r="2267" spans="33:36" ht="11.25" customHeight="1" x14ac:dyDescent="0.2">
      <c r="AG2267" s="19"/>
      <c r="AJ2267" s="410"/>
    </row>
    <row r="2268" spans="33:36" ht="11.25" customHeight="1" x14ac:dyDescent="0.2">
      <c r="AG2268" s="19"/>
      <c r="AJ2268" s="410"/>
    </row>
    <row r="2269" spans="33:36" ht="11.25" customHeight="1" x14ac:dyDescent="0.2">
      <c r="AG2269" s="19"/>
      <c r="AJ2269" s="410"/>
    </row>
    <row r="2270" spans="33:36" ht="11.25" customHeight="1" x14ac:dyDescent="0.2">
      <c r="AG2270" s="19"/>
      <c r="AJ2270" s="410"/>
    </row>
    <row r="2271" spans="33:36" ht="11.25" customHeight="1" x14ac:dyDescent="0.2">
      <c r="AG2271" s="19"/>
      <c r="AJ2271" s="410"/>
    </row>
    <row r="2272" spans="33:36" ht="11.25" customHeight="1" x14ac:dyDescent="0.2">
      <c r="AG2272" s="19"/>
      <c r="AJ2272" s="410"/>
    </row>
    <row r="2273" spans="33:36" ht="11.25" customHeight="1" x14ac:dyDescent="0.2">
      <c r="AG2273" s="19"/>
      <c r="AJ2273" s="410"/>
    </row>
    <row r="2274" spans="33:36" ht="11.25" customHeight="1" x14ac:dyDescent="0.2">
      <c r="AG2274" s="19"/>
      <c r="AJ2274" s="410"/>
    </row>
    <row r="2275" spans="33:36" ht="11.25" customHeight="1" x14ac:dyDescent="0.2">
      <c r="AG2275" s="19"/>
      <c r="AJ2275" s="410"/>
    </row>
    <row r="2276" spans="33:36" ht="11.25" customHeight="1" x14ac:dyDescent="0.2">
      <c r="AG2276" s="19"/>
      <c r="AJ2276" s="410"/>
    </row>
    <row r="2277" spans="33:36" ht="11.25" customHeight="1" x14ac:dyDescent="0.2">
      <c r="AG2277" s="19"/>
      <c r="AJ2277" s="410"/>
    </row>
    <row r="2278" spans="33:36" ht="11.25" customHeight="1" x14ac:dyDescent="0.2">
      <c r="AG2278" s="19"/>
      <c r="AJ2278" s="410"/>
    </row>
    <row r="2279" spans="33:36" ht="11.25" customHeight="1" x14ac:dyDescent="0.2">
      <c r="AG2279" s="19"/>
      <c r="AJ2279" s="410"/>
    </row>
    <row r="2280" spans="33:36" ht="11.25" customHeight="1" x14ac:dyDescent="0.2">
      <c r="AG2280" s="19"/>
      <c r="AJ2280" s="410"/>
    </row>
    <row r="2281" spans="33:36" ht="11.25" customHeight="1" x14ac:dyDescent="0.2">
      <c r="AG2281" s="19"/>
      <c r="AJ2281" s="410"/>
    </row>
    <row r="2282" spans="33:36" ht="11.25" customHeight="1" x14ac:dyDescent="0.2">
      <c r="AG2282" s="19"/>
      <c r="AJ2282" s="410"/>
    </row>
    <row r="2283" spans="33:36" ht="11.25" customHeight="1" x14ac:dyDescent="0.2">
      <c r="AG2283" s="19"/>
      <c r="AJ2283" s="410"/>
    </row>
    <row r="2284" spans="33:36" ht="11.25" customHeight="1" x14ac:dyDescent="0.2">
      <c r="AG2284" s="19"/>
      <c r="AJ2284" s="410"/>
    </row>
    <row r="2285" spans="33:36" ht="11.25" customHeight="1" x14ac:dyDescent="0.2">
      <c r="AG2285" s="19"/>
      <c r="AJ2285" s="410"/>
    </row>
    <row r="2286" spans="33:36" ht="11.25" customHeight="1" x14ac:dyDescent="0.2">
      <c r="AG2286" s="19"/>
      <c r="AJ2286" s="410"/>
    </row>
    <row r="2287" spans="33:36" ht="11.25" customHeight="1" x14ac:dyDescent="0.2">
      <c r="AG2287" s="19"/>
      <c r="AJ2287" s="410"/>
    </row>
    <row r="2288" spans="33:36" ht="11.25" customHeight="1" x14ac:dyDescent="0.2">
      <c r="AG2288" s="19"/>
      <c r="AJ2288" s="410"/>
    </row>
    <row r="2289" spans="33:36" ht="11.25" customHeight="1" x14ac:dyDescent="0.2">
      <c r="AG2289" s="19"/>
      <c r="AJ2289" s="410"/>
    </row>
    <row r="2290" spans="33:36" ht="11.25" customHeight="1" x14ac:dyDescent="0.2">
      <c r="AG2290" s="19"/>
      <c r="AJ2290" s="410"/>
    </row>
    <row r="2291" spans="33:36" ht="11.25" customHeight="1" x14ac:dyDescent="0.2">
      <c r="AG2291" s="19"/>
      <c r="AJ2291" s="410"/>
    </row>
    <row r="2292" spans="33:36" ht="11.25" customHeight="1" x14ac:dyDescent="0.2">
      <c r="AG2292" s="19"/>
      <c r="AJ2292" s="410"/>
    </row>
    <row r="2293" spans="33:36" ht="11.25" customHeight="1" x14ac:dyDescent="0.2">
      <c r="AG2293" s="19"/>
      <c r="AJ2293" s="410"/>
    </row>
    <row r="2294" spans="33:36" ht="11.25" customHeight="1" x14ac:dyDescent="0.2">
      <c r="AG2294" s="19"/>
      <c r="AJ2294" s="410"/>
    </row>
    <row r="2295" spans="33:36" ht="11.25" customHeight="1" x14ac:dyDescent="0.2">
      <c r="AG2295" s="19"/>
      <c r="AJ2295" s="410"/>
    </row>
    <row r="2296" spans="33:36" ht="11.25" customHeight="1" x14ac:dyDescent="0.2">
      <c r="AG2296" s="19"/>
      <c r="AJ2296" s="410"/>
    </row>
    <row r="2297" spans="33:36" ht="11.25" customHeight="1" x14ac:dyDescent="0.2">
      <c r="AG2297" s="19"/>
      <c r="AJ2297" s="410"/>
    </row>
    <row r="2298" spans="33:36" ht="11.25" customHeight="1" x14ac:dyDescent="0.2">
      <c r="AG2298" s="19"/>
      <c r="AJ2298" s="410"/>
    </row>
    <row r="2299" spans="33:36" ht="11.25" customHeight="1" x14ac:dyDescent="0.2">
      <c r="AG2299" s="19"/>
      <c r="AJ2299" s="410"/>
    </row>
    <row r="2300" spans="33:36" ht="11.25" customHeight="1" x14ac:dyDescent="0.2">
      <c r="AG2300" s="19"/>
      <c r="AJ2300" s="410"/>
    </row>
    <row r="2301" spans="33:36" ht="11.25" customHeight="1" x14ac:dyDescent="0.2">
      <c r="AG2301" s="19"/>
      <c r="AJ2301" s="410"/>
    </row>
    <row r="2302" spans="33:36" ht="11.25" customHeight="1" x14ac:dyDescent="0.2">
      <c r="AG2302" s="19"/>
      <c r="AJ2302" s="410"/>
    </row>
    <row r="2303" spans="33:36" ht="11.25" customHeight="1" x14ac:dyDescent="0.2">
      <c r="AG2303" s="19"/>
      <c r="AJ2303" s="410"/>
    </row>
    <row r="2304" spans="33:36" ht="11.25" customHeight="1" x14ac:dyDescent="0.2">
      <c r="AG2304" s="19"/>
      <c r="AJ2304" s="410"/>
    </row>
    <row r="2305" spans="33:36" ht="11.25" customHeight="1" x14ac:dyDescent="0.2">
      <c r="AG2305" s="19"/>
      <c r="AJ2305" s="410"/>
    </row>
    <row r="2306" spans="33:36" ht="11.25" customHeight="1" x14ac:dyDescent="0.2">
      <c r="AG2306" s="19"/>
      <c r="AJ2306" s="410"/>
    </row>
    <row r="2307" spans="33:36" ht="11.25" customHeight="1" x14ac:dyDescent="0.2">
      <c r="AG2307" s="19"/>
      <c r="AJ2307" s="410"/>
    </row>
    <row r="2308" spans="33:36" ht="11.25" customHeight="1" x14ac:dyDescent="0.2">
      <c r="AG2308" s="19"/>
      <c r="AJ2308" s="410"/>
    </row>
    <row r="2309" spans="33:36" ht="11.25" customHeight="1" x14ac:dyDescent="0.2">
      <c r="AG2309" s="19"/>
      <c r="AJ2309" s="410"/>
    </row>
    <row r="2310" spans="33:36" ht="11.25" customHeight="1" x14ac:dyDescent="0.2">
      <c r="AG2310" s="19"/>
      <c r="AJ2310" s="410"/>
    </row>
    <row r="2311" spans="33:36" ht="11.25" customHeight="1" x14ac:dyDescent="0.2">
      <c r="AG2311" s="19"/>
      <c r="AJ2311" s="410"/>
    </row>
    <row r="2312" spans="33:36" ht="11.25" customHeight="1" x14ac:dyDescent="0.2">
      <c r="AG2312" s="19"/>
      <c r="AJ2312" s="410"/>
    </row>
    <row r="2313" spans="33:36" ht="11.25" customHeight="1" x14ac:dyDescent="0.2">
      <c r="AG2313" s="19"/>
      <c r="AJ2313" s="410"/>
    </row>
    <row r="2314" spans="33:36" ht="11.25" customHeight="1" x14ac:dyDescent="0.2">
      <c r="AG2314" s="19"/>
      <c r="AJ2314" s="410"/>
    </row>
    <row r="2315" spans="33:36" ht="11.25" customHeight="1" x14ac:dyDescent="0.2">
      <c r="AG2315" s="19"/>
      <c r="AJ2315" s="410"/>
    </row>
    <row r="2316" spans="33:36" ht="11.25" customHeight="1" x14ac:dyDescent="0.2">
      <c r="AG2316" s="19"/>
      <c r="AJ2316" s="410"/>
    </row>
    <row r="2317" spans="33:36" ht="11.25" customHeight="1" x14ac:dyDescent="0.2">
      <c r="AG2317" s="19"/>
      <c r="AJ2317" s="410"/>
    </row>
    <row r="2318" spans="33:36" ht="11.25" customHeight="1" x14ac:dyDescent="0.2">
      <c r="AG2318" s="19"/>
      <c r="AJ2318" s="410"/>
    </row>
    <row r="2319" spans="33:36" ht="11.25" customHeight="1" x14ac:dyDescent="0.2">
      <c r="AG2319" s="19"/>
      <c r="AJ2319" s="410"/>
    </row>
    <row r="2320" spans="33:36" ht="11.25" customHeight="1" x14ac:dyDescent="0.2">
      <c r="AG2320" s="19"/>
      <c r="AJ2320" s="410"/>
    </row>
    <row r="2321" spans="33:36" ht="11.25" customHeight="1" x14ac:dyDescent="0.2">
      <c r="AG2321" s="19"/>
      <c r="AJ2321" s="410"/>
    </row>
    <row r="2322" spans="33:36" ht="11.25" customHeight="1" x14ac:dyDescent="0.2">
      <c r="AG2322" s="19"/>
      <c r="AJ2322" s="410"/>
    </row>
    <row r="2323" spans="33:36" ht="11.25" customHeight="1" x14ac:dyDescent="0.2">
      <c r="AG2323" s="19"/>
      <c r="AJ2323" s="410"/>
    </row>
    <row r="2324" spans="33:36" ht="11.25" customHeight="1" x14ac:dyDescent="0.2">
      <c r="AG2324" s="19"/>
      <c r="AJ2324" s="410"/>
    </row>
    <row r="2325" spans="33:36" ht="11.25" customHeight="1" x14ac:dyDescent="0.2">
      <c r="AG2325" s="19"/>
      <c r="AJ2325" s="410"/>
    </row>
    <row r="2326" spans="33:36" ht="11.25" customHeight="1" x14ac:dyDescent="0.2">
      <c r="AG2326" s="19"/>
      <c r="AJ2326" s="410"/>
    </row>
    <row r="2327" spans="33:36" ht="11.25" customHeight="1" x14ac:dyDescent="0.2">
      <c r="AG2327" s="19"/>
      <c r="AJ2327" s="410"/>
    </row>
    <row r="2328" spans="33:36" ht="11.25" customHeight="1" x14ac:dyDescent="0.2">
      <c r="AG2328" s="19"/>
      <c r="AJ2328" s="410"/>
    </row>
    <row r="2329" spans="33:36" ht="11.25" customHeight="1" x14ac:dyDescent="0.2">
      <c r="AG2329" s="19"/>
      <c r="AJ2329" s="410"/>
    </row>
    <row r="2330" spans="33:36" ht="11.25" customHeight="1" x14ac:dyDescent="0.2">
      <c r="AG2330" s="19"/>
      <c r="AJ2330" s="410"/>
    </row>
    <row r="2331" spans="33:36" ht="11.25" customHeight="1" x14ac:dyDescent="0.2">
      <c r="AG2331" s="19"/>
      <c r="AJ2331" s="410"/>
    </row>
    <row r="2332" spans="33:36" ht="11.25" customHeight="1" x14ac:dyDescent="0.2">
      <c r="AG2332" s="19"/>
      <c r="AJ2332" s="410"/>
    </row>
    <row r="2333" spans="33:36" ht="11.25" customHeight="1" x14ac:dyDescent="0.2">
      <c r="AG2333" s="19"/>
      <c r="AJ2333" s="410"/>
    </row>
    <row r="2334" spans="33:36" ht="11.25" customHeight="1" x14ac:dyDescent="0.2">
      <c r="AG2334" s="19"/>
      <c r="AJ2334" s="410"/>
    </row>
    <row r="2335" spans="33:36" ht="11.25" customHeight="1" x14ac:dyDescent="0.2">
      <c r="AG2335" s="19"/>
      <c r="AJ2335" s="410"/>
    </row>
    <row r="2336" spans="33:36" ht="11.25" customHeight="1" x14ac:dyDescent="0.2">
      <c r="AG2336" s="19"/>
      <c r="AJ2336" s="410"/>
    </row>
    <row r="2337" spans="33:36" ht="11.25" customHeight="1" x14ac:dyDescent="0.2">
      <c r="AG2337" s="19"/>
      <c r="AJ2337" s="410"/>
    </row>
    <row r="2338" spans="33:36" ht="11.25" customHeight="1" x14ac:dyDescent="0.2">
      <c r="AG2338" s="19"/>
      <c r="AJ2338" s="410"/>
    </row>
    <row r="2339" spans="33:36" ht="11.25" customHeight="1" x14ac:dyDescent="0.2">
      <c r="AG2339" s="19"/>
      <c r="AJ2339" s="410"/>
    </row>
    <row r="2340" spans="33:36" ht="11.25" customHeight="1" x14ac:dyDescent="0.2">
      <c r="AG2340" s="19"/>
      <c r="AJ2340" s="410"/>
    </row>
    <row r="2341" spans="33:36" ht="11.25" customHeight="1" x14ac:dyDescent="0.2">
      <c r="AG2341" s="19"/>
      <c r="AJ2341" s="410"/>
    </row>
    <row r="2342" spans="33:36" ht="11.25" customHeight="1" x14ac:dyDescent="0.2">
      <c r="AG2342" s="19"/>
      <c r="AJ2342" s="410"/>
    </row>
    <row r="2343" spans="33:36" ht="11.25" customHeight="1" x14ac:dyDescent="0.2">
      <c r="AG2343" s="19"/>
      <c r="AJ2343" s="410"/>
    </row>
    <row r="2344" spans="33:36" ht="11.25" customHeight="1" x14ac:dyDescent="0.2">
      <c r="AG2344" s="19"/>
      <c r="AJ2344" s="410"/>
    </row>
    <row r="2345" spans="33:36" ht="11.25" customHeight="1" x14ac:dyDescent="0.2">
      <c r="AG2345" s="19"/>
      <c r="AJ2345" s="410"/>
    </row>
    <row r="2346" spans="33:36" ht="11.25" customHeight="1" x14ac:dyDescent="0.2">
      <c r="AG2346" s="19"/>
      <c r="AJ2346" s="410"/>
    </row>
    <row r="2347" spans="33:36" ht="11.25" customHeight="1" x14ac:dyDescent="0.2">
      <c r="AG2347" s="19"/>
      <c r="AJ2347" s="410"/>
    </row>
    <row r="2348" spans="33:36" ht="11.25" customHeight="1" x14ac:dyDescent="0.2">
      <c r="AG2348" s="19"/>
      <c r="AJ2348" s="410"/>
    </row>
    <row r="2349" spans="33:36" ht="11.25" customHeight="1" x14ac:dyDescent="0.2">
      <c r="AG2349" s="19"/>
      <c r="AJ2349" s="410"/>
    </row>
    <row r="2350" spans="33:36" ht="11.25" customHeight="1" x14ac:dyDescent="0.2">
      <c r="AG2350" s="19"/>
      <c r="AJ2350" s="410"/>
    </row>
    <row r="2351" spans="33:36" ht="11.25" customHeight="1" x14ac:dyDescent="0.2">
      <c r="AG2351" s="19"/>
      <c r="AJ2351" s="410"/>
    </row>
    <row r="2352" spans="33:36" ht="11.25" customHeight="1" x14ac:dyDescent="0.2">
      <c r="AG2352" s="19"/>
      <c r="AJ2352" s="410"/>
    </row>
    <row r="2353" spans="33:36" ht="11.25" customHeight="1" x14ac:dyDescent="0.2">
      <c r="AG2353" s="19"/>
      <c r="AJ2353" s="410"/>
    </row>
    <row r="2354" spans="33:36" ht="11.25" customHeight="1" x14ac:dyDescent="0.2">
      <c r="AG2354" s="19"/>
      <c r="AJ2354" s="410"/>
    </row>
    <row r="2355" spans="33:36" ht="11.25" customHeight="1" x14ac:dyDescent="0.2">
      <c r="AG2355" s="19"/>
      <c r="AJ2355" s="410"/>
    </row>
    <row r="2356" spans="33:36" ht="11.25" customHeight="1" x14ac:dyDescent="0.2">
      <c r="AG2356" s="19"/>
      <c r="AJ2356" s="410"/>
    </row>
    <row r="2357" spans="33:36" ht="11.25" customHeight="1" x14ac:dyDescent="0.2">
      <c r="AG2357" s="19"/>
      <c r="AJ2357" s="410"/>
    </row>
    <row r="2358" spans="33:36" ht="11.25" customHeight="1" x14ac:dyDescent="0.2">
      <c r="AG2358" s="19"/>
      <c r="AJ2358" s="410"/>
    </row>
    <row r="2359" spans="33:36" ht="11.25" customHeight="1" x14ac:dyDescent="0.2">
      <c r="AG2359" s="19"/>
      <c r="AJ2359" s="410"/>
    </row>
    <row r="2360" spans="33:36" ht="11.25" customHeight="1" x14ac:dyDescent="0.2">
      <c r="AG2360" s="19"/>
      <c r="AJ2360" s="410"/>
    </row>
    <row r="2361" spans="33:36" ht="11.25" customHeight="1" x14ac:dyDescent="0.2">
      <c r="AG2361" s="19"/>
      <c r="AJ2361" s="410"/>
    </row>
    <row r="2362" spans="33:36" ht="11.25" customHeight="1" x14ac:dyDescent="0.2">
      <c r="AG2362" s="19"/>
      <c r="AJ2362" s="410"/>
    </row>
    <row r="2363" spans="33:36" ht="11.25" customHeight="1" x14ac:dyDescent="0.2">
      <c r="AG2363" s="19"/>
      <c r="AJ2363" s="410"/>
    </row>
    <row r="2364" spans="33:36" ht="11.25" customHeight="1" x14ac:dyDescent="0.2">
      <c r="AG2364" s="19"/>
      <c r="AJ2364" s="410"/>
    </row>
    <row r="2365" spans="33:36" ht="11.25" customHeight="1" x14ac:dyDescent="0.2">
      <c r="AG2365" s="19"/>
      <c r="AJ2365" s="410"/>
    </row>
    <row r="2366" spans="33:36" ht="11.25" customHeight="1" x14ac:dyDescent="0.2">
      <c r="AG2366" s="19"/>
      <c r="AJ2366" s="410"/>
    </row>
    <row r="2367" spans="33:36" ht="11.25" customHeight="1" x14ac:dyDescent="0.2">
      <c r="AG2367" s="19"/>
      <c r="AJ2367" s="410"/>
    </row>
    <row r="2368" spans="33:36" ht="11.25" customHeight="1" x14ac:dyDescent="0.2">
      <c r="AG2368" s="19"/>
      <c r="AJ2368" s="410"/>
    </row>
    <row r="2369" spans="33:36" ht="11.25" customHeight="1" x14ac:dyDescent="0.2">
      <c r="AG2369" s="19"/>
      <c r="AJ2369" s="410"/>
    </row>
    <row r="2370" spans="33:36" ht="11.25" customHeight="1" x14ac:dyDescent="0.2">
      <c r="AG2370" s="19"/>
      <c r="AJ2370" s="410"/>
    </row>
    <row r="2371" spans="33:36" ht="11.25" customHeight="1" x14ac:dyDescent="0.2">
      <c r="AG2371" s="19"/>
      <c r="AJ2371" s="410"/>
    </row>
    <row r="2372" spans="33:36" ht="11.25" customHeight="1" x14ac:dyDescent="0.2">
      <c r="AG2372" s="19"/>
      <c r="AJ2372" s="410"/>
    </row>
    <row r="2373" spans="33:36" ht="11.25" customHeight="1" x14ac:dyDescent="0.2">
      <c r="AG2373" s="19"/>
      <c r="AJ2373" s="410"/>
    </row>
    <row r="2374" spans="33:36" ht="11.25" customHeight="1" x14ac:dyDescent="0.2">
      <c r="AG2374" s="19"/>
      <c r="AJ2374" s="410"/>
    </row>
    <row r="2375" spans="33:36" ht="11.25" customHeight="1" x14ac:dyDescent="0.2">
      <c r="AG2375" s="19"/>
      <c r="AJ2375" s="410"/>
    </row>
    <row r="2376" spans="33:36" ht="11.25" customHeight="1" x14ac:dyDescent="0.2">
      <c r="AG2376" s="19"/>
      <c r="AJ2376" s="410"/>
    </row>
    <row r="2377" spans="33:36" ht="11.25" customHeight="1" x14ac:dyDescent="0.2">
      <c r="AG2377" s="19"/>
      <c r="AJ2377" s="410"/>
    </row>
    <row r="2378" spans="33:36" ht="11.25" customHeight="1" x14ac:dyDescent="0.2">
      <c r="AG2378" s="19"/>
      <c r="AJ2378" s="410"/>
    </row>
    <row r="2379" spans="33:36" ht="11.25" customHeight="1" x14ac:dyDescent="0.2">
      <c r="AG2379" s="19"/>
      <c r="AJ2379" s="410"/>
    </row>
    <row r="2380" spans="33:36" ht="11.25" customHeight="1" x14ac:dyDescent="0.2">
      <c r="AG2380" s="19"/>
      <c r="AJ2380" s="410"/>
    </row>
    <row r="2381" spans="33:36" ht="11.25" customHeight="1" x14ac:dyDescent="0.2">
      <c r="AG2381" s="19"/>
      <c r="AJ2381" s="410"/>
    </row>
    <row r="2382" spans="33:36" ht="11.25" customHeight="1" x14ac:dyDescent="0.2">
      <c r="AG2382" s="19"/>
      <c r="AJ2382" s="410"/>
    </row>
    <row r="2383" spans="33:36" ht="11.25" customHeight="1" x14ac:dyDescent="0.2">
      <c r="AG2383" s="19"/>
      <c r="AJ2383" s="410"/>
    </row>
    <row r="2384" spans="33:36" ht="11.25" customHeight="1" x14ac:dyDescent="0.2">
      <c r="AG2384" s="19"/>
      <c r="AJ2384" s="410"/>
    </row>
    <row r="2385" spans="33:36" ht="11.25" customHeight="1" x14ac:dyDescent="0.2">
      <c r="AG2385" s="19"/>
      <c r="AJ2385" s="410"/>
    </row>
    <row r="2386" spans="33:36" ht="11.25" customHeight="1" x14ac:dyDescent="0.2">
      <c r="AG2386" s="19"/>
      <c r="AJ2386" s="410"/>
    </row>
    <row r="2387" spans="33:36" ht="11.25" customHeight="1" x14ac:dyDescent="0.2">
      <c r="AG2387" s="19"/>
      <c r="AJ2387" s="410"/>
    </row>
    <row r="2388" spans="33:36" ht="11.25" customHeight="1" x14ac:dyDescent="0.2">
      <c r="AG2388" s="19"/>
      <c r="AJ2388" s="410"/>
    </row>
    <row r="2389" spans="33:36" ht="11.25" customHeight="1" x14ac:dyDescent="0.2">
      <c r="AG2389" s="19"/>
      <c r="AJ2389" s="410"/>
    </row>
    <row r="2390" spans="33:36" ht="11.25" customHeight="1" x14ac:dyDescent="0.2">
      <c r="AG2390" s="19"/>
      <c r="AJ2390" s="410"/>
    </row>
    <row r="2391" spans="33:36" ht="11.25" customHeight="1" x14ac:dyDescent="0.2">
      <c r="AG2391" s="19"/>
      <c r="AJ2391" s="410"/>
    </row>
    <row r="2392" spans="33:36" ht="11.25" customHeight="1" x14ac:dyDescent="0.2">
      <c r="AG2392" s="19"/>
      <c r="AJ2392" s="410"/>
    </row>
    <row r="2393" spans="33:36" ht="11.25" customHeight="1" x14ac:dyDescent="0.2">
      <c r="AG2393" s="19"/>
      <c r="AJ2393" s="410"/>
    </row>
    <row r="2394" spans="33:36" ht="11.25" customHeight="1" x14ac:dyDescent="0.2">
      <c r="AG2394" s="19"/>
      <c r="AJ2394" s="410"/>
    </row>
    <row r="2395" spans="33:36" ht="11.25" customHeight="1" x14ac:dyDescent="0.2">
      <c r="AG2395" s="19"/>
      <c r="AJ2395" s="410"/>
    </row>
    <row r="2396" spans="33:36" ht="11.25" customHeight="1" x14ac:dyDescent="0.2">
      <c r="AG2396" s="19"/>
      <c r="AJ2396" s="410"/>
    </row>
    <row r="2397" spans="33:36" ht="11.25" customHeight="1" x14ac:dyDescent="0.2">
      <c r="AG2397" s="19"/>
      <c r="AJ2397" s="410"/>
    </row>
    <row r="2398" spans="33:36" ht="11.25" customHeight="1" x14ac:dyDescent="0.2">
      <c r="AG2398" s="19"/>
      <c r="AJ2398" s="410"/>
    </row>
    <row r="2399" spans="33:36" ht="11.25" customHeight="1" x14ac:dyDescent="0.2">
      <c r="AG2399" s="19"/>
      <c r="AJ2399" s="410"/>
    </row>
    <row r="2400" spans="33:36" ht="11.25" customHeight="1" x14ac:dyDescent="0.2">
      <c r="AG2400" s="19"/>
      <c r="AJ2400" s="410"/>
    </row>
    <row r="2401" spans="33:36" ht="11.25" customHeight="1" x14ac:dyDescent="0.2">
      <c r="AG2401" s="19"/>
      <c r="AJ2401" s="410"/>
    </row>
    <row r="2402" spans="33:36" ht="11.25" customHeight="1" x14ac:dyDescent="0.2">
      <c r="AG2402" s="19"/>
      <c r="AJ2402" s="410"/>
    </row>
    <row r="2403" spans="33:36" ht="11.25" customHeight="1" x14ac:dyDescent="0.2">
      <c r="AG2403" s="19"/>
      <c r="AJ2403" s="410"/>
    </row>
    <row r="2404" spans="33:36" ht="11.25" customHeight="1" x14ac:dyDescent="0.2">
      <c r="AG2404" s="19"/>
      <c r="AJ2404" s="410"/>
    </row>
    <row r="2405" spans="33:36" ht="11.25" customHeight="1" x14ac:dyDescent="0.2">
      <c r="AG2405" s="19"/>
      <c r="AJ2405" s="410"/>
    </row>
    <row r="2406" spans="33:36" ht="11.25" customHeight="1" x14ac:dyDescent="0.2">
      <c r="AG2406" s="19"/>
      <c r="AJ2406" s="410"/>
    </row>
    <row r="2407" spans="33:36" ht="11.25" customHeight="1" x14ac:dyDescent="0.2">
      <c r="AG2407" s="19"/>
      <c r="AJ2407" s="410"/>
    </row>
    <row r="2408" spans="33:36" ht="11.25" customHeight="1" x14ac:dyDescent="0.2">
      <c r="AG2408" s="19"/>
      <c r="AJ2408" s="410"/>
    </row>
    <row r="2409" spans="33:36" ht="11.25" customHeight="1" x14ac:dyDescent="0.2">
      <c r="AG2409" s="19"/>
      <c r="AJ2409" s="410"/>
    </row>
    <row r="2410" spans="33:36" ht="11.25" customHeight="1" x14ac:dyDescent="0.2">
      <c r="AG2410" s="19"/>
      <c r="AJ2410" s="410"/>
    </row>
    <row r="2411" spans="33:36" ht="11.25" customHeight="1" x14ac:dyDescent="0.2">
      <c r="AG2411" s="19"/>
      <c r="AJ2411" s="410"/>
    </row>
    <row r="2412" spans="33:36" ht="11.25" customHeight="1" x14ac:dyDescent="0.2">
      <c r="AG2412" s="19"/>
      <c r="AJ2412" s="410"/>
    </row>
    <row r="2413" spans="33:36" ht="11.25" customHeight="1" x14ac:dyDescent="0.2">
      <c r="AG2413" s="19"/>
      <c r="AJ2413" s="410"/>
    </row>
    <row r="2414" spans="33:36" ht="11.25" customHeight="1" x14ac:dyDescent="0.2">
      <c r="AG2414" s="19"/>
      <c r="AJ2414" s="410"/>
    </row>
    <row r="2415" spans="33:36" ht="11.25" customHeight="1" x14ac:dyDescent="0.2">
      <c r="AG2415" s="19"/>
      <c r="AJ2415" s="410"/>
    </row>
    <row r="2416" spans="33:36" ht="11.25" customHeight="1" x14ac:dyDescent="0.2">
      <c r="AG2416" s="19"/>
      <c r="AJ2416" s="410"/>
    </row>
    <row r="2417" spans="33:36" ht="11.25" customHeight="1" x14ac:dyDescent="0.2">
      <c r="AG2417" s="19"/>
      <c r="AJ2417" s="410"/>
    </row>
    <row r="2418" spans="33:36" ht="11.25" customHeight="1" x14ac:dyDescent="0.2">
      <c r="AG2418" s="19"/>
      <c r="AJ2418" s="410"/>
    </row>
    <row r="2419" spans="33:36" ht="11.25" customHeight="1" x14ac:dyDescent="0.2">
      <c r="AG2419" s="19"/>
      <c r="AJ2419" s="410"/>
    </row>
    <row r="2420" spans="33:36" ht="11.25" customHeight="1" x14ac:dyDescent="0.2">
      <c r="AG2420" s="19"/>
      <c r="AJ2420" s="410"/>
    </row>
    <row r="2421" spans="33:36" ht="11.25" customHeight="1" x14ac:dyDescent="0.2">
      <c r="AG2421" s="19"/>
      <c r="AJ2421" s="410"/>
    </row>
    <row r="2422" spans="33:36" ht="11.25" customHeight="1" x14ac:dyDescent="0.2">
      <c r="AG2422" s="19"/>
      <c r="AJ2422" s="410"/>
    </row>
    <row r="2423" spans="33:36" ht="11.25" customHeight="1" x14ac:dyDescent="0.2">
      <c r="AG2423" s="19"/>
      <c r="AJ2423" s="410"/>
    </row>
    <row r="2424" spans="33:36" ht="11.25" customHeight="1" x14ac:dyDescent="0.2">
      <c r="AG2424" s="19"/>
      <c r="AJ2424" s="410"/>
    </row>
    <row r="2425" spans="33:36" ht="11.25" customHeight="1" x14ac:dyDescent="0.2">
      <c r="AG2425" s="19"/>
      <c r="AJ2425" s="410"/>
    </row>
    <row r="2426" spans="33:36" ht="11.25" customHeight="1" x14ac:dyDescent="0.2">
      <c r="AG2426" s="19"/>
      <c r="AJ2426" s="410"/>
    </row>
    <row r="2427" spans="33:36" ht="11.25" customHeight="1" x14ac:dyDescent="0.2">
      <c r="AG2427" s="19"/>
      <c r="AJ2427" s="410"/>
    </row>
    <row r="2428" spans="33:36" ht="11.25" customHeight="1" x14ac:dyDescent="0.2">
      <c r="AG2428" s="19"/>
      <c r="AJ2428" s="410"/>
    </row>
    <row r="2429" spans="33:36" ht="11.25" customHeight="1" x14ac:dyDescent="0.2">
      <c r="AG2429" s="19"/>
      <c r="AJ2429" s="410"/>
    </row>
    <row r="2430" spans="33:36" ht="11.25" customHeight="1" x14ac:dyDescent="0.2">
      <c r="AG2430" s="19"/>
      <c r="AJ2430" s="410"/>
    </row>
    <row r="2431" spans="33:36" ht="11.25" customHeight="1" x14ac:dyDescent="0.2">
      <c r="AG2431" s="19"/>
      <c r="AJ2431" s="410"/>
    </row>
    <row r="2432" spans="33:36" ht="11.25" customHeight="1" x14ac:dyDescent="0.2">
      <c r="AG2432" s="19"/>
      <c r="AJ2432" s="410"/>
    </row>
    <row r="2433" spans="33:36" ht="11.25" customHeight="1" x14ac:dyDescent="0.2">
      <c r="AG2433" s="19"/>
      <c r="AJ2433" s="410"/>
    </row>
    <row r="2434" spans="33:36" ht="11.25" customHeight="1" x14ac:dyDescent="0.2">
      <c r="AG2434" s="19"/>
      <c r="AJ2434" s="410"/>
    </row>
    <row r="2435" spans="33:36" ht="11.25" customHeight="1" x14ac:dyDescent="0.2">
      <c r="AG2435" s="19"/>
      <c r="AJ2435" s="410"/>
    </row>
    <row r="2436" spans="33:36" ht="11.25" customHeight="1" x14ac:dyDescent="0.2">
      <c r="AG2436" s="19"/>
      <c r="AJ2436" s="410"/>
    </row>
    <row r="2437" spans="33:36" ht="11.25" customHeight="1" x14ac:dyDescent="0.2">
      <c r="AG2437" s="19"/>
      <c r="AJ2437" s="410"/>
    </row>
    <row r="2438" spans="33:36" ht="11.25" customHeight="1" x14ac:dyDescent="0.2">
      <c r="AG2438" s="19"/>
      <c r="AJ2438" s="410"/>
    </row>
    <row r="2439" spans="33:36" ht="11.25" customHeight="1" x14ac:dyDescent="0.2">
      <c r="AG2439" s="19"/>
      <c r="AJ2439" s="410"/>
    </row>
    <row r="2440" spans="33:36" ht="11.25" customHeight="1" x14ac:dyDescent="0.2">
      <c r="AG2440" s="19"/>
      <c r="AJ2440" s="410"/>
    </row>
    <row r="2441" spans="33:36" ht="11.25" customHeight="1" x14ac:dyDescent="0.2">
      <c r="AG2441" s="19"/>
      <c r="AJ2441" s="410"/>
    </row>
    <row r="2442" spans="33:36" ht="11.25" customHeight="1" x14ac:dyDescent="0.2">
      <c r="AG2442" s="19"/>
      <c r="AJ2442" s="410"/>
    </row>
    <row r="2443" spans="33:36" ht="11.25" customHeight="1" x14ac:dyDescent="0.2">
      <c r="AG2443" s="19"/>
      <c r="AJ2443" s="410"/>
    </row>
    <row r="2444" spans="33:36" ht="11.25" customHeight="1" x14ac:dyDescent="0.2">
      <c r="AG2444" s="19"/>
      <c r="AJ2444" s="410"/>
    </row>
    <row r="2445" spans="33:36" ht="11.25" customHeight="1" x14ac:dyDescent="0.2">
      <c r="AG2445" s="19"/>
      <c r="AJ2445" s="410"/>
    </row>
    <row r="2446" spans="33:36" ht="11.25" customHeight="1" x14ac:dyDescent="0.2">
      <c r="AG2446" s="19"/>
      <c r="AJ2446" s="410"/>
    </row>
    <row r="2447" spans="33:36" ht="11.25" customHeight="1" x14ac:dyDescent="0.2">
      <c r="AG2447" s="19"/>
      <c r="AJ2447" s="410"/>
    </row>
    <row r="2448" spans="33:36" ht="11.25" customHeight="1" x14ac:dyDescent="0.2">
      <c r="AG2448" s="19"/>
      <c r="AJ2448" s="410"/>
    </row>
    <row r="2449" spans="33:36" ht="11.25" customHeight="1" x14ac:dyDescent="0.2">
      <c r="AG2449" s="19"/>
      <c r="AJ2449" s="410"/>
    </row>
    <row r="2450" spans="33:36" ht="11.25" customHeight="1" x14ac:dyDescent="0.2">
      <c r="AG2450" s="19"/>
      <c r="AJ2450" s="410"/>
    </row>
    <row r="2451" spans="33:36" ht="11.25" customHeight="1" x14ac:dyDescent="0.2">
      <c r="AG2451" s="19"/>
      <c r="AJ2451" s="410"/>
    </row>
    <row r="2452" spans="33:36" ht="11.25" customHeight="1" x14ac:dyDescent="0.2">
      <c r="AG2452" s="19"/>
      <c r="AJ2452" s="410"/>
    </row>
    <row r="2453" spans="33:36" ht="11.25" customHeight="1" x14ac:dyDescent="0.2">
      <c r="AG2453" s="19"/>
      <c r="AJ2453" s="410"/>
    </row>
    <row r="2454" spans="33:36" ht="11.25" customHeight="1" x14ac:dyDescent="0.2">
      <c r="AG2454" s="19"/>
      <c r="AJ2454" s="410"/>
    </row>
    <row r="2455" spans="33:36" ht="11.25" customHeight="1" x14ac:dyDescent="0.2">
      <c r="AG2455" s="19"/>
      <c r="AJ2455" s="410"/>
    </row>
    <row r="2456" spans="33:36" ht="11.25" customHeight="1" x14ac:dyDescent="0.2">
      <c r="AG2456" s="19"/>
      <c r="AJ2456" s="410"/>
    </row>
    <row r="2457" spans="33:36" ht="11.25" customHeight="1" x14ac:dyDescent="0.2">
      <c r="AG2457" s="19"/>
      <c r="AJ2457" s="410"/>
    </row>
    <row r="2458" spans="33:36" ht="11.25" customHeight="1" x14ac:dyDescent="0.2">
      <c r="AG2458" s="19"/>
      <c r="AJ2458" s="410"/>
    </row>
    <row r="2459" spans="33:36" ht="11.25" customHeight="1" x14ac:dyDescent="0.2">
      <c r="AG2459" s="19"/>
      <c r="AJ2459" s="410"/>
    </row>
    <row r="2460" spans="33:36" ht="11.25" customHeight="1" x14ac:dyDescent="0.2">
      <c r="AG2460" s="19"/>
      <c r="AJ2460" s="410"/>
    </row>
    <row r="2461" spans="33:36" ht="11.25" customHeight="1" x14ac:dyDescent="0.2">
      <c r="AG2461" s="19"/>
      <c r="AJ2461" s="410"/>
    </row>
    <row r="2462" spans="33:36" ht="11.25" customHeight="1" x14ac:dyDescent="0.2">
      <c r="AG2462" s="19"/>
      <c r="AJ2462" s="410"/>
    </row>
    <row r="2463" spans="33:36" ht="11.25" customHeight="1" x14ac:dyDescent="0.2">
      <c r="AG2463" s="19"/>
      <c r="AJ2463" s="410"/>
    </row>
    <row r="2464" spans="33:36" ht="11.25" customHeight="1" x14ac:dyDescent="0.2">
      <c r="AG2464" s="19"/>
      <c r="AJ2464" s="410"/>
    </row>
    <row r="2465" spans="33:36" ht="11.25" customHeight="1" x14ac:dyDescent="0.2">
      <c r="AG2465" s="19"/>
      <c r="AJ2465" s="410"/>
    </row>
    <row r="2466" spans="33:36" ht="11.25" customHeight="1" x14ac:dyDescent="0.2">
      <c r="AG2466" s="19"/>
      <c r="AJ2466" s="410"/>
    </row>
    <row r="2467" spans="33:36" ht="11.25" customHeight="1" x14ac:dyDescent="0.2">
      <c r="AG2467" s="19"/>
      <c r="AJ2467" s="410"/>
    </row>
    <row r="2468" spans="33:36" ht="11.25" customHeight="1" x14ac:dyDescent="0.2">
      <c r="AG2468" s="19"/>
      <c r="AJ2468" s="410"/>
    </row>
    <row r="2469" spans="33:36" ht="11.25" customHeight="1" x14ac:dyDescent="0.2">
      <c r="AG2469" s="19"/>
      <c r="AJ2469" s="410"/>
    </row>
    <row r="2470" spans="33:36" ht="11.25" customHeight="1" x14ac:dyDescent="0.2">
      <c r="AG2470" s="19"/>
      <c r="AJ2470" s="410"/>
    </row>
    <row r="2471" spans="33:36" ht="11.25" customHeight="1" x14ac:dyDescent="0.2">
      <c r="AG2471" s="19"/>
      <c r="AJ2471" s="410"/>
    </row>
    <row r="2472" spans="33:36" ht="11.25" customHeight="1" x14ac:dyDescent="0.2">
      <c r="AG2472" s="19"/>
      <c r="AJ2472" s="410"/>
    </row>
    <row r="2473" spans="33:36" ht="11.25" customHeight="1" x14ac:dyDescent="0.2">
      <c r="AG2473" s="19"/>
      <c r="AJ2473" s="410"/>
    </row>
    <row r="2474" spans="33:36" ht="11.25" customHeight="1" x14ac:dyDescent="0.2">
      <c r="AG2474" s="19"/>
      <c r="AJ2474" s="410"/>
    </row>
    <row r="2475" spans="33:36" ht="11.25" customHeight="1" x14ac:dyDescent="0.2">
      <c r="AG2475" s="19"/>
      <c r="AJ2475" s="410"/>
    </row>
    <row r="2476" spans="33:36" ht="11.25" customHeight="1" x14ac:dyDescent="0.2">
      <c r="AG2476" s="19"/>
      <c r="AJ2476" s="410"/>
    </row>
    <row r="2477" spans="33:36" ht="11.25" customHeight="1" x14ac:dyDescent="0.2">
      <c r="AG2477" s="19"/>
      <c r="AJ2477" s="410"/>
    </row>
    <row r="2478" spans="33:36" ht="11.25" customHeight="1" x14ac:dyDescent="0.2">
      <c r="AG2478" s="19"/>
      <c r="AJ2478" s="410"/>
    </row>
    <row r="2479" spans="33:36" ht="11.25" customHeight="1" x14ac:dyDescent="0.2">
      <c r="AG2479" s="19"/>
      <c r="AJ2479" s="410"/>
    </row>
    <row r="2480" spans="33:36" ht="11.25" customHeight="1" x14ac:dyDescent="0.2">
      <c r="AG2480" s="19"/>
      <c r="AJ2480" s="410"/>
    </row>
    <row r="2481" spans="33:36" ht="11.25" customHeight="1" x14ac:dyDescent="0.2">
      <c r="AG2481" s="19"/>
      <c r="AJ2481" s="410"/>
    </row>
    <row r="2482" spans="33:36" ht="11.25" customHeight="1" x14ac:dyDescent="0.2">
      <c r="AG2482" s="19"/>
      <c r="AJ2482" s="410"/>
    </row>
    <row r="2483" spans="33:36" ht="11.25" customHeight="1" x14ac:dyDescent="0.2">
      <c r="AG2483" s="19"/>
      <c r="AJ2483" s="410"/>
    </row>
    <row r="2484" spans="33:36" ht="11.25" customHeight="1" x14ac:dyDescent="0.2">
      <c r="AG2484" s="19"/>
      <c r="AJ2484" s="410"/>
    </row>
    <row r="2485" spans="33:36" ht="11.25" customHeight="1" x14ac:dyDescent="0.2">
      <c r="AG2485" s="19"/>
      <c r="AJ2485" s="410"/>
    </row>
    <row r="2486" spans="33:36" ht="11.25" customHeight="1" x14ac:dyDescent="0.2">
      <c r="AG2486" s="19"/>
      <c r="AJ2486" s="410"/>
    </row>
    <row r="2487" spans="33:36" ht="11.25" customHeight="1" x14ac:dyDescent="0.2">
      <c r="AG2487" s="19"/>
      <c r="AJ2487" s="410"/>
    </row>
    <row r="2488" spans="33:36" ht="11.25" customHeight="1" x14ac:dyDescent="0.2">
      <c r="AG2488" s="19"/>
      <c r="AJ2488" s="410"/>
    </row>
    <row r="2489" spans="33:36" ht="11.25" customHeight="1" x14ac:dyDescent="0.2">
      <c r="AG2489" s="19"/>
      <c r="AJ2489" s="410"/>
    </row>
    <row r="2490" spans="33:36" ht="11.25" customHeight="1" x14ac:dyDescent="0.2">
      <c r="AG2490" s="19"/>
      <c r="AJ2490" s="410"/>
    </row>
    <row r="2491" spans="33:36" ht="11.25" customHeight="1" x14ac:dyDescent="0.2">
      <c r="AG2491" s="19"/>
      <c r="AJ2491" s="410"/>
    </row>
    <row r="2492" spans="33:36" ht="11.25" customHeight="1" x14ac:dyDescent="0.2">
      <c r="AG2492" s="19"/>
      <c r="AJ2492" s="410"/>
    </row>
    <row r="2493" spans="33:36" ht="11.25" customHeight="1" x14ac:dyDescent="0.2">
      <c r="AG2493" s="19"/>
      <c r="AJ2493" s="410"/>
    </row>
    <row r="2494" spans="33:36" ht="11.25" customHeight="1" x14ac:dyDescent="0.2">
      <c r="AG2494" s="19"/>
      <c r="AJ2494" s="410"/>
    </row>
    <row r="2495" spans="33:36" ht="11.25" customHeight="1" x14ac:dyDescent="0.2">
      <c r="AG2495" s="19"/>
      <c r="AJ2495" s="410"/>
    </row>
    <row r="2496" spans="33:36" ht="11.25" customHeight="1" x14ac:dyDescent="0.2">
      <c r="AG2496" s="19"/>
      <c r="AJ2496" s="410"/>
    </row>
    <row r="2497" spans="33:36" ht="11.25" customHeight="1" x14ac:dyDescent="0.2">
      <c r="AG2497" s="19"/>
      <c r="AJ2497" s="410"/>
    </row>
    <row r="2498" spans="33:36" ht="11.25" customHeight="1" x14ac:dyDescent="0.2">
      <c r="AG2498" s="19"/>
      <c r="AJ2498" s="410"/>
    </row>
    <row r="2499" spans="33:36" ht="11.25" customHeight="1" x14ac:dyDescent="0.2">
      <c r="AG2499" s="19"/>
      <c r="AJ2499" s="410"/>
    </row>
    <row r="2500" spans="33:36" ht="11.25" customHeight="1" x14ac:dyDescent="0.2">
      <c r="AG2500" s="19"/>
      <c r="AJ2500" s="410"/>
    </row>
    <row r="2501" spans="33:36" ht="11.25" customHeight="1" x14ac:dyDescent="0.2">
      <c r="AG2501" s="19"/>
      <c r="AJ2501" s="410"/>
    </row>
    <row r="2502" spans="33:36" ht="11.25" customHeight="1" x14ac:dyDescent="0.2">
      <c r="AG2502" s="19"/>
      <c r="AJ2502" s="410"/>
    </row>
    <row r="2503" spans="33:36" ht="11.25" customHeight="1" x14ac:dyDescent="0.2">
      <c r="AG2503" s="19"/>
      <c r="AJ2503" s="410"/>
    </row>
    <row r="2504" spans="33:36" ht="11.25" customHeight="1" x14ac:dyDescent="0.2">
      <c r="AG2504" s="19"/>
      <c r="AJ2504" s="410"/>
    </row>
    <row r="2505" spans="33:36" ht="11.25" customHeight="1" x14ac:dyDescent="0.2">
      <c r="AG2505" s="19"/>
      <c r="AJ2505" s="410"/>
    </row>
    <row r="2506" spans="33:36" ht="11.25" customHeight="1" x14ac:dyDescent="0.2">
      <c r="AG2506" s="19"/>
      <c r="AJ2506" s="410"/>
    </row>
    <row r="2507" spans="33:36" ht="11.25" customHeight="1" x14ac:dyDescent="0.2">
      <c r="AG2507" s="19"/>
      <c r="AJ2507" s="410"/>
    </row>
    <row r="2508" spans="33:36" ht="11.25" customHeight="1" x14ac:dyDescent="0.2">
      <c r="AG2508" s="19"/>
      <c r="AJ2508" s="410"/>
    </row>
    <row r="2509" spans="33:36" ht="11.25" customHeight="1" x14ac:dyDescent="0.2">
      <c r="AG2509" s="19"/>
      <c r="AJ2509" s="410"/>
    </row>
    <row r="2510" spans="33:36" ht="11.25" customHeight="1" x14ac:dyDescent="0.2">
      <c r="AG2510" s="19"/>
      <c r="AJ2510" s="410"/>
    </row>
    <row r="2511" spans="33:36" ht="11.25" customHeight="1" x14ac:dyDescent="0.2">
      <c r="AG2511" s="19"/>
      <c r="AJ2511" s="410"/>
    </row>
    <row r="2512" spans="33:36" ht="11.25" customHeight="1" x14ac:dyDescent="0.2">
      <c r="AG2512" s="19"/>
      <c r="AJ2512" s="410"/>
    </row>
    <row r="2513" spans="33:36" ht="11.25" customHeight="1" x14ac:dyDescent="0.2">
      <c r="AG2513" s="19"/>
      <c r="AJ2513" s="410"/>
    </row>
    <row r="2514" spans="33:36" ht="11.25" customHeight="1" x14ac:dyDescent="0.2">
      <c r="AG2514" s="19"/>
      <c r="AJ2514" s="410"/>
    </row>
    <row r="2515" spans="33:36" ht="11.25" customHeight="1" x14ac:dyDescent="0.2">
      <c r="AG2515" s="19"/>
      <c r="AJ2515" s="410"/>
    </row>
    <row r="2516" spans="33:36" ht="11.25" customHeight="1" x14ac:dyDescent="0.2">
      <c r="AG2516" s="19"/>
      <c r="AJ2516" s="410"/>
    </row>
    <row r="2517" spans="33:36" ht="11.25" customHeight="1" x14ac:dyDescent="0.2">
      <c r="AG2517" s="19"/>
      <c r="AJ2517" s="410"/>
    </row>
    <row r="2518" spans="33:36" ht="11.25" customHeight="1" x14ac:dyDescent="0.2">
      <c r="AG2518" s="19"/>
      <c r="AJ2518" s="410"/>
    </row>
    <row r="2519" spans="33:36" ht="11.25" customHeight="1" x14ac:dyDescent="0.2">
      <c r="AG2519" s="19"/>
      <c r="AJ2519" s="410"/>
    </row>
    <row r="2520" spans="33:36" ht="11.25" customHeight="1" x14ac:dyDescent="0.2">
      <c r="AG2520" s="19"/>
      <c r="AJ2520" s="410"/>
    </row>
    <row r="2521" spans="33:36" ht="11.25" customHeight="1" x14ac:dyDescent="0.2">
      <c r="AG2521" s="19"/>
      <c r="AJ2521" s="410"/>
    </row>
    <row r="2522" spans="33:36" ht="11.25" customHeight="1" x14ac:dyDescent="0.2">
      <c r="AG2522" s="19"/>
      <c r="AJ2522" s="410"/>
    </row>
    <row r="2523" spans="33:36" ht="11.25" customHeight="1" x14ac:dyDescent="0.2">
      <c r="AG2523" s="19"/>
      <c r="AJ2523" s="410"/>
    </row>
    <row r="2524" spans="33:36" ht="11.25" customHeight="1" x14ac:dyDescent="0.2">
      <c r="AG2524" s="19"/>
      <c r="AJ2524" s="410"/>
    </row>
    <row r="2525" spans="33:36" ht="11.25" customHeight="1" x14ac:dyDescent="0.2">
      <c r="AG2525" s="19"/>
      <c r="AJ2525" s="410"/>
    </row>
    <row r="2526" spans="33:36" ht="11.25" customHeight="1" x14ac:dyDescent="0.2">
      <c r="AG2526" s="19"/>
      <c r="AJ2526" s="410"/>
    </row>
    <row r="2527" spans="33:36" ht="11.25" customHeight="1" x14ac:dyDescent="0.2">
      <c r="AG2527" s="19"/>
      <c r="AJ2527" s="410"/>
    </row>
    <row r="2528" spans="33:36" ht="11.25" customHeight="1" x14ac:dyDescent="0.2">
      <c r="AG2528" s="19"/>
      <c r="AJ2528" s="410"/>
    </row>
    <row r="2529" spans="33:36" ht="11.25" customHeight="1" x14ac:dyDescent="0.2">
      <c r="AG2529" s="19"/>
      <c r="AJ2529" s="410"/>
    </row>
    <row r="2530" spans="33:36" ht="11.25" customHeight="1" x14ac:dyDescent="0.2">
      <c r="AG2530" s="19"/>
      <c r="AJ2530" s="410"/>
    </row>
    <row r="2531" spans="33:36" ht="11.25" customHeight="1" x14ac:dyDescent="0.2">
      <c r="AG2531" s="19"/>
      <c r="AJ2531" s="410"/>
    </row>
    <row r="2532" spans="33:36" ht="11.25" customHeight="1" x14ac:dyDescent="0.2">
      <c r="AG2532" s="19"/>
      <c r="AJ2532" s="410"/>
    </row>
    <row r="2533" spans="33:36" ht="11.25" customHeight="1" x14ac:dyDescent="0.2">
      <c r="AG2533" s="19"/>
      <c r="AJ2533" s="410"/>
    </row>
    <row r="2534" spans="33:36" ht="11.25" customHeight="1" x14ac:dyDescent="0.2">
      <c r="AG2534" s="19"/>
      <c r="AJ2534" s="410"/>
    </row>
    <row r="2535" spans="33:36" ht="11.25" customHeight="1" x14ac:dyDescent="0.2">
      <c r="AG2535" s="19"/>
      <c r="AJ2535" s="410"/>
    </row>
    <row r="2536" spans="33:36" ht="11.25" customHeight="1" x14ac:dyDescent="0.2">
      <c r="AG2536" s="19"/>
      <c r="AJ2536" s="410"/>
    </row>
    <row r="2537" spans="33:36" ht="11.25" customHeight="1" x14ac:dyDescent="0.2">
      <c r="AG2537" s="19"/>
      <c r="AJ2537" s="410"/>
    </row>
    <row r="2538" spans="33:36" ht="11.25" customHeight="1" x14ac:dyDescent="0.2">
      <c r="AG2538" s="19"/>
      <c r="AJ2538" s="410"/>
    </row>
    <row r="2539" spans="33:36" ht="11.25" customHeight="1" x14ac:dyDescent="0.2">
      <c r="AG2539" s="19"/>
      <c r="AJ2539" s="410"/>
    </row>
    <row r="2540" spans="33:36" ht="11.25" customHeight="1" x14ac:dyDescent="0.2">
      <c r="AG2540" s="19"/>
      <c r="AJ2540" s="410"/>
    </row>
    <row r="2541" spans="33:36" ht="11.25" customHeight="1" x14ac:dyDescent="0.2">
      <c r="AG2541" s="19"/>
      <c r="AJ2541" s="410"/>
    </row>
    <row r="2542" spans="33:36" ht="11.25" customHeight="1" x14ac:dyDescent="0.2">
      <c r="AG2542" s="19"/>
      <c r="AJ2542" s="410"/>
    </row>
    <row r="2543" spans="33:36" ht="11.25" customHeight="1" x14ac:dyDescent="0.2">
      <c r="AG2543" s="19"/>
      <c r="AJ2543" s="410"/>
    </row>
    <row r="2544" spans="33:36" ht="11.25" customHeight="1" x14ac:dyDescent="0.2">
      <c r="AG2544" s="19"/>
      <c r="AJ2544" s="410"/>
    </row>
    <row r="2545" spans="33:36" ht="11.25" customHeight="1" x14ac:dyDescent="0.2">
      <c r="AG2545" s="19"/>
      <c r="AJ2545" s="410"/>
    </row>
    <row r="2546" spans="33:36" ht="11.25" customHeight="1" x14ac:dyDescent="0.2">
      <c r="AG2546" s="19"/>
      <c r="AJ2546" s="410"/>
    </row>
    <row r="2547" spans="33:36" ht="11.25" customHeight="1" x14ac:dyDescent="0.2">
      <c r="AG2547" s="19"/>
      <c r="AJ2547" s="410"/>
    </row>
    <row r="2548" spans="33:36" ht="11.25" customHeight="1" x14ac:dyDescent="0.2">
      <c r="AG2548" s="19"/>
      <c r="AJ2548" s="410"/>
    </row>
    <row r="2549" spans="33:36" ht="11.25" customHeight="1" x14ac:dyDescent="0.2">
      <c r="AG2549" s="19"/>
      <c r="AJ2549" s="410"/>
    </row>
    <row r="2550" spans="33:36" ht="11.25" customHeight="1" x14ac:dyDescent="0.2">
      <c r="AG2550" s="19"/>
      <c r="AJ2550" s="410"/>
    </row>
    <row r="2551" spans="33:36" ht="11.25" customHeight="1" x14ac:dyDescent="0.2">
      <c r="AG2551" s="19"/>
      <c r="AJ2551" s="410"/>
    </row>
    <row r="2552" spans="33:36" ht="11.25" customHeight="1" x14ac:dyDescent="0.2">
      <c r="AG2552" s="19"/>
      <c r="AJ2552" s="410"/>
    </row>
    <row r="2553" spans="33:36" ht="11.25" customHeight="1" x14ac:dyDescent="0.2">
      <c r="AG2553" s="19"/>
      <c r="AJ2553" s="410"/>
    </row>
    <row r="2554" spans="33:36" ht="11.25" customHeight="1" x14ac:dyDescent="0.2">
      <c r="AG2554" s="19"/>
      <c r="AJ2554" s="410"/>
    </row>
    <row r="2555" spans="33:36" ht="11.25" customHeight="1" x14ac:dyDescent="0.2">
      <c r="AG2555" s="19"/>
      <c r="AJ2555" s="410"/>
    </row>
    <row r="2556" spans="33:36" ht="11.25" customHeight="1" x14ac:dyDescent="0.2">
      <c r="AG2556" s="19"/>
      <c r="AJ2556" s="410"/>
    </row>
    <row r="2557" spans="33:36" ht="11.25" customHeight="1" x14ac:dyDescent="0.2">
      <c r="AG2557" s="19"/>
      <c r="AJ2557" s="410"/>
    </row>
    <row r="2558" spans="33:36" ht="11.25" customHeight="1" x14ac:dyDescent="0.2">
      <c r="AG2558" s="19"/>
      <c r="AJ2558" s="410"/>
    </row>
    <row r="2559" spans="33:36" ht="11.25" customHeight="1" x14ac:dyDescent="0.2">
      <c r="AG2559" s="19"/>
      <c r="AJ2559" s="410"/>
    </row>
    <row r="2560" spans="33:36" ht="11.25" customHeight="1" x14ac:dyDescent="0.2">
      <c r="AG2560" s="19"/>
      <c r="AJ2560" s="410"/>
    </row>
    <row r="2561" spans="33:36" ht="11.25" customHeight="1" x14ac:dyDescent="0.2">
      <c r="AG2561" s="19"/>
      <c r="AJ2561" s="410"/>
    </row>
    <row r="2562" spans="33:36" ht="11.25" customHeight="1" x14ac:dyDescent="0.2">
      <c r="AG2562" s="19"/>
      <c r="AJ2562" s="410"/>
    </row>
    <row r="2563" spans="33:36" ht="11.25" customHeight="1" x14ac:dyDescent="0.2">
      <c r="AG2563" s="19"/>
      <c r="AJ2563" s="410"/>
    </row>
    <row r="2564" spans="33:36" ht="11.25" customHeight="1" x14ac:dyDescent="0.2">
      <c r="AG2564" s="19"/>
      <c r="AJ2564" s="410"/>
    </row>
    <row r="2565" spans="33:36" ht="11.25" customHeight="1" x14ac:dyDescent="0.2">
      <c r="AG2565" s="19"/>
      <c r="AJ2565" s="410"/>
    </row>
    <row r="2566" spans="33:36" ht="11.25" customHeight="1" x14ac:dyDescent="0.2">
      <c r="AG2566" s="19"/>
      <c r="AJ2566" s="410"/>
    </row>
    <row r="2567" spans="33:36" ht="11.25" customHeight="1" x14ac:dyDescent="0.2">
      <c r="AG2567" s="19"/>
      <c r="AJ2567" s="410"/>
    </row>
    <row r="2568" spans="33:36" ht="11.25" customHeight="1" x14ac:dyDescent="0.2">
      <c r="AG2568" s="19"/>
      <c r="AJ2568" s="410"/>
    </row>
    <row r="2569" spans="33:36" ht="11.25" customHeight="1" x14ac:dyDescent="0.2">
      <c r="AG2569" s="19"/>
      <c r="AJ2569" s="410"/>
    </row>
    <row r="2570" spans="33:36" ht="11.25" customHeight="1" x14ac:dyDescent="0.2">
      <c r="AG2570" s="19"/>
      <c r="AJ2570" s="410"/>
    </row>
    <row r="2571" spans="33:36" ht="11.25" customHeight="1" x14ac:dyDescent="0.2">
      <c r="AG2571" s="19"/>
      <c r="AJ2571" s="410"/>
    </row>
    <row r="2572" spans="33:36" ht="11.25" customHeight="1" x14ac:dyDescent="0.2">
      <c r="AG2572" s="19"/>
      <c r="AJ2572" s="410"/>
    </row>
    <row r="2573" spans="33:36" ht="11.25" customHeight="1" x14ac:dyDescent="0.2">
      <c r="AG2573" s="19"/>
      <c r="AJ2573" s="410"/>
    </row>
    <row r="2574" spans="33:36" ht="11.25" customHeight="1" x14ac:dyDescent="0.2">
      <c r="AG2574" s="19"/>
      <c r="AJ2574" s="410"/>
    </row>
    <row r="2575" spans="33:36" ht="11.25" customHeight="1" x14ac:dyDescent="0.2">
      <c r="AG2575" s="19"/>
      <c r="AJ2575" s="410"/>
    </row>
    <row r="2576" spans="33:36" ht="11.25" customHeight="1" x14ac:dyDescent="0.2">
      <c r="AG2576" s="19"/>
      <c r="AJ2576" s="410"/>
    </row>
    <row r="2577" spans="33:36" ht="11.25" customHeight="1" x14ac:dyDescent="0.2">
      <c r="AG2577" s="19"/>
      <c r="AJ2577" s="410"/>
    </row>
    <row r="2578" spans="33:36" ht="11.25" customHeight="1" x14ac:dyDescent="0.2">
      <c r="AG2578" s="19"/>
      <c r="AJ2578" s="410"/>
    </row>
    <row r="2579" spans="33:36" ht="11.25" customHeight="1" x14ac:dyDescent="0.2">
      <c r="AG2579" s="19"/>
      <c r="AJ2579" s="410"/>
    </row>
    <row r="2580" spans="33:36" ht="11.25" customHeight="1" x14ac:dyDescent="0.2">
      <c r="AG2580" s="19"/>
      <c r="AJ2580" s="410"/>
    </row>
    <row r="2581" spans="33:36" ht="11.25" customHeight="1" x14ac:dyDescent="0.2">
      <c r="AG2581" s="19"/>
      <c r="AJ2581" s="410"/>
    </row>
    <row r="2582" spans="33:36" ht="11.25" customHeight="1" x14ac:dyDescent="0.2">
      <c r="AG2582" s="19"/>
      <c r="AJ2582" s="410"/>
    </row>
    <row r="2583" spans="33:36" ht="11.25" customHeight="1" x14ac:dyDescent="0.2">
      <c r="AG2583" s="19"/>
      <c r="AJ2583" s="410"/>
    </row>
    <row r="2584" spans="33:36" ht="11.25" customHeight="1" x14ac:dyDescent="0.2">
      <c r="AG2584" s="19"/>
      <c r="AJ2584" s="410"/>
    </row>
    <row r="2585" spans="33:36" ht="11.25" customHeight="1" x14ac:dyDescent="0.2">
      <c r="AG2585" s="19"/>
      <c r="AJ2585" s="410"/>
    </row>
    <row r="2586" spans="33:36" ht="11.25" customHeight="1" x14ac:dyDescent="0.2">
      <c r="AG2586" s="19"/>
      <c r="AJ2586" s="410"/>
    </row>
    <row r="2587" spans="33:36" ht="11.25" customHeight="1" x14ac:dyDescent="0.2">
      <c r="AG2587" s="19"/>
      <c r="AJ2587" s="410"/>
    </row>
    <row r="2588" spans="33:36" ht="11.25" customHeight="1" x14ac:dyDescent="0.2">
      <c r="AG2588" s="19"/>
      <c r="AJ2588" s="410"/>
    </row>
    <row r="2589" spans="33:36" ht="11.25" customHeight="1" x14ac:dyDescent="0.2">
      <c r="AG2589" s="19"/>
      <c r="AJ2589" s="410"/>
    </row>
    <row r="2590" spans="33:36" ht="11.25" customHeight="1" x14ac:dyDescent="0.2">
      <c r="AG2590" s="19"/>
      <c r="AJ2590" s="410"/>
    </row>
    <row r="2591" spans="33:36" ht="11.25" customHeight="1" x14ac:dyDescent="0.2">
      <c r="AG2591" s="19"/>
      <c r="AJ2591" s="410"/>
    </row>
    <row r="2592" spans="33:36" ht="11.25" customHeight="1" x14ac:dyDescent="0.2">
      <c r="AG2592" s="19"/>
      <c r="AJ2592" s="410"/>
    </row>
    <row r="2593" spans="33:36" ht="11.25" customHeight="1" x14ac:dyDescent="0.2">
      <c r="AG2593" s="19"/>
      <c r="AJ2593" s="410"/>
    </row>
    <row r="2594" spans="33:36" ht="11.25" customHeight="1" x14ac:dyDescent="0.2">
      <c r="AG2594" s="19"/>
      <c r="AJ2594" s="410"/>
    </row>
    <row r="2595" spans="33:36" ht="11.25" customHeight="1" x14ac:dyDescent="0.2">
      <c r="AG2595" s="19"/>
      <c r="AJ2595" s="410"/>
    </row>
    <row r="2596" spans="33:36" ht="11.25" customHeight="1" x14ac:dyDescent="0.2">
      <c r="AG2596" s="19"/>
      <c r="AJ2596" s="410"/>
    </row>
    <row r="2597" spans="33:36" ht="11.25" customHeight="1" x14ac:dyDescent="0.2">
      <c r="AG2597" s="19"/>
      <c r="AJ2597" s="410"/>
    </row>
    <row r="2598" spans="33:36" ht="11.25" customHeight="1" x14ac:dyDescent="0.2">
      <c r="AG2598" s="19"/>
      <c r="AJ2598" s="410"/>
    </row>
    <row r="2599" spans="33:36" ht="11.25" customHeight="1" x14ac:dyDescent="0.2">
      <c r="AG2599" s="19"/>
      <c r="AJ2599" s="410"/>
    </row>
    <row r="2600" spans="33:36" ht="11.25" customHeight="1" x14ac:dyDescent="0.2">
      <c r="AG2600" s="19"/>
      <c r="AJ2600" s="410"/>
    </row>
    <row r="2601" spans="33:36" ht="11.25" customHeight="1" x14ac:dyDescent="0.2">
      <c r="AG2601" s="19"/>
      <c r="AJ2601" s="410"/>
    </row>
    <row r="2602" spans="33:36" ht="11.25" customHeight="1" x14ac:dyDescent="0.2">
      <c r="AG2602" s="19"/>
      <c r="AJ2602" s="410"/>
    </row>
    <row r="2603" spans="33:36" ht="11.25" customHeight="1" x14ac:dyDescent="0.2">
      <c r="AG2603" s="19"/>
      <c r="AJ2603" s="410"/>
    </row>
    <row r="2604" spans="33:36" ht="11.25" customHeight="1" x14ac:dyDescent="0.2">
      <c r="AG2604" s="19"/>
      <c r="AJ2604" s="410"/>
    </row>
    <row r="2605" spans="33:36" ht="11.25" customHeight="1" x14ac:dyDescent="0.2">
      <c r="AG2605" s="19"/>
      <c r="AJ2605" s="410"/>
    </row>
    <row r="2606" spans="33:36" ht="11.25" customHeight="1" x14ac:dyDescent="0.2">
      <c r="AG2606" s="19"/>
      <c r="AJ2606" s="410"/>
    </row>
    <row r="2607" spans="33:36" ht="11.25" customHeight="1" x14ac:dyDescent="0.2">
      <c r="AG2607" s="19"/>
      <c r="AJ2607" s="410"/>
    </row>
    <row r="2608" spans="33:36" ht="11.25" customHeight="1" x14ac:dyDescent="0.2">
      <c r="AG2608" s="19"/>
      <c r="AJ2608" s="410"/>
    </row>
    <row r="2609" spans="33:36" ht="11.25" customHeight="1" x14ac:dyDescent="0.2">
      <c r="AG2609" s="19"/>
      <c r="AJ2609" s="410"/>
    </row>
    <row r="2610" spans="33:36" ht="11.25" customHeight="1" x14ac:dyDescent="0.2">
      <c r="AG2610" s="19"/>
      <c r="AJ2610" s="410"/>
    </row>
    <row r="2611" spans="33:36" ht="11.25" customHeight="1" x14ac:dyDescent="0.2">
      <c r="AG2611" s="19"/>
      <c r="AJ2611" s="410"/>
    </row>
    <row r="2612" spans="33:36" ht="11.25" customHeight="1" x14ac:dyDescent="0.2">
      <c r="AG2612" s="19"/>
      <c r="AJ2612" s="410"/>
    </row>
    <row r="2613" spans="33:36" ht="11.25" customHeight="1" x14ac:dyDescent="0.2">
      <c r="AG2613" s="19"/>
      <c r="AJ2613" s="410"/>
    </row>
    <row r="2614" spans="33:36" ht="11.25" customHeight="1" x14ac:dyDescent="0.2">
      <c r="AG2614" s="19"/>
      <c r="AJ2614" s="410"/>
    </row>
    <row r="2615" spans="33:36" ht="11.25" customHeight="1" x14ac:dyDescent="0.2">
      <c r="AG2615" s="19"/>
      <c r="AJ2615" s="410"/>
    </row>
    <row r="2616" spans="33:36" ht="11.25" customHeight="1" x14ac:dyDescent="0.2">
      <c r="AG2616" s="19"/>
      <c r="AJ2616" s="410"/>
    </row>
    <row r="2617" spans="33:36" ht="11.25" customHeight="1" x14ac:dyDescent="0.2">
      <c r="AG2617" s="19"/>
      <c r="AJ2617" s="410"/>
    </row>
    <row r="2618" spans="33:36" ht="11.25" customHeight="1" x14ac:dyDescent="0.2">
      <c r="AG2618" s="19"/>
      <c r="AJ2618" s="410"/>
    </row>
    <row r="2619" spans="33:36" ht="11.25" customHeight="1" x14ac:dyDescent="0.2">
      <c r="AG2619" s="19"/>
      <c r="AJ2619" s="410"/>
    </row>
    <row r="2620" spans="33:36" ht="11.25" customHeight="1" x14ac:dyDescent="0.2">
      <c r="AG2620" s="19"/>
      <c r="AJ2620" s="410"/>
    </row>
    <row r="2621" spans="33:36" ht="11.25" customHeight="1" x14ac:dyDescent="0.2">
      <c r="AG2621" s="19"/>
      <c r="AJ2621" s="410"/>
    </row>
    <row r="2622" spans="33:36" ht="11.25" customHeight="1" x14ac:dyDescent="0.2">
      <c r="AG2622" s="19"/>
      <c r="AJ2622" s="410"/>
    </row>
    <row r="2623" spans="33:36" ht="11.25" customHeight="1" x14ac:dyDescent="0.2">
      <c r="AG2623" s="19"/>
      <c r="AJ2623" s="410"/>
    </row>
    <row r="2624" spans="33:36" ht="11.25" customHeight="1" x14ac:dyDescent="0.2">
      <c r="AG2624" s="19"/>
      <c r="AJ2624" s="410"/>
    </row>
    <row r="2625" spans="33:36" ht="11.25" customHeight="1" x14ac:dyDescent="0.2">
      <c r="AG2625" s="19"/>
      <c r="AJ2625" s="410"/>
    </row>
    <row r="2626" spans="33:36" ht="11.25" customHeight="1" x14ac:dyDescent="0.2">
      <c r="AG2626" s="19"/>
      <c r="AJ2626" s="410"/>
    </row>
    <row r="2627" spans="33:36" ht="11.25" customHeight="1" x14ac:dyDescent="0.2">
      <c r="AG2627" s="19"/>
      <c r="AJ2627" s="410"/>
    </row>
    <row r="2628" spans="33:36" ht="11.25" customHeight="1" x14ac:dyDescent="0.2">
      <c r="AG2628" s="19"/>
      <c r="AJ2628" s="410"/>
    </row>
    <row r="2629" spans="33:36" ht="11.25" customHeight="1" x14ac:dyDescent="0.2">
      <c r="AG2629" s="19"/>
      <c r="AJ2629" s="410"/>
    </row>
    <row r="2630" spans="33:36" ht="11.25" customHeight="1" x14ac:dyDescent="0.2">
      <c r="AG2630" s="19"/>
      <c r="AJ2630" s="410"/>
    </row>
    <row r="2631" spans="33:36" ht="11.25" customHeight="1" x14ac:dyDescent="0.2">
      <c r="AG2631" s="19"/>
      <c r="AJ2631" s="410"/>
    </row>
    <row r="2632" spans="33:36" ht="11.25" customHeight="1" x14ac:dyDescent="0.2">
      <c r="AG2632" s="19"/>
      <c r="AJ2632" s="410"/>
    </row>
    <row r="2633" spans="33:36" ht="11.25" customHeight="1" x14ac:dyDescent="0.2">
      <c r="AG2633" s="19"/>
      <c r="AJ2633" s="410"/>
    </row>
    <row r="2634" spans="33:36" ht="11.25" customHeight="1" x14ac:dyDescent="0.2">
      <c r="AG2634" s="19"/>
      <c r="AJ2634" s="410"/>
    </row>
    <row r="2635" spans="33:36" ht="11.25" customHeight="1" x14ac:dyDescent="0.2">
      <c r="AG2635" s="19"/>
      <c r="AJ2635" s="410"/>
    </row>
    <row r="2636" spans="33:36" ht="11.25" customHeight="1" x14ac:dyDescent="0.2">
      <c r="AG2636" s="19"/>
      <c r="AJ2636" s="410"/>
    </row>
    <row r="2637" spans="33:36" ht="11.25" customHeight="1" x14ac:dyDescent="0.2">
      <c r="AG2637" s="19"/>
      <c r="AJ2637" s="410"/>
    </row>
    <row r="2638" spans="33:36" ht="11.25" customHeight="1" x14ac:dyDescent="0.2">
      <c r="AG2638" s="19"/>
      <c r="AJ2638" s="410"/>
    </row>
    <row r="2639" spans="33:36" ht="11.25" customHeight="1" x14ac:dyDescent="0.2">
      <c r="AG2639" s="19"/>
      <c r="AJ2639" s="410"/>
    </row>
    <row r="2640" spans="33:36" ht="11.25" customHeight="1" x14ac:dyDescent="0.2">
      <c r="AG2640" s="19"/>
      <c r="AJ2640" s="410"/>
    </row>
    <row r="2641" spans="33:36" ht="11.25" customHeight="1" x14ac:dyDescent="0.2">
      <c r="AG2641" s="19"/>
      <c r="AJ2641" s="410"/>
    </row>
    <row r="2642" spans="33:36" ht="11.25" customHeight="1" x14ac:dyDescent="0.2">
      <c r="AG2642" s="19"/>
      <c r="AJ2642" s="410"/>
    </row>
    <row r="2643" spans="33:36" ht="11.25" customHeight="1" x14ac:dyDescent="0.2">
      <c r="AG2643" s="19"/>
      <c r="AJ2643" s="410"/>
    </row>
    <row r="2644" spans="33:36" ht="11.25" customHeight="1" x14ac:dyDescent="0.2">
      <c r="AG2644" s="19"/>
      <c r="AJ2644" s="410"/>
    </row>
    <row r="2645" spans="33:36" ht="11.25" customHeight="1" x14ac:dyDescent="0.2">
      <c r="AG2645" s="19"/>
      <c r="AJ2645" s="410"/>
    </row>
    <row r="2646" spans="33:36" ht="11.25" customHeight="1" x14ac:dyDescent="0.2">
      <c r="AG2646" s="19"/>
      <c r="AJ2646" s="410"/>
    </row>
    <row r="2647" spans="33:36" ht="11.25" customHeight="1" x14ac:dyDescent="0.2">
      <c r="AG2647" s="19"/>
      <c r="AJ2647" s="410"/>
    </row>
    <row r="2648" spans="33:36" ht="11.25" customHeight="1" x14ac:dyDescent="0.2">
      <c r="AG2648" s="19"/>
      <c r="AJ2648" s="410"/>
    </row>
    <row r="2649" spans="33:36" ht="11.25" customHeight="1" x14ac:dyDescent="0.2">
      <c r="AG2649" s="19"/>
      <c r="AJ2649" s="410"/>
    </row>
    <row r="2650" spans="33:36" ht="11.25" customHeight="1" x14ac:dyDescent="0.2">
      <c r="AG2650" s="19"/>
      <c r="AJ2650" s="410"/>
    </row>
    <row r="2651" spans="33:36" ht="11.25" customHeight="1" x14ac:dyDescent="0.2">
      <c r="AG2651" s="19"/>
      <c r="AJ2651" s="410"/>
    </row>
    <row r="2652" spans="33:36" ht="11.25" customHeight="1" x14ac:dyDescent="0.2">
      <c r="AG2652" s="19"/>
      <c r="AJ2652" s="410"/>
    </row>
    <row r="2653" spans="33:36" ht="11.25" customHeight="1" x14ac:dyDescent="0.2">
      <c r="AG2653" s="19"/>
      <c r="AJ2653" s="410"/>
    </row>
    <row r="2654" spans="33:36" ht="11.25" customHeight="1" x14ac:dyDescent="0.2">
      <c r="AG2654" s="19"/>
      <c r="AJ2654" s="410"/>
    </row>
    <row r="2655" spans="33:36" ht="11.25" customHeight="1" x14ac:dyDescent="0.2">
      <c r="AG2655" s="19"/>
      <c r="AJ2655" s="410"/>
    </row>
    <row r="2656" spans="33:36" ht="11.25" customHeight="1" x14ac:dyDescent="0.2">
      <c r="AG2656" s="19"/>
      <c r="AJ2656" s="410"/>
    </row>
    <row r="2657" spans="33:36" ht="11.25" customHeight="1" x14ac:dyDescent="0.2">
      <c r="AG2657" s="19"/>
      <c r="AJ2657" s="410"/>
    </row>
    <row r="2658" spans="33:36" ht="11.25" customHeight="1" x14ac:dyDescent="0.2">
      <c r="AG2658" s="19"/>
      <c r="AJ2658" s="410"/>
    </row>
    <row r="2659" spans="33:36" ht="11.25" customHeight="1" x14ac:dyDescent="0.2">
      <c r="AG2659" s="19"/>
      <c r="AJ2659" s="410"/>
    </row>
    <row r="2660" spans="33:36" ht="11.25" customHeight="1" x14ac:dyDescent="0.2">
      <c r="AG2660" s="19"/>
      <c r="AJ2660" s="410"/>
    </row>
    <row r="2661" spans="33:36" ht="11.25" customHeight="1" x14ac:dyDescent="0.2">
      <c r="AG2661" s="19"/>
      <c r="AJ2661" s="410"/>
    </row>
    <row r="2662" spans="33:36" ht="11.25" customHeight="1" x14ac:dyDescent="0.2">
      <c r="AG2662" s="19"/>
      <c r="AJ2662" s="410"/>
    </row>
    <row r="2663" spans="33:36" ht="11.25" customHeight="1" x14ac:dyDescent="0.2">
      <c r="AG2663" s="19"/>
      <c r="AJ2663" s="410"/>
    </row>
    <row r="2664" spans="33:36" ht="11.25" customHeight="1" x14ac:dyDescent="0.2">
      <c r="AG2664" s="19"/>
      <c r="AJ2664" s="410"/>
    </row>
    <row r="2665" spans="33:36" ht="11.25" customHeight="1" x14ac:dyDescent="0.2">
      <c r="AG2665" s="19"/>
      <c r="AJ2665" s="410"/>
    </row>
    <row r="2666" spans="33:36" ht="11.25" customHeight="1" x14ac:dyDescent="0.2">
      <c r="AG2666" s="19"/>
      <c r="AJ2666" s="410"/>
    </row>
    <row r="2667" spans="33:36" ht="11.25" customHeight="1" x14ac:dyDescent="0.2">
      <c r="AG2667" s="19"/>
      <c r="AJ2667" s="410"/>
    </row>
    <row r="2668" spans="33:36" ht="11.25" customHeight="1" x14ac:dyDescent="0.2">
      <c r="AG2668" s="19"/>
      <c r="AJ2668" s="410"/>
    </row>
    <row r="2669" spans="33:36" ht="11.25" customHeight="1" x14ac:dyDescent="0.2">
      <c r="AG2669" s="19"/>
      <c r="AJ2669" s="410"/>
    </row>
    <row r="2670" spans="33:36" ht="11.25" customHeight="1" x14ac:dyDescent="0.2">
      <c r="AG2670" s="19"/>
      <c r="AJ2670" s="410"/>
    </row>
    <row r="2671" spans="33:36" ht="11.25" customHeight="1" x14ac:dyDescent="0.2">
      <c r="AG2671" s="19"/>
      <c r="AJ2671" s="410"/>
    </row>
    <row r="2672" spans="33:36" ht="11.25" customHeight="1" x14ac:dyDescent="0.2">
      <c r="AG2672" s="19"/>
      <c r="AJ2672" s="410"/>
    </row>
    <row r="2673" spans="33:36" ht="11.25" customHeight="1" x14ac:dyDescent="0.2">
      <c r="AG2673" s="19"/>
      <c r="AJ2673" s="410"/>
    </row>
    <row r="2674" spans="33:36" ht="11.25" customHeight="1" x14ac:dyDescent="0.2">
      <c r="AG2674" s="19"/>
      <c r="AJ2674" s="410"/>
    </row>
    <row r="2675" spans="33:36" ht="11.25" customHeight="1" x14ac:dyDescent="0.2">
      <c r="AG2675" s="19"/>
      <c r="AJ2675" s="410"/>
    </row>
    <row r="2676" spans="33:36" ht="11.25" customHeight="1" x14ac:dyDescent="0.2">
      <c r="AG2676" s="19"/>
      <c r="AJ2676" s="410"/>
    </row>
    <row r="2677" spans="33:36" ht="11.25" customHeight="1" x14ac:dyDescent="0.2">
      <c r="AG2677" s="19"/>
      <c r="AJ2677" s="410"/>
    </row>
    <row r="2678" spans="33:36" ht="11.25" customHeight="1" x14ac:dyDescent="0.2">
      <c r="AG2678" s="19"/>
      <c r="AJ2678" s="410"/>
    </row>
    <row r="2679" spans="33:36" ht="11.25" customHeight="1" x14ac:dyDescent="0.2">
      <c r="AG2679" s="19"/>
      <c r="AJ2679" s="410"/>
    </row>
    <row r="2680" spans="33:36" ht="11.25" customHeight="1" x14ac:dyDescent="0.2">
      <c r="AG2680" s="19"/>
      <c r="AJ2680" s="410"/>
    </row>
    <row r="2681" spans="33:36" ht="11.25" customHeight="1" x14ac:dyDescent="0.2">
      <c r="AG2681" s="19"/>
      <c r="AJ2681" s="410"/>
    </row>
    <row r="2682" spans="33:36" ht="11.25" customHeight="1" x14ac:dyDescent="0.2">
      <c r="AG2682" s="19"/>
      <c r="AJ2682" s="410"/>
    </row>
    <row r="2683" spans="33:36" ht="11.25" customHeight="1" x14ac:dyDescent="0.2">
      <c r="AG2683" s="19"/>
      <c r="AJ2683" s="410"/>
    </row>
    <row r="2684" spans="33:36" ht="11.25" customHeight="1" x14ac:dyDescent="0.2">
      <c r="AG2684" s="19"/>
      <c r="AJ2684" s="410"/>
    </row>
    <row r="2685" spans="33:36" ht="11.25" customHeight="1" x14ac:dyDescent="0.2">
      <c r="AG2685" s="19"/>
      <c r="AJ2685" s="410"/>
    </row>
    <row r="2686" spans="33:36" ht="11.25" customHeight="1" x14ac:dyDescent="0.2">
      <c r="AG2686" s="19"/>
      <c r="AJ2686" s="410"/>
    </row>
    <row r="2687" spans="33:36" ht="11.25" customHeight="1" x14ac:dyDescent="0.2">
      <c r="AG2687" s="19"/>
      <c r="AJ2687" s="410"/>
    </row>
    <row r="2688" spans="33:36" ht="11.25" customHeight="1" x14ac:dyDescent="0.2">
      <c r="AG2688" s="19"/>
      <c r="AJ2688" s="410"/>
    </row>
    <row r="2689" spans="33:36" ht="11.25" customHeight="1" x14ac:dyDescent="0.2">
      <c r="AG2689" s="19"/>
      <c r="AJ2689" s="410"/>
    </row>
    <row r="2690" spans="33:36" ht="11.25" customHeight="1" x14ac:dyDescent="0.2">
      <c r="AG2690" s="19"/>
      <c r="AJ2690" s="410"/>
    </row>
    <row r="2691" spans="33:36" ht="11.25" customHeight="1" x14ac:dyDescent="0.2">
      <c r="AG2691" s="19"/>
      <c r="AJ2691" s="410"/>
    </row>
    <row r="2692" spans="33:36" ht="11.25" customHeight="1" x14ac:dyDescent="0.2">
      <c r="AG2692" s="19"/>
      <c r="AJ2692" s="410"/>
    </row>
    <row r="2693" spans="33:36" ht="11.25" customHeight="1" x14ac:dyDescent="0.2">
      <c r="AG2693" s="19"/>
      <c r="AJ2693" s="410"/>
    </row>
    <row r="2694" spans="33:36" ht="11.25" customHeight="1" x14ac:dyDescent="0.2">
      <c r="AG2694" s="19"/>
      <c r="AJ2694" s="410"/>
    </row>
    <row r="2695" spans="33:36" ht="11.25" customHeight="1" x14ac:dyDescent="0.2">
      <c r="AG2695" s="19"/>
      <c r="AJ2695" s="410"/>
    </row>
    <row r="2696" spans="33:36" ht="11.25" customHeight="1" x14ac:dyDescent="0.2">
      <c r="AG2696" s="19"/>
      <c r="AJ2696" s="410"/>
    </row>
    <row r="2697" spans="33:36" ht="11.25" customHeight="1" x14ac:dyDescent="0.2">
      <c r="AG2697" s="19"/>
      <c r="AJ2697" s="410"/>
    </row>
    <row r="2698" spans="33:36" ht="11.25" customHeight="1" x14ac:dyDescent="0.2">
      <c r="AG2698" s="19"/>
      <c r="AJ2698" s="410"/>
    </row>
    <row r="2699" spans="33:36" ht="11.25" customHeight="1" x14ac:dyDescent="0.2">
      <c r="AG2699" s="19"/>
      <c r="AJ2699" s="410"/>
    </row>
    <row r="2700" spans="33:36" ht="11.25" customHeight="1" x14ac:dyDescent="0.2">
      <c r="AG2700" s="19"/>
      <c r="AJ2700" s="410"/>
    </row>
    <row r="2701" spans="33:36" ht="11.25" customHeight="1" x14ac:dyDescent="0.2">
      <c r="AG2701" s="19"/>
      <c r="AJ2701" s="410"/>
    </row>
    <row r="2702" spans="33:36" ht="11.25" customHeight="1" x14ac:dyDescent="0.2">
      <c r="AG2702" s="19"/>
      <c r="AJ2702" s="410"/>
    </row>
    <row r="2703" spans="33:36" ht="11.25" customHeight="1" x14ac:dyDescent="0.2">
      <c r="AG2703" s="19"/>
      <c r="AJ2703" s="410"/>
    </row>
    <row r="2704" spans="33:36" ht="11.25" customHeight="1" x14ac:dyDescent="0.2">
      <c r="AG2704" s="19"/>
      <c r="AJ2704" s="410"/>
    </row>
    <row r="2705" spans="33:36" ht="11.25" customHeight="1" x14ac:dyDescent="0.2">
      <c r="AG2705" s="19"/>
      <c r="AJ2705" s="410"/>
    </row>
    <row r="2706" spans="33:36" ht="11.25" customHeight="1" x14ac:dyDescent="0.2">
      <c r="AG2706" s="19"/>
      <c r="AJ2706" s="410"/>
    </row>
    <row r="2707" spans="33:36" ht="11.25" customHeight="1" x14ac:dyDescent="0.2">
      <c r="AG2707" s="19"/>
      <c r="AJ2707" s="410"/>
    </row>
    <row r="2708" spans="33:36" ht="11.25" customHeight="1" x14ac:dyDescent="0.2">
      <c r="AG2708" s="19"/>
      <c r="AJ2708" s="410"/>
    </row>
    <row r="2709" spans="33:36" ht="11.25" customHeight="1" x14ac:dyDescent="0.2">
      <c r="AG2709" s="19"/>
      <c r="AJ2709" s="410"/>
    </row>
    <row r="2710" spans="33:36" ht="11.25" customHeight="1" x14ac:dyDescent="0.2">
      <c r="AG2710" s="19"/>
      <c r="AJ2710" s="410"/>
    </row>
    <row r="2711" spans="33:36" ht="11.25" customHeight="1" x14ac:dyDescent="0.2">
      <c r="AG2711" s="19"/>
      <c r="AJ2711" s="410"/>
    </row>
    <row r="2712" spans="33:36" ht="11.25" customHeight="1" x14ac:dyDescent="0.2">
      <c r="AG2712" s="19"/>
      <c r="AJ2712" s="410"/>
    </row>
    <row r="2713" spans="33:36" ht="11.25" customHeight="1" x14ac:dyDescent="0.2">
      <c r="AG2713" s="19"/>
      <c r="AJ2713" s="410"/>
    </row>
    <row r="2714" spans="33:36" ht="11.25" customHeight="1" x14ac:dyDescent="0.2">
      <c r="AG2714" s="19"/>
      <c r="AJ2714" s="410"/>
    </row>
    <row r="2715" spans="33:36" ht="11.25" customHeight="1" x14ac:dyDescent="0.2">
      <c r="AG2715" s="19"/>
      <c r="AJ2715" s="410"/>
    </row>
    <row r="2716" spans="33:36" ht="11.25" customHeight="1" x14ac:dyDescent="0.2">
      <c r="AG2716" s="19"/>
      <c r="AJ2716" s="410"/>
    </row>
    <row r="2717" spans="33:36" ht="11.25" customHeight="1" x14ac:dyDescent="0.2">
      <c r="AG2717" s="19"/>
      <c r="AJ2717" s="410"/>
    </row>
    <row r="2718" spans="33:36" ht="11.25" customHeight="1" x14ac:dyDescent="0.2">
      <c r="AG2718" s="19"/>
      <c r="AJ2718" s="410"/>
    </row>
    <row r="2719" spans="33:36" ht="11.25" customHeight="1" x14ac:dyDescent="0.2">
      <c r="AG2719" s="19"/>
      <c r="AJ2719" s="410"/>
    </row>
    <row r="2720" spans="33:36" ht="11.25" customHeight="1" x14ac:dyDescent="0.2">
      <c r="AG2720" s="19"/>
      <c r="AJ2720" s="410"/>
    </row>
    <row r="2721" spans="33:36" ht="11.25" customHeight="1" x14ac:dyDescent="0.2">
      <c r="AG2721" s="19"/>
      <c r="AJ2721" s="410"/>
    </row>
    <row r="2722" spans="33:36" ht="11.25" customHeight="1" x14ac:dyDescent="0.2">
      <c r="AG2722" s="19"/>
      <c r="AJ2722" s="410"/>
    </row>
    <row r="2723" spans="33:36" ht="11.25" customHeight="1" x14ac:dyDescent="0.2">
      <c r="AG2723" s="19"/>
      <c r="AJ2723" s="410"/>
    </row>
    <row r="2724" spans="33:36" ht="11.25" customHeight="1" x14ac:dyDescent="0.2">
      <c r="AG2724" s="19"/>
      <c r="AJ2724" s="410"/>
    </row>
    <row r="2725" spans="33:36" ht="11.25" customHeight="1" x14ac:dyDescent="0.2">
      <c r="AG2725" s="19"/>
      <c r="AJ2725" s="410"/>
    </row>
    <row r="2726" spans="33:36" ht="11.25" customHeight="1" x14ac:dyDescent="0.2">
      <c r="AG2726" s="19"/>
      <c r="AJ2726" s="410"/>
    </row>
    <row r="2727" spans="33:36" ht="11.25" customHeight="1" x14ac:dyDescent="0.2">
      <c r="AG2727" s="19"/>
      <c r="AJ2727" s="410"/>
    </row>
    <row r="2728" spans="33:36" ht="11.25" customHeight="1" x14ac:dyDescent="0.2">
      <c r="AG2728" s="19"/>
      <c r="AJ2728" s="410"/>
    </row>
    <row r="2729" spans="33:36" ht="11.25" customHeight="1" x14ac:dyDescent="0.2">
      <c r="AG2729" s="19"/>
      <c r="AJ2729" s="410"/>
    </row>
    <row r="2730" spans="33:36" ht="11.25" customHeight="1" x14ac:dyDescent="0.2">
      <c r="AG2730" s="19"/>
      <c r="AJ2730" s="410"/>
    </row>
    <row r="2731" spans="33:36" ht="11.25" customHeight="1" x14ac:dyDescent="0.2">
      <c r="AG2731" s="19"/>
      <c r="AJ2731" s="410"/>
    </row>
    <row r="2732" spans="33:36" ht="11.25" customHeight="1" x14ac:dyDescent="0.2">
      <c r="AG2732" s="19"/>
      <c r="AJ2732" s="410"/>
    </row>
    <row r="2733" spans="33:36" ht="11.25" customHeight="1" x14ac:dyDescent="0.2">
      <c r="AG2733" s="19"/>
      <c r="AJ2733" s="410"/>
    </row>
    <row r="2734" spans="33:36" ht="11.25" customHeight="1" x14ac:dyDescent="0.2">
      <c r="AG2734" s="19"/>
      <c r="AJ2734" s="410"/>
    </row>
    <row r="2735" spans="33:36" ht="11.25" customHeight="1" x14ac:dyDescent="0.2">
      <c r="AG2735" s="19"/>
      <c r="AJ2735" s="410"/>
    </row>
    <row r="2736" spans="33:36" ht="11.25" customHeight="1" x14ac:dyDescent="0.2">
      <c r="AG2736" s="19"/>
      <c r="AJ2736" s="410"/>
    </row>
    <row r="2737" spans="33:36" ht="11.25" customHeight="1" x14ac:dyDescent="0.2">
      <c r="AG2737" s="19"/>
      <c r="AJ2737" s="410"/>
    </row>
    <row r="2738" spans="33:36" ht="11.25" customHeight="1" x14ac:dyDescent="0.2">
      <c r="AG2738" s="19"/>
      <c r="AJ2738" s="410"/>
    </row>
    <row r="2739" spans="33:36" ht="11.25" customHeight="1" x14ac:dyDescent="0.2">
      <c r="AG2739" s="19"/>
      <c r="AJ2739" s="410"/>
    </row>
    <row r="2740" spans="33:36" ht="11.25" customHeight="1" x14ac:dyDescent="0.2">
      <c r="AG2740" s="19"/>
      <c r="AJ2740" s="410"/>
    </row>
    <row r="2741" spans="33:36" ht="11.25" customHeight="1" x14ac:dyDescent="0.2">
      <c r="AG2741" s="19"/>
      <c r="AJ2741" s="410"/>
    </row>
    <row r="2742" spans="33:36" ht="11.25" customHeight="1" x14ac:dyDescent="0.2">
      <c r="AG2742" s="19"/>
      <c r="AJ2742" s="410"/>
    </row>
    <row r="2743" spans="33:36" ht="11.25" customHeight="1" x14ac:dyDescent="0.2">
      <c r="AG2743" s="19"/>
      <c r="AJ2743" s="410"/>
    </row>
    <row r="2744" spans="33:36" ht="11.25" customHeight="1" x14ac:dyDescent="0.2">
      <c r="AG2744" s="19"/>
      <c r="AJ2744" s="410"/>
    </row>
    <row r="2745" spans="33:36" ht="11.25" customHeight="1" x14ac:dyDescent="0.2">
      <c r="AG2745" s="19"/>
      <c r="AJ2745" s="410"/>
    </row>
    <row r="2746" spans="33:36" ht="11.25" customHeight="1" x14ac:dyDescent="0.2">
      <c r="AG2746" s="19"/>
      <c r="AJ2746" s="410"/>
    </row>
    <row r="2747" spans="33:36" ht="11.25" customHeight="1" x14ac:dyDescent="0.2">
      <c r="AG2747" s="19"/>
      <c r="AJ2747" s="410"/>
    </row>
    <row r="2748" spans="33:36" ht="11.25" customHeight="1" x14ac:dyDescent="0.2">
      <c r="AG2748" s="19"/>
      <c r="AJ2748" s="410"/>
    </row>
    <row r="2749" spans="33:36" ht="11.25" customHeight="1" x14ac:dyDescent="0.2">
      <c r="AG2749" s="19"/>
      <c r="AJ2749" s="410"/>
    </row>
    <row r="2750" spans="33:36" ht="11.25" customHeight="1" x14ac:dyDescent="0.2">
      <c r="AG2750" s="19"/>
      <c r="AJ2750" s="410"/>
    </row>
    <row r="2751" spans="33:36" ht="11.25" customHeight="1" x14ac:dyDescent="0.2">
      <c r="AG2751" s="19"/>
      <c r="AJ2751" s="410"/>
    </row>
    <row r="2752" spans="33:36" ht="11.25" customHeight="1" x14ac:dyDescent="0.2">
      <c r="AG2752" s="19"/>
      <c r="AJ2752" s="410"/>
    </row>
    <row r="2753" spans="33:36" ht="11.25" customHeight="1" x14ac:dyDescent="0.2">
      <c r="AG2753" s="19"/>
      <c r="AJ2753" s="410"/>
    </row>
    <row r="2754" spans="33:36" ht="11.25" customHeight="1" x14ac:dyDescent="0.2">
      <c r="AG2754" s="19"/>
      <c r="AJ2754" s="410"/>
    </row>
    <row r="2755" spans="33:36" ht="11.25" customHeight="1" x14ac:dyDescent="0.2">
      <c r="AG2755" s="19"/>
      <c r="AJ2755" s="410"/>
    </row>
    <row r="2756" spans="33:36" ht="11.25" customHeight="1" x14ac:dyDescent="0.2">
      <c r="AG2756" s="19"/>
      <c r="AJ2756" s="410"/>
    </row>
    <row r="2757" spans="33:36" ht="11.25" customHeight="1" x14ac:dyDescent="0.2">
      <c r="AG2757" s="19"/>
      <c r="AJ2757" s="410"/>
    </row>
    <row r="2758" spans="33:36" ht="11.25" customHeight="1" x14ac:dyDescent="0.2">
      <c r="AG2758" s="19"/>
      <c r="AJ2758" s="410"/>
    </row>
    <row r="2759" spans="33:36" ht="11.25" customHeight="1" x14ac:dyDescent="0.2">
      <c r="AG2759" s="19"/>
      <c r="AJ2759" s="410"/>
    </row>
    <row r="2760" spans="33:36" ht="11.25" customHeight="1" x14ac:dyDescent="0.2">
      <c r="AG2760" s="19"/>
      <c r="AJ2760" s="410"/>
    </row>
    <row r="2761" spans="33:36" ht="11.25" customHeight="1" x14ac:dyDescent="0.2">
      <c r="AG2761" s="19"/>
      <c r="AJ2761" s="410"/>
    </row>
    <row r="2762" spans="33:36" ht="11.25" customHeight="1" x14ac:dyDescent="0.2">
      <c r="AG2762" s="19"/>
      <c r="AJ2762" s="410"/>
    </row>
    <row r="2763" spans="33:36" ht="11.25" customHeight="1" x14ac:dyDescent="0.2">
      <c r="AG2763" s="19"/>
      <c r="AJ2763" s="410"/>
    </row>
    <row r="2764" spans="33:36" ht="11.25" customHeight="1" x14ac:dyDescent="0.2">
      <c r="AG2764" s="19"/>
      <c r="AJ2764" s="410"/>
    </row>
    <row r="2765" spans="33:36" ht="11.25" customHeight="1" x14ac:dyDescent="0.2">
      <c r="AG2765" s="19"/>
      <c r="AJ2765" s="410"/>
    </row>
    <row r="2766" spans="33:36" ht="11.25" customHeight="1" x14ac:dyDescent="0.2">
      <c r="AG2766" s="19"/>
      <c r="AJ2766" s="410"/>
    </row>
    <row r="2767" spans="33:36" ht="11.25" customHeight="1" x14ac:dyDescent="0.2">
      <c r="AG2767" s="19"/>
      <c r="AJ2767" s="410"/>
    </row>
    <row r="2768" spans="33:36" ht="11.25" customHeight="1" x14ac:dyDescent="0.2">
      <c r="AG2768" s="19"/>
      <c r="AJ2768" s="410"/>
    </row>
    <row r="2769" spans="33:36" ht="11.25" customHeight="1" x14ac:dyDescent="0.2">
      <c r="AG2769" s="19"/>
      <c r="AJ2769" s="410"/>
    </row>
    <row r="2770" spans="33:36" ht="11.25" customHeight="1" x14ac:dyDescent="0.2">
      <c r="AG2770" s="19"/>
      <c r="AJ2770" s="410"/>
    </row>
    <row r="2771" spans="33:36" ht="11.25" customHeight="1" x14ac:dyDescent="0.2">
      <c r="AG2771" s="19"/>
      <c r="AJ2771" s="410"/>
    </row>
    <row r="2772" spans="33:36" ht="11.25" customHeight="1" x14ac:dyDescent="0.2">
      <c r="AG2772" s="19"/>
      <c r="AJ2772" s="410"/>
    </row>
    <row r="2773" spans="33:36" ht="11.25" customHeight="1" x14ac:dyDescent="0.2">
      <c r="AG2773" s="19"/>
      <c r="AJ2773" s="410"/>
    </row>
    <row r="2774" spans="33:36" ht="11.25" customHeight="1" x14ac:dyDescent="0.2">
      <c r="AG2774" s="19"/>
      <c r="AJ2774" s="410"/>
    </row>
    <row r="2775" spans="33:36" ht="11.25" customHeight="1" x14ac:dyDescent="0.2">
      <c r="AG2775" s="19"/>
      <c r="AJ2775" s="410"/>
    </row>
    <row r="2776" spans="33:36" ht="11.25" customHeight="1" x14ac:dyDescent="0.2">
      <c r="AG2776" s="19"/>
      <c r="AJ2776" s="410"/>
    </row>
    <row r="2777" spans="33:36" ht="11.25" customHeight="1" x14ac:dyDescent="0.2">
      <c r="AG2777" s="19"/>
      <c r="AJ2777" s="410"/>
    </row>
    <row r="2778" spans="33:36" ht="11.25" customHeight="1" x14ac:dyDescent="0.2">
      <c r="AG2778" s="19"/>
      <c r="AJ2778" s="410"/>
    </row>
    <row r="2779" spans="33:36" ht="11.25" customHeight="1" x14ac:dyDescent="0.2">
      <c r="AG2779" s="19"/>
      <c r="AJ2779" s="410"/>
    </row>
    <row r="2780" spans="33:36" ht="11.25" customHeight="1" x14ac:dyDescent="0.2">
      <c r="AG2780" s="19"/>
      <c r="AJ2780" s="410"/>
    </row>
    <row r="2781" spans="33:36" ht="11.25" customHeight="1" x14ac:dyDescent="0.2">
      <c r="AG2781" s="19"/>
      <c r="AJ2781" s="410"/>
    </row>
    <row r="2782" spans="33:36" ht="11.25" customHeight="1" x14ac:dyDescent="0.2">
      <c r="AG2782" s="19"/>
      <c r="AJ2782" s="410"/>
    </row>
    <row r="2783" spans="33:36" ht="11.25" customHeight="1" x14ac:dyDescent="0.2">
      <c r="AG2783" s="19"/>
      <c r="AJ2783" s="410"/>
    </row>
    <row r="2784" spans="33:36" ht="11.25" customHeight="1" x14ac:dyDescent="0.2">
      <c r="AG2784" s="19"/>
      <c r="AJ2784" s="410"/>
    </row>
    <row r="2785" spans="33:36" ht="11.25" customHeight="1" x14ac:dyDescent="0.2">
      <c r="AG2785" s="19"/>
      <c r="AJ2785" s="410"/>
    </row>
    <row r="2786" spans="33:36" ht="11.25" customHeight="1" x14ac:dyDescent="0.2">
      <c r="AG2786" s="19"/>
      <c r="AJ2786" s="410"/>
    </row>
    <row r="2787" spans="33:36" ht="11.25" customHeight="1" x14ac:dyDescent="0.2">
      <c r="AG2787" s="19"/>
      <c r="AJ2787" s="410"/>
    </row>
    <row r="2788" spans="33:36" ht="11.25" customHeight="1" x14ac:dyDescent="0.2">
      <c r="AG2788" s="19"/>
      <c r="AJ2788" s="410"/>
    </row>
    <row r="2789" spans="33:36" ht="11.25" customHeight="1" x14ac:dyDescent="0.2">
      <c r="AG2789" s="19"/>
      <c r="AJ2789" s="410"/>
    </row>
    <row r="2790" spans="33:36" ht="11.25" customHeight="1" x14ac:dyDescent="0.2">
      <c r="AG2790" s="19"/>
      <c r="AJ2790" s="410"/>
    </row>
    <row r="2791" spans="33:36" ht="11.25" customHeight="1" x14ac:dyDescent="0.2">
      <c r="AG2791" s="19"/>
      <c r="AJ2791" s="410"/>
    </row>
    <row r="2792" spans="33:36" ht="11.25" customHeight="1" x14ac:dyDescent="0.2">
      <c r="AG2792" s="19"/>
      <c r="AJ2792" s="410"/>
    </row>
    <row r="2793" spans="33:36" ht="11.25" customHeight="1" x14ac:dyDescent="0.2">
      <c r="AG2793" s="19"/>
      <c r="AJ2793" s="410"/>
    </row>
    <row r="2794" spans="33:36" ht="11.25" customHeight="1" x14ac:dyDescent="0.2">
      <c r="AG2794" s="19"/>
      <c r="AJ2794" s="410"/>
    </row>
    <row r="2795" spans="33:36" ht="11.25" customHeight="1" x14ac:dyDescent="0.2">
      <c r="AG2795" s="19"/>
      <c r="AJ2795" s="410"/>
    </row>
    <row r="2796" spans="33:36" ht="11.25" customHeight="1" x14ac:dyDescent="0.2">
      <c r="AG2796" s="19"/>
      <c r="AJ2796" s="410"/>
    </row>
    <row r="2797" spans="33:36" ht="11.25" customHeight="1" x14ac:dyDescent="0.2">
      <c r="AG2797" s="19"/>
      <c r="AJ2797" s="410"/>
    </row>
    <row r="2798" spans="33:36" ht="11.25" customHeight="1" x14ac:dyDescent="0.2">
      <c r="AG2798" s="19"/>
      <c r="AJ2798" s="410"/>
    </row>
    <row r="2799" spans="33:36" ht="11.25" customHeight="1" x14ac:dyDescent="0.2">
      <c r="AG2799" s="19"/>
      <c r="AJ2799" s="410"/>
    </row>
    <row r="2800" spans="33:36" ht="11.25" customHeight="1" x14ac:dyDescent="0.2">
      <c r="AG2800" s="19"/>
      <c r="AJ2800" s="410"/>
    </row>
    <row r="2801" spans="33:36" ht="11.25" customHeight="1" x14ac:dyDescent="0.2">
      <c r="AG2801" s="19"/>
      <c r="AJ2801" s="410"/>
    </row>
    <row r="2802" spans="33:36" ht="11.25" customHeight="1" x14ac:dyDescent="0.2">
      <c r="AG2802" s="19"/>
      <c r="AJ2802" s="410"/>
    </row>
    <row r="2803" spans="33:36" ht="11.25" customHeight="1" x14ac:dyDescent="0.2">
      <c r="AG2803" s="19"/>
      <c r="AJ2803" s="410"/>
    </row>
    <row r="2804" spans="33:36" ht="11.25" customHeight="1" x14ac:dyDescent="0.2">
      <c r="AG2804" s="19"/>
      <c r="AJ2804" s="410"/>
    </row>
    <row r="2805" spans="33:36" ht="11.25" customHeight="1" x14ac:dyDescent="0.2">
      <c r="AG2805" s="19"/>
      <c r="AJ2805" s="410"/>
    </row>
    <row r="2806" spans="33:36" ht="11.25" customHeight="1" x14ac:dyDescent="0.2">
      <c r="AG2806" s="19"/>
      <c r="AJ2806" s="410"/>
    </row>
    <row r="2807" spans="33:36" ht="11.25" customHeight="1" x14ac:dyDescent="0.2">
      <c r="AG2807" s="19"/>
      <c r="AJ2807" s="410"/>
    </row>
    <row r="2808" spans="33:36" ht="11.25" customHeight="1" x14ac:dyDescent="0.2">
      <c r="AG2808" s="19"/>
      <c r="AJ2808" s="410"/>
    </row>
    <row r="2809" spans="33:36" ht="11.25" customHeight="1" x14ac:dyDescent="0.2">
      <c r="AG2809" s="19"/>
      <c r="AJ2809" s="410"/>
    </row>
    <row r="2810" spans="33:36" ht="11.25" customHeight="1" x14ac:dyDescent="0.2">
      <c r="AG2810" s="19"/>
      <c r="AJ2810" s="410"/>
    </row>
    <row r="2811" spans="33:36" ht="11.25" customHeight="1" x14ac:dyDescent="0.2">
      <c r="AG2811" s="19"/>
      <c r="AJ2811" s="410"/>
    </row>
    <row r="2812" spans="33:36" ht="11.25" customHeight="1" x14ac:dyDescent="0.2">
      <c r="AG2812" s="19"/>
      <c r="AJ2812" s="410"/>
    </row>
    <row r="2813" spans="33:36" ht="11.25" customHeight="1" x14ac:dyDescent="0.2">
      <c r="AG2813" s="19"/>
      <c r="AJ2813" s="410"/>
    </row>
    <row r="2814" spans="33:36" ht="11.25" customHeight="1" x14ac:dyDescent="0.2">
      <c r="AG2814" s="19"/>
      <c r="AJ2814" s="410"/>
    </row>
    <row r="2815" spans="33:36" ht="11.25" customHeight="1" x14ac:dyDescent="0.2">
      <c r="AG2815" s="19"/>
      <c r="AJ2815" s="410"/>
    </row>
    <row r="2816" spans="33:36" ht="11.25" customHeight="1" x14ac:dyDescent="0.2">
      <c r="AG2816" s="19"/>
      <c r="AJ2816" s="410"/>
    </row>
    <row r="2817" spans="33:36" ht="11.25" customHeight="1" x14ac:dyDescent="0.2">
      <c r="AG2817" s="19"/>
      <c r="AJ2817" s="410"/>
    </row>
    <row r="2818" spans="33:36" ht="11.25" customHeight="1" x14ac:dyDescent="0.2">
      <c r="AG2818" s="19"/>
      <c r="AJ2818" s="410"/>
    </row>
    <row r="2819" spans="33:36" ht="11.25" customHeight="1" x14ac:dyDescent="0.2">
      <c r="AG2819" s="19"/>
      <c r="AJ2819" s="410"/>
    </row>
    <row r="2820" spans="33:36" ht="11.25" customHeight="1" x14ac:dyDescent="0.2">
      <c r="AG2820" s="19"/>
      <c r="AJ2820" s="410"/>
    </row>
    <row r="2821" spans="33:36" ht="11.25" customHeight="1" x14ac:dyDescent="0.2">
      <c r="AG2821" s="19"/>
      <c r="AJ2821" s="410"/>
    </row>
    <row r="2822" spans="33:36" ht="11.25" customHeight="1" x14ac:dyDescent="0.2">
      <c r="AG2822" s="19"/>
      <c r="AJ2822" s="410"/>
    </row>
    <row r="2823" spans="33:36" ht="11.25" customHeight="1" x14ac:dyDescent="0.2">
      <c r="AG2823" s="19"/>
      <c r="AJ2823" s="410"/>
    </row>
    <row r="2824" spans="33:36" ht="11.25" customHeight="1" x14ac:dyDescent="0.2">
      <c r="AG2824" s="19"/>
      <c r="AJ2824" s="410"/>
    </row>
    <row r="2825" spans="33:36" ht="11.25" customHeight="1" x14ac:dyDescent="0.2">
      <c r="AG2825" s="19"/>
      <c r="AJ2825" s="410"/>
    </row>
    <row r="2826" spans="33:36" ht="11.25" customHeight="1" x14ac:dyDescent="0.2">
      <c r="AG2826" s="19"/>
      <c r="AJ2826" s="410"/>
    </row>
    <row r="2827" spans="33:36" ht="11.25" customHeight="1" x14ac:dyDescent="0.2">
      <c r="AG2827" s="19"/>
      <c r="AJ2827" s="410"/>
    </row>
    <row r="2828" spans="33:36" ht="11.25" customHeight="1" x14ac:dyDescent="0.2">
      <c r="AG2828" s="19"/>
      <c r="AJ2828" s="410"/>
    </row>
    <row r="2829" spans="33:36" ht="11.25" customHeight="1" x14ac:dyDescent="0.2">
      <c r="AG2829" s="19"/>
      <c r="AJ2829" s="410"/>
    </row>
    <row r="2830" spans="33:36" ht="11.25" customHeight="1" x14ac:dyDescent="0.2">
      <c r="AG2830" s="19"/>
      <c r="AJ2830" s="410"/>
    </row>
    <row r="2831" spans="33:36" ht="11.25" customHeight="1" x14ac:dyDescent="0.2">
      <c r="AG2831" s="19"/>
      <c r="AJ2831" s="410"/>
    </row>
    <row r="2832" spans="33:36" ht="11.25" customHeight="1" x14ac:dyDescent="0.2">
      <c r="AG2832" s="19"/>
      <c r="AJ2832" s="410"/>
    </row>
    <row r="2833" spans="33:36" ht="11.25" customHeight="1" x14ac:dyDescent="0.2">
      <c r="AG2833" s="19"/>
      <c r="AJ2833" s="410"/>
    </row>
    <row r="2834" spans="33:36" ht="11.25" customHeight="1" x14ac:dyDescent="0.2">
      <c r="AG2834" s="19"/>
      <c r="AJ2834" s="410"/>
    </row>
    <row r="2835" spans="33:36" ht="11.25" customHeight="1" x14ac:dyDescent="0.2">
      <c r="AG2835" s="19"/>
      <c r="AJ2835" s="410"/>
    </row>
    <row r="2836" spans="33:36" ht="11.25" customHeight="1" x14ac:dyDescent="0.2">
      <c r="AG2836" s="19"/>
      <c r="AJ2836" s="410"/>
    </row>
    <row r="2837" spans="33:36" ht="11.25" customHeight="1" x14ac:dyDescent="0.2">
      <c r="AG2837" s="19"/>
      <c r="AJ2837" s="410"/>
    </row>
    <row r="2838" spans="33:36" ht="11.25" customHeight="1" x14ac:dyDescent="0.2">
      <c r="AG2838" s="19"/>
      <c r="AJ2838" s="410"/>
    </row>
    <row r="2839" spans="33:36" ht="11.25" customHeight="1" x14ac:dyDescent="0.2">
      <c r="AG2839" s="19"/>
      <c r="AJ2839" s="410"/>
    </row>
    <row r="2840" spans="33:36" ht="11.25" customHeight="1" x14ac:dyDescent="0.2">
      <c r="AG2840" s="19"/>
      <c r="AJ2840" s="410"/>
    </row>
    <row r="2841" spans="33:36" ht="11.25" customHeight="1" x14ac:dyDescent="0.2">
      <c r="AG2841" s="19"/>
      <c r="AJ2841" s="410"/>
    </row>
    <row r="2842" spans="33:36" ht="11.25" customHeight="1" x14ac:dyDescent="0.2">
      <c r="AG2842" s="19"/>
      <c r="AJ2842" s="410"/>
    </row>
    <row r="2843" spans="33:36" ht="11.25" customHeight="1" x14ac:dyDescent="0.2">
      <c r="AG2843" s="19"/>
      <c r="AJ2843" s="410"/>
    </row>
    <row r="2844" spans="33:36" ht="11.25" customHeight="1" x14ac:dyDescent="0.2">
      <c r="AG2844" s="19"/>
      <c r="AJ2844" s="410"/>
    </row>
    <row r="2845" spans="33:36" ht="11.25" customHeight="1" x14ac:dyDescent="0.2">
      <c r="AG2845" s="19"/>
      <c r="AJ2845" s="410"/>
    </row>
    <row r="2846" spans="33:36" ht="11.25" customHeight="1" x14ac:dyDescent="0.2">
      <c r="AG2846" s="19"/>
      <c r="AJ2846" s="410"/>
    </row>
    <row r="2847" spans="33:36" ht="11.25" customHeight="1" x14ac:dyDescent="0.2">
      <c r="AG2847" s="19"/>
      <c r="AJ2847" s="410"/>
    </row>
    <row r="2848" spans="33:36" ht="11.25" customHeight="1" x14ac:dyDescent="0.2">
      <c r="AG2848" s="19"/>
      <c r="AJ2848" s="410"/>
    </row>
    <row r="2849" spans="33:36" ht="11.25" customHeight="1" x14ac:dyDescent="0.2">
      <c r="AG2849" s="19"/>
      <c r="AJ2849" s="410"/>
    </row>
    <row r="2850" spans="33:36" ht="11.25" customHeight="1" x14ac:dyDescent="0.2">
      <c r="AG2850" s="19"/>
      <c r="AJ2850" s="410"/>
    </row>
    <row r="2851" spans="33:36" ht="11.25" customHeight="1" x14ac:dyDescent="0.2">
      <c r="AG2851" s="19"/>
      <c r="AJ2851" s="410"/>
    </row>
    <row r="2852" spans="33:36" ht="11.25" customHeight="1" x14ac:dyDescent="0.2">
      <c r="AG2852" s="19"/>
      <c r="AJ2852" s="410"/>
    </row>
    <row r="2853" spans="33:36" ht="11.25" customHeight="1" x14ac:dyDescent="0.2">
      <c r="AG2853" s="19"/>
      <c r="AJ2853" s="410"/>
    </row>
    <row r="2854" spans="33:36" ht="11.25" customHeight="1" x14ac:dyDescent="0.2">
      <c r="AG2854" s="19"/>
      <c r="AJ2854" s="410"/>
    </row>
    <row r="2855" spans="33:36" ht="11.25" customHeight="1" x14ac:dyDescent="0.2">
      <c r="AG2855" s="19"/>
      <c r="AJ2855" s="410"/>
    </row>
    <row r="2856" spans="33:36" ht="11.25" customHeight="1" x14ac:dyDescent="0.2">
      <c r="AG2856" s="19"/>
      <c r="AJ2856" s="410"/>
    </row>
    <row r="2857" spans="33:36" ht="11.25" customHeight="1" x14ac:dyDescent="0.2">
      <c r="AG2857" s="19"/>
      <c r="AJ2857" s="410"/>
    </row>
    <row r="2858" spans="33:36" ht="11.25" customHeight="1" x14ac:dyDescent="0.2">
      <c r="AG2858" s="19"/>
      <c r="AJ2858" s="410"/>
    </row>
    <row r="2859" spans="33:36" ht="11.25" customHeight="1" x14ac:dyDescent="0.2">
      <c r="AG2859" s="19"/>
      <c r="AJ2859" s="410"/>
    </row>
    <row r="2860" spans="33:36" ht="11.25" customHeight="1" x14ac:dyDescent="0.2">
      <c r="AG2860" s="19"/>
      <c r="AJ2860" s="410"/>
    </row>
    <row r="2861" spans="33:36" ht="11.25" customHeight="1" x14ac:dyDescent="0.2">
      <c r="AG2861" s="19"/>
      <c r="AJ2861" s="410"/>
    </row>
    <row r="2862" spans="33:36" ht="11.25" customHeight="1" x14ac:dyDescent="0.2">
      <c r="AG2862" s="19"/>
      <c r="AJ2862" s="410"/>
    </row>
    <row r="2863" spans="33:36" ht="11.25" customHeight="1" x14ac:dyDescent="0.2">
      <c r="AG2863" s="19"/>
      <c r="AJ2863" s="410"/>
    </row>
    <row r="2864" spans="33:36" ht="11.25" customHeight="1" x14ac:dyDescent="0.2">
      <c r="AG2864" s="19"/>
      <c r="AJ2864" s="410"/>
    </row>
    <row r="2865" spans="33:36" ht="11.25" customHeight="1" x14ac:dyDescent="0.2">
      <c r="AG2865" s="19"/>
      <c r="AJ2865" s="410"/>
    </row>
    <row r="2866" spans="33:36" ht="11.25" customHeight="1" x14ac:dyDescent="0.2">
      <c r="AG2866" s="19"/>
      <c r="AJ2866" s="410"/>
    </row>
    <row r="2867" spans="33:36" ht="11.25" customHeight="1" x14ac:dyDescent="0.2">
      <c r="AG2867" s="19"/>
      <c r="AJ2867" s="410"/>
    </row>
    <row r="2868" spans="33:36" ht="11.25" customHeight="1" x14ac:dyDescent="0.2">
      <c r="AG2868" s="19"/>
      <c r="AJ2868" s="410"/>
    </row>
    <row r="2869" spans="33:36" ht="11.25" customHeight="1" x14ac:dyDescent="0.2">
      <c r="AG2869" s="19"/>
      <c r="AJ2869" s="410"/>
    </row>
    <row r="2870" spans="33:36" ht="11.25" customHeight="1" x14ac:dyDescent="0.2">
      <c r="AG2870" s="19"/>
      <c r="AJ2870" s="410"/>
    </row>
    <row r="2871" spans="33:36" ht="11.25" customHeight="1" x14ac:dyDescent="0.2">
      <c r="AG2871" s="19"/>
      <c r="AJ2871" s="410"/>
    </row>
    <row r="2872" spans="33:36" ht="11.25" customHeight="1" x14ac:dyDescent="0.2">
      <c r="AG2872" s="19"/>
      <c r="AJ2872" s="410"/>
    </row>
    <row r="2873" spans="33:36" ht="11.25" customHeight="1" x14ac:dyDescent="0.2">
      <c r="AG2873" s="19"/>
      <c r="AJ2873" s="410"/>
    </row>
    <row r="2874" spans="33:36" ht="11.25" customHeight="1" x14ac:dyDescent="0.2">
      <c r="AG2874" s="19"/>
      <c r="AJ2874" s="410"/>
    </row>
    <row r="2875" spans="33:36" ht="11.25" customHeight="1" x14ac:dyDescent="0.2">
      <c r="AG2875" s="19"/>
      <c r="AJ2875" s="410"/>
    </row>
    <row r="2876" spans="33:36" ht="11.25" customHeight="1" x14ac:dyDescent="0.2">
      <c r="AG2876" s="19"/>
      <c r="AJ2876" s="410"/>
    </row>
    <row r="2877" spans="33:36" ht="11.25" customHeight="1" x14ac:dyDescent="0.2">
      <c r="AG2877" s="19"/>
      <c r="AJ2877" s="410"/>
    </row>
    <row r="2878" spans="33:36" ht="11.25" customHeight="1" x14ac:dyDescent="0.2">
      <c r="AG2878" s="19"/>
      <c r="AJ2878" s="410"/>
    </row>
    <row r="2879" spans="33:36" ht="11.25" customHeight="1" x14ac:dyDescent="0.2">
      <c r="AG2879" s="19"/>
      <c r="AJ2879" s="410"/>
    </row>
    <row r="2880" spans="33:36" ht="11.25" customHeight="1" x14ac:dyDescent="0.2">
      <c r="AG2880" s="19"/>
      <c r="AJ2880" s="410"/>
    </row>
    <row r="2881" spans="33:36" ht="11.25" customHeight="1" x14ac:dyDescent="0.2">
      <c r="AG2881" s="19"/>
      <c r="AJ2881" s="410"/>
    </row>
    <row r="2882" spans="33:36" ht="11.25" customHeight="1" x14ac:dyDescent="0.2">
      <c r="AG2882" s="19"/>
      <c r="AJ2882" s="410"/>
    </row>
    <row r="2883" spans="33:36" ht="11.25" customHeight="1" x14ac:dyDescent="0.2">
      <c r="AG2883" s="19"/>
      <c r="AJ2883" s="410"/>
    </row>
    <row r="2884" spans="33:36" ht="11.25" customHeight="1" x14ac:dyDescent="0.2">
      <c r="AG2884" s="19"/>
      <c r="AJ2884" s="410"/>
    </row>
    <row r="2885" spans="33:36" ht="11.25" customHeight="1" x14ac:dyDescent="0.2">
      <c r="AG2885" s="19"/>
      <c r="AJ2885" s="410"/>
    </row>
    <row r="2886" spans="33:36" ht="11.25" customHeight="1" x14ac:dyDescent="0.2">
      <c r="AG2886" s="19"/>
      <c r="AJ2886" s="410"/>
    </row>
    <row r="2887" spans="33:36" ht="11.25" customHeight="1" x14ac:dyDescent="0.2">
      <c r="AG2887" s="19"/>
      <c r="AJ2887" s="410"/>
    </row>
    <row r="2888" spans="33:36" ht="11.25" customHeight="1" x14ac:dyDescent="0.2">
      <c r="AG2888" s="19"/>
      <c r="AJ2888" s="410"/>
    </row>
    <row r="2889" spans="33:36" ht="11.25" customHeight="1" x14ac:dyDescent="0.2">
      <c r="AG2889" s="19"/>
      <c r="AJ2889" s="410"/>
    </row>
    <row r="2890" spans="33:36" ht="11.25" customHeight="1" x14ac:dyDescent="0.2">
      <c r="AG2890" s="19"/>
      <c r="AJ2890" s="410"/>
    </row>
    <row r="2891" spans="33:36" ht="11.25" customHeight="1" x14ac:dyDescent="0.2">
      <c r="AG2891" s="19"/>
      <c r="AJ2891" s="410"/>
    </row>
    <row r="2892" spans="33:36" ht="11.25" customHeight="1" x14ac:dyDescent="0.2">
      <c r="AG2892" s="19"/>
      <c r="AJ2892" s="410"/>
    </row>
    <row r="2893" spans="33:36" ht="11.25" customHeight="1" x14ac:dyDescent="0.2">
      <c r="AG2893" s="19"/>
      <c r="AJ2893" s="410"/>
    </row>
    <row r="2894" spans="33:36" ht="11.25" customHeight="1" x14ac:dyDescent="0.2">
      <c r="AG2894" s="19"/>
      <c r="AJ2894" s="410"/>
    </row>
    <row r="2895" spans="33:36" ht="11.25" customHeight="1" x14ac:dyDescent="0.2">
      <c r="AG2895" s="19"/>
      <c r="AJ2895" s="410"/>
    </row>
    <row r="2896" spans="33:36" ht="11.25" customHeight="1" x14ac:dyDescent="0.2">
      <c r="AG2896" s="19"/>
      <c r="AJ2896" s="410"/>
    </row>
    <row r="2897" spans="33:36" ht="11.25" customHeight="1" x14ac:dyDescent="0.2">
      <c r="AG2897" s="19"/>
      <c r="AJ2897" s="410"/>
    </row>
    <row r="2898" spans="33:36" ht="11.25" customHeight="1" x14ac:dyDescent="0.2">
      <c r="AG2898" s="19"/>
      <c r="AJ2898" s="410"/>
    </row>
    <row r="2899" spans="33:36" ht="11.25" customHeight="1" x14ac:dyDescent="0.2">
      <c r="AG2899" s="19"/>
      <c r="AJ2899" s="410"/>
    </row>
    <row r="2900" spans="33:36" ht="11.25" customHeight="1" x14ac:dyDescent="0.2">
      <c r="AG2900" s="19"/>
      <c r="AJ2900" s="410"/>
    </row>
    <row r="2901" spans="33:36" ht="11.25" customHeight="1" x14ac:dyDescent="0.2">
      <c r="AG2901" s="19"/>
      <c r="AJ2901" s="410"/>
    </row>
    <row r="2902" spans="33:36" ht="11.25" customHeight="1" x14ac:dyDescent="0.2">
      <c r="AG2902" s="19"/>
      <c r="AJ2902" s="410"/>
    </row>
    <row r="2903" spans="33:36" ht="11.25" customHeight="1" x14ac:dyDescent="0.2">
      <c r="AG2903" s="19"/>
      <c r="AJ2903" s="410"/>
    </row>
    <row r="2904" spans="33:36" ht="11.25" customHeight="1" x14ac:dyDescent="0.2">
      <c r="AG2904" s="19"/>
      <c r="AJ2904" s="410"/>
    </row>
    <row r="2905" spans="33:36" ht="11.25" customHeight="1" x14ac:dyDescent="0.2">
      <c r="AG2905" s="19"/>
      <c r="AJ2905" s="410"/>
    </row>
    <row r="2906" spans="33:36" ht="11.25" customHeight="1" x14ac:dyDescent="0.2">
      <c r="AG2906" s="19"/>
      <c r="AJ2906" s="410"/>
    </row>
    <row r="2907" spans="33:36" ht="11.25" customHeight="1" x14ac:dyDescent="0.2">
      <c r="AG2907" s="19"/>
      <c r="AJ2907" s="410"/>
    </row>
    <row r="2908" spans="33:36" ht="11.25" customHeight="1" x14ac:dyDescent="0.2">
      <c r="AG2908" s="19"/>
      <c r="AJ2908" s="410"/>
    </row>
    <row r="2909" spans="33:36" ht="11.25" customHeight="1" x14ac:dyDescent="0.2">
      <c r="AG2909" s="19"/>
      <c r="AJ2909" s="410"/>
    </row>
    <row r="2910" spans="33:36" ht="11.25" customHeight="1" x14ac:dyDescent="0.2">
      <c r="AG2910" s="19"/>
      <c r="AJ2910" s="410"/>
    </row>
    <row r="2911" spans="33:36" ht="11.25" customHeight="1" x14ac:dyDescent="0.2">
      <c r="AG2911" s="19"/>
      <c r="AJ2911" s="410"/>
    </row>
    <row r="2912" spans="33:36" ht="11.25" customHeight="1" x14ac:dyDescent="0.2">
      <c r="AG2912" s="19"/>
      <c r="AJ2912" s="410"/>
    </row>
    <row r="2913" spans="33:36" ht="11.25" customHeight="1" x14ac:dyDescent="0.2">
      <c r="AG2913" s="19"/>
      <c r="AJ2913" s="410"/>
    </row>
    <row r="2914" spans="33:36" ht="11.25" customHeight="1" x14ac:dyDescent="0.2">
      <c r="AG2914" s="19"/>
      <c r="AJ2914" s="410"/>
    </row>
    <row r="2915" spans="33:36" ht="11.25" customHeight="1" x14ac:dyDescent="0.2">
      <c r="AG2915" s="19"/>
      <c r="AJ2915" s="410"/>
    </row>
    <row r="2916" spans="33:36" ht="11.25" customHeight="1" x14ac:dyDescent="0.2">
      <c r="AG2916" s="19"/>
      <c r="AJ2916" s="410"/>
    </row>
    <row r="2917" spans="33:36" ht="11.25" customHeight="1" x14ac:dyDescent="0.2">
      <c r="AG2917" s="19"/>
      <c r="AJ2917" s="410"/>
    </row>
    <row r="2918" spans="33:36" ht="11.25" customHeight="1" x14ac:dyDescent="0.2">
      <c r="AG2918" s="19"/>
      <c r="AJ2918" s="410"/>
    </row>
    <row r="2919" spans="33:36" ht="11.25" customHeight="1" x14ac:dyDescent="0.2">
      <c r="AG2919" s="19"/>
      <c r="AJ2919" s="410"/>
    </row>
    <row r="2920" spans="33:36" ht="11.25" customHeight="1" x14ac:dyDescent="0.2">
      <c r="AG2920" s="19"/>
      <c r="AJ2920" s="410"/>
    </row>
    <row r="2921" spans="33:36" ht="11.25" customHeight="1" x14ac:dyDescent="0.2">
      <c r="AG2921" s="19"/>
      <c r="AJ2921" s="410"/>
    </row>
    <row r="2922" spans="33:36" ht="11.25" customHeight="1" x14ac:dyDescent="0.2">
      <c r="AG2922" s="19"/>
      <c r="AJ2922" s="410"/>
    </row>
    <row r="2923" spans="33:36" ht="11.25" customHeight="1" x14ac:dyDescent="0.2">
      <c r="AG2923" s="19"/>
      <c r="AJ2923" s="410"/>
    </row>
    <row r="2924" spans="33:36" ht="11.25" customHeight="1" x14ac:dyDescent="0.2">
      <c r="AG2924" s="19"/>
      <c r="AJ2924" s="410"/>
    </row>
    <row r="2925" spans="33:36" ht="11.25" customHeight="1" x14ac:dyDescent="0.2">
      <c r="AG2925" s="19"/>
      <c r="AJ2925" s="410"/>
    </row>
    <row r="2926" spans="33:36" ht="11.25" customHeight="1" x14ac:dyDescent="0.2">
      <c r="AG2926" s="19"/>
      <c r="AJ2926" s="410"/>
    </row>
    <row r="2927" spans="33:36" ht="11.25" customHeight="1" x14ac:dyDescent="0.2">
      <c r="AG2927" s="19"/>
      <c r="AJ2927" s="410"/>
    </row>
    <row r="2928" spans="33:36" ht="11.25" customHeight="1" x14ac:dyDescent="0.2">
      <c r="AG2928" s="19"/>
      <c r="AJ2928" s="410"/>
    </row>
    <row r="2929" spans="33:36" ht="11.25" customHeight="1" x14ac:dyDescent="0.2">
      <c r="AG2929" s="19"/>
      <c r="AJ2929" s="410"/>
    </row>
    <row r="2930" spans="33:36" ht="11.25" customHeight="1" x14ac:dyDescent="0.2">
      <c r="AG2930" s="19"/>
      <c r="AJ2930" s="410"/>
    </row>
    <row r="2931" spans="33:36" ht="11.25" customHeight="1" x14ac:dyDescent="0.2">
      <c r="AG2931" s="19"/>
      <c r="AJ2931" s="410"/>
    </row>
    <row r="2932" spans="33:36" ht="11.25" customHeight="1" x14ac:dyDescent="0.2">
      <c r="AG2932" s="19"/>
      <c r="AJ2932" s="410"/>
    </row>
    <row r="2933" spans="33:36" ht="11.25" customHeight="1" x14ac:dyDescent="0.2">
      <c r="AG2933" s="19"/>
      <c r="AJ2933" s="410"/>
    </row>
    <row r="2934" spans="33:36" ht="11.25" customHeight="1" x14ac:dyDescent="0.2">
      <c r="AG2934" s="19"/>
      <c r="AJ2934" s="410"/>
    </row>
    <row r="2935" spans="33:36" ht="11.25" customHeight="1" x14ac:dyDescent="0.2">
      <c r="AG2935" s="19"/>
      <c r="AJ2935" s="410"/>
    </row>
    <row r="2936" spans="33:36" ht="11.25" customHeight="1" x14ac:dyDescent="0.2">
      <c r="AG2936" s="19"/>
      <c r="AJ2936" s="410"/>
    </row>
    <row r="2937" spans="33:36" ht="11.25" customHeight="1" x14ac:dyDescent="0.2">
      <c r="AG2937" s="19"/>
      <c r="AJ2937" s="410"/>
    </row>
    <row r="2938" spans="33:36" ht="11.25" customHeight="1" x14ac:dyDescent="0.2">
      <c r="AG2938" s="19"/>
      <c r="AJ2938" s="410"/>
    </row>
    <row r="2939" spans="33:36" ht="11.25" customHeight="1" x14ac:dyDescent="0.2">
      <c r="AG2939" s="19"/>
      <c r="AJ2939" s="410"/>
    </row>
    <row r="2940" spans="33:36" ht="11.25" customHeight="1" x14ac:dyDescent="0.2">
      <c r="AG2940" s="19"/>
      <c r="AJ2940" s="410"/>
    </row>
    <row r="2941" spans="33:36" ht="11.25" customHeight="1" x14ac:dyDescent="0.2">
      <c r="AG2941" s="19"/>
      <c r="AJ2941" s="410"/>
    </row>
    <row r="2942" spans="33:36" ht="11.25" customHeight="1" x14ac:dyDescent="0.2">
      <c r="AG2942" s="19"/>
      <c r="AJ2942" s="410"/>
    </row>
    <row r="2943" spans="33:36" ht="11.25" customHeight="1" x14ac:dyDescent="0.2">
      <c r="AG2943" s="19"/>
      <c r="AJ2943" s="410"/>
    </row>
    <row r="2944" spans="33:36" ht="11.25" customHeight="1" x14ac:dyDescent="0.2">
      <c r="AG2944" s="19"/>
      <c r="AJ2944" s="410"/>
    </row>
    <row r="2945" spans="33:36" ht="11.25" customHeight="1" x14ac:dyDescent="0.2">
      <c r="AG2945" s="19"/>
      <c r="AJ2945" s="410"/>
    </row>
    <row r="2946" spans="33:36" ht="11.25" customHeight="1" x14ac:dyDescent="0.2">
      <c r="AG2946" s="19"/>
      <c r="AJ2946" s="410"/>
    </row>
    <row r="2947" spans="33:36" ht="11.25" customHeight="1" x14ac:dyDescent="0.2">
      <c r="AG2947" s="19"/>
      <c r="AJ2947" s="410"/>
    </row>
    <row r="2948" spans="33:36" ht="11.25" customHeight="1" x14ac:dyDescent="0.2">
      <c r="AG2948" s="19"/>
      <c r="AJ2948" s="410"/>
    </row>
    <row r="2949" spans="33:36" ht="11.25" customHeight="1" x14ac:dyDescent="0.2">
      <c r="AG2949" s="19"/>
      <c r="AJ2949" s="410"/>
    </row>
    <row r="2950" spans="33:36" ht="11.25" customHeight="1" x14ac:dyDescent="0.2">
      <c r="AG2950" s="19"/>
      <c r="AJ2950" s="410"/>
    </row>
    <row r="2951" spans="33:36" ht="11.25" customHeight="1" x14ac:dyDescent="0.2">
      <c r="AG2951" s="19"/>
      <c r="AJ2951" s="410"/>
    </row>
    <row r="2952" spans="33:36" ht="11.25" customHeight="1" x14ac:dyDescent="0.2">
      <c r="AG2952" s="19"/>
      <c r="AJ2952" s="410"/>
    </row>
    <row r="2953" spans="33:36" ht="11.25" customHeight="1" x14ac:dyDescent="0.2">
      <c r="AG2953" s="19"/>
      <c r="AJ2953" s="410"/>
    </row>
    <row r="2954" spans="33:36" ht="11.25" customHeight="1" x14ac:dyDescent="0.2">
      <c r="AG2954" s="19"/>
      <c r="AJ2954" s="410"/>
    </row>
    <row r="2955" spans="33:36" ht="11.25" customHeight="1" x14ac:dyDescent="0.2">
      <c r="AG2955" s="19"/>
      <c r="AJ2955" s="410"/>
    </row>
    <row r="2956" spans="33:36" ht="11.25" customHeight="1" x14ac:dyDescent="0.2">
      <c r="AG2956" s="19"/>
      <c r="AJ2956" s="410"/>
    </row>
    <row r="2957" spans="33:36" ht="11.25" customHeight="1" x14ac:dyDescent="0.2">
      <c r="AG2957" s="19"/>
      <c r="AJ2957" s="410"/>
    </row>
    <row r="2958" spans="33:36" ht="11.25" customHeight="1" x14ac:dyDescent="0.2">
      <c r="AG2958" s="19"/>
      <c r="AJ2958" s="410"/>
    </row>
    <row r="2959" spans="33:36" ht="11.25" customHeight="1" x14ac:dyDescent="0.2">
      <c r="AG2959" s="19"/>
      <c r="AJ2959" s="410"/>
    </row>
    <row r="2960" spans="33:36" ht="11.25" customHeight="1" x14ac:dyDescent="0.2">
      <c r="AG2960" s="19"/>
      <c r="AJ2960" s="410"/>
    </row>
    <row r="2961" spans="33:36" ht="11.25" customHeight="1" x14ac:dyDescent="0.2">
      <c r="AG2961" s="19"/>
      <c r="AJ2961" s="410"/>
    </row>
    <row r="2962" spans="33:36" ht="11.25" customHeight="1" x14ac:dyDescent="0.2">
      <c r="AG2962" s="19"/>
      <c r="AJ2962" s="410"/>
    </row>
    <row r="2963" spans="33:36" ht="11.25" customHeight="1" x14ac:dyDescent="0.2">
      <c r="AG2963" s="19"/>
      <c r="AJ2963" s="410"/>
    </row>
    <row r="2964" spans="33:36" ht="11.25" customHeight="1" x14ac:dyDescent="0.2">
      <c r="AG2964" s="19"/>
      <c r="AJ2964" s="410"/>
    </row>
    <row r="2965" spans="33:36" ht="11.25" customHeight="1" x14ac:dyDescent="0.2">
      <c r="AG2965" s="19"/>
      <c r="AJ2965" s="410"/>
    </row>
    <row r="2966" spans="33:36" ht="11.25" customHeight="1" x14ac:dyDescent="0.2">
      <c r="AG2966" s="19"/>
      <c r="AJ2966" s="410"/>
    </row>
    <row r="2967" spans="33:36" ht="11.25" customHeight="1" x14ac:dyDescent="0.2">
      <c r="AG2967" s="19"/>
      <c r="AJ2967" s="410"/>
    </row>
    <row r="2968" spans="33:36" ht="11.25" customHeight="1" x14ac:dyDescent="0.2">
      <c r="AG2968" s="19"/>
      <c r="AJ2968" s="410"/>
    </row>
    <row r="2969" spans="33:36" ht="11.25" customHeight="1" x14ac:dyDescent="0.2">
      <c r="AG2969" s="19"/>
      <c r="AJ2969" s="410"/>
    </row>
    <row r="2970" spans="33:36" ht="11.25" customHeight="1" x14ac:dyDescent="0.2">
      <c r="AG2970" s="19"/>
      <c r="AJ2970" s="410"/>
    </row>
    <row r="2971" spans="33:36" ht="11.25" customHeight="1" x14ac:dyDescent="0.2">
      <c r="AG2971" s="19"/>
      <c r="AJ2971" s="410"/>
    </row>
    <row r="2972" spans="33:36" ht="11.25" customHeight="1" x14ac:dyDescent="0.2">
      <c r="AG2972" s="19"/>
      <c r="AJ2972" s="410"/>
    </row>
    <row r="2973" spans="33:36" ht="11.25" customHeight="1" x14ac:dyDescent="0.2">
      <c r="AG2973" s="19"/>
      <c r="AJ2973" s="410"/>
    </row>
    <row r="2974" spans="33:36" ht="11.25" customHeight="1" x14ac:dyDescent="0.2">
      <c r="AG2974" s="19"/>
      <c r="AJ2974" s="410"/>
    </row>
    <row r="2975" spans="33:36" ht="11.25" customHeight="1" x14ac:dyDescent="0.2">
      <c r="AG2975" s="19"/>
      <c r="AJ2975" s="410"/>
    </row>
    <row r="2976" spans="33:36" ht="11.25" customHeight="1" x14ac:dyDescent="0.2">
      <c r="AG2976" s="19"/>
      <c r="AJ2976" s="410"/>
    </row>
    <row r="2977" spans="33:36" ht="11.25" customHeight="1" x14ac:dyDescent="0.2">
      <c r="AG2977" s="19"/>
      <c r="AJ2977" s="410"/>
    </row>
    <row r="2978" spans="33:36" ht="11.25" customHeight="1" x14ac:dyDescent="0.2">
      <c r="AG2978" s="19"/>
      <c r="AJ2978" s="410"/>
    </row>
    <row r="2979" spans="33:36" ht="11.25" customHeight="1" x14ac:dyDescent="0.2">
      <c r="AG2979" s="19"/>
      <c r="AJ2979" s="410"/>
    </row>
    <row r="2980" spans="33:36" ht="11.25" customHeight="1" x14ac:dyDescent="0.2">
      <c r="AG2980" s="19"/>
      <c r="AJ2980" s="410"/>
    </row>
    <row r="2981" spans="33:36" ht="11.25" customHeight="1" x14ac:dyDescent="0.2">
      <c r="AG2981" s="19"/>
      <c r="AJ2981" s="410"/>
    </row>
    <row r="2982" spans="33:36" ht="11.25" customHeight="1" x14ac:dyDescent="0.2">
      <c r="AG2982" s="19"/>
      <c r="AJ2982" s="410"/>
    </row>
    <row r="2983" spans="33:36" ht="11.25" customHeight="1" x14ac:dyDescent="0.2">
      <c r="AG2983" s="19"/>
      <c r="AJ2983" s="410"/>
    </row>
    <row r="2984" spans="33:36" ht="11.25" customHeight="1" x14ac:dyDescent="0.2">
      <c r="AG2984" s="19"/>
      <c r="AJ2984" s="410"/>
    </row>
    <row r="2985" spans="33:36" ht="11.25" customHeight="1" x14ac:dyDescent="0.2">
      <c r="AG2985" s="19"/>
      <c r="AJ2985" s="410"/>
    </row>
    <row r="2986" spans="33:36" ht="11.25" customHeight="1" x14ac:dyDescent="0.2">
      <c r="AG2986" s="19"/>
      <c r="AJ2986" s="410"/>
    </row>
    <row r="2987" spans="33:36" ht="11.25" customHeight="1" x14ac:dyDescent="0.2">
      <c r="AG2987" s="19"/>
      <c r="AJ2987" s="410"/>
    </row>
    <row r="2988" spans="33:36" ht="11.25" customHeight="1" x14ac:dyDescent="0.2">
      <c r="AG2988" s="19"/>
      <c r="AJ2988" s="410"/>
    </row>
    <row r="2989" spans="33:36" ht="11.25" customHeight="1" x14ac:dyDescent="0.2">
      <c r="AG2989" s="19"/>
      <c r="AJ2989" s="410"/>
    </row>
    <row r="2990" spans="33:36" ht="11.25" customHeight="1" x14ac:dyDescent="0.2">
      <c r="AG2990" s="19"/>
      <c r="AJ2990" s="410"/>
    </row>
    <row r="2991" spans="33:36" ht="11.25" customHeight="1" x14ac:dyDescent="0.2">
      <c r="AG2991" s="19"/>
      <c r="AJ2991" s="410"/>
    </row>
    <row r="2992" spans="33:36" ht="11.25" customHeight="1" x14ac:dyDescent="0.2">
      <c r="AG2992" s="19"/>
      <c r="AJ2992" s="410"/>
    </row>
    <row r="2993" spans="33:36" ht="11.25" customHeight="1" x14ac:dyDescent="0.2">
      <c r="AG2993" s="19"/>
      <c r="AJ2993" s="410"/>
    </row>
    <row r="2994" spans="33:36" ht="11.25" customHeight="1" x14ac:dyDescent="0.2">
      <c r="AG2994" s="19"/>
      <c r="AJ2994" s="410"/>
    </row>
    <row r="2995" spans="33:36" ht="11.25" customHeight="1" x14ac:dyDescent="0.2">
      <c r="AG2995" s="19"/>
      <c r="AJ2995" s="410"/>
    </row>
    <row r="2996" spans="33:36" ht="11.25" customHeight="1" x14ac:dyDescent="0.2">
      <c r="AG2996" s="19"/>
      <c r="AJ2996" s="410"/>
    </row>
    <row r="2997" spans="33:36" ht="11.25" customHeight="1" x14ac:dyDescent="0.2">
      <c r="AG2997" s="19"/>
      <c r="AJ2997" s="410"/>
    </row>
    <row r="2998" spans="33:36" ht="11.25" customHeight="1" x14ac:dyDescent="0.2">
      <c r="AG2998" s="19"/>
      <c r="AJ2998" s="410"/>
    </row>
    <row r="2999" spans="33:36" ht="11.25" customHeight="1" x14ac:dyDescent="0.2">
      <c r="AG2999" s="19"/>
      <c r="AJ2999" s="410"/>
    </row>
    <row r="3000" spans="33:36" ht="11.25" customHeight="1" x14ac:dyDescent="0.2">
      <c r="AG3000" s="19"/>
      <c r="AJ3000" s="410"/>
    </row>
    <row r="3001" spans="33:36" ht="11.25" customHeight="1" x14ac:dyDescent="0.2">
      <c r="AG3001" s="19"/>
      <c r="AJ3001" s="410"/>
    </row>
    <row r="3002" spans="33:36" ht="11.25" customHeight="1" x14ac:dyDescent="0.2">
      <c r="AG3002" s="19"/>
      <c r="AJ3002" s="410"/>
    </row>
    <row r="3003" spans="33:36" ht="11.25" customHeight="1" x14ac:dyDescent="0.2">
      <c r="AG3003" s="19"/>
      <c r="AJ3003" s="410"/>
    </row>
    <row r="3004" spans="33:36" ht="11.25" customHeight="1" x14ac:dyDescent="0.2">
      <c r="AG3004" s="19"/>
      <c r="AJ3004" s="410"/>
    </row>
    <row r="3005" spans="33:36" ht="11.25" customHeight="1" x14ac:dyDescent="0.2">
      <c r="AG3005" s="19"/>
      <c r="AJ3005" s="410"/>
    </row>
    <row r="3006" spans="33:36" ht="11.25" customHeight="1" x14ac:dyDescent="0.2">
      <c r="AG3006" s="19"/>
      <c r="AJ3006" s="410"/>
    </row>
    <row r="3007" spans="33:36" ht="11.25" customHeight="1" x14ac:dyDescent="0.2">
      <c r="AG3007" s="19"/>
      <c r="AJ3007" s="410"/>
    </row>
    <row r="3008" spans="33:36" ht="11.25" customHeight="1" x14ac:dyDescent="0.2">
      <c r="AG3008" s="19"/>
      <c r="AJ3008" s="410"/>
    </row>
    <row r="3009" spans="33:36" ht="11.25" customHeight="1" x14ac:dyDescent="0.2">
      <c r="AG3009" s="19"/>
      <c r="AJ3009" s="410"/>
    </row>
    <row r="3010" spans="33:36" ht="11.25" customHeight="1" x14ac:dyDescent="0.2">
      <c r="AG3010" s="19"/>
      <c r="AJ3010" s="410"/>
    </row>
    <row r="3011" spans="33:36" ht="11.25" customHeight="1" x14ac:dyDescent="0.2">
      <c r="AG3011" s="19"/>
      <c r="AJ3011" s="410"/>
    </row>
    <row r="3012" spans="33:36" ht="11.25" customHeight="1" x14ac:dyDescent="0.2">
      <c r="AG3012" s="19"/>
      <c r="AJ3012" s="410"/>
    </row>
    <row r="3013" spans="33:36" ht="11.25" customHeight="1" x14ac:dyDescent="0.2">
      <c r="AG3013" s="19"/>
      <c r="AJ3013" s="410"/>
    </row>
    <row r="3014" spans="33:36" ht="11.25" customHeight="1" x14ac:dyDescent="0.2">
      <c r="AG3014" s="19"/>
      <c r="AJ3014" s="410"/>
    </row>
    <row r="3015" spans="33:36" ht="11.25" customHeight="1" x14ac:dyDescent="0.2">
      <c r="AG3015" s="19"/>
      <c r="AJ3015" s="410"/>
    </row>
    <row r="3016" spans="33:36" ht="11.25" customHeight="1" x14ac:dyDescent="0.2">
      <c r="AG3016" s="19"/>
      <c r="AJ3016" s="410"/>
    </row>
    <row r="3017" spans="33:36" ht="11.25" customHeight="1" x14ac:dyDescent="0.2">
      <c r="AG3017" s="19"/>
      <c r="AJ3017" s="410"/>
    </row>
    <row r="3018" spans="33:36" ht="11.25" customHeight="1" x14ac:dyDescent="0.2">
      <c r="AG3018" s="19"/>
      <c r="AJ3018" s="410"/>
    </row>
    <row r="3019" spans="33:36" ht="11.25" customHeight="1" x14ac:dyDescent="0.2">
      <c r="AG3019" s="19"/>
      <c r="AJ3019" s="410"/>
    </row>
    <row r="3020" spans="33:36" ht="11.25" customHeight="1" x14ac:dyDescent="0.2">
      <c r="AG3020" s="19"/>
      <c r="AJ3020" s="410"/>
    </row>
    <row r="3021" spans="33:36" ht="11.25" customHeight="1" x14ac:dyDescent="0.2">
      <c r="AG3021" s="19"/>
      <c r="AJ3021" s="410"/>
    </row>
    <row r="3022" spans="33:36" ht="11.25" customHeight="1" x14ac:dyDescent="0.2">
      <c r="AG3022" s="19"/>
      <c r="AJ3022" s="410"/>
    </row>
    <row r="3023" spans="33:36" ht="11.25" customHeight="1" x14ac:dyDescent="0.2">
      <c r="AG3023" s="19"/>
      <c r="AJ3023" s="410"/>
    </row>
    <row r="3024" spans="33:36" ht="11.25" customHeight="1" x14ac:dyDescent="0.2">
      <c r="AG3024" s="19"/>
      <c r="AJ3024" s="410"/>
    </row>
    <row r="3025" spans="33:36" ht="11.25" customHeight="1" x14ac:dyDescent="0.2">
      <c r="AG3025" s="19"/>
      <c r="AJ3025" s="410"/>
    </row>
    <row r="3026" spans="33:36" ht="11.25" customHeight="1" x14ac:dyDescent="0.2">
      <c r="AG3026" s="19"/>
      <c r="AJ3026" s="410"/>
    </row>
    <row r="3027" spans="33:36" ht="11.25" customHeight="1" x14ac:dyDescent="0.2">
      <c r="AG3027" s="19"/>
      <c r="AJ3027" s="410"/>
    </row>
    <row r="3028" spans="33:36" ht="11.25" customHeight="1" x14ac:dyDescent="0.2">
      <c r="AG3028" s="19"/>
      <c r="AJ3028" s="410"/>
    </row>
    <row r="3029" spans="33:36" ht="11.25" customHeight="1" x14ac:dyDescent="0.2">
      <c r="AG3029" s="19"/>
      <c r="AJ3029" s="410"/>
    </row>
    <row r="3030" spans="33:36" ht="11.25" customHeight="1" x14ac:dyDescent="0.2">
      <c r="AG3030" s="19"/>
      <c r="AJ3030" s="410"/>
    </row>
    <row r="3031" spans="33:36" ht="11.25" customHeight="1" x14ac:dyDescent="0.2">
      <c r="AG3031" s="19"/>
      <c r="AJ3031" s="410"/>
    </row>
    <row r="3032" spans="33:36" ht="11.25" customHeight="1" x14ac:dyDescent="0.2">
      <c r="AG3032" s="19"/>
      <c r="AJ3032" s="410"/>
    </row>
    <row r="3033" spans="33:36" ht="11.25" customHeight="1" x14ac:dyDescent="0.2">
      <c r="AG3033" s="19"/>
      <c r="AJ3033" s="410"/>
    </row>
    <row r="3034" spans="33:36" ht="11.25" customHeight="1" x14ac:dyDescent="0.2">
      <c r="AG3034" s="19"/>
      <c r="AJ3034" s="410"/>
    </row>
    <row r="3035" spans="33:36" ht="11.25" customHeight="1" x14ac:dyDescent="0.2">
      <c r="AG3035" s="19"/>
      <c r="AJ3035" s="410"/>
    </row>
    <row r="3036" spans="33:36" ht="11.25" customHeight="1" x14ac:dyDescent="0.2">
      <c r="AG3036" s="19"/>
      <c r="AJ3036" s="410"/>
    </row>
    <row r="3037" spans="33:36" ht="11.25" customHeight="1" x14ac:dyDescent="0.2">
      <c r="AG3037" s="19"/>
      <c r="AJ3037" s="410"/>
    </row>
    <row r="3038" spans="33:36" ht="11.25" customHeight="1" x14ac:dyDescent="0.2">
      <c r="AG3038" s="19"/>
      <c r="AJ3038" s="410"/>
    </row>
    <row r="3039" spans="33:36" ht="11.25" customHeight="1" x14ac:dyDescent="0.2">
      <c r="AG3039" s="19"/>
      <c r="AJ3039" s="410"/>
    </row>
    <row r="3040" spans="33:36" ht="11.25" customHeight="1" x14ac:dyDescent="0.2">
      <c r="AG3040" s="19"/>
      <c r="AJ3040" s="410"/>
    </row>
    <row r="3041" spans="33:36" ht="11.25" customHeight="1" x14ac:dyDescent="0.2">
      <c r="AG3041" s="19"/>
      <c r="AJ3041" s="410"/>
    </row>
    <row r="3042" spans="33:36" ht="11.25" customHeight="1" x14ac:dyDescent="0.2">
      <c r="AG3042" s="19"/>
      <c r="AJ3042" s="410"/>
    </row>
    <row r="3043" spans="33:36" ht="11.25" customHeight="1" x14ac:dyDescent="0.2">
      <c r="AG3043" s="19"/>
      <c r="AJ3043" s="410"/>
    </row>
    <row r="3044" spans="33:36" ht="11.25" customHeight="1" x14ac:dyDescent="0.2">
      <c r="AG3044" s="19"/>
      <c r="AJ3044" s="410"/>
    </row>
    <row r="3045" spans="33:36" ht="11.25" customHeight="1" x14ac:dyDescent="0.2">
      <c r="AG3045" s="19"/>
      <c r="AJ3045" s="410"/>
    </row>
    <row r="3046" spans="33:36" ht="11.25" customHeight="1" x14ac:dyDescent="0.2">
      <c r="AG3046" s="19"/>
      <c r="AJ3046" s="410"/>
    </row>
    <row r="3047" spans="33:36" ht="11.25" customHeight="1" x14ac:dyDescent="0.2">
      <c r="AG3047" s="19"/>
      <c r="AJ3047" s="410"/>
    </row>
    <row r="3048" spans="33:36" ht="11.25" customHeight="1" x14ac:dyDescent="0.2">
      <c r="AG3048" s="19"/>
      <c r="AJ3048" s="410"/>
    </row>
    <row r="3049" spans="33:36" ht="11.25" customHeight="1" x14ac:dyDescent="0.2">
      <c r="AG3049" s="19"/>
      <c r="AJ3049" s="410"/>
    </row>
    <row r="3050" spans="33:36" ht="11.25" customHeight="1" x14ac:dyDescent="0.2">
      <c r="AG3050" s="19"/>
      <c r="AJ3050" s="410"/>
    </row>
    <row r="3051" spans="33:36" ht="11.25" customHeight="1" x14ac:dyDescent="0.2">
      <c r="AG3051" s="19"/>
      <c r="AJ3051" s="410"/>
    </row>
    <row r="3052" spans="33:36" ht="11.25" customHeight="1" x14ac:dyDescent="0.2">
      <c r="AG3052" s="19"/>
      <c r="AJ3052" s="410"/>
    </row>
    <row r="3053" spans="33:36" ht="11.25" customHeight="1" x14ac:dyDescent="0.2">
      <c r="AG3053" s="19"/>
      <c r="AJ3053" s="410"/>
    </row>
    <row r="3054" spans="33:36" ht="11.25" customHeight="1" x14ac:dyDescent="0.2">
      <c r="AG3054" s="19"/>
      <c r="AJ3054" s="410"/>
    </row>
    <row r="3055" spans="33:36" ht="11.25" customHeight="1" x14ac:dyDescent="0.2">
      <c r="AG3055" s="19"/>
      <c r="AJ3055" s="410"/>
    </row>
    <row r="3056" spans="33:36" ht="11.25" customHeight="1" x14ac:dyDescent="0.2">
      <c r="AG3056" s="19"/>
      <c r="AJ3056" s="410"/>
    </row>
    <row r="3057" spans="33:36" ht="11.25" customHeight="1" x14ac:dyDescent="0.2">
      <c r="AG3057" s="19"/>
      <c r="AJ3057" s="410"/>
    </row>
    <row r="3058" spans="33:36" ht="11.25" customHeight="1" x14ac:dyDescent="0.2">
      <c r="AG3058" s="19"/>
      <c r="AJ3058" s="410"/>
    </row>
    <row r="3059" spans="33:36" ht="11.25" customHeight="1" x14ac:dyDescent="0.2">
      <c r="AG3059" s="19"/>
      <c r="AJ3059" s="410"/>
    </row>
    <row r="3060" spans="33:36" ht="11.25" customHeight="1" x14ac:dyDescent="0.2">
      <c r="AG3060" s="19"/>
      <c r="AJ3060" s="410"/>
    </row>
    <row r="3061" spans="33:36" ht="11.25" customHeight="1" x14ac:dyDescent="0.2">
      <c r="AG3061" s="19"/>
      <c r="AJ3061" s="410"/>
    </row>
    <row r="3062" spans="33:36" ht="11.25" customHeight="1" x14ac:dyDescent="0.2">
      <c r="AG3062" s="19"/>
      <c r="AJ3062" s="410"/>
    </row>
    <row r="3063" spans="33:36" ht="11.25" customHeight="1" x14ac:dyDescent="0.2">
      <c r="AG3063" s="19"/>
      <c r="AJ3063" s="410"/>
    </row>
    <row r="3064" spans="33:36" ht="11.25" customHeight="1" x14ac:dyDescent="0.2">
      <c r="AG3064" s="19"/>
      <c r="AJ3064" s="410"/>
    </row>
    <row r="3065" spans="33:36" ht="11.25" customHeight="1" x14ac:dyDescent="0.2">
      <c r="AG3065" s="19"/>
      <c r="AJ3065" s="410"/>
    </row>
    <row r="3066" spans="33:36" ht="11.25" customHeight="1" x14ac:dyDescent="0.2">
      <c r="AG3066" s="19"/>
      <c r="AJ3066" s="410"/>
    </row>
    <row r="3067" spans="33:36" ht="11.25" customHeight="1" x14ac:dyDescent="0.2">
      <c r="AG3067" s="19"/>
      <c r="AJ3067" s="410"/>
    </row>
    <row r="3068" spans="33:36" ht="11.25" customHeight="1" x14ac:dyDescent="0.2">
      <c r="AG3068" s="19"/>
      <c r="AJ3068" s="410"/>
    </row>
    <row r="3069" spans="33:36" ht="11.25" customHeight="1" x14ac:dyDescent="0.2">
      <c r="AG3069" s="19"/>
      <c r="AJ3069" s="410"/>
    </row>
    <row r="3070" spans="33:36" ht="11.25" customHeight="1" x14ac:dyDescent="0.2">
      <c r="AG3070" s="19"/>
      <c r="AJ3070" s="410"/>
    </row>
    <row r="3071" spans="33:36" ht="11.25" customHeight="1" x14ac:dyDescent="0.2">
      <c r="AG3071" s="19"/>
      <c r="AJ3071" s="410"/>
    </row>
    <row r="3072" spans="33:36" ht="11.25" customHeight="1" x14ac:dyDescent="0.2">
      <c r="AG3072" s="19"/>
      <c r="AJ3072" s="410"/>
    </row>
    <row r="3073" spans="33:36" ht="11.25" customHeight="1" x14ac:dyDescent="0.2">
      <c r="AG3073" s="19"/>
      <c r="AJ3073" s="410"/>
    </row>
    <row r="3074" spans="33:36" ht="11.25" customHeight="1" x14ac:dyDescent="0.2">
      <c r="AG3074" s="19"/>
      <c r="AJ3074" s="410"/>
    </row>
    <row r="3075" spans="33:36" ht="11.25" customHeight="1" x14ac:dyDescent="0.2">
      <c r="AG3075" s="19"/>
      <c r="AJ3075" s="410"/>
    </row>
    <row r="3076" spans="33:36" ht="11.25" customHeight="1" x14ac:dyDescent="0.2">
      <c r="AG3076" s="19"/>
      <c r="AJ3076" s="410"/>
    </row>
    <row r="3077" spans="33:36" ht="11.25" customHeight="1" x14ac:dyDescent="0.2">
      <c r="AG3077" s="19"/>
      <c r="AJ3077" s="410"/>
    </row>
    <row r="3078" spans="33:36" ht="11.25" customHeight="1" x14ac:dyDescent="0.2">
      <c r="AG3078" s="19"/>
      <c r="AJ3078" s="410"/>
    </row>
    <row r="3079" spans="33:36" ht="11.25" customHeight="1" x14ac:dyDescent="0.2">
      <c r="AG3079" s="19"/>
      <c r="AJ3079" s="410"/>
    </row>
    <row r="3080" spans="33:36" ht="11.25" customHeight="1" x14ac:dyDescent="0.2">
      <c r="AG3080" s="19"/>
      <c r="AJ3080" s="410"/>
    </row>
    <row r="3081" spans="33:36" ht="11.25" customHeight="1" x14ac:dyDescent="0.2">
      <c r="AG3081" s="19"/>
      <c r="AJ3081" s="410"/>
    </row>
    <row r="3082" spans="33:36" ht="11.25" customHeight="1" x14ac:dyDescent="0.2">
      <c r="AG3082" s="19"/>
      <c r="AJ3082" s="410"/>
    </row>
    <row r="3083" spans="33:36" ht="11.25" customHeight="1" x14ac:dyDescent="0.2">
      <c r="AG3083" s="19"/>
      <c r="AJ3083" s="410"/>
    </row>
    <row r="3084" spans="33:36" ht="11.25" customHeight="1" x14ac:dyDescent="0.2">
      <c r="AG3084" s="19"/>
      <c r="AJ3084" s="410"/>
    </row>
    <row r="3085" spans="33:36" ht="11.25" customHeight="1" x14ac:dyDescent="0.2">
      <c r="AG3085" s="19"/>
      <c r="AJ3085" s="410"/>
    </row>
    <row r="3086" spans="33:36" ht="11.25" customHeight="1" x14ac:dyDescent="0.2">
      <c r="AG3086" s="19"/>
      <c r="AJ3086" s="410"/>
    </row>
    <row r="3087" spans="33:36" ht="11.25" customHeight="1" x14ac:dyDescent="0.2">
      <c r="AG3087" s="19"/>
      <c r="AJ3087" s="410"/>
    </row>
    <row r="3088" spans="33:36" ht="11.25" customHeight="1" x14ac:dyDescent="0.2">
      <c r="AG3088" s="19"/>
      <c r="AJ3088" s="410"/>
    </row>
    <row r="3089" spans="33:36" ht="11.25" customHeight="1" x14ac:dyDescent="0.2">
      <c r="AG3089" s="19"/>
      <c r="AJ3089" s="410"/>
    </row>
    <row r="3090" spans="33:36" ht="11.25" customHeight="1" x14ac:dyDescent="0.2">
      <c r="AG3090" s="19"/>
      <c r="AJ3090" s="410"/>
    </row>
    <row r="3091" spans="33:36" ht="11.25" customHeight="1" x14ac:dyDescent="0.2">
      <c r="AG3091" s="19"/>
      <c r="AJ3091" s="410"/>
    </row>
    <row r="3092" spans="33:36" ht="11.25" customHeight="1" x14ac:dyDescent="0.2">
      <c r="AG3092" s="19"/>
      <c r="AJ3092" s="410"/>
    </row>
    <row r="3093" spans="33:36" ht="11.25" customHeight="1" x14ac:dyDescent="0.2">
      <c r="AG3093" s="19"/>
      <c r="AJ3093" s="410"/>
    </row>
    <row r="3094" spans="33:36" ht="11.25" customHeight="1" x14ac:dyDescent="0.2">
      <c r="AG3094" s="19"/>
      <c r="AJ3094" s="410"/>
    </row>
    <row r="3095" spans="33:36" ht="11.25" customHeight="1" x14ac:dyDescent="0.2">
      <c r="AG3095" s="19"/>
      <c r="AJ3095" s="410"/>
    </row>
    <row r="3096" spans="33:36" ht="11.25" customHeight="1" x14ac:dyDescent="0.2">
      <c r="AG3096" s="19"/>
      <c r="AJ3096" s="410"/>
    </row>
    <row r="3097" spans="33:36" ht="11.25" customHeight="1" x14ac:dyDescent="0.2">
      <c r="AG3097" s="19"/>
      <c r="AJ3097" s="410"/>
    </row>
    <row r="3098" spans="33:36" ht="11.25" customHeight="1" x14ac:dyDescent="0.2">
      <c r="AG3098" s="19"/>
      <c r="AJ3098" s="410"/>
    </row>
    <row r="3099" spans="33:36" ht="11.25" customHeight="1" x14ac:dyDescent="0.2">
      <c r="AG3099" s="19"/>
      <c r="AJ3099" s="410"/>
    </row>
    <row r="3100" spans="33:36" ht="11.25" customHeight="1" x14ac:dyDescent="0.2">
      <c r="AG3100" s="19"/>
      <c r="AJ3100" s="410"/>
    </row>
    <row r="3101" spans="33:36" ht="11.25" customHeight="1" x14ac:dyDescent="0.2">
      <c r="AG3101" s="19"/>
      <c r="AJ3101" s="410"/>
    </row>
    <row r="3102" spans="33:36" ht="11.25" customHeight="1" x14ac:dyDescent="0.2">
      <c r="AG3102" s="19"/>
      <c r="AJ3102" s="410"/>
    </row>
    <row r="3103" spans="33:36" ht="11.25" customHeight="1" x14ac:dyDescent="0.2">
      <c r="AG3103" s="19"/>
      <c r="AJ3103" s="410"/>
    </row>
    <row r="3104" spans="33:36" ht="11.25" customHeight="1" x14ac:dyDescent="0.2">
      <c r="AG3104" s="19"/>
      <c r="AJ3104" s="410"/>
    </row>
    <row r="3105" spans="33:36" ht="11.25" customHeight="1" x14ac:dyDescent="0.2">
      <c r="AG3105" s="19"/>
      <c r="AJ3105" s="410"/>
    </row>
    <row r="3106" spans="33:36" ht="11.25" customHeight="1" x14ac:dyDescent="0.2">
      <c r="AG3106" s="19"/>
      <c r="AJ3106" s="410"/>
    </row>
    <row r="3107" spans="33:36" ht="11.25" customHeight="1" x14ac:dyDescent="0.2">
      <c r="AG3107" s="19"/>
      <c r="AJ3107" s="410"/>
    </row>
    <row r="3108" spans="33:36" ht="11.25" customHeight="1" x14ac:dyDescent="0.2">
      <c r="AG3108" s="19"/>
      <c r="AJ3108" s="410"/>
    </row>
    <row r="3109" spans="33:36" ht="11.25" customHeight="1" x14ac:dyDescent="0.2">
      <c r="AG3109" s="19"/>
      <c r="AJ3109" s="410"/>
    </row>
    <row r="3110" spans="33:36" ht="11.25" customHeight="1" x14ac:dyDescent="0.2">
      <c r="AG3110" s="19"/>
      <c r="AJ3110" s="410"/>
    </row>
    <row r="3111" spans="33:36" ht="11.25" customHeight="1" x14ac:dyDescent="0.2">
      <c r="AG3111" s="19"/>
      <c r="AJ3111" s="410"/>
    </row>
    <row r="3112" spans="33:36" ht="11.25" customHeight="1" x14ac:dyDescent="0.2">
      <c r="AG3112" s="19"/>
      <c r="AJ3112" s="410"/>
    </row>
    <row r="3113" spans="33:36" ht="11.25" customHeight="1" x14ac:dyDescent="0.2">
      <c r="AG3113" s="19"/>
      <c r="AJ3113" s="410"/>
    </row>
    <row r="3114" spans="33:36" ht="11.25" customHeight="1" x14ac:dyDescent="0.2">
      <c r="AG3114" s="19"/>
      <c r="AJ3114" s="410"/>
    </row>
    <row r="3115" spans="33:36" ht="11.25" customHeight="1" x14ac:dyDescent="0.2">
      <c r="AG3115" s="19"/>
      <c r="AJ3115" s="410"/>
    </row>
    <row r="3116" spans="33:36" ht="11.25" customHeight="1" x14ac:dyDescent="0.2">
      <c r="AG3116" s="19"/>
      <c r="AJ3116" s="410"/>
    </row>
    <row r="3117" spans="33:36" ht="11.25" customHeight="1" x14ac:dyDescent="0.2">
      <c r="AG3117" s="19"/>
      <c r="AJ3117" s="410"/>
    </row>
    <row r="3118" spans="33:36" ht="11.25" customHeight="1" x14ac:dyDescent="0.2">
      <c r="AG3118" s="19"/>
      <c r="AJ3118" s="410"/>
    </row>
    <row r="3119" spans="33:36" ht="11.25" customHeight="1" x14ac:dyDescent="0.2">
      <c r="AG3119" s="19"/>
      <c r="AJ3119" s="410"/>
    </row>
    <row r="3120" spans="33:36" ht="11.25" customHeight="1" x14ac:dyDescent="0.2">
      <c r="AG3120" s="19"/>
      <c r="AJ3120" s="410"/>
    </row>
    <row r="3121" spans="33:36" ht="11.25" customHeight="1" x14ac:dyDescent="0.2">
      <c r="AG3121" s="19"/>
      <c r="AJ3121" s="410"/>
    </row>
    <row r="3122" spans="33:36" ht="11.25" customHeight="1" x14ac:dyDescent="0.2">
      <c r="AG3122" s="19"/>
      <c r="AJ3122" s="410"/>
    </row>
    <row r="3123" spans="33:36" ht="11.25" customHeight="1" x14ac:dyDescent="0.2">
      <c r="AG3123" s="19"/>
      <c r="AJ3123" s="410"/>
    </row>
    <row r="3124" spans="33:36" ht="11.25" customHeight="1" x14ac:dyDescent="0.2">
      <c r="AG3124" s="19"/>
      <c r="AJ3124" s="410"/>
    </row>
    <row r="3125" spans="33:36" ht="11.25" customHeight="1" x14ac:dyDescent="0.2">
      <c r="AG3125" s="19"/>
      <c r="AJ3125" s="410"/>
    </row>
    <row r="3126" spans="33:36" ht="11.25" customHeight="1" x14ac:dyDescent="0.2">
      <c r="AG3126" s="19"/>
      <c r="AJ3126" s="410"/>
    </row>
    <row r="3127" spans="33:36" ht="11.25" customHeight="1" x14ac:dyDescent="0.2">
      <c r="AG3127" s="19"/>
      <c r="AJ3127" s="410"/>
    </row>
    <row r="3128" spans="33:36" ht="11.25" customHeight="1" x14ac:dyDescent="0.2">
      <c r="AG3128" s="19"/>
      <c r="AJ3128" s="410"/>
    </row>
    <row r="3129" spans="33:36" ht="11.25" customHeight="1" x14ac:dyDescent="0.2">
      <c r="AG3129" s="19"/>
      <c r="AJ3129" s="410"/>
    </row>
    <row r="3130" spans="33:36" ht="11.25" customHeight="1" x14ac:dyDescent="0.2">
      <c r="AG3130" s="19"/>
      <c r="AJ3130" s="410"/>
    </row>
    <row r="3131" spans="33:36" ht="11.25" customHeight="1" x14ac:dyDescent="0.2">
      <c r="AG3131" s="19"/>
      <c r="AJ3131" s="410"/>
    </row>
    <row r="3132" spans="33:36" ht="11.25" customHeight="1" x14ac:dyDescent="0.2">
      <c r="AG3132" s="19"/>
      <c r="AJ3132" s="410"/>
    </row>
    <row r="3133" spans="33:36" ht="11.25" customHeight="1" x14ac:dyDescent="0.2">
      <c r="AG3133" s="19"/>
      <c r="AJ3133" s="410"/>
    </row>
    <row r="3134" spans="33:36" ht="11.25" customHeight="1" x14ac:dyDescent="0.2">
      <c r="AG3134" s="19"/>
      <c r="AJ3134" s="410"/>
    </row>
    <row r="3135" spans="33:36" ht="11.25" customHeight="1" x14ac:dyDescent="0.2">
      <c r="AG3135" s="19"/>
      <c r="AJ3135" s="410"/>
    </row>
    <row r="3136" spans="33:36" ht="11.25" customHeight="1" x14ac:dyDescent="0.2">
      <c r="AG3136" s="19"/>
      <c r="AJ3136" s="410"/>
    </row>
    <row r="3137" spans="33:36" ht="11.25" customHeight="1" x14ac:dyDescent="0.2">
      <c r="AG3137" s="19"/>
      <c r="AJ3137" s="410"/>
    </row>
    <row r="3138" spans="33:36" ht="11.25" customHeight="1" x14ac:dyDescent="0.2">
      <c r="AG3138" s="19"/>
      <c r="AJ3138" s="410"/>
    </row>
    <row r="3139" spans="33:36" ht="11.25" customHeight="1" x14ac:dyDescent="0.2">
      <c r="AG3139" s="19"/>
      <c r="AJ3139" s="410"/>
    </row>
    <row r="3140" spans="33:36" ht="11.25" customHeight="1" x14ac:dyDescent="0.2">
      <c r="AG3140" s="19"/>
      <c r="AJ3140" s="410"/>
    </row>
    <row r="3141" spans="33:36" ht="11.25" customHeight="1" x14ac:dyDescent="0.2">
      <c r="AG3141" s="19"/>
      <c r="AJ3141" s="410"/>
    </row>
    <row r="3142" spans="33:36" ht="11.25" customHeight="1" x14ac:dyDescent="0.2">
      <c r="AG3142" s="19"/>
      <c r="AJ3142" s="410"/>
    </row>
    <row r="3143" spans="33:36" ht="11.25" customHeight="1" x14ac:dyDescent="0.2">
      <c r="AG3143" s="19"/>
      <c r="AJ3143" s="410"/>
    </row>
    <row r="3144" spans="33:36" ht="11.25" customHeight="1" x14ac:dyDescent="0.2">
      <c r="AG3144" s="19"/>
      <c r="AJ3144" s="410"/>
    </row>
    <row r="3145" spans="33:36" ht="11.25" customHeight="1" x14ac:dyDescent="0.2">
      <c r="AG3145" s="19"/>
      <c r="AJ3145" s="410"/>
    </row>
    <row r="3146" spans="33:36" ht="11.25" customHeight="1" x14ac:dyDescent="0.2">
      <c r="AG3146" s="19"/>
      <c r="AJ3146" s="410"/>
    </row>
    <row r="3147" spans="33:36" ht="11.25" customHeight="1" x14ac:dyDescent="0.2">
      <c r="AG3147" s="19"/>
      <c r="AJ3147" s="410"/>
    </row>
    <row r="3148" spans="33:36" ht="11.25" customHeight="1" x14ac:dyDescent="0.2">
      <c r="AG3148" s="19"/>
      <c r="AJ3148" s="410"/>
    </row>
    <row r="3149" spans="33:36" ht="11.25" customHeight="1" x14ac:dyDescent="0.2">
      <c r="AG3149" s="19"/>
      <c r="AJ3149" s="410"/>
    </row>
    <row r="3150" spans="33:36" ht="11.25" customHeight="1" x14ac:dyDescent="0.2">
      <c r="AG3150" s="19"/>
      <c r="AJ3150" s="410"/>
    </row>
    <row r="3151" spans="33:36" ht="11.25" customHeight="1" x14ac:dyDescent="0.2">
      <c r="AG3151" s="19"/>
      <c r="AJ3151" s="410"/>
    </row>
    <row r="3152" spans="33:36" ht="11.25" customHeight="1" x14ac:dyDescent="0.2">
      <c r="AG3152" s="19"/>
      <c r="AJ3152" s="410"/>
    </row>
    <row r="3153" spans="33:36" ht="11.25" customHeight="1" x14ac:dyDescent="0.2">
      <c r="AG3153" s="19"/>
      <c r="AJ3153" s="410"/>
    </row>
    <row r="3154" spans="33:36" ht="11.25" customHeight="1" x14ac:dyDescent="0.2">
      <c r="AG3154" s="19"/>
      <c r="AJ3154" s="410"/>
    </row>
    <row r="3155" spans="33:36" ht="11.25" customHeight="1" x14ac:dyDescent="0.2">
      <c r="AG3155" s="19"/>
      <c r="AJ3155" s="410"/>
    </row>
    <row r="3156" spans="33:36" ht="11.25" customHeight="1" x14ac:dyDescent="0.2">
      <c r="AG3156" s="19"/>
      <c r="AJ3156" s="410"/>
    </row>
    <row r="3157" spans="33:36" ht="11.25" customHeight="1" x14ac:dyDescent="0.2">
      <c r="AG3157" s="19"/>
      <c r="AJ3157" s="410"/>
    </row>
    <row r="3158" spans="33:36" ht="11.25" customHeight="1" x14ac:dyDescent="0.2">
      <c r="AG3158" s="19"/>
      <c r="AJ3158" s="410"/>
    </row>
    <row r="3159" spans="33:36" ht="11.25" customHeight="1" x14ac:dyDescent="0.2">
      <c r="AG3159" s="19"/>
      <c r="AJ3159" s="410"/>
    </row>
    <row r="3160" spans="33:36" ht="11.25" customHeight="1" x14ac:dyDescent="0.2">
      <c r="AG3160" s="19"/>
      <c r="AJ3160" s="410"/>
    </row>
    <row r="3161" spans="33:36" ht="11.25" customHeight="1" x14ac:dyDescent="0.2">
      <c r="AG3161" s="19"/>
      <c r="AJ3161" s="410"/>
    </row>
    <row r="3162" spans="33:36" ht="11.25" customHeight="1" x14ac:dyDescent="0.2">
      <c r="AG3162" s="19"/>
      <c r="AJ3162" s="410"/>
    </row>
    <row r="3163" spans="33:36" ht="11.25" customHeight="1" x14ac:dyDescent="0.2">
      <c r="AG3163" s="19"/>
      <c r="AJ3163" s="410"/>
    </row>
    <row r="3164" spans="33:36" ht="11.25" customHeight="1" x14ac:dyDescent="0.2">
      <c r="AG3164" s="19"/>
      <c r="AJ3164" s="410"/>
    </row>
    <row r="3165" spans="33:36" ht="11.25" customHeight="1" x14ac:dyDescent="0.2">
      <c r="AG3165" s="19"/>
      <c r="AJ3165" s="410"/>
    </row>
    <row r="3166" spans="33:36" ht="11.25" customHeight="1" x14ac:dyDescent="0.2">
      <c r="AG3166" s="19"/>
      <c r="AJ3166" s="410"/>
    </row>
    <row r="3167" spans="33:36" ht="11.25" customHeight="1" x14ac:dyDescent="0.2">
      <c r="AG3167" s="19"/>
      <c r="AJ3167" s="410"/>
    </row>
    <row r="3168" spans="33:36" ht="11.25" customHeight="1" x14ac:dyDescent="0.2">
      <c r="AG3168" s="19"/>
      <c r="AJ3168" s="410"/>
    </row>
    <row r="3169" spans="33:36" ht="11.25" customHeight="1" x14ac:dyDescent="0.2">
      <c r="AG3169" s="19"/>
      <c r="AJ3169" s="410"/>
    </row>
    <row r="3170" spans="33:36" ht="11.25" customHeight="1" x14ac:dyDescent="0.2">
      <c r="AG3170" s="19"/>
      <c r="AJ3170" s="410"/>
    </row>
    <row r="3171" spans="33:36" ht="11.25" customHeight="1" x14ac:dyDescent="0.2">
      <c r="AG3171" s="19"/>
      <c r="AJ3171" s="410"/>
    </row>
    <row r="3172" spans="33:36" ht="11.25" customHeight="1" x14ac:dyDescent="0.2">
      <c r="AG3172" s="19"/>
      <c r="AJ3172" s="410"/>
    </row>
    <row r="3173" spans="33:36" ht="11.25" customHeight="1" x14ac:dyDescent="0.2">
      <c r="AG3173" s="19"/>
      <c r="AJ3173" s="410"/>
    </row>
    <row r="3174" spans="33:36" ht="11.25" customHeight="1" x14ac:dyDescent="0.2">
      <c r="AG3174" s="19"/>
      <c r="AJ3174" s="410"/>
    </row>
    <row r="3175" spans="33:36" ht="11.25" customHeight="1" x14ac:dyDescent="0.2">
      <c r="AG3175" s="19"/>
      <c r="AJ3175" s="410"/>
    </row>
    <row r="3176" spans="33:36" ht="11.25" customHeight="1" x14ac:dyDescent="0.2">
      <c r="AG3176" s="19"/>
      <c r="AJ3176" s="410"/>
    </row>
    <row r="3177" spans="33:36" ht="11.25" customHeight="1" x14ac:dyDescent="0.2">
      <c r="AG3177" s="19"/>
      <c r="AJ3177" s="410"/>
    </row>
    <row r="3178" spans="33:36" ht="11.25" customHeight="1" x14ac:dyDescent="0.2">
      <c r="AG3178" s="19"/>
      <c r="AJ3178" s="410"/>
    </row>
    <row r="3179" spans="33:36" ht="11.25" customHeight="1" x14ac:dyDescent="0.2">
      <c r="AG3179" s="19"/>
      <c r="AJ3179" s="410"/>
    </row>
    <row r="3180" spans="33:36" ht="11.25" customHeight="1" x14ac:dyDescent="0.2">
      <c r="AG3180" s="19"/>
      <c r="AJ3180" s="410"/>
    </row>
    <row r="3181" spans="33:36" ht="11.25" customHeight="1" x14ac:dyDescent="0.2">
      <c r="AG3181" s="19"/>
      <c r="AJ3181" s="410"/>
    </row>
    <row r="3182" spans="33:36" ht="11.25" customHeight="1" x14ac:dyDescent="0.2">
      <c r="AG3182" s="19"/>
      <c r="AJ3182" s="410"/>
    </row>
    <row r="3183" spans="33:36" ht="11.25" customHeight="1" x14ac:dyDescent="0.2">
      <c r="AG3183" s="19"/>
      <c r="AJ3183" s="410"/>
    </row>
    <row r="3184" spans="33:36" ht="11.25" customHeight="1" x14ac:dyDescent="0.2">
      <c r="AG3184" s="19"/>
      <c r="AJ3184" s="410"/>
    </row>
    <row r="3185" spans="33:36" ht="11.25" customHeight="1" x14ac:dyDescent="0.2">
      <c r="AG3185" s="19"/>
      <c r="AJ3185" s="410"/>
    </row>
    <row r="3186" spans="33:36" ht="11.25" customHeight="1" x14ac:dyDescent="0.2">
      <c r="AG3186" s="19"/>
      <c r="AJ3186" s="410"/>
    </row>
    <row r="3187" spans="33:36" ht="11.25" customHeight="1" x14ac:dyDescent="0.2">
      <c r="AG3187" s="19"/>
      <c r="AJ3187" s="410"/>
    </row>
    <row r="3188" spans="33:36" ht="11.25" customHeight="1" x14ac:dyDescent="0.2">
      <c r="AG3188" s="19"/>
      <c r="AJ3188" s="410"/>
    </row>
    <row r="3189" spans="33:36" ht="11.25" customHeight="1" x14ac:dyDescent="0.2">
      <c r="AG3189" s="19"/>
      <c r="AJ3189" s="410"/>
    </row>
    <row r="3190" spans="33:36" ht="11.25" customHeight="1" x14ac:dyDescent="0.2">
      <c r="AG3190" s="19"/>
      <c r="AJ3190" s="410"/>
    </row>
    <row r="3191" spans="33:36" ht="11.25" customHeight="1" x14ac:dyDescent="0.2">
      <c r="AG3191" s="19"/>
      <c r="AJ3191" s="410"/>
    </row>
    <row r="3192" spans="33:36" ht="11.25" customHeight="1" x14ac:dyDescent="0.2">
      <c r="AG3192" s="19"/>
      <c r="AJ3192" s="410"/>
    </row>
    <row r="3193" spans="33:36" ht="11.25" customHeight="1" x14ac:dyDescent="0.2">
      <c r="AG3193" s="19"/>
      <c r="AJ3193" s="410"/>
    </row>
    <row r="3194" spans="33:36" ht="11.25" customHeight="1" x14ac:dyDescent="0.2">
      <c r="AG3194" s="19"/>
      <c r="AJ3194" s="410"/>
    </row>
    <row r="3195" spans="33:36" ht="11.25" customHeight="1" x14ac:dyDescent="0.2">
      <c r="AG3195" s="19"/>
      <c r="AJ3195" s="410"/>
    </row>
    <row r="3196" spans="33:36" ht="11.25" customHeight="1" x14ac:dyDescent="0.2">
      <c r="AG3196" s="19"/>
      <c r="AJ3196" s="410"/>
    </row>
    <row r="3197" spans="33:36" ht="11.25" customHeight="1" x14ac:dyDescent="0.2">
      <c r="AG3197" s="19"/>
      <c r="AJ3197" s="410"/>
    </row>
    <row r="3198" spans="33:36" ht="11.25" customHeight="1" x14ac:dyDescent="0.2">
      <c r="AG3198" s="19"/>
      <c r="AJ3198" s="410"/>
    </row>
    <row r="3199" spans="33:36" ht="11.25" customHeight="1" x14ac:dyDescent="0.2">
      <c r="AG3199" s="19"/>
      <c r="AJ3199" s="410"/>
    </row>
    <row r="3200" spans="33:36" ht="11.25" customHeight="1" x14ac:dyDescent="0.2">
      <c r="AG3200" s="19"/>
      <c r="AJ3200" s="410"/>
    </row>
    <row r="3201" spans="33:36" ht="11.25" customHeight="1" x14ac:dyDescent="0.2">
      <c r="AG3201" s="19"/>
      <c r="AJ3201" s="410"/>
    </row>
    <row r="3202" spans="33:36" ht="11.25" customHeight="1" x14ac:dyDescent="0.2">
      <c r="AG3202" s="19"/>
      <c r="AJ3202" s="410"/>
    </row>
    <row r="3203" spans="33:36" ht="11.25" customHeight="1" x14ac:dyDescent="0.2">
      <c r="AG3203" s="19"/>
      <c r="AJ3203" s="410"/>
    </row>
    <row r="3204" spans="33:36" ht="11.25" customHeight="1" x14ac:dyDescent="0.2">
      <c r="AG3204" s="19"/>
      <c r="AJ3204" s="410"/>
    </row>
    <row r="3205" spans="33:36" ht="11.25" customHeight="1" x14ac:dyDescent="0.2">
      <c r="AG3205" s="19"/>
      <c r="AJ3205" s="410"/>
    </row>
    <row r="3206" spans="33:36" ht="11.25" customHeight="1" x14ac:dyDescent="0.2">
      <c r="AG3206" s="19"/>
      <c r="AJ3206" s="410"/>
    </row>
    <row r="3207" spans="33:36" ht="11.25" customHeight="1" x14ac:dyDescent="0.2">
      <c r="AG3207" s="19"/>
      <c r="AJ3207" s="410"/>
    </row>
    <row r="3208" spans="33:36" ht="11.25" customHeight="1" x14ac:dyDescent="0.2">
      <c r="AG3208" s="19"/>
      <c r="AJ3208" s="410"/>
    </row>
    <row r="3209" spans="33:36" ht="11.25" customHeight="1" x14ac:dyDescent="0.2">
      <c r="AG3209" s="19"/>
      <c r="AJ3209" s="410"/>
    </row>
    <row r="3210" spans="33:36" ht="11.25" customHeight="1" x14ac:dyDescent="0.2">
      <c r="AG3210" s="19"/>
      <c r="AJ3210" s="410"/>
    </row>
    <row r="3211" spans="33:36" ht="11.25" customHeight="1" x14ac:dyDescent="0.2">
      <c r="AG3211" s="19"/>
      <c r="AJ3211" s="410"/>
    </row>
    <row r="3212" spans="33:36" ht="11.25" customHeight="1" x14ac:dyDescent="0.2">
      <c r="AG3212" s="19"/>
      <c r="AJ3212" s="410"/>
    </row>
    <row r="3213" spans="33:36" ht="11.25" customHeight="1" x14ac:dyDescent="0.2">
      <c r="AG3213" s="19"/>
      <c r="AJ3213" s="410"/>
    </row>
    <row r="3214" spans="33:36" ht="11.25" customHeight="1" x14ac:dyDescent="0.2">
      <c r="AG3214" s="19"/>
      <c r="AJ3214" s="410"/>
    </row>
    <row r="3215" spans="33:36" ht="11.25" customHeight="1" x14ac:dyDescent="0.2">
      <c r="AG3215" s="19"/>
      <c r="AJ3215" s="410"/>
    </row>
    <row r="3216" spans="33:36" ht="11.25" customHeight="1" x14ac:dyDescent="0.2">
      <c r="AG3216" s="19"/>
      <c r="AJ3216" s="410"/>
    </row>
    <row r="3217" spans="33:36" ht="11.25" customHeight="1" x14ac:dyDescent="0.2">
      <c r="AG3217" s="19"/>
      <c r="AJ3217" s="410"/>
    </row>
    <row r="3218" spans="33:36" ht="11.25" customHeight="1" x14ac:dyDescent="0.2">
      <c r="AG3218" s="19"/>
      <c r="AJ3218" s="410"/>
    </row>
    <row r="3219" spans="33:36" ht="11.25" customHeight="1" x14ac:dyDescent="0.2">
      <c r="AG3219" s="19"/>
      <c r="AJ3219" s="410"/>
    </row>
    <row r="3220" spans="33:36" ht="11.25" customHeight="1" x14ac:dyDescent="0.2">
      <c r="AG3220" s="19"/>
      <c r="AJ3220" s="410"/>
    </row>
    <row r="3221" spans="33:36" ht="11.25" customHeight="1" x14ac:dyDescent="0.2">
      <c r="AG3221" s="19"/>
      <c r="AJ3221" s="410"/>
    </row>
    <row r="3222" spans="33:36" ht="11.25" customHeight="1" x14ac:dyDescent="0.2">
      <c r="AG3222" s="19"/>
      <c r="AJ3222" s="410"/>
    </row>
    <row r="3223" spans="33:36" ht="11.25" customHeight="1" x14ac:dyDescent="0.2">
      <c r="AG3223" s="19"/>
      <c r="AJ3223" s="410"/>
    </row>
    <row r="3224" spans="33:36" ht="11.25" customHeight="1" x14ac:dyDescent="0.2">
      <c r="AG3224" s="19"/>
      <c r="AJ3224" s="410"/>
    </row>
    <row r="3225" spans="33:36" ht="11.25" customHeight="1" x14ac:dyDescent="0.2">
      <c r="AG3225" s="19"/>
      <c r="AJ3225" s="410"/>
    </row>
    <row r="3226" spans="33:36" ht="11.25" customHeight="1" x14ac:dyDescent="0.2">
      <c r="AG3226" s="19"/>
      <c r="AJ3226" s="410"/>
    </row>
    <row r="3227" spans="33:36" ht="11.25" customHeight="1" x14ac:dyDescent="0.2">
      <c r="AG3227" s="19"/>
      <c r="AJ3227" s="410"/>
    </row>
    <row r="3228" spans="33:36" ht="11.25" customHeight="1" x14ac:dyDescent="0.2">
      <c r="AG3228" s="19"/>
      <c r="AJ3228" s="410"/>
    </row>
    <row r="3229" spans="33:36" ht="11.25" customHeight="1" x14ac:dyDescent="0.2">
      <c r="AG3229" s="19"/>
      <c r="AJ3229" s="410"/>
    </row>
    <row r="3230" spans="33:36" ht="11.25" customHeight="1" x14ac:dyDescent="0.2">
      <c r="AG3230" s="19"/>
      <c r="AJ3230" s="410"/>
    </row>
    <row r="3231" spans="33:36" ht="11.25" customHeight="1" x14ac:dyDescent="0.2">
      <c r="AG3231" s="19"/>
      <c r="AJ3231" s="410"/>
    </row>
    <row r="3232" spans="33:36" ht="11.25" customHeight="1" x14ac:dyDescent="0.2">
      <c r="AG3232" s="19"/>
      <c r="AJ3232" s="410"/>
    </row>
    <row r="3233" spans="33:36" ht="11.25" customHeight="1" x14ac:dyDescent="0.2">
      <c r="AG3233" s="19"/>
      <c r="AJ3233" s="410"/>
    </row>
    <row r="3234" spans="33:36" ht="11.25" customHeight="1" x14ac:dyDescent="0.2">
      <c r="AG3234" s="19"/>
      <c r="AJ3234" s="410"/>
    </row>
    <row r="3235" spans="33:36" ht="11.25" customHeight="1" x14ac:dyDescent="0.2">
      <c r="AG3235" s="19"/>
      <c r="AJ3235" s="410"/>
    </row>
    <row r="3236" spans="33:36" ht="11.25" customHeight="1" x14ac:dyDescent="0.2">
      <c r="AG3236" s="19"/>
      <c r="AJ3236" s="410"/>
    </row>
    <row r="3237" spans="33:36" ht="11.25" customHeight="1" x14ac:dyDescent="0.2">
      <c r="AG3237" s="19"/>
      <c r="AJ3237" s="410"/>
    </row>
    <row r="3238" spans="33:36" ht="11.25" customHeight="1" x14ac:dyDescent="0.2">
      <c r="AG3238" s="19"/>
      <c r="AJ3238" s="410"/>
    </row>
    <row r="3239" spans="33:36" ht="11.25" customHeight="1" x14ac:dyDescent="0.2">
      <c r="AG3239" s="19"/>
      <c r="AJ3239" s="410"/>
    </row>
    <row r="3240" spans="33:36" ht="11.25" customHeight="1" x14ac:dyDescent="0.2">
      <c r="AG3240" s="19"/>
      <c r="AJ3240" s="410"/>
    </row>
    <row r="3241" spans="33:36" ht="11.25" customHeight="1" x14ac:dyDescent="0.2">
      <c r="AG3241" s="19"/>
      <c r="AJ3241" s="410"/>
    </row>
    <row r="3242" spans="33:36" ht="11.25" customHeight="1" x14ac:dyDescent="0.2">
      <c r="AG3242" s="19"/>
      <c r="AJ3242" s="410"/>
    </row>
    <row r="3243" spans="33:36" ht="11.25" customHeight="1" x14ac:dyDescent="0.2">
      <c r="AG3243" s="19"/>
      <c r="AJ3243" s="410"/>
    </row>
    <row r="3244" spans="33:36" ht="11.25" customHeight="1" x14ac:dyDescent="0.2">
      <c r="AG3244" s="19"/>
      <c r="AJ3244" s="410"/>
    </row>
    <row r="3245" spans="33:36" ht="11.25" customHeight="1" x14ac:dyDescent="0.2">
      <c r="AG3245" s="19"/>
      <c r="AJ3245" s="410"/>
    </row>
    <row r="3246" spans="33:36" ht="11.25" customHeight="1" x14ac:dyDescent="0.2">
      <c r="AG3246" s="19"/>
      <c r="AJ3246" s="410"/>
    </row>
    <row r="3247" spans="33:36" ht="11.25" customHeight="1" x14ac:dyDescent="0.2">
      <c r="AG3247" s="19"/>
      <c r="AJ3247" s="410"/>
    </row>
    <row r="3248" spans="33:36" ht="11.25" customHeight="1" x14ac:dyDescent="0.2">
      <c r="AG3248" s="19"/>
      <c r="AJ3248" s="410"/>
    </row>
    <row r="3249" spans="33:36" ht="11.25" customHeight="1" x14ac:dyDescent="0.2">
      <c r="AG3249" s="19"/>
      <c r="AJ3249" s="410"/>
    </row>
    <row r="3250" spans="33:36" ht="11.25" customHeight="1" x14ac:dyDescent="0.2">
      <c r="AG3250" s="19"/>
      <c r="AJ3250" s="410"/>
    </row>
    <row r="3251" spans="33:36" ht="11.25" customHeight="1" x14ac:dyDescent="0.2">
      <c r="AG3251" s="19"/>
      <c r="AJ3251" s="410"/>
    </row>
    <row r="3252" spans="33:36" ht="11.25" customHeight="1" x14ac:dyDescent="0.2">
      <c r="AG3252" s="19"/>
      <c r="AJ3252" s="410"/>
    </row>
    <row r="3253" spans="33:36" ht="11.25" customHeight="1" x14ac:dyDescent="0.2">
      <c r="AG3253" s="19"/>
      <c r="AJ3253" s="410"/>
    </row>
    <row r="3254" spans="33:36" ht="11.25" customHeight="1" x14ac:dyDescent="0.2">
      <c r="AG3254" s="19"/>
      <c r="AJ3254" s="410"/>
    </row>
    <row r="3255" spans="33:36" ht="11.25" customHeight="1" x14ac:dyDescent="0.2">
      <c r="AG3255" s="19"/>
      <c r="AJ3255" s="410"/>
    </row>
    <row r="3256" spans="33:36" ht="11.25" customHeight="1" x14ac:dyDescent="0.2">
      <c r="AG3256" s="19"/>
      <c r="AJ3256" s="410"/>
    </row>
    <row r="3257" spans="33:36" ht="11.25" customHeight="1" x14ac:dyDescent="0.2">
      <c r="AG3257" s="19"/>
      <c r="AJ3257" s="410"/>
    </row>
    <row r="3258" spans="33:36" ht="11.25" customHeight="1" x14ac:dyDescent="0.2">
      <c r="AG3258" s="19"/>
      <c r="AJ3258" s="410"/>
    </row>
    <row r="3259" spans="33:36" ht="11.25" customHeight="1" x14ac:dyDescent="0.2">
      <c r="AG3259" s="19"/>
      <c r="AJ3259" s="410"/>
    </row>
    <row r="3260" spans="33:36" ht="11.25" customHeight="1" x14ac:dyDescent="0.2">
      <c r="AG3260" s="19"/>
      <c r="AJ3260" s="410"/>
    </row>
    <row r="3261" spans="33:36" ht="11.25" customHeight="1" x14ac:dyDescent="0.2">
      <c r="AG3261" s="19"/>
      <c r="AJ3261" s="410"/>
    </row>
    <row r="3262" spans="33:36" ht="11.25" customHeight="1" x14ac:dyDescent="0.2">
      <c r="AG3262" s="19"/>
      <c r="AJ3262" s="410"/>
    </row>
    <row r="3263" spans="33:36" ht="11.25" customHeight="1" x14ac:dyDescent="0.2">
      <c r="AG3263" s="19"/>
      <c r="AJ3263" s="410"/>
    </row>
    <row r="3264" spans="33:36" ht="11.25" customHeight="1" x14ac:dyDescent="0.2">
      <c r="AG3264" s="19"/>
      <c r="AJ3264" s="410"/>
    </row>
    <row r="3265" spans="33:36" ht="11.25" customHeight="1" x14ac:dyDescent="0.2">
      <c r="AG3265" s="19"/>
      <c r="AJ3265" s="410"/>
    </row>
    <row r="3266" spans="33:36" ht="11.25" customHeight="1" x14ac:dyDescent="0.2">
      <c r="AG3266" s="19"/>
      <c r="AJ3266" s="410"/>
    </row>
    <row r="3267" spans="33:36" ht="11.25" customHeight="1" x14ac:dyDescent="0.2">
      <c r="AG3267" s="19"/>
      <c r="AJ3267" s="410"/>
    </row>
    <row r="3268" spans="33:36" ht="11.25" customHeight="1" x14ac:dyDescent="0.2">
      <c r="AG3268" s="19"/>
      <c r="AJ3268" s="410"/>
    </row>
    <row r="3269" spans="33:36" ht="11.25" customHeight="1" x14ac:dyDescent="0.2">
      <c r="AG3269" s="19"/>
      <c r="AJ3269" s="410"/>
    </row>
    <row r="3270" spans="33:36" ht="11.25" customHeight="1" x14ac:dyDescent="0.2">
      <c r="AG3270" s="19"/>
      <c r="AJ3270" s="410"/>
    </row>
    <row r="3271" spans="33:36" ht="11.25" customHeight="1" x14ac:dyDescent="0.2">
      <c r="AG3271" s="19"/>
      <c r="AJ3271" s="410"/>
    </row>
    <row r="3272" spans="33:36" ht="11.25" customHeight="1" x14ac:dyDescent="0.2">
      <c r="AG3272" s="19"/>
      <c r="AJ3272" s="410"/>
    </row>
    <row r="3273" spans="33:36" ht="11.25" customHeight="1" x14ac:dyDescent="0.2">
      <c r="AG3273" s="19"/>
      <c r="AJ3273" s="410"/>
    </row>
    <row r="3274" spans="33:36" ht="11.25" customHeight="1" x14ac:dyDescent="0.2">
      <c r="AG3274" s="19"/>
      <c r="AJ3274" s="410"/>
    </row>
    <row r="3275" spans="33:36" ht="11.25" customHeight="1" x14ac:dyDescent="0.2">
      <c r="AG3275" s="19"/>
      <c r="AJ3275" s="410"/>
    </row>
    <row r="3276" spans="33:36" ht="11.25" customHeight="1" x14ac:dyDescent="0.2">
      <c r="AG3276" s="19"/>
      <c r="AJ3276" s="410"/>
    </row>
    <row r="3277" spans="33:36" ht="11.25" customHeight="1" x14ac:dyDescent="0.2">
      <c r="AG3277" s="19"/>
      <c r="AJ3277" s="410"/>
    </row>
    <row r="3278" spans="33:36" ht="11.25" customHeight="1" x14ac:dyDescent="0.2">
      <c r="AG3278" s="19"/>
      <c r="AJ3278" s="410"/>
    </row>
    <row r="3279" spans="33:36" ht="11.25" customHeight="1" x14ac:dyDescent="0.2">
      <c r="AG3279" s="19"/>
      <c r="AJ3279" s="410"/>
    </row>
    <row r="3280" spans="33:36" ht="11.25" customHeight="1" x14ac:dyDescent="0.2">
      <c r="AG3280" s="19"/>
      <c r="AJ3280" s="410"/>
    </row>
    <row r="3281" spans="33:36" ht="11.25" customHeight="1" x14ac:dyDescent="0.2">
      <c r="AG3281" s="19"/>
      <c r="AJ3281" s="410"/>
    </row>
    <row r="3282" spans="33:36" ht="11.25" customHeight="1" x14ac:dyDescent="0.2">
      <c r="AG3282" s="19"/>
      <c r="AJ3282" s="410"/>
    </row>
    <row r="3283" spans="33:36" ht="11.25" customHeight="1" x14ac:dyDescent="0.2">
      <c r="AG3283" s="19"/>
      <c r="AJ3283" s="410"/>
    </row>
    <row r="3284" spans="33:36" ht="11.25" customHeight="1" x14ac:dyDescent="0.2">
      <c r="AG3284" s="19"/>
      <c r="AJ3284" s="410"/>
    </row>
    <row r="3285" spans="33:36" ht="11.25" customHeight="1" x14ac:dyDescent="0.2">
      <c r="AG3285" s="19"/>
      <c r="AJ3285" s="410"/>
    </row>
    <row r="3286" spans="33:36" ht="11.25" customHeight="1" x14ac:dyDescent="0.2">
      <c r="AG3286" s="19"/>
      <c r="AJ3286" s="410"/>
    </row>
    <row r="3287" spans="33:36" ht="11.25" customHeight="1" x14ac:dyDescent="0.2">
      <c r="AG3287" s="19"/>
      <c r="AJ3287" s="410"/>
    </row>
    <row r="3288" spans="33:36" ht="11.25" customHeight="1" x14ac:dyDescent="0.2">
      <c r="AG3288" s="19"/>
      <c r="AJ3288" s="410"/>
    </row>
    <row r="3289" spans="33:36" ht="11.25" customHeight="1" x14ac:dyDescent="0.2">
      <c r="AG3289" s="19"/>
      <c r="AJ3289" s="410"/>
    </row>
    <row r="3290" spans="33:36" ht="11.25" customHeight="1" x14ac:dyDescent="0.2">
      <c r="AG3290" s="19"/>
      <c r="AJ3290" s="410"/>
    </row>
    <row r="3291" spans="33:36" ht="11.25" customHeight="1" x14ac:dyDescent="0.2">
      <c r="AG3291" s="19"/>
      <c r="AJ3291" s="410"/>
    </row>
    <row r="3292" spans="33:36" ht="11.25" customHeight="1" x14ac:dyDescent="0.2">
      <c r="AG3292" s="19"/>
      <c r="AJ3292" s="410"/>
    </row>
    <row r="3293" spans="33:36" ht="11.25" customHeight="1" x14ac:dyDescent="0.2">
      <c r="AG3293" s="19"/>
      <c r="AJ3293" s="410"/>
    </row>
    <row r="3294" spans="33:36" ht="11.25" customHeight="1" x14ac:dyDescent="0.2">
      <c r="AG3294" s="19"/>
      <c r="AJ3294" s="410"/>
    </row>
    <row r="3295" spans="33:36" ht="11.25" customHeight="1" x14ac:dyDescent="0.2">
      <c r="AG3295" s="19"/>
      <c r="AJ3295" s="410"/>
    </row>
    <row r="3296" spans="33:36" ht="11.25" customHeight="1" x14ac:dyDescent="0.2">
      <c r="AG3296" s="19"/>
      <c r="AJ3296" s="410"/>
    </row>
    <row r="3297" spans="33:36" ht="11.25" customHeight="1" x14ac:dyDescent="0.2">
      <c r="AG3297" s="19"/>
      <c r="AJ3297" s="410"/>
    </row>
    <row r="3298" spans="33:36" ht="11.25" customHeight="1" x14ac:dyDescent="0.2">
      <c r="AG3298" s="19"/>
      <c r="AJ3298" s="410"/>
    </row>
    <row r="3299" spans="33:36" ht="11.25" customHeight="1" x14ac:dyDescent="0.2">
      <c r="AG3299" s="19"/>
      <c r="AJ3299" s="410"/>
    </row>
    <row r="3300" spans="33:36" ht="11.25" customHeight="1" x14ac:dyDescent="0.2">
      <c r="AG3300" s="19"/>
      <c r="AJ3300" s="410"/>
    </row>
    <row r="3301" spans="33:36" ht="11.25" customHeight="1" x14ac:dyDescent="0.2">
      <c r="AG3301" s="19"/>
      <c r="AJ3301" s="410"/>
    </row>
    <row r="3302" spans="33:36" ht="11.25" customHeight="1" x14ac:dyDescent="0.2">
      <c r="AG3302" s="19"/>
      <c r="AJ3302" s="410"/>
    </row>
    <row r="3303" spans="33:36" ht="11.25" customHeight="1" x14ac:dyDescent="0.2">
      <c r="AG3303" s="19"/>
      <c r="AJ3303" s="410"/>
    </row>
    <row r="3304" spans="33:36" ht="11.25" customHeight="1" x14ac:dyDescent="0.2">
      <c r="AG3304" s="19"/>
      <c r="AJ3304" s="410"/>
    </row>
    <row r="3305" spans="33:36" ht="11.25" customHeight="1" x14ac:dyDescent="0.2">
      <c r="AG3305" s="19"/>
      <c r="AJ3305" s="410"/>
    </row>
    <row r="3306" spans="33:36" ht="11.25" customHeight="1" x14ac:dyDescent="0.2">
      <c r="AG3306" s="19"/>
      <c r="AJ3306" s="410"/>
    </row>
    <row r="3307" spans="33:36" ht="11.25" customHeight="1" x14ac:dyDescent="0.2">
      <c r="AG3307" s="19"/>
      <c r="AJ3307" s="410"/>
    </row>
    <row r="3308" spans="33:36" ht="11.25" customHeight="1" x14ac:dyDescent="0.2">
      <c r="AG3308" s="19"/>
      <c r="AJ3308" s="410"/>
    </row>
    <row r="3309" spans="33:36" ht="11.25" customHeight="1" x14ac:dyDescent="0.2">
      <c r="AG3309" s="19"/>
      <c r="AJ3309" s="410"/>
    </row>
    <row r="3310" spans="33:36" ht="11.25" customHeight="1" x14ac:dyDescent="0.2">
      <c r="AG3310" s="19"/>
      <c r="AJ3310" s="410"/>
    </row>
    <row r="3311" spans="33:36" ht="11.25" customHeight="1" x14ac:dyDescent="0.2">
      <c r="AG3311" s="19"/>
      <c r="AJ3311" s="410"/>
    </row>
    <row r="3312" spans="33:36" ht="11.25" customHeight="1" x14ac:dyDescent="0.2">
      <c r="AG3312" s="19"/>
      <c r="AJ3312" s="410"/>
    </row>
    <row r="3313" spans="33:36" ht="11.25" customHeight="1" x14ac:dyDescent="0.2">
      <c r="AG3313" s="19"/>
      <c r="AJ3313" s="410"/>
    </row>
    <row r="3314" spans="33:36" ht="11.25" customHeight="1" x14ac:dyDescent="0.2">
      <c r="AG3314" s="19"/>
      <c r="AJ3314" s="410"/>
    </row>
    <row r="3315" spans="33:36" ht="11.25" customHeight="1" x14ac:dyDescent="0.2">
      <c r="AG3315" s="19"/>
      <c r="AJ3315" s="410"/>
    </row>
    <row r="3316" spans="33:36" ht="11.25" customHeight="1" x14ac:dyDescent="0.2">
      <c r="AG3316" s="19"/>
      <c r="AJ3316" s="410"/>
    </row>
    <row r="3317" spans="33:36" ht="11.25" customHeight="1" x14ac:dyDescent="0.2">
      <c r="AG3317" s="19"/>
      <c r="AJ3317" s="410"/>
    </row>
    <row r="3318" spans="33:36" ht="11.25" customHeight="1" x14ac:dyDescent="0.2">
      <c r="AG3318" s="19"/>
      <c r="AJ3318" s="410"/>
    </row>
    <row r="3319" spans="33:36" ht="11.25" customHeight="1" x14ac:dyDescent="0.2">
      <c r="AG3319" s="19"/>
      <c r="AJ3319" s="410"/>
    </row>
    <row r="3320" spans="33:36" ht="11.25" customHeight="1" x14ac:dyDescent="0.2">
      <c r="AG3320" s="19"/>
      <c r="AJ3320" s="410"/>
    </row>
    <row r="3321" spans="33:36" ht="11.25" customHeight="1" x14ac:dyDescent="0.2">
      <c r="AG3321" s="19"/>
      <c r="AJ3321" s="410"/>
    </row>
    <row r="3322" spans="33:36" ht="11.25" customHeight="1" x14ac:dyDescent="0.2">
      <c r="AG3322" s="19"/>
      <c r="AJ3322" s="410"/>
    </row>
    <row r="3323" spans="33:36" ht="11.25" customHeight="1" x14ac:dyDescent="0.2">
      <c r="AG3323" s="19"/>
      <c r="AJ3323" s="410"/>
    </row>
    <row r="3324" spans="33:36" ht="11.25" customHeight="1" x14ac:dyDescent="0.2">
      <c r="AG3324" s="19"/>
      <c r="AJ3324" s="410"/>
    </row>
    <row r="3325" spans="33:36" ht="11.25" customHeight="1" x14ac:dyDescent="0.2">
      <c r="AG3325" s="19"/>
      <c r="AJ3325" s="410"/>
    </row>
    <row r="3326" spans="33:36" ht="11.25" customHeight="1" x14ac:dyDescent="0.2">
      <c r="AG3326" s="19"/>
      <c r="AJ3326" s="410"/>
    </row>
    <row r="3327" spans="33:36" ht="11.25" customHeight="1" x14ac:dyDescent="0.2">
      <c r="AG3327" s="19"/>
      <c r="AJ3327" s="410"/>
    </row>
    <row r="3328" spans="33:36" ht="11.25" customHeight="1" x14ac:dyDescent="0.2">
      <c r="AG3328" s="19"/>
      <c r="AJ3328" s="410"/>
    </row>
    <row r="3329" spans="33:36" ht="11.25" customHeight="1" x14ac:dyDescent="0.2">
      <c r="AG3329" s="19"/>
      <c r="AJ3329" s="410"/>
    </row>
    <row r="3330" spans="33:36" ht="11.25" customHeight="1" x14ac:dyDescent="0.2">
      <c r="AG3330" s="19"/>
      <c r="AJ3330" s="410"/>
    </row>
    <row r="3331" spans="33:36" ht="11.25" customHeight="1" x14ac:dyDescent="0.2">
      <c r="AG3331" s="19"/>
      <c r="AJ3331" s="410"/>
    </row>
    <row r="3332" spans="33:36" ht="11.25" customHeight="1" x14ac:dyDescent="0.2">
      <c r="AG3332" s="19"/>
      <c r="AJ3332" s="410"/>
    </row>
    <row r="3333" spans="33:36" ht="11.25" customHeight="1" x14ac:dyDescent="0.2">
      <c r="AG3333" s="19"/>
      <c r="AJ3333" s="410"/>
    </row>
    <row r="3334" spans="33:36" ht="11.25" customHeight="1" x14ac:dyDescent="0.2">
      <c r="AG3334" s="19"/>
      <c r="AJ3334" s="410"/>
    </row>
    <row r="3335" spans="33:36" ht="11.25" customHeight="1" x14ac:dyDescent="0.2">
      <c r="AG3335" s="19"/>
      <c r="AJ3335" s="410"/>
    </row>
    <row r="3336" spans="33:36" ht="11.25" customHeight="1" x14ac:dyDescent="0.2">
      <c r="AG3336" s="19"/>
      <c r="AJ3336" s="410"/>
    </row>
    <row r="3337" spans="33:36" ht="11.25" customHeight="1" x14ac:dyDescent="0.2">
      <c r="AG3337" s="19"/>
      <c r="AJ3337" s="410"/>
    </row>
    <row r="3338" spans="33:36" ht="11.25" customHeight="1" x14ac:dyDescent="0.2">
      <c r="AG3338" s="19"/>
      <c r="AJ3338" s="410"/>
    </row>
    <row r="3339" spans="33:36" ht="11.25" customHeight="1" x14ac:dyDescent="0.2">
      <c r="AG3339" s="19"/>
      <c r="AJ3339" s="410"/>
    </row>
    <row r="3340" spans="33:36" ht="11.25" customHeight="1" x14ac:dyDescent="0.2">
      <c r="AG3340" s="19"/>
      <c r="AJ3340" s="410"/>
    </row>
    <row r="3341" spans="33:36" ht="11.25" customHeight="1" x14ac:dyDescent="0.2">
      <c r="AG3341" s="19"/>
      <c r="AJ3341" s="410"/>
    </row>
    <row r="3342" spans="33:36" ht="11.25" customHeight="1" x14ac:dyDescent="0.2">
      <c r="AG3342" s="19"/>
      <c r="AJ3342" s="410"/>
    </row>
    <row r="3343" spans="33:36" ht="11.25" customHeight="1" x14ac:dyDescent="0.2">
      <c r="AG3343" s="19"/>
      <c r="AJ3343" s="410"/>
    </row>
    <row r="3344" spans="33:36" ht="11.25" customHeight="1" x14ac:dyDescent="0.2">
      <c r="AG3344" s="19"/>
      <c r="AJ3344" s="410"/>
    </row>
    <row r="3345" spans="33:36" ht="11.25" customHeight="1" x14ac:dyDescent="0.2">
      <c r="AG3345" s="19"/>
      <c r="AJ3345" s="410"/>
    </row>
    <row r="3346" spans="33:36" ht="11.25" customHeight="1" x14ac:dyDescent="0.2">
      <c r="AG3346" s="19"/>
      <c r="AJ3346" s="410"/>
    </row>
    <row r="3347" spans="33:36" ht="11.25" customHeight="1" x14ac:dyDescent="0.2">
      <c r="AG3347" s="19"/>
      <c r="AJ3347" s="410"/>
    </row>
    <row r="3348" spans="33:36" ht="11.25" customHeight="1" x14ac:dyDescent="0.2">
      <c r="AG3348" s="19"/>
      <c r="AJ3348" s="410"/>
    </row>
    <row r="3349" spans="33:36" ht="11.25" customHeight="1" x14ac:dyDescent="0.2">
      <c r="AG3349" s="19"/>
      <c r="AJ3349" s="410"/>
    </row>
    <row r="3350" spans="33:36" ht="11.25" customHeight="1" x14ac:dyDescent="0.2">
      <c r="AG3350" s="19"/>
      <c r="AJ3350" s="410"/>
    </row>
    <row r="3351" spans="33:36" ht="11.25" customHeight="1" x14ac:dyDescent="0.2">
      <c r="AG3351" s="19"/>
      <c r="AJ3351" s="410"/>
    </row>
    <row r="3352" spans="33:36" ht="11.25" customHeight="1" x14ac:dyDescent="0.2">
      <c r="AG3352" s="19"/>
      <c r="AJ3352" s="410"/>
    </row>
    <row r="3353" spans="33:36" ht="11.25" customHeight="1" x14ac:dyDescent="0.2">
      <c r="AG3353" s="19"/>
      <c r="AJ3353" s="410"/>
    </row>
    <row r="3354" spans="33:36" ht="11.25" customHeight="1" x14ac:dyDescent="0.2">
      <c r="AG3354" s="19"/>
      <c r="AJ3354" s="410"/>
    </row>
    <row r="3355" spans="33:36" ht="11.25" customHeight="1" x14ac:dyDescent="0.2">
      <c r="AG3355" s="19"/>
      <c r="AJ3355" s="410"/>
    </row>
    <row r="3356" spans="33:36" ht="11.25" customHeight="1" x14ac:dyDescent="0.2">
      <c r="AG3356" s="19"/>
      <c r="AJ3356" s="410"/>
    </row>
    <row r="3357" spans="33:36" ht="11.25" customHeight="1" x14ac:dyDescent="0.2">
      <c r="AG3357" s="19"/>
      <c r="AJ3357" s="410"/>
    </row>
    <row r="3358" spans="33:36" ht="11.25" customHeight="1" x14ac:dyDescent="0.2">
      <c r="AG3358" s="19"/>
      <c r="AJ3358" s="410"/>
    </row>
    <row r="3359" spans="33:36" ht="11.25" customHeight="1" x14ac:dyDescent="0.2">
      <c r="AG3359" s="19"/>
      <c r="AJ3359" s="410"/>
    </row>
    <row r="3360" spans="33:36" ht="11.25" customHeight="1" x14ac:dyDescent="0.2">
      <c r="AG3360" s="19"/>
      <c r="AJ3360" s="410"/>
    </row>
    <row r="3361" spans="33:36" ht="11.25" customHeight="1" x14ac:dyDescent="0.2">
      <c r="AG3361" s="19"/>
      <c r="AJ3361" s="410"/>
    </row>
    <row r="3362" spans="33:36" ht="11.25" customHeight="1" x14ac:dyDescent="0.2">
      <c r="AG3362" s="19"/>
      <c r="AJ3362" s="410"/>
    </row>
    <row r="3363" spans="33:36" ht="11.25" customHeight="1" x14ac:dyDescent="0.2">
      <c r="AG3363" s="19"/>
      <c r="AJ3363" s="410"/>
    </row>
    <row r="3364" spans="33:36" ht="11.25" customHeight="1" x14ac:dyDescent="0.2">
      <c r="AG3364" s="19"/>
      <c r="AJ3364" s="410"/>
    </row>
    <row r="3365" spans="33:36" ht="11.25" customHeight="1" x14ac:dyDescent="0.2">
      <c r="AG3365" s="19"/>
      <c r="AJ3365" s="410"/>
    </row>
    <row r="3366" spans="33:36" ht="11.25" customHeight="1" x14ac:dyDescent="0.2">
      <c r="AG3366" s="19"/>
      <c r="AJ3366" s="410"/>
    </row>
    <row r="3367" spans="33:36" ht="11.25" customHeight="1" x14ac:dyDescent="0.2">
      <c r="AG3367" s="19"/>
      <c r="AJ3367" s="410"/>
    </row>
    <row r="3368" spans="33:36" ht="11.25" customHeight="1" x14ac:dyDescent="0.2">
      <c r="AG3368" s="19"/>
      <c r="AJ3368" s="410"/>
    </row>
    <row r="3369" spans="33:36" ht="11.25" customHeight="1" x14ac:dyDescent="0.2">
      <c r="AG3369" s="19"/>
      <c r="AJ3369" s="410"/>
    </row>
    <row r="3370" spans="33:36" ht="11.25" customHeight="1" x14ac:dyDescent="0.2">
      <c r="AG3370" s="19"/>
      <c r="AJ3370" s="410"/>
    </row>
    <row r="3371" spans="33:36" ht="11.25" customHeight="1" x14ac:dyDescent="0.2">
      <c r="AG3371" s="19"/>
      <c r="AJ3371" s="410"/>
    </row>
    <row r="3372" spans="33:36" ht="11.25" customHeight="1" x14ac:dyDescent="0.2">
      <c r="AG3372" s="19"/>
      <c r="AJ3372" s="410"/>
    </row>
    <row r="3373" spans="33:36" ht="11.25" customHeight="1" x14ac:dyDescent="0.2">
      <c r="AG3373" s="19"/>
      <c r="AJ3373" s="410"/>
    </row>
    <row r="3374" spans="33:36" ht="11.25" customHeight="1" x14ac:dyDescent="0.2">
      <c r="AG3374" s="19"/>
      <c r="AJ3374" s="410"/>
    </row>
    <row r="3375" spans="33:36" ht="11.25" customHeight="1" x14ac:dyDescent="0.2">
      <c r="AG3375" s="19"/>
      <c r="AJ3375" s="410"/>
    </row>
    <row r="3376" spans="33:36" ht="11.25" customHeight="1" x14ac:dyDescent="0.2">
      <c r="AG3376" s="19"/>
      <c r="AJ3376" s="410"/>
    </row>
    <row r="3377" spans="33:36" ht="11.25" customHeight="1" x14ac:dyDescent="0.2">
      <c r="AG3377" s="19"/>
      <c r="AJ3377" s="410"/>
    </row>
    <row r="3378" spans="33:36" ht="11.25" customHeight="1" x14ac:dyDescent="0.2">
      <c r="AG3378" s="19"/>
      <c r="AJ3378" s="410"/>
    </row>
    <row r="3379" spans="33:36" ht="11.25" customHeight="1" x14ac:dyDescent="0.2">
      <c r="AG3379" s="19"/>
      <c r="AJ3379" s="410"/>
    </row>
    <row r="3380" spans="33:36" ht="11.25" customHeight="1" x14ac:dyDescent="0.2">
      <c r="AG3380" s="19"/>
      <c r="AJ3380" s="410"/>
    </row>
    <row r="3381" spans="33:36" ht="11.25" customHeight="1" x14ac:dyDescent="0.2">
      <c r="AG3381" s="19"/>
      <c r="AJ3381" s="410"/>
    </row>
    <row r="3382" spans="33:36" ht="11.25" customHeight="1" x14ac:dyDescent="0.2">
      <c r="AG3382" s="19"/>
      <c r="AJ3382" s="410"/>
    </row>
    <row r="3383" spans="33:36" ht="11.25" customHeight="1" x14ac:dyDescent="0.2">
      <c r="AG3383" s="19"/>
      <c r="AJ3383" s="410"/>
    </row>
    <row r="3384" spans="33:36" ht="11.25" customHeight="1" x14ac:dyDescent="0.2">
      <c r="AG3384" s="19"/>
      <c r="AJ3384" s="410"/>
    </row>
    <row r="3385" spans="33:36" ht="11.25" customHeight="1" x14ac:dyDescent="0.2">
      <c r="AG3385" s="19"/>
      <c r="AJ3385" s="410"/>
    </row>
    <row r="3386" spans="33:36" ht="11.25" customHeight="1" x14ac:dyDescent="0.2">
      <c r="AG3386" s="19"/>
      <c r="AJ3386" s="410"/>
    </row>
    <row r="3387" spans="33:36" ht="11.25" customHeight="1" x14ac:dyDescent="0.2">
      <c r="AG3387" s="19"/>
      <c r="AJ3387" s="410"/>
    </row>
    <row r="3388" spans="33:36" ht="11.25" customHeight="1" x14ac:dyDescent="0.2">
      <c r="AG3388" s="19"/>
      <c r="AJ3388" s="410"/>
    </row>
    <row r="3389" spans="33:36" ht="11.25" customHeight="1" x14ac:dyDescent="0.2">
      <c r="AG3389" s="19"/>
      <c r="AJ3389" s="410"/>
    </row>
    <row r="3390" spans="33:36" ht="11.25" customHeight="1" x14ac:dyDescent="0.2">
      <c r="AG3390" s="19"/>
      <c r="AJ3390" s="410"/>
    </row>
    <row r="3391" spans="33:36" ht="11.25" customHeight="1" x14ac:dyDescent="0.2">
      <c r="AG3391" s="19"/>
      <c r="AJ3391" s="410"/>
    </row>
    <row r="3392" spans="33:36" ht="11.25" customHeight="1" x14ac:dyDescent="0.2">
      <c r="AG3392" s="19"/>
      <c r="AJ3392" s="410"/>
    </row>
    <row r="3393" spans="33:36" ht="11.25" customHeight="1" x14ac:dyDescent="0.2">
      <c r="AG3393" s="19"/>
      <c r="AJ3393" s="410"/>
    </row>
    <row r="3394" spans="33:36" ht="11.25" customHeight="1" x14ac:dyDescent="0.2">
      <c r="AG3394" s="19"/>
      <c r="AJ3394" s="410"/>
    </row>
    <row r="3395" spans="33:36" ht="11.25" customHeight="1" x14ac:dyDescent="0.2">
      <c r="AG3395" s="19"/>
      <c r="AJ3395" s="410"/>
    </row>
    <row r="3396" spans="33:36" ht="11.25" customHeight="1" x14ac:dyDescent="0.2">
      <c r="AG3396" s="19"/>
      <c r="AJ3396" s="410"/>
    </row>
    <row r="3397" spans="33:36" ht="11.25" customHeight="1" x14ac:dyDescent="0.2">
      <c r="AG3397" s="19"/>
      <c r="AJ3397" s="410"/>
    </row>
    <row r="3398" spans="33:36" ht="11.25" customHeight="1" x14ac:dyDescent="0.2">
      <c r="AG3398" s="19"/>
      <c r="AJ3398" s="410"/>
    </row>
    <row r="3399" spans="33:36" ht="11.25" customHeight="1" x14ac:dyDescent="0.2">
      <c r="AG3399" s="19"/>
      <c r="AJ3399" s="410"/>
    </row>
    <row r="3400" spans="33:36" ht="11.25" customHeight="1" x14ac:dyDescent="0.2">
      <c r="AG3400" s="19"/>
      <c r="AJ3400" s="410"/>
    </row>
    <row r="3401" spans="33:36" ht="11.25" customHeight="1" x14ac:dyDescent="0.2">
      <c r="AG3401" s="19"/>
      <c r="AJ3401" s="410"/>
    </row>
    <row r="3402" spans="33:36" ht="11.25" customHeight="1" x14ac:dyDescent="0.2">
      <c r="AG3402" s="19"/>
      <c r="AJ3402" s="410"/>
    </row>
    <row r="3403" spans="33:36" ht="11.25" customHeight="1" x14ac:dyDescent="0.2">
      <c r="AG3403" s="19"/>
      <c r="AJ3403" s="410"/>
    </row>
    <row r="3404" spans="33:36" ht="11.25" customHeight="1" x14ac:dyDescent="0.2">
      <c r="AG3404" s="19"/>
      <c r="AJ3404" s="410"/>
    </row>
    <row r="3405" spans="33:36" ht="11.25" customHeight="1" x14ac:dyDescent="0.2">
      <c r="AG3405" s="19"/>
      <c r="AJ3405" s="410"/>
    </row>
    <row r="3406" spans="33:36" ht="11.25" customHeight="1" x14ac:dyDescent="0.2">
      <c r="AG3406" s="19"/>
      <c r="AJ3406" s="410"/>
    </row>
    <row r="3407" spans="33:36" ht="11.25" customHeight="1" x14ac:dyDescent="0.2">
      <c r="AG3407" s="19"/>
      <c r="AJ3407" s="410"/>
    </row>
    <row r="3408" spans="33:36" ht="11.25" customHeight="1" x14ac:dyDescent="0.2">
      <c r="AG3408" s="19"/>
      <c r="AJ3408" s="410"/>
    </row>
    <row r="3409" spans="33:36" ht="11.25" customHeight="1" x14ac:dyDescent="0.2">
      <c r="AG3409" s="19"/>
      <c r="AJ3409" s="410"/>
    </row>
    <row r="3410" spans="33:36" ht="11.25" customHeight="1" x14ac:dyDescent="0.2">
      <c r="AG3410" s="19"/>
      <c r="AJ3410" s="410"/>
    </row>
    <row r="3411" spans="33:36" ht="11.25" customHeight="1" x14ac:dyDescent="0.2">
      <c r="AG3411" s="19"/>
      <c r="AJ3411" s="410"/>
    </row>
    <row r="3412" spans="33:36" ht="11.25" customHeight="1" x14ac:dyDescent="0.2">
      <c r="AG3412" s="19"/>
      <c r="AJ3412" s="410"/>
    </row>
    <row r="3413" spans="33:36" ht="11.25" customHeight="1" x14ac:dyDescent="0.2">
      <c r="AG3413" s="19"/>
      <c r="AJ3413" s="410"/>
    </row>
    <row r="3414" spans="33:36" ht="11.25" customHeight="1" x14ac:dyDescent="0.2">
      <c r="AG3414" s="19"/>
      <c r="AJ3414" s="410"/>
    </row>
    <row r="3415" spans="33:36" ht="11.25" customHeight="1" x14ac:dyDescent="0.2">
      <c r="AG3415" s="19"/>
      <c r="AJ3415" s="410"/>
    </row>
    <row r="3416" spans="33:36" ht="11.25" customHeight="1" x14ac:dyDescent="0.2">
      <c r="AG3416" s="19"/>
      <c r="AJ3416" s="410"/>
    </row>
    <row r="3417" spans="33:36" ht="11.25" customHeight="1" x14ac:dyDescent="0.2">
      <c r="AG3417" s="19"/>
      <c r="AJ3417" s="410"/>
    </row>
    <row r="3418" spans="33:36" ht="11.25" customHeight="1" x14ac:dyDescent="0.2">
      <c r="AG3418" s="19"/>
      <c r="AJ3418" s="410"/>
    </row>
    <row r="3419" spans="33:36" ht="11.25" customHeight="1" x14ac:dyDescent="0.2">
      <c r="AG3419" s="19"/>
      <c r="AJ3419" s="410"/>
    </row>
    <row r="3420" spans="33:36" ht="11.25" customHeight="1" x14ac:dyDescent="0.2">
      <c r="AG3420" s="19"/>
      <c r="AJ3420" s="410"/>
    </row>
    <row r="3421" spans="33:36" ht="11.25" customHeight="1" x14ac:dyDescent="0.2">
      <c r="AG3421" s="19"/>
      <c r="AJ3421" s="410"/>
    </row>
    <row r="3422" spans="33:36" ht="11.25" customHeight="1" x14ac:dyDescent="0.2">
      <c r="AG3422" s="19"/>
      <c r="AJ3422" s="410"/>
    </row>
    <row r="3423" spans="33:36" ht="11.25" customHeight="1" x14ac:dyDescent="0.2">
      <c r="AG3423" s="19"/>
      <c r="AJ3423" s="410"/>
    </row>
    <row r="3424" spans="33:36" ht="11.25" customHeight="1" x14ac:dyDescent="0.2">
      <c r="AG3424" s="19"/>
      <c r="AJ3424" s="410"/>
    </row>
    <row r="3425" spans="33:36" ht="11.25" customHeight="1" x14ac:dyDescent="0.2">
      <c r="AG3425" s="19"/>
      <c r="AJ3425" s="410"/>
    </row>
    <row r="3426" spans="33:36" ht="11.25" customHeight="1" x14ac:dyDescent="0.2">
      <c r="AG3426" s="19"/>
      <c r="AJ3426" s="410"/>
    </row>
    <row r="3427" spans="33:36" ht="11.25" customHeight="1" x14ac:dyDescent="0.2">
      <c r="AG3427" s="19"/>
      <c r="AJ3427" s="410"/>
    </row>
    <row r="3428" spans="33:36" ht="11.25" customHeight="1" x14ac:dyDescent="0.2">
      <c r="AG3428" s="19"/>
      <c r="AJ3428" s="410"/>
    </row>
    <row r="3429" spans="33:36" ht="11.25" customHeight="1" x14ac:dyDescent="0.2">
      <c r="AG3429" s="19"/>
      <c r="AJ3429" s="410"/>
    </row>
    <row r="3430" spans="33:36" ht="11.25" customHeight="1" x14ac:dyDescent="0.2">
      <c r="AG3430" s="19"/>
      <c r="AJ3430" s="410"/>
    </row>
    <row r="3431" spans="33:36" ht="11.25" customHeight="1" x14ac:dyDescent="0.2">
      <c r="AG3431" s="19"/>
      <c r="AJ3431" s="410"/>
    </row>
    <row r="3432" spans="33:36" ht="11.25" customHeight="1" x14ac:dyDescent="0.2">
      <c r="AG3432" s="19"/>
      <c r="AJ3432" s="410"/>
    </row>
    <row r="3433" spans="33:36" ht="11.25" customHeight="1" x14ac:dyDescent="0.2">
      <c r="AG3433" s="19"/>
      <c r="AJ3433" s="410"/>
    </row>
    <row r="3434" spans="33:36" ht="11.25" customHeight="1" x14ac:dyDescent="0.2">
      <c r="AG3434" s="19"/>
      <c r="AJ3434" s="410"/>
    </row>
    <row r="3435" spans="33:36" ht="11.25" customHeight="1" x14ac:dyDescent="0.2">
      <c r="AG3435" s="19"/>
      <c r="AJ3435" s="410"/>
    </row>
    <row r="3436" spans="33:36" ht="11.25" customHeight="1" x14ac:dyDescent="0.2">
      <c r="AG3436" s="19"/>
      <c r="AJ3436" s="410"/>
    </row>
    <row r="3437" spans="33:36" ht="11.25" customHeight="1" x14ac:dyDescent="0.2">
      <c r="AG3437" s="19"/>
      <c r="AJ3437" s="410"/>
    </row>
    <row r="3438" spans="33:36" ht="11.25" customHeight="1" x14ac:dyDescent="0.2">
      <c r="AG3438" s="19"/>
      <c r="AJ3438" s="410"/>
    </row>
    <row r="3439" spans="33:36" ht="11.25" customHeight="1" x14ac:dyDescent="0.2">
      <c r="AG3439" s="19"/>
      <c r="AJ3439" s="410"/>
    </row>
    <row r="3440" spans="33:36" ht="11.25" customHeight="1" x14ac:dyDescent="0.2">
      <c r="AG3440" s="19"/>
      <c r="AJ3440" s="410"/>
    </row>
    <row r="3441" spans="33:36" ht="11.25" customHeight="1" x14ac:dyDescent="0.2">
      <c r="AG3441" s="19"/>
      <c r="AJ3441" s="410"/>
    </row>
    <row r="3442" spans="33:36" ht="11.25" customHeight="1" x14ac:dyDescent="0.2">
      <c r="AG3442" s="19"/>
      <c r="AJ3442" s="410"/>
    </row>
    <row r="3443" spans="33:36" ht="11.25" customHeight="1" x14ac:dyDescent="0.2">
      <c r="AG3443" s="19"/>
      <c r="AJ3443" s="410"/>
    </row>
    <row r="3444" spans="33:36" ht="11.25" customHeight="1" x14ac:dyDescent="0.2">
      <c r="AG3444" s="19"/>
      <c r="AJ3444" s="410"/>
    </row>
    <row r="3445" spans="33:36" ht="11.25" customHeight="1" x14ac:dyDescent="0.2">
      <c r="AG3445" s="19"/>
      <c r="AJ3445" s="410"/>
    </row>
    <row r="3446" spans="33:36" ht="11.25" customHeight="1" x14ac:dyDescent="0.2">
      <c r="AG3446" s="19"/>
      <c r="AJ3446" s="410"/>
    </row>
    <row r="3447" spans="33:36" ht="11.25" customHeight="1" x14ac:dyDescent="0.2">
      <c r="AG3447" s="19"/>
      <c r="AJ3447" s="410"/>
    </row>
    <row r="3448" spans="33:36" ht="11.25" customHeight="1" x14ac:dyDescent="0.2">
      <c r="AG3448" s="19"/>
      <c r="AJ3448" s="410"/>
    </row>
    <row r="3449" spans="33:36" ht="11.25" customHeight="1" x14ac:dyDescent="0.2">
      <c r="AG3449" s="19"/>
      <c r="AJ3449" s="410"/>
    </row>
    <row r="3450" spans="33:36" ht="11.25" customHeight="1" x14ac:dyDescent="0.2">
      <c r="AG3450" s="19"/>
      <c r="AJ3450" s="410"/>
    </row>
    <row r="3451" spans="33:36" ht="11.25" customHeight="1" x14ac:dyDescent="0.2">
      <c r="AG3451" s="19"/>
      <c r="AJ3451" s="410"/>
    </row>
    <row r="3452" spans="33:36" ht="11.25" customHeight="1" x14ac:dyDescent="0.2">
      <c r="AG3452" s="19"/>
      <c r="AJ3452" s="410"/>
    </row>
    <row r="3453" spans="33:36" ht="11.25" customHeight="1" x14ac:dyDescent="0.2">
      <c r="AG3453" s="19"/>
      <c r="AJ3453" s="410"/>
    </row>
    <row r="3454" spans="33:36" ht="11.25" customHeight="1" x14ac:dyDescent="0.2">
      <c r="AG3454" s="19"/>
      <c r="AJ3454" s="410"/>
    </row>
    <row r="3455" spans="33:36" ht="11.25" customHeight="1" x14ac:dyDescent="0.2">
      <c r="AG3455" s="19"/>
      <c r="AJ3455" s="410"/>
    </row>
    <row r="3456" spans="33:36" ht="11.25" customHeight="1" x14ac:dyDescent="0.2">
      <c r="AG3456" s="19"/>
      <c r="AJ3456" s="410"/>
    </row>
    <row r="3457" spans="33:36" ht="11.25" customHeight="1" x14ac:dyDescent="0.2">
      <c r="AG3457" s="19"/>
      <c r="AJ3457" s="410"/>
    </row>
    <row r="3458" spans="33:36" ht="11.25" customHeight="1" x14ac:dyDescent="0.2">
      <c r="AG3458" s="19"/>
      <c r="AJ3458" s="410"/>
    </row>
    <row r="3459" spans="33:36" ht="11.25" customHeight="1" x14ac:dyDescent="0.2">
      <c r="AG3459" s="19"/>
      <c r="AJ3459" s="410"/>
    </row>
    <row r="3460" spans="33:36" ht="11.25" customHeight="1" x14ac:dyDescent="0.2">
      <c r="AG3460" s="19"/>
      <c r="AJ3460" s="410"/>
    </row>
    <row r="3461" spans="33:36" ht="11.25" customHeight="1" x14ac:dyDescent="0.2">
      <c r="AG3461" s="19"/>
      <c r="AJ3461" s="410"/>
    </row>
    <row r="3462" spans="33:36" ht="11.25" customHeight="1" x14ac:dyDescent="0.2">
      <c r="AG3462" s="19"/>
      <c r="AJ3462" s="410"/>
    </row>
    <row r="3463" spans="33:36" ht="11.25" customHeight="1" x14ac:dyDescent="0.2">
      <c r="AG3463" s="19"/>
      <c r="AJ3463" s="410"/>
    </row>
    <row r="3464" spans="33:36" ht="11.25" customHeight="1" x14ac:dyDescent="0.2">
      <c r="AG3464" s="19"/>
      <c r="AJ3464" s="410"/>
    </row>
    <row r="3465" spans="33:36" ht="11.25" customHeight="1" x14ac:dyDescent="0.2">
      <c r="AG3465" s="19"/>
      <c r="AJ3465" s="410"/>
    </row>
    <row r="3466" spans="33:36" ht="11.25" customHeight="1" x14ac:dyDescent="0.2">
      <c r="AG3466" s="19"/>
      <c r="AJ3466" s="410"/>
    </row>
    <row r="3467" spans="33:36" ht="11.25" customHeight="1" x14ac:dyDescent="0.2">
      <c r="AG3467" s="19"/>
      <c r="AJ3467" s="410"/>
    </row>
    <row r="3468" spans="33:36" ht="11.25" customHeight="1" x14ac:dyDescent="0.2">
      <c r="AG3468" s="19"/>
      <c r="AJ3468" s="410"/>
    </row>
    <row r="3469" spans="33:36" ht="11.25" customHeight="1" x14ac:dyDescent="0.2">
      <c r="AG3469" s="19"/>
      <c r="AJ3469" s="410"/>
    </row>
    <row r="3470" spans="33:36" ht="11.25" customHeight="1" x14ac:dyDescent="0.2">
      <c r="AG3470" s="19"/>
      <c r="AJ3470" s="410"/>
    </row>
    <row r="3471" spans="33:36" ht="11.25" customHeight="1" x14ac:dyDescent="0.2">
      <c r="AG3471" s="19"/>
      <c r="AJ3471" s="410"/>
    </row>
    <row r="3472" spans="33:36" ht="11.25" customHeight="1" x14ac:dyDescent="0.2">
      <c r="AG3472" s="19"/>
      <c r="AJ3472" s="410"/>
    </row>
    <row r="3473" spans="33:36" ht="11.25" customHeight="1" x14ac:dyDescent="0.2">
      <c r="AG3473" s="19"/>
      <c r="AJ3473" s="410"/>
    </row>
    <row r="3474" spans="33:36" ht="11.25" customHeight="1" x14ac:dyDescent="0.2">
      <c r="AG3474" s="19"/>
      <c r="AJ3474" s="410"/>
    </row>
    <row r="3475" spans="33:36" ht="11.25" customHeight="1" x14ac:dyDescent="0.2">
      <c r="AG3475" s="19"/>
      <c r="AJ3475" s="410"/>
    </row>
    <row r="3476" spans="33:36" ht="11.25" customHeight="1" x14ac:dyDescent="0.2">
      <c r="AG3476" s="19"/>
      <c r="AJ3476" s="410"/>
    </row>
    <row r="3477" spans="33:36" ht="11.25" customHeight="1" x14ac:dyDescent="0.2">
      <c r="AG3477" s="19"/>
      <c r="AJ3477" s="410"/>
    </row>
    <row r="3478" spans="33:36" ht="11.25" customHeight="1" x14ac:dyDescent="0.2">
      <c r="AG3478" s="19"/>
      <c r="AJ3478" s="410"/>
    </row>
    <row r="3479" spans="33:36" ht="11.25" customHeight="1" x14ac:dyDescent="0.2">
      <c r="AG3479" s="19"/>
      <c r="AJ3479" s="410"/>
    </row>
    <row r="3480" spans="33:36" ht="11.25" customHeight="1" x14ac:dyDescent="0.2">
      <c r="AG3480" s="19"/>
      <c r="AJ3480" s="410"/>
    </row>
    <row r="3481" spans="33:36" ht="11.25" customHeight="1" x14ac:dyDescent="0.2">
      <c r="AG3481" s="19"/>
      <c r="AJ3481" s="410"/>
    </row>
    <row r="3482" spans="33:36" ht="11.25" customHeight="1" x14ac:dyDescent="0.2">
      <c r="AG3482" s="19"/>
      <c r="AJ3482" s="410"/>
    </row>
    <row r="3483" spans="33:36" ht="11.25" customHeight="1" x14ac:dyDescent="0.2">
      <c r="AG3483" s="19"/>
      <c r="AJ3483" s="410"/>
    </row>
    <row r="3484" spans="33:36" ht="11.25" customHeight="1" x14ac:dyDescent="0.2">
      <c r="AG3484" s="19"/>
      <c r="AJ3484" s="410"/>
    </row>
    <row r="3485" spans="33:36" ht="11.25" customHeight="1" x14ac:dyDescent="0.2">
      <c r="AG3485" s="19"/>
      <c r="AJ3485" s="410"/>
    </row>
    <row r="3486" spans="33:36" ht="11.25" customHeight="1" x14ac:dyDescent="0.2">
      <c r="AG3486" s="19"/>
      <c r="AJ3486" s="410"/>
    </row>
    <row r="3487" spans="33:36" ht="11.25" customHeight="1" x14ac:dyDescent="0.2">
      <c r="AG3487" s="19"/>
      <c r="AJ3487" s="410"/>
    </row>
    <row r="3488" spans="33:36" ht="11.25" customHeight="1" x14ac:dyDescent="0.2">
      <c r="AG3488" s="19"/>
      <c r="AJ3488" s="410"/>
    </row>
    <row r="3489" spans="33:36" ht="11.25" customHeight="1" x14ac:dyDescent="0.2">
      <c r="AG3489" s="19"/>
      <c r="AJ3489" s="410"/>
    </row>
    <row r="3490" spans="33:36" ht="11.25" customHeight="1" x14ac:dyDescent="0.2">
      <c r="AG3490" s="19"/>
      <c r="AJ3490" s="410"/>
    </row>
    <row r="3491" spans="33:36" ht="11.25" customHeight="1" x14ac:dyDescent="0.2">
      <c r="AG3491" s="19"/>
      <c r="AJ3491" s="410"/>
    </row>
    <row r="3492" spans="33:36" ht="11.25" customHeight="1" x14ac:dyDescent="0.2">
      <c r="AG3492" s="19"/>
      <c r="AJ3492" s="410"/>
    </row>
    <row r="3493" spans="33:36" ht="11.25" customHeight="1" x14ac:dyDescent="0.2">
      <c r="AG3493" s="19"/>
      <c r="AJ3493" s="410"/>
    </row>
    <row r="3494" spans="33:36" ht="11.25" customHeight="1" x14ac:dyDescent="0.2">
      <c r="AG3494" s="19"/>
      <c r="AJ3494" s="410"/>
    </row>
    <row r="3495" spans="33:36" ht="11.25" customHeight="1" x14ac:dyDescent="0.2">
      <c r="AG3495" s="19"/>
      <c r="AJ3495" s="410"/>
    </row>
    <row r="3496" spans="33:36" ht="11.25" customHeight="1" x14ac:dyDescent="0.2">
      <c r="AG3496" s="19"/>
      <c r="AJ3496" s="410"/>
    </row>
    <row r="3497" spans="33:36" ht="11.25" customHeight="1" x14ac:dyDescent="0.2">
      <c r="AG3497" s="19"/>
      <c r="AJ3497" s="410"/>
    </row>
    <row r="3498" spans="33:36" ht="11.25" customHeight="1" x14ac:dyDescent="0.2">
      <c r="AG3498" s="19"/>
      <c r="AJ3498" s="410"/>
    </row>
    <row r="3499" spans="33:36" ht="11.25" customHeight="1" x14ac:dyDescent="0.2">
      <c r="AG3499" s="19"/>
      <c r="AJ3499" s="410"/>
    </row>
    <row r="3500" spans="33:36" ht="11.25" customHeight="1" x14ac:dyDescent="0.2">
      <c r="AG3500" s="19"/>
      <c r="AJ3500" s="410"/>
    </row>
    <row r="3501" spans="33:36" ht="11.25" customHeight="1" x14ac:dyDescent="0.2">
      <c r="AG3501" s="19"/>
      <c r="AJ3501" s="410"/>
    </row>
    <row r="3502" spans="33:36" ht="11.25" customHeight="1" x14ac:dyDescent="0.2">
      <c r="AG3502" s="19"/>
      <c r="AJ3502" s="410"/>
    </row>
    <row r="3503" spans="33:36" ht="11.25" customHeight="1" x14ac:dyDescent="0.2">
      <c r="AG3503" s="19"/>
      <c r="AJ3503" s="410"/>
    </row>
    <row r="3504" spans="33:36" ht="11.25" customHeight="1" x14ac:dyDescent="0.2">
      <c r="AG3504" s="19"/>
      <c r="AJ3504" s="410"/>
    </row>
    <row r="3505" spans="33:36" ht="11.25" customHeight="1" x14ac:dyDescent="0.2">
      <c r="AG3505" s="19"/>
      <c r="AJ3505" s="410"/>
    </row>
    <row r="3506" spans="33:36" ht="11.25" customHeight="1" x14ac:dyDescent="0.2">
      <c r="AG3506" s="19"/>
      <c r="AJ3506" s="410"/>
    </row>
    <row r="3507" spans="33:36" ht="11.25" customHeight="1" x14ac:dyDescent="0.2">
      <c r="AG3507" s="19"/>
      <c r="AJ3507" s="410"/>
    </row>
    <row r="3508" spans="33:36" ht="11.25" customHeight="1" x14ac:dyDescent="0.2">
      <c r="AG3508" s="19"/>
      <c r="AJ3508" s="410"/>
    </row>
    <row r="3509" spans="33:36" ht="11.25" customHeight="1" x14ac:dyDescent="0.2">
      <c r="AG3509" s="19"/>
      <c r="AJ3509" s="410"/>
    </row>
    <row r="3510" spans="33:36" ht="11.25" customHeight="1" x14ac:dyDescent="0.2">
      <c r="AG3510" s="19"/>
      <c r="AJ3510" s="410"/>
    </row>
    <row r="3511" spans="33:36" ht="11.25" customHeight="1" x14ac:dyDescent="0.2">
      <c r="AG3511" s="19"/>
      <c r="AJ3511" s="410"/>
    </row>
    <row r="3512" spans="33:36" ht="11.25" customHeight="1" x14ac:dyDescent="0.2">
      <c r="AG3512" s="19"/>
      <c r="AJ3512" s="410"/>
    </row>
    <row r="3513" spans="33:36" ht="11.25" customHeight="1" x14ac:dyDescent="0.2">
      <c r="AG3513" s="19"/>
      <c r="AJ3513" s="410"/>
    </row>
    <row r="3514" spans="33:36" ht="11.25" customHeight="1" x14ac:dyDescent="0.2">
      <c r="AG3514" s="19"/>
      <c r="AJ3514" s="410"/>
    </row>
    <row r="3515" spans="33:36" ht="11.25" customHeight="1" x14ac:dyDescent="0.2">
      <c r="AG3515" s="19"/>
      <c r="AJ3515" s="410"/>
    </row>
    <row r="3516" spans="33:36" ht="11.25" customHeight="1" x14ac:dyDescent="0.2">
      <c r="AG3516" s="19"/>
      <c r="AJ3516" s="410"/>
    </row>
    <row r="3517" spans="33:36" ht="11.25" customHeight="1" x14ac:dyDescent="0.2">
      <c r="AG3517" s="19"/>
      <c r="AJ3517" s="410"/>
    </row>
    <row r="3518" spans="33:36" ht="11.25" customHeight="1" x14ac:dyDescent="0.2">
      <c r="AG3518" s="19"/>
      <c r="AJ3518" s="410"/>
    </row>
    <row r="3519" spans="33:36" ht="11.25" customHeight="1" x14ac:dyDescent="0.2">
      <c r="AG3519" s="19"/>
      <c r="AJ3519" s="410"/>
    </row>
    <row r="3520" spans="33:36" ht="11.25" customHeight="1" x14ac:dyDescent="0.2">
      <c r="AG3520" s="19"/>
      <c r="AJ3520" s="410"/>
    </row>
    <row r="3521" spans="33:36" ht="11.25" customHeight="1" x14ac:dyDescent="0.2">
      <c r="AG3521" s="19"/>
      <c r="AJ3521" s="410"/>
    </row>
    <row r="3522" spans="33:36" ht="11.25" customHeight="1" x14ac:dyDescent="0.2">
      <c r="AG3522" s="19"/>
      <c r="AJ3522" s="410"/>
    </row>
    <row r="3523" spans="33:36" ht="11.25" customHeight="1" x14ac:dyDescent="0.2">
      <c r="AG3523" s="19"/>
      <c r="AJ3523" s="410"/>
    </row>
    <row r="3524" spans="33:36" ht="11.25" customHeight="1" x14ac:dyDescent="0.2">
      <c r="AG3524" s="19"/>
      <c r="AJ3524" s="410"/>
    </row>
    <row r="3525" spans="33:36" ht="11.25" customHeight="1" x14ac:dyDescent="0.2">
      <c r="AG3525" s="19"/>
      <c r="AJ3525" s="410"/>
    </row>
    <row r="3526" spans="33:36" ht="11.25" customHeight="1" x14ac:dyDescent="0.2">
      <c r="AG3526" s="19"/>
      <c r="AJ3526" s="410"/>
    </row>
    <row r="3527" spans="33:36" ht="11.25" customHeight="1" x14ac:dyDescent="0.2">
      <c r="AG3527" s="19"/>
      <c r="AJ3527" s="410"/>
    </row>
    <row r="3528" spans="33:36" ht="11.25" customHeight="1" x14ac:dyDescent="0.2">
      <c r="AG3528" s="19"/>
      <c r="AJ3528" s="410"/>
    </row>
    <row r="3529" spans="33:36" ht="11.25" customHeight="1" x14ac:dyDescent="0.2">
      <c r="AG3529" s="19"/>
      <c r="AJ3529" s="410"/>
    </row>
    <row r="3530" spans="33:36" ht="11.25" customHeight="1" x14ac:dyDescent="0.2">
      <c r="AG3530" s="19"/>
      <c r="AJ3530" s="410"/>
    </row>
    <row r="3531" spans="33:36" ht="11.25" customHeight="1" x14ac:dyDescent="0.2">
      <c r="AG3531" s="19"/>
      <c r="AJ3531" s="410"/>
    </row>
    <row r="3532" spans="33:36" ht="11.25" customHeight="1" x14ac:dyDescent="0.2">
      <c r="AG3532" s="19"/>
      <c r="AJ3532" s="410"/>
    </row>
    <row r="3533" spans="33:36" ht="11.25" customHeight="1" x14ac:dyDescent="0.2">
      <c r="AG3533" s="19"/>
      <c r="AJ3533" s="410"/>
    </row>
    <row r="3534" spans="33:36" ht="11.25" customHeight="1" x14ac:dyDescent="0.2">
      <c r="AG3534" s="19"/>
      <c r="AJ3534" s="410"/>
    </row>
    <row r="3535" spans="33:36" ht="11.25" customHeight="1" x14ac:dyDescent="0.2">
      <c r="AG3535" s="19"/>
      <c r="AJ3535" s="410"/>
    </row>
    <row r="3536" spans="33:36" ht="11.25" customHeight="1" x14ac:dyDescent="0.2">
      <c r="AG3536" s="19"/>
      <c r="AJ3536" s="410"/>
    </row>
    <row r="3537" spans="33:36" ht="11.25" customHeight="1" x14ac:dyDescent="0.2">
      <c r="AG3537" s="19"/>
      <c r="AJ3537" s="410"/>
    </row>
    <row r="3538" spans="33:36" ht="11.25" customHeight="1" x14ac:dyDescent="0.2">
      <c r="AG3538" s="19"/>
      <c r="AJ3538" s="410"/>
    </row>
    <row r="3539" spans="33:36" ht="11.25" customHeight="1" x14ac:dyDescent="0.2">
      <c r="AG3539" s="19"/>
      <c r="AJ3539" s="410"/>
    </row>
    <row r="3540" spans="33:36" ht="11.25" customHeight="1" x14ac:dyDescent="0.2">
      <c r="AG3540" s="19"/>
      <c r="AJ3540" s="410"/>
    </row>
    <row r="3541" spans="33:36" ht="11.25" customHeight="1" x14ac:dyDescent="0.2">
      <c r="AG3541" s="19"/>
      <c r="AJ3541" s="410"/>
    </row>
    <row r="3542" spans="33:36" ht="11.25" customHeight="1" x14ac:dyDescent="0.2">
      <c r="AG3542" s="19"/>
      <c r="AJ3542" s="410"/>
    </row>
    <row r="3543" spans="33:36" ht="11.25" customHeight="1" x14ac:dyDescent="0.2">
      <c r="AG3543" s="19"/>
      <c r="AJ3543" s="410"/>
    </row>
    <row r="3544" spans="33:36" ht="11.25" customHeight="1" x14ac:dyDescent="0.2">
      <c r="AG3544" s="19"/>
      <c r="AJ3544" s="410"/>
    </row>
    <row r="3545" spans="33:36" ht="11.25" customHeight="1" x14ac:dyDescent="0.2">
      <c r="AG3545" s="19"/>
      <c r="AJ3545" s="410"/>
    </row>
    <row r="3546" spans="33:36" ht="11.25" customHeight="1" x14ac:dyDescent="0.2">
      <c r="AG3546" s="19"/>
      <c r="AJ3546" s="410"/>
    </row>
    <row r="3547" spans="33:36" ht="11.25" customHeight="1" x14ac:dyDescent="0.2">
      <c r="AG3547" s="19"/>
      <c r="AJ3547" s="410"/>
    </row>
    <row r="3548" spans="33:36" ht="11.25" customHeight="1" x14ac:dyDescent="0.2">
      <c r="AG3548" s="19"/>
      <c r="AJ3548" s="410"/>
    </row>
    <row r="3549" spans="33:36" ht="11.25" customHeight="1" x14ac:dyDescent="0.2">
      <c r="AG3549" s="19"/>
      <c r="AJ3549" s="410"/>
    </row>
    <row r="3550" spans="33:36" ht="11.25" customHeight="1" x14ac:dyDescent="0.2">
      <c r="AG3550" s="19"/>
      <c r="AJ3550" s="410"/>
    </row>
    <row r="3551" spans="33:36" ht="11.25" customHeight="1" x14ac:dyDescent="0.2">
      <c r="AG3551" s="19"/>
      <c r="AJ3551" s="410"/>
    </row>
    <row r="3552" spans="33:36" ht="11.25" customHeight="1" x14ac:dyDescent="0.2">
      <c r="AG3552" s="19"/>
      <c r="AJ3552" s="410"/>
    </row>
    <row r="3553" spans="33:36" ht="11.25" customHeight="1" x14ac:dyDescent="0.2">
      <c r="AG3553" s="19"/>
      <c r="AJ3553" s="410"/>
    </row>
    <row r="3554" spans="33:36" ht="11.25" customHeight="1" x14ac:dyDescent="0.2">
      <c r="AG3554" s="19"/>
      <c r="AJ3554" s="410"/>
    </row>
    <row r="3555" spans="33:36" ht="11.25" customHeight="1" x14ac:dyDescent="0.2">
      <c r="AG3555" s="19"/>
      <c r="AJ3555" s="410"/>
    </row>
    <row r="3556" spans="33:36" ht="11.25" customHeight="1" x14ac:dyDescent="0.2">
      <c r="AG3556" s="19"/>
      <c r="AJ3556" s="410"/>
    </row>
    <row r="3557" spans="33:36" ht="11.25" customHeight="1" x14ac:dyDescent="0.2">
      <c r="AG3557" s="19"/>
      <c r="AJ3557" s="410"/>
    </row>
    <row r="3558" spans="33:36" ht="11.25" customHeight="1" x14ac:dyDescent="0.2">
      <c r="AG3558" s="19"/>
      <c r="AJ3558" s="410"/>
    </row>
    <row r="3559" spans="33:36" ht="11.25" customHeight="1" x14ac:dyDescent="0.2">
      <c r="AG3559" s="19"/>
      <c r="AJ3559" s="410"/>
    </row>
    <row r="3560" spans="33:36" ht="11.25" customHeight="1" x14ac:dyDescent="0.2">
      <c r="AG3560" s="19"/>
      <c r="AJ3560" s="410"/>
    </row>
    <row r="3561" spans="33:36" ht="11.25" customHeight="1" x14ac:dyDescent="0.2">
      <c r="AG3561" s="19"/>
      <c r="AJ3561" s="410"/>
    </row>
    <row r="3562" spans="33:36" ht="11.25" customHeight="1" x14ac:dyDescent="0.2">
      <c r="AG3562" s="19"/>
      <c r="AJ3562" s="410"/>
    </row>
    <row r="3563" spans="33:36" ht="11.25" customHeight="1" x14ac:dyDescent="0.2">
      <c r="AG3563" s="19"/>
      <c r="AJ3563" s="410"/>
    </row>
    <row r="3564" spans="33:36" ht="11.25" customHeight="1" x14ac:dyDescent="0.2">
      <c r="AG3564" s="19"/>
      <c r="AJ3564" s="410"/>
    </row>
    <row r="3565" spans="33:36" ht="11.25" customHeight="1" x14ac:dyDescent="0.2">
      <c r="AG3565" s="19"/>
      <c r="AJ3565" s="410"/>
    </row>
    <row r="3566" spans="33:36" ht="11.25" customHeight="1" x14ac:dyDescent="0.2">
      <c r="AG3566" s="19"/>
      <c r="AJ3566" s="410"/>
    </row>
    <row r="3567" spans="33:36" ht="11.25" customHeight="1" x14ac:dyDescent="0.2">
      <c r="AG3567" s="19"/>
      <c r="AJ3567" s="410"/>
    </row>
    <row r="3568" spans="33:36" ht="11.25" customHeight="1" x14ac:dyDescent="0.2">
      <c r="AG3568" s="19"/>
      <c r="AJ3568" s="410"/>
    </row>
    <row r="3569" spans="33:36" ht="11.25" customHeight="1" x14ac:dyDescent="0.2">
      <c r="AG3569" s="19"/>
      <c r="AJ3569" s="410"/>
    </row>
    <row r="3570" spans="33:36" ht="11.25" customHeight="1" x14ac:dyDescent="0.2">
      <c r="AG3570" s="19"/>
      <c r="AJ3570" s="410"/>
    </row>
    <row r="3571" spans="33:36" ht="11.25" customHeight="1" x14ac:dyDescent="0.2">
      <c r="AG3571" s="19"/>
      <c r="AJ3571" s="410"/>
    </row>
    <row r="3572" spans="33:36" ht="11.25" customHeight="1" x14ac:dyDescent="0.2">
      <c r="AG3572" s="19"/>
      <c r="AJ3572" s="410"/>
    </row>
    <row r="3573" spans="33:36" ht="11.25" customHeight="1" x14ac:dyDescent="0.2">
      <c r="AG3573" s="19"/>
      <c r="AJ3573" s="410"/>
    </row>
    <row r="3574" spans="33:36" ht="11.25" customHeight="1" x14ac:dyDescent="0.2">
      <c r="AG3574" s="19"/>
      <c r="AJ3574" s="410"/>
    </row>
    <row r="3575" spans="33:36" ht="11.25" customHeight="1" x14ac:dyDescent="0.2">
      <c r="AG3575" s="19"/>
      <c r="AJ3575" s="410"/>
    </row>
    <row r="3576" spans="33:36" ht="11.25" customHeight="1" x14ac:dyDescent="0.2">
      <c r="AG3576" s="19"/>
      <c r="AJ3576" s="410"/>
    </row>
    <row r="3577" spans="33:36" ht="11.25" customHeight="1" x14ac:dyDescent="0.2">
      <c r="AG3577" s="19"/>
      <c r="AJ3577" s="410"/>
    </row>
    <row r="3578" spans="33:36" ht="11.25" customHeight="1" x14ac:dyDescent="0.2">
      <c r="AG3578" s="19"/>
      <c r="AJ3578" s="410"/>
    </row>
    <row r="3579" spans="33:36" ht="11.25" customHeight="1" x14ac:dyDescent="0.2">
      <c r="AG3579" s="19"/>
      <c r="AJ3579" s="410"/>
    </row>
    <row r="3580" spans="33:36" ht="11.25" customHeight="1" x14ac:dyDescent="0.2">
      <c r="AG3580" s="19"/>
      <c r="AJ3580" s="410"/>
    </row>
    <row r="3581" spans="33:36" ht="11.25" customHeight="1" x14ac:dyDescent="0.2">
      <c r="AG3581" s="19"/>
      <c r="AJ3581" s="410"/>
    </row>
    <row r="3582" spans="33:36" ht="11.25" customHeight="1" x14ac:dyDescent="0.2">
      <c r="AG3582" s="19"/>
      <c r="AJ3582" s="410"/>
    </row>
    <row r="3583" spans="33:36" ht="11.25" customHeight="1" x14ac:dyDescent="0.2">
      <c r="AG3583" s="19"/>
      <c r="AJ3583" s="410"/>
    </row>
    <row r="3584" spans="33:36" ht="11.25" customHeight="1" x14ac:dyDescent="0.2">
      <c r="AG3584" s="19"/>
      <c r="AJ3584" s="410"/>
    </row>
    <row r="3585" spans="33:36" ht="11.25" customHeight="1" x14ac:dyDescent="0.2">
      <c r="AG3585" s="19"/>
      <c r="AJ3585" s="410"/>
    </row>
    <row r="3586" spans="33:36" ht="11.25" customHeight="1" x14ac:dyDescent="0.2">
      <c r="AG3586" s="19"/>
      <c r="AJ3586" s="410"/>
    </row>
    <row r="3587" spans="33:36" ht="11.25" customHeight="1" x14ac:dyDescent="0.2">
      <c r="AG3587" s="19"/>
      <c r="AJ3587" s="410"/>
    </row>
    <row r="3588" spans="33:36" ht="11.25" customHeight="1" x14ac:dyDescent="0.2">
      <c r="AG3588" s="19"/>
      <c r="AJ3588" s="410"/>
    </row>
    <row r="3589" spans="33:36" ht="11.25" customHeight="1" x14ac:dyDescent="0.2">
      <c r="AG3589" s="19"/>
      <c r="AJ3589" s="410"/>
    </row>
    <row r="3590" spans="33:36" ht="11.25" customHeight="1" x14ac:dyDescent="0.2">
      <c r="AG3590" s="19"/>
      <c r="AJ3590" s="410"/>
    </row>
    <row r="3591" spans="33:36" ht="11.25" customHeight="1" x14ac:dyDescent="0.2">
      <c r="AG3591" s="19"/>
      <c r="AJ3591" s="410"/>
    </row>
    <row r="3592" spans="33:36" ht="11.25" customHeight="1" x14ac:dyDescent="0.2">
      <c r="AG3592" s="19"/>
      <c r="AJ3592" s="410"/>
    </row>
    <row r="3593" spans="33:36" ht="11.25" customHeight="1" x14ac:dyDescent="0.2">
      <c r="AG3593" s="19"/>
      <c r="AJ3593" s="410"/>
    </row>
    <row r="3594" spans="33:36" ht="11.25" customHeight="1" x14ac:dyDescent="0.2">
      <c r="AG3594" s="19"/>
      <c r="AJ3594" s="410"/>
    </row>
    <row r="3595" spans="33:36" ht="11.25" customHeight="1" x14ac:dyDescent="0.2">
      <c r="AG3595" s="19"/>
      <c r="AJ3595" s="410"/>
    </row>
    <row r="3596" spans="33:36" ht="11.25" customHeight="1" x14ac:dyDescent="0.2">
      <c r="AG3596" s="19"/>
      <c r="AJ3596" s="410"/>
    </row>
    <row r="3597" spans="33:36" ht="11.25" customHeight="1" x14ac:dyDescent="0.2">
      <c r="AG3597" s="19"/>
      <c r="AJ3597" s="410"/>
    </row>
    <row r="3598" spans="33:36" ht="11.25" customHeight="1" x14ac:dyDescent="0.2">
      <c r="AG3598" s="19"/>
      <c r="AJ3598" s="410"/>
    </row>
    <row r="3599" spans="33:36" ht="11.25" customHeight="1" x14ac:dyDescent="0.2">
      <c r="AG3599" s="19"/>
      <c r="AJ3599" s="410"/>
    </row>
    <row r="3600" spans="33:36" ht="11.25" customHeight="1" x14ac:dyDescent="0.2">
      <c r="AG3600" s="19"/>
      <c r="AJ3600" s="410"/>
    </row>
    <row r="3601" spans="33:36" ht="11.25" customHeight="1" x14ac:dyDescent="0.2">
      <c r="AG3601" s="19"/>
      <c r="AJ3601" s="410"/>
    </row>
    <row r="3602" spans="33:36" ht="11.25" customHeight="1" x14ac:dyDescent="0.2">
      <c r="AG3602" s="19"/>
      <c r="AJ3602" s="410"/>
    </row>
    <row r="3603" spans="33:36" ht="11.25" customHeight="1" x14ac:dyDescent="0.2">
      <c r="AG3603" s="19"/>
      <c r="AJ3603" s="410"/>
    </row>
    <row r="3604" spans="33:36" ht="11.25" customHeight="1" x14ac:dyDescent="0.2">
      <c r="AG3604" s="19"/>
      <c r="AJ3604" s="410"/>
    </row>
    <row r="3605" spans="33:36" ht="11.25" customHeight="1" x14ac:dyDescent="0.2">
      <c r="AG3605" s="19"/>
      <c r="AJ3605" s="410"/>
    </row>
    <row r="3606" spans="33:36" ht="11.25" customHeight="1" x14ac:dyDescent="0.2">
      <c r="AG3606" s="19"/>
      <c r="AJ3606" s="410"/>
    </row>
    <row r="3607" spans="33:36" ht="11.25" customHeight="1" x14ac:dyDescent="0.2">
      <c r="AG3607" s="19"/>
      <c r="AJ3607" s="410"/>
    </row>
    <row r="3608" spans="33:36" ht="11.25" customHeight="1" x14ac:dyDescent="0.2">
      <c r="AG3608" s="19"/>
      <c r="AJ3608" s="410"/>
    </row>
    <row r="3609" spans="33:36" ht="11.25" customHeight="1" x14ac:dyDescent="0.2">
      <c r="AG3609" s="19"/>
      <c r="AJ3609" s="410"/>
    </row>
    <row r="3610" spans="33:36" ht="11.25" customHeight="1" x14ac:dyDescent="0.2">
      <c r="AG3610" s="19"/>
      <c r="AJ3610" s="410"/>
    </row>
    <row r="3611" spans="33:36" ht="11.25" customHeight="1" x14ac:dyDescent="0.2">
      <c r="AG3611" s="19"/>
      <c r="AJ3611" s="410"/>
    </row>
    <row r="3612" spans="33:36" ht="11.25" customHeight="1" x14ac:dyDescent="0.2">
      <c r="AG3612" s="19"/>
      <c r="AJ3612" s="410"/>
    </row>
    <row r="3613" spans="33:36" ht="11.25" customHeight="1" x14ac:dyDescent="0.2">
      <c r="AG3613" s="19"/>
      <c r="AJ3613" s="410"/>
    </row>
    <row r="3614" spans="33:36" ht="11.25" customHeight="1" x14ac:dyDescent="0.2">
      <c r="AG3614" s="19"/>
      <c r="AJ3614" s="410"/>
    </row>
    <row r="3615" spans="33:36" ht="11.25" customHeight="1" x14ac:dyDescent="0.2">
      <c r="AG3615" s="19"/>
      <c r="AJ3615" s="410"/>
    </row>
    <row r="3616" spans="33:36" ht="11.25" customHeight="1" x14ac:dyDescent="0.2">
      <c r="AG3616" s="19"/>
      <c r="AJ3616" s="410"/>
    </row>
    <row r="3617" spans="33:36" ht="11.25" customHeight="1" x14ac:dyDescent="0.2">
      <c r="AG3617" s="19"/>
      <c r="AJ3617" s="410"/>
    </row>
    <row r="3618" spans="33:36" ht="11.25" customHeight="1" x14ac:dyDescent="0.2">
      <c r="AG3618" s="19"/>
      <c r="AJ3618" s="410"/>
    </row>
    <row r="3619" spans="33:36" ht="11.25" customHeight="1" x14ac:dyDescent="0.2">
      <c r="AG3619" s="19"/>
      <c r="AJ3619" s="410"/>
    </row>
    <row r="3620" spans="33:36" ht="11.25" customHeight="1" x14ac:dyDescent="0.2">
      <c r="AG3620" s="19"/>
      <c r="AJ3620" s="410"/>
    </row>
    <row r="3621" spans="33:36" ht="11.25" customHeight="1" x14ac:dyDescent="0.2">
      <c r="AG3621" s="19"/>
      <c r="AJ3621" s="410"/>
    </row>
    <row r="3622" spans="33:36" ht="11.25" customHeight="1" x14ac:dyDescent="0.2">
      <c r="AG3622" s="19"/>
      <c r="AJ3622" s="410"/>
    </row>
    <row r="3623" spans="33:36" ht="11.25" customHeight="1" x14ac:dyDescent="0.2">
      <c r="AG3623" s="19"/>
      <c r="AJ3623" s="410"/>
    </row>
    <row r="3624" spans="33:36" ht="11.25" customHeight="1" x14ac:dyDescent="0.2">
      <c r="AG3624" s="19"/>
      <c r="AJ3624" s="410"/>
    </row>
    <row r="3625" spans="33:36" ht="11.25" customHeight="1" x14ac:dyDescent="0.2">
      <c r="AG3625" s="19"/>
      <c r="AJ3625" s="410"/>
    </row>
    <row r="3626" spans="33:36" ht="11.25" customHeight="1" x14ac:dyDescent="0.2">
      <c r="AG3626" s="19"/>
      <c r="AJ3626" s="410"/>
    </row>
    <row r="3627" spans="33:36" ht="11.25" customHeight="1" x14ac:dyDescent="0.2">
      <c r="AG3627" s="19"/>
      <c r="AJ3627" s="410"/>
    </row>
    <row r="3628" spans="33:36" ht="11.25" customHeight="1" x14ac:dyDescent="0.2">
      <c r="AG3628" s="19"/>
      <c r="AJ3628" s="410"/>
    </row>
    <row r="3629" spans="33:36" ht="11.25" customHeight="1" x14ac:dyDescent="0.2">
      <c r="AG3629" s="19"/>
      <c r="AJ3629" s="410"/>
    </row>
    <row r="3630" spans="33:36" ht="11.25" customHeight="1" x14ac:dyDescent="0.2">
      <c r="AG3630" s="19"/>
      <c r="AJ3630" s="410"/>
    </row>
    <row r="3631" spans="33:36" ht="11.25" customHeight="1" x14ac:dyDescent="0.2">
      <c r="AG3631" s="19"/>
      <c r="AJ3631" s="410"/>
    </row>
    <row r="3632" spans="33:36" ht="11.25" customHeight="1" x14ac:dyDescent="0.2">
      <c r="AG3632" s="19"/>
      <c r="AJ3632" s="410"/>
    </row>
    <row r="3633" spans="33:36" ht="11.25" customHeight="1" x14ac:dyDescent="0.2">
      <c r="AG3633" s="19"/>
      <c r="AJ3633" s="410"/>
    </row>
    <row r="3634" spans="33:36" ht="11.25" customHeight="1" x14ac:dyDescent="0.2">
      <c r="AG3634" s="19"/>
      <c r="AJ3634" s="410"/>
    </row>
    <row r="3635" spans="33:36" ht="11.25" customHeight="1" x14ac:dyDescent="0.2">
      <c r="AG3635" s="19"/>
      <c r="AJ3635" s="410"/>
    </row>
    <row r="3636" spans="33:36" ht="11.25" customHeight="1" x14ac:dyDescent="0.2">
      <c r="AG3636" s="19"/>
      <c r="AJ3636" s="410"/>
    </row>
    <row r="3637" spans="33:36" ht="11.25" customHeight="1" x14ac:dyDescent="0.2">
      <c r="AG3637" s="19"/>
      <c r="AJ3637" s="410"/>
    </row>
    <row r="3638" spans="33:36" ht="11.25" customHeight="1" x14ac:dyDescent="0.2">
      <c r="AG3638" s="19"/>
      <c r="AJ3638" s="410"/>
    </row>
    <row r="3639" spans="33:36" ht="11.25" customHeight="1" x14ac:dyDescent="0.2">
      <c r="AG3639" s="19"/>
      <c r="AJ3639" s="410"/>
    </row>
    <row r="3640" spans="33:36" ht="11.25" customHeight="1" x14ac:dyDescent="0.2">
      <c r="AG3640" s="19"/>
      <c r="AJ3640" s="410"/>
    </row>
    <row r="3641" spans="33:36" ht="11.25" customHeight="1" x14ac:dyDescent="0.2">
      <c r="AG3641" s="19"/>
      <c r="AJ3641" s="410"/>
    </row>
    <row r="3642" spans="33:36" ht="11.25" customHeight="1" x14ac:dyDescent="0.2">
      <c r="AG3642" s="19"/>
      <c r="AJ3642" s="410"/>
    </row>
    <row r="3643" spans="33:36" ht="11.25" customHeight="1" x14ac:dyDescent="0.2">
      <c r="AG3643" s="19"/>
      <c r="AJ3643" s="410"/>
    </row>
    <row r="3644" spans="33:36" ht="11.25" customHeight="1" x14ac:dyDescent="0.2">
      <c r="AG3644" s="19"/>
      <c r="AJ3644" s="410"/>
    </row>
    <row r="3645" spans="33:36" ht="11.25" customHeight="1" x14ac:dyDescent="0.2">
      <c r="AG3645" s="19"/>
      <c r="AJ3645" s="410"/>
    </row>
    <row r="3646" spans="33:36" ht="11.25" customHeight="1" x14ac:dyDescent="0.2">
      <c r="AG3646" s="19"/>
      <c r="AJ3646" s="410"/>
    </row>
    <row r="3647" spans="33:36" ht="11.25" customHeight="1" x14ac:dyDescent="0.2">
      <c r="AG3647" s="19"/>
      <c r="AJ3647" s="410"/>
    </row>
    <row r="3648" spans="33:36" ht="11.25" customHeight="1" x14ac:dyDescent="0.2">
      <c r="AG3648" s="19"/>
      <c r="AJ3648" s="410"/>
    </row>
    <row r="3649" spans="33:36" ht="11.25" customHeight="1" x14ac:dyDescent="0.2">
      <c r="AG3649" s="19"/>
      <c r="AJ3649" s="410"/>
    </row>
    <row r="3650" spans="33:36" ht="11.25" customHeight="1" x14ac:dyDescent="0.2">
      <c r="AG3650" s="19"/>
      <c r="AJ3650" s="410"/>
    </row>
    <row r="3651" spans="33:36" ht="11.25" customHeight="1" x14ac:dyDescent="0.2">
      <c r="AG3651" s="19"/>
      <c r="AJ3651" s="410"/>
    </row>
    <row r="3652" spans="33:36" ht="11.25" customHeight="1" x14ac:dyDescent="0.2">
      <c r="AG3652" s="19"/>
      <c r="AJ3652" s="410"/>
    </row>
    <row r="3653" spans="33:36" ht="11.25" customHeight="1" x14ac:dyDescent="0.2">
      <c r="AG3653" s="19"/>
      <c r="AJ3653" s="410"/>
    </row>
    <row r="3654" spans="33:36" ht="11.25" customHeight="1" x14ac:dyDescent="0.2">
      <c r="AG3654" s="19"/>
      <c r="AJ3654" s="410"/>
    </row>
    <row r="3655" spans="33:36" ht="11.25" customHeight="1" x14ac:dyDescent="0.2">
      <c r="AG3655" s="19"/>
      <c r="AJ3655" s="410"/>
    </row>
    <row r="3656" spans="33:36" ht="11.25" customHeight="1" x14ac:dyDescent="0.2">
      <c r="AG3656" s="19"/>
      <c r="AJ3656" s="410"/>
    </row>
    <row r="3657" spans="33:36" ht="11.25" customHeight="1" x14ac:dyDescent="0.2">
      <c r="AG3657" s="19"/>
      <c r="AJ3657" s="410"/>
    </row>
    <row r="3658" spans="33:36" ht="11.25" customHeight="1" x14ac:dyDescent="0.2">
      <c r="AG3658" s="19"/>
      <c r="AJ3658" s="410"/>
    </row>
    <row r="3659" spans="33:36" ht="11.25" customHeight="1" x14ac:dyDescent="0.2">
      <c r="AG3659" s="19"/>
      <c r="AJ3659" s="410"/>
    </row>
    <row r="3660" spans="33:36" ht="11.25" customHeight="1" x14ac:dyDescent="0.2">
      <c r="AG3660" s="19"/>
      <c r="AJ3660" s="410"/>
    </row>
    <row r="3661" spans="33:36" ht="11.25" customHeight="1" x14ac:dyDescent="0.2">
      <c r="AG3661" s="19"/>
      <c r="AJ3661" s="410"/>
    </row>
    <row r="3662" spans="33:36" ht="11.25" customHeight="1" x14ac:dyDescent="0.2">
      <c r="AG3662" s="19"/>
      <c r="AJ3662" s="410"/>
    </row>
    <row r="3663" spans="33:36" ht="11.25" customHeight="1" x14ac:dyDescent="0.2">
      <c r="AG3663" s="19"/>
      <c r="AJ3663" s="410"/>
    </row>
    <row r="3664" spans="33:36" ht="11.25" customHeight="1" x14ac:dyDescent="0.2">
      <c r="AG3664" s="19"/>
      <c r="AJ3664" s="410"/>
    </row>
    <row r="3665" spans="33:36" ht="11.25" customHeight="1" x14ac:dyDescent="0.2">
      <c r="AG3665" s="19"/>
      <c r="AJ3665" s="410"/>
    </row>
    <row r="3666" spans="33:36" ht="11.25" customHeight="1" x14ac:dyDescent="0.2">
      <c r="AG3666" s="19"/>
      <c r="AJ3666" s="410"/>
    </row>
    <row r="3667" spans="33:36" ht="11.25" customHeight="1" x14ac:dyDescent="0.2">
      <c r="AG3667" s="19"/>
      <c r="AJ3667" s="410"/>
    </row>
    <row r="3668" spans="33:36" ht="11.25" customHeight="1" x14ac:dyDescent="0.2">
      <c r="AG3668" s="19"/>
      <c r="AJ3668" s="410"/>
    </row>
    <row r="3669" spans="33:36" ht="11.25" customHeight="1" x14ac:dyDescent="0.2">
      <c r="AG3669" s="19"/>
      <c r="AJ3669" s="410"/>
    </row>
    <row r="3670" spans="33:36" ht="11.25" customHeight="1" x14ac:dyDescent="0.2">
      <c r="AG3670" s="19"/>
      <c r="AJ3670" s="410"/>
    </row>
    <row r="3671" spans="33:36" ht="11.25" customHeight="1" x14ac:dyDescent="0.2">
      <c r="AG3671" s="19"/>
      <c r="AJ3671" s="410"/>
    </row>
    <row r="3672" spans="33:36" ht="11.25" customHeight="1" x14ac:dyDescent="0.2">
      <c r="AG3672" s="19"/>
      <c r="AJ3672" s="410"/>
    </row>
    <row r="3673" spans="33:36" ht="11.25" customHeight="1" x14ac:dyDescent="0.2">
      <c r="AG3673" s="19"/>
      <c r="AJ3673" s="410"/>
    </row>
    <row r="3674" spans="33:36" ht="11.25" customHeight="1" x14ac:dyDescent="0.2">
      <c r="AG3674" s="19"/>
      <c r="AJ3674" s="410"/>
    </row>
    <row r="3675" spans="33:36" ht="11.25" customHeight="1" x14ac:dyDescent="0.2">
      <c r="AG3675" s="19"/>
      <c r="AJ3675" s="410"/>
    </row>
    <row r="3676" spans="33:36" ht="11.25" customHeight="1" x14ac:dyDescent="0.2">
      <c r="AG3676" s="19"/>
      <c r="AJ3676" s="410"/>
    </row>
    <row r="3677" spans="33:36" ht="11.25" customHeight="1" x14ac:dyDescent="0.2">
      <c r="AG3677" s="19"/>
      <c r="AJ3677" s="410"/>
    </row>
    <row r="3678" spans="33:36" ht="11.25" customHeight="1" x14ac:dyDescent="0.2">
      <c r="AG3678" s="19"/>
      <c r="AJ3678" s="410"/>
    </row>
    <row r="3679" spans="33:36" ht="11.25" customHeight="1" x14ac:dyDescent="0.2">
      <c r="AG3679" s="19"/>
      <c r="AJ3679" s="410"/>
    </row>
    <row r="3680" spans="33:36" ht="11.25" customHeight="1" x14ac:dyDescent="0.2">
      <c r="AG3680" s="19"/>
      <c r="AJ3680" s="410"/>
    </row>
    <row r="3681" spans="33:36" ht="11.25" customHeight="1" x14ac:dyDescent="0.2">
      <c r="AG3681" s="19"/>
      <c r="AJ3681" s="410"/>
    </row>
    <row r="3682" spans="33:36" ht="11.25" customHeight="1" x14ac:dyDescent="0.2">
      <c r="AG3682" s="19"/>
      <c r="AJ3682" s="410"/>
    </row>
    <row r="3683" spans="33:36" ht="11.25" customHeight="1" x14ac:dyDescent="0.2">
      <c r="AG3683" s="19"/>
      <c r="AJ3683" s="410"/>
    </row>
    <row r="3684" spans="33:36" ht="11.25" customHeight="1" x14ac:dyDescent="0.2">
      <c r="AG3684" s="19"/>
      <c r="AJ3684" s="410"/>
    </row>
    <row r="3685" spans="33:36" ht="11.25" customHeight="1" x14ac:dyDescent="0.2">
      <c r="AG3685" s="19"/>
      <c r="AJ3685" s="410"/>
    </row>
    <row r="3686" spans="33:36" ht="11.25" customHeight="1" x14ac:dyDescent="0.2">
      <c r="AG3686" s="19"/>
      <c r="AJ3686" s="410"/>
    </row>
    <row r="3687" spans="33:36" ht="11.25" customHeight="1" x14ac:dyDescent="0.2">
      <c r="AG3687" s="19"/>
      <c r="AJ3687" s="410"/>
    </row>
    <row r="3688" spans="33:36" ht="11.25" customHeight="1" x14ac:dyDescent="0.2">
      <c r="AG3688" s="19"/>
      <c r="AJ3688" s="410"/>
    </row>
    <row r="3689" spans="33:36" ht="11.25" customHeight="1" x14ac:dyDescent="0.2">
      <c r="AG3689" s="19"/>
      <c r="AJ3689" s="410"/>
    </row>
    <row r="3690" spans="33:36" ht="11.25" customHeight="1" x14ac:dyDescent="0.2">
      <c r="AG3690" s="19"/>
      <c r="AJ3690" s="410"/>
    </row>
    <row r="3691" spans="33:36" ht="11.25" customHeight="1" x14ac:dyDescent="0.2">
      <c r="AG3691" s="19"/>
      <c r="AJ3691" s="410"/>
    </row>
    <row r="3692" spans="33:36" ht="11.25" customHeight="1" x14ac:dyDescent="0.2">
      <c r="AG3692" s="19"/>
      <c r="AJ3692" s="410"/>
    </row>
    <row r="3693" spans="33:36" ht="11.25" customHeight="1" x14ac:dyDescent="0.2">
      <c r="AG3693" s="19"/>
      <c r="AJ3693" s="410"/>
    </row>
    <row r="3694" spans="33:36" ht="11.25" customHeight="1" x14ac:dyDescent="0.2">
      <c r="AG3694" s="19"/>
      <c r="AJ3694" s="410"/>
    </row>
    <row r="3695" spans="33:36" ht="11.25" customHeight="1" x14ac:dyDescent="0.2">
      <c r="AG3695" s="19"/>
      <c r="AJ3695" s="410"/>
    </row>
    <row r="3696" spans="33:36" ht="11.25" customHeight="1" x14ac:dyDescent="0.2">
      <c r="AG3696" s="19"/>
      <c r="AJ3696" s="410"/>
    </row>
    <row r="3697" spans="33:36" ht="11.25" customHeight="1" x14ac:dyDescent="0.2">
      <c r="AG3697" s="19"/>
      <c r="AJ3697" s="410"/>
    </row>
    <row r="3698" spans="33:36" ht="11.25" customHeight="1" x14ac:dyDescent="0.2">
      <c r="AG3698" s="19"/>
      <c r="AJ3698" s="410"/>
    </row>
    <row r="3699" spans="33:36" ht="11.25" customHeight="1" x14ac:dyDescent="0.2">
      <c r="AG3699" s="19"/>
      <c r="AJ3699" s="410"/>
    </row>
    <row r="3700" spans="33:36" ht="11.25" customHeight="1" x14ac:dyDescent="0.2">
      <c r="AG3700" s="19"/>
      <c r="AJ3700" s="410"/>
    </row>
    <row r="3701" spans="33:36" ht="11.25" customHeight="1" x14ac:dyDescent="0.2">
      <c r="AG3701" s="19"/>
      <c r="AJ3701" s="410"/>
    </row>
    <row r="3702" spans="33:36" ht="11.25" customHeight="1" x14ac:dyDescent="0.2">
      <c r="AG3702" s="19"/>
      <c r="AJ3702" s="410"/>
    </row>
    <row r="3703" spans="33:36" ht="11.25" customHeight="1" x14ac:dyDescent="0.2">
      <c r="AG3703" s="19"/>
      <c r="AJ3703" s="410"/>
    </row>
    <row r="3704" spans="33:36" ht="11.25" customHeight="1" x14ac:dyDescent="0.2">
      <c r="AG3704" s="19"/>
      <c r="AJ3704" s="410"/>
    </row>
    <row r="3705" spans="33:36" ht="11.25" customHeight="1" x14ac:dyDescent="0.2">
      <c r="AG3705" s="19"/>
      <c r="AJ3705" s="410"/>
    </row>
    <row r="3706" spans="33:36" ht="11.25" customHeight="1" x14ac:dyDescent="0.2">
      <c r="AG3706" s="19"/>
      <c r="AJ3706" s="410"/>
    </row>
    <row r="3707" spans="33:36" ht="11.25" customHeight="1" x14ac:dyDescent="0.2">
      <c r="AG3707" s="19"/>
      <c r="AJ3707" s="410"/>
    </row>
    <row r="3708" spans="33:36" ht="11.25" customHeight="1" x14ac:dyDescent="0.2">
      <c r="AG3708" s="19"/>
      <c r="AJ3708" s="410"/>
    </row>
    <row r="3709" spans="33:36" ht="11.25" customHeight="1" x14ac:dyDescent="0.2">
      <c r="AG3709" s="19"/>
      <c r="AJ3709" s="410"/>
    </row>
    <row r="3710" spans="33:36" ht="11.25" customHeight="1" x14ac:dyDescent="0.2">
      <c r="AG3710" s="19"/>
      <c r="AJ3710" s="410"/>
    </row>
    <row r="3711" spans="33:36" ht="11.25" customHeight="1" x14ac:dyDescent="0.2">
      <c r="AG3711" s="19"/>
      <c r="AJ3711" s="410"/>
    </row>
    <row r="3712" spans="33:36" ht="11.25" customHeight="1" x14ac:dyDescent="0.2">
      <c r="AG3712" s="19"/>
      <c r="AJ3712" s="410"/>
    </row>
    <row r="3713" spans="33:36" ht="11.25" customHeight="1" x14ac:dyDescent="0.2">
      <c r="AG3713" s="19"/>
      <c r="AJ3713" s="410"/>
    </row>
    <row r="3714" spans="33:36" ht="11.25" customHeight="1" x14ac:dyDescent="0.2">
      <c r="AG3714" s="19"/>
      <c r="AJ3714" s="410"/>
    </row>
    <row r="3715" spans="33:36" ht="11.25" customHeight="1" x14ac:dyDescent="0.2">
      <c r="AG3715" s="19"/>
      <c r="AJ3715" s="410"/>
    </row>
    <row r="3716" spans="33:36" ht="11.25" customHeight="1" x14ac:dyDescent="0.2">
      <c r="AG3716" s="19"/>
      <c r="AJ3716" s="410"/>
    </row>
    <row r="3717" spans="33:36" ht="11.25" customHeight="1" x14ac:dyDescent="0.2">
      <c r="AG3717" s="19"/>
      <c r="AJ3717" s="410"/>
    </row>
    <row r="3718" spans="33:36" ht="11.25" customHeight="1" x14ac:dyDescent="0.2">
      <c r="AG3718" s="19"/>
      <c r="AJ3718" s="410"/>
    </row>
    <row r="3719" spans="33:36" ht="11.25" customHeight="1" x14ac:dyDescent="0.2">
      <c r="AG3719" s="19"/>
      <c r="AJ3719" s="410"/>
    </row>
    <row r="3720" spans="33:36" ht="11.25" customHeight="1" x14ac:dyDescent="0.2">
      <c r="AG3720" s="19"/>
      <c r="AJ3720" s="410"/>
    </row>
    <row r="3721" spans="33:36" ht="11.25" customHeight="1" x14ac:dyDescent="0.2">
      <c r="AG3721" s="19"/>
      <c r="AJ3721" s="410"/>
    </row>
    <row r="3722" spans="33:36" ht="11.25" customHeight="1" x14ac:dyDescent="0.2">
      <c r="AG3722" s="19"/>
      <c r="AJ3722" s="410"/>
    </row>
    <row r="3723" spans="33:36" ht="11.25" customHeight="1" x14ac:dyDescent="0.2">
      <c r="AG3723" s="19"/>
      <c r="AJ3723" s="410"/>
    </row>
    <row r="3724" spans="33:36" ht="11.25" customHeight="1" x14ac:dyDescent="0.2">
      <c r="AG3724" s="19"/>
      <c r="AJ3724" s="410"/>
    </row>
    <row r="3725" spans="33:36" ht="11.25" customHeight="1" x14ac:dyDescent="0.2">
      <c r="AG3725" s="19"/>
      <c r="AJ3725" s="410"/>
    </row>
    <row r="3726" spans="33:36" ht="11.25" customHeight="1" x14ac:dyDescent="0.2">
      <c r="AG3726" s="19"/>
      <c r="AJ3726" s="410"/>
    </row>
    <row r="3727" spans="33:36" ht="11.25" customHeight="1" x14ac:dyDescent="0.2">
      <c r="AG3727" s="19"/>
      <c r="AJ3727" s="410"/>
    </row>
    <row r="3728" spans="33:36" ht="11.25" customHeight="1" x14ac:dyDescent="0.2">
      <c r="AG3728" s="19"/>
      <c r="AJ3728" s="410"/>
    </row>
    <row r="3729" spans="33:36" ht="11.25" customHeight="1" x14ac:dyDescent="0.2">
      <c r="AG3729" s="19"/>
      <c r="AJ3729" s="410"/>
    </row>
    <row r="3730" spans="33:36" ht="11.25" customHeight="1" x14ac:dyDescent="0.2">
      <c r="AG3730" s="19"/>
      <c r="AJ3730" s="410"/>
    </row>
    <row r="3731" spans="33:36" ht="11.25" customHeight="1" x14ac:dyDescent="0.2">
      <c r="AG3731" s="19"/>
      <c r="AJ3731" s="410"/>
    </row>
    <row r="3732" spans="33:36" ht="11.25" customHeight="1" x14ac:dyDescent="0.2">
      <c r="AG3732" s="19"/>
      <c r="AJ3732" s="410"/>
    </row>
    <row r="3733" spans="33:36" ht="11.25" customHeight="1" x14ac:dyDescent="0.2">
      <c r="AG3733" s="19"/>
      <c r="AJ3733" s="410"/>
    </row>
    <row r="3734" spans="33:36" ht="11.25" customHeight="1" x14ac:dyDescent="0.2">
      <c r="AG3734" s="19"/>
      <c r="AJ3734" s="410"/>
    </row>
    <row r="3735" spans="33:36" ht="11.25" customHeight="1" x14ac:dyDescent="0.2">
      <c r="AG3735" s="19"/>
      <c r="AJ3735" s="410"/>
    </row>
    <row r="3736" spans="33:36" ht="11.25" customHeight="1" x14ac:dyDescent="0.2">
      <c r="AG3736" s="19"/>
      <c r="AJ3736" s="410"/>
    </row>
    <row r="3737" spans="33:36" ht="11.25" customHeight="1" x14ac:dyDescent="0.2">
      <c r="AG3737" s="19"/>
      <c r="AJ3737" s="410"/>
    </row>
    <row r="3738" spans="33:36" ht="11.25" customHeight="1" x14ac:dyDescent="0.2">
      <c r="AG3738" s="19"/>
      <c r="AJ3738" s="410"/>
    </row>
    <row r="3739" spans="33:36" ht="11.25" customHeight="1" x14ac:dyDescent="0.2">
      <c r="AG3739" s="19"/>
      <c r="AJ3739" s="410"/>
    </row>
    <row r="3740" spans="33:36" ht="11.25" customHeight="1" x14ac:dyDescent="0.2">
      <c r="AG3740" s="19"/>
      <c r="AJ3740" s="410"/>
    </row>
    <row r="3741" spans="33:36" ht="11.25" customHeight="1" x14ac:dyDescent="0.2">
      <c r="AG3741" s="19"/>
      <c r="AJ3741" s="410"/>
    </row>
    <row r="3742" spans="33:36" ht="11.25" customHeight="1" x14ac:dyDescent="0.2">
      <c r="AG3742" s="19"/>
      <c r="AJ3742" s="410"/>
    </row>
    <row r="3743" spans="33:36" ht="11.25" customHeight="1" x14ac:dyDescent="0.2">
      <c r="AG3743" s="19"/>
      <c r="AJ3743" s="410"/>
    </row>
    <row r="3744" spans="33:36" ht="11.25" customHeight="1" x14ac:dyDescent="0.2">
      <c r="AG3744" s="19"/>
      <c r="AJ3744" s="410"/>
    </row>
    <row r="3745" spans="33:36" ht="11.25" customHeight="1" x14ac:dyDescent="0.2">
      <c r="AG3745" s="19"/>
      <c r="AJ3745" s="410"/>
    </row>
    <row r="3746" spans="33:36" ht="11.25" customHeight="1" x14ac:dyDescent="0.2">
      <c r="AG3746" s="19"/>
      <c r="AJ3746" s="410"/>
    </row>
    <row r="3747" spans="33:36" ht="11.25" customHeight="1" x14ac:dyDescent="0.2">
      <c r="AG3747" s="19"/>
      <c r="AJ3747" s="410"/>
    </row>
    <row r="3748" spans="33:36" ht="11.25" customHeight="1" x14ac:dyDescent="0.2">
      <c r="AG3748" s="19"/>
      <c r="AJ3748" s="410"/>
    </row>
    <row r="3749" spans="33:36" ht="11.25" customHeight="1" x14ac:dyDescent="0.2">
      <c r="AG3749" s="19"/>
      <c r="AJ3749" s="410"/>
    </row>
    <row r="3750" spans="33:36" ht="11.25" customHeight="1" x14ac:dyDescent="0.2">
      <c r="AG3750" s="19"/>
      <c r="AJ3750" s="410"/>
    </row>
    <row r="3751" spans="33:36" ht="11.25" customHeight="1" x14ac:dyDescent="0.2">
      <c r="AG3751" s="19"/>
      <c r="AJ3751" s="410"/>
    </row>
    <row r="3752" spans="33:36" ht="11.25" customHeight="1" x14ac:dyDescent="0.2">
      <c r="AG3752" s="19"/>
      <c r="AJ3752" s="410"/>
    </row>
    <row r="3753" spans="33:36" ht="11.25" customHeight="1" x14ac:dyDescent="0.2">
      <c r="AG3753" s="19"/>
      <c r="AJ3753" s="410"/>
    </row>
    <row r="3754" spans="33:36" ht="11.25" customHeight="1" x14ac:dyDescent="0.2">
      <c r="AG3754" s="19"/>
      <c r="AJ3754" s="410"/>
    </row>
    <row r="3755" spans="33:36" ht="11.25" customHeight="1" x14ac:dyDescent="0.2">
      <c r="AG3755" s="19"/>
      <c r="AJ3755" s="410"/>
    </row>
    <row r="3756" spans="33:36" ht="11.25" customHeight="1" x14ac:dyDescent="0.2">
      <c r="AG3756" s="19"/>
      <c r="AJ3756" s="410"/>
    </row>
    <row r="3757" spans="33:36" ht="11.25" customHeight="1" x14ac:dyDescent="0.2">
      <c r="AG3757" s="19"/>
      <c r="AJ3757" s="410"/>
    </row>
    <row r="3758" spans="33:36" ht="11.25" customHeight="1" x14ac:dyDescent="0.2">
      <c r="AG3758" s="19"/>
      <c r="AJ3758" s="410"/>
    </row>
    <row r="3759" spans="33:36" ht="11.25" customHeight="1" x14ac:dyDescent="0.2">
      <c r="AG3759" s="19"/>
      <c r="AJ3759" s="410"/>
    </row>
    <row r="3760" spans="33:36" ht="11.25" customHeight="1" x14ac:dyDescent="0.2">
      <c r="AG3760" s="19"/>
      <c r="AJ3760" s="410"/>
    </row>
    <row r="3761" spans="33:36" ht="11.25" customHeight="1" x14ac:dyDescent="0.2">
      <c r="AG3761" s="19"/>
      <c r="AJ3761" s="410"/>
    </row>
    <row r="3762" spans="33:36" ht="11.25" customHeight="1" x14ac:dyDescent="0.2">
      <c r="AG3762" s="19"/>
      <c r="AJ3762" s="410"/>
    </row>
    <row r="3763" spans="33:36" ht="11.25" customHeight="1" x14ac:dyDescent="0.2">
      <c r="AG3763" s="19"/>
      <c r="AJ3763" s="410"/>
    </row>
    <row r="3764" spans="33:36" ht="11.25" customHeight="1" x14ac:dyDescent="0.2">
      <c r="AG3764" s="19"/>
      <c r="AJ3764" s="410"/>
    </row>
    <row r="3765" spans="33:36" ht="11.25" customHeight="1" x14ac:dyDescent="0.2">
      <c r="AG3765" s="19"/>
      <c r="AJ3765" s="410"/>
    </row>
    <row r="3766" spans="33:36" ht="11.25" customHeight="1" x14ac:dyDescent="0.2">
      <c r="AG3766" s="19"/>
      <c r="AJ3766" s="410"/>
    </row>
    <row r="3767" spans="33:36" ht="11.25" customHeight="1" x14ac:dyDescent="0.2">
      <c r="AG3767" s="19"/>
      <c r="AJ3767" s="410"/>
    </row>
    <row r="3768" spans="33:36" ht="11.25" customHeight="1" x14ac:dyDescent="0.2">
      <c r="AG3768" s="19"/>
      <c r="AJ3768" s="410"/>
    </row>
    <row r="3769" spans="33:36" ht="11.25" customHeight="1" x14ac:dyDescent="0.2">
      <c r="AG3769" s="19"/>
      <c r="AJ3769" s="410"/>
    </row>
    <row r="3770" spans="33:36" ht="11.25" customHeight="1" x14ac:dyDescent="0.2">
      <c r="AG3770" s="19"/>
      <c r="AJ3770" s="410"/>
    </row>
    <row r="3771" spans="33:36" ht="11.25" customHeight="1" x14ac:dyDescent="0.2">
      <c r="AG3771" s="19"/>
      <c r="AJ3771" s="410"/>
    </row>
    <row r="3772" spans="33:36" ht="11.25" customHeight="1" x14ac:dyDescent="0.2">
      <c r="AG3772" s="19"/>
      <c r="AJ3772" s="410"/>
    </row>
    <row r="3773" spans="33:36" ht="11.25" customHeight="1" x14ac:dyDescent="0.2">
      <c r="AG3773" s="19"/>
      <c r="AJ3773" s="410"/>
    </row>
    <row r="3774" spans="33:36" ht="11.25" customHeight="1" x14ac:dyDescent="0.2">
      <c r="AG3774" s="19"/>
      <c r="AJ3774" s="410"/>
    </row>
    <row r="3775" spans="33:36" ht="11.25" customHeight="1" x14ac:dyDescent="0.2">
      <c r="AG3775" s="19"/>
      <c r="AJ3775" s="410"/>
    </row>
    <row r="3776" spans="33:36" ht="11.25" customHeight="1" x14ac:dyDescent="0.2">
      <c r="AG3776" s="19"/>
      <c r="AJ3776" s="410"/>
    </row>
    <row r="3777" spans="33:36" ht="11.25" customHeight="1" x14ac:dyDescent="0.2">
      <c r="AG3777" s="19"/>
      <c r="AJ3777" s="410"/>
    </row>
    <row r="3778" spans="33:36" ht="11.25" customHeight="1" x14ac:dyDescent="0.2">
      <c r="AG3778" s="19"/>
      <c r="AJ3778" s="410"/>
    </row>
    <row r="3779" spans="33:36" ht="11.25" customHeight="1" x14ac:dyDescent="0.2">
      <c r="AG3779" s="19"/>
      <c r="AJ3779" s="410"/>
    </row>
    <row r="3780" spans="33:36" ht="11.25" customHeight="1" x14ac:dyDescent="0.2">
      <c r="AG3780" s="19"/>
      <c r="AJ3780" s="410"/>
    </row>
    <row r="3781" spans="33:36" ht="11.25" customHeight="1" x14ac:dyDescent="0.2">
      <c r="AG3781" s="19"/>
      <c r="AJ3781" s="410"/>
    </row>
    <row r="3782" spans="33:36" ht="11.25" customHeight="1" x14ac:dyDescent="0.2">
      <c r="AG3782" s="19"/>
      <c r="AJ3782" s="410"/>
    </row>
    <row r="3783" spans="33:36" ht="11.25" customHeight="1" x14ac:dyDescent="0.2">
      <c r="AG3783" s="19"/>
      <c r="AJ3783" s="410"/>
    </row>
    <row r="3784" spans="33:36" ht="11.25" customHeight="1" x14ac:dyDescent="0.2">
      <c r="AG3784" s="19"/>
      <c r="AJ3784" s="410"/>
    </row>
    <row r="3785" spans="33:36" ht="11.25" customHeight="1" x14ac:dyDescent="0.2">
      <c r="AG3785" s="19"/>
      <c r="AJ3785" s="410"/>
    </row>
    <row r="3786" spans="33:36" ht="11.25" customHeight="1" x14ac:dyDescent="0.2">
      <c r="AG3786" s="19"/>
      <c r="AJ3786" s="410"/>
    </row>
    <row r="3787" spans="33:36" ht="11.25" customHeight="1" x14ac:dyDescent="0.2">
      <c r="AG3787" s="19"/>
      <c r="AJ3787" s="410"/>
    </row>
    <row r="3788" spans="33:36" ht="11.25" customHeight="1" x14ac:dyDescent="0.2">
      <c r="AG3788" s="19"/>
      <c r="AJ3788" s="410"/>
    </row>
    <row r="3789" spans="33:36" ht="11.25" customHeight="1" x14ac:dyDescent="0.2">
      <c r="AG3789" s="19"/>
      <c r="AJ3789" s="410"/>
    </row>
    <row r="3790" spans="33:36" ht="11.25" customHeight="1" x14ac:dyDescent="0.2">
      <c r="AG3790" s="19"/>
      <c r="AJ3790" s="410"/>
    </row>
    <row r="3791" spans="33:36" ht="11.25" customHeight="1" x14ac:dyDescent="0.2">
      <c r="AG3791" s="19"/>
      <c r="AJ3791" s="410"/>
    </row>
    <row r="3792" spans="33:36" ht="11.25" customHeight="1" x14ac:dyDescent="0.2">
      <c r="AG3792" s="19"/>
      <c r="AJ3792" s="410"/>
    </row>
    <row r="3793" spans="33:36" ht="11.25" customHeight="1" x14ac:dyDescent="0.2">
      <c r="AG3793" s="19"/>
      <c r="AJ3793" s="410"/>
    </row>
    <row r="3794" spans="33:36" ht="11.25" customHeight="1" x14ac:dyDescent="0.2">
      <c r="AG3794" s="19"/>
      <c r="AJ3794" s="410"/>
    </row>
    <row r="3795" spans="33:36" ht="11.25" customHeight="1" x14ac:dyDescent="0.2">
      <c r="AG3795" s="19"/>
      <c r="AJ3795" s="410"/>
    </row>
    <row r="3796" spans="33:36" ht="11.25" customHeight="1" x14ac:dyDescent="0.2">
      <c r="AG3796" s="19"/>
      <c r="AJ3796" s="410"/>
    </row>
    <row r="3797" spans="33:36" ht="11.25" customHeight="1" x14ac:dyDescent="0.2">
      <c r="AG3797" s="19"/>
      <c r="AJ3797" s="410"/>
    </row>
    <row r="3798" spans="33:36" ht="11.25" customHeight="1" x14ac:dyDescent="0.2">
      <c r="AG3798" s="19"/>
      <c r="AJ3798" s="410"/>
    </row>
    <row r="3799" spans="33:36" ht="11.25" customHeight="1" x14ac:dyDescent="0.2">
      <c r="AG3799" s="19"/>
      <c r="AJ3799" s="410"/>
    </row>
    <row r="3800" spans="33:36" ht="11.25" customHeight="1" x14ac:dyDescent="0.2">
      <c r="AG3800" s="19"/>
      <c r="AJ3800" s="410"/>
    </row>
    <row r="3801" spans="33:36" ht="11.25" customHeight="1" x14ac:dyDescent="0.2">
      <c r="AG3801" s="19"/>
      <c r="AJ3801" s="410"/>
    </row>
    <row r="3802" spans="33:36" ht="11.25" customHeight="1" x14ac:dyDescent="0.2">
      <c r="AG3802" s="19"/>
      <c r="AJ3802" s="410"/>
    </row>
    <row r="3803" spans="33:36" ht="11.25" customHeight="1" x14ac:dyDescent="0.2">
      <c r="AG3803" s="19"/>
      <c r="AJ3803" s="410"/>
    </row>
    <row r="3804" spans="33:36" ht="11.25" customHeight="1" x14ac:dyDescent="0.2">
      <c r="AG3804" s="19"/>
      <c r="AJ3804" s="410"/>
    </row>
    <row r="3805" spans="33:36" ht="11.25" customHeight="1" x14ac:dyDescent="0.2">
      <c r="AG3805" s="19"/>
      <c r="AJ3805" s="410"/>
    </row>
    <row r="3806" spans="33:36" ht="11.25" customHeight="1" x14ac:dyDescent="0.2">
      <c r="AG3806" s="19"/>
      <c r="AJ3806" s="410"/>
    </row>
    <row r="3807" spans="33:36" ht="11.25" customHeight="1" x14ac:dyDescent="0.2">
      <c r="AG3807" s="19"/>
      <c r="AJ3807" s="410"/>
    </row>
    <row r="3808" spans="33:36" ht="11.25" customHeight="1" x14ac:dyDescent="0.2">
      <c r="AG3808" s="19"/>
      <c r="AJ3808" s="410"/>
    </row>
    <row r="3809" spans="33:36" ht="11.25" customHeight="1" x14ac:dyDescent="0.2">
      <c r="AG3809" s="19"/>
      <c r="AJ3809" s="410"/>
    </row>
    <row r="3810" spans="33:36" ht="11.25" customHeight="1" x14ac:dyDescent="0.2">
      <c r="AG3810" s="19"/>
      <c r="AJ3810" s="410"/>
    </row>
    <row r="3811" spans="33:36" ht="11.25" customHeight="1" x14ac:dyDescent="0.2">
      <c r="AG3811" s="19"/>
      <c r="AJ3811" s="410"/>
    </row>
    <row r="3812" spans="33:36" ht="11.25" customHeight="1" x14ac:dyDescent="0.2">
      <c r="AG3812" s="19"/>
      <c r="AJ3812" s="410"/>
    </row>
    <row r="3813" spans="33:36" ht="11.25" customHeight="1" x14ac:dyDescent="0.2">
      <c r="AG3813" s="19"/>
      <c r="AJ3813" s="410"/>
    </row>
    <row r="3814" spans="33:36" ht="11.25" customHeight="1" x14ac:dyDescent="0.2">
      <c r="AG3814" s="19"/>
      <c r="AJ3814" s="410"/>
    </row>
    <row r="3815" spans="33:36" ht="11.25" customHeight="1" x14ac:dyDescent="0.2">
      <c r="AG3815" s="19"/>
      <c r="AJ3815" s="410"/>
    </row>
    <row r="3816" spans="33:36" ht="11.25" customHeight="1" x14ac:dyDescent="0.2">
      <c r="AG3816" s="19"/>
      <c r="AJ3816" s="410"/>
    </row>
    <row r="3817" spans="33:36" ht="11.25" customHeight="1" x14ac:dyDescent="0.2">
      <c r="AG3817" s="19"/>
      <c r="AJ3817" s="410"/>
    </row>
    <row r="3818" spans="33:36" ht="11.25" customHeight="1" x14ac:dyDescent="0.2">
      <c r="AG3818" s="19"/>
      <c r="AJ3818" s="410"/>
    </row>
    <row r="3819" spans="33:36" ht="11.25" customHeight="1" x14ac:dyDescent="0.2">
      <c r="AG3819" s="19"/>
      <c r="AJ3819" s="410"/>
    </row>
    <row r="3820" spans="33:36" ht="11.25" customHeight="1" x14ac:dyDescent="0.2">
      <c r="AG3820" s="19"/>
      <c r="AJ3820" s="410"/>
    </row>
    <row r="3821" spans="33:36" ht="11.25" customHeight="1" x14ac:dyDescent="0.2">
      <c r="AG3821" s="19"/>
      <c r="AJ3821" s="410"/>
    </row>
    <row r="3822" spans="33:36" ht="11.25" customHeight="1" x14ac:dyDescent="0.2">
      <c r="AG3822" s="19"/>
      <c r="AJ3822" s="410"/>
    </row>
    <row r="3823" spans="33:36" ht="11.25" customHeight="1" x14ac:dyDescent="0.2">
      <c r="AG3823" s="19"/>
      <c r="AJ3823" s="410"/>
    </row>
    <row r="3824" spans="33:36" ht="11.25" customHeight="1" x14ac:dyDescent="0.2">
      <c r="AG3824" s="19"/>
      <c r="AJ3824" s="410"/>
    </row>
    <row r="3825" spans="33:36" ht="11.25" customHeight="1" x14ac:dyDescent="0.2">
      <c r="AG3825" s="19"/>
      <c r="AJ3825" s="410"/>
    </row>
    <row r="3826" spans="33:36" ht="11.25" customHeight="1" x14ac:dyDescent="0.2">
      <c r="AG3826" s="19"/>
      <c r="AJ3826" s="410"/>
    </row>
    <row r="3827" spans="33:36" ht="11.25" customHeight="1" x14ac:dyDescent="0.2">
      <c r="AG3827" s="19"/>
      <c r="AJ3827" s="410"/>
    </row>
    <row r="3828" spans="33:36" ht="11.25" customHeight="1" x14ac:dyDescent="0.2">
      <c r="AG3828" s="19"/>
      <c r="AJ3828" s="410"/>
    </row>
    <row r="3829" spans="33:36" ht="11.25" customHeight="1" x14ac:dyDescent="0.2">
      <c r="AG3829" s="19"/>
      <c r="AJ3829" s="410"/>
    </row>
    <row r="3830" spans="33:36" ht="11.25" customHeight="1" x14ac:dyDescent="0.2">
      <c r="AG3830" s="19"/>
      <c r="AJ3830" s="410"/>
    </row>
    <row r="3831" spans="33:36" ht="11.25" customHeight="1" x14ac:dyDescent="0.2">
      <c r="AG3831" s="19"/>
      <c r="AJ3831" s="410"/>
    </row>
    <row r="3832" spans="33:36" ht="11.25" customHeight="1" x14ac:dyDescent="0.2">
      <c r="AG3832" s="19"/>
      <c r="AJ3832" s="410"/>
    </row>
    <row r="3833" spans="33:36" ht="11.25" customHeight="1" x14ac:dyDescent="0.2">
      <c r="AG3833" s="19"/>
      <c r="AJ3833" s="410"/>
    </row>
    <row r="3834" spans="33:36" ht="11.25" customHeight="1" x14ac:dyDescent="0.2">
      <c r="AG3834" s="19"/>
      <c r="AJ3834" s="410"/>
    </row>
    <row r="3835" spans="33:36" ht="11.25" customHeight="1" x14ac:dyDescent="0.2">
      <c r="AG3835" s="19"/>
      <c r="AJ3835" s="410"/>
    </row>
    <row r="3836" spans="33:36" ht="11.25" customHeight="1" x14ac:dyDescent="0.2">
      <c r="AG3836" s="19"/>
      <c r="AJ3836" s="410"/>
    </row>
    <row r="3837" spans="33:36" ht="11.25" customHeight="1" x14ac:dyDescent="0.2">
      <c r="AG3837" s="19"/>
      <c r="AJ3837" s="410"/>
    </row>
    <row r="3838" spans="33:36" ht="11.25" customHeight="1" x14ac:dyDescent="0.2">
      <c r="AG3838" s="19"/>
      <c r="AJ3838" s="410"/>
    </row>
    <row r="3839" spans="33:36" ht="11.25" customHeight="1" x14ac:dyDescent="0.2">
      <c r="AG3839" s="19"/>
      <c r="AJ3839" s="410"/>
    </row>
    <row r="3840" spans="33:36" ht="11.25" customHeight="1" x14ac:dyDescent="0.2">
      <c r="AG3840" s="19"/>
      <c r="AJ3840" s="410"/>
    </row>
    <row r="3841" spans="33:36" ht="11.25" customHeight="1" x14ac:dyDescent="0.2">
      <c r="AG3841" s="19"/>
      <c r="AJ3841" s="410"/>
    </row>
    <row r="3842" spans="33:36" ht="11.25" customHeight="1" x14ac:dyDescent="0.2">
      <c r="AG3842" s="19"/>
      <c r="AJ3842" s="410"/>
    </row>
    <row r="3843" spans="33:36" ht="11.25" customHeight="1" x14ac:dyDescent="0.2">
      <c r="AG3843" s="19"/>
      <c r="AJ3843" s="410"/>
    </row>
    <row r="3844" spans="33:36" ht="11.25" customHeight="1" x14ac:dyDescent="0.2">
      <c r="AG3844" s="19"/>
      <c r="AJ3844" s="410"/>
    </row>
    <row r="3845" spans="33:36" ht="11.25" customHeight="1" x14ac:dyDescent="0.2">
      <c r="AG3845" s="19"/>
      <c r="AJ3845" s="410"/>
    </row>
    <row r="3846" spans="33:36" ht="11.25" customHeight="1" x14ac:dyDescent="0.2">
      <c r="AG3846" s="19"/>
      <c r="AJ3846" s="410"/>
    </row>
    <row r="3847" spans="33:36" ht="11.25" customHeight="1" x14ac:dyDescent="0.2">
      <c r="AG3847" s="19"/>
      <c r="AJ3847" s="410"/>
    </row>
    <row r="3848" spans="33:36" ht="11.25" customHeight="1" x14ac:dyDescent="0.2">
      <c r="AG3848" s="19"/>
      <c r="AJ3848" s="410"/>
    </row>
    <row r="3849" spans="33:36" ht="11.25" customHeight="1" x14ac:dyDescent="0.2">
      <c r="AG3849" s="19"/>
      <c r="AJ3849" s="410"/>
    </row>
    <row r="3850" spans="33:36" ht="11.25" customHeight="1" x14ac:dyDescent="0.2">
      <c r="AG3850" s="19"/>
      <c r="AJ3850" s="410"/>
    </row>
    <row r="3851" spans="33:36" ht="11.25" customHeight="1" x14ac:dyDescent="0.2">
      <c r="AG3851" s="19"/>
      <c r="AJ3851" s="410"/>
    </row>
    <row r="3852" spans="33:36" ht="11.25" customHeight="1" x14ac:dyDescent="0.2">
      <c r="AG3852" s="19"/>
      <c r="AJ3852" s="410"/>
    </row>
    <row r="3853" spans="33:36" ht="11.25" customHeight="1" x14ac:dyDescent="0.2">
      <c r="AG3853" s="19"/>
      <c r="AJ3853" s="410"/>
    </row>
    <row r="3854" spans="33:36" ht="11.25" customHeight="1" x14ac:dyDescent="0.2">
      <c r="AG3854" s="19"/>
      <c r="AJ3854" s="410"/>
    </row>
    <row r="3855" spans="33:36" ht="11.25" customHeight="1" x14ac:dyDescent="0.2">
      <c r="AG3855" s="19"/>
      <c r="AJ3855" s="410"/>
    </row>
    <row r="3856" spans="33:36" ht="11.25" customHeight="1" x14ac:dyDescent="0.2">
      <c r="AG3856" s="19"/>
      <c r="AJ3856" s="410"/>
    </row>
    <row r="3857" spans="33:36" ht="11.25" customHeight="1" x14ac:dyDescent="0.2">
      <c r="AG3857" s="19"/>
      <c r="AJ3857" s="410"/>
    </row>
    <row r="3858" spans="33:36" ht="11.25" customHeight="1" x14ac:dyDescent="0.2">
      <c r="AG3858" s="19"/>
      <c r="AJ3858" s="410"/>
    </row>
    <row r="3859" spans="33:36" ht="11.25" customHeight="1" x14ac:dyDescent="0.2">
      <c r="AG3859" s="19"/>
      <c r="AJ3859" s="410"/>
    </row>
    <row r="3860" spans="33:36" ht="11.25" customHeight="1" x14ac:dyDescent="0.2">
      <c r="AG3860" s="19"/>
      <c r="AJ3860" s="410"/>
    </row>
    <row r="3861" spans="33:36" ht="11.25" customHeight="1" x14ac:dyDescent="0.2">
      <c r="AG3861" s="19"/>
      <c r="AJ3861" s="410"/>
    </row>
    <row r="3862" spans="33:36" ht="11.25" customHeight="1" x14ac:dyDescent="0.2">
      <c r="AG3862" s="19"/>
      <c r="AJ3862" s="410"/>
    </row>
    <row r="3863" spans="33:36" ht="11.25" customHeight="1" x14ac:dyDescent="0.2">
      <c r="AG3863" s="19"/>
      <c r="AJ3863" s="410"/>
    </row>
    <row r="3864" spans="33:36" ht="11.25" customHeight="1" x14ac:dyDescent="0.2">
      <c r="AG3864" s="19"/>
      <c r="AJ3864" s="410"/>
    </row>
    <row r="3865" spans="33:36" ht="11.25" customHeight="1" x14ac:dyDescent="0.2">
      <c r="AG3865" s="19"/>
      <c r="AJ3865" s="410"/>
    </row>
    <row r="3866" spans="33:36" ht="11.25" customHeight="1" x14ac:dyDescent="0.2">
      <c r="AG3866" s="19"/>
      <c r="AJ3866" s="410"/>
    </row>
    <row r="3867" spans="33:36" ht="11.25" customHeight="1" x14ac:dyDescent="0.2">
      <c r="AG3867" s="19"/>
      <c r="AJ3867" s="410"/>
    </row>
    <row r="3868" spans="33:36" ht="11.25" customHeight="1" x14ac:dyDescent="0.2">
      <c r="AG3868" s="19"/>
      <c r="AJ3868" s="410"/>
    </row>
    <row r="3869" spans="33:36" ht="11.25" customHeight="1" x14ac:dyDescent="0.2">
      <c r="AG3869" s="19"/>
      <c r="AJ3869" s="410"/>
    </row>
    <row r="3870" spans="33:36" ht="11.25" customHeight="1" x14ac:dyDescent="0.2">
      <c r="AG3870" s="19"/>
      <c r="AJ3870" s="410"/>
    </row>
    <row r="3871" spans="33:36" ht="11.25" customHeight="1" x14ac:dyDescent="0.2">
      <c r="AG3871" s="19"/>
      <c r="AJ3871" s="410"/>
    </row>
    <row r="3872" spans="33:36" ht="11.25" customHeight="1" x14ac:dyDescent="0.2">
      <c r="AG3872" s="19"/>
      <c r="AJ3872" s="410"/>
    </row>
    <row r="3873" spans="33:36" ht="11.25" customHeight="1" x14ac:dyDescent="0.2">
      <c r="AG3873" s="19"/>
      <c r="AJ3873" s="410"/>
    </row>
    <row r="3874" spans="33:36" ht="11.25" customHeight="1" x14ac:dyDescent="0.2">
      <c r="AG3874" s="19"/>
      <c r="AJ3874" s="410"/>
    </row>
    <row r="3875" spans="33:36" ht="11.25" customHeight="1" x14ac:dyDescent="0.2">
      <c r="AG3875" s="19"/>
      <c r="AJ3875" s="410"/>
    </row>
    <row r="3876" spans="33:36" ht="11.25" customHeight="1" x14ac:dyDescent="0.2">
      <c r="AG3876" s="19"/>
      <c r="AJ3876" s="410"/>
    </row>
    <row r="3877" spans="33:36" ht="11.25" customHeight="1" x14ac:dyDescent="0.2">
      <c r="AG3877" s="19"/>
      <c r="AJ3877" s="410"/>
    </row>
    <row r="3878" spans="33:36" ht="11.25" customHeight="1" x14ac:dyDescent="0.2">
      <c r="AG3878" s="19"/>
      <c r="AJ3878" s="410"/>
    </row>
    <row r="3879" spans="33:36" ht="11.25" customHeight="1" x14ac:dyDescent="0.2">
      <c r="AG3879" s="19"/>
      <c r="AJ3879" s="410"/>
    </row>
    <row r="3880" spans="33:36" ht="11.25" customHeight="1" x14ac:dyDescent="0.2">
      <c r="AG3880" s="19"/>
      <c r="AJ3880" s="410"/>
    </row>
    <row r="3881" spans="33:36" ht="11.25" customHeight="1" x14ac:dyDescent="0.2">
      <c r="AG3881" s="19"/>
      <c r="AJ3881" s="410"/>
    </row>
    <row r="3882" spans="33:36" ht="11.25" customHeight="1" x14ac:dyDescent="0.2">
      <c r="AG3882" s="19"/>
      <c r="AJ3882" s="410"/>
    </row>
    <row r="3883" spans="33:36" ht="11.25" customHeight="1" x14ac:dyDescent="0.2">
      <c r="AG3883" s="19"/>
      <c r="AJ3883" s="410"/>
    </row>
    <row r="3884" spans="33:36" ht="11.25" customHeight="1" x14ac:dyDescent="0.2">
      <c r="AG3884" s="19"/>
      <c r="AJ3884" s="410"/>
    </row>
    <row r="3885" spans="33:36" ht="11.25" customHeight="1" x14ac:dyDescent="0.2">
      <c r="AG3885" s="19"/>
      <c r="AJ3885" s="410"/>
    </row>
    <row r="3886" spans="33:36" ht="11.25" customHeight="1" x14ac:dyDescent="0.2">
      <c r="AG3886" s="19"/>
      <c r="AJ3886" s="410"/>
    </row>
    <row r="3887" spans="33:36" ht="11.25" customHeight="1" x14ac:dyDescent="0.2">
      <c r="AG3887" s="19"/>
      <c r="AJ3887" s="410"/>
    </row>
    <row r="3888" spans="33:36" ht="11.25" customHeight="1" x14ac:dyDescent="0.2">
      <c r="AG3888" s="19"/>
      <c r="AJ3888" s="410"/>
    </row>
    <row r="3889" spans="33:36" ht="11.25" customHeight="1" x14ac:dyDescent="0.2">
      <c r="AG3889" s="19"/>
      <c r="AJ3889" s="410"/>
    </row>
    <row r="3890" spans="33:36" ht="11.25" customHeight="1" x14ac:dyDescent="0.2">
      <c r="AG3890" s="19"/>
      <c r="AJ3890" s="410"/>
    </row>
    <row r="3891" spans="33:36" ht="11.25" customHeight="1" x14ac:dyDescent="0.2">
      <c r="AG3891" s="19"/>
      <c r="AJ3891" s="410"/>
    </row>
    <row r="3892" spans="33:36" ht="11.25" customHeight="1" x14ac:dyDescent="0.2">
      <c r="AG3892" s="19"/>
      <c r="AJ3892" s="410"/>
    </row>
    <row r="3893" spans="33:36" ht="11.25" customHeight="1" x14ac:dyDescent="0.2">
      <c r="AG3893" s="19"/>
      <c r="AJ3893" s="410"/>
    </row>
    <row r="3894" spans="33:36" ht="11.25" customHeight="1" x14ac:dyDescent="0.2">
      <c r="AG3894" s="19"/>
      <c r="AJ3894" s="410"/>
    </row>
    <row r="3895" spans="33:36" ht="11.25" customHeight="1" x14ac:dyDescent="0.2">
      <c r="AG3895" s="19"/>
      <c r="AJ3895" s="410"/>
    </row>
    <row r="3896" spans="33:36" ht="11.25" customHeight="1" x14ac:dyDescent="0.2">
      <c r="AG3896" s="19"/>
      <c r="AJ3896" s="410"/>
    </row>
    <row r="3897" spans="33:36" ht="11.25" customHeight="1" x14ac:dyDescent="0.2">
      <c r="AG3897" s="19"/>
      <c r="AJ3897" s="410"/>
    </row>
    <row r="3898" spans="33:36" ht="11.25" customHeight="1" x14ac:dyDescent="0.2">
      <c r="AG3898" s="19"/>
      <c r="AJ3898" s="410"/>
    </row>
    <row r="3899" spans="33:36" ht="11.25" customHeight="1" x14ac:dyDescent="0.2">
      <c r="AG3899" s="19"/>
      <c r="AJ3899" s="410"/>
    </row>
    <row r="3900" spans="33:36" ht="11.25" customHeight="1" x14ac:dyDescent="0.2">
      <c r="AG3900" s="19"/>
      <c r="AJ3900" s="410"/>
    </row>
    <row r="3901" spans="33:36" ht="11.25" customHeight="1" x14ac:dyDescent="0.2">
      <c r="AG3901" s="19"/>
      <c r="AJ3901" s="410"/>
    </row>
    <row r="3902" spans="33:36" ht="11.25" customHeight="1" x14ac:dyDescent="0.2">
      <c r="AG3902" s="19"/>
      <c r="AJ3902" s="410"/>
    </row>
    <row r="3903" spans="33:36" ht="11.25" customHeight="1" x14ac:dyDescent="0.2">
      <c r="AG3903" s="19"/>
      <c r="AJ3903" s="410"/>
    </row>
    <row r="3904" spans="33:36" ht="11.25" customHeight="1" x14ac:dyDescent="0.2">
      <c r="AG3904" s="19"/>
      <c r="AJ3904" s="410"/>
    </row>
    <row r="3905" spans="33:36" ht="11.25" customHeight="1" x14ac:dyDescent="0.2">
      <c r="AG3905" s="19"/>
      <c r="AJ3905" s="410"/>
    </row>
    <row r="3906" spans="33:36" ht="11.25" customHeight="1" x14ac:dyDescent="0.2">
      <c r="AG3906" s="19"/>
      <c r="AJ3906" s="410"/>
    </row>
    <row r="3907" spans="33:36" ht="11.25" customHeight="1" x14ac:dyDescent="0.2">
      <c r="AG3907" s="19"/>
      <c r="AJ3907" s="410"/>
    </row>
    <row r="3908" spans="33:36" ht="11.25" customHeight="1" x14ac:dyDescent="0.2">
      <c r="AG3908" s="19"/>
      <c r="AJ3908" s="410"/>
    </row>
    <row r="3909" spans="33:36" ht="11.25" customHeight="1" x14ac:dyDescent="0.2">
      <c r="AG3909" s="19"/>
      <c r="AJ3909" s="410"/>
    </row>
    <row r="3910" spans="33:36" ht="11.25" customHeight="1" x14ac:dyDescent="0.2">
      <c r="AG3910" s="19"/>
      <c r="AJ3910" s="410"/>
    </row>
    <row r="3911" spans="33:36" ht="11.25" customHeight="1" x14ac:dyDescent="0.2">
      <c r="AG3911" s="19"/>
      <c r="AJ3911" s="410"/>
    </row>
    <row r="3912" spans="33:36" ht="11.25" customHeight="1" x14ac:dyDescent="0.2">
      <c r="AG3912" s="19"/>
      <c r="AJ3912" s="410"/>
    </row>
    <row r="3913" spans="33:36" ht="11.25" customHeight="1" x14ac:dyDescent="0.2">
      <c r="AG3913" s="19"/>
      <c r="AJ3913" s="410"/>
    </row>
    <row r="3914" spans="33:36" ht="11.25" customHeight="1" x14ac:dyDescent="0.2">
      <c r="AG3914" s="19"/>
      <c r="AJ3914" s="410"/>
    </row>
    <row r="3915" spans="33:36" ht="11.25" customHeight="1" x14ac:dyDescent="0.2">
      <c r="AG3915" s="19"/>
      <c r="AJ3915" s="410"/>
    </row>
    <row r="3916" spans="33:36" ht="11.25" customHeight="1" x14ac:dyDescent="0.2">
      <c r="AG3916" s="19"/>
      <c r="AJ3916" s="410"/>
    </row>
    <row r="3917" spans="33:36" ht="11.25" customHeight="1" x14ac:dyDescent="0.2">
      <c r="AG3917" s="19"/>
      <c r="AJ3917" s="410"/>
    </row>
    <row r="3918" spans="33:36" ht="11.25" customHeight="1" x14ac:dyDescent="0.2">
      <c r="AG3918" s="19"/>
      <c r="AJ3918" s="410"/>
    </row>
    <row r="3919" spans="33:36" ht="11.25" customHeight="1" x14ac:dyDescent="0.2">
      <c r="AG3919" s="19"/>
      <c r="AJ3919" s="410"/>
    </row>
    <row r="3920" spans="33:36" ht="11.25" customHeight="1" x14ac:dyDescent="0.2">
      <c r="AG3920" s="19"/>
      <c r="AJ3920" s="410"/>
    </row>
    <row r="3921" spans="33:36" ht="11.25" customHeight="1" x14ac:dyDescent="0.2">
      <c r="AG3921" s="19"/>
      <c r="AJ3921" s="410"/>
    </row>
    <row r="3922" spans="33:36" ht="11.25" customHeight="1" x14ac:dyDescent="0.2">
      <c r="AG3922" s="19"/>
      <c r="AJ3922" s="410"/>
    </row>
    <row r="3923" spans="33:36" ht="11.25" customHeight="1" x14ac:dyDescent="0.2">
      <c r="AG3923" s="19"/>
      <c r="AJ3923" s="410"/>
    </row>
    <row r="3924" spans="33:36" ht="11.25" customHeight="1" x14ac:dyDescent="0.2">
      <c r="AG3924" s="19"/>
      <c r="AJ3924" s="410"/>
    </row>
    <row r="3925" spans="33:36" ht="11.25" customHeight="1" x14ac:dyDescent="0.2">
      <c r="AG3925" s="19"/>
      <c r="AJ3925" s="410"/>
    </row>
    <row r="3926" spans="33:36" ht="11.25" customHeight="1" x14ac:dyDescent="0.2">
      <c r="AG3926" s="19"/>
      <c r="AJ3926" s="410"/>
    </row>
    <row r="3927" spans="33:36" ht="11.25" customHeight="1" x14ac:dyDescent="0.2">
      <c r="AG3927" s="19"/>
      <c r="AJ3927" s="410"/>
    </row>
    <row r="3928" spans="33:36" ht="11.25" customHeight="1" x14ac:dyDescent="0.2">
      <c r="AG3928" s="19"/>
      <c r="AJ3928" s="410"/>
    </row>
    <row r="3929" spans="33:36" ht="11.25" customHeight="1" x14ac:dyDescent="0.2">
      <c r="AG3929" s="19"/>
      <c r="AJ3929" s="410"/>
    </row>
    <row r="3930" spans="33:36" ht="11.25" customHeight="1" x14ac:dyDescent="0.2">
      <c r="AG3930" s="19"/>
      <c r="AJ3930" s="410"/>
    </row>
    <row r="3931" spans="33:36" ht="11.25" customHeight="1" x14ac:dyDescent="0.2">
      <c r="AG3931" s="19"/>
      <c r="AJ3931" s="410"/>
    </row>
    <row r="3932" spans="33:36" ht="11.25" customHeight="1" x14ac:dyDescent="0.2">
      <c r="AG3932" s="19"/>
      <c r="AJ3932" s="410"/>
    </row>
    <row r="3933" spans="33:36" ht="11.25" customHeight="1" x14ac:dyDescent="0.2">
      <c r="AG3933" s="19"/>
      <c r="AJ3933" s="410"/>
    </row>
    <row r="3934" spans="33:36" ht="11.25" customHeight="1" x14ac:dyDescent="0.2">
      <c r="AG3934" s="19"/>
      <c r="AJ3934" s="410"/>
    </row>
    <row r="3935" spans="33:36" ht="11.25" customHeight="1" x14ac:dyDescent="0.2">
      <c r="AG3935" s="19"/>
      <c r="AJ3935" s="410"/>
    </row>
    <row r="3936" spans="33:36" ht="11.25" customHeight="1" x14ac:dyDescent="0.2">
      <c r="AG3936" s="19"/>
      <c r="AJ3936" s="410"/>
    </row>
    <row r="3937" spans="33:36" ht="11.25" customHeight="1" x14ac:dyDescent="0.2">
      <c r="AG3937" s="19"/>
      <c r="AJ3937" s="410"/>
    </row>
    <row r="3938" spans="33:36" ht="11.25" customHeight="1" x14ac:dyDescent="0.2">
      <c r="AG3938" s="19"/>
      <c r="AJ3938" s="410"/>
    </row>
    <row r="3939" spans="33:36" ht="11.25" customHeight="1" x14ac:dyDescent="0.2">
      <c r="AG3939" s="19"/>
      <c r="AJ3939" s="410"/>
    </row>
    <row r="3940" spans="33:36" ht="11.25" customHeight="1" x14ac:dyDescent="0.2">
      <c r="AG3940" s="19"/>
      <c r="AJ3940" s="410"/>
    </row>
    <row r="3941" spans="33:36" ht="11.25" customHeight="1" x14ac:dyDescent="0.2">
      <c r="AG3941" s="19"/>
      <c r="AJ3941" s="410"/>
    </row>
    <row r="3942" spans="33:36" ht="11.25" customHeight="1" x14ac:dyDescent="0.2">
      <c r="AG3942" s="19"/>
      <c r="AJ3942" s="410"/>
    </row>
    <row r="3943" spans="33:36" ht="11.25" customHeight="1" x14ac:dyDescent="0.2">
      <c r="AG3943" s="19"/>
      <c r="AJ3943" s="410"/>
    </row>
    <row r="3944" spans="33:36" ht="11.25" customHeight="1" x14ac:dyDescent="0.2">
      <c r="AG3944" s="19"/>
      <c r="AJ3944" s="410"/>
    </row>
    <row r="3945" spans="33:36" ht="11.25" customHeight="1" x14ac:dyDescent="0.2">
      <c r="AG3945" s="19"/>
      <c r="AJ3945" s="410"/>
    </row>
    <row r="3946" spans="33:36" ht="11.25" customHeight="1" x14ac:dyDescent="0.2">
      <c r="AG3946" s="19"/>
      <c r="AJ3946" s="410"/>
    </row>
    <row r="3947" spans="33:36" ht="11.25" customHeight="1" x14ac:dyDescent="0.2">
      <c r="AG3947" s="19"/>
      <c r="AJ3947" s="410"/>
    </row>
    <row r="3948" spans="33:36" ht="11.25" customHeight="1" x14ac:dyDescent="0.2">
      <c r="AG3948" s="19"/>
      <c r="AJ3948" s="410"/>
    </row>
    <row r="3949" spans="33:36" ht="11.25" customHeight="1" x14ac:dyDescent="0.2">
      <c r="AG3949" s="19"/>
      <c r="AJ3949" s="410"/>
    </row>
    <row r="3950" spans="33:36" ht="11.25" customHeight="1" x14ac:dyDescent="0.2">
      <c r="AG3950" s="19"/>
      <c r="AJ3950" s="410"/>
    </row>
    <row r="3951" spans="33:36" ht="11.25" customHeight="1" x14ac:dyDescent="0.2">
      <c r="AG3951" s="19"/>
      <c r="AJ3951" s="410"/>
    </row>
    <row r="3952" spans="33:36" ht="11.25" customHeight="1" x14ac:dyDescent="0.2">
      <c r="AG3952" s="19"/>
      <c r="AJ3952" s="410"/>
    </row>
    <row r="3953" spans="33:36" ht="11.25" customHeight="1" x14ac:dyDescent="0.2">
      <c r="AG3953" s="19"/>
      <c r="AJ3953" s="410"/>
    </row>
    <row r="3954" spans="33:36" ht="11.25" customHeight="1" x14ac:dyDescent="0.2">
      <c r="AG3954" s="19"/>
      <c r="AJ3954" s="410"/>
    </row>
    <row r="3955" spans="33:36" ht="11.25" customHeight="1" x14ac:dyDescent="0.2">
      <c r="AG3955" s="19"/>
      <c r="AJ3955" s="410"/>
    </row>
    <row r="3956" spans="33:36" ht="11.25" customHeight="1" x14ac:dyDescent="0.2">
      <c r="AG3956" s="19"/>
      <c r="AJ3956" s="410"/>
    </row>
    <row r="3957" spans="33:36" ht="11.25" customHeight="1" x14ac:dyDescent="0.2">
      <c r="AG3957" s="19"/>
      <c r="AJ3957" s="410"/>
    </row>
    <row r="3958" spans="33:36" ht="11.25" customHeight="1" x14ac:dyDescent="0.2">
      <c r="AG3958" s="19"/>
      <c r="AJ3958" s="410"/>
    </row>
    <row r="3959" spans="33:36" ht="11.25" customHeight="1" x14ac:dyDescent="0.2">
      <c r="AG3959" s="19"/>
      <c r="AJ3959" s="410"/>
    </row>
    <row r="3960" spans="33:36" ht="11.25" customHeight="1" x14ac:dyDescent="0.2">
      <c r="AG3960" s="19"/>
      <c r="AJ3960" s="410"/>
    </row>
    <row r="3961" spans="33:36" ht="11.25" customHeight="1" x14ac:dyDescent="0.2">
      <c r="AG3961" s="19"/>
      <c r="AJ3961" s="410"/>
    </row>
    <row r="3962" spans="33:36" ht="11.25" customHeight="1" x14ac:dyDescent="0.2">
      <c r="AG3962" s="19"/>
      <c r="AJ3962" s="410"/>
    </row>
    <row r="3963" spans="33:36" ht="11.25" customHeight="1" x14ac:dyDescent="0.2">
      <c r="AG3963" s="19"/>
      <c r="AJ3963" s="410"/>
    </row>
    <row r="3964" spans="33:36" ht="11.25" customHeight="1" x14ac:dyDescent="0.2">
      <c r="AG3964" s="19"/>
      <c r="AJ3964" s="410"/>
    </row>
    <row r="3965" spans="33:36" ht="11.25" customHeight="1" x14ac:dyDescent="0.2">
      <c r="AG3965" s="19"/>
      <c r="AJ3965" s="410"/>
    </row>
    <row r="3966" spans="33:36" ht="11.25" customHeight="1" x14ac:dyDescent="0.2">
      <c r="AG3966" s="19"/>
      <c r="AJ3966" s="410"/>
    </row>
    <row r="3967" spans="33:36" ht="11.25" customHeight="1" x14ac:dyDescent="0.2">
      <c r="AG3967" s="19"/>
      <c r="AJ3967" s="410"/>
    </row>
    <row r="3968" spans="33:36" ht="11.25" customHeight="1" x14ac:dyDescent="0.2">
      <c r="AG3968" s="19"/>
      <c r="AJ3968" s="410"/>
    </row>
    <row r="3969" spans="33:36" ht="11.25" customHeight="1" x14ac:dyDescent="0.2">
      <c r="AG3969" s="19"/>
      <c r="AJ3969" s="410"/>
    </row>
    <row r="3970" spans="33:36" ht="11.25" customHeight="1" x14ac:dyDescent="0.2">
      <c r="AG3970" s="19"/>
      <c r="AJ3970" s="410"/>
    </row>
    <row r="3971" spans="33:36" ht="11.25" customHeight="1" x14ac:dyDescent="0.2">
      <c r="AG3971" s="19"/>
      <c r="AJ3971" s="410"/>
    </row>
    <row r="3972" spans="33:36" ht="11.25" customHeight="1" x14ac:dyDescent="0.2">
      <c r="AG3972" s="19"/>
      <c r="AJ3972" s="410"/>
    </row>
    <row r="3973" spans="33:36" ht="11.25" customHeight="1" x14ac:dyDescent="0.2">
      <c r="AG3973" s="19"/>
      <c r="AJ3973" s="410"/>
    </row>
    <row r="3974" spans="33:36" ht="11.25" customHeight="1" x14ac:dyDescent="0.2">
      <c r="AG3974" s="19"/>
      <c r="AJ3974" s="410"/>
    </row>
    <row r="3975" spans="33:36" ht="11.25" customHeight="1" x14ac:dyDescent="0.2">
      <c r="AG3975" s="19"/>
      <c r="AJ3975" s="410"/>
    </row>
    <row r="3976" spans="33:36" ht="11.25" customHeight="1" x14ac:dyDescent="0.2">
      <c r="AG3976" s="19"/>
      <c r="AJ3976" s="410"/>
    </row>
    <row r="3977" spans="33:36" ht="11.25" customHeight="1" x14ac:dyDescent="0.2">
      <c r="AG3977" s="19"/>
      <c r="AJ3977" s="410"/>
    </row>
    <row r="3978" spans="33:36" ht="11.25" customHeight="1" x14ac:dyDescent="0.2">
      <c r="AG3978" s="19"/>
      <c r="AJ3978" s="410"/>
    </row>
    <row r="3979" spans="33:36" ht="11.25" customHeight="1" x14ac:dyDescent="0.2">
      <c r="AG3979" s="19"/>
      <c r="AJ3979" s="410"/>
    </row>
    <row r="3980" spans="33:36" ht="11.25" customHeight="1" x14ac:dyDescent="0.2">
      <c r="AG3980" s="19"/>
      <c r="AJ3980" s="410"/>
    </row>
    <row r="3981" spans="33:36" ht="11.25" customHeight="1" x14ac:dyDescent="0.2">
      <c r="AG3981" s="19"/>
      <c r="AJ3981" s="410"/>
    </row>
    <row r="3982" spans="33:36" ht="11.25" customHeight="1" x14ac:dyDescent="0.2">
      <c r="AG3982" s="19"/>
      <c r="AJ3982" s="410"/>
    </row>
    <row r="3983" spans="33:36" ht="11.25" customHeight="1" x14ac:dyDescent="0.2">
      <c r="AG3983" s="19"/>
      <c r="AJ3983" s="410"/>
    </row>
    <row r="3984" spans="33:36" ht="11.25" customHeight="1" x14ac:dyDescent="0.2">
      <c r="AG3984" s="19"/>
      <c r="AJ3984" s="410"/>
    </row>
    <row r="3985" spans="33:36" ht="11.25" customHeight="1" x14ac:dyDescent="0.2">
      <c r="AG3985" s="19"/>
      <c r="AJ3985" s="410"/>
    </row>
    <row r="3986" spans="33:36" ht="11.25" customHeight="1" x14ac:dyDescent="0.2">
      <c r="AG3986" s="19"/>
      <c r="AJ3986" s="410"/>
    </row>
    <row r="3987" spans="33:36" ht="11.25" customHeight="1" x14ac:dyDescent="0.2">
      <c r="AG3987" s="19"/>
      <c r="AJ3987" s="410"/>
    </row>
    <row r="3988" spans="33:36" ht="11.25" customHeight="1" x14ac:dyDescent="0.2">
      <c r="AG3988" s="19"/>
      <c r="AJ3988" s="410"/>
    </row>
    <row r="3989" spans="33:36" ht="11.25" customHeight="1" x14ac:dyDescent="0.2">
      <c r="AG3989" s="19"/>
      <c r="AJ3989" s="410"/>
    </row>
    <row r="3990" spans="33:36" ht="11.25" customHeight="1" x14ac:dyDescent="0.2">
      <c r="AG3990" s="19"/>
      <c r="AJ3990" s="410"/>
    </row>
    <row r="3991" spans="33:36" ht="11.25" customHeight="1" x14ac:dyDescent="0.2">
      <c r="AG3991" s="19"/>
      <c r="AJ3991" s="410"/>
    </row>
    <row r="3992" spans="33:36" ht="11.25" customHeight="1" x14ac:dyDescent="0.2">
      <c r="AG3992" s="19"/>
      <c r="AJ3992" s="410"/>
    </row>
    <row r="3993" spans="33:36" ht="11.25" customHeight="1" x14ac:dyDescent="0.2">
      <c r="AG3993" s="19"/>
      <c r="AJ3993" s="410"/>
    </row>
    <row r="3994" spans="33:36" ht="11.25" customHeight="1" x14ac:dyDescent="0.2">
      <c r="AG3994" s="19"/>
      <c r="AJ3994" s="410"/>
    </row>
    <row r="3995" spans="33:36" ht="11.25" customHeight="1" x14ac:dyDescent="0.2">
      <c r="AG3995" s="19"/>
      <c r="AJ3995" s="410"/>
    </row>
    <row r="3996" spans="33:36" ht="11.25" customHeight="1" x14ac:dyDescent="0.2">
      <c r="AG3996" s="19"/>
      <c r="AJ3996" s="410"/>
    </row>
    <row r="3997" spans="33:36" ht="11.25" customHeight="1" x14ac:dyDescent="0.2">
      <c r="AG3997" s="19"/>
      <c r="AJ3997" s="410"/>
    </row>
    <row r="3998" spans="33:36" ht="11.25" customHeight="1" x14ac:dyDescent="0.2">
      <c r="AG3998" s="19"/>
      <c r="AJ3998" s="410"/>
    </row>
    <row r="3999" spans="33:36" ht="11.25" customHeight="1" x14ac:dyDescent="0.2">
      <c r="AG3999" s="19"/>
      <c r="AJ3999" s="410"/>
    </row>
    <row r="4000" spans="33:36" ht="11.25" customHeight="1" x14ac:dyDescent="0.2">
      <c r="AG4000" s="19"/>
      <c r="AJ4000" s="410"/>
    </row>
    <row r="4001" spans="33:36" ht="11.25" customHeight="1" x14ac:dyDescent="0.2">
      <c r="AG4001" s="19"/>
      <c r="AJ4001" s="410"/>
    </row>
    <row r="4002" spans="33:36" ht="11.25" customHeight="1" x14ac:dyDescent="0.2">
      <c r="AG4002" s="19"/>
      <c r="AJ4002" s="410"/>
    </row>
    <row r="4003" spans="33:36" ht="11.25" customHeight="1" x14ac:dyDescent="0.2">
      <c r="AG4003" s="19"/>
      <c r="AJ4003" s="410"/>
    </row>
    <row r="4004" spans="33:36" ht="11.25" customHeight="1" x14ac:dyDescent="0.2">
      <c r="AG4004" s="19"/>
      <c r="AJ4004" s="410"/>
    </row>
    <row r="4005" spans="33:36" ht="11.25" customHeight="1" x14ac:dyDescent="0.2">
      <c r="AG4005" s="19"/>
      <c r="AJ4005" s="410"/>
    </row>
    <row r="4006" spans="33:36" ht="11.25" customHeight="1" x14ac:dyDescent="0.2">
      <c r="AG4006" s="19"/>
      <c r="AJ4006" s="410"/>
    </row>
    <row r="4007" spans="33:36" ht="11.25" customHeight="1" x14ac:dyDescent="0.2">
      <c r="AG4007" s="19"/>
      <c r="AJ4007" s="410"/>
    </row>
    <row r="4008" spans="33:36" ht="11.25" customHeight="1" x14ac:dyDescent="0.2">
      <c r="AG4008" s="19"/>
      <c r="AJ4008" s="410"/>
    </row>
    <row r="4009" spans="33:36" ht="11.25" customHeight="1" x14ac:dyDescent="0.2">
      <c r="AG4009" s="19"/>
      <c r="AJ4009" s="410"/>
    </row>
    <row r="4010" spans="33:36" ht="11.25" customHeight="1" x14ac:dyDescent="0.2">
      <c r="AG4010" s="19"/>
      <c r="AJ4010" s="410"/>
    </row>
    <row r="4011" spans="33:36" ht="11.25" customHeight="1" x14ac:dyDescent="0.2">
      <c r="AG4011" s="19"/>
      <c r="AJ4011" s="410"/>
    </row>
    <row r="4012" spans="33:36" ht="11.25" customHeight="1" x14ac:dyDescent="0.2">
      <c r="AG4012" s="19"/>
      <c r="AJ4012" s="410"/>
    </row>
    <row r="4013" spans="33:36" ht="11.25" customHeight="1" x14ac:dyDescent="0.2">
      <c r="AG4013" s="19"/>
      <c r="AJ4013" s="410"/>
    </row>
    <row r="4014" spans="33:36" ht="11.25" customHeight="1" x14ac:dyDescent="0.2">
      <c r="AG4014" s="19"/>
      <c r="AJ4014" s="410"/>
    </row>
    <row r="4015" spans="33:36" ht="11.25" customHeight="1" x14ac:dyDescent="0.2">
      <c r="AG4015" s="19"/>
      <c r="AJ4015" s="410"/>
    </row>
    <row r="4016" spans="33:36" ht="11.25" customHeight="1" x14ac:dyDescent="0.2">
      <c r="AG4016" s="19"/>
      <c r="AJ4016" s="410"/>
    </row>
    <row r="4017" spans="33:36" ht="11.25" customHeight="1" x14ac:dyDescent="0.2">
      <c r="AG4017" s="19"/>
      <c r="AJ4017" s="410"/>
    </row>
    <row r="4018" spans="33:36" ht="11.25" customHeight="1" x14ac:dyDescent="0.2">
      <c r="AG4018" s="19"/>
      <c r="AJ4018" s="410"/>
    </row>
    <row r="4019" spans="33:36" ht="11.25" customHeight="1" x14ac:dyDescent="0.2">
      <c r="AG4019" s="19"/>
      <c r="AJ4019" s="410"/>
    </row>
    <row r="4020" spans="33:36" ht="11.25" customHeight="1" x14ac:dyDescent="0.2">
      <c r="AG4020" s="19"/>
      <c r="AJ4020" s="410"/>
    </row>
    <row r="4021" spans="33:36" ht="11.25" customHeight="1" x14ac:dyDescent="0.2">
      <c r="AG4021" s="19"/>
      <c r="AJ4021" s="410"/>
    </row>
    <row r="4022" spans="33:36" ht="11.25" customHeight="1" x14ac:dyDescent="0.2">
      <c r="AG4022" s="19"/>
      <c r="AJ4022" s="410"/>
    </row>
    <row r="4023" spans="33:36" ht="11.25" customHeight="1" x14ac:dyDescent="0.2">
      <c r="AG4023" s="19"/>
      <c r="AJ4023" s="410"/>
    </row>
    <row r="4024" spans="33:36" ht="11.25" customHeight="1" x14ac:dyDescent="0.2">
      <c r="AG4024" s="19"/>
      <c r="AJ4024" s="410"/>
    </row>
    <row r="4025" spans="33:36" ht="11.25" customHeight="1" x14ac:dyDescent="0.2">
      <c r="AG4025" s="19"/>
      <c r="AJ4025" s="410"/>
    </row>
    <row r="4026" spans="33:36" ht="11.25" customHeight="1" x14ac:dyDescent="0.2">
      <c r="AG4026" s="19"/>
      <c r="AJ4026" s="410"/>
    </row>
    <row r="4027" spans="33:36" ht="11.25" customHeight="1" x14ac:dyDescent="0.2">
      <c r="AG4027" s="19"/>
      <c r="AJ4027" s="410"/>
    </row>
    <row r="4028" spans="33:36" ht="11.25" customHeight="1" x14ac:dyDescent="0.2">
      <c r="AG4028" s="19"/>
      <c r="AJ4028" s="410"/>
    </row>
    <row r="4029" spans="33:36" ht="11.25" customHeight="1" x14ac:dyDescent="0.2">
      <c r="AG4029" s="19"/>
      <c r="AJ4029" s="410"/>
    </row>
    <row r="4030" spans="33:36" ht="11.25" customHeight="1" x14ac:dyDescent="0.2">
      <c r="AG4030" s="19"/>
      <c r="AJ4030" s="410"/>
    </row>
    <row r="4031" spans="33:36" ht="11.25" customHeight="1" x14ac:dyDescent="0.2">
      <c r="AG4031" s="19"/>
      <c r="AJ4031" s="410"/>
    </row>
    <row r="4032" spans="33:36" ht="11.25" customHeight="1" x14ac:dyDescent="0.2">
      <c r="AG4032" s="19"/>
      <c r="AJ4032" s="410"/>
    </row>
    <row r="4033" spans="33:36" ht="11.25" customHeight="1" x14ac:dyDescent="0.2">
      <c r="AG4033" s="19"/>
      <c r="AJ4033" s="410"/>
    </row>
    <row r="4034" spans="33:36" ht="11.25" customHeight="1" x14ac:dyDescent="0.2">
      <c r="AG4034" s="19"/>
      <c r="AJ4034" s="410"/>
    </row>
    <row r="4035" spans="33:36" ht="11.25" customHeight="1" x14ac:dyDescent="0.2">
      <c r="AG4035" s="19"/>
      <c r="AJ4035" s="410"/>
    </row>
    <row r="4036" spans="33:36" ht="11.25" customHeight="1" x14ac:dyDescent="0.2">
      <c r="AG4036" s="19"/>
      <c r="AJ4036" s="410"/>
    </row>
    <row r="4037" spans="33:36" ht="11.25" customHeight="1" x14ac:dyDescent="0.2">
      <c r="AG4037" s="19"/>
      <c r="AJ4037" s="410"/>
    </row>
    <row r="4038" spans="33:36" ht="11.25" customHeight="1" x14ac:dyDescent="0.2">
      <c r="AG4038" s="19"/>
      <c r="AJ4038" s="410"/>
    </row>
    <row r="4039" spans="33:36" ht="11.25" customHeight="1" x14ac:dyDescent="0.2">
      <c r="AG4039" s="19"/>
      <c r="AJ4039" s="410"/>
    </row>
    <row r="4040" spans="33:36" ht="11.25" customHeight="1" x14ac:dyDescent="0.2">
      <c r="AG4040" s="19"/>
      <c r="AJ4040" s="410"/>
    </row>
    <row r="4041" spans="33:36" ht="11.25" customHeight="1" x14ac:dyDescent="0.2">
      <c r="AG4041" s="19"/>
      <c r="AJ4041" s="410"/>
    </row>
    <row r="4042" spans="33:36" ht="11.25" customHeight="1" x14ac:dyDescent="0.2">
      <c r="AG4042" s="19"/>
      <c r="AJ4042" s="410"/>
    </row>
    <row r="4043" spans="33:36" ht="11.25" customHeight="1" x14ac:dyDescent="0.2">
      <c r="AG4043" s="19"/>
      <c r="AJ4043" s="410"/>
    </row>
    <row r="4044" spans="33:36" ht="11.25" customHeight="1" x14ac:dyDescent="0.2">
      <c r="AG4044" s="19"/>
      <c r="AJ4044" s="410"/>
    </row>
    <row r="4045" spans="33:36" ht="11.25" customHeight="1" x14ac:dyDescent="0.2">
      <c r="AG4045" s="19"/>
      <c r="AJ4045" s="410"/>
    </row>
    <row r="4046" spans="33:36" ht="11.25" customHeight="1" x14ac:dyDescent="0.2">
      <c r="AG4046" s="19"/>
      <c r="AJ4046" s="410"/>
    </row>
    <row r="4047" spans="33:36" ht="11.25" customHeight="1" x14ac:dyDescent="0.2">
      <c r="AG4047" s="19"/>
      <c r="AJ4047" s="410"/>
    </row>
    <row r="4048" spans="33:36" ht="11.25" customHeight="1" x14ac:dyDescent="0.2">
      <c r="AG4048" s="19"/>
      <c r="AJ4048" s="410"/>
    </row>
    <row r="4049" spans="33:36" ht="11.25" customHeight="1" x14ac:dyDescent="0.2">
      <c r="AG4049" s="19"/>
      <c r="AJ4049" s="410"/>
    </row>
    <row r="4050" spans="33:36" ht="11.25" customHeight="1" x14ac:dyDescent="0.2">
      <c r="AG4050" s="19"/>
      <c r="AJ4050" s="410"/>
    </row>
    <row r="4051" spans="33:36" ht="11.25" customHeight="1" x14ac:dyDescent="0.2">
      <c r="AG4051" s="19"/>
      <c r="AJ4051" s="410"/>
    </row>
    <row r="4052" spans="33:36" ht="11.25" customHeight="1" x14ac:dyDescent="0.2">
      <c r="AG4052" s="19"/>
      <c r="AJ4052" s="410"/>
    </row>
    <row r="4053" spans="33:36" ht="11.25" customHeight="1" x14ac:dyDescent="0.2">
      <c r="AG4053" s="19"/>
      <c r="AJ4053" s="410"/>
    </row>
    <row r="4054" spans="33:36" ht="11.25" customHeight="1" x14ac:dyDescent="0.2">
      <c r="AG4054" s="19"/>
      <c r="AJ4054" s="410"/>
    </row>
    <row r="4055" spans="33:36" ht="11.25" customHeight="1" x14ac:dyDescent="0.2">
      <c r="AG4055" s="19"/>
      <c r="AJ4055" s="410"/>
    </row>
    <row r="4056" spans="33:36" ht="11.25" customHeight="1" x14ac:dyDescent="0.2">
      <c r="AG4056" s="19"/>
      <c r="AJ4056" s="410"/>
    </row>
    <row r="4057" spans="33:36" ht="11.25" customHeight="1" x14ac:dyDescent="0.2">
      <c r="AG4057" s="19"/>
      <c r="AJ4057" s="410"/>
    </row>
    <row r="4058" spans="33:36" ht="11.25" customHeight="1" x14ac:dyDescent="0.2">
      <c r="AG4058" s="19"/>
      <c r="AJ4058" s="410"/>
    </row>
    <row r="4059" spans="33:36" ht="11.25" customHeight="1" x14ac:dyDescent="0.2">
      <c r="AG4059" s="19"/>
      <c r="AJ4059" s="410"/>
    </row>
    <row r="4060" spans="33:36" ht="11.25" customHeight="1" x14ac:dyDescent="0.2">
      <c r="AG4060" s="19"/>
      <c r="AJ4060" s="410"/>
    </row>
    <row r="4061" spans="33:36" ht="11.25" customHeight="1" x14ac:dyDescent="0.2">
      <c r="AG4061" s="19"/>
      <c r="AJ4061" s="410"/>
    </row>
    <row r="4062" spans="33:36" ht="11.25" customHeight="1" x14ac:dyDescent="0.2">
      <c r="AG4062" s="19"/>
      <c r="AJ4062" s="410"/>
    </row>
    <row r="4063" spans="33:36" ht="11.25" customHeight="1" x14ac:dyDescent="0.2">
      <c r="AG4063" s="19"/>
      <c r="AJ4063" s="410"/>
    </row>
    <row r="4064" spans="33:36" ht="11.25" customHeight="1" x14ac:dyDescent="0.2">
      <c r="AG4064" s="19"/>
      <c r="AJ4064" s="410"/>
    </row>
    <row r="4065" spans="33:36" ht="11.25" customHeight="1" x14ac:dyDescent="0.2">
      <c r="AG4065" s="19"/>
      <c r="AJ4065" s="410"/>
    </row>
    <row r="4066" spans="33:36" ht="11.25" customHeight="1" x14ac:dyDescent="0.2">
      <c r="AG4066" s="19"/>
      <c r="AJ4066" s="410"/>
    </row>
    <row r="4067" spans="33:36" ht="11.25" customHeight="1" x14ac:dyDescent="0.2">
      <c r="AG4067" s="19"/>
      <c r="AJ4067" s="410"/>
    </row>
    <row r="4068" spans="33:36" ht="11.25" customHeight="1" x14ac:dyDescent="0.2">
      <c r="AG4068" s="19"/>
      <c r="AJ4068" s="410"/>
    </row>
    <row r="4069" spans="33:36" ht="11.25" customHeight="1" x14ac:dyDescent="0.2">
      <c r="AG4069" s="19"/>
      <c r="AJ4069" s="410"/>
    </row>
    <row r="4070" spans="33:36" ht="11.25" customHeight="1" x14ac:dyDescent="0.2">
      <c r="AG4070" s="19"/>
      <c r="AJ4070" s="410"/>
    </row>
    <row r="4071" spans="33:36" ht="11.25" customHeight="1" x14ac:dyDescent="0.2">
      <c r="AG4071" s="19"/>
      <c r="AJ4071" s="410"/>
    </row>
    <row r="4072" spans="33:36" ht="11.25" customHeight="1" x14ac:dyDescent="0.2">
      <c r="AG4072" s="19"/>
      <c r="AJ4072" s="410"/>
    </row>
    <row r="4073" spans="33:36" ht="11.25" customHeight="1" x14ac:dyDescent="0.2">
      <c r="AG4073" s="19"/>
      <c r="AJ4073" s="410"/>
    </row>
    <row r="4074" spans="33:36" ht="11.25" customHeight="1" x14ac:dyDescent="0.2">
      <c r="AG4074" s="19"/>
      <c r="AJ4074" s="410"/>
    </row>
    <row r="4075" spans="33:36" ht="11.25" customHeight="1" x14ac:dyDescent="0.2">
      <c r="AG4075" s="19"/>
      <c r="AJ4075" s="410"/>
    </row>
    <row r="4076" spans="33:36" ht="11.25" customHeight="1" x14ac:dyDescent="0.2">
      <c r="AG4076" s="19"/>
      <c r="AJ4076" s="410"/>
    </row>
    <row r="4077" spans="33:36" ht="11.25" customHeight="1" x14ac:dyDescent="0.2">
      <c r="AG4077" s="19"/>
      <c r="AJ4077" s="410"/>
    </row>
    <row r="4078" spans="33:36" ht="11.25" customHeight="1" x14ac:dyDescent="0.2">
      <c r="AG4078" s="19"/>
      <c r="AJ4078" s="410"/>
    </row>
    <row r="4079" spans="33:36" ht="11.25" customHeight="1" x14ac:dyDescent="0.2">
      <c r="AG4079" s="19"/>
      <c r="AJ4079" s="410"/>
    </row>
    <row r="4080" spans="33:36" ht="11.25" customHeight="1" x14ac:dyDescent="0.2">
      <c r="AG4080" s="19"/>
      <c r="AJ4080" s="410"/>
    </row>
    <row r="4081" spans="33:36" ht="11.25" customHeight="1" x14ac:dyDescent="0.2">
      <c r="AG4081" s="19"/>
      <c r="AJ4081" s="410"/>
    </row>
    <row r="4082" spans="33:36" ht="11.25" customHeight="1" x14ac:dyDescent="0.2">
      <c r="AG4082" s="19"/>
      <c r="AJ4082" s="410"/>
    </row>
    <row r="4083" spans="33:36" ht="11.25" customHeight="1" x14ac:dyDescent="0.2">
      <c r="AG4083" s="19"/>
      <c r="AJ4083" s="410"/>
    </row>
    <row r="4084" spans="33:36" ht="11.25" customHeight="1" x14ac:dyDescent="0.2">
      <c r="AG4084" s="19"/>
      <c r="AJ4084" s="410"/>
    </row>
    <row r="4085" spans="33:36" ht="11.25" customHeight="1" x14ac:dyDescent="0.2">
      <c r="AG4085" s="19"/>
      <c r="AJ4085" s="410"/>
    </row>
    <row r="4086" spans="33:36" ht="11.25" customHeight="1" x14ac:dyDescent="0.2">
      <c r="AG4086" s="19"/>
      <c r="AJ4086" s="410"/>
    </row>
    <row r="4087" spans="33:36" ht="11.25" customHeight="1" x14ac:dyDescent="0.2">
      <c r="AG4087" s="19"/>
      <c r="AJ4087" s="410"/>
    </row>
    <row r="4088" spans="33:36" ht="11.25" customHeight="1" x14ac:dyDescent="0.2">
      <c r="AG4088" s="19"/>
      <c r="AJ4088" s="410"/>
    </row>
    <row r="4089" spans="33:36" ht="11.25" customHeight="1" x14ac:dyDescent="0.2">
      <c r="AG4089" s="19"/>
      <c r="AJ4089" s="410"/>
    </row>
    <row r="4090" spans="33:36" ht="11.25" customHeight="1" x14ac:dyDescent="0.2">
      <c r="AG4090" s="19"/>
      <c r="AJ4090" s="410"/>
    </row>
    <row r="4091" spans="33:36" ht="11.25" customHeight="1" x14ac:dyDescent="0.2">
      <c r="AG4091" s="19"/>
      <c r="AJ4091" s="410"/>
    </row>
    <row r="4092" spans="33:36" ht="11.25" customHeight="1" x14ac:dyDescent="0.2">
      <c r="AG4092" s="19"/>
      <c r="AJ4092" s="410"/>
    </row>
    <row r="4093" spans="33:36" ht="11.25" customHeight="1" x14ac:dyDescent="0.2">
      <c r="AG4093" s="19"/>
      <c r="AJ4093" s="410"/>
    </row>
    <row r="4094" spans="33:36" ht="11.25" customHeight="1" x14ac:dyDescent="0.2">
      <c r="AG4094" s="19"/>
      <c r="AJ4094" s="410"/>
    </row>
    <row r="4095" spans="33:36" ht="11.25" customHeight="1" x14ac:dyDescent="0.2">
      <c r="AG4095" s="19"/>
      <c r="AJ4095" s="410"/>
    </row>
    <row r="4096" spans="33:36" ht="11.25" customHeight="1" x14ac:dyDescent="0.2">
      <c r="AG4096" s="19"/>
      <c r="AJ4096" s="410"/>
    </row>
    <row r="4097" spans="33:36" ht="11.25" customHeight="1" x14ac:dyDescent="0.2">
      <c r="AG4097" s="19"/>
      <c r="AJ4097" s="410"/>
    </row>
    <row r="4098" spans="33:36" ht="11.25" customHeight="1" x14ac:dyDescent="0.2">
      <c r="AG4098" s="19"/>
      <c r="AJ4098" s="410"/>
    </row>
    <row r="4099" spans="33:36" ht="11.25" customHeight="1" x14ac:dyDescent="0.2">
      <c r="AG4099" s="19"/>
      <c r="AJ4099" s="410"/>
    </row>
    <row r="4100" spans="33:36" ht="11.25" customHeight="1" x14ac:dyDescent="0.2">
      <c r="AG4100" s="19"/>
      <c r="AJ4100" s="410"/>
    </row>
    <row r="4101" spans="33:36" ht="11.25" customHeight="1" x14ac:dyDescent="0.2">
      <c r="AG4101" s="19"/>
      <c r="AJ4101" s="410"/>
    </row>
    <row r="4102" spans="33:36" ht="11.25" customHeight="1" x14ac:dyDescent="0.2">
      <c r="AG4102" s="19"/>
      <c r="AJ4102" s="410"/>
    </row>
    <row r="4103" spans="33:36" ht="11.25" customHeight="1" x14ac:dyDescent="0.2">
      <c r="AG4103" s="19"/>
      <c r="AJ4103" s="410"/>
    </row>
    <row r="4104" spans="33:36" ht="11.25" customHeight="1" x14ac:dyDescent="0.2">
      <c r="AG4104" s="19"/>
      <c r="AJ4104" s="410"/>
    </row>
    <row r="4105" spans="33:36" ht="11.25" customHeight="1" x14ac:dyDescent="0.2">
      <c r="AG4105" s="19"/>
      <c r="AJ4105" s="410"/>
    </row>
    <row r="4106" spans="33:36" ht="11.25" customHeight="1" x14ac:dyDescent="0.2">
      <c r="AG4106" s="19"/>
      <c r="AJ4106" s="410"/>
    </row>
    <row r="4107" spans="33:36" ht="11.25" customHeight="1" x14ac:dyDescent="0.2">
      <c r="AG4107" s="19"/>
      <c r="AJ4107" s="410"/>
    </row>
    <row r="4108" spans="33:36" ht="11.25" customHeight="1" x14ac:dyDescent="0.2">
      <c r="AG4108" s="19"/>
      <c r="AJ4108" s="410"/>
    </row>
    <row r="4109" spans="33:36" ht="11.25" customHeight="1" x14ac:dyDescent="0.2">
      <c r="AG4109" s="19"/>
      <c r="AJ4109" s="410"/>
    </row>
    <row r="4110" spans="33:36" ht="11.25" customHeight="1" x14ac:dyDescent="0.2">
      <c r="AG4110" s="19"/>
      <c r="AJ4110" s="410"/>
    </row>
    <row r="4111" spans="33:36" ht="11.25" customHeight="1" x14ac:dyDescent="0.2">
      <c r="AG4111" s="19"/>
      <c r="AJ4111" s="410"/>
    </row>
    <row r="4112" spans="33:36" ht="11.25" customHeight="1" x14ac:dyDescent="0.2">
      <c r="AG4112" s="19"/>
      <c r="AJ4112" s="410"/>
    </row>
    <row r="4113" spans="33:36" ht="11.25" customHeight="1" x14ac:dyDescent="0.2">
      <c r="AG4113" s="19"/>
      <c r="AJ4113" s="410"/>
    </row>
    <row r="4114" spans="33:36" ht="11.25" customHeight="1" x14ac:dyDescent="0.2">
      <c r="AG4114" s="19"/>
      <c r="AJ4114" s="410"/>
    </row>
    <row r="4115" spans="33:36" ht="11.25" customHeight="1" x14ac:dyDescent="0.2">
      <c r="AG4115" s="19"/>
      <c r="AJ4115" s="410"/>
    </row>
    <row r="4116" spans="33:36" ht="11.25" customHeight="1" x14ac:dyDescent="0.2">
      <c r="AG4116" s="19"/>
      <c r="AJ4116" s="410"/>
    </row>
    <row r="4117" spans="33:36" ht="11.25" customHeight="1" x14ac:dyDescent="0.2">
      <c r="AG4117" s="19"/>
      <c r="AJ4117" s="410"/>
    </row>
    <row r="4118" spans="33:36" ht="11.25" customHeight="1" x14ac:dyDescent="0.2">
      <c r="AG4118" s="19"/>
      <c r="AJ4118" s="410"/>
    </row>
    <row r="4119" spans="33:36" ht="11.25" customHeight="1" x14ac:dyDescent="0.2">
      <c r="AG4119" s="19"/>
      <c r="AJ4119" s="410"/>
    </row>
    <row r="4120" spans="33:36" ht="11.25" customHeight="1" x14ac:dyDescent="0.2">
      <c r="AG4120" s="19"/>
      <c r="AJ4120" s="410"/>
    </row>
    <row r="4121" spans="33:36" ht="11.25" customHeight="1" x14ac:dyDescent="0.2">
      <c r="AG4121" s="19"/>
      <c r="AJ4121" s="410"/>
    </row>
    <row r="4122" spans="33:36" ht="11.25" customHeight="1" x14ac:dyDescent="0.2">
      <c r="AG4122" s="19"/>
      <c r="AJ4122" s="410"/>
    </row>
    <row r="4123" spans="33:36" ht="11.25" customHeight="1" x14ac:dyDescent="0.2">
      <c r="AG4123" s="19"/>
      <c r="AJ4123" s="410"/>
    </row>
    <row r="4124" spans="33:36" ht="11.25" customHeight="1" x14ac:dyDescent="0.2">
      <c r="AG4124" s="19"/>
      <c r="AJ4124" s="410"/>
    </row>
    <row r="4125" spans="33:36" ht="11.25" customHeight="1" x14ac:dyDescent="0.2">
      <c r="AG4125" s="19"/>
      <c r="AJ4125" s="410"/>
    </row>
    <row r="4126" spans="33:36" ht="11.25" customHeight="1" x14ac:dyDescent="0.2">
      <c r="AG4126" s="19"/>
      <c r="AJ4126" s="410"/>
    </row>
    <row r="4127" spans="33:36" ht="11.25" customHeight="1" x14ac:dyDescent="0.2">
      <c r="AG4127" s="19"/>
      <c r="AJ4127" s="410"/>
    </row>
    <row r="4128" spans="33:36" ht="11.25" customHeight="1" x14ac:dyDescent="0.2">
      <c r="AG4128" s="19"/>
      <c r="AJ4128" s="410"/>
    </row>
    <row r="4129" spans="33:36" ht="11.25" customHeight="1" x14ac:dyDescent="0.2">
      <c r="AG4129" s="19"/>
      <c r="AJ4129" s="410"/>
    </row>
    <row r="4130" spans="33:36" ht="11.25" customHeight="1" x14ac:dyDescent="0.2">
      <c r="AG4130" s="19"/>
      <c r="AJ4130" s="410"/>
    </row>
    <row r="4131" spans="33:36" ht="11.25" customHeight="1" x14ac:dyDescent="0.2">
      <c r="AG4131" s="19"/>
      <c r="AJ4131" s="410"/>
    </row>
    <row r="4132" spans="33:36" ht="11.25" customHeight="1" x14ac:dyDescent="0.2">
      <c r="AG4132" s="19"/>
      <c r="AJ4132" s="410"/>
    </row>
    <row r="4133" spans="33:36" ht="11.25" customHeight="1" x14ac:dyDescent="0.2">
      <c r="AG4133" s="19"/>
      <c r="AJ4133" s="410"/>
    </row>
    <row r="4134" spans="33:36" ht="11.25" customHeight="1" x14ac:dyDescent="0.2">
      <c r="AG4134" s="19"/>
      <c r="AJ4134" s="410"/>
    </row>
    <row r="4135" spans="33:36" ht="11.25" customHeight="1" x14ac:dyDescent="0.2">
      <c r="AG4135" s="19"/>
      <c r="AJ4135" s="410"/>
    </row>
    <row r="4136" spans="33:36" ht="11.25" customHeight="1" x14ac:dyDescent="0.2">
      <c r="AG4136" s="19"/>
      <c r="AJ4136" s="410"/>
    </row>
    <row r="4137" spans="33:36" ht="11.25" customHeight="1" x14ac:dyDescent="0.2">
      <c r="AG4137" s="19"/>
      <c r="AJ4137" s="410"/>
    </row>
    <row r="4138" spans="33:36" ht="11.25" customHeight="1" x14ac:dyDescent="0.2">
      <c r="AG4138" s="19"/>
      <c r="AJ4138" s="410"/>
    </row>
    <row r="4139" spans="33:36" ht="11.25" customHeight="1" x14ac:dyDescent="0.2">
      <c r="AG4139" s="19"/>
      <c r="AJ4139" s="410"/>
    </row>
    <row r="4140" spans="33:36" ht="11.25" customHeight="1" x14ac:dyDescent="0.2">
      <c r="AG4140" s="19"/>
      <c r="AJ4140" s="410"/>
    </row>
    <row r="4141" spans="33:36" ht="11.25" customHeight="1" x14ac:dyDescent="0.2">
      <c r="AG4141" s="19"/>
      <c r="AJ4141" s="410"/>
    </row>
    <row r="4142" spans="33:36" ht="11.25" customHeight="1" x14ac:dyDescent="0.2">
      <c r="AG4142" s="19"/>
      <c r="AJ4142" s="410"/>
    </row>
    <row r="4143" spans="33:36" ht="11.25" customHeight="1" x14ac:dyDescent="0.2">
      <c r="AG4143" s="19"/>
      <c r="AJ4143" s="410"/>
    </row>
    <row r="4144" spans="33:36" ht="11.25" customHeight="1" x14ac:dyDescent="0.2">
      <c r="AG4144" s="19"/>
      <c r="AJ4144" s="410"/>
    </row>
    <row r="4145" spans="33:36" ht="11.25" customHeight="1" x14ac:dyDescent="0.2">
      <c r="AG4145" s="19"/>
      <c r="AJ4145" s="410"/>
    </row>
    <row r="4146" spans="33:36" ht="11.25" customHeight="1" x14ac:dyDescent="0.2">
      <c r="AG4146" s="19"/>
      <c r="AJ4146" s="410"/>
    </row>
    <row r="4147" spans="33:36" ht="11.25" customHeight="1" x14ac:dyDescent="0.2">
      <c r="AG4147" s="19"/>
      <c r="AJ4147" s="410"/>
    </row>
    <row r="4148" spans="33:36" ht="11.25" customHeight="1" x14ac:dyDescent="0.2">
      <c r="AG4148" s="19"/>
      <c r="AJ4148" s="410"/>
    </row>
    <row r="4149" spans="33:36" ht="11.25" customHeight="1" x14ac:dyDescent="0.2">
      <c r="AG4149" s="19"/>
      <c r="AJ4149" s="410"/>
    </row>
    <row r="4150" spans="33:36" ht="11.25" customHeight="1" x14ac:dyDescent="0.2">
      <c r="AG4150" s="19"/>
      <c r="AJ4150" s="410"/>
    </row>
    <row r="4151" spans="33:36" ht="11.25" customHeight="1" x14ac:dyDescent="0.2">
      <c r="AG4151" s="19"/>
      <c r="AJ4151" s="410"/>
    </row>
    <row r="4152" spans="33:36" ht="11.25" customHeight="1" x14ac:dyDescent="0.2">
      <c r="AG4152" s="19"/>
      <c r="AJ4152" s="410"/>
    </row>
    <row r="4153" spans="33:36" ht="11.25" customHeight="1" x14ac:dyDescent="0.2">
      <c r="AG4153" s="19"/>
      <c r="AJ4153" s="410"/>
    </row>
    <row r="4154" spans="33:36" ht="11.25" customHeight="1" x14ac:dyDescent="0.2">
      <c r="AG4154" s="19"/>
      <c r="AJ4154" s="410"/>
    </row>
    <row r="4155" spans="33:36" ht="11.25" customHeight="1" x14ac:dyDescent="0.2">
      <c r="AG4155" s="19"/>
      <c r="AJ4155" s="410"/>
    </row>
    <row r="4156" spans="33:36" ht="11.25" customHeight="1" x14ac:dyDescent="0.2">
      <c r="AG4156" s="19"/>
      <c r="AJ4156" s="410"/>
    </row>
    <row r="4157" spans="33:36" ht="11.25" customHeight="1" x14ac:dyDescent="0.2">
      <c r="AG4157" s="19"/>
      <c r="AJ4157" s="410"/>
    </row>
    <row r="4158" spans="33:36" ht="11.25" customHeight="1" x14ac:dyDescent="0.2">
      <c r="AG4158" s="19"/>
      <c r="AJ4158" s="410"/>
    </row>
    <row r="4159" spans="33:36" ht="11.25" customHeight="1" x14ac:dyDescent="0.2">
      <c r="AG4159" s="19"/>
      <c r="AJ4159" s="410"/>
    </row>
    <row r="4160" spans="33:36" ht="11.25" customHeight="1" x14ac:dyDescent="0.2">
      <c r="AG4160" s="19"/>
      <c r="AJ4160" s="410"/>
    </row>
    <row r="4161" spans="33:36" ht="11.25" customHeight="1" x14ac:dyDescent="0.2">
      <c r="AG4161" s="19"/>
      <c r="AJ4161" s="410"/>
    </row>
    <row r="4162" spans="33:36" ht="11.25" customHeight="1" x14ac:dyDescent="0.2">
      <c r="AG4162" s="19"/>
      <c r="AJ4162" s="410"/>
    </row>
    <row r="4163" spans="33:36" ht="11.25" customHeight="1" x14ac:dyDescent="0.2">
      <c r="AG4163" s="19"/>
      <c r="AJ4163" s="410"/>
    </row>
    <row r="4164" spans="33:36" ht="11.25" customHeight="1" x14ac:dyDescent="0.2">
      <c r="AG4164" s="19"/>
      <c r="AJ4164" s="410"/>
    </row>
    <row r="4165" spans="33:36" ht="11.25" customHeight="1" x14ac:dyDescent="0.2">
      <c r="AG4165" s="19"/>
      <c r="AJ4165" s="410"/>
    </row>
    <row r="4166" spans="33:36" ht="11.25" customHeight="1" x14ac:dyDescent="0.2">
      <c r="AG4166" s="19"/>
      <c r="AJ4166" s="410"/>
    </row>
    <row r="4167" spans="33:36" ht="11.25" customHeight="1" x14ac:dyDescent="0.2">
      <c r="AG4167" s="19"/>
      <c r="AJ4167" s="410"/>
    </row>
    <row r="4168" spans="33:36" ht="11.25" customHeight="1" x14ac:dyDescent="0.2">
      <c r="AG4168" s="19"/>
      <c r="AJ4168" s="410"/>
    </row>
    <row r="4169" spans="33:36" ht="11.25" customHeight="1" x14ac:dyDescent="0.2">
      <c r="AG4169" s="19"/>
      <c r="AJ4169" s="410"/>
    </row>
    <row r="4170" spans="33:36" ht="11.25" customHeight="1" x14ac:dyDescent="0.2">
      <c r="AG4170" s="19"/>
      <c r="AJ4170" s="410"/>
    </row>
    <row r="4171" spans="33:36" ht="11.25" customHeight="1" x14ac:dyDescent="0.2">
      <c r="AG4171" s="19"/>
      <c r="AJ4171" s="410"/>
    </row>
    <row r="4172" spans="33:36" ht="11.25" customHeight="1" x14ac:dyDescent="0.2">
      <c r="AG4172" s="19"/>
      <c r="AJ4172" s="410"/>
    </row>
    <row r="4173" spans="33:36" ht="11.25" customHeight="1" x14ac:dyDescent="0.2">
      <c r="AG4173" s="19"/>
      <c r="AJ4173" s="410"/>
    </row>
    <row r="4174" spans="33:36" ht="11.25" customHeight="1" x14ac:dyDescent="0.2">
      <c r="AG4174" s="19"/>
      <c r="AJ4174" s="410"/>
    </row>
    <row r="4175" spans="33:36" ht="11.25" customHeight="1" x14ac:dyDescent="0.2">
      <c r="AG4175" s="19"/>
      <c r="AJ4175" s="410"/>
    </row>
    <row r="4176" spans="33:36" ht="11.25" customHeight="1" x14ac:dyDescent="0.2">
      <c r="AG4176" s="19"/>
      <c r="AJ4176" s="410"/>
    </row>
    <row r="4177" spans="33:36" ht="11.25" customHeight="1" x14ac:dyDescent="0.2">
      <c r="AG4177" s="19"/>
      <c r="AJ4177" s="410"/>
    </row>
    <row r="4178" spans="33:36" ht="11.25" customHeight="1" x14ac:dyDescent="0.2">
      <c r="AG4178" s="19"/>
      <c r="AJ4178" s="410"/>
    </row>
    <row r="4179" spans="33:36" ht="11.25" customHeight="1" x14ac:dyDescent="0.2">
      <c r="AG4179" s="19"/>
      <c r="AJ4179" s="410"/>
    </row>
    <row r="4180" spans="33:36" ht="11.25" customHeight="1" x14ac:dyDescent="0.2">
      <c r="AG4180" s="19"/>
      <c r="AJ4180" s="410"/>
    </row>
    <row r="4181" spans="33:36" ht="11.25" customHeight="1" x14ac:dyDescent="0.2">
      <c r="AG4181" s="19"/>
      <c r="AJ4181" s="410"/>
    </row>
    <row r="4182" spans="33:36" ht="11.25" customHeight="1" x14ac:dyDescent="0.2">
      <c r="AG4182" s="19"/>
      <c r="AJ4182" s="410"/>
    </row>
    <row r="4183" spans="33:36" ht="11.25" customHeight="1" x14ac:dyDescent="0.2">
      <c r="AG4183" s="19"/>
      <c r="AJ4183" s="410"/>
    </row>
    <row r="4184" spans="33:36" ht="11.25" customHeight="1" x14ac:dyDescent="0.2">
      <c r="AG4184" s="19"/>
      <c r="AJ4184" s="410"/>
    </row>
    <row r="4185" spans="33:36" ht="11.25" customHeight="1" x14ac:dyDescent="0.2">
      <c r="AG4185" s="19"/>
      <c r="AJ4185" s="410"/>
    </row>
    <row r="4186" spans="33:36" ht="11.25" customHeight="1" x14ac:dyDescent="0.2">
      <c r="AG4186" s="19"/>
      <c r="AJ4186" s="410"/>
    </row>
    <row r="4187" spans="33:36" ht="11.25" customHeight="1" x14ac:dyDescent="0.2">
      <c r="AG4187" s="19"/>
      <c r="AJ4187" s="410"/>
    </row>
    <row r="4188" spans="33:36" ht="11.25" customHeight="1" x14ac:dyDescent="0.2">
      <c r="AG4188" s="19"/>
      <c r="AJ4188" s="410"/>
    </row>
    <row r="4189" spans="33:36" ht="11.25" customHeight="1" x14ac:dyDescent="0.2">
      <c r="AG4189" s="19"/>
      <c r="AJ4189" s="410"/>
    </row>
    <row r="4190" spans="33:36" ht="11.25" customHeight="1" x14ac:dyDescent="0.2">
      <c r="AG4190" s="19"/>
      <c r="AJ4190" s="410"/>
    </row>
    <row r="4191" spans="33:36" ht="11.25" customHeight="1" x14ac:dyDescent="0.2">
      <c r="AG4191" s="19"/>
      <c r="AJ4191" s="410"/>
    </row>
    <row r="4192" spans="33:36" ht="11.25" customHeight="1" x14ac:dyDescent="0.2">
      <c r="AG4192" s="19"/>
      <c r="AJ4192" s="410"/>
    </row>
    <row r="4193" spans="33:36" ht="11.25" customHeight="1" x14ac:dyDescent="0.2">
      <c r="AG4193" s="19"/>
      <c r="AJ4193" s="410"/>
    </row>
    <row r="4194" spans="33:36" ht="11.25" customHeight="1" x14ac:dyDescent="0.2">
      <c r="AG4194" s="19"/>
      <c r="AJ4194" s="410"/>
    </row>
    <row r="4195" spans="33:36" ht="11.25" customHeight="1" x14ac:dyDescent="0.2">
      <c r="AG4195" s="19"/>
      <c r="AJ4195" s="410"/>
    </row>
    <row r="4196" spans="33:36" ht="11.25" customHeight="1" x14ac:dyDescent="0.2">
      <c r="AG4196" s="19"/>
      <c r="AJ4196" s="410"/>
    </row>
    <row r="4197" spans="33:36" ht="11.25" customHeight="1" x14ac:dyDescent="0.2">
      <c r="AG4197" s="19"/>
      <c r="AJ4197" s="410"/>
    </row>
    <row r="4198" spans="33:36" ht="11.25" customHeight="1" x14ac:dyDescent="0.2">
      <c r="AG4198" s="19"/>
      <c r="AJ4198" s="410"/>
    </row>
    <row r="4199" spans="33:36" ht="11.25" customHeight="1" x14ac:dyDescent="0.2">
      <c r="AG4199" s="19"/>
      <c r="AJ4199" s="410"/>
    </row>
    <row r="4200" spans="33:36" ht="11.25" customHeight="1" x14ac:dyDescent="0.2">
      <c r="AG4200" s="19"/>
      <c r="AJ4200" s="410"/>
    </row>
    <row r="4201" spans="33:36" ht="11.25" customHeight="1" x14ac:dyDescent="0.2">
      <c r="AG4201" s="19"/>
      <c r="AJ4201" s="410"/>
    </row>
    <row r="4202" spans="33:36" ht="11.25" customHeight="1" x14ac:dyDescent="0.2">
      <c r="AG4202" s="19"/>
      <c r="AJ4202" s="410"/>
    </row>
    <row r="4203" spans="33:36" ht="11.25" customHeight="1" x14ac:dyDescent="0.2">
      <c r="AG4203" s="19"/>
      <c r="AJ4203" s="410"/>
    </row>
    <row r="4204" spans="33:36" ht="11.25" customHeight="1" x14ac:dyDescent="0.2">
      <c r="AG4204" s="19"/>
      <c r="AJ4204" s="410"/>
    </row>
    <row r="4205" spans="33:36" ht="11.25" customHeight="1" x14ac:dyDescent="0.2">
      <c r="AG4205" s="19"/>
      <c r="AJ4205" s="410"/>
    </row>
    <row r="4206" spans="33:36" ht="11.25" customHeight="1" x14ac:dyDescent="0.2">
      <c r="AG4206" s="19"/>
      <c r="AJ4206" s="410"/>
    </row>
    <row r="4207" spans="33:36" ht="11.25" customHeight="1" x14ac:dyDescent="0.2">
      <c r="AG4207" s="19"/>
      <c r="AJ4207" s="410"/>
    </row>
    <row r="4208" spans="33:36" ht="11.25" customHeight="1" x14ac:dyDescent="0.2">
      <c r="AG4208" s="19"/>
      <c r="AJ4208" s="410"/>
    </row>
    <row r="4209" spans="33:36" ht="11.25" customHeight="1" x14ac:dyDescent="0.2">
      <c r="AG4209" s="19"/>
      <c r="AJ4209" s="410"/>
    </row>
    <row r="4210" spans="33:36" ht="11.25" customHeight="1" x14ac:dyDescent="0.2">
      <c r="AG4210" s="19"/>
      <c r="AJ4210" s="410"/>
    </row>
    <row r="4211" spans="33:36" ht="11.25" customHeight="1" x14ac:dyDescent="0.2">
      <c r="AG4211" s="19"/>
      <c r="AJ4211" s="410"/>
    </row>
    <row r="4212" spans="33:36" ht="11.25" customHeight="1" x14ac:dyDescent="0.2">
      <c r="AG4212" s="19"/>
      <c r="AJ4212" s="410"/>
    </row>
    <row r="4213" spans="33:36" ht="11.25" customHeight="1" x14ac:dyDescent="0.2">
      <c r="AG4213" s="19"/>
      <c r="AJ4213" s="410"/>
    </row>
    <row r="4214" spans="33:36" ht="11.25" customHeight="1" x14ac:dyDescent="0.2">
      <c r="AG4214" s="19"/>
      <c r="AJ4214" s="410"/>
    </row>
    <row r="4215" spans="33:36" ht="11.25" customHeight="1" x14ac:dyDescent="0.2">
      <c r="AG4215" s="19"/>
      <c r="AJ4215" s="410"/>
    </row>
    <row r="4216" spans="33:36" ht="11.25" customHeight="1" x14ac:dyDescent="0.2">
      <c r="AG4216" s="19"/>
      <c r="AJ4216" s="410"/>
    </row>
    <row r="4217" spans="33:36" ht="11.25" customHeight="1" x14ac:dyDescent="0.2">
      <c r="AG4217" s="19"/>
      <c r="AJ4217" s="410"/>
    </row>
    <row r="4218" spans="33:36" ht="11.25" customHeight="1" x14ac:dyDescent="0.2">
      <c r="AG4218" s="19"/>
      <c r="AJ4218" s="410"/>
    </row>
    <row r="4219" spans="33:36" ht="11.25" customHeight="1" x14ac:dyDescent="0.2">
      <c r="AG4219" s="19"/>
      <c r="AJ4219" s="410"/>
    </row>
    <row r="4220" spans="33:36" ht="11.25" customHeight="1" x14ac:dyDescent="0.2">
      <c r="AG4220" s="19"/>
      <c r="AJ4220" s="410"/>
    </row>
    <row r="4221" spans="33:36" ht="11.25" customHeight="1" x14ac:dyDescent="0.2">
      <c r="AG4221" s="19"/>
      <c r="AJ4221" s="410"/>
    </row>
    <row r="4222" spans="33:36" ht="11.25" customHeight="1" x14ac:dyDescent="0.2">
      <c r="AG4222" s="19"/>
      <c r="AJ4222" s="410"/>
    </row>
    <row r="4223" spans="33:36" ht="11.25" customHeight="1" x14ac:dyDescent="0.2">
      <c r="AG4223" s="19"/>
      <c r="AJ4223" s="410"/>
    </row>
    <row r="4224" spans="33:36" ht="11.25" customHeight="1" x14ac:dyDescent="0.2">
      <c r="AG4224" s="19"/>
      <c r="AJ4224" s="410"/>
    </row>
    <row r="4225" spans="33:36" ht="11.25" customHeight="1" x14ac:dyDescent="0.2">
      <c r="AG4225" s="19"/>
      <c r="AJ4225" s="410"/>
    </row>
    <row r="4226" spans="33:36" ht="11.25" customHeight="1" x14ac:dyDescent="0.2">
      <c r="AG4226" s="19"/>
      <c r="AJ4226" s="410"/>
    </row>
    <row r="4227" spans="33:36" ht="11.25" customHeight="1" x14ac:dyDescent="0.2">
      <c r="AG4227" s="19"/>
      <c r="AJ4227" s="410"/>
    </row>
    <row r="4228" spans="33:36" ht="11.25" customHeight="1" x14ac:dyDescent="0.2">
      <c r="AG4228" s="19"/>
      <c r="AJ4228" s="410"/>
    </row>
    <row r="4229" spans="33:36" ht="11.25" customHeight="1" x14ac:dyDescent="0.2">
      <c r="AG4229" s="19"/>
      <c r="AJ4229" s="410"/>
    </row>
    <row r="4230" spans="33:36" ht="11.25" customHeight="1" x14ac:dyDescent="0.2">
      <c r="AG4230" s="19"/>
      <c r="AJ4230" s="410"/>
    </row>
    <row r="4231" spans="33:36" ht="11.25" customHeight="1" x14ac:dyDescent="0.2">
      <c r="AG4231" s="19"/>
      <c r="AJ4231" s="410"/>
    </row>
    <row r="4232" spans="33:36" ht="11.25" customHeight="1" x14ac:dyDescent="0.2">
      <c r="AG4232" s="19"/>
      <c r="AJ4232" s="410"/>
    </row>
    <row r="4233" spans="33:36" ht="11.25" customHeight="1" x14ac:dyDescent="0.2">
      <c r="AG4233" s="19"/>
      <c r="AJ4233" s="410"/>
    </row>
    <row r="4234" spans="33:36" ht="11.25" customHeight="1" x14ac:dyDescent="0.2">
      <c r="AG4234" s="19"/>
      <c r="AJ4234" s="410"/>
    </row>
    <row r="4235" spans="33:36" ht="11.25" customHeight="1" x14ac:dyDescent="0.2">
      <c r="AG4235" s="19"/>
      <c r="AJ4235" s="410"/>
    </row>
    <row r="4236" spans="33:36" ht="11.25" customHeight="1" x14ac:dyDescent="0.2">
      <c r="AG4236" s="19"/>
      <c r="AJ4236" s="410"/>
    </row>
    <row r="4237" spans="33:36" ht="11.25" customHeight="1" x14ac:dyDescent="0.2">
      <c r="AG4237" s="19"/>
      <c r="AJ4237" s="410"/>
    </row>
    <row r="4238" spans="33:36" ht="11.25" customHeight="1" x14ac:dyDescent="0.2">
      <c r="AG4238" s="19"/>
      <c r="AJ4238" s="410"/>
    </row>
    <row r="4239" spans="33:36" ht="11.25" customHeight="1" x14ac:dyDescent="0.2">
      <c r="AG4239" s="19"/>
      <c r="AJ4239" s="410"/>
    </row>
    <row r="4240" spans="33:36" ht="11.25" customHeight="1" x14ac:dyDescent="0.2">
      <c r="AG4240" s="19"/>
      <c r="AJ4240" s="410"/>
    </row>
    <row r="4241" spans="33:36" ht="11.25" customHeight="1" x14ac:dyDescent="0.2">
      <c r="AG4241" s="19"/>
      <c r="AJ4241" s="410"/>
    </row>
    <row r="4242" spans="33:36" ht="11.25" customHeight="1" x14ac:dyDescent="0.2">
      <c r="AG4242" s="19"/>
      <c r="AJ4242" s="410"/>
    </row>
    <row r="4243" spans="33:36" ht="11.25" customHeight="1" x14ac:dyDescent="0.2">
      <c r="AG4243" s="19"/>
      <c r="AJ4243" s="410"/>
    </row>
    <row r="4244" spans="33:36" ht="11.25" customHeight="1" x14ac:dyDescent="0.2">
      <c r="AG4244" s="19"/>
      <c r="AJ4244" s="410"/>
    </row>
    <row r="4245" spans="33:36" ht="11.25" customHeight="1" x14ac:dyDescent="0.2">
      <c r="AG4245" s="19"/>
      <c r="AJ4245" s="410"/>
    </row>
    <row r="4246" spans="33:36" ht="11.25" customHeight="1" x14ac:dyDescent="0.2">
      <c r="AG4246" s="19"/>
      <c r="AJ4246" s="410"/>
    </row>
    <row r="4247" spans="33:36" ht="11.25" customHeight="1" x14ac:dyDescent="0.2">
      <c r="AG4247" s="19"/>
      <c r="AJ4247" s="410"/>
    </row>
    <row r="4248" spans="33:36" ht="11.25" customHeight="1" x14ac:dyDescent="0.2">
      <c r="AG4248" s="19"/>
      <c r="AJ4248" s="410"/>
    </row>
    <row r="4249" spans="33:36" ht="11.25" customHeight="1" x14ac:dyDescent="0.2">
      <c r="AG4249" s="19"/>
      <c r="AJ4249" s="410"/>
    </row>
    <row r="4250" spans="33:36" ht="11.25" customHeight="1" x14ac:dyDescent="0.2">
      <c r="AG4250" s="19"/>
      <c r="AJ4250" s="410"/>
    </row>
    <row r="4251" spans="33:36" ht="11.25" customHeight="1" x14ac:dyDescent="0.2">
      <c r="AG4251" s="19"/>
      <c r="AJ4251" s="410"/>
    </row>
    <row r="4252" spans="33:36" ht="11.25" customHeight="1" x14ac:dyDescent="0.2">
      <c r="AG4252" s="19"/>
      <c r="AJ4252" s="410"/>
    </row>
    <row r="4253" spans="33:36" ht="11.25" customHeight="1" x14ac:dyDescent="0.2">
      <c r="AG4253" s="19"/>
      <c r="AJ4253" s="410"/>
    </row>
    <row r="4254" spans="33:36" ht="11.25" customHeight="1" x14ac:dyDescent="0.2">
      <c r="AG4254" s="19"/>
      <c r="AJ4254" s="410"/>
    </row>
    <row r="4255" spans="33:36" ht="11.25" customHeight="1" x14ac:dyDescent="0.2">
      <c r="AG4255" s="19"/>
      <c r="AJ4255" s="410"/>
    </row>
    <row r="4256" spans="33:36" ht="11.25" customHeight="1" x14ac:dyDescent="0.2">
      <c r="AG4256" s="19"/>
      <c r="AJ4256" s="410"/>
    </row>
    <row r="4257" spans="33:36" ht="11.25" customHeight="1" x14ac:dyDescent="0.2">
      <c r="AG4257" s="19"/>
      <c r="AJ4257" s="410"/>
    </row>
    <row r="4258" spans="33:36" ht="11.25" customHeight="1" x14ac:dyDescent="0.2">
      <c r="AG4258" s="19"/>
      <c r="AJ4258" s="410"/>
    </row>
    <row r="4259" spans="33:36" ht="11.25" customHeight="1" x14ac:dyDescent="0.2">
      <c r="AG4259" s="19"/>
      <c r="AJ4259" s="410"/>
    </row>
    <row r="4260" spans="33:36" ht="11.25" customHeight="1" x14ac:dyDescent="0.2">
      <c r="AG4260" s="19"/>
      <c r="AJ4260" s="410"/>
    </row>
    <row r="4261" spans="33:36" ht="11.25" customHeight="1" x14ac:dyDescent="0.2">
      <c r="AG4261" s="19"/>
      <c r="AJ4261" s="410"/>
    </row>
    <row r="4262" spans="33:36" ht="11.25" customHeight="1" x14ac:dyDescent="0.2">
      <c r="AG4262" s="19"/>
      <c r="AJ4262" s="410"/>
    </row>
    <row r="4263" spans="33:36" ht="11.25" customHeight="1" x14ac:dyDescent="0.2">
      <c r="AG4263" s="19"/>
      <c r="AJ4263" s="410"/>
    </row>
    <row r="4264" spans="33:36" ht="11.25" customHeight="1" x14ac:dyDescent="0.2">
      <c r="AG4264" s="19"/>
      <c r="AJ4264" s="410"/>
    </row>
    <row r="4265" spans="33:36" ht="11.25" customHeight="1" x14ac:dyDescent="0.2">
      <c r="AG4265" s="19"/>
      <c r="AJ4265" s="410"/>
    </row>
    <row r="4266" spans="33:36" ht="11.25" customHeight="1" x14ac:dyDescent="0.2">
      <c r="AG4266" s="19"/>
      <c r="AJ4266" s="410"/>
    </row>
    <row r="4267" spans="33:36" ht="11.25" customHeight="1" x14ac:dyDescent="0.2">
      <c r="AG4267" s="19"/>
      <c r="AJ4267" s="410"/>
    </row>
    <row r="4268" spans="33:36" ht="11.25" customHeight="1" x14ac:dyDescent="0.2">
      <c r="AG4268" s="19"/>
      <c r="AJ4268" s="410"/>
    </row>
    <row r="4269" spans="33:36" ht="11.25" customHeight="1" x14ac:dyDescent="0.2">
      <c r="AG4269" s="19"/>
      <c r="AJ4269" s="410"/>
    </row>
    <row r="4270" spans="33:36" ht="11.25" customHeight="1" x14ac:dyDescent="0.2">
      <c r="AG4270" s="19"/>
      <c r="AJ4270" s="410"/>
    </row>
    <row r="4271" spans="33:36" ht="11.25" customHeight="1" x14ac:dyDescent="0.2">
      <c r="AG4271" s="19"/>
      <c r="AJ4271" s="410"/>
    </row>
    <row r="4272" spans="33:36" ht="11.25" customHeight="1" x14ac:dyDescent="0.2">
      <c r="AG4272" s="19"/>
      <c r="AJ4272" s="410"/>
    </row>
    <row r="4273" spans="33:36" ht="11.25" customHeight="1" x14ac:dyDescent="0.2">
      <c r="AG4273" s="19"/>
      <c r="AJ4273" s="410"/>
    </row>
    <row r="4274" spans="33:36" ht="11.25" customHeight="1" x14ac:dyDescent="0.2">
      <c r="AG4274" s="19"/>
      <c r="AJ4274" s="410"/>
    </row>
    <row r="4275" spans="33:36" ht="11.25" customHeight="1" x14ac:dyDescent="0.2">
      <c r="AG4275" s="19"/>
      <c r="AJ4275" s="410"/>
    </row>
    <row r="4276" spans="33:36" ht="11.25" customHeight="1" x14ac:dyDescent="0.2">
      <c r="AG4276" s="19"/>
      <c r="AJ4276" s="410"/>
    </row>
    <row r="4277" spans="33:36" ht="11.25" customHeight="1" x14ac:dyDescent="0.2">
      <c r="AG4277" s="19"/>
      <c r="AJ4277" s="410"/>
    </row>
    <row r="4278" spans="33:36" ht="11.25" customHeight="1" x14ac:dyDescent="0.2">
      <c r="AG4278" s="19"/>
      <c r="AJ4278" s="410"/>
    </row>
    <row r="4279" spans="33:36" ht="11.25" customHeight="1" x14ac:dyDescent="0.2">
      <c r="AG4279" s="19"/>
      <c r="AJ4279" s="410"/>
    </row>
    <row r="4280" spans="33:36" ht="11.25" customHeight="1" x14ac:dyDescent="0.2">
      <c r="AG4280" s="19"/>
      <c r="AJ4280" s="410"/>
    </row>
    <row r="4281" spans="33:36" ht="11.25" customHeight="1" x14ac:dyDescent="0.2">
      <c r="AG4281" s="19"/>
      <c r="AJ4281" s="410"/>
    </row>
    <row r="4282" spans="33:36" ht="11.25" customHeight="1" x14ac:dyDescent="0.2">
      <c r="AG4282" s="19"/>
      <c r="AJ4282" s="410"/>
    </row>
    <row r="4283" spans="33:36" ht="11.25" customHeight="1" x14ac:dyDescent="0.2">
      <c r="AG4283" s="19"/>
      <c r="AJ4283" s="410"/>
    </row>
    <row r="4284" spans="33:36" ht="11.25" customHeight="1" x14ac:dyDescent="0.2">
      <c r="AG4284" s="19"/>
      <c r="AJ4284" s="410"/>
    </row>
    <row r="4285" spans="33:36" ht="11.25" customHeight="1" x14ac:dyDescent="0.2">
      <c r="AG4285" s="19"/>
      <c r="AJ4285" s="410"/>
    </row>
    <row r="4286" spans="33:36" ht="11.25" customHeight="1" x14ac:dyDescent="0.2">
      <c r="AG4286" s="19"/>
      <c r="AJ4286" s="410"/>
    </row>
    <row r="4287" spans="33:36" ht="11.25" customHeight="1" x14ac:dyDescent="0.2">
      <c r="AG4287" s="19"/>
      <c r="AJ4287" s="410"/>
    </row>
    <row r="4288" spans="33:36" ht="11.25" customHeight="1" x14ac:dyDescent="0.2">
      <c r="AG4288" s="19"/>
      <c r="AJ4288" s="410"/>
    </row>
    <row r="4289" spans="33:36" ht="11.25" customHeight="1" x14ac:dyDescent="0.2">
      <c r="AG4289" s="19"/>
      <c r="AJ4289" s="410"/>
    </row>
    <row r="4290" spans="33:36" ht="11.25" customHeight="1" x14ac:dyDescent="0.2">
      <c r="AG4290" s="19"/>
      <c r="AJ4290" s="410"/>
    </row>
    <row r="4291" spans="33:36" ht="11.25" customHeight="1" x14ac:dyDescent="0.2">
      <c r="AG4291" s="19"/>
      <c r="AJ4291" s="410"/>
    </row>
    <row r="4292" spans="33:36" ht="11.25" customHeight="1" x14ac:dyDescent="0.2">
      <c r="AG4292" s="19"/>
      <c r="AJ4292" s="410"/>
    </row>
    <row r="4293" spans="33:36" ht="11.25" customHeight="1" x14ac:dyDescent="0.2">
      <c r="AG4293" s="19"/>
      <c r="AJ4293" s="410"/>
    </row>
    <row r="4294" spans="33:36" ht="11.25" customHeight="1" x14ac:dyDescent="0.2">
      <c r="AG4294" s="19"/>
      <c r="AJ4294" s="410"/>
    </row>
    <row r="4295" spans="33:36" ht="11.25" customHeight="1" x14ac:dyDescent="0.2">
      <c r="AG4295" s="19"/>
      <c r="AJ4295" s="410"/>
    </row>
    <row r="4296" spans="33:36" ht="11.25" customHeight="1" x14ac:dyDescent="0.2">
      <c r="AG4296" s="19"/>
      <c r="AJ4296" s="410"/>
    </row>
    <row r="4297" spans="33:36" ht="11.25" customHeight="1" x14ac:dyDescent="0.2">
      <c r="AG4297" s="19"/>
      <c r="AJ4297" s="410"/>
    </row>
    <row r="4298" spans="33:36" ht="11.25" customHeight="1" x14ac:dyDescent="0.2">
      <c r="AG4298" s="19"/>
      <c r="AJ4298" s="410"/>
    </row>
    <row r="4299" spans="33:36" ht="11.25" customHeight="1" x14ac:dyDescent="0.2">
      <c r="AG4299" s="19"/>
      <c r="AJ4299" s="410"/>
    </row>
    <row r="4300" spans="33:36" ht="11.25" customHeight="1" x14ac:dyDescent="0.2">
      <c r="AG4300" s="19"/>
      <c r="AJ4300" s="410"/>
    </row>
    <row r="4301" spans="33:36" ht="11.25" customHeight="1" x14ac:dyDescent="0.2">
      <c r="AG4301" s="19"/>
      <c r="AJ4301" s="410"/>
    </row>
    <row r="4302" spans="33:36" ht="11.25" customHeight="1" x14ac:dyDescent="0.2">
      <c r="AG4302" s="19"/>
      <c r="AJ4302" s="410"/>
    </row>
    <row r="4303" spans="33:36" ht="11.25" customHeight="1" x14ac:dyDescent="0.2">
      <c r="AG4303" s="19"/>
      <c r="AJ4303" s="410"/>
    </row>
    <row r="4304" spans="33:36" ht="11.25" customHeight="1" x14ac:dyDescent="0.2">
      <c r="AG4304" s="19"/>
      <c r="AJ4304" s="410"/>
    </row>
    <row r="4305" spans="33:36" ht="11.25" customHeight="1" x14ac:dyDescent="0.2">
      <c r="AG4305" s="19"/>
      <c r="AJ4305" s="410"/>
    </row>
    <row r="4306" spans="33:36" ht="11.25" customHeight="1" x14ac:dyDescent="0.2">
      <c r="AG4306" s="19"/>
      <c r="AJ4306" s="410"/>
    </row>
    <row r="4307" spans="33:36" ht="11.25" customHeight="1" x14ac:dyDescent="0.2">
      <c r="AG4307" s="19"/>
      <c r="AJ4307" s="410"/>
    </row>
    <row r="4308" spans="33:36" ht="11.25" customHeight="1" x14ac:dyDescent="0.2">
      <c r="AG4308" s="19"/>
      <c r="AJ4308" s="410"/>
    </row>
    <row r="4309" spans="33:36" ht="11.25" customHeight="1" x14ac:dyDescent="0.2">
      <c r="AG4309" s="19"/>
      <c r="AJ4309" s="410"/>
    </row>
    <row r="4310" spans="33:36" ht="11.25" customHeight="1" x14ac:dyDescent="0.2">
      <c r="AG4310" s="19"/>
      <c r="AJ4310" s="410"/>
    </row>
    <row r="4311" spans="33:36" ht="11.25" customHeight="1" x14ac:dyDescent="0.2">
      <c r="AG4311" s="19"/>
      <c r="AJ4311" s="410"/>
    </row>
    <row r="4312" spans="33:36" ht="11.25" customHeight="1" x14ac:dyDescent="0.2">
      <c r="AG4312" s="19"/>
      <c r="AJ4312" s="410"/>
    </row>
    <row r="4313" spans="33:36" ht="11.25" customHeight="1" x14ac:dyDescent="0.2">
      <c r="AG4313" s="19"/>
      <c r="AJ4313" s="410"/>
    </row>
    <row r="4314" spans="33:36" ht="11.25" customHeight="1" x14ac:dyDescent="0.2">
      <c r="AG4314" s="19"/>
      <c r="AJ4314" s="410"/>
    </row>
    <row r="4315" spans="33:36" ht="11.25" customHeight="1" x14ac:dyDescent="0.2">
      <c r="AG4315" s="19"/>
      <c r="AJ4315" s="410"/>
    </row>
    <row r="4316" spans="33:36" ht="11.25" customHeight="1" x14ac:dyDescent="0.2">
      <c r="AG4316" s="19"/>
      <c r="AJ4316" s="410"/>
    </row>
    <row r="4317" spans="33:36" ht="11.25" customHeight="1" x14ac:dyDescent="0.2">
      <c r="AG4317" s="19"/>
      <c r="AJ4317" s="410"/>
    </row>
    <row r="4318" spans="33:36" ht="11.25" customHeight="1" x14ac:dyDescent="0.2">
      <c r="AG4318" s="19"/>
      <c r="AJ4318" s="410"/>
    </row>
    <row r="4319" spans="33:36" ht="11.25" customHeight="1" x14ac:dyDescent="0.2">
      <c r="AG4319" s="19"/>
      <c r="AJ4319" s="410"/>
    </row>
    <row r="4320" spans="33:36" ht="11.25" customHeight="1" x14ac:dyDescent="0.2">
      <c r="AG4320" s="19"/>
      <c r="AJ4320" s="410"/>
    </row>
    <row r="4321" spans="33:36" ht="11.25" customHeight="1" x14ac:dyDescent="0.2">
      <c r="AG4321" s="19"/>
      <c r="AJ4321" s="410"/>
    </row>
    <row r="4322" spans="33:36" ht="11.25" customHeight="1" x14ac:dyDescent="0.2">
      <c r="AG4322" s="19"/>
      <c r="AJ4322" s="410"/>
    </row>
    <row r="4323" spans="33:36" ht="11.25" customHeight="1" x14ac:dyDescent="0.2">
      <c r="AG4323" s="19"/>
      <c r="AJ4323" s="410"/>
    </row>
    <row r="4324" spans="33:36" ht="11.25" customHeight="1" x14ac:dyDescent="0.2">
      <c r="AG4324" s="19"/>
      <c r="AJ4324" s="410"/>
    </row>
    <row r="4325" spans="33:36" ht="11.25" customHeight="1" x14ac:dyDescent="0.2">
      <c r="AG4325" s="19"/>
      <c r="AJ4325" s="410"/>
    </row>
    <row r="4326" spans="33:36" ht="11.25" customHeight="1" x14ac:dyDescent="0.2">
      <c r="AG4326" s="19"/>
      <c r="AJ4326" s="410"/>
    </row>
    <row r="4327" spans="33:36" ht="11.25" customHeight="1" x14ac:dyDescent="0.2">
      <c r="AG4327" s="19"/>
      <c r="AJ4327" s="410"/>
    </row>
    <row r="4328" spans="33:36" ht="11.25" customHeight="1" x14ac:dyDescent="0.2">
      <c r="AG4328" s="19"/>
      <c r="AJ4328" s="410"/>
    </row>
    <row r="4329" spans="33:36" ht="11.25" customHeight="1" x14ac:dyDescent="0.2">
      <c r="AG4329" s="19"/>
      <c r="AJ4329" s="410"/>
    </row>
    <row r="4330" spans="33:36" ht="11.25" customHeight="1" x14ac:dyDescent="0.2">
      <c r="AG4330" s="19"/>
      <c r="AJ4330" s="410"/>
    </row>
    <row r="4331" spans="33:36" ht="11.25" customHeight="1" x14ac:dyDescent="0.2">
      <c r="AG4331" s="19"/>
      <c r="AJ4331" s="410"/>
    </row>
    <row r="4332" spans="33:36" ht="11.25" customHeight="1" x14ac:dyDescent="0.2">
      <c r="AG4332" s="19"/>
      <c r="AJ4332" s="410"/>
    </row>
    <row r="4333" spans="33:36" ht="11.25" customHeight="1" x14ac:dyDescent="0.2">
      <c r="AG4333" s="19"/>
      <c r="AJ4333" s="410"/>
    </row>
    <row r="4334" spans="33:36" ht="11.25" customHeight="1" x14ac:dyDescent="0.2">
      <c r="AG4334" s="19"/>
      <c r="AJ4334" s="410"/>
    </row>
    <row r="4335" spans="33:36" ht="11.25" customHeight="1" x14ac:dyDescent="0.2">
      <c r="AG4335" s="19"/>
      <c r="AJ4335" s="410"/>
    </row>
    <row r="4336" spans="33:36" ht="11.25" customHeight="1" x14ac:dyDescent="0.2">
      <c r="AG4336" s="19"/>
      <c r="AJ4336" s="410"/>
    </row>
    <row r="4337" spans="33:36" ht="11.25" customHeight="1" x14ac:dyDescent="0.2">
      <c r="AG4337" s="19"/>
      <c r="AJ4337" s="410"/>
    </row>
    <row r="4338" spans="33:36" ht="11.25" customHeight="1" x14ac:dyDescent="0.2">
      <c r="AG4338" s="19"/>
      <c r="AJ4338" s="410"/>
    </row>
    <row r="4339" spans="33:36" ht="11.25" customHeight="1" x14ac:dyDescent="0.2">
      <c r="AG4339" s="19"/>
      <c r="AJ4339" s="410"/>
    </row>
    <row r="4340" spans="33:36" ht="11.25" customHeight="1" x14ac:dyDescent="0.2">
      <c r="AG4340" s="19"/>
      <c r="AJ4340" s="410"/>
    </row>
    <row r="4341" spans="33:36" ht="11.25" customHeight="1" x14ac:dyDescent="0.2">
      <c r="AG4341" s="19"/>
      <c r="AJ4341" s="410"/>
    </row>
    <row r="4342" spans="33:36" ht="11.25" customHeight="1" x14ac:dyDescent="0.2">
      <c r="AG4342" s="19"/>
      <c r="AJ4342" s="410"/>
    </row>
    <row r="4343" spans="33:36" ht="11.25" customHeight="1" x14ac:dyDescent="0.2">
      <c r="AG4343" s="19"/>
      <c r="AJ4343" s="410"/>
    </row>
    <row r="4344" spans="33:36" ht="11.25" customHeight="1" x14ac:dyDescent="0.2">
      <c r="AG4344" s="19"/>
      <c r="AJ4344" s="410"/>
    </row>
    <row r="4345" spans="33:36" ht="11.25" customHeight="1" x14ac:dyDescent="0.2">
      <c r="AG4345" s="19"/>
      <c r="AJ4345" s="410"/>
    </row>
    <row r="4346" spans="33:36" ht="11.25" customHeight="1" x14ac:dyDescent="0.2">
      <c r="AG4346" s="19"/>
      <c r="AJ4346" s="410"/>
    </row>
    <row r="4347" spans="33:36" ht="11.25" customHeight="1" x14ac:dyDescent="0.2">
      <c r="AG4347" s="19"/>
      <c r="AJ4347" s="410"/>
    </row>
    <row r="4348" spans="33:36" ht="11.25" customHeight="1" x14ac:dyDescent="0.2">
      <c r="AG4348" s="19"/>
      <c r="AJ4348" s="410"/>
    </row>
    <row r="4349" spans="33:36" ht="11.25" customHeight="1" x14ac:dyDescent="0.2">
      <c r="AG4349" s="19"/>
      <c r="AJ4349" s="410"/>
    </row>
    <row r="4350" spans="33:36" ht="11.25" customHeight="1" x14ac:dyDescent="0.2">
      <c r="AG4350" s="19"/>
      <c r="AJ4350" s="410"/>
    </row>
    <row r="4351" spans="33:36" ht="11.25" customHeight="1" x14ac:dyDescent="0.2">
      <c r="AG4351" s="19"/>
      <c r="AJ4351" s="410"/>
    </row>
    <row r="4352" spans="33:36" ht="11.25" customHeight="1" x14ac:dyDescent="0.2">
      <c r="AG4352" s="19"/>
      <c r="AJ4352" s="410"/>
    </row>
    <row r="4353" spans="33:36" ht="11.25" customHeight="1" x14ac:dyDescent="0.2">
      <c r="AG4353" s="19"/>
      <c r="AJ4353" s="410"/>
    </row>
    <row r="4354" spans="33:36" ht="11.25" customHeight="1" x14ac:dyDescent="0.2">
      <c r="AG4354" s="19"/>
      <c r="AJ4354" s="410"/>
    </row>
    <row r="4355" spans="33:36" ht="11.25" customHeight="1" x14ac:dyDescent="0.2">
      <c r="AG4355" s="19"/>
      <c r="AJ4355" s="410"/>
    </row>
    <row r="4356" spans="33:36" ht="11.25" customHeight="1" x14ac:dyDescent="0.2">
      <c r="AG4356" s="19"/>
      <c r="AJ4356" s="410"/>
    </row>
    <row r="4357" spans="33:36" ht="11.25" customHeight="1" x14ac:dyDescent="0.2">
      <c r="AG4357" s="19"/>
      <c r="AJ4357" s="410"/>
    </row>
    <row r="4358" spans="33:36" ht="11.25" customHeight="1" x14ac:dyDescent="0.2">
      <c r="AG4358" s="19"/>
      <c r="AJ4358" s="410"/>
    </row>
    <row r="4359" spans="33:36" ht="11.25" customHeight="1" x14ac:dyDescent="0.2">
      <c r="AG4359" s="19"/>
      <c r="AJ4359" s="410"/>
    </row>
    <row r="4360" spans="33:36" ht="11.25" customHeight="1" x14ac:dyDescent="0.2">
      <c r="AG4360" s="19"/>
      <c r="AJ4360" s="410"/>
    </row>
    <row r="4361" spans="33:36" ht="11.25" customHeight="1" x14ac:dyDescent="0.2">
      <c r="AG4361" s="19"/>
      <c r="AJ4361" s="410"/>
    </row>
    <row r="4362" spans="33:36" ht="11.25" customHeight="1" x14ac:dyDescent="0.2">
      <c r="AG4362" s="19"/>
      <c r="AJ4362" s="410"/>
    </row>
    <row r="4363" spans="33:36" ht="11.25" customHeight="1" x14ac:dyDescent="0.2">
      <c r="AG4363" s="19"/>
      <c r="AJ4363" s="410"/>
    </row>
    <row r="4364" spans="33:36" ht="11.25" customHeight="1" x14ac:dyDescent="0.2">
      <c r="AG4364" s="19"/>
      <c r="AJ4364" s="410"/>
    </row>
    <row r="4365" spans="33:36" ht="11.25" customHeight="1" x14ac:dyDescent="0.2">
      <c r="AG4365" s="19"/>
      <c r="AJ4365" s="410"/>
    </row>
    <row r="4366" spans="33:36" ht="11.25" customHeight="1" x14ac:dyDescent="0.2">
      <c r="AG4366" s="19"/>
      <c r="AJ4366" s="410"/>
    </row>
    <row r="4367" spans="33:36" ht="11.25" customHeight="1" x14ac:dyDescent="0.2">
      <c r="AG4367" s="19"/>
      <c r="AJ4367" s="410"/>
    </row>
    <row r="4368" spans="33:36" ht="11.25" customHeight="1" x14ac:dyDescent="0.2">
      <c r="AG4368" s="19"/>
      <c r="AJ4368" s="410"/>
    </row>
    <row r="4369" spans="33:36" ht="11.25" customHeight="1" x14ac:dyDescent="0.2">
      <c r="AG4369" s="19"/>
      <c r="AJ4369" s="410"/>
    </row>
    <row r="4370" spans="33:36" ht="11.25" customHeight="1" x14ac:dyDescent="0.2">
      <c r="AG4370" s="19"/>
      <c r="AJ4370" s="410"/>
    </row>
    <row r="4371" spans="33:36" ht="11.25" customHeight="1" x14ac:dyDescent="0.2">
      <c r="AG4371" s="19"/>
      <c r="AJ4371" s="410"/>
    </row>
    <row r="4372" spans="33:36" ht="11.25" customHeight="1" x14ac:dyDescent="0.2">
      <c r="AG4372" s="19"/>
      <c r="AJ4372" s="410"/>
    </row>
    <row r="4373" spans="33:36" ht="11.25" customHeight="1" x14ac:dyDescent="0.2">
      <c r="AG4373" s="19"/>
      <c r="AJ4373" s="410"/>
    </row>
    <row r="4374" spans="33:36" ht="11.25" customHeight="1" x14ac:dyDescent="0.2">
      <c r="AG4374" s="19"/>
      <c r="AJ4374" s="410"/>
    </row>
    <row r="4375" spans="33:36" ht="11.25" customHeight="1" x14ac:dyDescent="0.2">
      <c r="AG4375" s="19"/>
      <c r="AJ4375" s="410"/>
    </row>
    <row r="4376" spans="33:36" ht="11.25" customHeight="1" x14ac:dyDescent="0.2">
      <c r="AG4376" s="19"/>
      <c r="AJ4376" s="410"/>
    </row>
    <row r="4377" spans="33:36" ht="11.25" customHeight="1" x14ac:dyDescent="0.2">
      <c r="AG4377" s="19"/>
      <c r="AJ4377" s="410"/>
    </row>
    <row r="4378" spans="33:36" ht="11.25" customHeight="1" x14ac:dyDescent="0.2">
      <c r="AG4378" s="19"/>
      <c r="AJ4378" s="410"/>
    </row>
    <row r="4379" spans="33:36" ht="11.25" customHeight="1" x14ac:dyDescent="0.2">
      <c r="AG4379" s="19"/>
      <c r="AJ4379" s="410"/>
    </row>
    <row r="4380" spans="33:36" ht="11.25" customHeight="1" x14ac:dyDescent="0.2">
      <c r="AG4380" s="19"/>
      <c r="AJ4380" s="410"/>
    </row>
    <row r="4381" spans="33:36" ht="11.25" customHeight="1" x14ac:dyDescent="0.2">
      <c r="AG4381" s="19"/>
      <c r="AJ4381" s="410"/>
    </row>
    <row r="4382" spans="33:36" ht="11.25" customHeight="1" x14ac:dyDescent="0.2">
      <c r="AG4382" s="19"/>
      <c r="AJ4382" s="410"/>
    </row>
    <row r="4383" spans="33:36" ht="11.25" customHeight="1" x14ac:dyDescent="0.2">
      <c r="AG4383" s="19"/>
      <c r="AJ4383" s="410"/>
    </row>
    <row r="4384" spans="33:36" ht="11.25" customHeight="1" x14ac:dyDescent="0.2">
      <c r="AG4384" s="19"/>
      <c r="AJ4384" s="410"/>
    </row>
    <row r="4385" spans="33:36" ht="11.25" customHeight="1" x14ac:dyDescent="0.2">
      <c r="AG4385" s="19"/>
      <c r="AJ4385" s="410"/>
    </row>
    <row r="4386" spans="33:36" ht="11.25" customHeight="1" x14ac:dyDescent="0.2">
      <c r="AG4386" s="19"/>
      <c r="AJ4386" s="410"/>
    </row>
    <row r="4387" spans="33:36" ht="11.25" customHeight="1" x14ac:dyDescent="0.2">
      <c r="AG4387" s="19"/>
      <c r="AJ4387" s="410"/>
    </row>
    <row r="4388" spans="33:36" ht="11.25" customHeight="1" x14ac:dyDescent="0.2">
      <c r="AG4388" s="19"/>
      <c r="AJ4388" s="410"/>
    </row>
    <row r="4389" spans="33:36" ht="11.25" customHeight="1" x14ac:dyDescent="0.2">
      <c r="AG4389" s="19"/>
      <c r="AJ4389" s="410"/>
    </row>
    <row r="4390" spans="33:36" ht="11.25" customHeight="1" x14ac:dyDescent="0.2">
      <c r="AG4390" s="19"/>
      <c r="AJ4390" s="410"/>
    </row>
    <row r="4391" spans="33:36" ht="11.25" customHeight="1" x14ac:dyDescent="0.2">
      <c r="AG4391" s="19"/>
      <c r="AJ4391" s="410"/>
    </row>
    <row r="4392" spans="33:36" ht="11.25" customHeight="1" x14ac:dyDescent="0.2">
      <c r="AG4392" s="19"/>
      <c r="AJ4392" s="410"/>
    </row>
    <row r="4393" spans="33:36" ht="11.25" customHeight="1" x14ac:dyDescent="0.2">
      <c r="AG4393" s="19"/>
      <c r="AJ4393" s="410"/>
    </row>
    <row r="4394" spans="33:36" ht="11.25" customHeight="1" x14ac:dyDescent="0.2">
      <c r="AG4394" s="19"/>
      <c r="AJ4394" s="410"/>
    </row>
    <row r="4395" spans="33:36" ht="11.25" customHeight="1" x14ac:dyDescent="0.2">
      <c r="AG4395" s="19"/>
      <c r="AJ4395" s="410"/>
    </row>
    <row r="4396" spans="33:36" ht="11.25" customHeight="1" x14ac:dyDescent="0.2">
      <c r="AG4396" s="19"/>
      <c r="AJ4396" s="410"/>
    </row>
    <row r="4397" spans="33:36" ht="11.25" customHeight="1" x14ac:dyDescent="0.2">
      <c r="AG4397" s="19"/>
      <c r="AJ4397" s="410"/>
    </row>
    <row r="4398" spans="33:36" ht="11.25" customHeight="1" x14ac:dyDescent="0.2">
      <c r="AG4398" s="19"/>
      <c r="AJ4398" s="410"/>
    </row>
    <row r="4399" spans="33:36" ht="11.25" customHeight="1" x14ac:dyDescent="0.2">
      <c r="AG4399" s="19"/>
      <c r="AJ4399" s="410"/>
    </row>
    <row r="4400" spans="33:36" ht="11.25" customHeight="1" x14ac:dyDescent="0.2">
      <c r="AG4400" s="19"/>
      <c r="AJ4400" s="410"/>
    </row>
    <row r="4401" spans="33:36" ht="11.25" customHeight="1" x14ac:dyDescent="0.2">
      <c r="AG4401" s="19"/>
      <c r="AJ4401" s="410"/>
    </row>
    <row r="4402" spans="33:36" ht="11.25" customHeight="1" x14ac:dyDescent="0.2">
      <c r="AG4402" s="19"/>
      <c r="AJ4402" s="410"/>
    </row>
    <row r="4403" spans="33:36" ht="11.25" customHeight="1" x14ac:dyDescent="0.2">
      <c r="AG4403" s="19"/>
      <c r="AJ4403" s="410"/>
    </row>
    <row r="4404" spans="33:36" ht="11.25" customHeight="1" x14ac:dyDescent="0.2">
      <c r="AG4404" s="19"/>
      <c r="AJ4404" s="410"/>
    </row>
    <row r="4405" spans="33:36" ht="11.25" customHeight="1" x14ac:dyDescent="0.2">
      <c r="AG4405" s="19"/>
      <c r="AJ4405" s="410"/>
    </row>
    <row r="4406" spans="33:36" ht="11.25" customHeight="1" x14ac:dyDescent="0.2">
      <c r="AG4406" s="19"/>
      <c r="AJ4406" s="410"/>
    </row>
    <row r="4407" spans="33:36" ht="11.25" customHeight="1" x14ac:dyDescent="0.2">
      <c r="AG4407" s="19"/>
      <c r="AJ4407" s="410"/>
    </row>
    <row r="4408" spans="33:36" ht="11.25" customHeight="1" x14ac:dyDescent="0.2">
      <c r="AG4408" s="19"/>
      <c r="AJ4408" s="410"/>
    </row>
    <row r="4409" spans="33:36" ht="11.25" customHeight="1" x14ac:dyDescent="0.2">
      <c r="AG4409" s="19"/>
      <c r="AJ4409" s="410"/>
    </row>
    <row r="4410" spans="33:36" ht="11.25" customHeight="1" x14ac:dyDescent="0.2">
      <c r="AG4410" s="19"/>
      <c r="AJ4410" s="410"/>
    </row>
    <row r="4411" spans="33:36" ht="11.25" customHeight="1" x14ac:dyDescent="0.2">
      <c r="AG4411" s="19"/>
      <c r="AJ4411" s="410"/>
    </row>
    <row r="4412" spans="33:36" ht="11.25" customHeight="1" x14ac:dyDescent="0.2">
      <c r="AG4412" s="19"/>
      <c r="AJ4412" s="410"/>
    </row>
    <row r="4413" spans="33:36" ht="11.25" customHeight="1" x14ac:dyDescent="0.2">
      <c r="AG4413" s="19"/>
      <c r="AJ4413" s="410"/>
    </row>
    <row r="4414" spans="33:36" ht="11.25" customHeight="1" x14ac:dyDescent="0.2">
      <c r="AG4414" s="19"/>
      <c r="AJ4414" s="410"/>
    </row>
    <row r="4415" spans="33:36" ht="11.25" customHeight="1" x14ac:dyDescent="0.2">
      <c r="AG4415" s="19"/>
      <c r="AJ4415" s="410"/>
    </row>
    <row r="4416" spans="33:36" ht="11.25" customHeight="1" x14ac:dyDescent="0.2">
      <c r="AG4416" s="19"/>
      <c r="AJ4416" s="410"/>
    </row>
    <row r="4417" spans="33:36" ht="11.25" customHeight="1" x14ac:dyDescent="0.2">
      <c r="AG4417" s="19"/>
      <c r="AJ4417" s="410"/>
    </row>
    <row r="4418" spans="33:36" ht="11.25" customHeight="1" x14ac:dyDescent="0.2">
      <c r="AG4418" s="19"/>
      <c r="AJ4418" s="410"/>
    </row>
    <row r="4419" spans="33:36" ht="11.25" customHeight="1" x14ac:dyDescent="0.2">
      <c r="AG4419" s="19"/>
      <c r="AJ4419" s="410"/>
    </row>
    <row r="4420" spans="33:36" ht="11.25" customHeight="1" x14ac:dyDescent="0.2">
      <c r="AG4420" s="19"/>
      <c r="AJ4420" s="410"/>
    </row>
    <row r="4421" spans="33:36" ht="11.25" customHeight="1" x14ac:dyDescent="0.2">
      <c r="AG4421" s="19"/>
      <c r="AJ4421" s="410"/>
    </row>
    <row r="4422" spans="33:36" ht="11.25" customHeight="1" x14ac:dyDescent="0.2">
      <c r="AG4422" s="19"/>
      <c r="AJ4422" s="410"/>
    </row>
    <row r="4423" spans="33:36" ht="11.25" customHeight="1" x14ac:dyDescent="0.2">
      <c r="AG4423" s="19"/>
      <c r="AJ4423" s="410"/>
    </row>
    <row r="4424" spans="33:36" ht="11.25" customHeight="1" x14ac:dyDescent="0.2">
      <c r="AG4424" s="19"/>
      <c r="AJ4424" s="410"/>
    </row>
    <row r="4425" spans="33:36" ht="11.25" customHeight="1" x14ac:dyDescent="0.2">
      <c r="AG4425" s="19"/>
      <c r="AJ4425" s="410"/>
    </row>
    <row r="4426" spans="33:36" ht="11.25" customHeight="1" x14ac:dyDescent="0.2">
      <c r="AG4426" s="19"/>
      <c r="AJ4426" s="410"/>
    </row>
    <row r="4427" spans="33:36" ht="11.25" customHeight="1" x14ac:dyDescent="0.2">
      <c r="AG4427" s="19"/>
      <c r="AJ4427" s="410"/>
    </row>
    <row r="4428" spans="33:36" ht="11.25" customHeight="1" x14ac:dyDescent="0.2">
      <c r="AG4428" s="19"/>
      <c r="AJ4428" s="410"/>
    </row>
    <row r="4429" spans="33:36" ht="11.25" customHeight="1" x14ac:dyDescent="0.2">
      <c r="AG4429" s="19"/>
      <c r="AJ4429" s="410"/>
    </row>
    <row r="4430" spans="33:36" ht="11.25" customHeight="1" x14ac:dyDescent="0.2">
      <c r="AG4430" s="19"/>
      <c r="AJ4430" s="410"/>
    </row>
    <row r="4431" spans="33:36" ht="11.25" customHeight="1" x14ac:dyDescent="0.2">
      <c r="AG4431" s="19"/>
      <c r="AJ4431" s="410"/>
    </row>
    <row r="4432" spans="33:36" ht="11.25" customHeight="1" x14ac:dyDescent="0.2">
      <c r="AG4432" s="19"/>
      <c r="AJ4432" s="410"/>
    </row>
    <row r="4433" spans="33:36" ht="11.25" customHeight="1" x14ac:dyDescent="0.2">
      <c r="AG4433" s="19"/>
      <c r="AJ4433" s="410"/>
    </row>
    <row r="4434" spans="33:36" ht="11.25" customHeight="1" x14ac:dyDescent="0.2">
      <c r="AG4434" s="19"/>
      <c r="AJ4434" s="410"/>
    </row>
    <row r="4435" spans="33:36" ht="11.25" customHeight="1" x14ac:dyDescent="0.2">
      <c r="AG4435" s="19"/>
      <c r="AJ4435" s="410"/>
    </row>
    <row r="4436" spans="33:36" ht="11.25" customHeight="1" x14ac:dyDescent="0.2">
      <c r="AG4436" s="19"/>
      <c r="AJ4436" s="410"/>
    </row>
    <row r="4437" spans="33:36" ht="11.25" customHeight="1" x14ac:dyDescent="0.2">
      <c r="AG4437" s="19"/>
      <c r="AJ4437" s="410"/>
    </row>
    <row r="4438" spans="33:36" ht="11.25" customHeight="1" x14ac:dyDescent="0.2">
      <c r="AG4438" s="19"/>
      <c r="AJ4438" s="410"/>
    </row>
    <row r="4439" spans="33:36" ht="11.25" customHeight="1" x14ac:dyDescent="0.2">
      <c r="AG4439" s="19"/>
      <c r="AJ4439" s="410"/>
    </row>
    <row r="4440" spans="33:36" ht="11.25" customHeight="1" x14ac:dyDescent="0.2">
      <c r="AG4440" s="19"/>
      <c r="AJ4440" s="410"/>
    </row>
    <row r="4441" spans="33:36" ht="11.25" customHeight="1" x14ac:dyDescent="0.2">
      <c r="AG4441" s="19"/>
      <c r="AJ4441" s="410"/>
    </row>
    <row r="4442" spans="33:36" ht="11.25" customHeight="1" x14ac:dyDescent="0.2">
      <c r="AG4442" s="19"/>
      <c r="AJ4442" s="410"/>
    </row>
    <row r="4443" spans="33:36" ht="11.25" customHeight="1" x14ac:dyDescent="0.2">
      <c r="AG4443" s="19"/>
      <c r="AJ4443" s="410"/>
    </row>
    <row r="4444" spans="33:36" ht="11.25" customHeight="1" x14ac:dyDescent="0.2">
      <c r="AG4444" s="19"/>
      <c r="AJ4444" s="410"/>
    </row>
    <row r="4445" spans="33:36" ht="11.25" customHeight="1" x14ac:dyDescent="0.2">
      <c r="AG4445" s="19"/>
      <c r="AJ4445" s="410"/>
    </row>
    <row r="4446" spans="33:36" ht="11.25" customHeight="1" x14ac:dyDescent="0.2">
      <c r="AG4446" s="19"/>
      <c r="AJ4446" s="410"/>
    </row>
    <row r="4447" spans="33:36" ht="11.25" customHeight="1" x14ac:dyDescent="0.2">
      <c r="AG4447" s="19"/>
      <c r="AJ4447" s="410"/>
    </row>
    <row r="4448" spans="33:36" ht="11.25" customHeight="1" x14ac:dyDescent="0.2">
      <c r="AG4448" s="19"/>
      <c r="AJ4448" s="410"/>
    </row>
    <row r="4449" spans="33:36" ht="11.25" customHeight="1" x14ac:dyDescent="0.2">
      <c r="AG4449" s="19"/>
      <c r="AJ4449" s="410"/>
    </row>
    <row r="4450" spans="33:36" ht="11.25" customHeight="1" x14ac:dyDescent="0.2">
      <c r="AG4450" s="19"/>
      <c r="AJ4450" s="410"/>
    </row>
    <row r="4451" spans="33:36" ht="11.25" customHeight="1" x14ac:dyDescent="0.2">
      <c r="AG4451" s="19"/>
      <c r="AJ4451" s="410"/>
    </row>
    <row r="4452" spans="33:36" ht="11.25" customHeight="1" x14ac:dyDescent="0.2">
      <c r="AG4452" s="19"/>
      <c r="AJ4452" s="410"/>
    </row>
    <row r="4453" spans="33:36" ht="11.25" customHeight="1" x14ac:dyDescent="0.2">
      <c r="AG4453" s="19"/>
      <c r="AJ4453" s="410"/>
    </row>
    <row r="4454" spans="33:36" ht="11.25" customHeight="1" x14ac:dyDescent="0.2">
      <c r="AG4454" s="19"/>
      <c r="AJ4454" s="410"/>
    </row>
    <row r="4455" spans="33:36" ht="11.25" customHeight="1" x14ac:dyDescent="0.2">
      <c r="AG4455" s="19"/>
      <c r="AJ4455" s="410"/>
    </row>
    <row r="4456" spans="33:36" ht="11.25" customHeight="1" x14ac:dyDescent="0.2">
      <c r="AG4456" s="19"/>
      <c r="AJ4456" s="410"/>
    </row>
    <row r="4457" spans="33:36" ht="11.25" customHeight="1" x14ac:dyDescent="0.2">
      <c r="AG4457" s="19"/>
      <c r="AJ4457" s="410"/>
    </row>
    <row r="4458" spans="33:36" ht="11.25" customHeight="1" x14ac:dyDescent="0.2">
      <c r="AG4458" s="19"/>
      <c r="AJ4458" s="410"/>
    </row>
    <row r="4459" spans="33:36" ht="11.25" customHeight="1" x14ac:dyDescent="0.2">
      <c r="AG4459" s="19"/>
      <c r="AJ4459" s="410"/>
    </row>
    <row r="4460" spans="33:36" ht="11.25" customHeight="1" x14ac:dyDescent="0.2">
      <c r="AG4460" s="19"/>
      <c r="AJ4460" s="410"/>
    </row>
    <row r="4461" spans="33:36" ht="11.25" customHeight="1" x14ac:dyDescent="0.2">
      <c r="AG4461" s="19"/>
      <c r="AJ4461" s="410"/>
    </row>
    <row r="4462" spans="33:36" ht="11.25" customHeight="1" x14ac:dyDescent="0.2">
      <c r="AG4462" s="19"/>
      <c r="AJ4462" s="410"/>
    </row>
    <row r="4463" spans="33:36" ht="11.25" customHeight="1" x14ac:dyDescent="0.2">
      <c r="AG4463" s="19"/>
      <c r="AJ4463" s="410"/>
    </row>
    <row r="4464" spans="33:36" ht="11.25" customHeight="1" x14ac:dyDescent="0.2">
      <c r="AG4464" s="19"/>
      <c r="AJ4464" s="410"/>
    </row>
    <row r="4465" spans="33:36" ht="11.25" customHeight="1" x14ac:dyDescent="0.2">
      <c r="AG4465" s="19"/>
      <c r="AJ4465" s="410"/>
    </row>
    <row r="4466" spans="33:36" ht="11.25" customHeight="1" x14ac:dyDescent="0.2">
      <c r="AG4466" s="19"/>
      <c r="AJ4466" s="410"/>
    </row>
    <row r="4467" spans="33:36" ht="11.25" customHeight="1" x14ac:dyDescent="0.2">
      <c r="AG4467" s="19"/>
      <c r="AJ4467" s="410"/>
    </row>
    <row r="4468" spans="33:36" ht="11.25" customHeight="1" x14ac:dyDescent="0.2">
      <c r="AG4468" s="19"/>
      <c r="AJ4468" s="410"/>
    </row>
    <row r="4469" spans="33:36" ht="11.25" customHeight="1" x14ac:dyDescent="0.2">
      <c r="AG4469" s="19"/>
      <c r="AJ4469" s="410"/>
    </row>
    <row r="4470" spans="33:36" ht="11.25" customHeight="1" x14ac:dyDescent="0.2">
      <c r="AG4470" s="19"/>
      <c r="AJ4470" s="410"/>
    </row>
    <row r="4471" spans="33:36" ht="11.25" customHeight="1" x14ac:dyDescent="0.2">
      <c r="AG4471" s="19"/>
      <c r="AJ4471" s="410"/>
    </row>
    <row r="4472" spans="33:36" ht="11.25" customHeight="1" x14ac:dyDescent="0.2">
      <c r="AG4472" s="19"/>
      <c r="AJ4472" s="410"/>
    </row>
    <row r="4473" spans="33:36" ht="11.25" customHeight="1" x14ac:dyDescent="0.2">
      <c r="AG4473" s="19"/>
      <c r="AJ4473" s="410"/>
    </row>
    <row r="4474" spans="33:36" ht="11.25" customHeight="1" x14ac:dyDescent="0.2">
      <c r="AG4474" s="19"/>
      <c r="AJ4474" s="410"/>
    </row>
    <row r="4475" spans="33:36" ht="11.25" customHeight="1" x14ac:dyDescent="0.2">
      <c r="AG4475" s="19"/>
      <c r="AJ4475" s="410"/>
    </row>
    <row r="4476" spans="33:36" ht="11.25" customHeight="1" x14ac:dyDescent="0.2">
      <c r="AG4476" s="19"/>
      <c r="AJ4476" s="410"/>
    </row>
    <row r="4477" spans="33:36" ht="11.25" customHeight="1" x14ac:dyDescent="0.2">
      <c r="AG4477" s="19"/>
      <c r="AJ4477" s="410"/>
    </row>
    <row r="4478" spans="33:36" ht="11.25" customHeight="1" x14ac:dyDescent="0.2">
      <c r="AG4478" s="19"/>
      <c r="AJ4478" s="410"/>
    </row>
    <row r="4479" spans="33:36" ht="11.25" customHeight="1" x14ac:dyDescent="0.2">
      <c r="AG4479" s="19"/>
      <c r="AJ4479" s="410"/>
    </row>
    <row r="4480" spans="33:36" ht="11.25" customHeight="1" x14ac:dyDescent="0.2">
      <c r="AG4480" s="19"/>
      <c r="AJ4480" s="410"/>
    </row>
    <row r="4481" spans="33:36" ht="11.25" customHeight="1" x14ac:dyDescent="0.2">
      <c r="AG4481" s="19"/>
      <c r="AJ4481" s="410"/>
    </row>
    <row r="4482" spans="33:36" ht="11.25" customHeight="1" x14ac:dyDescent="0.2">
      <c r="AG4482" s="19"/>
      <c r="AJ4482" s="410"/>
    </row>
    <row r="4483" spans="33:36" ht="11.25" customHeight="1" x14ac:dyDescent="0.2">
      <c r="AG4483" s="19"/>
      <c r="AJ4483" s="410"/>
    </row>
    <row r="4484" spans="33:36" ht="11.25" customHeight="1" x14ac:dyDescent="0.2">
      <c r="AG4484" s="19"/>
      <c r="AJ4484" s="410"/>
    </row>
    <row r="4485" spans="33:36" ht="11.25" customHeight="1" x14ac:dyDescent="0.2">
      <c r="AG4485" s="19"/>
      <c r="AJ4485" s="410"/>
    </row>
    <row r="4486" spans="33:36" ht="11.25" customHeight="1" x14ac:dyDescent="0.2">
      <c r="AG4486" s="19"/>
      <c r="AJ4486" s="410"/>
    </row>
    <row r="4487" spans="33:36" ht="11.25" customHeight="1" x14ac:dyDescent="0.2">
      <c r="AG4487" s="19"/>
      <c r="AJ4487" s="410"/>
    </row>
    <row r="4488" spans="33:36" ht="11.25" customHeight="1" x14ac:dyDescent="0.2">
      <c r="AG4488" s="19"/>
      <c r="AJ4488" s="410"/>
    </row>
    <row r="4489" spans="33:36" ht="11.25" customHeight="1" x14ac:dyDescent="0.2">
      <c r="AG4489" s="19"/>
      <c r="AJ4489" s="410"/>
    </row>
    <row r="4490" spans="33:36" ht="11.25" customHeight="1" x14ac:dyDescent="0.2">
      <c r="AG4490" s="19"/>
      <c r="AJ4490" s="410"/>
    </row>
    <row r="4491" spans="33:36" ht="11.25" customHeight="1" x14ac:dyDescent="0.2">
      <c r="AG4491" s="19"/>
      <c r="AJ4491" s="410"/>
    </row>
    <row r="4492" spans="33:36" ht="11.25" customHeight="1" x14ac:dyDescent="0.2">
      <c r="AG4492" s="19"/>
      <c r="AJ4492" s="410"/>
    </row>
    <row r="4493" spans="33:36" ht="11.25" customHeight="1" x14ac:dyDescent="0.2">
      <c r="AG4493" s="19"/>
      <c r="AJ4493" s="410"/>
    </row>
    <row r="4494" spans="33:36" ht="11.25" customHeight="1" x14ac:dyDescent="0.2">
      <c r="AG4494" s="19"/>
      <c r="AJ4494" s="410"/>
    </row>
    <row r="4495" spans="33:36" ht="11.25" customHeight="1" x14ac:dyDescent="0.2">
      <c r="AG4495" s="19"/>
      <c r="AJ4495" s="410"/>
    </row>
    <row r="4496" spans="33:36" ht="11.25" customHeight="1" x14ac:dyDescent="0.2">
      <c r="AG4496" s="19"/>
      <c r="AJ4496" s="410"/>
    </row>
    <row r="4497" spans="33:36" ht="11.25" customHeight="1" x14ac:dyDescent="0.2">
      <c r="AG4497" s="19"/>
      <c r="AJ4497" s="410"/>
    </row>
    <row r="4498" spans="33:36" ht="11.25" customHeight="1" x14ac:dyDescent="0.2">
      <c r="AG4498" s="19"/>
      <c r="AJ4498" s="410"/>
    </row>
    <row r="4499" spans="33:36" ht="11.25" customHeight="1" x14ac:dyDescent="0.2">
      <c r="AG4499" s="19"/>
      <c r="AJ4499" s="410"/>
    </row>
    <row r="4500" spans="33:36" ht="11.25" customHeight="1" x14ac:dyDescent="0.2">
      <c r="AG4500" s="19"/>
      <c r="AJ4500" s="410"/>
    </row>
    <row r="4501" spans="33:36" ht="11.25" customHeight="1" x14ac:dyDescent="0.2">
      <c r="AG4501" s="19"/>
      <c r="AJ4501" s="410"/>
    </row>
    <row r="4502" spans="33:36" ht="11.25" customHeight="1" x14ac:dyDescent="0.2">
      <c r="AG4502" s="19"/>
      <c r="AJ4502" s="410"/>
    </row>
    <row r="4503" spans="33:36" ht="11.25" customHeight="1" x14ac:dyDescent="0.2">
      <c r="AG4503" s="19"/>
      <c r="AJ4503" s="410"/>
    </row>
    <row r="4504" spans="33:36" ht="11.25" customHeight="1" x14ac:dyDescent="0.2">
      <c r="AG4504" s="19"/>
      <c r="AJ4504" s="410"/>
    </row>
    <row r="4505" spans="33:36" ht="11.25" customHeight="1" x14ac:dyDescent="0.2">
      <c r="AG4505" s="19"/>
      <c r="AJ4505" s="410"/>
    </row>
    <row r="4506" spans="33:36" ht="11.25" customHeight="1" x14ac:dyDescent="0.2">
      <c r="AG4506" s="19"/>
      <c r="AJ4506" s="410"/>
    </row>
    <row r="4507" spans="33:36" ht="11.25" customHeight="1" x14ac:dyDescent="0.2">
      <c r="AG4507" s="19"/>
      <c r="AJ4507" s="410"/>
    </row>
    <row r="4508" spans="33:36" ht="11.25" customHeight="1" x14ac:dyDescent="0.2">
      <c r="AG4508" s="19"/>
      <c r="AJ4508" s="410"/>
    </row>
    <row r="4509" spans="33:36" ht="11.25" customHeight="1" x14ac:dyDescent="0.2">
      <c r="AG4509" s="19"/>
      <c r="AJ4509" s="410"/>
    </row>
    <row r="4510" spans="33:36" ht="11.25" customHeight="1" x14ac:dyDescent="0.2">
      <c r="AG4510" s="19"/>
      <c r="AJ4510" s="410"/>
    </row>
    <row r="4511" spans="33:36" ht="11.25" customHeight="1" x14ac:dyDescent="0.2">
      <c r="AG4511" s="19"/>
      <c r="AJ4511" s="410"/>
    </row>
    <row r="4512" spans="33:36" ht="11.25" customHeight="1" x14ac:dyDescent="0.2">
      <c r="AG4512" s="19"/>
      <c r="AJ4512" s="410"/>
    </row>
    <row r="4513" spans="33:36" ht="11.25" customHeight="1" x14ac:dyDescent="0.2">
      <c r="AG4513" s="19"/>
      <c r="AJ4513" s="410"/>
    </row>
    <row r="4514" spans="33:36" ht="11.25" customHeight="1" x14ac:dyDescent="0.2">
      <c r="AG4514" s="19"/>
      <c r="AJ4514" s="410"/>
    </row>
    <row r="4515" spans="33:36" ht="11.25" customHeight="1" x14ac:dyDescent="0.2">
      <c r="AG4515" s="19"/>
      <c r="AJ4515" s="410"/>
    </row>
    <row r="4516" spans="33:36" ht="11.25" customHeight="1" x14ac:dyDescent="0.2">
      <c r="AG4516" s="19"/>
      <c r="AJ4516" s="410"/>
    </row>
    <row r="4517" spans="33:36" ht="11.25" customHeight="1" x14ac:dyDescent="0.2">
      <c r="AG4517" s="19"/>
      <c r="AJ4517" s="410"/>
    </row>
    <row r="4518" spans="33:36" ht="11.25" customHeight="1" x14ac:dyDescent="0.2">
      <c r="AG4518" s="19"/>
      <c r="AJ4518" s="410"/>
    </row>
    <row r="4519" spans="33:36" ht="11.25" customHeight="1" x14ac:dyDescent="0.2">
      <c r="AG4519" s="19"/>
      <c r="AJ4519" s="410"/>
    </row>
    <row r="4520" spans="33:36" ht="11.25" customHeight="1" x14ac:dyDescent="0.2">
      <c r="AG4520" s="19"/>
      <c r="AJ4520" s="410"/>
    </row>
    <row r="4521" spans="33:36" ht="11.25" customHeight="1" x14ac:dyDescent="0.2">
      <c r="AG4521" s="19"/>
      <c r="AJ4521" s="410"/>
    </row>
    <row r="4522" spans="33:36" ht="11.25" customHeight="1" x14ac:dyDescent="0.2">
      <c r="AG4522" s="19"/>
      <c r="AJ4522" s="410"/>
    </row>
    <row r="4523" spans="33:36" ht="11.25" customHeight="1" x14ac:dyDescent="0.2">
      <c r="AG4523" s="19"/>
      <c r="AJ4523" s="410"/>
    </row>
    <row r="4524" spans="33:36" ht="11.25" customHeight="1" x14ac:dyDescent="0.2">
      <c r="AG4524" s="19"/>
      <c r="AJ4524" s="410"/>
    </row>
    <row r="4525" spans="33:36" ht="11.25" customHeight="1" x14ac:dyDescent="0.2">
      <c r="AG4525" s="19"/>
      <c r="AJ4525" s="410"/>
    </row>
    <row r="4526" spans="33:36" ht="11.25" customHeight="1" x14ac:dyDescent="0.2">
      <c r="AG4526" s="19"/>
      <c r="AJ4526" s="410"/>
    </row>
    <row r="4527" spans="33:36" ht="11.25" customHeight="1" x14ac:dyDescent="0.2">
      <c r="AG4527" s="19"/>
      <c r="AJ4527" s="410"/>
    </row>
    <row r="4528" spans="33:36" ht="11.25" customHeight="1" x14ac:dyDescent="0.2">
      <c r="AG4528" s="19"/>
      <c r="AJ4528" s="410"/>
    </row>
    <row r="4529" spans="33:36" ht="11.25" customHeight="1" x14ac:dyDescent="0.2">
      <c r="AG4529" s="19"/>
      <c r="AJ4529" s="410"/>
    </row>
    <row r="4530" spans="33:36" ht="11.25" customHeight="1" x14ac:dyDescent="0.2">
      <c r="AG4530" s="19"/>
      <c r="AJ4530" s="410"/>
    </row>
    <row r="4531" spans="33:36" ht="11.25" customHeight="1" x14ac:dyDescent="0.2">
      <c r="AG4531" s="19"/>
      <c r="AJ4531" s="410"/>
    </row>
    <row r="4532" spans="33:36" ht="11.25" customHeight="1" x14ac:dyDescent="0.2">
      <c r="AG4532" s="19"/>
      <c r="AJ4532" s="410"/>
    </row>
    <row r="4533" spans="33:36" ht="11.25" customHeight="1" x14ac:dyDescent="0.2">
      <c r="AG4533" s="19"/>
      <c r="AJ4533" s="410"/>
    </row>
    <row r="4534" spans="33:36" ht="11.25" customHeight="1" x14ac:dyDescent="0.2">
      <c r="AG4534" s="19"/>
      <c r="AJ4534" s="410"/>
    </row>
    <row r="4535" spans="33:36" ht="11.25" customHeight="1" x14ac:dyDescent="0.2">
      <c r="AG4535" s="19"/>
      <c r="AJ4535" s="410"/>
    </row>
    <row r="4536" spans="33:36" ht="11.25" customHeight="1" x14ac:dyDescent="0.2">
      <c r="AG4536" s="19"/>
      <c r="AJ4536" s="410"/>
    </row>
    <row r="4537" spans="33:36" ht="11.25" customHeight="1" x14ac:dyDescent="0.2">
      <c r="AG4537" s="19"/>
      <c r="AJ4537" s="410"/>
    </row>
    <row r="4538" spans="33:36" ht="11.25" customHeight="1" x14ac:dyDescent="0.2">
      <c r="AG4538" s="19"/>
      <c r="AJ4538" s="410"/>
    </row>
    <row r="4539" spans="33:36" ht="11.25" customHeight="1" x14ac:dyDescent="0.2">
      <c r="AG4539" s="19"/>
      <c r="AJ4539" s="410"/>
    </row>
    <row r="4540" spans="33:36" ht="11.25" customHeight="1" x14ac:dyDescent="0.2">
      <c r="AG4540" s="19"/>
      <c r="AJ4540" s="410"/>
    </row>
    <row r="4541" spans="33:36" ht="11.25" customHeight="1" x14ac:dyDescent="0.2">
      <c r="AG4541" s="19"/>
      <c r="AJ4541" s="410"/>
    </row>
    <row r="4542" spans="33:36" ht="11.25" customHeight="1" x14ac:dyDescent="0.2">
      <c r="AG4542" s="19"/>
      <c r="AJ4542" s="410"/>
    </row>
    <row r="4543" spans="33:36" ht="11.25" customHeight="1" x14ac:dyDescent="0.2">
      <c r="AG4543" s="19"/>
      <c r="AJ4543" s="410"/>
    </row>
    <row r="4544" spans="33:36" ht="11.25" customHeight="1" x14ac:dyDescent="0.2">
      <c r="AG4544" s="19"/>
      <c r="AJ4544" s="410"/>
    </row>
    <row r="4545" spans="33:36" ht="11.25" customHeight="1" x14ac:dyDescent="0.2">
      <c r="AG4545" s="19"/>
      <c r="AJ4545" s="410"/>
    </row>
    <row r="4546" spans="33:36" ht="11.25" customHeight="1" x14ac:dyDescent="0.2">
      <c r="AG4546" s="19"/>
      <c r="AJ4546" s="410"/>
    </row>
    <row r="4547" spans="33:36" ht="11.25" customHeight="1" x14ac:dyDescent="0.2">
      <c r="AG4547" s="19"/>
      <c r="AJ4547" s="410"/>
    </row>
    <row r="4548" spans="33:36" ht="11.25" customHeight="1" x14ac:dyDescent="0.2">
      <c r="AG4548" s="19"/>
      <c r="AJ4548" s="410"/>
    </row>
    <row r="4549" spans="33:36" ht="11.25" customHeight="1" x14ac:dyDescent="0.2">
      <c r="AG4549" s="19"/>
      <c r="AJ4549" s="410"/>
    </row>
    <row r="4550" spans="33:36" ht="11.25" customHeight="1" x14ac:dyDescent="0.2">
      <c r="AG4550" s="19"/>
      <c r="AJ4550" s="410"/>
    </row>
    <row r="4551" spans="33:36" ht="11.25" customHeight="1" x14ac:dyDescent="0.2">
      <c r="AG4551" s="19"/>
      <c r="AJ4551" s="410"/>
    </row>
    <row r="4552" spans="33:36" ht="11.25" customHeight="1" x14ac:dyDescent="0.2">
      <c r="AG4552" s="19"/>
      <c r="AJ4552" s="410"/>
    </row>
    <row r="4553" spans="33:36" ht="11.25" customHeight="1" x14ac:dyDescent="0.2">
      <c r="AG4553" s="19"/>
      <c r="AJ4553" s="410"/>
    </row>
    <row r="4554" spans="33:36" ht="11.25" customHeight="1" x14ac:dyDescent="0.2">
      <c r="AG4554" s="19"/>
      <c r="AJ4554" s="410"/>
    </row>
    <row r="4555" spans="33:36" ht="11.25" customHeight="1" x14ac:dyDescent="0.2">
      <c r="AG4555" s="19"/>
      <c r="AJ4555" s="410"/>
    </row>
    <row r="4556" spans="33:36" ht="11.25" customHeight="1" x14ac:dyDescent="0.2">
      <c r="AG4556" s="19"/>
      <c r="AJ4556" s="410"/>
    </row>
    <row r="4557" spans="33:36" ht="11.25" customHeight="1" x14ac:dyDescent="0.2">
      <c r="AG4557" s="19"/>
      <c r="AJ4557" s="410"/>
    </row>
    <row r="4558" spans="33:36" ht="11.25" customHeight="1" x14ac:dyDescent="0.2">
      <c r="AG4558" s="19"/>
      <c r="AJ4558" s="410"/>
    </row>
    <row r="4559" spans="33:36" ht="11.25" customHeight="1" x14ac:dyDescent="0.2">
      <c r="AG4559" s="19"/>
      <c r="AJ4559" s="410"/>
    </row>
    <row r="4560" spans="33:36" ht="11.25" customHeight="1" x14ac:dyDescent="0.2">
      <c r="AG4560" s="19"/>
      <c r="AJ4560" s="410"/>
    </row>
    <row r="4561" spans="33:36" ht="11.25" customHeight="1" x14ac:dyDescent="0.2">
      <c r="AG4561" s="19"/>
      <c r="AJ4561" s="410"/>
    </row>
    <row r="4562" spans="33:36" ht="11.25" customHeight="1" x14ac:dyDescent="0.2">
      <c r="AG4562" s="19"/>
      <c r="AJ4562" s="410"/>
    </row>
    <row r="4563" spans="33:36" ht="11.25" customHeight="1" x14ac:dyDescent="0.2">
      <c r="AG4563" s="19"/>
      <c r="AJ4563" s="410"/>
    </row>
    <row r="4564" spans="33:36" ht="11.25" customHeight="1" x14ac:dyDescent="0.2">
      <c r="AG4564" s="19"/>
      <c r="AJ4564" s="410"/>
    </row>
    <row r="4565" spans="33:36" ht="11.25" customHeight="1" x14ac:dyDescent="0.2">
      <c r="AG4565" s="19"/>
      <c r="AJ4565" s="410"/>
    </row>
    <row r="4566" spans="33:36" ht="11.25" customHeight="1" x14ac:dyDescent="0.2">
      <c r="AG4566" s="19"/>
      <c r="AJ4566" s="410"/>
    </row>
    <row r="4567" spans="33:36" ht="11.25" customHeight="1" x14ac:dyDescent="0.2">
      <c r="AG4567" s="19"/>
      <c r="AJ4567" s="410"/>
    </row>
    <row r="4568" spans="33:36" ht="11.25" customHeight="1" x14ac:dyDescent="0.2">
      <c r="AG4568" s="19"/>
      <c r="AJ4568" s="410"/>
    </row>
    <row r="4569" spans="33:36" ht="11.25" customHeight="1" x14ac:dyDescent="0.2">
      <c r="AG4569" s="19"/>
      <c r="AJ4569" s="410"/>
    </row>
    <row r="4570" spans="33:36" ht="11.25" customHeight="1" x14ac:dyDescent="0.2">
      <c r="AG4570" s="19"/>
      <c r="AJ4570" s="410"/>
    </row>
    <row r="4571" spans="33:36" ht="11.25" customHeight="1" x14ac:dyDescent="0.2">
      <c r="AG4571" s="19"/>
      <c r="AJ4571" s="410"/>
    </row>
    <row r="4572" spans="33:36" ht="11.25" customHeight="1" x14ac:dyDescent="0.2">
      <c r="AG4572" s="19"/>
      <c r="AJ4572" s="410"/>
    </row>
    <row r="4573" spans="33:36" ht="11.25" customHeight="1" x14ac:dyDescent="0.2">
      <c r="AG4573" s="19"/>
      <c r="AJ4573" s="410"/>
    </row>
    <row r="4574" spans="33:36" ht="11.25" customHeight="1" x14ac:dyDescent="0.2">
      <c r="AG4574" s="19"/>
      <c r="AJ4574" s="410"/>
    </row>
    <row r="4575" spans="33:36" ht="11.25" customHeight="1" x14ac:dyDescent="0.2">
      <c r="AG4575" s="19"/>
      <c r="AJ4575" s="410"/>
    </row>
    <row r="4576" spans="33:36" ht="11.25" customHeight="1" x14ac:dyDescent="0.2">
      <c r="AG4576" s="19"/>
      <c r="AJ4576" s="410"/>
    </row>
    <row r="4577" spans="33:36" ht="11.25" customHeight="1" x14ac:dyDescent="0.2">
      <c r="AG4577" s="19"/>
      <c r="AJ4577" s="410"/>
    </row>
    <row r="4578" spans="33:36" ht="11.25" customHeight="1" x14ac:dyDescent="0.2">
      <c r="AG4578" s="19"/>
      <c r="AJ4578" s="410"/>
    </row>
    <row r="4579" spans="33:36" ht="11.25" customHeight="1" x14ac:dyDescent="0.2">
      <c r="AG4579" s="19"/>
      <c r="AJ4579" s="410"/>
    </row>
    <row r="4580" spans="33:36" ht="11.25" customHeight="1" x14ac:dyDescent="0.2">
      <c r="AG4580" s="19"/>
      <c r="AJ4580" s="410"/>
    </row>
    <row r="4581" spans="33:36" ht="11.25" customHeight="1" x14ac:dyDescent="0.2">
      <c r="AG4581" s="19"/>
      <c r="AJ4581" s="410"/>
    </row>
    <row r="4582" spans="33:36" ht="11.25" customHeight="1" x14ac:dyDescent="0.2">
      <c r="AG4582" s="19"/>
      <c r="AJ4582" s="410"/>
    </row>
    <row r="4583" spans="33:36" ht="11.25" customHeight="1" x14ac:dyDescent="0.2">
      <c r="AG4583" s="19"/>
      <c r="AJ4583" s="410"/>
    </row>
    <row r="4584" spans="33:36" ht="11.25" customHeight="1" x14ac:dyDescent="0.2">
      <c r="AG4584" s="19"/>
      <c r="AJ4584" s="410"/>
    </row>
    <row r="4585" spans="33:36" ht="11.25" customHeight="1" x14ac:dyDescent="0.2">
      <c r="AG4585" s="19"/>
      <c r="AJ4585" s="410"/>
    </row>
    <row r="4586" spans="33:36" ht="11.25" customHeight="1" x14ac:dyDescent="0.2">
      <c r="AG4586" s="19"/>
      <c r="AJ4586" s="410"/>
    </row>
    <row r="4587" spans="33:36" ht="11.25" customHeight="1" x14ac:dyDescent="0.2">
      <c r="AG4587" s="19"/>
      <c r="AJ4587" s="410"/>
    </row>
    <row r="4588" spans="33:36" ht="11.25" customHeight="1" x14ac:dyDescent="0.2">
      <c r="AG4588" s="19"/>
      <c r="AJ4588" s="410"/>
    </row>
    <row r="4589" spans="33:36" ht="11.25" customHeight="1" x14ac:dyDescent="0.2">
      <c r="AG4589" s="19"/>
      <c r="AJ4589" s="410"/>
    </row>
    <row r="4590" spans="33:36" ht="11.25" customHeight="1" x14ac:dyDescent="0.2">
      <c r="AG4590" s="19"/>
      <c r="AJ4590" s="410"/>
    </row>
    <row r="4591" spans="33:36" ht="11.25" customHeight="1" x14ac:dyDescent="0.2">
      <c r="AG4591" s="19"/>
      <c r="AJ4591" s="410"/>
    </row>
    <row r="4592" spans="33:36" ht="11.25" customHeight="1" x14ac:dyDescent="0.2">
      <c r="AG4592" s="19"/>
      <c r="AJ4592" s="410"/>
    </row>
    <row r="4593" spans="33:36" ht="11.25" customHeight="1" x14ac:dyDescent="0.2">
      <c r="AG4593" s="19"/>
      <c r="AJ4593" s="410"/>
    </row>
    <row r="4594" spans="33:36" ht="11.25" customHeight="1" x14ac:dyDescent="0.2">
      <c r="AG4594" s="19"/>
      <c r="AJ4594" s="410"/>
    </row>
    <row r="4595" spans="33:36" ht="11.25" customHeight="1" x14ac:dyDescent="0.2">
      <c r="AG4595" s="19"/>
      <c r="AJ4595" s="410"/>
    </row>
    <row r="4596" spans="33:36" ht="11.25" customHeight="1" x14ac:dyDescent="0.2">
      <c r="AG4596" s="19"/>
      <c r="AJ4596" s="410"/>
    </row>
    <row r="4597" spans="33:36" ht="11.25" customHeight="1" x14ac:dyDescent="0.2">
      <c r="AG4597" s="19"/>
      <c r="AJ4597" s="410"/>
    </row>
    <row r="4598" spans="33:36" ht="11.25" customHeight="1" x14ac:dyDescent="0.2">
      <c r="AG4598" s="19"/>
      <c r="AJ4598" s="410"/>
    </row>
    <row r="4599" spans="33:36" ht="11.25" customHeight="1" x14ac:dyDescent="0.2">
      <c r="AG4599" s="19"/>
      <c r="AJ4599" s="410"/>
    </row>
    <row r="4600" spans="33:36" ht="11.25" customHeight="1" x14ac:dyDescent="0.2">
      <c r="AG4600" s="19"/>
      <c r="AJ4600" s="410"/>
    </row>
    <row r="4601" spans="33:36" ht="11.25" customHeight="1" x14ac:dyDescent="0.2">
      <c r="AG4601" s="19"/>
      <c r="AJ4601" s="410"/>
    </row>
    <row r="4602" spans="33:36" ht="11.25" customHeight="1" x14ac:dyDescent="0.2">
      <c r="AG4602" s="19"/>
      <c r="AJ4602" s="410"/>
    </row>
    <row r="4603" spans="33:36" ht="11.25" customHeight="1" x14ac:dyDescent="0.2">
      <c r="AG4603" s="19"/>
      <c r="AJ4603" s="410"/>
    </row>
    <row r="4604" spans="33:36" ht="11.25" customHeight="1" x14ac:dyDescent="0.2">
      <c r="AG4604" s="19"/>
      <c r="AJ4604" s="410"/>
    </row>
    <row r="4605" spans="33:36" ht="11.25" customHeight="1" x14ac:dyDescent="0.2">
      <c r="AG4605" s="19"/>
      <c r="AJ4605" s="410"/>
    </row>
    <row r="4606" spans="33:36" ht="11.25" customHeight="1" x14ac:dyDescent="0.2">
      <c r="AG4606" s="19"/>
      <c r="AJ4606" s="410"/>
    </row>
    <row r="4607" spans="33:36" ht="11.25" customHeight="1" x14ac:dyDescent="0.2">
      <c r="AG4607" s="19"/>
      <c r="AJ4607" s="410"/>
    </row>
    <row r="4608" spans="33:36" ht="11.25" customHeight="1" x14ac:dyDescent="0.2">
      <c r="AG4608" s="19"/>
      <c r="AJ4608" s="410"/>
    </row>
    <row r="4609" spans="33:36" ht="11.25" customHeight="1" x14ac:dyDescent="0.2">
      <c r="AG4609" s="19"/>
      <c r="AJ4609" s="410"/>
    </row>
    <row r="4610" spans="33:36" ht="11.25" customHeight="1" x14ac:dyDescent="0.2">
      <c r="AG4610" s="19"/>
      <c r="AJ4610" s="410"/>
    </row>
    <row r="4611" spans="33:36" ht="11.25" customHeight="1" x14ac:dyDescent="0.2">
      <c r="AG4611" s="19"/>
      <c r="AJ4611" s="410"/>
    </row>
    <row r="4612" spans="33:36" ht="11.25" customHeight="1" x14ac:dyDescent="0.2">
      <c r="AG4612" s="19"/>
      <c r="AJ4612" s="410"/>
    </row>
    <row r="4613" spans="33:36" ht="11.25" customHeight="1" x14ac:dyDescent="0.2">
      <c r="AG4613" s="19"/>
      <c r="AJ4613" s="410"/>
    </row>
    <row r="4614" spans="33:36" ht="11.25" customHeight="1" x14ac:dyDescent="0.2">
      <c r="AG4614" s="19"/>
      <c r="AJ4614" s="410"/>
    </row>
    <row r="4615" spans="33:36" ht="11.25" customHeight="1" x14ac:dyDescent="0.2">
      <c r="AG4615" s="19"/>
      <c r="AJ4615" s="410"/>
    </row>
    <row r="4616" spans="33:36" ht="11.25" customHeight="1" x14ac:dyDescent="0.2">
      <c r="AG4616" s="19"/>
      <c r="AJ4616" s="410"/>
    </row>
    <row r="4617" spans="33:36" ht="11.25" customHeight="1" x14ac:dyDescent="0.2">
      <c r="AG4617" s="19"/>
      <c r="AJ4617" s="410"/>
    </row>
    <row r="4618" spans="33:36" ht="11.25" customHeight="1" x14ac:dyDescent="0.2">
      <c r="AG4618" s="19"/>
      <c r="AJ4618" s="410"/>
    </row>
    <row r="4619" spans="33:36" ht="11.25" customHeight="1" x14ac:dyDescent="0.2">
      <c r="AG4619" s="19"/>
      <c r="AJ4619" s="410"/>
    </row>
    <row r="4620" spans="33:36" ht="11.25" customHeight="1" x14ac:dyDescent="0.2">
      <c r="AG4620" s="19"/>
      <c r="AJ4620" s="410"/>
    </row>
    <row r="4621" spans="33:36" ht="11.25" customHeight="1" x14ac:dyDescent="0.2">
      <c r="AG4621" s="19"/>
      <c r="AJ4621" s="410"/>
    </row>
    <row r="4622" spans="33:36" ht="11.25" customHeight="1" x14ac:dyDescent="0.2">
      <c r="AG4622" s="19"/>
      <c r="AJ4622" s="410"/>
    </row>
    <row r="4623" spans="33:36" ht="11.25" customHeight="1" x14ac:dyDescent="0.2">
      <c r="AG4623" s="19"/>
      <c r="AJ4623" s="410"/>
    </row>
    <row r="4624" spans="33:36" ht="11.25" customHeight="1" x14ac:dyDescent="0.2">
      <c r="AG4624" s="19"/>
      <c r="AJ4624" s="410"/>
    </row>
    <row r="4625" spans="33:36" ht="11.25" customHeight="1" x14ac:dyDescent="0.2">
      <c r="AG4625" s="19"/>
      <c r="AJ4625" s="410"/>
    </row>
    <row r="4626" spans="33:36" ht="11.25" customHeight="1" x14ac:dyDescent="0.2">
      <c r="AG4626" s="19"/>
      <c r="AJ4626" s="410"/>
    </row>
    <row r="4627" spans="33:36" ht="11.25" customHeight="1" x14ac:dyDescent="0.2">
      <c r="AG4627" s="19"/>
      <c r="AJ4627" s="410"/>
    </row>
    <row r="4628" spans="33:36" ht="11.25" customHeight="1" x14ac:dyDescent="0.2">
      <c r="AG4628" s="19"/>
      <c r="AJ4628" s="410"/>
    </row>
    <row r="4629" spans="33:36" ht="11.25" customHeight="1" x14ac:dyDescent="0.2">
      <c r="AG4629" s="19"/>
      <c r="AJ4629" s="410"/>
    </row>
    <row r="4630" spans="33:36" ht="11.25" customHeight="1" x14ac:dyDescent="0.2">
      <c r="AG4630" s="19"/>
      <c r="AJ4630" s="410"/>
    </row>
    <row r="4631" spans="33:36" ht="11.25" customHeight="1" x14ac:dyDescent="0.2">
      <c r="AG4631" s="19"/>
      <c r="AJ4631" s="410"/>
    </row>
    <row r="4632" spans="33:36" ht="11.25" customHeight="1" x14ac:dyDescent="0.2">
      <c r="AG4632" s="19"/>
      <c r="AJ4632" s="410"/>
    </row>
    <row r="4633" spans="33:36" ht="11.25" customHeight="1" x14ac:dyDescent="0.2">
      <c r="AG4633" s="19"/>
      <c r="AJ4633" s="410"/>
    </row>
    <row r="4634" spans="33:36" ht="11.25" customHeight="1" x14ac:dyDescent="0.2">
      <c r="AG4634" s="19"/>
      <c r="AJ4634" s="410"/>
    </row>
    <row r="4635" spans="33:36" ht="11.25" customHeight="1" x14ac:dyDescent="0.2">
      <c r="AG4635" s="19"/>
      <c r="AJ4635" s="410"/>
    </row>
    <row r="4636" spans="33:36" ht="11.25" customHeight="1" x14ac:dyDescent="0.2">
      <c r="AG4636" s="19"/>
      <c r="AJ4636" s="410"/>
    </row>
    <row r="4637" spans="33:36" ht="11.25" customHeight="1" x14ac:dyDescent="0.2">
      <c r="AG4637" s="19"/>
      <c r="AJ4637" s="410"/>
    </row>
    <row r="4638" spans="33:36" ht="11.25" customHeight="1" x14ac:dyDescent="0.2">
      <c r="AG4638" s="19"/>
      <c r="AJ4638" s="410"/>
    </row>
    <row r="4639" spans="33:36" ht="11.25" customHeight="1" x14ac:dyDescent="0.2">
      <c r="AG4639" s="19"/>
      <c r="AJ4639" s="410"/>
    </row>
    <row r="4640" spans="33:36" ht="11.25" customHeight="1" x14ac:dyDescent="0.2">
      <c r="AG4640" s="19"/>
      <c r="AJ4640" s="410"/>
    </row>
    <row r="4641" spans="33:36" ht="11.25" customHeight="1" x14ac:dyDescent="0.2">
      <c r="AG4641" s="19"/>
      <c r="AJ4641" s="410"/>
    </row>
    <row r="4642" spans="33:36" ht="11.25" customHeight="1" x14ac:dyDescent="0.2">
      <c r="AG4642" s="19"/>
      <c r="AJ4642" s="410"/>
    </row>
    <row r="4643" spans="33:36" ht="11.25" customHeight="1" x14ac:dyDescent="0.2">
      <c r="AG4643" s="19"/>
      <c r="AJ4643" s="410"/>
    </row>
    <row r="4644" spans="33:36" ht="11.25" customHeight="1" x14ac:dyDescent="0.2">
      <c r="AG4644" s="19"/>
      <c r="AJ4644" s="410"/>
    </row>
    <row r="4645" spans="33:36" ht="11.25" customHeight="1" x14ac:dyDescent="0.2">
      <c r="AG4645" s="19"/>
      <c r="AJ4645" s="410"/>
    </row>
    <row r="4646" spans="33:36" ht="11.25" customHeight="1" x14ac:dyDescent="0.2">
      <c r="AG4646" s="19"/>
      <c r="AJ4646" s="410"/>
    </row>
    <row r="4647" spans="33:36" ht="11.25" customHeight="1" x14ac:dyDescent="0.2">
      <c r="AG4647" s="19"/>
      <c r="AJ4647" s="410"/>
    </row>
    <row r="4648" spans="33:36" ht="11.25" customHeight="1" x14ac:dyDescent="0.2">
      <c r="AG4648" s="19"/>
      <c r="AJ4648" s="410"/>
    </row>
    <row r="4649" spans="33:36" ht="11.25" customHeight="1" x14ac:dyDescent="0.2">
      <c r="AG4649" s="19"/>
      <c r="AJ4649" s="410"/>
    </row>
    <row r="4650" spans="33:36" ht="11.25" customHeight="1" x14ac:dyDescent="0.2">
      <c r="AG4650" s="19"/>
      <c r="AJ4650" s="410"/>
    </row>
    <row r="4651" spans="33:36" ht="11.25" customHeight="1" x14ac:dyDescent="0.2">
      <c r="AG4651" s="19"/>
      <c r="AJ4651" s="410"/>
    </row>
    <row r="4652" spans="33:36" ht="11.25" customHeight="1" x14ac:dyDescent="0.2">
      <c r="AG4652" s="19"/>
      <c r="AJ4652" s="410"/>
    </row>
    <row r="4653" spans="33:36" ht="11.25" customHeight="1" x14ac:dyDescent="0.2">
      <c r="AG4653" s="19"/>
      <c r="AJ4653" s="410"/>
    </row>
    <row r="4654" spans="33:36" ht="11.25" customHeight="1" x14ac:dyDescent="0.2">
      <c r="AG4654" s="19"/>
      <c r="AJ4654" s="410"/>
    </row>
    <row r="4655" spans="33:36" ht="11.25" customHeight="1" x14ac:dyDescent="0.2">
      <c r="AG4655" s="19"/>
      <c r="AJ4655" s="410"/>
    </row>
    <row r="4656" spans="33:36" ht="11.25" customHeight="1" x14ac:dyDescent="0.2">
      <c r="AG4656" s="19"/>
      <c r="AJ4656" s="410"/>
    </row>
    <row r="4657" spans="33:36" ht="11.25" customHeight="1" x14ac:dyDescent="0.2">
      <c r="AG4657" s="19"/>
      <c r="AJ4657" s="410"/>
    </row>
    <row r="4658" spans="33:36" ht="11.25" customHeight="1" x14ac:dyDescent="0.2">
      <c r="AG4658" s="19"/>
      <c r="AJ4658" s="410"/>
    </row>
    <row r="4659" spans="33:36" ht="11.25" customHeight="1" x14ac:dyDescent="0.2">
      <c r="AG4659" s="19"/>
      <c r="AJ4659" s="410"/>
    </row>
    <row r="4660" spans="33:36" ht="11.25" customHeight="1" x14ac:dyDescent="0.2">
      <c r="AG4660" s="19"/>
      <c r="AJ4660" s="410"/>
    </row>
    <row r="4661" spans="33:36" ht="11.25" customHeight="1" x14ac:dyDescent="0.2">
      <c r="AG4661" s="19"/>
      <c r="AJ4661" s="410"/>
    </row>
    <row r="4662" spans="33:36" ht="11.25" customHeight="1" x14ac:dyDescent="0.2">
      <c r="AG4662" s="19"/>
      <c r="AJ4662" s="410"/>
    </row>
    <row r="4663" spans="33:36" ht="11.25" customHeight="1" x14ac:dyDescent="0.2">
      <c r="AG4663" s="19"/>
      <c r="AJ4663" s="410"/>
    </row>
    <row r="4664" spans="33:36" ht="11.25" customHeight="1" x14ac:dyDescent="0.2">
      <c r="AG4664" s="19"/>
      <c r="AJ4664" s="410"/>
    </row>
    <row r="4665" spans="33:36" ht="11.25" customHeight="1" x14ac:dyDescent="0.2">
      <c r="AG4665" s="19"/>
      <c r="AJ4665" s="410"/>
    </row>
    <row r="4666" spans="33:36" ht="11.25" customHeight="1" x14ac:dyDescent="0.2">
      <c r="AG4666" s="19"/>
      <c r="AJ4666" s="410"/>
    </row>
    <row r="4667" spans="33:36" ht="11.25" customHeight="1" x14ac:dyDescent="0.2">
      <c r="AG4667" s="19"/>
      <c r="AJ4667" s="410"/>
    </row>
    <row r="4668" spans="33:36" ht="11.25" customHeight="1" x14ac:dyDescent="0.2">
      <c r="AG4668" s="19"/>
      <c r="AJ4668" s="410"/>
    </row>
    <row r="4669" spans="33:36" ht="11.25" customHeight="1" x14ac:dyDescent="0.2">
      <c r="AG4669" s="19"/>
      <c r="AJ4669" s="410"/>
    </row>
    <row r="4670" spans="33:36" ht="11.25" customHeight="1" x14ac:dyDescent="0.2">
      <c r="AG4670" s="19"/>
      <c r="AJ4670" s="410"/>
    </row>
    <row r="4671" spans="33:36" ht="11.25" customHeight="1" x14ac:dyDescent="0.2">
      <c r="AG4671" s="19"/>
      <c r="AJ4671" s="410"/>
    </row>
    <row r="4672" spans="33:36" ht="11.25" customHeight="1" x14ac:dyDescent="0.2">
      <c r="AG4672" s="19"/>
      <c r="AJ4672" s="410"/>
    </row>
    <row r="4673" spans="33:36" ht="11.25" customHeight="1" x14ac:dyDescent="0.2">
      <c r="AG4673" s="19"/>
      <c r="AJ4673" s="410"/>
    </row>
    <row r="4674" spans="33:36" ht="11.25" customHeight="1" x14ac:dyDescent="0.2">
      <c r="AG4674" s="19"/>
      <c r="AJ4674" s="410"/>
    </row>
    <row r="4675" spans="33:36" ht="11.25" customHeight="1" x14ac:dyDescent="0.2">
      <c r="AG4675" s="19"/>
      <c r="AJ4675" s="410"/>
    </row>
    <row r="4676" spans="33:36" ht="11.25" customHeight="1" x14ac:dyDescent="0.2">
      <c r="AG4676" s="19"/>
      <c r="AJ4676" s="410"/>
    </row>
    <row r="4677" spans="33:36" ht="11.25" customHeight="1" x14ac:dyDescent="0.2">
      <c r="AG4677" s="19"/>
      <c r="AJ4677" s="410"/>
    </row>
    <row r="4678" spans="33:36" ht="11.25" customHeight="1" x14ac:dyDescent="0.2">
      <c r="AG4678" s="19"/>
      <c r="AJ4678" s="410"/>
    </row>
    <row r="4679" spans="33:36" ht="11.25" customHeight="1" x14ac:dyDescent="0.2">
      <c r="AG4679" s="19"/>
      <c r="AJ4679" s="410"/>
    </row>
    <row r="4680" spans="33:36" ht="11.25" customHeight="1" x14ac:dyDescent="0.2">
      <c r="AG4680" s="19"/>
      <c r="AJ4680" s="410"/>
    </row>
    <row r="4681" spans="33:36" ht="11.25" customHeight="1" x14ac:dyDescent="0.2">
      <c r="AG4681" s="19"/>
      <c r="AJ4681" s="410"/>
    </row>
    <row r="4682" spans="33:36" ht="11.25" customHeight="1" x14ac:dyDescent="0.2">
      <c r="AG4682" s="19"/>
      <c r="AJ4682" s="410"/>
    </row>
    <row r="4683" spans="33:36" ht="11.25" customHeight="1" x14ac:dyDescent="0.2">
      <c r="AG4683" s="19"/>
      <c r="AJ4683" s="410"/>
    </row>
    <row r="4684" spans="33:36" ht="11.25" customHeight="1" x14ac:dyDescent="0.2">
      <c r="AG4684" s="19"/>
      <c r="AJ4684" s="410"/>
    </row>
    <row r="4685" spans="33:36" ht="11.25" customHeight="1" x14ac:dyDescent="0.2">
      <c r="AG4685" s="19"/>
      <c r="AJ4685" s="410"/>
    </row>
    <row r="4686" spans="33:36" ht="11.25" customHeight="1" x14ac:dyDescent="0.2">
      <c r="AG4686" s="19"/>
      <c r="AJ4686" s="410"/>
    </row>
    <row r="4687" spans="33:36" ht="11.25" customHeight="1" x14ac:dyDescent="0.2">
      <c r="AG4687" s="19"/>
      <c r="AJ4687" s="410"/>
    </row>
    <row r="4688" spans="33:36" ht="11.25" customHeight="1" x14ac:dyDescent="0.2">
      <c r="AG4688" s="19"/>
      <c r="AJ4688" s="410"/>
    </row>
    <row r="4689" spans="33:36" ht="11.25" customHeight="1" x14ac:dyDescent="0.2">
      <c r="AG4689" s="19"/>
      <c r="AJ4689" s="410"/>
    </row>
    <row r="4690" spans="33:36" ht="11.25" customHeight="1" x14ac:dyDescent="0.2">
      <c r="AG4690" s="19"/>
      <c r="AJ4690" s="410"/>
    </row>
    <row r="4691" spans="33:36" ht="11.25" customHeight="1" x14ac:dyDescent="0.2">
      <c r="AG4691" s="19"/>
      <c r="AJ4691" s="410"/>
    </row>
    <row r="4692" spans="33:36" ht="11.25" customHeight="1" x14ac:dyDescent="0.2">
      <c r="AG4692" s="19"/>
      <c r="AJ4692" s="410"/>
    </row>
    <row r="4693" spans="33:36" ht="11.25" customHeight="1" x14ac:dyDescent="0.2">
      <c r="AG4693" s="19"/>
      <c r="AJ4693" s="410"/>
    </row>
    <row r="4694" spans="33:36" ht="11.25" customHeight="1" x14ac:dyDescent="0.2">
      <c r="AG4694" s="19"/>
      <c r="AJ4694" s="410"/>
    </row>
    <row r="4695" spans="33:36" ht="11.25" customHeight="1" x14ac:dyDescent="0.2">
      <c r="AG4695" s="19"/>
      <c r="AJ4695" s="410"/>
    </row>
    <row r="4696" spans="33:36" ht="11.25" customHeight="1" x14ac:dyDescent="0.2">
      <c r="AG4696" s="19"/>
      <c r="AJ4696" s="410"/>
    </row>
    <row r="4697" spans="33:36" ht="11.25" customHeight="1" x14ac:dyDescent="0.2">
      <c r="AG4697" s="19"/>
      <c r="AJ4697" s="410"/>
    </row>
    <row r="4698" spans="33:36" ht="11.25" customHeight="1" x14ac:dyDescent="0.2">
      <c r="AG4698" s="19"/>
      <c r="AJ4698" s="410"/>
    </row>
    <row r="4699" spans="33:36" ht="11.25" customHeight="1" x14ac:dyDescent="0.2">
      <c r="AG4699" s="19"/>
      <c r="AJ4699" s="410"/>
    </row>
    <row r="4700" spans="33:36" ht="11.25" customHeight="1" x14ac:dyDescent="0.2">
      <c r="AG4700" s="19"/>
      <c r="AJ4700" s="410"/>
    </row>
    <row r="4701" spans="33:36" ht="11.25" customHeight="1" x14ac:dyDescent="0.2">
      <c r="AG4701" s="19"/>
      <c r="AJ4701" s="410"/>
    </row>
    <row r="4702" spans="33:36" ht="11.25" customHeight="1" x14ac:dyDescent="0.2">
      <c r="AG4702" s="19"/>
      <c r="AJ4702" s="410"/>
    </row>
    <row r="4703" spans="33:36" ht="11.25" customHeight="1" x14ac:dyDescent="0.2">
      <c r="AG4703" s="19"/>
      <c r="AJ4703" s="410"/>
    </row>
    <row r="4704" spans="33:36" ht="11.25" customHeight="1" x14ac:dyDescent="0.2">
      <c r="AG4704" s="19"/>
      <c r="AJ4704" s="410"/>
    </row>
    <row r="4705" spans="33:36" ht="11.25" customHeight="1" x14ac:dyDescent="0.2">
      <c r="AG4705" s="19"/>
      <c r="AJ4705" s="410"/>
    </row>
    <row r="4706" spans="33:36" ht="11.25" customHeight="1" x14ac:dyDescent="0.2">
      <c r="AG4706" s="19"/>
      <c r="AJ4706" s="410"/>
    </row>
    <row r="4707" spans="33:36" ht="11.25" customHeight="1" x14ac:dyDescent="0.2">
      <c r="AG4707" s="19"/>
      <c r="AJ4707" s="410"/>
    </row>
    <row r="4708" spans="33:36" ht="11.25" customHeight="1" x14ac:dyDescent="0.2">
      <c r="AG4708" s="19"/>
      <c r="AJ4708" s="410"/>
    </row>
    <row r="4709" spans="33:36" ht="11.25" customHeight="1" x14ac:dyDescent="0.2">
      <c r="AG4709" s="19"/>
      <c r="AJ4709" s="410"/>
    </row>
    <row r="4710" spans="33:36" ht="11.25" customHeight="1" x14ac:dyDescent="0.2">
      <c r="AG4710" s="19"/>
      <c r="AJ4710" s="410"/>
    </row>
    <row r="4711" spans="33:36" ht="11.25" customHeight="1" x14ac:dyDescent="0.2">
      <c r="AG4711" s="19"/>
      <c r="AJ4711" s="410"/>
    </row>
    <row r="4712" spans="33:36" ht="11.25" customHeight="1" x14ac:dyDescent="0.2">
      <c r="AG4712" s="19"/>
      <c r="AJ4712" s="410"/>
    </row>
    <row r="4713" spans="33:36" ht="11.25" customHeight="1" x14ac:dyDescent="0.2">
      <c r="AG4713" s="19"/>
      <c r="AJ4713" s="410"/>
    </row>
    <row r="4714" spans="33:36" ht="11.25" customHeight="1" x14ac:dyDescent="0.2">
      <c r="AG4714" s="19"/>
      <c r="AJ4714" s="410"/>
    </row>
    <row r="4715" spans="33:36" ht="11.25" customHeight="1" x14ac:dyDescent="0.2">
      <c r="AG4715" s="19"/>
      <c r="AJ4715" s="410"/>
    </row>
    <row r="4716" spans="33:36" ht="11.25" customHeight="1" x14ac:dyDescent="0.2">
      <c r="AG4716" s="19"/>
      <c r="AJ4716" s="410"/>
    </row>
    <row r="4717" spans="33:36" ht="11.25" customHeight="1" x14ac:dyDescent="0.2">
      <c r="AG4717" s="19"/>
      <c r="AJ4717" s="410"/>
    </row>
    <row r="4718" spans="33:36" ht="11.25" customHeight="1" x14ac:dyDescent="0.2">
      <c r="AG4718" s="19"/>
      <c r="AJ4718" s="410"/>
    </row>
    <row r="4719" spans="33:36" ht="11.25" customHeight="1" x14ac:dyDescent="0.2">
      <c r="AG4719" s="19"/>
      <c r="AJ4719" s="410"/>
    </row>
    <row r="4720" spans="33:36" ht="11.25" customHeight="1" x14ac:dyDescent="0.2">
      <c r="AG4720" s="19"/>
      <c r="AJ4720" s="410"/>
    </row>
    <row r="4721" spans="33:36" ht="11.25" customHeight="1" x14ac:dyDescent="0.2">
      <c r="AG4721" s="19"/>
      <c r="AJ4721" s="410"/>
    </row>
    <row r="4722" spans="33:36" ht="11.25" customHeight="1" x14ac:dyDescent="0.2">
      <c r="AG4722" s="19"/>
      <c r="AJ4722" s="410"/>
    </row>
    <row r="4723" spans="33:36" ht="11.25" customHeight="1" x14ac:dyDescent="0.2">
      <c r="AG4723" s="19"/>
      <c r="AJ4723" s="410"/>
    </row>
    <row r="4724" spans="33:36" ht="11.25" customHeight="1" x14ac:dyDescent="0.2">
      <c r="AG4724" s="19"/>
      <c r="AJ4724" s="410"/>
    </row>
    <row r="4725" spans="33:36" ht="11.25" customHeight="1" x14ac:dyDescent="0.2">
      <c r="AG4725" s="19"/>
      <c r="AJ4725" s="410"/>
    </row>
    <row r="4726" spans="33:36" ht="11.25" customHeight="1" x14ac:dyDescent="0.2">
      <c r="AG4726" s="19"/>
      <c r="AJ4726" s="410"/>
    </row>
    <row r="4727" spans="33:36" ht="11.25" customHeight="1" x14ac:dyDescent="0.2">
      <c r="AG4727" s="19"/>
      <c r="AJ4727" s="410"/>
    </row>
    <row r="4728" spans="33:36" ht="11.25" customHeight="1" x14ac:dyDescent="0.2">
      <c r="AG4728" s="19"/>
      <c r="AJ4728" s="410"/>
    </row>
    <row r="4729" spans="33:36" ht="11.25" customHeight="1" x14ac:dyDescent="0.2">
      <c r="AG4729" s="19"/>
      <c r="AJ4729" s="410"/>
    </row>
    <row r="4730" spans="33:36" ht="11.25" customHeight="1" x14ac:dyDescent="0.2">
      <c r="AG4730" s="19"/>
      <c r="AJ4730" s="410"/>
    </row>
    <row r="4731" spans="33:36" ht="11.25" customHeight="1" x14ac:dyDescent="0.2">
      <c r="AG4731" s="19"/>
      <c r="AJ4731" s="410"/>
    </row>
    <row r="4732" spans="33:36" ht="11.25" customHeight="1" x14ac:dyDescent="0.2">
      <c r="AG4732" s="19"/>
      <c r="AJ4732" s="410"/>
    </row>
    <row r="4733" spans="33:36" ht="11.25" customHeight="1" x14ac:dyDescent="0.2">
      <c r="AG4733" s="19"/>
      <c r="AJ4733" s="410"/>
    </row>
    <row r="4734" spans="33:36" ht="11.25" customHeight="1" x14ac:dyDescent="0.2">
      <c r="AG4734" s="19"/>
      <c r="AJ4734" s="410"/>
    </row>
    <row r="4735" spans="33:36" ht="11.25" customHeight="1" x14ac:dyDescent="0.2">
      <c r="AG4735" s="19"/>
      <c r="AJ4735" s="410"/>
    </row>
    <row r="4736" spans="33:36" ht="11.25" customHeight="1" x14ac:dyDescent="0.2">
      <c r="AG4736" s="19"/>
      <c r="AJ4736" s="410"/>
    </row>
    <row r="4737" spans="33:36" ht="11.25" customHeight="1" x14ac:dyDescent="0.2">
      <c r="AG4737" s="19"/>
      <c r="AJ4737" s="410"/>
    </row>
    <row r="4738" spans="33:36" ht="11.25" customHeight="1" x14ac:dyDescent="0.2">
      <c r="AG4738" s="19"/>
      <c r="AJ4738" s="410"/>
    </row>
    <row r="4739" spans="33:36" ht="11.25" customHeight="1" x14ac:dyDescent="0.2">
      <c r="AG4739" s="19"/>
      <c r="AJ4739" s="410"/>
    </row>
    <row r="4740" spans="33:36" ht="11.25" customHeight="1" x14ac:dyDescent="0.2">
      <c r="AG4740" s="19"/>
      <c r="AJ4740" s="410"/>
    </row>
    <row r="4741" spans="33:36" ht="11.25" customHeight="1" x14ac:dyDescent="0.2">
      <c r="AG4741" s="19"/>
      <c r="AJ4741" s="410"/>
    </row>
    <row r="4742" spans="33:36" ht="11.25" customHeight="1" x14ac:dyDescent="0.2">
      <c r="AG4742" s="19"/>
      <c r="AJ4742" s="410"/>
    </row>
    <row r="4743" spans="33:36" ht="11.25" customHeight="1" x14ac:dyDescent="0.2">
      <c r="AG4743" s="19"/>
      <c r="AJ4743" s="410"/>
    </row>
    <row r="4744" spans="33:36" ht="11.25" customHeight="1" x14ac:dyDescent="0.2">
      <c r="AG4744" s="19"/>
      <c r="AJ4744" s="410"/>
    </row>
    <row r="4745" spans="33:36" ht="11.25" customHeight="1" x14ac:dyDescent="0.2">
      <c r="AG4745" s="19"/>
      <c r="AJ4745" s="410"/>
    </row>
    <row r="4746" spans="33:36" ht="11.25" customHeight="1" x14ac:dyDescent="0.2">
      <c r="AG4746" s="19"/>
      <c r="AJ4746" s="410"/>
    </row>
    <row r="4747" spans="33:36" ht="11.25" customHeight="1" x14ac:dyDescent="0.2">
      <c r="AG4747" s="19"/>
      <c r="AJ4747" s="410"/>
    </row>
    <row r="4748" spans="33:36" ht="11.25" customHeight="1" x14ac:dyDescent="0.2">
      <c r="AG4748" s="19"/>
      <c r="AJ4748" s="410"/>
    </row>
    <row r="4749" spans="33:36" ht="11.25" customHeight="1" x14ac:dyDescent="0.2">
      <c r="AG4749" s="19"/>
      <c r="AJ4749" s="410"/>
    </row>
    <row r="4750" spans="33:36" ht="11.25" customHeight="1" x14ac:dyDescent="0.2">
      <c r="AG4750" s="19"/>
      <c r="AJ4750" s="410"/>
    </row>
    <row r="4751" spans="33:36" ht="11.25" customHeight="1" x14ac:dyDescent="0.2">
      <c r="AG4751" s="19"/>
      <c r="AJ4751" s="410"/>
    </row>
    <row r="4752" spans="33:36" ht="11.25" customHeight="1" x14ac:dyDescent="0.2">
      <c r="AG4752" s="19"/>
      <c r="AJ4752" s="410"/>
    </row>
    <row r="4753" spans="33:36" ht="11.25" customHeight="1" x14ac:dyDescent="0.2">
      <c r="AG4753" s="19"/>
      <c r="AJ4753" s="410"/>
    </row>
    <row r="4754" spans="33:36" ht="11.25" customHeight="1" x14ac:dyDescent="0.2">
      <c r="AG4754" s="19"/>
      <c r="AJ4754" s="410"/>
    </row>
    <row r="4755" spans="33:36" ht="11.25" customHeight="1" x14ac:dyDescent="0.2">
      <c r="AG4755" s="19"/>
      <c r="AJ4755" s="410"/>
    </row>
    <row r="4756" spans="33:36" ht="11.25" customHeight="1" x14ac:dyDescent="0.2">
      <c r="AG4756" s="19"/>
      <c r="AJ4756" s="410"/>
    </row>
    <row r="4757" spans="33:36" ht="11.25" customHeight="1" x14ac:dyDescent="0.2">
      <c r="AG4757" s="19"/>
      <c r="AJ4757" s="410"/>
    </row>
    <row r="4758" spans="33:36" ht="11.25" customHeight="1" x14ac:dyDescent="0.2">
      <c r="AG4758" s="19"/>
      <c r="AJ4758" s="410"/>
    </row>
    <row r="4759" spans="33:36" ht="11.25" customHeight="1" x14ac:dyDescent="0.2">
      <c r="AG4759" s="19"/>
      <c r="AJ4759" s="410"/>
    </row>
    <row r="4760" spans="33:36" ht="11.25" customHeight="1" x14ac:dyDescent="0.2">
      <c r="AG4760" s="19"/>
      <c r="AJ4760" s="410"/>
    </row>
    <row r="4761" spans="33:36" ht="11.25" customHeight="1" x14ac:dyDescent="0.2">
      <c r="AG4761" s="19"/>
      <c r="AJ4761" s="410"/>
    </row>
    <row r="4762" spans="33:36" ht="11.25" customHeight="1" x14ac:dyDescent="0.2">
      <c r="AG4762" s="19"/>
      <c r="AJ4762" s="410"/>
    </row>
    <row r="4763" spans="33:36" ht="11.25" customHeight="1" x14ac:dyDescent="0.2">
      <c r="AG4763" s="19"/>
      <c r="AJ4763" s="410"/>
    </row>
    <row r="4764" spans="33:36" ht="11.25" customHeight="1" x14ac:dyDescent="0.2">
      <c r="AG4764" s="19"/>
      <c r="AJ4764" s="410"/>
    </row>
    <row r="4765" spans="33:36" ht="11.25" customHeight="1" x14ac:dyDescent="0.2">
      <c r="AG4765" s="19"/>
      <c r="AJ4765" s="410"/>
    </row>
    <row r="4766" spans="33:36" ht="11.25" customHeight="1" x14ac:dyDescent="0.2">
      <c r="AG4766" s="19"/>
      <c r="AJ4766" s="410"/>
    </row>
    <row r="4767" spans="33:36" ht="11.25" customHeight="1" x14ac:dyDescent="0.2">
      <c r="AG4767" s="19"/>
      <c r="AJ4767" s="410"/>
    </row>
    <row r="4768" spans="33:36" ht="11.25" customHeight="1" x14ac:dyDescent="0.2">
      <c r="AG4768" s="19"/>
      <c r="AJ4768" s="410"/>
    </row>
    <row r="4769" spans="33:36" ht="11.25" customHeight="1" x14ac:dyDescent="0.2">
      <c r="AG4769" s="19"/>
      <c r="AJ4769" s="410"/>
    </row>
    <row r="4770" spans="33:36" ht="11.25" customHeight="1" x14ac:dyDescent="0.2">
      <c r="AG4770" s="19"/>
      <c r="AJ4770" s="410"/>
    </row>
    <row r="4771" spans="33:36" ht="11.25" customHeight="1" x14ac:dyDescent="0.2">
      <c r="AG4771" s="19"/>
      <c r="AJ4771" s="410"/>
    </row>
    <row r="4772" spans="33:36" ht="11.25" customHeight="1" x14ac:dyDescent="0.2">
      <c r="AG4772" s="19"/>
      <c r="AJ4772" s="410"/>
    </row>
    <row r="4773" spans="33:36" ht="11.25" customHeight="1" x14ac:dyDescent="0.2">
      <c r="AG4773" s="19"/>
      <c r="AJ4773" s="410"/>
    </row>
    <row r="4774" spans="33:36" ht="11.25" customHeight="1" x14ac:dyDescent="0.2">
      <c r="AG4774" s="19"/>
      <c r="AJ4774" s="410"/>
    </row>
    <row r="4775" spans="33:36" ht="11.25" customHeight="1" x14ac:dyDescent="0.2">
      <c r="AG4775" s="19"/>
      <c r="AJ4775" s="410"/>
    </row>
    <row r="4776" spans="33:36" ht="11.25" customHeight="1" x14ac:dyDescent="0.2">
      <c r="AG4776" s="19"/>
      <c r="AJ4776" s="410"/>
    </row>
    <row r="4777" spans="33:36" ht="11.25" customHeight="1" x14ac:dyDescent="0.2">
      <c r="AG4777" s="19"/>
      <c r="AJ4777" s="410"/>
    </row>
    <row r="4778" spans="33:36" ht="11.25" customHeight="1" x14ac:dyDescent="0.2">
      <c r="AG4778" s="19"/>
      <c r="AJ4778" s="410"/>
    </row>
    <row r="4779" spans="33:36" ht="11.25" customHeight="1" x14ac:dyDescent="0.2">
      <c r="AG4779" s="19"/>
      <c r="AJ4779" s="410"/>
    </row>
    <row r="4780" spans="33:36" ht="11.25" customHeight="1" x14ac:dyDescent="0.2">
      <c r="AG4780" s="19"/>
      <c r="AJ4780" s="410"/>
    </row>
    <row r="4781" spans="33:36" ht="11.25" customHeight="1" x14ac:dyDescent="0.2">
      <c r="AG4781" s="19"/>
      <c r="AJ4781" s="410"/>
    </row>
    <row r="4782" spans="33:36" ht="11.25" customHeight="1" x14ac:dyDescent="0.2">
      <c r="AG4782" s="19"/>
      <c r="AJ4782" s="410"/>
    </row>
    <row r="4783" spans="33:36" ht="11.25" customHeight="1" x14ac:dyDescent="0.2">
      <c r="AG4783" s="19"/>
      <c r="AJ4783" s="410"/>
    </row>
    <row r="4784" spans="33:36" ht="11.25" customHeight="1" x14ac:dyDescent="0.2">
      <c r="AG4784" s="19"/>
      <c r="AJ4784" s="410"/>
    </row>
    <row r="4785" spans="33:36" ht="11.25" customHeight="1" x14ac:dyDescent="0.2">
      <c r="AG4785" s="19"/>
      <c r="AJ4785" s="410"/>
    </row>
    <row r="4786" spans="33:36" ht="11.25" customHeight="1" x14ac:dyDescent="0.2">
      <c r="AG4786" s="19"/>
      <c r="AJ4786" s="410"/>
    </row>
    <row r="4787" spans="33:36" ht="11.25" customHeight="1" x14ac:dyDescent="0.2">
      <c r="AG4787" s="19"/>
      <c r="AJ4787" s="410"/>
    </row>
    <row r="4788" spans="33:36" ht="11.25" customHeight="1" x14ac:dyDescent="0.2">
      <c r="AG4788" s="19"/>
      <c r="AJ4788" s="410"/>
    </row>
    <row r="4789" spans="33:36" ht="11.25" customHeight="1" x14ac:dyDescent="0.2">
      <c r="AG4789" s="19"/>
      <c r="AJ4789" s="410"/>
    </row>
    <row r="4790" spans="33:36" ht="11.25" customHeight="1" x14ac:dyDescent="0.2">
      <c r="AG4790" s="19"/>
      <c r="AJ4790" s="410"/>
    </row>
    <row r="4791" spans="33:36" ht="11.25" customHeight="1" x14ac:dyDescent="0.2">
      <c r="AG4791" s="19"/>
      <c r="AJ4791" s="410"/>
    </row>
    <row r="4792" spans="33:36" ht="11.25" customHeight="1" x14ac:dyDescent="0.2">
      <c r="AG4792" s="19"/>
      <c r="AJ4792" s="410"/>
    </row>
    <row r="4793" spans="33:36" ht="11.25" customHeight="1" x14ac:dyDescent="0.2">
      <c r="AG4793" s="19"/>
      <c r="AJ4793" s="410"/>
    </row>
    <row r="4794" spans="33:36" ht="11.25" customHeight="1" x14ac:dyDescent="0.2">
      <c r="AG4794" s="19"/>
      <c r="AJ4794" s="410"/>
    </row>
    <row r="4795" spans="33:36" ht="11.25" customHeight="1" x14ac:dyDescent="0.2">
      <c r="AG4795" s="19"/>
      <c r="AJ4795" s="410"/>
    </row>
    <row r="4796" spans="33:36" ht="11.25" customHeight="1" x14ac:dyDescent="0.2">
      <c r="AG4796" s="19"/>
      <c r="AJ4796" s="410"/>
    </row>
    <row r="4797" spans="33:36" ht="11.25" customHeight="1" x14ac:dyDescent="0.2">
      <c r="AG4797" s="19"/>
      <c r="AJ4797" s="410"/>
    </row>
    <row r="4798" spans="33:36" ht="11.25" customHeight="1" x14ac:dyDescent="0.2">
      <c r="AG4798" s="19"/>
      <c r="AJ4798" s="410"/>
    </row>
    <row r="4799" spans="33:36" ht="11.25" customHeight="1" x14ac:dyDescent="0.2">
      <c r="AG4799" s="19"/>
      <c r="AJ4799" s="410"/>
    </row>
    <row r="4800" spans="33:36" ht="11.25" customHeight="1" x14ac:dyDescent="0.2">
      <c r="AG4800" s="19"/>
      <c r="AJ4800" s="410"/>
    </row>
    <row r="4801" spans="33:36" ht="11.25" customHeight="1" x14ac:dyDescent="0.2">
      <c r="AG4801" s="19"/>
      <c r="AJ4801" s="410"/>
    </row>
    <row r="4802" spans="33:36" ht="11.25" customHeight="1" x14ac:dyDescent="0.2">
      <c r="AG4802" s="19"/>
      <c r="AJ4802" s="410"/>
    </row>
    <row r="4803" spans="33:36" ht="11.25" customHeight="1" x14ac:dyDescent="0.2">
      <c r="AG4803" s="19"/>
      <c r="AJ4803" s="410"/>
    </row>
    <row r="4804" spans="33:36" ht="11.25" customHeight="1" x14ac:dyDescent="0.2">
      <c r="AG4804" s="19"/>
      <c r="AJ4804" s="410"/>
    </row>
    <row r="4805" spans="33:36" ht="11.25" customHeight="1" x14ac:dyDescent="0.2">
      <c r="AG4805" s="19"/>
      <c r="AJ4805" s="410"/>
    </row>
    <row r="4806" spans="33:36" ht="11.25" customHeight="1" x14ac:dyDescent="0.2">
      <c r="AG4806" s="19"/>
      <c r="AJ4806" s="410"/>
    </row>
    <row r="4807" spans="33:36" ht="11.25" customHeight="1" x14ac:dyDescent="0.2">
      <c r="AG4807" s="19"/>
      <c r="AJ4807" s="410"/>
    </row>
    <row r="4808" spans="33:36" ht="11.25" customHeight="1" x14ac:dyDescent="0.2">
      <c r="AG4808" s="19"/>
      <c r="AJ4808" s="410"/>
    </row>
    <row r="4809" spans="33:36" ht="11.25" customHeight="1" x14ac:dyDescent="0.2">
      <c r="AG4809" s="19"/>
      <c r="AJ4809" s="410"/>
    </row>
    <row r="4810" spans="33:36" ht="11.25" customHeight="1" x14ac:dyDescent="0.2">
      <c r="AG4810" s="19"/>
      <c r="AJ4810" s="410"/>
    </row>
    <row r="4811" spans="33:36" ht="11.25" customHeight="1" x14ac:dyDescent="0.2">
      <c r="AG4811" s="19"/>
      <c r="AJ4811" s="410"/>
    </row>
    <row r="4812" spans="33:36" ht="11.25" customHeight="1" x14ac:dyDescent="0.2">
      <c r="AG4812" s="19"/>
      <c r="AJ4812" s="410"/>
    </row>
    <row r="4813" spans="33:36" ht="11.25" customHeight="1" x14ac:dyDescent="0.2">
      <c r="AG4813" s="19"/>
      <c r="AJ4813" s="410"/>
    </row>
    <row r="4814" spans="33:36" ht="11.25" customHeight="1" x14ac:dyDescent="0.2">
      <c r="AG4814" s="19"/>
      <c r="AJ4814" s="410"/>
    </row>
    <row r="4815" spans="33:36" ht="11.25" customHeight="1" x14ac:dyDescent="0.2">
      <c r="AG4815" s="19"/>
      <c r="AJ4815" s="410"/>
    </row>
    <row r="4816" spans="33:36" ht="11.25" customHeight="1" x14ac:dyDescent="0.2">
      <c r="AG4816" s="19"/>
      <c r="AJ4816" s="410"/>
    </row>
    <row r="4817" spans="33:36" ht="11.25" customHeight="1" x14ac:dyDescent="0.2">
      <c r="AG4817" s="19"/>
      <c r="AJ4817" s="410"/>
    </row>
    <row r="4818" spans="33:36" ht="11.25" customHeight="1" x14ac:dyDescent="0.2">
      <c r="AG4818" s="19"/>
      <c r="AJ4818" s="410"/>
    </row>
    <row r="4819" spans="33:36" ht="11.25" customHeight="1" x14ac:dyDescent="0.2">
      <c r="AG4819" s="19"/>
      <c r="AJ4819" s="410"/>
    </row>
    <row r="4820" spans="33:36" ht="11.25" customHeight="1" x14ac:dyDescent="0.2">
      <c r="AG4820" s="19"/>
      <c r="AJ4820" s="410"/>
    </row>
    <row r="4821" spans="33:36" ht="11.25" customHeight="1" x14ac:dyDescent="0.2">
      <c r="AG4821" s="19"/>
      <c r="AJ4821" s="410"/>
    </row>
    <row r="4822" spans="33:36" ht="11.25" customHeight="1" x14ac:dyDescent="0.2">
      <c r="AG4822" s="19"/>
      <c r="AJ4822" s="410"/>
    </row>
    <row r="4823" spans="33:36" ht="11.25" customHeight="1" x14ac:dyDescent="0.2">
      <c r="AG4823" s="19"/>
      <c r="AJ4823" s="410"/>
    </row>
    <row r="4824" spans="33:36" ht="11.25" customHeight="1" x14ac:dyDescent="0.2">
      <c r="AG4824" s="19"/>
      <c r="AJ4824" s="410"/>
    </row>
    <row r="4825" spans="33:36" ht="11.25" customHeight="1" x14ac:dyDescent="0.2">
      <c r="AG4825" s="19"/>
      <c r="AJ4825" s="410"/>
    </row>
    <row r="4826" spans="33:36" ht="11.25" customHeight="1" x14ac:dyDescent="0.2">
      <c r="AG4826" s="19"/>
      <c r="AJ4826" s="410"/>
    </row>
    <row r="4827" spans="33:36" ht="11.25" customHeight="1" x14ac:dyDescent="0.2">
      <c r="AG4827" s="19"/>
      <c r="AJ4827" s="410"/>
    </row>
    <row r="4828" spans="33:36" ht="11.25" customHeight="1" x14ac:dyDescent="0.2">
      <c r="AG4828" s="19"/>
      <c r="AJ4828" s="410"/>
    </row>
    <row r="4829" spans="33:36" ht="11.25" customHeight="1" x14ac:dyDescent="0.2">
      <c r="AG4829" s="19"/>
      <c r="AJ4829" s="410"/>
    </row>
    <row r="4830" spans="33:36" ht="11.25" customHeight="1" x14ac:dyDescent="0.2">
      <c r="AG4830" s="19"/>
      <c r="AJ4830" s="410"/>
    </row>
    <row r="4831" spans="33:36" ht="11.25" customHeight="1" x14ac:dyDescent="0.2">
      <c r="AG4831" s="19"/>
      <c r="AJ4831" s="410"/>
    </row>
    <row r="4832" spans="33:36" ht="11.25" customHeight="1" x14ac:dyDescent="0.2">
      <c r="AG4832" s="19"/>
      <c r="AJ4832" s="410"/>
    </row>
    <row r="4833" spans="33:36" ht="11.25" customHeight="1" x14ac:dyDescent="0.2">
      <c r="AG4833" s="19"/>
      <c r="AJ4833" s="410"/>
    </row>
    <row r="4834" spans="33:36" ht="11.25" customHeight="1" x14ac:dyDescent="0.2">
      <c r="AG4834" s="19"/>
      <c r="AJ4834" s="410"/>
    </row>
    <row r="4835" spans="33:36" ht="11.25" customHeight="1" x14ac:dyDescent="0.2">
      <c r="AG4835" s="19"/>
      <c r="AJ4835" s="410"/>
    </row>
    <row r="4836" spans="33:36" ht="11.25" customHeight="1" x14ac:dyDescent="0.2">
      <c r="AG4836" s="19"/>
      <c r="AJ4836" s="410"/>
    </row>
    <row r="4837" spans="33:36" ht="11.25" customHeight="1" x14ac:dyDescent="0.2">
      <c r="AG4837" s="19"/>
      <c r="AJ4837" s="410"/>
    </row>
    <row r="4838" spans="33:36" ht="11.25" customHeight="1" x14ac:dyDescent="0.2">
      <c r="AG4838" s="19"/>
      <c r="AJ4838" s="410"/>
    </row>
    <row r="4839" spans="33:36" ht="11.25" customHeight="1" x14ac:dyDescent="0.2">
      <c r="AG4839" s="19"/>
      <c r="AJ4839" s="410"/>
    </row>
    <row r="4840" spans="33:36" ht="11.25" customHeight="1" x14ac:dyDescent="0.2">
      <c r="AG4840" s="19"/>
      <c r="AJ4840" s="410"/>
    </row>
    <row r="4841" spans="33:36" ht="11.25" customHeight="1" x14ac:dyDescent="0.2">
      <c r="AG4841" s="19"/>
      <c r="AJ4841" s="410"/>
    </row>
    <row r="4842" spans="33:36" ht="11.25" customHeight="1" x14ac:dyDescent="0.2">
      <c r="AG4842" s="19"/>
      <c r="AJ4842" s="410"/>
    </row>
    <row r="4843" spans="33:36" ht="11.25" customHeight="1" x14ac:dyDescent="0.2">
      <c r="AG4843" s="19"/>
      <c r="AJ4843" s="410"/>
    </row>
    <row r="4844" spans="33:36" ht="11.25" customHeight="1" x14ac:dyDescent="0.2">
      <c r="AG4844" s="19"/>
      <c r="AJ4844" s="410"/>
    </row>
    <row r="4845" spans="33:36" ht="11.25" customHeight="1" x14ac:dyDescent="0.2">
      <c r="AG4845" s="19"/>
      <c r="AJ4845" s="410"/>
    </row>
    <row r="4846" spans="33:36" ht="11.25" customHeight="1" x14ac:dyDescent="0.2">
      <c r="AG4846" s="19"/>
      <c r="AJ4846" s="410"/>
    </row>
    <row r="4847" spans="33:36" ht="11.25" customHeight="1" x14ac:dyDescent="0.2">
      <c r="AG4847" s="19"/>
      <c r="AJ4847" s="410"/>
    </row>
    <row r="4848" spans="33:36" ht="11.25" customHeight="1" x14ac:dyDescent="0.2">
      <c r="AG4848" s="19"/>
      <c r="AJ4848" s="410"/>
    </row>
    <row r="4849" spans="33:36" ht="11.25" customHeight="1" x14ac:dyDescent="0.2">
      <c r="AG4849" s="19"/>
      <c r="AJ4849" s="410"/>
    </row>
    <row r="4850" spans="33:36" ht="11.25" customHeight="1" x14ac:dyDescent="0.2">
      <c r="AG4850" s="19"/>
      <c r="AJ4850" s="410"/>
    </row>
    <row r="4851" spans="33:36" ht="11.25" customHeight="1" x14ac:dyDescent="0.2">
      <c r="AG4851" s="19"/>
      <c r="AJ4851" s="410"/>
    </row>
    <row r="4852" spans="33:36" ht="11.25" customHeight="1" x14ac:dyDescent="0.2">
      <c r="AG4852" s="19"/>
      <c r="AJ4852" s="410"/>
    </row>
    <row r="4853" spans="33:36" ht="11.25" customHeight="1" x14ac:dyDescent="0.2">
      <c r="AG4853" s="19"/>
      <c r="AJ4853" s="410"/>
    </row>
    <row r="4854" spans="33:36" ht="11.25" customHeight="1" x14ac:dyDescent="0.2">
      <c r="AG4854" s="19"/>
      <c r="AJ4854" s="410"/>
    </row>
    <row r="4855" spans="33:36" ht="11.25" customHeight="1" x14ac:dyDescent="0.2">
      <c r="AG4855" s="19"/>
      <c r="AJ4855" s="410"/>
    </row>
    <row r="4856" spans="33:36" ht="11.25" customHeight="1" x14ac:dyDescent="0.2">
      <c r="AG4856" s="19"/>
      <c r="AJ4856" s="410"/>
    </row>
    <row r="4857" spans="33:36" ht="11.25" customHeight="1" x14ac:dyDescent="0.2">
      <c r="AG4857" s="19"/>
      <c r="AJ4857" s="410"/>
    </row>
    <row r="4858" spans="33:36" ht="11.25" customHeight="1" x14ac:dyDescent="0.2">
      <c r="AG4858" s="19"/>
      <c r="AJ4858" s="410"/>
    </row>
    <row r="4859" spans="33:36" ht="11.25" customHeight="1" x14ac:dyDescent="0.2">
      <c r="AG4859" s="19"/>
      <c r="AJ4859" s="410"/>
    </row>
    <row r="4860" spans="33:36" ht="11.25" customHeight="1" x14ac:dyDescent="0.2">
      <c r="AG4860" s="19"/>
      <c r="AJ4860" s="410"/>
    </row>
    <row r="4861" spans="33:36" ht="11.25" customHeight="1" x14ac:dyDescent="0.2">
      <c r="AG4861" s="19"/>
      <c r="AJ4861" s="410"/>
    </row>
    <row r="4862" spans="33:36" ht="11.25" customHeight="1" x14ac:dyDescent="0.2">
      <c r="AG4862" s="19"/>
      <c r="AJ4862" s="410"/>
    </row>
    <row r="4863" spans="33:36" ht="11.25" customHeight="1" x14ac:dyDescent="0.2">
      <c r="AG4863" s="19"/>
      <c r="AJ4863" s="410"/>
    </row>
    <row r="4864" spans="33:36" ht="11.25" customHeight="1" x14ac:dyDescent="0.2">
      <c r="AG4864" s="19"/>
      <c r="AJ4864" s="410"/>
    </row>
    <row r="4865" spans="33:36" ht="11.25" customHeight="1" x14ac:dyDescent="0.2">
      <c r="AG4865" s="19"/>
      <c r="AJ4865" s="410"/>
    </row>
    <row r="4866" spans="33:36" ht="11.25" customHeight="1" x14ac:dyDescent="0.2">
      <c r="AG4866" s="19"/>
      <c r="AJ4866" s="410"/>
    </row>
    <row r="4867" spans="33:36" ht="11.25" customHeight="1" x14ac:dyDescent="0.2">
      <c r="AG4867" s="19"/>
      <c r="AJ4867" s="410"/>
    </row>
    <row r="4868" spans="33:36" ht="11.25" customHeight="1" x14ac:dyDescent="0.2">
      <c r="AG4868" s="19"/>
      <c r="AJ4868" s="410"/>
    </row>
    <row r="4869" spans="33:36" ht="11.25" customHeight="1" x14ac:dyDescent="0.2">
      <c r="AG4869" s="19"/>
      <c r="AJ4869" s="410"/>
    </row>
    <row r="4870" spans="33:36" ht="11.25" customHeight="1" x14ac:dyDescent="0.2">
      <c r="AG4870" s="19"/>
      <c r="AJ4870" s="410"/>
    </row>
    <row r="4871" spans="33:36" ht="11.25" customHeight="1" x14ac:dyDescent="0.2">
      <c r="AG4871" s="19"/>
      <c r="AJ4871" s="410"/>
    </row>
    <row r="4872" spans="33:36" ht="11.25" customHeight="1" x14ac:dyDescent="0.2">
      <c r="AG4872" s="19"/>
      <c r="AJ4872" s="410"/>
    </row>
    <row r="4873" spans="33:36" ht="11.25" customHeight="1" x14ac:dyDescent="0.2">
      <c r="AG4873" s="19"/>
      <c r="AJ4873" s="410"/>
    </row>
    <row r="4874" spans="33:36" ht="11.25" customHeight="1" x14ac:dyDescent="0.2">
      <c r="AG4874" s="19"/>
      <c r="AJ4874" s="410"/>
    </row>
    <row r="4875" spans="33:36" ht="11.25" customHeight="1" x14ac:dyDescent="0.2">
      <c r="AG4875" s="19"/>
      <c r="AJ4875" s="410"/>
    </row>
    <row r="4876" spans="33:36" ht="11.25" customHeight="1" x14ac:dyDescent="0.2">
      <c r="AG4876" s="19"/>
      <c r="AJ4876" s="410"/>
    </row>
    <row r="4877" spans="33:36" ht="11.25" customHeight="1" x14ac:dyDescent="0.2">
      <c r="AG4877" s="19"/>
      <c r="AJ4877" s="410"/>
    </row>
    <row r="4878" spans="33:36" ht="11.25" customHeight="1" x14ac:dyDescent="0.2">
      <c r="AG4878" s="19"/>
      <c r="AJ4878" s="410"/>
    </row>
    <row r="4879" spans="33:36" ht="11.25" customHeight="1" x14ac:dyDescent="0.2">
      <c r="AG4879" s="19"/>
      <c r="AJ4879" s="410"/>
    </row>
    <row r="4880" spans="33:36" ht="11.25" customHeight="1" x14ac:dyDescent="0.2">
      <c r="AG4880" s="19"/>
      <c r="AJ4880" s="410"/>
    </row>
    <row r="4881" spans="33:36" ht="11.25" customHeight="1" x14ac:dyDescent="0.2">
      <c r="AG4881" s="19"/>
      <c r="AJ4881" s="410"/>
    </row>
    <row r="4882" spans="33:36" ht="11.25" customHeight="1" x14ac:dyDescent="0.2">
      <c r="AG4882" s="19"/>
      <c r="AJ4882" s="410"/>
    </row>
    <row r="4883" spans="33:36" ht="11.25" customHeight="1" x14ac:dyDescent="0.2">
      <c r="AG4883" s="19"/>
      <c r="AJ4883" s="410"/>
    </row>
    <row r="4884" spans="33:36" ht="11.25" customHeight="1" x14ac:dyDescent="0.2">
      <c r="AG4884" s="19"/>
      <c r="AJ4884" s="410"/>
    </row>
    <row r="4885" spans="33:36" ht="11.25" customHeight="1" x14ac:dyDescent="0.2">
      <c r="AG4885" s="19"/>
      <c r="AJ4885" s="410"/>
    </row>
    <row r="4886" spans="33:36" ht="11.25" customHeight="1" x14ac:dyDescent="0.2">
      <c r="AG4886" s="19"/>
      <c r="AJ4886" s="410"/>
    </row>
    <row r="4887" spans="33:36" ht="11.25" customHeight="1" x14ac:dyDescent="0.2">
      <c r="AG4887" s="19"/>
      <c r="AJ4887" s="410"/>
    </row>
    <row r="4888" spans="33:36" ht="11.25" customHeight="1" x14ac:dyDescent="0.2">
      <c r="AG4888" s="19"/>
      <c r="AJ4888" s="410"/>
    </row>
    <row r="4889" spans="33:36" ht="11.25" customHeight="1" x14ac:dyDescent="0.2">
      <c r="AG4889" s="19"/>
      <c r="AJ4889" s="410"/>
    </row>
    <row r="4890" spans="33:36" ht="11.25" customHeight="1" x14ac:dyDescent="0.2">
      <c r="AG4890" s="19"/>
      <c r="AJ4890" s="410"/>
    </row>
    <row r="4891" spans="33:36" ht="11.25" customHeight="1" x14ac:dyDescent="0.2">
      <c r="AG4891" s="19"/>
      <c r="AJ4891" s="410"/>
    </row>
    <row r="4892" spans="33:36" ht="11.25" customHeight="1" x14ac:dyDescent="0.2">
      <c r="AG4892" s="19"/>
      <c r="AJ4892" s="410"/>
    </row>
    <row r="4893" spans="33:36" ht="11.25" customHeight="1" x14ac:dyDescent="0.2">
      <c r="AG4893" s="19"/>
      <c r="AJ4893" s="410"/>
    </row>
    <row r="4894" spans="33:36" ht="11.25" customHeight="1" x14ac:dyDescent="0.2">
      <c r="AG4894" s="19"/>
      <c r="AJ4894" s="410"/>
    </row>
    <row r="4895" spans="33:36" ht="11.25" customHeight="1" x14ac:dyDescent="0.2">
      <c r="AG4895" s="19"/>
      <c r="AJ4895" s="410"/>
    </row>
    <row r="4896" spans="33:36" ht="11.25" customHeight="1" x14ac:dyDescent="0.2">
      <c r="AG4896" s="19"/>
      <c r="AJ4896" s="410"/>
    </row>
    <row r="4897" spans="33:36" ht="11.25" customHeight="1" x14ac:dyDescent="0.2">
      <c r="AG4897" s="19"/>
      <c r="AJ4897" s="410"/>
    </row>
    <row r="4898" spans="33:36" ht="11.25" customHeight="1" x14ac:dyDescent="0.2">
      <c r="AG4898" s="19"/>
      <c r="AJ4898" s="410"/>
    </row>
    <row r="4899" spans="33:36" ht="11.25" customHeight="1" x14ac:dyDescent="0.2">
      <c r="AG4899" s="19"/>
      <c r="AJ4899" s="410"/>
    </row>
    <row r="4900" spans="33:36" ht="11.25" customHeight="1" x14ac:dyDescent="0.2">
      <c r="AG4900" s="19"/>
      <c r="AJ4900" s="410"/>
    </row>
    <row r="4901" spans="33:36" ht="11.25" customHeight="1" x14ac:dyDescent="0.2">
      <c r="AG4901" s="19"/>
      <c r="AJ4901" s="410"/>
    </row>
    <row r="4902" spans="33:36" ht="11.25" customHeight="1" x14ac:dyDescent="0.2">
      <c r="AG4902" s="19"/>
      <c r="AJ4902" s="410"/>
    </row>
    <row r="4903" spans="33:36" ht="11.25" customHeight="1" x14ac:dyDescent="0.2">
      <c r="AG4903" s="19"/>
      <c r="AJ4903" s="410"/>
    </row>
    <row r="4904" spans="33:36" ht="11.25" customHeight="1" x14ac:dyDescent="0.2">
      <c r="AG4904" s="19"/>
      <c r="AJ4904" s="410"/>
    </row>
    <row r="4905" spans="33:36" ht="11.25" customHeight="1" x14ac:dyDescent="0.2">
      <c r="AG4905" s="19"/>
      <c r="AJ4905" s="410"/>
    </row>
    <row r="4906" spans="33:36" ht="11.25" customHeight="1" x14ac:dyDescent="0.2">
      <c r="AG4906" s="19"/>
      <c r="AJ4906" s="410"/>
    </row>
    <row r="4907" spans="33:36" ht="11.25" customHeight="1" x14ac:dyDescent="0.2">
      <c r="AG4907" s="19"/>
      <c r="AJ4907" s="410"/>
    </row>
    <row r="4908" spans="33:36" ht="11.25" customHeight="1" x14ac:dyDescent="0.2">
      <c r="AG4908" s="19"/>
      <c r="AJ4908" s="410"/>
    </row>
    <row r="4909" spans="33:36" ht="11.25" customHeight="1" x14ac:dyDescent="0.2">
      <c r="AG4909" s="19"/>
      <c r="AJ4909" s="410"/>
    </row>
    <row r="4910" spans="33:36" ht="11.25" customHeight="1" x14ac:dyDescent="0.2">
      <c r="AG4910" s="19"/>
      <c r="AJ4910" s="410"/>
    </row>
    <row r="4911" spans="33:36" ht="11.25" customHeight="1" x14ac:dyDescent="0.2">
      <c r="AG4911" s="19"/>
      <c r="AJ4911" s="410"/>
    </row>
    <row r="4912" spans="33:36" ht="11.25" customHeight="1" x14ac:dyDescent="0.2">
      <c r="AG4912" s="19"/>
      <c r="AJ4912" s="410"/>
    </row>
    <row r="4913" spans="33:36" ht="11.25" customHeight="1" x14ac:dyDescent="0.2">
      <c r="AG4913" s="19"/>
      <c r="AJ4913" s="410"/>
    </row>
    <row r="4914" spans="33:36" ht="11.25" customHeight="1" x14ac:dyDescent="0.2">
      <c r="AG4914" s="19"/>
      <c r="AJ4914" s="410"/>
    </row>
    <row r="4915" spans="33:36" ht="11.25" customHeight="1" x14ac:dyDescent="0.2">
      <c r="AG4915" s="19"/>
      <c r="AJ4915" s="410"/>
    </row>
    <row r="4916" spans="33:36" ht="11.25" customHeight="1" x14ac:dyDescent="0.2">
      <c r="AG4916" s="19"/>
      <c r="AJ4916" s="410"/>
    </row>
    <row r="4917" spans="33:36" ht="11.25" customHeight="1" x14ac:dyDescent="0.2">
      <c r="AG4917" s="19"/>
      <c r="AJ4917" s="410"/>
    </row>
    <row r="4918" spans="33:36" ht="11.25" customHeight="1" x14ac:dyDescent="0.2">
      <c r="AG4918" s="19"/>
      <c r="AJ4918" s="410"/>
    </row>
    <row r="4919" spans="33:36" ht="11.25" customHeight="1" x14ac:dyDescent="0.2">
      <c r="AG4919" s="19"/>
      <c r="AJ4919" s="410"/>
    </row>
    <row r="4920" spans="33:36" ht="11.25" customHeight="1" x14ac:dyDescent="0.2">
      <c r="AG4920" s="19"/>
      <c r="AJ4920" s="410"/>
    </row>
    <row r="4921" spans="33:36" ht="11.25" customHeight="1" x14ac:dyDescent="0.2">
      <c r="AG4921" s="19"/>
      <c r="AJ4921" s="410"/>
    </row>
    <row r="4922" spans="33:36" ht="11.25" customHeight="1" x14ac:dyDescent="0.2">
      <c r="AG4922" s="19"/>
      <c r="AJ4922" s="410"/>
    </row>
    <row r="4923" spans="33:36" ht="11.25" customHeight="1" x14ac:dyDescent="0.2">
      <c r="AG4923" s="19"/>
      <c r="AJ4923" s="410"/>
    </row>
    <row r="4924" spans="33:36" ht="11.25" customHeight="1" x14ac:dyDescent="0.2">
      <c r="AG4924" s="19"/>
      <c r="AJ4924" s="410"/>
    </row>
    <row r="4925" spans="33:36" ht="11.25" customHeight="1" x14ac:dyDescent="0.2">
      <c r="AG4925" s="19"/>
      <c r="AJ4925" s="410"/>
    </row>
    <row r="4926" spans="33:36" ht="11.25" customHeight="1" x14ac:dyDescent="0.2">
      <c r="AG4926" s="19"/>
      <c r="AJ4926" s="410"/>
    </row>
    <row r="4927" spans="33:36" ht="11.25" customHeight="1" x14ac:dyDescent="0.2">
      <c r="AG4927" s="19"/>
      <c r="AJ4927" s="410"/>
    </row>
    <row r="4928" spans="33:36" ht="11.25" customHeight="1" x14ac:dyDescent="0.2">
      <c r="AG4928" s="19"/>
      <c r="AJ4928" s="410"/>
    </row>
    <row r="4929" spans="33:36" ht="11.25" customHeight="1" x14ac:dyDescent="0.2">
      <c r="AG4929" s="19"/>
      <c r="AJ4929" s="410"/>
    </row>
    <row r="4930" spans="33:36" ht="11.25" customHeight="1" x14ac:dyDescent="0.2">
      <c r="AG4930" s="19"/>
      <c r="AJ4930" s="410"/>
    </row>
    <row r="4931" spans="33:36" ht="11.25" customHeight="1" x14ac:dyDescent="0.2">
      <c r="AG4931" s="19"/>
      <c r="AJ4931" s="410"/>
    </row>
    <row r="4932" spans="33:36" ht="11.25" customHeight="1" x14ac:dyDescent="0.2">
      <c r="AG4932" s="19"/>
      <c r="AJ4932" s="410"/>
    </row>
    <row r="4933" spans="33:36" ht="11.25" customHeight="1" x14ac:dyDescent="0.2">
      <c r="AG4933" s="19"/>
      <c r="AJ4933" s="410"/>
    </row>
    <row r="4934" spans="33:36" ht="11.25" customHeight="1" x14ac:dyDescent="0.2">
      <c r="AG4934" s="19"/>
      <c r="AJ4934" s="410"/>
    </row>
    <row r="4935" spans="33:36" ht="11.25" customHeight="1" x14ac:dyDescent="0.2">
      <c r="AG4935" s="19"/>
      <c r="AJ4935" s="410"/>
    </row>
    <row r="4936" spans="33:36" ht="11.25" customHeight="1" x14ac:dyDescent="0.2">
      <c r="AG4936" s="19"/>
      <c r="AJ4936" s="410"/>
    </row>
    <row r="4937" spans="33:36" ht="11.25" customHeight="1" x14ac:dyDescent="0.2">
      <c r="AG4937" s="19"/>
      <c r="AJ4937" s="410"/>
    </row>
    <row r="4938" spans="33:36" ht="11.25" customHeight="1" x14ac:dyDescent="0.2">
      <c r="AG4938" s="19"/>
      <c r="AJ4938" s="410"/>
    </row>
    <row r="4939" spans="33:36" ht="11.25" customHeight="1" x14ac:dyDescent="0.2">
      <c r="AG4939" s="19"/>
      <c r="AJ4939" s="410"/>
    </row>
    <row r="4940" spans="33:36" ht="11.25" customHeight="1" x14ac:dyDescent="0.2">
      <c r="AG4940" s="19"/>
      <c r="AJ4940" s="410"/>
    </row>
    <row r="4941" spans="33:36" ht="11.25" customHeight="1" x14ac:dyDescent="0.2">
      <c r="AG4941" s="19"/>
      <c r="AJ4941" s="410"/>
    </row>
    <row r="4942" spans="33:36" ht="11.25" customHeight="1" x14ac:dyDescent="0.2">
      <c r="AG4942" s="19"/>
      <c r="AJ4942" s="410"/>
    </row>
    <row r="4943" spans="33:36" ht="11.25" customHeight="1" x14ac:dyDescent="0.2">
      <c r="AG4943" s="19"/>
      <c r="AJ4943" s="410"/>
    </row>
    <row r="4944" spans="33:36" ht="11.25" customHeight="1" x14ac:dyDescent="0.2">
      <c r="AG4944" s="19"/>
      <c r="AJ4944" s="410"/>
    </row>
    <row r="4945" spans="33:36" ht="11.25" customHeight="1" x14ac:dyDescent="0.2">
      <c r="AG4945" s="19"/>
      <c r="AJ4945" s="410"/>
    </row>
    <row r="4946" spans="33:36" ht="11.25" customHeight="1" x14ac:dyDescent="0.2">
      <c r="AG4946" s="19"/>
      <c r="AJ4946" s="410"/>
    </row>
    <row r="4947" spans="33:36" ht="11.25" customHeight="1" x14ac:dyDescent="0.2">
      <c r="AG4947" s="19"/>
      <c r="AJ4947" s="410"/>
    </row>
    <row r="4948" spans="33:36" ht="11.25" customHeight="1" x14ac:dyDescent="0.2">
      <c r="AG4948" s="19"/>
      <c r="AJ4948" s="410"/>
    </row>
    <row r="4949" spans="33:36" ht="11.25" customHeight="1" x14ac:dyDescent="0.2">
      <c r="AG4949" s="19"/>
      <c r="AJ4949" s="410"/>
    </row>
    <row r="4950" spans="33:36" ht="11.25" customHeight="1" x14ac:dyDescent="0.2">
      <c r="AG4950" s="19"/>
      <c r="AJ4950" s="410"/>
    </row>
    <row r="4951" spans="33:36" ht="11.25" customHeight="1" x14ac:dyDescent="0.2">
      <c r="AG4951" s="19"/>
      <c r="AJ4951" s="410"/>
    </row>
    <row r="4952" spans="33:36" ht="11.25" customHeight="1" x14ac:dyDescent="0.2">
      <c r="AG4952" s="19"/>
      <c r="AJ4952" s="410"/>
    </row>
    <row r="4953" spans="33:36" ht="11.25" customHeight="1" x14ac:dyDescent="0.2">
      <c r="AG4953" s="19"/>
      <c r="AJ4953" s="410"/>
    </row>
    <row r="4954" spans="33:36" ht="11.25" customHeight="1" x14ac:dyDescent="0.2">
      <c r="AG4954" s="19"/>
      <c r="AJ4954" s="410"/>
    </row>
    <row r="4955" spans="33:36" ht="11.25" customHeight="1" x14ac:dyDescent="0.2">
      <c r="AG4955" s="19"/>
      <c r="AJ4955" s="410"/>
    </row>
    <row r="4956" spans="33:36" ht="11.25" customHeight="1" x14ac:dyDescent="0.2">
      <c r="AG4956" s="19"/>
      <c r="AJ4956" s="410"/>
    </row>
    <row r="4957" spans="33:36" ht="11.25" customHeight="1" x14ac:dyDescent="0.2">
      <c r="AG4957" s="19"/>
      <c r="AJ4957" s="410"/>
    </row>
    <row r="4958" spans="33:36" ht="11.25" customHeight="1" x14ac:dyDescent="0.2">
      <c r="AG4958" s="19"/>
      <c r="AJ4958" s="410"/>
    </row>
    <row r="4959" spans="33:36" ht="11.25" customHeight="1" x14ac:dyDescent="0.2">
      <c r="AG4959" s="19"/>
      <c r="AJ4959" s="410"/>
    </row>
    <row r="4960" spans="33:36" ht="11.25" customHeight="1" x14ac:dyDescent="0.2">
      <c r="AG4960" s="19"/>
      <c r="AJ4960" s="410"/>
    </row>
    <row r="4961" spans="33:36" ht="11.25" customHeight="1" x14ac:dyDescent="0.2">
      <c r="AG4961" s="19"/>
      <c r="AJ4961" s="410"/>
    </row>
    <row r="4962" spans="33:36" ht="11.25" customHeight="1" x14ac:dyDescent="0.2">
      <c r="AG4962" s="19"/>
      <c r="AJ4962" s="410"/>
    </row>
    <row r="4963" spans="33:36" ht="11.25" customHeight="1" x14ac:dyDescent="0.2">
      <c r="AG4963" s="19"/>
      <c r="AJ4963" s="410"/>
    </row>
    <row r="4964" spans="33:36" ht="11.25" customHeight="1" x14ac:dyDescent="0.2">
      <c r="AG4964" s="19"/>
      <c r="AJ4964" s="410"/>
    </row>
    <row r="4965" spans="33:36" ht="11.25" customHeight="1" x14ac:dyDescent="0.2">
      <c r="AG4965" s="19"/>
      <c r="AJ4965" s="410"/>
    </row>
    <row r="4966" spans="33:36" ht="11.25" customHeight="1" x14ac:dyDescent="0.2">
      <c r="AG4966" s="19"/>
      <c r="AJ4966" s="410"/>
    </row>
    <row r="4967" spans="33:36" ht="11.25" customHeight="1" x14ac:dyDescent="0.2">
      <c r="AG4967" s="19"/>
      <c r="AJ4967" s="410"/>
    </row>
    <row r="4968" spans="33:36" ht="11.25" customHeight="1" x14ac:dyDescent="0.2">
      <c r="AG4968" s="19"/>
      <c r="AJ4968" s="410"/>
    </row>
    <row r="4969" spans="33:36" ht="11.25" customHeight="1" x14ac:dyDescent="0.2">
      <c r="AG4969" s="19"/>
      <c r="AJ4969" s="410"/>
    </row>
    <row r="4970" spans="33:36" ht="11.25" customHeight="1" x14ac:dyDescent="0.2">
      <c r="AG4970" s="19"/>
      <c r="AJ4970" s="410"/>
    </row>
    <row r="4971" spans="33:36" ht="11.25" customHeight="1" x14ac:dyDescent="0.2">
      <c r="AG4971" s="19"/>
      <c r="AJ4971" s="410"/>
    </row>
    <row r="4972" spans="33:36" ht="11.25" customHeight="1" x14ac:dyDescent="0.2">
      <c r="AG4972" s="19"/>
      <c r="AJ4972" s="410"/>
    </row>
    <row r="4973" spans="33:36" ht="11.25" customHeight="1" x14ac:dyDescent="0.2">
      <c r="AG4973" s="19"/>
      <c r="AJ4973" s="410"/>
    </row>
    <row r="4974" spans="33:36" ht="11.25" customHeight="1" x14ac:dyDescent="0.2">
      <c r="AG4974" s="19"/>
      <c r="AJ4974" s="410"/>
    </row>
    <row r="4975" spans="33:36" ht="11.25" customHeight="1" x14ac:dyDescent="0.2">
      <c r="AG4975" s="19"/>
      <c r="AJ4975" s="410"/>
    </row>
    <row r="4976" spans="33:36" ht="11.25" customHeight="1" x14ac:dyDescent="0.2">
      <c r="AG4976" s="19"/>
      <c r="AJ4976" s="410"/>
    </row>
    <row r="4977" spans="33:36" ht="11.25" customHeight="1" x14ac:dyDescent="0.2">
      <c r="AG4977" s="19"/>
      <c r="AJ4977" s="410"/>
    </row>
    <row r="4978" spans="33:36" ht="11.25" customHeight="1" x14ac:dyDescent="0.2">
      <c r="AG4978" s="19"/>
      <c r="AJ4978" s="410"/>
    </row>
    <row r="4979" spans="33:36" ht="11.25" customHeight="1" x14ac:dyDescent="0.2">
      <c r="AG4979" s="19"/>
      <c r="AJ4979" s="410"/>
    </row>
    <row r="4980" spans="33:36" ht="11.25" customHeight="1" x14ac:dyDescent="0.2">
      <c r="AG4980" s="19"/>
      <c r="AJ4980" s="410"/>
    </row>
    <row r="4981" spans="33:36" ht="11.25" customHeight="1" x14ac:dyDescent="0.2">
      <c r="AG4981" s="19"/>
      <c r="AJ4981" s="410"/>
    </row>
    <row r="4982" spans="33:36" ht="11.25" customHeight="1" x14ac:dyDescent="0.2">
      <c r="AG4982" s="19"/>
      <c r="AJ4982" s="410"/>
    </row>
    <row r="4983" spans="33:36" ht="11.25" customHeight="1" x14ac:dyDescent="0.2">
      <c r="AG4983" s="19"/>
      <c r="AJ4983" s="410"/>
    </row>
    <row r="4984" spans="33:36" ht="11.25" customHeight="1" x14ac:dyDescent="0.2">
      <c r="AG4984" s="19"/>
      <c r="AJ4984" s="410"/>
    </row>
    <row r="4985" spans="33:36" ht="11.25" customHeight="1" x14ac:dyDescent="0.2">
      <c r="AG4985" s="19"/>
      <c r="AJ4985" s="410"/>
    </row>
    <row r="4986" spans="33:36" ht="11.25" customHeight="1" x14ac:dyDescent="0.2">
      <c r="AG4986" s="19"/>
      <c r="AJ4986" s="410"/>
    </row>
    <row r="4987" spans="33:36" ht="11.25" customHeight="1" x14ac:dyDescent="0.2">
      <c r="AG4987" s="19"/>
      <c r="AJ4987" s="410"/>
    </row>
    <row r="4988" spans="33:36" ht="11.25" customHeight="1" x14ac:dyDescent="0.2">
      <c r="AG4988" s="19"/>
      <c r="AJ4988" s="410"/>
    </row>
    <row r="4989" spans="33:36" ht="11.25" customHeight="1" x14ac:dyDescent="0.2">
      <c r="AG4989" s="19"/>
      <c r="AJ4989" s="410"/>
    </row>
    <row r="4990" spans="33:36" ht="11.25" customHeight="1" x14ac:dyDescent="0.2">
      <c r="AG4990" s="19"/>
      <c r="AJ4990" s="410"/>
    </row>
    <row r="4991" spans="33:36" ht="11.25" customHeight="1" x14ac:dyDescent="0.2">
      <c r="AG4991" s="19"/>
      <c r="AJ4991" s="410"/>
    </row>
    <row r="4992" spans="33:36" ht="11.25" customHeight="1" x14ac:dyDescent="0.2">
      <c r="AG4992" s="19"/>
      <c r="AJ4992" s="410"/>
    </row>
    <row r="4993" spans="33:36" ht="11.25" customHeight="1" x14ac:dyDescent="0.2">
      <c r="AG4993" s="19"/>
      <c r="AJ4993" s="410"/>
    </row>
    <row r="4994" spans="33:36" ht="11.25" customHeight="1" x14ac:dyDescent="0.2">
      <c r="AG4994" s="19"/>
      <c r="AJ4994" s="410"/>
    </row>
    <row r="4995" spans="33:36" ht="11.25" customHeight="1" x14ac:dyDescent="0.2">
      <c r="AG4995" s="19"/>
      <c r="AJ4995" s="410"/>
    </row>
    <row r="4996" spans="33:36" ht="11.25" customHeight="1" x14ac:dyDescent="0.2">
      <c r="AG4996" s="19"/>
      <c r="AJ4996" s="410"/>
    </row>
    <row r="4997" spans="33:36" ht="11.25" customHeight="1" x14ac:dyDescent="0.2">
      <c r="AG4997" s="19"/>
      <c r="AJ4997" s="410"/>
    </row>
    <row r="4998" spans="33:36" ht="11.25" customHeight="1" x14ac:dyDescent="0.2">
      <c r="AG4998" s="19"/>
      <c r="AJ4998" s="410"/>
    </row>
    <row r="4999" spans="33:36" ht="11.25" customHeight="1" x14ac:dyDescent="0.2">
      <c r="AG4999" s="19"/>
      <c r="AJ4999" s="410"/>
    </row>
    <row r="5000" spans="33:36" ht="11.25" customHeight="1" x14ac:dyDescent="0.2">
      <c r="AG5000" s="19"/>
      <c r="AJ5000" s="410"/>
    </row>
    <row r="5001" spans="33:36" ht="11.25" customHeight="1" x14ac:dyDescent="0.2">
      <c r="AG5001" s="19"/>
      <c r="AJ5001" s="410"/>
    </row>
    <row r="5002" spans="33:36" ht="11.25" customHeight="1" x14ac:dyDescent="0.2">
      <c r="AG5002" s="19"/>
      <c r="AJ5002" s="410"/>
    </row>
    <row r="5003" spans="33:36" ht="11.25" customHeight="1" x14ac:dyDescent="0.2">
      <c r="AG5003" s="19"/>
      <c r="AJ5003" s="410"/>
    </row>
    <row r="5004" spans="33:36" ht="11.25" customHeight="1" x14ac:dyDescent="0.2">
      <c r="AG5004" s="19"/>
      <c r="AJ5004" s="410"/>
    </row>
    <row r="5005" spans="33:36" ht="11.25" customHeight="1" x14ac:dyDescent="0.2">
      <c r="AG5005" s="19"/>
      <c r="AJ5005" s="410"/>
    </row>
    <row r="5006" spans="33:36" ht="11.25" customHeight="1" x14ac:dyDescent="0.2">
      <c r="AG5006" s="19"/>
      <c r="AJ5006" s="410"/>
    </row>
    <row r="5007" spans="33:36" ht="11.25" customHeight="1" x14ac:dyDescent="0.2">
      <c r="AG5007" s="19"/>
      <c r="AJ5007" s="410"/>
    </row>
    <row r="5008" spans="33:36" ht="11.25" customHeight="1" x14ac:dyDescent="0.2">
      <c r="AG5008" s="19"/>
      <c r="AJ5008" s="410"/>
    </row>
    <row r="5009" spans="33:36" ht="11.25" customHeight="1" x14ac:dyDescent="0.2">
      <c r="AG5009" s="19"/>
      <c r="AJ5009" s="410"/>
    </row>
    <row r="5010" spans="33:36" ht="11.25" customHeight="1" x14ac:dyDescent="0.2">
      <c r="AG5010" s="19"/>
      <c r="AJ5010" s="410"/>
    </row>
    <row r="5011" spans="33:36" ht="11.25" customHeight="1" x14ac:dyDescent="0.2">
      <c r="AG5011" s="19"/>
      <c r="AJ5011" s="410"/>
    </row>
    <row r="5012" spans="33:36" ht="11.25" customHeight="1" x14ac:dyDescent="0.2">
      <c r="AG5012" s="19"/>
      <c r="AJ5012" s="410"/>
    </row>
    <row r="5013" spans="33:36" ht="11.25" customHeight="1" x14ac:dyDescent="0.2">
      <c r="AG5013" s="19"/>
      <c r="AJ5013" s="410"/>
    </row>
    <row r="5014" spans="33:36" ht="11.25" customHeight="1" x14ac:dyDescent="0.2">
      <c r="AG5014" s="19"/>
      <c r="AJ5014" s="410"/>
    </row>
    <row r="5015" spans="33:36" ht="11.25" customHeight="1" x14ac:dyDescent="0.2">
      <c r="AG5015" s="19"/>
      <c r="AJ5015" s="410"/>
    </row>
    <row r="5016" spans="33:36" ht="11.25" customHeight="1" x14ac:dyDescent="0.2">
      <c r="AG5016" s="19"/>
      <c r="AJ5016" s="410"/>
    </row>
    <row r="5017" spans="33:36" ht="11.25" customHeight="1" x14ac:dyDescent="0.2">
      <c r="AG5017" s="19"/>
      <c r="AJ5017" s="410"/>
    </row>
    <row r="5018" spans="33:36" ht="11.25" customHeight="1" x14ac:dyDescent="0.2">
      <c r="AG5018" s="19"/>
      <c r="AJ5018" s="410"/>
    </row>
    <row r="5019" spans="33:36" ht="11.25" customHeight="1" x14ac:dyDescent="0.2">
      <c r="AG5019" s="19"/>
      <c r="AJ5019" s="410"/>
    </row>
    <row r="5020" spans="33:36" ht="11.25" customHeight="1" x14ac:dyDescent="0.2">
      <c r="AG5020" s="19"/>
      <c r="AJ5020" s="410"/>
    </row>
    <row r="5021" spans="33:36" ht="11.25" customHeight="1" x14ac:dyDescent="0.2">
      <c r="AG5021" s="19"/>
      <c r="AJ5021" s="410"/>
    </row>
    <row r="5022" spans="33:36" ht="11.25" customHeight="1" x14ac:dyDescent="0.2">
      <c r="AG5022" s="19"/>
      <c r="AJ5022" s="410"/>
    </row>
    <row r="5023" spans="33:36" ht="11.25" customHeight="1" x14ac:dyDescent="0.2">
      <c r="AG5023" s="19"/>
      <c r="AJ5023" s="410"/>
    </row>
    <row r="5024" spans="33:36" ht="11.25" customHeight="1" x14ac:dyDescent="0.2">
      <c r="AG5024" s="19"/>
      <c r="AJ5024" s="410"/>
    </row>
    <row r="5025" spans="33:36" ht="11.25" customHeight="1" x14ac:dyDescent="0.2">
      <c r="AG5025" s="19"/>
      <c r="AJ5025" s="410"/>
    </row>
    <row r="5026" spans="33:36" ht="11.25" customHeight="1" x14ac:dyDescent="0.2">
      <c r="AG5026" s="19"/>
      <c r="AJ5026" s="410"/>
    </row>
    <row r="5027" spans="33:36" ht="11.25" customHeight="1" x14ac:dyDescent="0.2">
      <c r="AG5027" s="19"/>
      <c r="AJ5027" s="410"/>
    </row>
    <row r="5028" spans="33:36" ht="11.25" customHeight="1" x14ac:dyDescent="0.2">
      <c r="AG5028" s="19"/>
      <c r="AJ5028" s="410"/>
    </row>
    <row r="5029" spans="33:36" ht="11.25" customHeight="1" x14ac:dyDescent="0.2">
      <c r="AG5029" s="19"/>
      <c r="AJ5029" s="410"/>
    </row>
    <row r="5030" spans="33:36" ht="11.25" customHeight="1" x14ac:dyDescent="0.2">
      <c r="AG5030" s="19"/>
      <c r="AJ5030" s="410"/>
    </row>
    <row r="5031" spans="33:36" ht="11.25" customHeight="1" x14ac:dyDescent="0.2">
      <c r="AG5031" s="19"/>
      <c r="AJ5031" s="410"/>
    </row>
    <row r="5032" spans="33:36" ht="11.25" customHeight="1" x14ac:dyDescent="0.2">
      <c r="AG5032" s="19"/>
      <c r="AJ5032" s="410"/>
    </row>
    <row r="5033" spans="33:36" ht="11.25" customHeight="1" x14ac:dyDescent="0.2">
      <c r="AG5033" s="19"/>
      <c r="AJ5033" s="410"/>
    </row>
    <row r="5034" spans="33:36" ht="11.25" customHeight="1" x14ac:dyDescent="0.2">
      <c r="AG5034" s="19"/>
      <c r="AJ5034" s="410"/>
    </row>
    <row r="5035" spans="33:36" ht="11.25" customHeight="1" x14ac:dyDescent="0.2">
      <c r="AG5035" s="19"/>
      <c r="AJ5035" s="410"/>
    </row>
    <row r="5036" spans="33:36" ht="11.25" customHeight="1" x14ac:dyDescent="0.2">
      <c r="AG5036" s="19"/>
      <c r="AJ5036" s="410"/>
    </row>
    <row r="5037" spans="33:36" ht="11.25" customHeight="1" x14ac:dyDescent="0.2">
      <c r="AG5037" s="19"/>
      <c r="AJ5037" s="410"/>
    </row>
    <row r="5038" spans="33:36" ht="11.25" customHeight="1" x14ac:dyDescent="0.2">
      <c r="AG5038" s="19"/>
      <c r="AJ5038" s="410"/>
    </row>
    <row r="5039" spans="33:36" ht="11.25" customHeight="1" x14ac:dyDescent="0.2">
      <c r="AG5039" s="19"/>
      <c r="AJ5039" s="410"/>
    </row>
    <row r="5040" spans="33:36" ht="11.25" customHeight="1" x14ac:dyDescent="0.2">
      <c r="AG5040" s="19"/>
      <c r="AJ5040" s="410"/>
    </row>
    <row r="5041" spans="33:36" ht="11.25" customHeight="1" x14ac:dyDescent="0.2">
      <c r="AG5041" s="19"/>
      <c r="AJ5041" s="410"/>
    </row>
    <row r="5042" spans="33:36" ht="11.25" customHeight="1" x14ac:dyDescent="0.2">
      <c r="AG5042" s="19"/>
      <c r="AJ5042" s="410"/>
    </row>
    <row r="5043" spans="33:36" ht="11.25" customHeight="1" x14ac:dyDescent="0.2">
      <c r="AG5043" s="19"/>
      <c r="AJ5043" s="410"/>
    </row>
    <row r="5044" spans="33:36" ht="11.25" customHeight="1" x14ac:dyDescent="0.2">
      <c r="AG5044" s="19"/>
      <c r="AJ5044" s="410"/>
    </row>
    <row r="5045" spans="33:36" ht="11.25" customHeight="1" x14ac:dyDescent="0.2">
      <c r="AG5045" s="19"/>
      <c r="AJ5045" s="410"/>
    </row>
    <row r="5046" spans="33:36" ht="11.25" customHeight="1" x14ac:dyDescent="0.2">
      <c r="AG5046" s="19"/>
      <c r="AJ5046" s="410"/>
    </row>
    <row r="5047" spans="33:36" ht="11.25" customHeight="1" x14ac:dyDescent="0.2">
      <c r="AG5047" s="19"/>
      <c r="AJ5047" s="410"/>
    </row>
    <row r="5048" spans="33:36" ht="11.25" customHeight="1" x14ac:dyDescent="0.2">
      <c r="AG5048" s="19"/>
      <c r="AJ5048" s="410"/>
    </row>
    <row r="5049" spans="33:36" ht="11.25" customHeight="1" x14ac:dyDescent="0.2">
      <c r="AG5049" s="19"/>
      <c r="AJ5049" s="410"/>
    </row>
    <row r="5050" spans="33:36" ht="11.25" customHeight="1" x14ac:dyDescent="0.2">
      <c r="AG5050" s="19"/>
      <c r="AJ5050" s="410"/>
    </row>
    <row r="5051" spans="33:36" ht="11.25" customHeight="1" x14ac:dyDescent="0.2">
      <c r="AG5051" s="19"/>
      <c r="AJ5051" s="410"/>
    </row>
    <row r="5052" spans="33:36" ht="11.25" customHeight="1" x14ac:dyDescent="0.2">
      <c r="AG5052" s="19"/>
      <c r="AJ5052" s="410"/>
    </row>
    <row r="5053" spans="33:36" ht="11.25" customHeight="1" x14ac:dyDescent="0.2">
      <c r="AG5053" s="19"/>
      <c r="AJ5053" s="410"/>
    </row>
    <row r="5054" spans="33:36" ht="11.25" customHeight="1" x14ac:dyDescent="0.2">
      <c r="AG5054" s="19"/>
      <c r="AJ5054" s="410"/>
    </row>
    <row r="5055" spans="33:36" ht="11.25" customHeight="1" x14ac:dyDescent="0.2">
      <c r="AG5055" s="19"/>
      <c r="AJ5055" s="410"/>
    </row>
    <row r="5056" spans="33:36" ht="11.25" customHeight="1" x14ac:dyDescent="0.2">
      <c r="AG5056" s="19"/>
      <c r="AJ5056" s="410"/>
    </row>
    <row r="5057" spans="33:36" ht="11.25" customHeight="1" x14ac:dyDescent="0.2">
      <c r="AG5057" s="19"/>
      <c r="AJ5057" s="410"/>
    </row>
    <row r="5058" spans="33:36" ht="11.25" customHeight="1" x14ac:dyDescent="0.2">
      <c r="AG5058" s="19"/>
      <c r="AJ5058" s="410"/>
    </row>
    <row r="5059" spans="33:36" ht="11.25" customHeight="1" x14ac:dyDescent="0.2">
      <c r="AG5059" s="19"/>
      <c r="AJ5059" s="410"/>
    </row>
    <row r="5060" spans="33:36" ht="11.25" customHeight="1" x14ac:dyDescent="0.2">
      <c r="AG5060" s="19"/>
      <c r="AJ5060" s="410"/>
    </row>
    <row r="5061" spans="33:36" ht="11.25" customHeight="1" x14ac:dyDescent="0.2">
      <c r="AG5061" s="19"/>
      <c r="AJ5061" s="410"/>
    </row>
    <row r="5062" spans="33:36" ht="11.25" customHeight="1" x14ac:dyDescent="0.2">
      <c r="AG5062" s="19"/>
      <c r="AJ5062" s="410"/>
    </row>
    <row r="5063" spans="33:36" ht="11.25" customHeight="1" x14ac:dyDescent="0.2">
      <c r="AG5063" s="19"/>
      <c r="AJ5063" s="410"/>
    </row>
    <row r="5064" spans="33:36" ht="11.25" customHeight="1" x14ac:dyDescent="0.2">
      <c r="AG5064" s="19"/>
      <c r="AJ5064" s="410"/>
    </row>
    <row r="5065" spans="33:36" ht="11.25" customHeight="1" x14ac:dyDescent="0.2">
      <c r="AG5065" s="19"/>
      <c r="AJ5065" s="410"/>
    </row>
    <row r="5066" spans="33:36" ht="11.25" customHeight="1" x14ac:dyDescent="0.2">
      <c r="AG5066" s="19"/>
      <c r="AJ5066" s="410"/>
    </row>
    <row r="5067" spans="33:36" ht="11.25" customHeight="1" x14ac:dyDescent="0.2">
      <c r="AG5067" s="19"/>
      <c r="AJ5067" s="410"/>
    </row>
    <row r="5068" spans="33:36" ht="11.25" customHeight="1" x14ac:dyDescent="0.2">
      <c r="AG5068" s="19"/>
      <c r="AJ5068" s="410"/>
    </row>
    <row r="5069" spans="33:36" ht="11.25" customHeight="1" x14ac:dyDescent="0.2">
      <c r="AG5069" s="19"/>
      <c r="AJ5069" s="410"/>
    </row>
    <row r="5070" spans="33:36" ht="11.25" customHeight="1" x14ac:dyDescent="0.2">
      <c r="AG5070" s="19"/>
      <c r="AJ5070" s="410"/>
    </row>
    <row r="5071" spans="33:36" ht="11.25" customHeight="1" x14ac:dyDescent="0.2">
      <c r="AG5071" s="19"/>
      <c r="AJ5071" s="410"/>
    </row>
    <row r="5072" spans="33:36" ht="11.25" customHeight="1" x14ac:dyDescent="0.2">
      <c r="AG5072" s="19"/>
      <c r="AJ5072" s="410"/>
    </row>
    <row r="5073" spans="33:36" ht="11.25" customHeight="1" x14ac:dyDescent="0.2">
      <c r="AG5073" s="19"/>
      <c r="AJ5073" s="410"/>
    </row>
    <row r="5074" spans="33:36" ht="11.25" customHeight="1" x14ac:dyDescent="0.2">
      <c r="AG5074" s="19"/>
      <c r="AJ5074" s="410"/>
    </row>
    <row r="5075" spans="33:36" ht="11.25" customHeight="1" x14ac:dyDescent="0.2">
      <c r="AG5075" s="19"/>
      <c r="AJ5075" s="410"/>
    </row>
    <row r="5076" spans="33:36" ht="11.25" customHeight="1" x14ac:dyDescent="0.2">
      <c r="AG5076" s="19"/>
      <c r="AJ5076" s="410"/>
    </row>
    <row r="5077" spans="33:36" ht="11.25" customHeight="1" x14ac:dyDescent="0.2">
      <c r="AG5077" s="19"/>
      <c r="AJ5077" s="410"/>
    </row>
    <row r="5078" spans="33:36" ht="11.25" customHeight="1" x14ac:dyDescent="0.2">
      <c r="AG5078" s="19"/>
      <c r="AJ5078" s="410"/>
    </row>
    <row r="5079" spans="33:36" ht="11.25" customHeight="1" x14ac:dyDescent="0.2">
      <c r="AG5079" s="19"/>
      <c r="AJ5079" s="410"/>
    </row>
    <row r="5080" spans="33:36" ht="11.25" customHeight="1" x14ac:dyDescent="0.2">
      <c r="AG5080" s="19"/>
      <c r="AJ5080" s="410"/>
    </row>
    <row r="5081" spans="33:36" ht="11.25" customHeight="1" x14ac:dyDescent="0.2">
      <c r="AG5081" s="19"/>
      <c r="AJ5081" s="410"/>
    </row>
    <row r="5082" spans="33:36" ht="11.25" customHeight="1" x14ac:dyDescent="0.2">
      <c r="AG5082" s="19"/>
      <c r="AJ5082" s="410"/>
    </row>
    <row r="5083" spans="33:36" ht="11.25" customHeight="1" x14ac:dyDescent="0.2">
      <c r="AG5083" s="19"/>
      <c r="AJ5083" s="410"/>
    </row>
    <row r="5084" spans="33:36" ht="11.25" customHeight="1" x14ac:dyDescent="0.2">
      <c r="AG5084" s="19"/>
      <c r="AJ5084" s="410"/>
    </row>
    <row r="5085" spans="33:36" ht="11.25" customHeight="1" x14ac:dyDescent="0.2">
      <c r="AG5085" s="19"/>
      <c r="AJ5085" s="410"/>
    </row>
    <row r="5086" spans="33:36" ht="11.25" customHeight="1" x14ac:dyDescent="0.2">
      <c r="AG5086" s="19"/>
      <c r="AJ5086" s="410"/>
    </row>
    <row r="5087" spans="33:36" ht="11.25" customHeight="1" x14ac:dyDescent="0.2">
      <c r="AG5087" s="19"/>
      <c r="AJ5087" s="410"/>
    </row>
    <row r="5088" spans="33:36" ht="11.25" customHeight="1" x14ac:dyDescent="0.2">
      <c r="AG5088" s="19"/>
      <c r="AJ5088" s="410"/>
    </row>
    <row r="5089" spans="33:36" ht="11.25" customHeight="1" x14ac:dyDescent="0.2">
      <c r="AG5089" s="19"/>
      <c r="AJ5089" s="410"/>
    </row>
    <row r="5090" spans="33:36" ht="11.25" customHeight="1" x14ac:dyDescent="0.2">
      <c r="AG5090" s="19"/>
      <c r="AJ5090" s="410"/>
    </row>
    <row r="5091" spans="33:36" ht="11.25" customHeight="1" x14ac:dyDescent="0.2">
      <c r="AG5091" s="19"/>
      <c r="AJ5091" s="410"/>
    </row>
    <row r="5092" spans="33:36" ht="11.25" customHeight="1" x14ac:dyDescent="0.2">
      <c r="AG5092" s="19"/>
      <c r="AJ5092" s="410"/>
    </row>
    <row r="5093" spans="33:36" ht="11.25" customHeight="1" x14ac:dyDescent="0.2">
      <c r="AG5093" s="19"/>
      <c r="AJ5093" s="410"/>
    </row>
    <row r="5094" spans="33:36" ht="11.25" customHeight="1" x14ac:dyDescent="0.2">
      <c r="AG5094" s="19"/>
      <c r="AJ5094" s="410"/>
    </row>
    <row r="5095" spans="33:36" ht="11.25" customHeight="1" x14ac:dyDescent="0.2">
      <c r="AG5095" s="19"/>
      <c r="AJ5095" s="410"/>
    </row>
    <row r="5096" spans="33:36" ht="11.25" customHeight="1" x14ac:dyDescent="0.2">
      <c r="AG5096" s="19"/>
      <c r="AJ5096" s="410"/>
    </row>
    <row r="5097" spans="33:36" ht="11.25" customHeight="1" x14ac:dyDescent="0.2">
      <c r="AG5097" s="19"/>
      <c r="AJ5097" s="410"/>
    </row>
    <row r="5098" spans="33:36" ht="11.25" customHeight="1" x14ac:dyDescent="0.2">
      <c r="AG5098" s="19"/>
      <c r="AJ5098" s="410"/>
    </row>
    <row r="5099" spans="33:36" ht="11.25" customHeight="1" x14ac:dyDescent="0.2">
      <c r="AG5099" s="19"/>
      <c r="AJ5099" s="410"/>
    </row>
    <row r="5100" spans="33:36" ht="11.25" customHeight="1" x14ac:dyDescent="0.2">
      <c r="AG5100" s="19"/>
      <c r="AJ5100" s="410"/>
    </row>
    <row r="5101" spans="33:36" ht="11.25" customHeight="1" x14ac:dyDescent="0.2">
      <c r="AG5101" s="19"/>
      <c r="AJ5101" s="410"/>
    </row>
    <row r="5102" spans="33:36" ht="11.25" customHeight="1" x14ac:dyDescent="0.2">
      <c r="AG5102" s="19"/>
      <c r="AJ5102" s="410"/>
    </row>
    <row r="5103" spans="33:36" ht="11.25" customHeight="1" x14ac:dyDescent="0.2">
      <c r="AG5103" s="19"/>
      <c r="AJ5103" s="410"/>
    </row>
    <row r="5104" spans="33:36" ht="11.25" customHeight="1" x14ac:dyDescent="0.2">
      <c r="AG5104" s="19"/>
      <c r="AJ5104" s="410"/>
    </row>
    <row r="5105" spans="33:36" ht="11.25" customHeight="1" x14ac:dyDescent="0.2">
      <c r="AG5105" s="19"/>
      <c r="AJ5105" s="410"/>
    </row>
    <row r="5106" spans="33:36" ht="11.25" customHeight="1" x14ac:dyDescent="0.2">
      <c r="AG5106" s="19"/>
      <c r="AJ5106" s="410"/>
    </row>
    <row r="5107" spans="33:36" ht="11.25" customHeight="1" x14ac:dyDescent="0.2">
      <c r="AG5107" s="19"/>
      <c r="AJ5107" s="410"/>
    </row>
    <row r="5108" spans="33:36" ht="11.25" customHeight="1" x14ac:dyDescent="0.2">
      <c r="AG5108" s="19"/>
      <c r="AJ5108" s="410"/>
    </row>
    <row r="5109" spans="33:36" ht="11.25" customHeight="1" x14ac:dyDescent="0.2">
      <c r="AG5109" s="19"/>
      <c r="AJ5109" s="410"/>
    </row>
    <row r="5110" spans="33:36" ht="11.25" customHeight="1" x14ac:dyDescent="0.2">
      <c r="AG5110" s="19"/>
      <c r="AJ5110" s="410"/>
    </row>
    <row r="5111" spans="33:36" ht="11.25" customHeight="1" x14ac:dyDescent="0.2">
      <c r="AG5111" s="19"/>
      <c r="AJ5111" s="410"/>
    </row>
    <row r="5112" spans="33:36" ht="11.25" customHeight="1" x14ac:dyDescent="0.2">
      <c r="AG5112" s="19"/>
      <c r="AJ5112" s="410"/>
    </row>
    <row r="5113" spans="33:36" ht="11.25" customHeight="1" x14ac:dyDescent="0.2">
      <c r="AG5113" s="19"/>
      <c r="AJ5113" s="410"/>
    </row>
    <row r="5114" spans="33:36" ht="11.25" customHeight="1" x14ac:dyDescent="0.2">
      <c r="AG5114" s="19"/>
      <c r="AJ5114" s="410"/>
    </row>
    <row r="5115" spans="33:36" ht="11.25" customHeight="1" x14ac:dyDescent="0.2">
      <c r="AG5115" s="19"/>
      <c r="AJ5115" s="410"/>
    </row>
    <row r="5116" spans="33:36" ht="11.25" customHeight="1" x14ac:dyDescent="0.2">
      <c r="AG5116" s="19"/>
      <c r="AJ5116" s="410"/>
    </row>
    <row r="5117" spans="33:36" ht="11.25" customHeight="1" x14ac:dyDescent="0.2">
      <c r="AG5117" s="19"/>
      <c r="AJ5117" s="410"/>
    </row>
    <row r="5118" spans="33:36" ht="11.25" customHeight="1" x14ac:dyDescent="0.2">
      <c r="AG5118" s="19"/>
      <c r="AJ5118" s="410"/>
    </row>
    <row r="5119" spans="33:36" ht="11.25" customHeight="1" x14ac:dyDescent="0.2">
      <c r="AG5119" s="19"/>
      <c r="AJ5119" s="410"/>
    </row>
    <row r="5120" spans="33:36" ht="11.25" customHeight="1" x14ac:dyDescent="0.2">
      <c r="AG5120" s="19"/>
      <c r="AJ5120" s="410"/>
    </row>
    <row r="5121" spans="33:36" ht="11.25" customHeight="1" x14ac:dyDescent="0.2">
      <c r="AG5121" s="19"/>
      <c r="AJ5121" s="410"/>
    </row>
    <row r="5122" spans="33:36" ht="11.25" customHeight="1" x14ac:dyDescent="0.2">
      <c r="AG5122" s="19"/>
      <c r="AJ5122" s="410"/>
    </row>
    <row r="5123" spans="33:36" ht="11.25" customHeight="1" x14ac:dyDescent="0.2">
      <c r="AG5123" s="19"/>
      <c r="AJ5123" s="410"/>
    </row>
    <row r="5124" spans="33:36" ht="11.25" customHeight="1" x14ac:dyDescent="0.2">
      <c r="AG5124" s="19"/>
      <c r="AJ5124" s="410"/>
    </row>
    <row r="5125" spans="33:36" ht="11.25" customHeight="1" x14ac:dyDescent="0.2">
      <c r="AG5125" s="19"/>
      <c r="AJ5125" s="410"/>
    </row>
    <row r="5126" spans="33:36" ht="11.25" customHeight="1" x14ac:dyDescent="0.2">
      <c r="AG5126" s="19"/>
      <c r="AJ5126" s="410"/>
    </row>
    <row r="5127" spans="33:36" ht="11.25" customHeight="1" x14ac:dyDescent="0.2">
      <c r="AG5127" s="19"/>
      <c r="AJ5127" s="410"/>
    </row>
    <row r="5128" spans="33:36" ht="11.25" customHeight="1" x14ac:dyDescent="0.2">
      <c r="AG5128" s="19"/>
      <c r="AJ5128" s="410"/>
    </row>
    <row r="5129" spans="33:36" ht="11.25" customHeight="1" x14ac:dyDescent="0.2">
      <c r="AG5129" s="19"/>
      <c r="AJ5129" s="410"/>
    </row>
    <row r="5130" spans="33:36" ht="11.25" customHeight="1" x14ac:dyDescent="0.2">
      <c r="AG5130" s="19"/>
      <c r="AJ5130" s="410"/>
    </row>
    <row r="5131" spans="33:36" ht="11.25" customHeight="1" x14ac:dyDescent="0.2">
      <c r="AG5131" s="19"/>
      <c r="AJ5131" s="410"/>
    </row>
    <row r="5132" spans="33:36" ht="11.25" customHeight="1" x14ac:dyDescent="0.2">
      <c r="AG5132" s="19"/>
      <c r="AJ5132" s="410"/>
    </row>
    <row r="5133" spans="33:36" ht="11.25" customHeight="1" x14ac:dyDescent="0.2">
      <c r="AG5133" s="19"/>
      <c r="AJ5133" s="410"/>
    </row>
    <row r="5134" spans="33:36" ht="11.25" customHeight="1" x14ac:dyDescent="0.2">
      <c r="AG5134" s="19"/>
      <c r="AJ5134" s="410"/>
    </row>
    <row r="5135" spans="33:36" ht="11.25" customHeight="1" x14ac:dyDescent="0.2">
      <c r="AG5135" s="19"/>
      <c r="AJ5135" s="410"/>
    </row>
    <row r="5136" spans="33:36" ht="11.25" customHeight="1" x14ac:dyDescent="0.2">
      <c r="AG5136" s="19"/>
      <c r="AJ5136" s="410"/>
    </row>
    <row r="5137" spans="33:36" ht="11.25" customHeight="1" x14ac:dyDescent="0.2">
      <c r="AG5137" s="19"/>
      <c r="AJ5137" s="410"/>
    </row>
    <row r="5138" spans="33:36" ht="11.25" customHeight="1" x14ac:dyDescent="0.2">
      <c r="AG5138" s="19"/>
      <c r="AJ5138" s="410"/>
    </row>
    <row r="5139" spans="33:36" ht="11.25" customHeight="1" x14ac:dyDescent="0.2">
      <c r="AG5139" s="19"/>
      <c r="AJ5139" s="410"/>
    </row>
    <row r="5140" spans="33:36" ht="11.25" customHeight="1" x14ac:dyDescent="0.2">
      <c r="AG5140" s="19"/>
      <c r="AJ5140" s="410"/>
    </row>
    <row r="5141" spans="33:36" ht="11.25" customHeight="1" x14ac:dyDescent="0.2">
      <c r="AG5141" s="19"/>
      <c r="AJ5141" s="410"/>
    </row>
    <row r="5142" spans="33:36" ht="11.25" customHeight="1" x14ac:dyDescent="0.2">
      <c r="AG5142" s="19"/>
      <c r="AJ5142" s="410"/>
    </row>
    <row r="5143" spans="33:36" ht="11.25" customHeight="1" x14ac:dyDescent="0.2">
      <c r="AG5143" s="19"/>
      <c r="AJ5143" s="410"/>
    </row>
    <row r="5144" spans="33:36" ht="11.25" customHeight="1" x14ac:dyDescent="0.2">
      <c r="AG5144" s="19"/>
      <c r="AJ5144" s="410"/>
    </row>
    <row r="5145" spans="33:36" ht="11.25" customHeight="1" x14ac:dyDescent="0.2">
      <c r="AG5145" s="19"/>
      <c r="AJ5145" s="410"/>
    </row>
    <row r="5146" spans="33:36" ht="11.25" customHeight="1" x14ac:dyDescent="0.2">
      <c r="AG5146" s="19"/>
      <c r="AJ5146" s="410"/>
    </row>
    <row r="5147" spans="33:36" ht="11.25" customHeight="1" x14ac:dyDescent="0.2">
      <c r="AG5147" s="19"/>
      <c r="AJ5147" s="410"/>
    </row>
    <row r="5148" spans="33:36" ht="11.25" customHeight="1" x14ac:dyDescent="0.2">
      <c r="AG5148" s="19"/>
      <c r="AJ5148" s="410"/>
    </row>
    <row r="5149" spans="33:36" ht="11.25" customHeight="1" x14ac:dyDescent="0.2">
      <c r="AG5149" s="19"/>
      <c r="AJ5149" s="410"/>
    </row>
    <row r="5150" spans="33:36" ht="11.25" customHeight="1" x14ac:dyDescent="0.2">
      <c r="AG5150" s="19"/>
      <c r="AJ5150" s="410"/>
    </row>
    <row r="5151" spans="33:36" ht="11.25" customHeight="1" x14ac:dyDescent="0.2">
      <c r="AG5151" s="19"/>
      <c r="AJ5151" s="410"/>
    </row>
    <row r="5152" spans="33:36" ht="11.25" customHeight="1" x14ac:dyDescent="0.2">
      <c r="AG5152" s="19"/>
      <c r="AJ5152" s="410"/>
    </row>
    <row r="5153" spans="33:36" ht="11.25" customHeight="1" x14ac:dyDescent="0.2">
      <c r="AG5153" s="19"/>
      <c r="AJ5153" s="410"/>
    </row>
    <row r="5154" spans="33:36" ht="11.25" customHeight="1" x14ac:dyDescent="0.2">
      <c r="AG5154" s="19"/>
      <c r="AJ5154" s="410"/>
    </row>
    <row r="5155" spans="33:36" ht="11.25" customHeight="1" x14ac:dyDescent="0.2">
      <c r="AG5155" s="19"/>
      <c r="AJ5155" s="410"/>
    </row>
    <row r="5156" spans="33:36" ht="11.25" customHeight="1" x14ac:dyDescent="0.2">
      <c r="AG5156" s="19"/>
      <c r="AJ5156" s="410"/>
    </row>
    <row r="5157" spans="33:36" ht="11.25" customHeight="1" x14ac:dyDescent="0.2">
      <c r="AG5157" s="19"/>
      <c r="AJ5157" s="410"/>
    </row>
    <row r="5158" spans="33:36" ht="11.25" customHeight="1" x14ac:dyDescent="0.2">
      <c r="AG5158" s="19"/>
      <c r="AJ5158" s="410"/>
    </row>
    <row r="5159" spans="33:36" ht="11.25" customHeight="1" x14ac:dyDescent="0.2">
      <c r="AG5159" s="19"/>
      <c r="AJ5159" s="410"/>
    </row>
    <row r="5160" spans="33:36" ht="11.25" customHeight="1" x14ac:dyDescent="0.2">
      <c r="AG5160" s="19"/>
      <c r="AJ5160" s="410"/>
    </row>
    <row r="5161" spans="33:36" ht="11.25" customHeight="1" x14ac:dyDescent="0.2">
      <c r="AG5161" s="19"/>
      <c r="AJ5161" s="410"/>
    </row>
    <row r="5162" spans="33:36" ht="11.25" customHeight="1" x14ac:dyDescent="0.2">
      <c r="AG5162" s="19"/>
      <c r="AJ5162" s="410"/>
    </row>
    <row r="5163" spans="33:36" ht="11.25" customHeight="1" x14ac:dyDescent="0.2">
      <c r="AG5163" s="19"/>
      <c r="AJ5163" s="410"/>
    </row>
    <row r="5164" spans="33:36" ht="11.25" customHeight="1" x14ac:dyDescent="0.2">
      <c r="AG5164" s="19"/>
      <c r="AJ5164" s="410"/>
    </row>
    <row r="5165" spans="33:36" ht="11.25" customHeight="1" x14ac:dyDescent="0.2">
      <c r="AG5165" s="19"/>
      <c r="AJ5165" s="410"/>
    </row>
    <row r="5166" spans="33:36" ht="11.25" customHeight="1" x14ac:dyDescent="0.2">
      <c r="AG5166" s="19"/>
      <c r="AJ5166" s="410"/>
    </row>
    <row r="5167" spans="33:36" ht="11.25" customHeight="1" x14ac:dyDescent="0.2">
      <c r="AG5167" s="19"/>
      <c r="AJ5167" s="410"/>
    </row>
    <row r="5168" spans="33:36" ht="11.25" customHeight="1" x14ac:dyDescent="0.2">
      <c r="AG5168" s="19"/>
      <c r="AJ5168" s="410"/>
    </row>
    <row r="5169" spans="33:36" ht="11.25" customHeight="1" x14ac:dyDescent="0.2">
      <c r="AG5169" s="19"/>
      <c r="AJ5169" s="410"/>
    </row>
    <row r="5170" spans="33:36" ht="11.25" customHeight="1" x14ac:dyDescent="0.2">
      <c r="AG5170" s="19"/>
      <c r="AJ5170" s="410"/>
    </row>
    <row r="5171" spans="33:36" ht="11.25" customHeight="1" x14ac:dyDescent="0.2">
      <c r="AG5171" s="19"/>
      <c r="AJ5171" s="410"/>
    </row>
    <row r="5172" spans="33:36" ht="11.25" customHeight="1" x14ac:dyDescent="0.2">
      <c r="AG5172" s="19"/>
      <c r="AJ5172" s="410"/>
    </row>
    <row r="5173" spans="33:36" ht="11.25" customHeight="1" x14ac:dyDescent="0.2">
      <c r="AG5173" s="19"/>
      <c r="AJ5173" s="410"/>
    </row>
    <row r="5174" spans="33:36" ht="11.25" customHeight="1" x14ac:dyDescent="0.2">
      <c r="AG5174" s="19"/>
      <c r="AJ5174" s="410"/>
    </row>
    <row r="5175" spans="33:36" ht="11.25" customHeight="1" x14ac:dyDescent="0.2">
      <c r="AG5175" s="19"/>
      <c r="AJ5175" s="410"/>
    </row>
    <row r="5176" spans="33:36" ht="11.25" customHeight="1" x14ac:dyDescent="0.2">
      <c r="AG5176" s="19"/>
      <c r="AJ5176" s="410"/>
    </row>
    <row r="5177" spans="33:36" ht="11.25" customHeight="1" x14ac:dyDescent="0.2">
      <c r="AG5177" s="19"/>
      <c r="AJ5177" s="410"/>
    </row>
    <row r="5178" spans="33:36" ht="11.25" customHeight="1" x14ac:dyDescent="0.2">
      <c r="AG5178" s="19"/>
      <c r="AJ5178" s="410"/>
    </row>
    <row r="5179" spans="33:36" ht="11.25" customHeight="1" x14ac:dyDescent="0.2">
      <c r="AG5179" s="19"/>
      <c r="AJ5179" s="410"/>
    </row>
    <row r="5180" spans="33:36" ht="11.25" customHeight="1" x14ac:dyDescent="0.2">
      <c r="AG5180" s="19"/>
      <c r="AJ5180" s="410"/>
    </row>
    <row r="5181" spans="33:36" ht="11.25" customHeight="1" x14ac:dyDescent="0.2">
      <c r="AG5181" s="19"/>
      <c r="AJ5181" s="410"/>
    </row>
    <row r="5182" spans="33:36" ht="11.25" customHeight="1" x14ac:dyDescent="0.2">
      <c r="AG5182" s="19"/>
      <c r="AJ5182" s="410"/>
    </row>
    <row r="5183" spans="33:36" ht="11.25" customHeight="1" x14ac:dyDescent="0.2">
      <c r="AG5183" s="19"/>
      <c r="AJ5183" s="410"/>
    </row>
    <row r="5184" spans="33:36" ht="11.25" customHeight="1" x14ac:dyDescent="0.2">
      <c r="AG5184" s="19"/>
      <c r="AJ5184" s="410"/>
    </row>
    <row r="5185" spans="33:36" ht="11.25" customHeight="1" x14ac:dyDescent="0.2">
      <c r="AG5185" s="19"/>
      <c r="AJ5185" s="410"/>
    </row>
    <row r="5186" spans="33:36" ht="11.25" customHeight="1" x14ac:dyDescent="0.2">
      <c r="AG5186" s="19"/>
      <c r="AJ5186" s="410"/>
    </row>
    <row r="5187" spans="33:36" ht="11.25" customHeight="1" x14ac:dyDescent="0.2">
      <c r="AG5187" s="19"/>
      <c r="AJ5187" s="410"/>
    </row>
    <row r="5188" spans="33:36" ht="11.25" customHeight="1" x14ac:dyDescent="0.2">
      <c r="AG5188" s="19"/>
      <c r="AJ5188" s="410"/>
    </row>
    <row r="5189" spans="33:36" ht="11.25" customHeight="1" x14ac:dyDescent="0.2">
      <c r="AG5189" s="19"/>
      <c r="AJ5189" s="410"/>
    </row>
    <row r="5190" spans="33:36" ht="11.25" customHeight="1" x14ac:dyDescent="0.2">
      <c r="AG5190" s="19"/>
      <c r="AJ5190" s="410"/>
    </row>
    <row r="5191" spans="33:36" ht="11.25" customHeight="1" x14ac:dyDescent="0.2">
      <c r="AG5191" s="19"/>
      <c r="AJ5191" s="410"/>
    </row>
    <row r="5192" spans="33:36" ht="11.25" customHeight="1" x14ac:dyDescent="0.2">
      <c r="AG5192" s="19"/>
      <c r="AJ5192" s="410"/>
    </row>
    <row r="5193" spans="33:36" ht="11.25" customHeight="1" x14ac:dyDescent="0.2">
      <c r="AG5193" s="19"/>
      <c r="AJ5193" s="410"/>
    </row>
    <row r="5194" spans="33:36" ht="11.25" customHeight="1" x14ac:dyDescent="0.2">
      <c r="AG5194" s="19"/>
      <c r="AJ5194" s="410"/>
    </row>
    <row r="5195" spans="33:36" ht="11.25" customHeight="1" x14ac:dyDescent="0.2">
      <c r="AG5195" s="19"/>
      <c r="AJ5195" s="410"/>
    </row>
    <row r="5196" spans="33:36" ht="11.25" customHeight="1" x14ac:dyDescent="0.2">
      <c r="AG5196" s="19"/>
      <c r="AJ5196" s="410"/>
    </row>
    <row r="5197" spans="33:36" ht="11.25" customHeight="1" x14ac:dyDescent="0.2">
      <c r="AG5197" s="19"/>
      <c r="AJ5197" s="410"/>
    </row>
    <row r="5198" spans="33:36" ht="11.25" customHeight="1" x14ac:dyDescent="0.2">
      <c r="AG5198" s="19"/>
      <c r="AJ5198" s="410"/>
    </row>
    <row r="5199" spans="33:36" ht="11.25" customHeight="1" x14ac:dyDescent="0.2">
      <c r="AG5199" s="19"/>
      <c r="AJ5199" s="410"/>
    </row>
    <row r="5200" spans="33:36" ht="11.25" customHeight="1" x14ac:dyDescent="0.2">
      <c r="AG5200" s="19"/>
      <c r="AJ5200" s="410"/>
    </row>
    <row r="5201" spans="33:36" ht="11.25" customHeight="1" x14ac:dyDescent="0.2">
      <c r="AG5201" s="19"/>
      <c r="AJ5201" s="410"/>
    </row>
    <row r="5202" spans="33:36" ht="11.25" customHeight="1" x14ac:dyDescent="0.2">
      <c r="AG5202" s="19"/>
      <c r="AJ5202" s="410"/>
    </row>
    <row r="5203" spans="33:36" ht="11.25" customHeight="1" x14ac:dyDescent="0.2">
      <c r="AG5203" s="19"/>
      <c r="AJ5203" s="410"/>
    </row>
    <row r="5204" spans="33:36" ht="11.25" customHeight="1" x14ac:dyDescent="0.2">
      <c r="AG5204" s="19"/>
      <c r="AJ5204" s="410"/>
    </row>
    <row r="5205" spans="33:36" ht="11.25" customHeight="1" x14ac:dyDescent="0.2">
      <c r="AG5205" s="19"/>
      <c r="AJ5205" s="410"/>
    </row>
    <row r="5206" spans="33:36" ht="11.25" customHeight="1" x14ac:dyDescent="0.2">
      <c r="AG5206" s="19"/>
      <c r="AJ5206" s="410"/>
    </row>
    <row r="5207" spans="33:36" ht="11.25" customHeight="1" x14ac:dyDescent="0.2">
      <c r="AG5207" s="19"/>
      <c r="AJ5207" s="410"/>
    </row>
    <row r="5208" spans="33:36" ht="11.25" customHeight="1" x14ac:dyDescent="0.2">
      <c r="AG5208" s="19"/>
      <c r="AJ5208" s="410"/>
    </row>
    <row r="5209" spans="33:36" ht="11.25" customHeight="1" x14ac:dyDescent="0.2">
      <c r="AG5209" s="19"/>
      <c r="AJ5209" s="410"/>
    </row>
    <row r="5210" spans="33:36" ht="11.25" customHeight="1" x14ac:dyDescent="0.2">
      <c r="AG5210" s="19"/>
      <c r="AJ5210" s="410"/>
    </row>
    <row r="5211" spans="33:36" ht="11.25" customHeight="1" x14ac:dyDescent="0.2">
      <c r="AG5211" s="19"/>
      <c r="AJ5211" s="410"/>
    </row>
    <row r="5212" spans="33:36" ht="11.25" customHeight="1" x14ac:dyDescent="0.2">
      <c r="AG5212" s="19"/>
      <c r="AJ5212" s="410"/>
    </row>
    <row r="5213" spans="33:36" ht="11.25" customHeight="1" x14ac:dyDescent="0.2">
      <c r="AG5213" s="19"/>
      <c r="AJ5213" s="410"/>
    </row>
    <row r="5214" spans="33:36" ht="11.25" customHeight="1" x14ac:dyDescent="0.2">
      <c r="AG5214" s="19"/>
      <c r="AJ5214" s="410"/>
    </row>
    <row r="5215" spans="33:36" ht="11.25" customHeight="1" x14ac:dyDescent="0.2">
      <c r="AG5215" s="19"/>
      <c r="AJ5215" s="410"/>
    </row>
    <row r="5216" spans="33:36" ht="11.25" customHeight="1" x14ac:dyDescent="0.2">
      <c r="AG5216" s="19"/>
      <c r="AJ5216" s="410"/>
    </row>
    <row r="5217" spans="33:36" ht="11.25" customHeight="1" x14ac:dyDescent="0.2">
      <c r="AG5217" s="19"/>
      <c r="AJ5217" s="410"/>
    </row>
    <row r="5218" spans="33:36" ht="11.25" customHeight="1" x14ac:dyDescent="0.2">
      <c r="AG5218" s="19"/>
      <c r="AJ5218" s="410"/>
    </row>
    <row r="5219" spans="33:36" ht="11.25" customHeight="1" x14ac:dyDescent="0.2">
      <c r="AG5219" s="19"/>
      <c r="AJ5219" s="410"/>
    </row>
    <row r="5220" spans="33:36" ht="11.25" customHeight="1" x14ac:dyDescent="0.2">
      <c r="AG5220" s="19"/>
      <c r="AJ5220" s="410"/>
    </row>
    <row r="5221" spans="33:36" ht="11.25" customHeight="1" x14ac:dyDescent="0.2">
      <c r="AG5221" s="19"/>
      <c r="AJ5221" s="410"/>
    </row>
    <row r="5222" spans="33:36" ht="11.25" customHeight="1" x14ac:dyDescent="0.2">
      <c r="AG5222" s="19"/>
      <c r="AJ5222" s="410"/>
    </row>
    <row r="5223" spans="33:36" ht="11.25" customHeight="1" x14ac:dyDescent="0.2">
      <c r="AG5223" s="19"/>
      <c r="AJ5223" s="410"/>
    </row>
    <row r="5224" spans="33:36" ht="11.25" customHeight="1" x14ac:dyDescent="0.2">
      <c r="AG5224" s="19"/>
      <c r="AJ5224" s="410"/>
    </row>
    <row r="5225" spans="33:36" ht="11.25" customHeight="1" x14ac:dyDescent="0.2">
      <c r="AG5225" s="19"/>
      <c r="AJ5225" s="410"/>
    </row>
    <row r="5226" spans="33:36" ht="11.25" customHeight="1" x14ac:dyDescent="0.2">
      <c r="AG5226" s="19"/>
      <c r="AJ5226" s="410"/>
    </row>
    <row r="5227" spans="33:36" ht="11.25" customHeight="1" x14ac:dyDescent="0.2">
      <c r="AG5227" s="19"/>
      <c r="AJ5227" s="410"/>
    </row>
    <row r="5228" spans="33:36" ht="11.25" customHeight="1" x14ac:dyDescent="0.2">
      <c r="AG5228" s="19"/>
      <c r="AJ5228" s="410"/>
    </row>
    <row r="5229" spans="33:36" ht="11.25" customHeight="1" x14ac:dyDescent="0.2">
      <c r="AG5229" s="19"/>
      <c r="AJ5229" s="410"/>
    </row>
    <row r="5230" spans="33:36" ht="11.25" customHeight="1" x14ac:dyDescent="0.2">
      <c r="AG5230" s="19"/>
      <c r="AJ5230" s="410"/>
    </row>
    <row r="5231" spans="33:36" ht="11.25" customHeight="1" x14ac:dyDescent="0.2">
      <c r="AG5231" s="19"/>
      <c r="AJ5231" s="410"/>
    </row>
    <row r="5232" spans="33:36" ht="11.25" customHeight="1" x14ac:dyDescent="0.2">
      <c r="AG5232" s="19"/>
      <c r="AJ5232" s="410"/>
    </row>
    <row r="5233" spans="33:36" ht="11.25" customHeight="1" x14ac:dyDescent="0.2">
      <c r="AG5233" s="19"/>
      <c r="AJ5233" s="410"/>
    </row>
    <row r="5234" spans="33:36" ht="11.25" customHeight="1" x14ac:dyDescent="0.2">
      <c r="AG5234" s="19"/>
      <c r="AJ5234" s="410"/>
    </row>
    <row r="5235" spans="33:36" ht="11.25" customHeight="1" x14ac:dyDescent="0.2">
      <c r="AG5235" s="19"/>
      <c r="AJ5235" s="410"/>
    </row>
    <row r="5236" spans="33:36" ht="11.25" customHeight="1" x14ac:dyDescent="0.2">
      <c r="AG5236" s="19"/>
      <c r="AJ5236" s="410"/>
    </row>
    <row r="5237" spans="33:36" ht="11.25" customHeight="1" x14ac:dyDescent="0.2">
      <c r="AG5237" s="19"/>
      <c r="AJ5237" s="410"/>
    </row>
    <row r="5238" spans="33:36" ht="11.25" customHeight="1" x14ac:dyDescent="0.2">
      <c r="AG5238" s="19"/>
      <c r="AJ5238" s="410"/>
    </row>
    <row r="5239" spans="33:36" ht="11.25" customHeight="1" x14ac:dyDescent="0.2">
      <c r="AG5239" s="19"/>
      <c r="AJ5239" s="410"/>
    </row>
    <row r="5240" spans="33:36" ht="11.25" customHeight="1" x14ac:dyDescent="0.2">
      <c r="AG5240" s="19"/>
      <c r="AJ5240" s="410"/>
    </row>
    <row r="5241" spans="33:36" ht="11.25" customHeight="1" x14ac:dyDescent="0.2">
      <c r="AG5241" s="19"/>
      <c r="AJ5241" s="410"/>
    </row>
    <row r="5242" spans="33:36" ht="11.25" customHeight="1" x14ac:dyDescent="0.2">
      <c r="AG5242" s="19"/>
      <c r="AJ5242" s="410"/>
    </row>
    <row r="5243" spans="33:36" ht="11.25" customHeight="1" x14ac:dyDescent="0.2">
      <c r="AG5243" s="19"/>
      <c r="AJ5243" s="410"/>
    </row>
    <row r="5244" spans="33:36" ht="11.25" customHeight="1" x14ac:dyDescent="0.2">
      <c r="AG5244" s="19"/>
      <c r="AJ5244" s="410"/>
    </row>
    <row r="5245" spans="33:36" ht="11.25" customHeight="1" x14ac:dyDescent="0.2">
      <c r="AG5245" s="19"/>
      <c r="AJ5245" s="410"/>
    </row>
    <row r="5246" spans="33:36" ht="11.25" customHeight="1" x14ac:dyDescent="0.2">
      <c r="AG5246" s="19"/>
      <c r="AJ5246" s="410"/>
    </row>
    <row r="5247" spans="33:36" ht="11.25" customHeight="1" x14ac:dyDescent="0.2">
      <c r="AG5247" s="19"/>
      <c r="AJ5247" s="410"/>
    </row>
    <row r="5248" spans="33:36" ht="11.25" customHeight="1" x14ac:dyDescent="0.2">
      <c r="AG5248" s="19"/>
      <c r="AJ5248" s="410"/>
    </row>
    <row r="5249" spans="33:36" ht="11.25" customHeight="1" x14ac:dyDescent="0.2">
      <c r="AG5249" s="19"/>
      <c r="AJ5249" s="410"/>
    </row>
    <row r="5250" spans="33:36" ht="11.25" customHeight="1" x14ac:dyDescent="0.2">
      <c r="AG5250" s="19"/>
      <c r="AJ5250" s="410"/>
    </row>
    <row r="5251" spans="33:36" ht="11.25" customHeight="1" x14ac:dyDescent="0.2">
      <c r="AG5251" s="19"/>
      <c r="AJ5251" s="410"/>
    </row>
    <row r="5252" spans="33:36" ht="11.25" customHeight="1" x14ac:dyDescent="0.2">
      <c r="AG5252" s="19"/>
      <c r="AJ5252" s="410"/>
    </row>
    <row r="5253" spans="33:36" ht="11.25" customHeight="1" x14ac:dyDescent="0.2">
      <c r="AG5253" s="19"/>
      <c r="AJ5253" s="410"/>
    </row>
    <row r="5254" spans="33:36" ht="11.25" customHeight="1" x14ac:dyDescent="0.2">
      <c r="AG5254" s="19"/>
      <c r="AJ5254" s="410"/>
    </row>
    <row r="5255" spans="33:36" ht="11.25" customHeight="1" x14ac:dyDescent="0.2">
      <c r="AG5255" s="19"/>
      <c r="AJ5255" s="410"/>
    </row>
    <row r="5256" spans="33:36" ht="11.25" customHeight="1" x14ac:dyDescent="0.2">
      <c r="AG5256" s="19"/>
      <c r="AJ5256" s="410"/>
    </row>
    <row r="5257" spans="33:36" ht="11.25" customHeight="1" x14ac:dyDescent="0.2">
      <c r="AG5257" s="19"/>
      <c r="AJ5257" s="410"/>
    </row>
    <row r="5258" spans="33:36" ht="11.25" customHeight="1" x14ac:dyDescent="0.2">
      <c r="AG5258" s="19"/>
      <c r="AJ5258" s="410"/>
    </row>
    <row r="5259" spans="33:36" ht="11.25" customHeight="1" x14ac:dyDescent="0.2">
      <c r="AG5259" s="19"/>
      <c r="AJ5259" s="410"/>
    </row>
    <row r="5260" spans="33:36" ht="11.25" customHeight="1" x14ac:dyDescent="0.2">
      <c r="AG5260" s="19"/>
      <c r="AJ5260" s="410"/>
    </row>
    <row r="5261" spans="33:36" ht="11.25" customHeight="1" x14ac:dyDescent="0.2">
      <c r="AG5261" s="19"/>
      <c r="AJ5261" s="410"/>
    </row>
    <row r="5262" spans="33:36" ht="11.25" customHeight="1" x14ac:dyDescent="0.2">
      <c r="AG5262" s="19"/>
      <c r="AJ5262" s="410"/>
    </row>
    <row r="5263" spans="33:36" ht="11.25" customHeight="1" x14ac:dyDescent="0.2">
      <c r="AG5263" s="19"/>
      <c r="AJ5263" s="410"/>
    </row>
    <row r="5264" spans="33:36" ht="11.25" customHeight="1" x14ac:dyDescent="0.2">
      <c r="AG5264" s="19"/>
      <c r="AJ5264" s="410"/>
    </row>
    <row r="5265" spans="33:36" ht="11.25" customHeight="1" x14ac:dyDescent="0.2">
      <c r="AG5265" s="19"/>
      <c r="AJ5265" s="410"/>
    </row>
    <row r="5266" spans="33:36" ht="11.25" customHeight="1" x14ac:dyDescent="0.2">
      <c r="AG5266" s="19"/>
      <c r="AJ5266" s="410"/>
    </row>
    <row r="5267" spans="33:36" ht="11.25" customHeight="1" x14ac:dyDescent="0.2">
      <c r="AG5267" s="19"/>
      <c r="AJ5267" s="410"/>
    </row>
    <row r="5268" spans="33:36" ht="11.25" customHeight="1" x14ac:dyDescent="0.2">
      <c r="AG5268" s="19"/>
      <c r="AJ5268" s="410"/>
    </row>
    <row r="5269" spans="33:36" ht="11.25" customHeight="1" x14ac:dyDescent="0.2">
      <c r="AG5269" s="19"/>
      <c r="AJ5269" s="410"/>
    </row>
    <row r="5270" spans="33:36" ht="11.25" customHeight="1" x14ac:dyDescent="0.2">
      <c r="AG5270" s="19"/>
      <c r="AJ5270" s="410"/>
    </row>
    <row r="5271" spans="33:36" ht="11.25" customHeight="1" x14ac:dyDescent="0.2">
      <c r="AG5271" s="19"/>
      <c r="AJ5271" s="410"/>
    </row>
    <row r="5272" spans="33:36" ht="11.25" customHeight="1" x14ac:dyDescent="0.2">
      <c r="AG5272" s="19"/>
      <c r="AJ5272" s="410"/>
    </row>
    <row r="5273" spans="33:36" ht="11.25" customHeight="1" x14ac:dyDescent="0.2">
      <c r="AG5273" s="19"/>
      <c r="AJ5273" s="410"/>
    </row>
    <row r="5274" spans="33:36" ht="11.25" customHeight="1" x14ac:dyDescent="0.2">
      <c r="AG5274" s="19"/>
      <c r="AJ5274" s="410"/>
    </row>
    <row r="5275" spans="33:36" ht="11.25" customHeight="1" x14ac:dyDescent="0.2">
      <c r="AG5275" s="19"/>
      <c r="AJ5275" s="410"/>
    </row>
    <row r="5276" spans="33:36" ht="11.25" customHeight="1" x14ac:dyDescent="0.2">
      <c r="AG5276" s="19"/>
      <c r="AJ5276" s="410"/>
    </row>
    <row r="5277" spans="33:36" ht="11.25" customHeight="1" x14ac:dyDescent="0.2">
      <c r="AG5277" s="19"/>
      <c r="AJ5277" s="410"/>
    </row>
    <row r="5278" spans="33:36" ht="11.25" customHeight="1" x14ac:dyDescent="0.2">
      <c r="AG5278" s="19"/>
      <c r="AJ5278" s="410"/>
    </row>
    <row r="5279" spans="33:36" ht="11.25" customHeight="1" x14ac:dyDescent="0.2">
      <c r="AG5279" s="19"/>
      <c r="AJ5279" s="410"/>
    </row>
    <row r="5280" spans="33:36" ht="11.25" customHeight="1" x14ac:dyDescent="0.2">
      <c r="AG5280" s="19"/>
      <c r="AJ5280" s="410"/>
    </row>
    <row r="5281" spans="33:36" ht="11.25" customHeight="1" x14ac:dyDescent="0.2">
      <c r="AG5281" s="19"/>
      <c r="AJ5281" s="410"/>
    </row>
    <row r="5282" spans="33:36" ht="11.25" customHeight="1" x14ac:dyDescent="0.2">
      <c r="AG5282" s="19"/>
      <c r="AJ5282" s="410"/>
    </row>
    <row r="5283" spans="33:36" ht="11.25" customHeight="1" x14ac:dyDescent="0.2">
      <c r="AG5283" s="19"/>
      <c r="AJ5283" s="410"/>
    </row>
    <row r="5284" spans="33:36" ht="11.25" customHeight="1" x14ac:dyDescent="0.2">
      <c r="AG5284" s="19"/>
      <c r="AJ5284" s="410"/>
    </row>
    <row r="5285" spans="33:36" ht="11.25" customHeight="1" x14ac:dyDescent="0.2">
      <c r="AG5285" s="19"/>
      <c r="AJ5285" s="410"/>
    </row>
    <row r="5286" spans="33:36" ht="11.25" customHeight="1" x14ac:dyDescent="0.2">
      <c r="AG5286" s="19"/>
      <c r="AJ5286" s="410"/>
    </row>
    <row r="5287" spans="33:36" ht="11.25" customHeight="1" x14ac:dyDescent="0.2">
      <c r="AG5287" s="19"/>
      <c r="AJ5287" s="410"/>
    </row>
    <row r="5288" spans="33:36" ht="11.25" customHeight="1" x14ac:dyDescent="0.2">
      <c r="AG5288" s="19"/>
      <c r="AJ5288" s="410"/>
    </row>
    <row r="5289" spans="33:36" ht="11.25" customHeight="1" x14ac:dyDescent="0.2">
      <c r="AG5289" s="19"/>
      <c r="AJ5289" s="410"/>
    </row>
    <row r="5290" spans="33:36" ht="11.25" customHeight="1" x14ac:dyDescent="0.2">
      <c r="AG5290" s="19"/>
      <c r="AJ5290" s="410"/>
    </row>
    <row r="5291" spans="33:36" ht="11.25" customHeight="1" x14ac:dyDescent="0.2">
      <c r="AG5291" s="19"/>
      <c r="AJ5291" s="410"/>
    </row>
    <row r="5292" spans="33:36" ht="11.25" customHeight="1" x14ac:dyDescent="0.2">
      <c r="AG5292" s="19"/>
      <c r="AJ5292" s="410"/>
    </row>
    <row r="5293" spans="33:36" ht="11.25" customHeight="1" x14ac:dyDescent="0.2">
      <c r="AG5293" s="19"/>
      <c r="AJ5293" s="410"/>
    </row>
    <row r="5294" spans="33:36" ht="11.25" customHeight="1" x14ac:dyDescent="0.2">
      <c r="AG5294" s="19"/>
      <c r="AJ5294" s="410"/>
    </row>
    <row r="5295" spans="33:36" ht="11.25" customHeight="1" x14ac:dyDescent="0.2">
      <c r="AG5295" s="19"/>
      <c r="AJ5295" s="410"/>
    </row>
    <row r="5296" spans="33:36" ht="11.25" customHeight="1" x14ac:dyDescent="0.2">
      <c r="AG5296" s="19"/>
      <c r="AJ5296" s="410"/>
    </row>
    <row r="5297" spans="33:36" ht="11.25" customHeight="1" x14ac:dyDescent="0.2">
      <c r="AG5297" s="19"/>
      <c r="AJ5297" s="410"/>
    </row>
    <row r="5298" spans="33:36" ht="11.25" customHeight="1" x14ac:dyDescent="0.2">
      <c r="AG5298" s="19"/>
      <c r="AJ5298" s="410"/>
    </row>
    <row r="5299" spans="33:36" ht="11.25" customHeight="1" x14ac:dyDescent="0.2">
      <c r="AG5299" s="19"/>
      <c r="AJ5299" s="410"/>
    </row>
    <row r="5300" spans="33:36" ht="11.25" customHeight="1" x14ac:dyDescent="0.2">
      <c r="AG5300" s="19"/>
      <c r="AJ5300" s="410"/>
    </row>
    <row r="5301" spans="33:36" ht="11.25" customHeight="1" x14ac:dyDescent="0.2">
      <c r="AG5301" s="19"/>
      <c r="AJ5301" s="410"/>
    </row>
    <row r="5302" spans="33:36" ht="11.25" customHeight="1" x14ac:dyDescent="0.2">
      <c r="AG5302" s="19"/>
      <c r="AJ5302" s="410"/>
    </row>
    <row r="5303" spans="33:36" ht="11.25" customHeight="1" x14ac:dyDescent="0.2">
      <c r="AG5303" s="19"/>
      <c r="AJ5303" s="410"/>
    </row>
    <row r="5304" spans="33:36" ht="11.25" customHeight="1" x14ac:dyDescent="0.2">
      <c r="AG5304" s="19"/>
      <c r="AJ5304" s="410"/>
    </row>
    <row r="5305" spans="33:36" ht="11.25" customHeight="1" x14ac:dyDescent="0.2">
      <c r="AG5305" s="19"/>
      <c r="AJ5305" s="410"/>
    </row>
    <row r="5306" spans="33:36" ht="11.25" customHeight="1" x14ac:dyDescent="0.2">
      <c r="AG5306" s="19"/>
      <c r="AJ5306" s="410"/>
    </row>
    <row r="5307" spans="33:36" ht="11.25" customHeight="1" x14ac:dyDescent="0.2">
      <c r="AG5307" s="19"/>
      <c r="AJ5307" s="410"/>
    </row>
    <row r="5308" spans="33:36" ht="11.25" customHeight="1" x14ac:dyDescent="0.2">
      <c r="AG5308" s="19"/>
      <c r="AJ5308" s="410"/>
    </row>
    <row r="5309" spans="33:36" ht="11.25" customHeight="1" x14ac:dyDescent="0.2">
      <c r="AG5309" s="19"/>
      <c r="AJ5309" s="410"/>
    </row>
    <row r="5310" spans="33:36" ht="11.25" customHeight="1" x14ac:dyDescent="0.2">
      <c r="AG5310" s="19"/>
      <c r="AJ5310" s="410"/>
    </row>
    <row r="5311" spans="33:36" ht="11.25" customHeight="1" x14ac:dyDescent="0.2">
      <c r="AG5311" s="19"/>
      <c r="AJ5311" s="410"/>
    </row>
    <row r="5312" spans="33:36" ht="11.25" customHeight="1" x14ac:dyDescent="0.2">
      <c r="AG5312" s="19"/>
      <c r="AJ5312" s="410"/>
    </row>
    <row r="5313" spans="33:36" ht="11.25" customHeight="1" x14ac:dyDescent="0.2">
      <c r="AG5313" s="19"/>
      <c r="AJ5313" s="410"/>
    </row>
    <row r="5314" spans="33:36" ht="11.25" customHeight="1" x14ac:dyDescent="0.2">
      <c r="AG5314" s="19"/>
      <c r="AJ5314" s="410"/>
    </row>
    <row r="5315" spans="33:36" ht="11.25" customHeight="1" x14ac:dyDescent="0.2">
      <c r="AG5315" s="19"/>
      <c r="AJ5315" s="410"/>
    </row>
    <row r="5316" spans="33:36" ht="11.25" customHeight="1" x14ac:dyDescent="0.2">
      <c r="AG5316" s="19"/>
      <c r="AJ5316" s="410"/>
    </row>
    <row r="5317" spans="33:36" ht="11.25" customHeight="1" x14ac:dyDescent="0.2">
      <c r="AG5317" s="19"/>
      <c r="AJ5317" s="410"/>
    </row>
    <row r="5318" spans="33:36" ht="11.25" customHeight="1" x14ac:dyDescent="0.2">
      <c r="AG5318" s="19"/>
      <c r="AJ5318" s="410"/>
    </row>
    <row r="5319" spans="33:36" ht="11.25" customHeight="1" x14ac:dyDescent="0.2">
      <c r="AG5319" s="19"/>
      <c r="AJ5319" s="410"/>
    </row>
    <row r="5320" spans="33:36" ht="11.25" customHeight="1" x14ac:dyDescent="0.2">
      <c r="AG5320" s="19"/>
      <c r="AJ5320" s="410"/>
    </row>
    <row r="5321" spans="33:36" ht="11.25" customHeight="1" x14ac:dyDescent="0.2">
      <c r="AG5321" s="19"/>
      <c r="AJ5321" s="410"/>
    </row>
    <row r="5322" spans="33:36" ht="11.25" customHeight="1" x14ac:dyDescent="0.2">
      <c r="AG5322" s="19"/>
      <c r="AJ5322" s="410"/>
    </row>
    <row r="5323" spans="33:36" ht="11.25" customHeight="1" x14ac:dyDescent="0.2">
      <c r="AG5323" s="19"/>
      <c r="AJ5323" s="410"/>
    </row>
    <row r="5324" spans="33:36" ht="11.25" customHeight="1" x14ac:dyDescent="0.2">
      <c r="AG5324" s="19"/>
      <c r="AJ5324" s="410"/>
    </row>
    <row r="5325" spans="33:36" ht="11.25" customHeight="1" x14ac:dyDescent="0.2">
      <c r="AG5325" s="19"/>
      <c r="AJ5325" s="410"/>
    </row>
    <row r="5326" spans="33:36" ht="11.25" customHeight="1" x14ac:dyDescent="0.2">
      <c r="AG5326" s="19"/>
      <c r="AJ5326" s="410"/>
    </row>
    <row r="5327" spans="33:36" ht="11.25" customHeight="1" x14ac:dyDescent="0.2">
      <c r="AG5327" s="19"/>
      <c r="AJ5327" s="410"/>
    </row>
    <row r="5328" spans="33:36" ht="11.25" customHeight="1" x14ac:dyDescent="0.2">
      <c r="AG5328" s="19"/>
      <c r="AJ5328" s="410"/>
    </row>
    <row r="5329" spans="33:36" ht="11.25" customHeight="1" x14ac:dyDescent="0.2">
      <c r="AG5329" s="19"/>
      <c r="AJ5329" s="410"/>
    </row>
    <row r="5330" spans="33:36" ht="11.25" customHeight="1" x14ac:dyDescent="0.2">
      <c r="AG5330" s="19"/>
      <c r="AJ5330" s="410"/>
    </row>
    <row r="5331" spans="33:36" ht="11.25" customHeight="1" x14ac:dyDescent="0.2">
      <c r="AG5331" s="19"/>
      <c r="AJ5331" s="410"/>
    </row>
    <row r="5332" spans="33:36" ht="11.25" customHeight="1" x14ac:dyDescent="0.2">
      <c r="AG5332" s="19"/>
      <c r="AJ5332" s="410"/>
    </row>
    <row r="5333" spans="33:36" ht="11.25" customHeight="1" x14ac:dyDescent="0.2">
      <c r="AG5333" s="19"/>
      <c r="AJ5333" s="410"/>
    </row>
    <row r="5334" spans="33:36" ht="11.25" customHeight="1" x14ac:dyDescent="0.2">
      <c r="AG5334" s="19"/>
      <c r="AJ5334" s="410"/>
    </row>
    <row r="5335" spans="33:36" ht="11.25" customHeight="1" x14ac:dyDescent="0.2">
      <c r="AG5335" s="19"/>
      <c r="AJ5335" s="410"/>
    </row>
    <row r="5336" spans="33:36" ht="11.25" customHeight="1" x14ac:dyDescent="0.2">
      <c r="AG5336" s="19"/>
      <c r="AJ5336" s="410"/>
    </row>
    <row r="5337" spans="33:36" ht="11.25" customHeight="1" x14ac:dyDescent="0.2">
      <c r="AG5337" s="19"/>
      <c r="AJ5337" s="410"/>
    </row>
    <row r="5338" spans="33:36" ht="11.25" customHeight="1" x14ac:dyDescent="0.2">
      <c r="AG5338" s="19"/>
      <c r="AJ5338" s="410"/>
    </row>
    <row r="5339" spans="33:36" ht="11.25" customHeight="1" x14ac:dyDescent="0.2">
      <c r="AG5339" s="19"/>
      <c r="AJ5339" s="410"/>
    </row>
    <row r="5340" spans="33:36" ht="11.25" customHeight="1" x14ac:dyDescent="0.2">
      <c r="AG5340" s="19"/>
      <c r="AJ5340" s="410"/>
    </row>
    <row r="5341" spans="33:36" ht="11.25" customHeight="1" x14ac:dyDescent="0.2">
      <c r="AG5341" s="19"/>
      <c r="AJ5341" s="410"/>
    </row>
    <row r="5342" spans="33:36" ht="11.25" customHeight="1" x14ac:dyDescent="0.2">
      <c r="AG5342" s="19"/>
      <c r="AJ5342" s="410"/>
    </row>
    <row r="5343" spans="33:36" ht="11.25" customHeight="1" x14ac:dyDescent="0.2">
      <c r="AG5343" s="19"/>
      <c r="AJ5343" s="410"/>
    </row>
    <row r="5344" spans="33:36" ht="11.25" customHeight="1" x14ac:dyDescent="0.2">
      <c r="AG5344" s="19"/>
      <c r="AJ5344" s="410"/>
    </row>
    <row r="5345" spans="33:36" ht="11.25" customHeight="1" x14ac:dyDescent="0.2">
      <c r="AG5345" s="19"/>
      <c r="AJ5345" s="410"/>
    </row>
    <row r="5346" spans="33:36" ht="11.25" customHeight="1" x14ac:dyDescent="0.2">
      <c r="AG5346" s="19"/>
      <c r="AJ5346" s="410"/>
    </row>
    <row r="5347" spans="33:36" ht="11.25" customHeight="1" x14ac:dyDescent="0.2">
      <c r="AG5347" s="19"/>
      <c r="AJ5347" s="410"/>
    </row>
    <row r="5348" spans="33:36" ht="11.25" customHeight="1" x14ac:dyDescent="0.2">
      <c r="AG5348" s="19"/>
      <c r="AJ5348" s="410"/>
    </row>
    <row r="5349" spans="33:36" ht="11.25" customHeight="1" x14ac:dyDescent="0.2">
      <c r="AG5349" s="19"/>
      <c r="AJ5349" s="410"/>
    </row>
    <row r="5350" spans="33:36" ht="11.25" customHeight="1" x14ac:dyDescent="0.2">
      <c r="AG5350" s="19"/>
      <c r="AJ5350" s="410"/>
    </row>
    <row r="5351" spans="33:36" ht="11.25" customHeight="1" x14ac:dyDescent="0.2">
      <c r="AG5351" s="19"/>
      <c r="AJ5351" s="410"/>
    </row>
    <row r="5352" spans="33:36" ht="11.25" customHeight="1" x14ac:dyDescent="0.2">
      <c r="AG5352" s="19"/>
      <c r="AJ5352" s="410"/>
    </row>
    <row r="5353" spans="33:36" ht="11.25" customHeight="1" x14ac:dyDescent="0.2">
      <c r="AG5353" s="19"/>
      <c r="AJ5353" s="410"/>
    </row>
    <row r="5354" spans="33:36" ht="11.25" customHeight="1" x14ac:dyDescent="0.2">
      <c r="AG5354" s="19"/>
      <c r="AJ5354" s="410"/>
    </row>
    <row r="5355" spans="33:36" ht="11.25" customHeight="1" x14ac:dyDescent="0.2">
      <c r="AG5355" s="19"/>
      <c r="AJ5355" s="410"/>
    </row>
    <row r="5356" spans="33:36" ht="11.25" customHeight="1" x14ac:dyDescent="0.2">
      <c r="AG5356" s="19"/>
      <c r="AJ5356" s="410"/>
    </row>
    <row r="5357" spans="33:36" ht="11.25" customHeight="1" x14ac:dyDescent="0.2">
      <c r="AG5357" s="19"/>
      <c r="AJ5357" s="410"/>
    </row>
    <row r="5358" spans="33:36" ht="11.25" customHeight="1" x14ac:dyDescent="0.2">
      <c r="AG5358" s="19"/>
      <c r="AJ5358" s="410"/>
    </row>
    <row r="5359" spans="33:36" ht="11.25" customHeight="1" x14ac:dyDescent="0.2">
      <c r="AG5359" s="19"/>
      <c r="AJ5359" s="410"/>
    </row>
    <row r="5360" spans="33:36" ht="11.25" customHeight="1" x14ac:dyDescent="0.2">
      <c r="AG5360" s="19"/>
      <c r="AJ5360" s="410"/>
    </row>
    <row r="5361" spans="33:36" ht="11.25" customHeight="1" x14ac:dyDescent="0.2">
      <c r="AG5361" s="19"/>
      <c r="AJ5361" s="410"/>
    </row>
    <row r="5362" spans="33:36" ht="11.25" customHeight="1" x14ac:dyDescent="0.2">
      <c r="AG5362" s="19"/>
      <c r="AJ5362" s="410"/>
    </row>
    <row r="5363" spans="33:36" ht="11.25" customHeight="1" x14ac:dyDescent="0.2">
      <c r="AG5363" s="19"/>
      <c r="AJ5363" s="410"/>
    </row>
    <row r="5364" spans="33:36" ht="11.25" customHeight="1" x14ac:dyDescent="0.2">
      <c r="AG5364" s="19"/>
      <c r="AJ5364" s="410"/>
    </row>
    <row r="5365" spans="33:36" ht="11.25" customHeight="1" x14ac:dyDescent="0.2">
      <c r="AG5365" s="19"/>
      <c r="AJ5365" s="410"/>
    </row>
    <row r="5366" spans="33:36" ht="11.25" customHeight="1" x14ac:dyDescent="0.2">
      <c r="AG5366" s="19"/>
      <c r="AJ5366" s="410"/>
    </row>
    <row r="5367" spans="33:36" ht="11.25" customHeight="1" x14ac:dyDescent="0.2">
      <c r="AG5367" s="19"/>
      <c r="AJ5367" s="410"/>
    </row>
    <row r="5368" spans="33:36" ht="11.25" customHeight="1" x14ac:dyDescent="0.2">
      <c r="AG5368" s="19"/>
      <c r="AJ5368" s="410"/>
    </row>
    <row r="5369" spans="33:36" ht="11.25" customHeight="1" x14ac:dyDescent="0.2">
      <c r="AG5369" s="19"/>
      <c r="AJ5369" s="410"/>
    </row>
    <row r="5370" spans="33:36" ht="11.25" customHeight="1" x14ac:dyDescent="0.2">
      <c r="AG5370" s="19"/>
      <c r="AJ5370" s="410"/>
    </row>
    <row r="5371" spans="33:36" ht="11.25" customHeight="1" x14ac:dyDescent="0.2">
      <c r="AG5371" s="19"/>
      <c r="AJ5371" s="410"/>
    </row>
    <row r="5372" spans="33:36" ht="11.25" customHeight="1" x14ac:dyDescent="0.2">
      <c r="AG5372" s="19"/>
      <c r="AJ5372" s="410"/>
    </row>
    <row r="5373" spans="33:36" ht="11.25" customHeight="1" x14ac:dyDescent="0.2">
      <c r="AG5373" s="19"/>
      <c r="AJ5373" s="410"/>
    </row>
    <row r="5374" spans="33:36" ht="11.25" customHeight="1" x14ac:dyDescent="0.2">
      <c r="AG5374" s="19"/>
      <c r="AJ5374" s="410"/>
    </row>
    <row r="5375" spans="33:36" ht="11.25" customHeight="1" x14ac:dyDescent="0.2">
      <c r="AG5375" s="19"/>
      <c r="AJ5375" s="410"/>
    </row>
    <row r="5376" spans="33:36" ht="11.25" customHeight="1" x14ac:dyDescent="0.2">
      <c r="AG5376" s="19"/>
      <c r="AJ5376" s="410"/>
    </row>
    <row r="5377" spans="33:36" ht="11.25" customHeight="1" x14ac:dyDescent="0.2">
      <c r="AG5377" s="19"/>
      <c r="AJ5377" s="410"/>
    </row>
    <row r="5378" spans="33:36" ht="11.25" customHeight="1" x14ac:dyDescent="0.2">
      <c r="AG5378" s="19"/>
      <c r="AJ5378" s="410"/>
    </row>
    <row r="5379" spans="33:36" ht="11.25" customHeight="1" x14ac:dyDescent="0.2">
      <c r="AG5379" s="19"/>
      <c r="AJ5379" s="410"/>
    </row>
    <row r="5380" spans="33:36" ht="11.25" customHeight="1" x14ac:dyDescent="0.2">
      <c r="AG5380" s="19"/>
      <c r="AJ5380" s="410"/>
    </row>
    <row r="5381" spans="33:36" ht="11.25" customHeight="1" x14ac:dyDescent="0.2">
      <c r="AG5381" s="19"/>
      <c r="AJ5381" s="410"/>
    </row>
    <row r="5382" spans="33:36" ht="11.25" customHeight="1" x14ac:dyDescent="0.2">
      <c r="AG5382" s="19"/>
      <c r="AJ5382" s="410"/>
    </row>
    <row r="5383" spans="33:36" ht="11.25" customHeight="1" x14ac:dyDescent="0.2">
      <c r="AG5383" s="19"/>
      <c r="AJ5383" s="410"/>
    </row>
    <row r="5384" spans="33:36" ht="11.25" customHeight="1" x14ac:dyDescent="0.2">
      <c r="AG5384" s="19"/>
      <c r="AJ5384" s="410"/>
    </row>
    <row r="5385" spans="33:36" ht="11.25" customHeight="1" x14ac:dyDescent="0.2">
      <c r="AG5385" s="19"/>
      <c r="AJ5385" s="410"/>
    </row>
    <row r="5386" spans="33:36" ht="11.25" customHeight="1" x14ac:dyDescent="0.2">
      <c r="AG5386" s="19"/>
      <c r="AJ5386" s="410"/>
    </row>
    <row r="5387" spans="33:36" ht="11.25" customHeight="1" x14ac:dyDescent="0.2">
      <c r="AG5387" s="19"/>
      <c r="AJ5387" s="410"/>
    </row>
    <row r="5388" spans="33:36" ht="11.25" customHeight="1" x14ac:dyDescent="0.2">
      <c r="AG5388" s="19"/>
      <c r="AJ5388" s="410"/>
    </row>
    <row r="5389" spans="33:36" ht="11.25" customHeight="1" x14ac:dyDescent="0.2">
      <c r="AG5389" s="19"/>
      <c r="AJ5389" s="410"/>
    </row>
    <row r="5390" spans="33:36" ht="11.25" customHeight="1" x14ac:dyDescent="0.2">
      <c r="AG5390" s="19"/>
      <c r="AJ5390" s="410"/>
    </row>
    <row r="5391" spans="33:36" ht="11.25" customHeight="1" x14ac:dyDescent="0.2">
      <c r="AG5391" s="19"/>
      <c r="AJ5391" s="410"/>
    </row>
    <row r="5392" spans="33:36" ht="11.25" customHeight="1" x14ac:dyDescent="0.2">
      <c r="AG5392" s="19"/>
      <c r="AJ5392" s="410"/>
    </row>
    <row r="5393" spans="33:36" ht="11.25" customHeight="1" x14ac:dyDescent="0.2">
      <c r="AG5393" s="19"/>
      <c r="AJ5393" s="410"/>
    </row>
    <row r="5394" spans="33:36" ht="11.25" customHeight="1" x14ac:dyDescent="0.2">
      <c r="AG5394" s="19"/>
      <c r="AJ5394" s="410"/>
    </row>
    <row r="5395" spans="33:36" ht="11.25" customHeight="1" x14ac:dyDescent="0.2">
      <c r="AG5395" s="19"/>
      <c r="AJ5395" s="410"/>
    </row>
    <row r="5396" spans="33:36" ht="11.25" customHeight="1" x14ac:dyDescent="0.2">
      <c r="AG5396" s="19"/>
      <c r="AJ5396" s="410"/>
    </row>
    <row r="5397" spans="33:36" ht="11.25" customHeight="1" x14ac:dyDescent="0.2">
      <c r="AG5397" s="19"/>
      <c r="AJ5397" s="410"/>
    </row>
    <row r="5398" spans="33:36" ht="11.25" customHeight="1" x14ac:dyDescent="0.2">
      <c r="AG5398" s="19"/>
      <c r="AJ5398" s="410"/>
    </row>
    <row r="5399" spans="33:36" ht="11.25" customHeight="1" x14ac:dyDescent="0.2">
      <c r="AG5399" s="19"/>
      <c r="AJ5399" s="410"/>
    </row>
    <row r="5400" spans="33:36" ht="11.25" customHeight="1" x14ac:dyDescent="0.2">
      <c r="AG5400" s="19"/>
      <c r="AJ5400" s="410"/>
    </row>
    <row r="5401" spans="33:36" ht="11.25" customHeight="1" x14ac:dyDescent="0.2">
      <c r="AG5401" s="19"/>
      <c r="AJ5401" s="410"/>
    </row>
    <row r="5402" spans="33:36" ht="11.25" customHeight="1" x14ac:dyDescent="0.2">
      <c r="AG5402" s="19"/>
      <c r="AJ5402" s="410"/>
    </row>
    <row r="5403" spans="33:36" ht="11.25" customHeight="1" x14ac:dyDescent="0.2">
      <c r="AG5403" s="19"/>
      <c r="AJ5403" s="410"/>
    </row>
    <row r="5404" spans="33:36" ht="11.25" customHeight="1" x14ac:dyDescent="0.2">
      <c r="AG5404" s="19"/>
      <c r="AJ5404" s="410"/>
    </row>
    <row r="5405" spans="33:36" ht="11.25" customHeight="1" x14ac:dyDescent="0.2">
      <c r="AG5405" s="19"/>
      <c r="AJ5405" s="410"/>
    </row>
    <row r="5406" spans="33:36" ht="11.25" customHeight="1" x14ac:dyDescent="0.2">
      <c r="AG5406" s="19"/>
      <c r="AJ5406" s="410"/>
    </row>
    <row r="5407" spans="33:36" ht="11.25" customHeight="1" x14ac:dyDescent="0.2">
      <c r="AG5407" s="19"/>
      <c r="AJ5407" s="410"/>
    </row>
    <row r="5408" spans="33:36" ht="11.25" customHeight="1" x14ac:dyDescent="0.2">
      <c r="AG5408" s="19"/>
      <c r="AJ5408" s="410"/>
    </row>
    <row r="5409" spans="33:36" ht="11.25" customHeight="1" x14ac:dyDescent="0.2">
      <c r="AG5409" s="19"/>
      <c r="AJ5409" s="410"/>
    </row>
    <row r="5410" spans="33:36" ht="11.25" customHeight="1" x14ac:dyDescent="0.2">
      <c r="AG5410" s="19"/>
      <c r="AJ5410" s="410"/>
    </row>
    <row r="5411" spans="33:36" ht="11.25" customHeight="1" x14ac:dyDescent="0.2">
      <c r="AG5411" s="19"/>
      <c r="AJ5411" s="410"/>
    </row>
    <row r="5412" spans="33:36" ht="11.25" customHeight="1" x14ac:dyDescent="0.2">
      <c r="AG5412" s="19"/>
      <c r="AJ5412" s="410"/>
    </row>
    <row r="5413" spans="33:36" ht="11.25" customHeight="1" x14ac:dyDescent="0.2">
      <c r="AG5413" s="19"/>
      <c r="AJ5413" s="410"/>
    </row>
    <row r="5414" spans="33:36" ht="11.25" customHeight="1" x14ac:dyDescent="0.2">
      <c r="AG5414" s="19"/>
      <c r="AJ5414" s="410"/>
    </row>
    <row r="5415" spans="33:36" ht="11.25" customHeight="1" x14ac:dyDescent="0.2">
      <c r="AG5415" s="19"/>
      <c r="AJ5415" s="410"/>
    </row>
    <row r="5416" spans="33:36" ht="11.25" customHeight="1" x14ac:dyDescent="0.2">
      <c r="AG5416" s="19"/>
      <c r="AJ5416" s="410"/>
    </row>
    <row r="5417" spans="33:36" ht="11.25" customHeight="1" x14ac:dyDescent="0.2">
      <c r="AG5417" s="19"/>
      <c r="AJ5417" s="410"/>
    </row>
    <row r="5418" spans="33:36" ht="11.25" customHeight="1" x14ac:dyDescent="0.2">
      <c r="AG5418" s="19"/>
      <c r="AJ5418" s="410"/>
    </row>
    <row r="5419" spans="33:36" ht="11.25" customHeight="1" x14ac:dyDescent="0.2">
      <c r="AG5419" s="19"/>
      <c r="AJ5419" s="410"/>
    </row>
    <row r="5420" spans="33:36" ht="11.25" customHeight="1" x14ac:dyDescent="0.2">
      <c r="AG5420" s="19"/>
      <c r="AJ5420" s="410"/>
    </row>
    <row r="5421" spans="33:36" ht="11.25" customHeight="1" x14ac:dyDescent="0.2">
      <c r="AG5421" s="19"/>
      <c r="AJ5421" s="410"/>
    </row>
    <row r="5422" spans="33:36" ht="11.25" customHeight="1" x14ac:dyDescent="0.2">
      <c r="AG5422" s="19"/>
      <c r="AJ5422" s="410"/>
    </row>
    <row r="5423" spans="33:36" ht="11.25" customHeight="1" x14ac:dyDescent="0.2">
      <c r="AG5423" s="19"/>
      <c r="AJ5423" s="410"/>
    </row>
    <row r="5424" spans="33:36" ht="11.25" customHeight="1" x14ac:dyDescent="0.2">
      <c r="AG5424" s="19"/>
      <c r="AJ5424" s="410"/>
    </row>
    <row r="5425" spans="33:36" ht="11.25" customHeight="1" x14ac:dyDescent="0.2">
      <c r="AG5425" s="19"/>
      <c r="AJ5425" s="410"/>
    </row>
    <row r="5426" spans="33:36" ht="11.25" customHeight="1" x14ac:dyDescent="0.2">
      <c r="AG5426" s="19"/>
      <c r="AJ5426" s="410"/>
    </row>
    <row r="5427" spans="33:36" ht="11.25" customHeight="1" x14ac:dyDescent="0.2">
      <c r="AG5427" s="19"/>
      <c r="AJ5427" s="410"/>
    </row>
    <row r="5428" spans="33:36" ht="11.25" customHeight="1" x14ac:dyDescent="0.2">
      <c r="AG5428" s="19"/>
      <c r="AJ5428" s="410"/>
    </row>
    <row r="5429" spans="33:36" ht="11.25" customHeight="1" x14ac:dyDescent="0.2">
      <c r="AG5429" s="19"/>
      <c r="AJ5429" s="410"/>
    </row>
    <row r="5430" spans="33:36" ht="11.25" customHeight="1" x14ac:dyDescent="0.2">
      <c r="AG5430" s="19"/>
      <c r="AJ5430" s="410"/>
    </row>
    <row r="5431" spans="33:36" ht="11.25" customHeight="1" x14ac:dyDescent="0.2">
      <c r="AG5431" s="19"/>
      <c r="AJ5431" s="410"/>
    </row>
    <row r="5432" spans="33:36" ht="11.25" customHeight="1" x14ac:dyDescent="0.2">
      <c r="AG5432" s="19"/>
      <c r="AJ5432" s="410"/>
    </row>
    <row r="5433" spans="33:36" ht="11.25" customHeight="1" x14ac:dyDescent="0.2">
      <c r="AG5433" s="19"/>
      <c r="AJ5433" s="410"/>
    </row>
    <row r="5434" spans="33:36" ht="11.25" customHeight="1" x14ac:dyDescent="0.2">
      <c r="AG5434" s="19"/>
      <c r="AJ5434" s="410"/>
    </row>
    <row r="5435" spans="33:36" ht="11.25" customHeight="1" x14ac:dyDescent="0.2">
      <c r="AG5435" s="19"/>
      <c r="AJ5435" s="410"/>
    </row>
    <row r="5436" spans="33:36" ht="11.25" customHeight="1" x14ac:dyDescent="0.2">
      <c r="AG5436" s="19"/>
      <c r="AJ5436" s="410"/>
    </row>
    <row r="5437" spans="33:36" ht="11.25" customHeight="1" x14ac:dyDescent="0.2">
      <c r="AG5437" s="19"/>
      <c r="AJ5437" s="410"/>
    </row>
    <row r="5438" spans="33:36" ht="11.25" customHeight="1" x14ac:dyDescent="0.2">
      <c r="AG5438" s="19"/>
      <c r="AJ5438" s="410"/>
    </row>
    <row r="5439" spans="33:36" ht="11.25" customHeight="1" x14ac:dyDescent="0.2">
      <c r="AG5439" s="19"/>
      <c r="AJ5439" s="410"/>
    </row>
    <row r="5440" spans="33:36" ht="11.25" customHeight="1" x14ac:dyDescent="0.2">
      <c r="AG5440" s="19"/>
      <c r="AJ5440" s="410"/>
    </row>
    <row r="5441" spans="33:36" ht="11.25" customHeight="1" x14ac:dyDescent="0.2">
      <c r="AG5441" s="19"/>
      <c r="AJ5441" s="410"/>
    </row>
    <row r="5442" spans="33:36" ht="11.25" customHeight="1" x14ac:dyDescent="0.2">
      <c r="AG5442" s="19"/>
      <c r="AJ5442" s="410"/>
    </row>
    <row r="5443" spans="33:36" ht="11.25" customHeight="1" x14ac:dyDescent="0.2">
      <c r="AG5443" s="19"/>
      <c r="AJ5443" s="410"/>
    </row>
    <row r="5444" spans="33:36" ht="11.25" customHeight="1" x14ac:dyDescent="0.2">
      <c r="AG5444" s="19"/>
      <c r="AJ5444" s="410"/>
    </row>
    <row r="5445" spans="33:36" ht="11.25" customHeight="1" x14ac:dyDescent="0.2">
      <c r="AG5445" s="19"/>
      <c r="AJ5445" s="410"/>
    </row>
    <row r="5446" spans="33:36" ht="11.25" customHeight="1" x14ac:dyDescent="0.2">
      <c r="AG5446" s="19"/>
      <c r="AJ5446" s="410"/>
    </row>
    <row r="5447" spans="33:36" ht="11.25" customHeight="1" x14ac:dyDescent="0.2">
      <c r="AG5447" s="19"/>
      <c r="AJ5447" s="410"/>
    </row>
    <row r="5448" spans="33:36" ht="11.25" customHeight="1" x14ac:dyDescent="0.2">
      <c r="AG5448" s="19"/>
      <c r="AJ5448" s="410"/>
    </row>
    <row r="5449" spans="33:36" ht="11.25" customHeight="1" x14ac:dyDescent="0.2">
      <c r="AG5449" s="19"/>
      <c r="AJ5449" s="410"/>
    </row>
    <row r="5450" spans="33:36" ht="11.25" customHeight="1" x14ac:dyDescent="0.2">
      <c r="AG5450" s="19"/>
      <c r="AJ5450" s="410"/>
    </row>
    <row r="5451" spans="33:36" ht="11.25" customHeight="1" x14ac:dyDescent="0.2">
      <c r="AG5451" s="19"/>
      <c r="AJ5451" s="410"/>
    </row>
    <row r="5452" spans="33:36" ht="11.25" customHeight="1" x14ac:dyDescent="0.2">
      <c r="AG5452" s="19"/>
      <c r="AJ5452" s="410"/>
    </row>
    <row r="5453" spans="33:36" ht="11.25" customHeight="1" x14ac:dyDescent="0.2">
      <c r="AG5453" s="19"/>
      <c r="AJ5453" s="410"/>
    </row>
    <row r="5454" spans="33:36" ht="11.25" customHeight="1" x14ac:dyDescent="0.2">
      <c r="AG5454" s="19"/>
      <c r="AJ5454" s="410"/>
    </row>
    <row r="5455" spans="33:36" ht="11.25" customHeight="1" x14ac:dyDescent="0.2">
      <c r="AG5455" s="19"/>
      <c r="AJ5455" s="410"/>
    </row>
    <row r="5456" spans="33:36" ht="11.25" customHeight="1" x14ac:dyDescent="0.2">
      <c r="AG5456" s="19"/>
      <c r="AJ5456" s="410"/>
    </row>
    <row r="5457" spans="33:36" ht="11.25" customHeight="1" x14ac:dyDescent="0.2">
      <c r="AG5457" s="19"/>
      <c r="AJ5457" s="410"/>
    </row>
    <row r="5458" spans="33:36" ht="11.25" customHeight="1" x14ac:dyDescent="0.2">
      <c r="AG5458" s="19"/>
      <c r="AJ5458" s="410"/>
    </row>
    <row r="5459" spans="33:36" ht="11.25" customHeight="1" x14ac:dyDescent="0.2">
      <c r="AG5459" s="19"/>
      <c r="AJ5459" s="410"/>
    </row>
    <row r="5460" spans="33:36" ht="11.25" customHeight="1" x14ac:dyDescent="0.2">
      <c r="AG5460" s="19"/>
      <c r="AJ5460" s="410"/>
    </row>
    <row r="5461" spans="33:36" ht="11.25" customHeight="1" x14ac:dyDescent="0.2">
      <c r="AG5461" s="19"/>
      <c r="AJ5461" s="410"/>
    </row>
    <row r="5462" spans="33:36" ht="11.25" customHeight="1" x14ac:dyDescent="0.2">
      <c r="AG5462" s="19"/>
      <c r="AJ5462" s="410"/>
    </row>
    <row r="5463" spans="33:36" ht="11.25" customHeight="1" x14ac:dyDescent="0.2">
      <c r="AG5463" s="19"/>
      <c r="AJ5463" s="410"/>
    </row>
    <row r="5464" spans="33:36" ht="11.25" customHeight="1" x14ac:dyDescent="0.2">
      <c r="AG5464" s="19"/>
      <c r="AJ5464" s="410"/>
    </row>
    <row r="5465" spans="33:36" ht="11.25" customHeight="1" x14ac:dyDescent="0.2">
      <c r="AG5465" s="19"/>
      <c r="AJ5465" s="410"/>
    </row>
    <row r="5466" spans="33:36" ht="11.25" customHeight="1" x14ac:dyDescent="0.2">
      <c r="AG5466" s="19"/>
      <c r="AJ5466" s="410"/>
    </row>
    <row r="5467" spans="33:36" ht="11.25" customHeight="1" x14ac:dyDescent="0.2">
      <c r="AG5467" s="19"/>
      <c r="AJ5467" s="410"/>
    </row>
    <row r="5468" spans="33:36" ht="11.25" customHeight="1" x14ac:dyDescent="0.2">
      <c r="AG5468" s="19"/>
      <c r="AJ5468" s="410"/>
    </row>
    <row r="5469" spans="33:36" ht="11.25" customHeight="1" x14ac:dyDescent="0.2">
      <c r="AG5469" s="19"/>
      <c r="AJ5469" s="410"/>
    </row>
    <row r="5470" spans="33:36" ht="11.25" customHeight="1" x14ac:dyDescent="0.2">
      <c r="AG5470" s="19"/>
      <c r="AJ5470" s="410"/>
    </row>
    <row r="5471" spans="33:36" ht="11.25" customHeight="1" x14ac:dyDescent="0.2">
      <c r="AG5471" s="19"/>
      <c r="AJ5471" s="410"/>
    </row>
    <row r="5472" spans="33:36" ht="11.25" customHeight="1" x14ac:dyDescent="0.2">
      <c r="AG5472" s="19"/>
      <c r="AJ5472" s="410"/>
    </row>
    <row r="5473" spans="33:36" ht="11.25" customHeight="1" x14ac:dyDescent="0.2">
      <c r="AG5473" s="19"/>
      <c r="AJ5473" s="410"/>
    </row>
    <row r="5474" spans="33:36" ht="11.25" customHeight="1" x14ac:dyDescent="0.2">
      <c r="AG5474" s="19"/>
      <c r="AJ5474" s="410"/>
    </row>
    <row r="5475" spans="33:36" ht="11.25" customHeight="1" x14ac:dyDescent="0.2">
      <c r="AG5475" s="19"/>
      <c r="AJ5475" s="410"/>
    </row>
    <row r="5476" spans="33:36" ht="11.25" customHeight="1" x14ac:dyDescent="0.2">
      <c r="AG5476" s="19"/>
      <c r="AJ5476" s="410"/>
    </row>
    <row r="5477" spans="33:36" ht="11.25" customHeight="1" x14ac:dyDescent="0.2">
      <c r="AG5477" s="19"/>
      <c r="AJ5477" s="410"/>
    </row>
    <row r="5478" spans="33:36" ht="11.25" customHeight="1" x14ac:dyDescent="0.2">
      <c r="AG5478" s="19"/>
      <c r="AJ5478" s="410"/>
    </row>
    <row r="5479" spans="33:36" ht="11.25" customHeight="1" x14ac:dyDescent="0.2">
      <c r="AG5479" s="19"/>
      <c r="AJ5479" s="410"/>
    </row>
    <row r="5480" spans="33:36" ht="11.25" customHeight="1" x14ac:dyDescent="0.2">
      <c r="AG5480" s="19"/>
      <c r="AJ5480" s="410"/>
    </row>
    <row r="5481" spans="33:36" ht="11.25" customHeight="1" x14ac:dyDescent="0.2">
      <c r="AG5481" s="19"/>
      <c r="AJ5481" s="410"/>
    </row>
    <row r="5482" spans="33:36" ht="11.25" customHeight="1" x14ac:dyDescent="0.2">
      <c r="AG5482" s="19"/>
      <c r="AJ5482" s="410"/>
    </row>
    <row r="5483" spans="33:36" ht="11.25" customHeight="1" x14ac:dyDescent="0.2">
      <c r="AG5483" s="19"/>
      <c r="AJ5483" s="410"/>
    </row>
    <row r="5484" spans="33:36" ht="11.25" customHeight="1" x14ac:dyDescent="0.2">
      <c r="AG5484" s="19"/>
      <c r="AJ5484" s="410"/>
    </row>
    <row r="5485" spans="33:36" ht="11.25" customHeight="1" x14ac:dyDescent="0.2">
      <c r="AG5485" s="19"/>
      <c r="AJ5485" s="410"/>
    </row>
    <row r="5486" spans="33:36" ht="11.25" customHeight="1" x14ac:dyDescent="0.2">
      <c r="AG5486" s="19"/>
      <c r="AJ5486" s="410"/>
    </row>
    <row r="5487" spans="33:36" ht="11.25" customHeight="1" x14ac:dyDescent="0.2">
      <c r="AG5487" s="19"/>
      <c r="AJ5487" s="410"/>
    </row>
    <row r="5488" spans="33:36" ht="11.25" customHeight="1" x14ac:dyDescent="0.2">
      <c r="AG5488" s="19"/>
      <c r="AJ5488" s="410"/>
    </row>
    <row r="5489" spans="33:36" ht="11.25" customHeight="1" x14ac:dyDescent="0.2">
      <c r="AG5489" s="19"/>
      <c r="AJ5489" s="410"/>
    </row>
    <row r="5490" spans="33:36" ht="11.25" customHeight="1" x14ac:dyDescent="0.2">
      <c r="AG5490" s="19"/>
      <c r="AJ5490" s="410"/>
    </row>
    <row r="5491" spans="33:36" ht="11.25" customHeight="1" x14ac:dyDescent="0.2">
      <c r="AG5491" s="19"/>
      <c r="AJ5491" s="410"/>
    </row>
    <row r="5492" spans="33:36" ht="11.25" customHeight="1" x14ac:dyDescent="0.2">
      <c r="AG5492" s="19"/>
      <c r="AJ5492" s="410"/>
    </row>
    <row r="5493" spans="33:36" ht="11.25" customHeight="1" x14ac:dyDescent="0.2">
      <c r="AG5493" s="19"/>
      <c r="AJ5493" s="410"/>
    </row>
    <row r="5494" spans="33:36" ht="11.25" customHeight="1" x14ac:dyDescent="0.2">
      <c r="AG5494" s="19"/>
      <c r="AJ5494" s="410"/>
    </row>
    <row r="5495" spans="33:36" ht="11.25" customHeight="1" x14ac:dyDescent="0.2">
      <c r="AG5495" s="19"/>
      <c r="AJ5495" s="410"/>
    </row>
    <row r="5496" spans="33:36" ht="11.25" customHeight="1" x14ac:dyDescent="0.2">
      <c r="AG5496" s="19"/>
      <c r="AJ5496" s="410"/>
    </row>
    <row r="5497" spans="33:36" ht="11.25" customHeight="1" x14ac:dyDescent="0.2">
      <c r="AG5497" s="19"/>
      <c r="AJ5497" s="410"/>
    </row>
    <row r="5498" spans="33:36" ht="11.25" customHeight="1" x14ac:dyDescent="0.2">
      <c r="AG5498" s="19"/>
      <c r="AJ5498" s="410"/>
    </row>
    <row r="5499" spans="33:36" ht="11.25" customHeight="1" x14ac:dyDescent="0.2">
      <c r="AG5499" s="19"/>
      <c r="AJ5499" s="410"/>
    </row>
    <row r="5500" spans="33:36" ht="11.25" customHeight="1" x14ac:dyDescent="0.2">
      <c r="AG5500" s="19"/>
      <c r="AJ5500" s="410"/>
    </row>
    <row r="5501" spans="33:36" ht="11.25" customHeight="1" x14ac:dyDescent="0.2">
      <c r="AG5501" s="19"/>
      <c r="AJ5501" s="410"/>
    </row>
    <row r="5502" spans="33:36" ht="11.25" customHeight="1" x14ac:dyDescent="0.2">
      <c r="AG5502" s="19"/>
      <c r="AJ5502" s="410"/>
    </row>
    <row r="5503" spans="33:36" ht="11.25" customHeight="1" x14ac:dyDescent="0.2">
      <c r="AG5503" s="19"/>
      <c r="AJ5503" s="410"/>
    </row>
    <row r="5504" spans="33:36" ht="11.25" customHeight="1" x14ac:dyDescent="0.2">
      <c r="AG5504" s="19"/>
      <c r="AJ5504" s="410"/>
    </row>
    <row r="5505" spans="33:36" ht="11.25" customHeight="1" x14ac:dyDescent="0.2">
      <c r="AG5505" s="19"/>
      <c r="AJ5505" s="410"/>
    </row>
    <row r="5506" spans="33:36" ht="11.25" customHeight="1" x14ac:dyDescent="0.2">
      <c r="AG5506" s="19"/>
      <c r="AJ5506" s="410"/>
    </row>
    <row r="5507" spans="33:36" ht="11.25" customHeight="1" x14ac:dyDescent="0.2">
      <c r="AG5507" s="19"/>
      <c r="AJ5507" s="410"/>
    </row>
    <row r="5508" spans="33:36" ht="11.25" customHeight="1" x14ac:dyDescent="0.2">
      <c r="AG5508" s="19"/>
      <c r="AJ5508" s="410"/>
    </row>
    <row r="5509" spans="33:36" ht="11.25" customHeight="1" x14ac:dyDescent="0.2">
      <c r="AG5509" s="19"/>
      <c r="AJ5509" s="410"/>
    </row>
    <row r="5510" spans="33:36" ht="11.25" customHeight="1" x14ac:dyDescent="0.2">
      <c r="AG5510" s="19"/>
      <c r="AJ5510" s="410"/>
    </row>
    <row r="5511" spans="33:36" ht="11.25" customHeight="1" x14ac:dyDescent="0.2">
      <c r="AG5511" s="19"/>
      <c r="AJ5511" s="410"/>
    </row>
    <row r="5512" spans="33:36" ht="11.25" customHeight="1" x14ac:dyDescent="0.2">
      <c r="AG5512" s="19"/>
      <c r="AJ5512" s="410"/>
    </row>
    <row r="5513" spans="33:36" ht="11.25" customHeight="1" x14ac:dyDescent="0.2">
      <c r="AG5513" s="19"/>
      <c r="AJ5513" s="410"/>
    </row>
    <row r="5514" spans="33:36" ht="11.25" customHeight="1" x14ac:dyDescent="0.2">
      <c r="AG5514" s="19"/>
      <c r="AJ5514" s="410"/>
    </row>
    <row r="5515" spans="33:36" ht="11.25" customHeight="1" x14ac:dyDescent="0.2">
      <c r="AG5515" s="19"/>
      <c r="AJ5515" s="410"/>
    </row>
    <row r="5516" spans="33:36" ht="11.25" customHeight="1" x14ac:dyDescent="0.2">
      <c r="AG5516" s="19"/>
      <c r="AJ5516" s="410"/>
    </row>
    <row r="5517" spans="33:36" ht="11.25" customHeight="1" x14ac:dyDescent="0.2">
      <c r="AG5517" s="19"/>
      <c r="AJ5517" s="410"/>
    </row>
    <row r="5518" spans="33:36" ht="11.25" customHeight="1" x14ac:dyDescent="0.2">
      <c r="AG5518" s="19"/>
      <c r="AJ5518" s="410"/>
    </row>
    <row r="5519" spans="33:36" ht="11.25" customHeight="1" x14ac:dyDescent="0.2">
      <c r="AG5519" s="19"/>
      <c r="AJ5519" s="410"/>
    </row>
    <row r="5520" spans="33:36" ht="11.25" customHeight="1" x14ac:dyDescent="0.2">
      <c r="AG5520" s="19"/>
      <c r="AJ5520" s="410"/>
    </row>
    <row r="5521" spans="33:36" ht="11.25" customHeight="1" x14ac:dyDescent="0.2">
      <c r="AG5521" s="19"/>
      <c r="AJ5521" s="410"/>
    </row>
    <row r="5522" spans="33:36" ht="11.25" customHeight="1" x14ac:dyDescent="0.2">
      <c r="AG5522" s="19"/>
      <c r="AJ5522" s="410"/>
    </row>
    <row r="5523" spans="33:36" ht="11.25" customHeight="1" x14ac:dyDescent="0.2">
      <c r="AG5523" s="19"/>
      <c r="AJ5523" s="410"/>
    </row>
    <row r="5524" spans="33:36" ht="11.25" customHeight="1" x14ac:dyDescent="0.2">
      <c r="AG5524" s="19"/>
      <c r="AJ5524" s="410"/>
    </row>
    <row r="5525" spans="33:36" ht="11.25" customHeight="1" x14ac:dyDescent="0.2">
      <c r="AG5525" s="19"/>
      <c r="AJ5525" s="410"/>
    </row>
    <row r="5526" spans="33:36" ht="11.25" customHeight="1" x14ac:dyDescent="0.2">
      <c r="AG5526" s="19"/>
      <c r="AJ5526" s="410"/>
    </row>
    <row r="5527" spans="33:36" ht="11.25" customHeight="1" x14ac:dyDescent="0.2">
      <c r="AG5527" s="19"/>
      <c r="AJ5527" s="410"/>
    </row>
    <row r="5528" spans="33:36" ht="11.25" customHeight="1" x14ac:dyDescent="0.2">
      <c r="AG5528" s="19"/>
      <c r="AJ5528" s="410"/>
    </row>
    <row r="5529" spans="33:36" ht="11.25" customHeight="1" x14ac:dyDescent="0.2">
      <c r="AG5529" s="19"/>
      <c r="AJ5529" s="410"/>
    </row>
    <row r="5530" spans="33:36" ht="11.25" customHeight="1" x14ac:dyDescent="0.2">
      <c r="AG5530" s="19"/>
      <c r="AJ5530" s="410"/>
    </row>
    <row r="5531" spans="33:36" ht="11.25" customHeight="1" x14ac:dyDescent="0.2">
      <c r="AG5531" s="19"/>
      <c r="AJ5531" s="410"/>
    </row>
    <row r="5532" spans="33:36" ht="11.25" customHeight="1" x14ac:dyDescent="0.2">
      <c r="AG5532" s="19"/>
      <c r="AJ5532" s="410"/>
    </row>
    <row r="5533" spans="33:36" ht="11.25" customHeight="1" x14ac:dyDescent="0.2">
      <c r="AG5533" s="19"/>
      <c r="AJ5533" s="410"/>
    </row>
    <row r="5534" spans="33:36" ht="11.25" customHeight="1" x14ac:dyDescent="0.2">
      <c r="AG5534" s="19"/>
      <c r="AJ5534" s="410"/>
    </row>
    <row r="5535" spans="33:36" ht="11.25" customHeight="1" x14ac:dyDescent="0.2">
      <c r="AG5535" s="19"/>
      <c r="AJ5535" s="410"/>
    </row>
    <row r="5536" spans="33:36" ht="11.25" customHeight="1" x14ac:dyDescent="0.2">
      <c r="AG5536" s="19"/>
      <c r="AJ5536" s="410"/>
    </row>
    <row r="5537" spans="33:36" ht="11.25" customHeight="1" x14ac:dyDescent="0.2">
      <c r="AG5537" s="19"/>
      <c r="AJ5537" s="410"/>
    </row>
    <row r="5538" spans="33:36" ht="11.25" customHeight="1" x14ac:dyDescent="0.2">
      <c r="AG5538" s="19"/>
      <c r="AJ5538" s="410"/>
    </row>
    <row r="5539" spans="33:36" ht="11.25" customHeight="1" x14ac:dyDescent="0.2">
      <c r="AG5539" s="19"/>
      <c r="AJ5539" s="410"/>
    </row>
    <row r="5540" spans="33:36" ht="11.25" customHeight="1" x14ac:dyDescent="0.2">
      <c r="AG5540" s="19"/>
      <c r="AJ5540" s="410"/>
    </row>
    <row r="5541" spans="33:36" ht="11.25" customHeight="1" x14ac:dyDescent="0.2">
      <c r="AG5541" s="19"/>
      <c r="AJ5541" s="410"/>
    </row>
    <row r="5542" spans="33:36" ht="11.25" customHeight="1" x14ac:dyDescent="0.2">
      <c r="AG5542" s="19"/>
      <c r="AJ5542" s="410"/>
    </row>
    <row r="5543" spans="33:36" ht="11.25" customHeight="1" x14ac:dyDescent="0.2">
      <c r="AG5543" s="19"/>
      <c r="AJ5543" s="410"/>
    </row>
    <row r="5544" spans="33:36" ht="11.25" customHeight="1" x14ac:dyDescent="0.2">
      <c r="AG5544" s="19"/>
      <c r="AJ5544" s="410"/>
    </row>
    <row r="5545" spans="33:36" ht="11.25" customHeight="1" x14ac:dyDescent="0.2">
      <c r="AG5545" s="19"/>
      <c r="AJ5545" s="410"/>
    </row>
    <row r="5546" spans="33:36" ht="11.25" customHeight="1" x14ac:dyDescent="0.2">
      <c r="AG5546" s="19"/>
      <c r="AJ5546" s="410"/>
    </row>
    <row r="5547" spans="33:36" ht="11.25" customHeight="1" x14ac:dyDescent="0.2">
      <c r="AG5547" s="19"/>
      <c r="AJ5547" s="410"/>
    </row>
    <row r="5548" spans="33:36" ht="11.25" customHeight="1" x14ac:dyDescent="0.2">
      <c r="AG5548" s="19"/>
      <c r="AJ5548" s="410"/>
    </row>
    <row r="5549" spans="33:36" ht="11.25" customHeight="1" x14ac:dyDescent="0.2">
      <c r="AG5549" s="19"/>
      <c r="AJ5549" s="410"/>
    </row>
    <row r="5550" spans="33:36" ht="11.25" customHeight="1" x14ac:dyDescent="0.2">
      <c r="AG5550" s="19"/>
      <c r="AJ5550" s="410"/>
    </row>
    <row r="5551" spans="33:36" ht="11.25" customHeight="1" x14ac:dyDescent="0.2">
      <c r="AG5551" s="19"/>
      <c r="AJ5551" s="410"/>
    </row>
    <row r="5552" spans="33:36" ht="11.25" customHeight="1" x14ac:dyDescent="0.2">
      <c r="AG5552" s="19"/>
      <c r="AJ5552" s="410"/>
    </row>
    <row r="5553" spans="33:36" ht="11.25" customHeight="1" x14ac:dyDescent="0.2">
      <c r="AG5553" s="19"/>
      <c r="AJ5553" s="410"/>
    </row>
    <row r="5554" spans="33:36" ht="11.25" customHeight="1" x14ac:dyDescent="0.2">
      <c r="AG5554" s="19"/>
      <c r="AJ5554" s="410"/>
    </row>
    <row r="5555" spans="33:36" ht="11.25" customHeight="1" x14ac:dyDescent="0.2">
      <c r="AG5555" s="19"/>
      <c r="AJ5555" s="410"/>
    </row>
    <row r="5556" spans="33:36" ht="11.25" customHeight="1" x14ac:dyDescent="0.2">
      <c r="AG5556" s="19"/>
      <c r="AJ5556" s="410"/>
    </row>
    <row r="5557" spans="33:36" ht="11.25" customHeight="1" x14ac:dyDescent="0.2">
      <c r="AG5557" s="19"/>
      <c r="AJ5557" s="410"/>
    </row>
    <row r="5558" spans="33:36" ht="11.25" customHeight="1" x14ac:dyDescent="0.2">
      <c r="AG5558" s="19"/>
      <c r="AJ5558" s="410"/>
    </row>
    <row r="5559" spans="33:36" ht="11.25" customHeight="1" x14ac:dyDescent="0.2">
      <c r="AG5559" s="19"/>
      <c r="AJ5559" s="410"/>
    </row>
    <row r="5560" spans="33:36" ht="11.25" customHeight="1" x14ac:dyDescent="0.2">
      <c r="AG5560" s="19"/>
      <c r="AJ5560" s="410"/>
    </row>
    <row r="5561" spans="33:36" ht="11.25" customHeight="1" x14ac:dyDescent="0.2">
      <c r="AG5561" s="19"/>
      <c r="AJ5561" s="410"/>
    </row>
    <row r="5562" spans="33:36" ht="11.25" customHeight="1" x14ac:dyDescent="0.2">
      <c r="AG5562" s="19"/>
      <c r="AJ5562" s="410"/>
    </row>
    <row r="5563" spans="33:36" ht="11.25" customHeight="1" x14ac:dyDescent="0.2">
      <c r="AG5563" s="19"/>
      <c r="AJ5563" s="410"/>
    </row>
    <row r="5564" spans="33:36" ht="11.25" customHeight="1" x14ac:dyDescent="0.2">
      <c r="AG5564" s="19"/>
      <c r="AJ5564" s="410"/>
    </row>
    <row r="5565" spans="33:36" ht="11.25" customHeight="1" x14ac:dyDescent="0.2">
      <c r="AG5565" s="19"/>
      <c r="AJ5565" s="410"/>
    </row>
    <row r="5566" spans="33:36" ht="11.25" customHeight="1" x14ac:dyDescent="0.2">
      <c r="AG5566" s="19"/>
      <c r="AJ5566" s="410"/>
    </row>
    <row r="5567" spans="33:36" ht="11.25" customHeight="1" x14ac:dyDescent="0.2">
      <c r="AG5567" s="19"/>
      <c r="AJ5567" s="410"/>
    </row>
    <row r="5568" spans="33:36" ht="11.25" customHeight="1" x14ac:dyDescent="0.2">
      <c r="AG5568" s="19"/>
      <c r="AJ5568" s="410"/>
    </row>
    <row r="5569" spans="33:36" ht="11.25" customHeight="1" x14ac:dyDescent="0.2">
      <c r="AG5569" s="19"/>
      <c r="AJ5569" s="410"/>
    </row>
    <row r="5570" spans="33:36" ht="11.25" customHeight="1" x14ac:dyDescent="0.2">
      <c r="AG5570" s="19"/>
      <c r="AJ5570" s="410"/>
    </row>
    <row r="5571" spans="33:36" ht="11.25" customHeight="1" x14ac:dyDescent="0.2">
      <c r="AG5571" s="19"/>
      <c r="AJ5571" s="410"/>
    </row>
    <row r="5572" spans="33:36" ht="11.25" customHeight="1" x14ac:dyDescent="0.2">
      <c r="AG5572" s="19"/>
      <c r="AJ5572" s="410"/>
    </row>
    <row r="5573" spans="33:36" ht="11.25" customHeight="1" x14ac:dyDescent="0.2">
      <c r="AG5573" s="19"/>
      <c r="AJ5573" s="410"/>
    </row>
    <row r="5574" spans="33:36" ht="11.25" customHeight="1" x14ac:dyDescent="0.2">
      <c r="AG5574" s="19"/>
      <c r="AJ5574" s="410"/>
    </row>
    <row r="5575" spans="33:36" ht="11.25" customHeight="1" x14ac:dyDescent="0.2">
      <c r="AG5575" s="19"/>
      <c r="AJ5575" s="410"/>
    </row>
    <row r="5576" spans="33:36" ht="11.25" customHeight="1" x14ac:dyDescent="0.2">
      <c r="AG5576" s="19"/>
      <c r="AJ5576" s="410"/>
    </row>
    <row r="5577" spans="33:36" ht="11.25" customHeight="1" x14ac:dyDescent="0.2">
      <c r="AG5577" s="19"/>
      <c r="AJ5577" s="410"/>
    </row>
    <row r="5578" spans="33:36" ht="11.25" customHeight="1" x14ac:dyDescent="0.2">
      <c r="AG5578" s="19"/>
      <c r="AJ5578" s="410"/>
    </row>
    <row r="5579" spans="33:36" ht="11.25" customHeight="1" x14ac:dyDescent="0.2">
      <c r="AG5579" s="19"/>
      <c r="AJ5579" s="410"/>
    </row>
    <row r="5580" spans="33:36" ht="11.25" customHeight="1" x14ac:dyDescent="0.2">
      <c r="AG5580" s="19"/>
      <c r="AJ5580" s="410"/>
    </row>
    <row r="5581" spans="33:36" ht="11.25" customHeight="1" x14ac:dyDescent="0.2">
      <c r="AG5581" s="19"/>
      <c r="AJ5581" s="410"/>
    </row>
    <row r="5582" spans="33:36" ht="11.25" customHeight="1" x14ac:dyDescent="0.2">
      <c r="AG5582" s="19"/>
      <c r="AJ5582" s="410"/>
    </row>
    <row r="5583" spans="33:36" ht="11.25" customHeight="1" x14ac:dyDescent="0.2">
      <c r="AG5583" s="19"/>
      <c r="AJ5583" s="410"/>
    </row>
    <row r="5584" spans="33:36" ht="11.25" customHeight="1" x14ac:dyDescent="0.2">
      <c r="AG5584" s="19"/>
      <c r="AJ5584" s="410"/>
    </row>
    <row r="5585" spans="33:36" ht="11.25" customHeight="1" x14ac:dyDescent="0.2">
      <c r="AG5585" s="19"/>
      <c r="AJ5585" s="410"/>
    </row>
    <row r="5586" spans="33:36" ht="11.25" customHeight="1" x14ac:dyDescent="0.2">
      <c r="AG5586" s="19"/>
      <c r="AJ5586" s="410"/>
    </row>
    <row r="5587" spans="33:36" ht="11.25" customHeight="1" x14ac:dyDescent="0.2">
      <c r="AG5587" s="19"/>
      <c r="AJ5587" s="410"/>
    </row>
    <row r="5588" spans="33:36" ht="11.25" customHeight="1" x14ac:dyDescent="0.2">
      <c r="AG5588" s="19"/>
      <c r="AJ5588" s="410"/>
    </row>
    <row r="5589" spans="33:36" ht="11.25" customHeight="1" x14ac:dyDescent="0.2">
      <c r="AG5589" s="19"/>
      <c r="AJ5589" s="410"/>
    </row>
    <row r="5590" spans="33:36" ht="11.25" customHeight="1" x14ac:dyDescent="0.2">
      <c r="AG5590" s="19"/>
      <c r="AJ5590" s="410"/>
    </row>
    <row r="5591" spans="33:36" ht="11.25" customHeight="1" x14ac:dyDescent="0.2">
      <c r="AG5591" s="19"/>
      <c r="AJ5591" s="410"/>
    </row>
    <row r="5592" spans="33:36" ht="11.25" customHeight="1" x14ac:dyDescent="0.2">
      <c r="AG5592" s="19"/>
      <c r="AJ5592" s="410"/>
    </row>
    <row r="5593" spans="33:36" ht="11.25" customHeight="1" x14ac:dyDescent="0.2">
      <c r="AG5593" s="19"/>
      <c r="AJ5593" s="410"/>
    </row>
    <row r="5594" spans="33:36" ht="11.25" customHeight="1" x14ac:dyDescent="0.2">
      <c r="AG5594" s="19"/>
      <c r="AJ5594" s="410"/>
    </row>
    <row r="5595" spans="33:36" ht="11.25" customHeight="1" x14ac:dyDescent="0.2">
      <c r="AG5595" s="19"/>
      <c r="AJ5595" s="410"/>
    </row>
    <row r="5596" spans="33:36" ht="11.25" customHeight="1" x14ac:dyDescent="0.2">
      <c r="AG5596" s="19"/>
      <c r="AJ5596" s="410"/>
    </row>
    <row r="5597" spans="33:36" ht="11.25" customHeight="1" x14ac:dyDescent="0.2">
      <c r="AG5597" s="19"/>
      <c r="AJ5597" s="410"/>
    </row>
    <row r="5598" spans="33:36" ht="11.25" customHeight="1" x14ac:dyDescent="0.2">
      <c r="AG5598" s="19"/>
      <c r="AJ5598" s="410"/>
    </row>
    <row r="5599" spans="33:36" ht="11.25" customHeight="1" x14ac:dyDescent="0.2">
      <c r="AG5599" s="19"/>
      <c r="AJ5599" s="410"/>
    </row>
    <row r="5600" spans="33:36" ht="11.25" customHeight="1" x14ac:dyDescent="0.2">
      <c r="AG5600" s="19"/>
      <c r="AJ5600" s="410"/>
    </row>
    <row r="5601" spans="33:36" ht="11.25" customHeight="1" x14ac:dyDescent="0.2">
      <c r="AG5601" s="19"/>
      <c r="AJ5601" s="410"/>
    </row>
    <row r="5602" spans="33:36" ht="11.25" customHeight="1" x14ac:dyDescent="0.2">
      <c r="AG5602" s="19"/>
      <c r="AJ5602" s="410"/>
    </row>
    <row r="5603" spans="33:36" ht="11.25" customHeight="1" x14ac:dyDescent="0.2">
      <c r="AG5603" s="19"/>
      <c r="AJ5603" s="410"/>
    </row>
    <row r="5604" spans="33:36" ht="11.25" customHeight="1" x14ac:dyDescent="0.2">
      <c r="AG5604" s="19"/>
      <c r="AJ5604" s="410"/>
    </row>
    <row r="5605" spans="33:36" ht="11.25" customHeight="1" x14ac:dyDescent="0.2">
      <c r="AG5605" s="19"/>
      <c r="AJ5605" s="410"/>
    </row>
    <row r="5606" spans="33:36" ht="11.25" customHeight="1" x14ac:dyDescent="0.2">
      <c r="AG5606" s="19"/>
      <c r="AJ5606" s="410"/>
    </row>
    <row r="5607" spans="33:36" ht="11.25" customHeight="1" x14ac:dyDescent="0.2">
      <c r="AG5607" s="19"/>
      <c r="AJ5607" s="410"/>
    </row>
    <row r="5608" spans="33:36" ht="11.25" customHeight="1" x14ac:dyDescent="0.2">
      <c r="AG5608" s="19"/>
      <c r="AJ5608" s="410"/>
    </row>
    <row r="5609" spans="33:36" ht="11.25" customHeight="1" x14ac:dyDescent="0.2">
      <c r="AG5609" s="19"/>
      <c r="AJ5609" s="410"/>
    </row>
    <row r="5610" spans="33:36" ht="11.25" customHeight="1" x14ac:dyDescent="0.2">
      <c r="AG5610" s="19"/>
      <c r="AJ5610" s="410"/>
    </row>
    <row r="5611" spans="33:36" ht="11.25" customHeight="1" x14ac:dyDescent="0.2">
      <c r="AG5611" s="19"/>
      <c r="AJ5611" s="410"/>
    </row>
    <row r="5612" spans="33:36" ht="11.25" customHeight="1" x14ac:dyDescent="0.2">
      <c r="AG5612" s="19"/>
      <c r="AJ5612" s="410"/>
    </row>
    <row r="5613" spans="33:36" ht="11.25" customHeight="1" x14ac:dyDescent="0.2">
      <c r="AG5613" s="19"/>
      <c r="AJ5613" s="410"/>
    </row>
    <row r="5614" spans="33:36" ht="11.25" customHeight="1" x14ac:dyDescent="0.2">
      <c r="AG5614" s="19"/>
      <c r="AJ5614" s="410"/>
    </row>
    <row r="5615" spans="33:36" ht="11.25" customHeight="1" x14ac:dyDescent="0.2">
      <c r="AG5615" s="19"/>
      <c r="AJ5615" s="410"/>
    </row>
    <row r="5616" spans="33:36" ht="11.25" customHeight="1" x14ac:dyDescent="0.2">
      <c r="AG5616" s="19"/>
      <c r="AJ5616" s="410"/>
    </row>
    <row r="5617" spans="33:36" ht="11.25" customHeight="1" x14ac:dyDescent="0.2">
      <c r="AG5617" s="19"/>
      <c r="AJ5617" s="410"/>
    </row>
    <row r="5618" spans="33:36" ht="11.25" customHeight="1" x14ac:dyDescent="0.2">
      <c r="AG5618" s="19"/>
      <c r="AJ5618" s="410"/>
    </row>
    <row r="5619" spans="33:36" ht="11.25" customHeight="1" x14ac:dyDescent="0.2">
      <c r="AG5619" s="19"/>
      <c r="AJ5619" s="410"/>
    </row>
    <row r="5620" spans="33:36" ht="11.25" customHeight="1" x14ac:dyDescent="0.2">
      <c r="AG5620" s="19"/>
      <c r="AJ5620" s="410"/>
    </row>
    <row r="5621" spans="33:36" ht="11.25" customHeight="1" x14ac:dyDescent="0.2">
      <c r="AG5621" s="19"/>
      <c r="AJ5621" s="410"/>
    </row>
    <row r="5622" spans="33:36" ht="11.25" customHeight="1" x14ac:dyDescent="0.2">
      <c r="AG5622" s="19"/>
      <c r="AJ5622" s="410"/>
    </row>
    <row r="5623" spans="33:36" ht="11.25" customHeight="1" x14ac:dyDescent="0.2">
      <c r="AG5623" s="19"/>
      <c r="AJ5623" s="410"/>
    </row>
    <row r="5624" spans="33:36" ht="11.25" customHeight="1" x14ac:dyDescent="0.2">
      <c r="AG5624" s="19"/>
      <c r="AJ5624" s="410"/>
    </row>
    <row r="5625" spans="33:36" ht="11.25" customHeight="1" x14ac:dyDescent="0.2">
      <c r="AG5625" s="19"/>
      <c r="AJ5625" s="410"/>
    </row>
    <row r="5626" spans="33:36" ht="11.25" customHeight="1" x14ac:dyDescent="0.2">
      <c r="AG5626" s="19"/>
      <c r="AJ5626" s="410"/>
    </row>
    <row r="5627" spans="33:36" ht="11.25" customHeight="1" x14ac:dyDescent="0.2">
      <c r="AG5627" s="19"/>
      <c r="AJ5627" s="410"/>
    </row>
    <row r="5628" spans="33:36" ht="11.25" customHeight="1" x14ac:dyDescent="0.2">
      <c r="AG5628" s="19"/>
      <c r="AJ5628" s="410"/>
    </row>
    <row r="5629" spans="33:36" ht="11.25" customHeight="1" x14ac:dyDescent="0.2">
      <c r="AG5629" s="19"/>
      <c r="AJ5629" s="410"/>
    </row>
    <row r="5630" spans="33:36" ht="11.25" customHeight="1" x14ac:dyDescent="0.2">
      <c r="AG5630" s="19"/>
      <c r="AJ5630" s="410"/>
    </row>
    <row r="5631" spans="33:36" ht="11.25" customHeight="1" x14ac:dyDescent="0.2">
      <c r="AG5631" s="19"/>
      <c r="AJ5631" s="410"/>
    </row>
    <row r="5632" spans="33:36" ht="11.25" customHeight="1" x14ac:dyDescent="0.2">
      <c r="AG5632" s="19"/>
      <c r="AJ5632" s="410"/>
    </row>
    <row r="5633" spans="33:36" ht="11.25" customHeight="1" x14ac:dyDescent="0.2">
      <c r="AG5633" s="19"/>
      <c r="AJ5633" s="410"/>
    </row>
    <row r="5634" spans="33:36" ht="11.25" customHeight="1" x14ac:dyDescent="0.2">
      <c r="AG5634" s="19"/>
      <c r="AJ5634" s="410"/>
    </row>
    <row r="5635" spans="33:36" ht="11.25" customHeight="1" x14ac:dyDescent="0.2">
      <c r="AG5635" s="19"/>
      <c r="AJ5635" s="410"/>
    </row>
    <row r="5636" spans="33:36" ht="11.25" customHeight="1" x14ac:dyDescent="0.2">
      <c r="AG5636" s="19"/>
      <c r="AJ5636" s="410"/>
    </row>
    <row r="5637" spans="33:36" ht="11.25" customHeight="1" x14ac:dyDescent="0.2">
      <c r="AG5637" s="19"/>
      <c r="AJ5637" s="410"/>
    </row>
    <row r="5638" spans="33:36" ht="11.25" customHeight="1" x14ac:dyDescent="0.2">
      <c r="AG5638" s="19"/>
      <c r="AJ5638" s="410"/>
    </row>
    <row r="5639" spans="33:36" ht="11.25" customHeight="1" x14ac:dyDescent="0.2">
      <c r="AG5639" s="19"/>
      <c r="AJ5639" s="410"/>
    </row>
    <row r="5640" spans="33:36" ht="11.25" customHeight="1" x14ac:dyDescent="0.2">
      <c r="AG5640" s="19"/>
      <c r="AJ5640" s="410"/>
    </row>
    <row r="5641" spans="33:36" ht="11.25" customHeight="1" x14ac:dyDescent="0.2">
      <c r="AG5641" s="19"/>
      <c r="AJ5641" s="410"/>
    </row>
    <row r="5642" spans="33:36" ht="11.25" customHeight="1" x14ac:dyDescent="0.2">
      <c r="AG5642" s="19"/>
      <c r="AJ5642" s="410"/>
    </row>
    <row r="5643" spans="33:36" ht="11.25" customHeight="1" x14ac:dyDescent="0.2">
      <c r="AG5643" s="19"/>
      <c r="AJ5643" s="410"/>
    </row>
    <row r="5644" spans="33:36" ht="11.25" customHeight="1" x14ac:dyDescent="0.2">
      <c r="AG5644" s="19"/>
      <c r="AJ5644" s="410"/>
    </row>
    <row r="5645" spans="33:36" ht="11.25" customHeight="1" x14ac:dyDescent="0.2">
      <c r="AG5645" s="19"/>
      <c r="AJ5645" s="410"/>
    </row>
    <row r="5646" spans="33:36" ht="11.25" customHeight="1" x14ac:dyDescent="0.2">
      <c r="AG5646" s="19"/>
      <c r="AJ5646" s="410"/>
    </row>
    <row r="5647" spans="33:36" ht="11.25" customHeight="1" x14ac:dyDescent="0.2">
      <c r="AG5647" s="19"/>
      <c r="AJ5647" s="410"/>
    </row>
    <row r="5648" spans="33:36" ht="11.25" customHeight="1" x14ac:dyDescent="0.2">
      <c r="AG5648" s="19"/>
      <c r="AJ5648" s="410"/>
    </row>
    <row r="5649" spans="33:36" ht="11.25" customHeight="1" x14ac:dyDescent="0.2">
      <c r="AG5649" s="19"/>
      <c r="AJ5649" s="410"/>
    </row>
    <row r="5650" spans="33:36" ht="11.25" customHeight="1" x14ac:dyDescent="0.2">
      <c r="AG5650" s="19"/>
      <c r="AJ5650" s="410"/>
    </row>
    <row r="5651" spans="33:36" ht="11.25" customHeight="1" x14ac:dyDescent="0.2">
      <c r="AG5651" s="19"/>
      <c r="AJ5651" s="410"/>
    </row>
    <row r="5652" spans="33:36" ht="11.25" customHeight="1" x14ac:dyDescent="0.2">
      <c r="AG5652" s="19"/>
      <c r="AJ5652" s="410"/>
    </row>
    <row r="5653" spans="33:36" ht="11.25" customHeight="1" x14ac:dyDescent="0.2">
      <c r="AG5653" s="19"/>
      <c r="AJ5653" s="410"/>
    </row>
    <row r="5654" spans="33:36" ht="11.25" customHeight="1" x14ac:dyDescent="0.2">
      <c r="AG5654" s="19"/>
      <c r="AJ5654" s="410"/>
    </row>
    <row r="5655" spans="33:36" ht="11.25" customHeight="1" x14ac:dyDescent="0.2">
      <c r="AG5655" s="19"/>
      <c r="AJ5655" s="410"/>
    </row>
    <row r="5656" spans="33:36" ht="11.25" customHeight="1" x14ac:dyDescent="0.2">
      <c r="AG5656" s="19"/>
      <c r="AJ5656" s="410"/>
    </row>
    <row r="5657" spans="33:36" ht="11.25" customHeight="1" x14ac:dyDescent="0.2">
      <c r="AG5657" s="19"/>
      <c r="AJ5657" s="410"/>
    </row>
    <row r="5658" spans="33:36" ht="11.25" customHeight="1" x14ac:dyDescent="0.2">
      <c r="AG5658" s="19"/>
      <c r="AJ5658" s="410"/>
    </row>
    <row r="5659" spans="33:36" ht="11.25" customHeight="1" x14ac:dyDescent="0.2">
      <c r="AG5659" s="19"/>
      <c r="AJ5659" s="410"/>
    </row>
    <row r="5660" spans="33:36" ht="11.25" customHeight="1" x14ac:dyDescent="0.2">
      <c r="AG5660" s="19"/>
      <c r="AJ5660" s="410"/>
    </row>
    <row r="5661" spans="33:36" ht="11.25" customHeight="1" x14ac:dyDescent="0.2">
      <c r="AG5661" s="19"/>
      <c r="AJ5661" s="410"/>
    </row>
    <row r="5662" spans="33:36" ht="11.25" customHeight="1" x14ac:dyDescent="0.2">
      <c r="AG5662" s="19"/>
      <c r="AJ5662" s="410"/>
    </row>
    <row r="5663" spans="33:36" ht="11.25" customHeight="1" x14ac:dyDescent="0.2">
      <c r="AG5663" s="19"/>
      <c r="AJ5663" s="410"/>
    </row>
    <row r="5664" spans="33:36" ht="11.25" customHeight="1" x14ac:dyDescent="0.2">
      <c r="AG5664" s="19"/>
      <c r="AJ5664" s="410"/>
    </row>
    <row r="5665" spans="33:36" ht="11.25" customHeight="1" x14ac:dyDescent="0.2">
      <c r="AG5665" s="19"/>
      <c r="AJ5665" s="410"/>
    </row>
    <row r="5666" spans="33:36" ht="11.25" customHeight="1" x14ac:dyDescent="0.2">
      <c r="AG5666" s="19"/>
      <c r="AJ5666" s="410"/>
    </row>
    <row r="5667" spans="33:36" ht="11.25" customHeight="1" x14ac:dyDescent="0.2">
      <c r="AG5667" s="19"/>
      <c r="AJ5667" s="410"/>
    </row>
    <row r="5668" spans="33:36" ht="11.25" customHeight="1" x14ac:dyDescent="0.2">
      <c r="AG5668" s="19"/>
      <c r="AJ5668" s="410"/>
    </row>
    <row r="5669" spans="33:36" ht="11.25" customHeight="1" x14ac:dyDescent="0.2">
      <c r="AG5669" s="19"/>
      <c r="AJ5669" s="410"/>
    </row>
    <row r="5670" spans="33:36" ht="11.25" customHeight="1" x14ac:dyDescent="0.2">
      <c r="AG5670" s="19"/>
      <c r="AJ5670" s="410"/>
    </row>
    <row r="5671" spans="33:36" ht="11.25" customHeight="1" x14ac:dyDescent="0.2">
      <c r="AG5671" s="19"/>
      <c r="AJ5671" s="410"/>
    </row>
    <row r="5672" spans="33:36" ht="11.25" customHeight="1" x14ac:dyDescent="0.2">
      <c r="AG5672" s="19"/>
      <c r="AJ5672" s="410"/>
    </row>
    <row r="5673" spans="33:36" ht="11.25" customHeight="1" x14ac:dyDescent="0.2">
      <c r="AG5673" s="19"/>
      <c r="AJ5673" s="410"/>
    </row>
    <row r="5674" spans="33:36" ht="11.25" customHeight="1" x14ac:dyDescent="0.2">
      <c r="AG5674" s="19"/>
      <c r="AJ5674" s="410"/>
    </row>
    <row r="5675" spans="33:36" ht="11.25" customHeight="1" x14ac:dyDescent="0.2">
      <c r="AG5675" s="19"/>
      <c r="AJ5675" s="410"/>
    </row>
    <row r="5676" spans="33:36" ht="11.25" customHeight="1" x14ac:dyDescent="0.2">
      <c r="AG5676" s="19"/>
      <c r="AJ5676" s="410"/>
    </row>
    <row r="5677" spans="33:36" ht="11.25" customHeight="1" x14ac:dyDescent="0.2">
      <c r="AG5677" s="19"/>
      <c r="AJ5677" s="410"/>
    </row>
    <row r="5678" spans="33:36" ht="11.25" customHeight="1" x14ac:dyDescent="0.2">
      <c r="AG5678" s="19"/>
      <c r="AJ5678" s="410"/>
    </row>
    <row r="5679" spans="33:36" ht="11.25" customHeight="1" x14ac:dyDescent="0.2">
      <c r="AG5679" s="19"/>
      <c r="AJ5679" s="410"/>
    </row>
    <row r="5680" spans="33:36" ht="11.25" customHeight="1" x14ac:dyDescent="0.2">
      <c r="AG5680" s="19"/>
      <c r="AJ5680" s="410"/>
    </row>
    <row r="5681" spans="33:36" ht="11.25" customHeight="1" x14ac:dyDescent="0.2">
      <c r="AG5681" s="19"/>
      <c r="AJ5681" s="410"/>
    </row>
    <row r="5682" spans="33:36" ht="11.25" customHeight="1" x14ac:dyDescent="0.2">
      <c r="AG5682" s="19"/>
      <c r="AJ5682" s="410"/>
    </row>
    <row r="5683" spans="33:36" ht="11.25" customHeight="1" x14ac:dyDescent="0.2">
      <c r="AG5683" s="19"/>
      <c r="AJ5683" s="410"/>
    </row>
    <row r="5684" spans="33:36" ht="11.25" customHeight="1" x14ac:dyDescent="0.2">
      <c r="AG5684" s="19"/>
      <c r="AJ5684" s="410"/>
    </row>
    <row r="5685" spans="33:36" ht="11.25" customHeight="1" x14ac:dyDescent="0.2">
      <c r="AG5685" s="19"/>
      <c r="AJ5685" s="410"/>
    </row>
    <row r="5686" spans="33:36" ht="11.25" customHeight="1" x14ac:dyDescent="0.2">
      <c r="AG5686" s="19"/>
      <c r="AJ5686" s="410"/>
    </row>
    <row r="5687" spans="33:36" ht="11.25" customHeight="1" x14ac:dyDescent="0.2">
      <c r="AG5687" s="19"/>
      <c r="AJ5687" s="410"/>
    </row>
    <row r="5688" spans="33:36" ht="11.25" customHeight="1" x14ac:dyDescent="0.2">
      <c r="AG5688" s="19"/>
      <c r="AJ5688" s="410"/>
    </row>
    <row r="5689" spans="33:36" ht="11.25" customHeight="1" x14ac:dyDescent="0.2">
      <c r="AG5689" s="19"/>
      <c r="AJ5689" s="410"/>
    </row>
    <row r="5690" spans="33:36" ht="11.25" customHeight="1" x14ac:dyDescent="0.2">
      <c r="AG5690" s="19"/>
      <c r="AJ5690" s="410"/>
    </row>
    <row r="5691" spans="33:36" ht="11.25" customHeight="1" x14ac:dyDescent="0.2">
      <c r="AG5691" s="19"/>
      <c r="AJ5691" s="410"/>
    </row>
    <row r="5692" spans="33:36" ht="11.25" customHeight="1" x14ac:dyDescent="0.2">
      <c r="AG5692" s="19"/>
      <c r="AJ5692" s="410"/>
    </row>
    <row r="5693" spans="33:36" ht="11.25" customHeight="1" x14ac:dyDescent="0.2">
      <c r="AG5693" s="19"/>
      <c r="AJ5693" s="410"/>
    </row>
    <row r="5694" spans="33:36" ht="11.25" customHeight="1" x14ac:dyDescent="0.2">
      <c r="AG5694" s="19"/>
      <c r="AJ5694" s="410"/>
    </row>
    <row r="5695" spans="33:36" ht="11.25" customHeight="1" x14ac:dyDescent="0.2">
      <c r="AG5695" s="19"/>
      <c r="AJ5695" s="410"/>
    </row>
    <row r="5696" spans="33:36" ht="11.25" customHeight="1" x14ac:dyDescent="0.2">
      <c r="AG5696" s="19"/>
      <c r="AJ5696" s="410"/>
    </row>
    <row r="5697" spans="33:36" ht="11.25" customHeight="1" x14ac:dyDescent="0.2">
      <c r="AG5697" s="19"/>
      <c r="AJ5697" s="410"/>
    </row>
    <row r="5698" spans="33:36" ht="11.25" customHeight="1" x14ac:dyDescent="0.2">
      <c r="AG5698" s="19"/>
      <c r="AJ5698" s="410"/>
    </row>
    <row r="5699" spans="33:36" ht="11.25" customHeight="1" x14ac:dyDescent="0.2">
      <c r="AG5699" s="19"/>
      <c r="AJ5699" s="410"/>
    </row>
    <row r="5700" spans="33:36" ht="11.25" customHeight="1" x14ac:dyDescent="0.2">
      <c r="AG5700" s="19"/>
      <c r="AJ5700" s="410"/>
    </row>
    <row r="5701" spans="33:36" ht="11.25" customHeight="1" x14ac:dyDescent="0.2">
      <c r="AG5701" s="19"/>
      <c r="AJ5701" s="410"/>
    </row>
    <row r="5702" spans="33:36" ht="11.25" customHeight="1" x14ac:dyDescent="0.2">
      <c r="AG5702" s="19"/>
      <c r="AJ5702" s="410"/>
    </row>
    <row r="5703" spans="33:36" ht="11.25" customHeight="1" x14ac:dyDescent="0.2">
      <c r="AG5703" s="19"/>
      <c r="AJ5703" s="410"/>
    </row>
    <row r="5704" spans="33:36" ht="11.25" customHeight="1" x14ac:dyDescent="0.2">
      <c r="AG5704" s="19"/>
      <c r="AJ5704" s="410"/>
    </row>
    <row r="5705" spans="33:36" ht="11.25" customHeight="1" x14ac:dyDescent="0.2">
      <c r="AG5705" s="19"/>
      <c r="AJ5705" s="410"/>
    </row>
    <row r="5706" spans="33:36" ht="11.25" customHeight="1" x14ac:dyDescent="0.2">
      <c r="AG5706" s="19"/>
      <c r="AJ5706" s="410"/>
    </row>
    <row r="5707" spans="33:36" ht="11.25" customHeight="1" x14ac:dyDescent="0.2">
      <c r="AG5707" s="19"/>
      <c r="AJ5707" s="410"/>
    </row>
    <row r="5708" spans="33:36" ht="11.25" customHeight="1" x14ac:dyDescent="0.2">
      <c r="AG5708" s="19"/>
      <c r="AJ5708" s="410"/>
    </row>
    <row r="5709" spans="33:36" ht="11.25" customHeight="1" x14ac:dyDescent="0.2">
      <c r="AG5709" s="19"/>
      <c r="AJ5709" s="410"/>
    </row>
    <row r="5710" spans="33:36" ht="11.25" customHeight="1" x14ac:dyDescent="0.2">
      <c r="AG5710" s="19"/>
      <c r="AJ5710" s="410"/>
    </row>
    <row r="5711" spans="33:36" ht="11.25" customHeight="1" x14ac:dyDescent="0.2">
      <c r="AG5711" s="19"/>
      <c r="AJ5711" s="410"/>
    </row>
    <row r="5712" spans="33:36" ht="11.25" customHeight="1" x14ac:dyDescent="0.2">
      <c r="AG5712" s="19"/>
      <c r="AJ5712" s="410"/>
    </row>
    <row r="5713" spans="33:36" ht="11.25" customHeight="1" x14ac:dyDescent="0.2">
      <c r="AG5713" s="19"/>
      <c r="AJ5713" s="410"/>
    </row>
    <row r="5714" spans="33:36" ht="11.25" customHeight="1" x14ac:dyDescent="0.2">
      <c r="AG5714" s="19"/>
      <c r="AJ5714" s="410"/>
    </row>
    <row r="5715" spans="33:36" ht="11.25" customHeight="1" x14ac:dyDescent="0.2">
      <c r="AG5715" s="19"/>
      <c r="AJ5715" s="410"/>
    </row>
    <row r="5716" spans="33:36" ht="11.25" customHeight="1" x14ac:dyDescent="0.2">
      <c r="AG5716" s="19"/>
      <c r="AJ5716" s="410"/>
    </row>
    <row r="5717" spans="33:36" ht="11.25" customHeight="1" x14ac:dyDescent="0.2">
      <c r="AG5717" s="19"/>
      <c r="AJ5717" s="410"/>
    </row>
    <row r="5718" spans="33:36" ht="11.25" customHeight="1" x14ac:dyDescent="0.2">
      <c r="AG5718" s="19"/>
      <c r="AJ5718" s="410"/>
    </row>
    <row r="5719" spans="33:36" ht="11.25" customHeight="1" x14ac:dyDescent="0.2">
      <c r="AG5719" s="19"/>
      <c r="AJ5719" s="410"/>
    </row>
    <row r="5720" spans="33:36" ht="11.25" customHeight="1" x14ac:dyDescent="0.2">
      <c r="AG5720" s="19"/>
      <c r="AJ5720" s="410"/>
    </row>
    <row r="5721" spans="33:36" ht="11.25" customHeight="1" x14ac:dyDescent="0.2">
      <c r="AG5721" s="19"/>
      <c r="AJ5721" s="410"/>
    </row>
    <row r="5722" spans="33:36" ht="11.25" customHeight="1" x14ac:dyDescent="0.2">
      <c r="AG5722" s="19"/>
      <c r="AJ5722" s="410"/>
    </row>
    <row r="5723" spans="33:36" ht="11.25" customHeight="1" x14ac:dyDescent="0.2">
      <c r="AG5723" s="19"/>
      <c r="AJ5723" s="410"/>
    </row>
    <row r="5724" spans="33:36" ht="11.25" customHeight="1" x14ac:dyDescent="0.2">
      <c r="AG5724" s="19"/>
      <c r="AJ5724" s="410"/>
    </row>
    <row r="5725" spans="33:36" ht="11.25" customHeight="1" x14ac:dyDescent="0.2">
      <c r="AG5725" s="19"/>
      <c r="AJ5725" s="410"/>
    </row>
    <row r="5726" spans="33:36" ht="11.25" customHeight="1" x14ac:dyDescent="0.2">
      <c r="AG5726" s="19"/>
      <c r="AJ5726" s="410"/>
    </row>
    <row r="5727" spans="33:36" ht="11.25" customHeight="1" x14ac:dyDescent="0.2">
      <c r="AG5727" s="19"/>
      <c r="AJ5727" s="410"/>
    </row>
    <row r="5728" spans="33:36" ht="11.25" customHeight="1" x14ac:dyDescent="0.2">
      <c r="AG5728" s="19"/>
      <c r="AJ5728" s="410"/>
    </row>
    <row r="5729" spans="33:36" ht="11.25" customHeight="1" x14ac:dyDescent="0.2">
      <c r="AG5729" s="19"/>
      <c r="AJ5729" s="410"/>
    </row>
    <row r="5730" spans="33:36" ht="11.25" customHeight="1" x14ac:dyDescent="0.2">
      <c r="AG5730" s="19"/>
      <c r="AJ5730" s="410"/>
    </row>
    <row r="5731" spans="33:36" ht="11.25" customHeight="1" x14ac:dyDescent="0.2">
      <c r="AG5731" s="19"/>
      <c r="AJ5731" s="410"/>
    </row>
    <row r="5732" spans="33:36" ht="11.25" customHeight="1" x14ac:dyDescent="0.2">
      <c r="AG5732" s="19"/>
      <c r="AJ5732" s="410"/>
    </row>
    <row r="5733" spans="33:36" ht="11.25" customHeight="1" x14ac:dyDescent="0.2">
      <c r="AG5733" s="19"/>
      <c r="AJ5733" s="410"/>
    </row>
    <row r="5734" spans="33:36" ht="11.25" customHeight="1" x14ac:dyDescent="0.2">
      <c r="AG5734" s="19"/>
      <c r="AJ5734" s="410"/>
    </row>
    <row r="5735" spans="33:36" ht="11.25" customHeight="1" x14ac:dyDescent="0.2">
      <c r="AG5735" s="19"/>
      <c r="AJ5735" s="410"/>
    </row>
    <row r="5736" spans="33:36" ht="11.25" customHeight="1" x14ac:dyDescent="0.2">
      <c r="AG5736" s="19"/>
      <c r="AJ5736" s="410"/>
    </row>
    <row r="5737" spans="33:36" ht="11.25" customHeight="1" x14ac:dyDescent="0.2">
      <c r="AG5737" s="19"/>
      <c r="AJ5737" s="410"/>
    </row>
    <row r="5738" spans="33:36" ht="11.25" customHeight="1" x14ac:dyDescent="0.2">
      <c r="AG5738" s="19"/>
      <c r="AJ5738" s="410"/>
    </row>
    <row r="5739" spans="33:36" ht="11.25" customHeight="1" x14ac:dyDescent="0.2">
      <c r="AG5739" s="19"/>
      <c r="AJ5739" s="410"/>
    </row>
    <row r="5740" spans="33:36" ht="11.25" customHeight="1" x14ac:dyDescent="0.2">
      <c r="AG5740" s="19"/>
      <c r="AJ5740" s="410"/>
    </row>
    <row r="5741" spans="33:36" ht="11.25" customHeight="1" x14ac:dyDescent="0.2">
      <c r="AG5741" s="19"/>
      <c r="AJ5741" s="410"/>
    </row>
    <row r="5742" spans="33:36" ht="11.25" customHeight="1" x14ac:dyDescent="0.2">
      <c r="AG5742" s="19"/>
      <c r="AJ5742" s="410"/>
    </row>
    <row r="5743" spans="33:36" ht="11.25" customHeight="1" x14ac:dyDescent="0.2">
      <c r="AG5743" s="19"/>
      <c r="AJ5743" s="410"/>
    </row>
    <row r="5744" spans="33:36" ht="11.25" customHeight="1" x14ac:dyDescent="0.2">
      <c r="AG5744" s="19"/>
      <c r="AJ5744" s="410"/>
    </row>
    <row r="5745" spans="33:36" ht="11.25" customHeight="1" x14ac:dyDescent="0.2">
      <c r="AG5745" s="19"/>
      <c r="AJ5745" s="410"/>
    </row>
    <row r="5746" spans="33:36" ht="11.25" customHeight="1" x14ac:dyDescent="0.2">
      <c r="AG5746" s="19"/>
      <c r="AJ5746" s="410"/>
    </row>
    <row r="5747" spans="33:36" ht="11.25" customHeight="1" x14ac:dyDescent="0.2">
      <c r="AG5747" s="19"/>
      <c r="AJ5747" s="410"/>
    </row>
    <row r="5748" spans="33:36" ht="11.25" customHeight="1" x14ac:dyDescent="0.2">
      <c r="AG5748" s="19"/>
      <c r="AJ5748" s="410"/>
    </row>
    <row r="5749" spans="33:36" ht="11.25" customHeight="1" x14ac:dyDescent="0.2">
      <c r="AG5749" s="19"/>
      <c r="AJ5749" s="410"/>
    </row>
    <row r="5750" spans="33:36" ht="11.25" customHeight="1" x14ac:dyDescent="0.2">
      <c r="AG5750" s="19"/>
      <c r="AJ5750" s="410"/>
    </row>
    <row r="5751" spans="33:36" ht="11.25" customHeight="1" x14ac:dyDescent="0.2">
      <c r="AG5751" s="19"/>
      <c r="AJ5751" s="410"/>
    </row>
    <row r="5752" spans="33:36" ht="11.25" customHeight="1" x14ac:dyDescent="0.2">
      <c r="AG5752" s="19"/>
      <c r="AJ5752" s="410"/>
    </row>
    <row r="5753" spans="33:36" ht="11.25" customHeight="1" x14ac:dyDescent="0.2">
      <c r="AG5753" s="19"/>
      <c r="AJ5753" s="410"/>
    </row>
    <row r="5754" spans="33:36" ht="11.25" customHeight="1" x14ac:dyDescent="0.2">
      <c r="AG5754" s="19"/>
      <c r="AJ5754" s="410"/>
    </row>
    <row r="5755" spans="33:36" ht="11.25" customHeight="1" x14ac:dyDescent="0.2">
      <c r="AG5755" s="19"/>
      <c r="AJ5755" s="410"/>
    </row>
    <row r="5756" spans="33:36" ht="11.25" customHeight="1" x14ac:dyDescent="0.2">
      <c r="AG5756" s="19"/>
      <c r="AJ5756" s="410"/>
    </row>
    <row r="5757" spans="33:36" ht="11.25" customHeight="1" x14ac:dyDescent="0.2">
      <c r="AG5757" s="19"/>
      <c r="AJ5757" s="410"/>
    </row>
    <row r="5758" spans="33:36" ht="11.25" customHeight="1" x14ac:dyDescent="0.2">
      <c r="AG5758" s="19"/>
      <c r="AJ5758" s="410"/>
    </row>
    <row r="5759" spans="33:36" ht="11.25" customHeight="1" x14ac:dyDescent="0.2">
      <c r="AG5759" s="19"/>
      <c r="AJ5759" s="410"/>
    </row>
    <row r="5760" spans="33:36" ht="11.25" customHeight="1" x14ac:dyDescent="0.2">
      <c r="AG5760" s="19"/>
      <c r="AJ5760" s="410"/>
    </row>
    <row r="5761" spans="33:36" ht="11.25" customHeight="1" x14ac:dyDescent="0.2">
      <c r="AG5761" s="19"/>
      <c r="AJ5761" s="410"/>
    </row>
    <row r="5762" spans="33:36" ht="11.25" customHeight="1" x14ac:dyDescent="0.2">
      <c r="AG5762" s="19"/>
      <c r="AJ5762" s="410"/>
    </row>
    <row r="5763" spans="33:36" ht="11.25" customHeight="1" x14ac:dyDescent="0.2">
      <c r="AG5763" s="19"/>
      <c r="AJ5763" s="410"/>
    </row>
    <row r="5764" spans="33:36" ht="11.25" customHeight="1" x14ac:dyDescent="0.2">
      <c r="AG5764" s="19"/>
      <c r="AJ5764" s="410"/>
    </row>
    <row r="5765" spans="33:36" ht="11.25" customHeight="1" x14ac:dyDescent="0.2">
      <c r="AG5765" s="19"/>
      <c r="AJ5765" s="410"/>
    </row>
    <row r="5766" spans="33:36" ht="11.25" customHeight="1" x14ac:dyDescent="0.2">
      <c r="AG5766" s="19"/>
      <c r="AJ5766" s="410"/>
    </row>
    <row r="5767" spans="33:36" ht="11.25" customHeight="1" x14ac:dyDescent="0.2">
      <c r="AG5767" s="19"/>
      <c r="AJ5767" s="410"/>
    </row>
    <row r="5768" spans="33:36" ht="11.25" customHeight="1" x14ac:dyDescent="0.2">
      <c r="AG5768" s="19"/>
      <c r="AJ5768" s="410"/>
    </row>
    <row r="5769" spans="33:36" ht="11.25" customHeight="1" x14ac:dyDescent="0.2">
      <c r="AG5769" s="19"/>
      <c r="AJ5769" s="410"/>
    </row>
    <row r="5770" spans="33:36" ht="11.25" customHeight="1" x14ac:dyDescent="0.2">
      <c r="AG5770" s="19"/>
      <c r="AJ5770" s="410"/>
    </row>
    <row r="5771" spans="33:36" ht="11.25" customHeight="1" x14ac:dyDescent="0.2">
      <c r="AG5771" s="19"/>
      <c r="AJ5771" s="410"/>
    </row>
    <row r="5772" spans="33:36" ht="11.25" customHeight="1" x14ac:dyDescent="0.2">
      <c r="AG5772" s="19"/>
      <c r="AJ5772" s="410"/>
    </row>
    <row r="5773" spans="33:36" ht="11.25" customHeight="1" x14ac:dyDescent="0.2">
      <c r="AG5773" s="19"/>
      <c r="AJ5773" s="410"/>
    </row>
    <row r="5774" spans="33:36" ht="11.25" customHeight="1" x14ac:dyDescent="0.2">
      <c r="AG5774" s="19"/>
      <c r="AJ5774" s="410"/>
    </row>
    <row r="5775" spans="33:36" ht="11.25" customHeight="1" x14ac:dyDescent="0.2">
      <c r="AG5775" s="19"/>
      <c r="AJ5775" s="410"/>
    </row>
    <row r="5776" spans="33:36" ht="11.25" customHeight="1" x14ac:dyDescent="0.2">
      <c r="AG5776" s="19"/>
      <c r="AJ5776" s="410"/>
    </row>
    <row r="5777" spans="33:36" ht="11.25" customHeight="1" x14ac:dyDescent="0.2">
      <c r="AG5777" s="19"/>
      <c r="AJ5777" s="410"/>
    </row>
    <row r="5778" spans="33:36" ht="11.25" customHeight="1" x14ac:dyDescent="0.2">
      <c r="AG5778" s="19"/>
      <c r="AJ5778" s="410"/>
    </row>
    <row r="5779" spans="33:36" ht="11.25" customHeight="1" x14ac:dyDescent="0.2">
      <c r="AG5779" s="19"/>
      <c r="AJ5779" s="410"/>
    </row>
    <row r="5780" spans="33:36" ht="11.25" customHeight="1" x14ac:dyDescent="0.2">
      <c r="AG5780" s="19"/>
      <c r="AJ5780" s="410"/>
    </row>
    <row r="5781" spans="33:36" ht="11.25" customHeight="1" x14ac:dyDescent="0.2">
      <c r="AG5781" s="19"/>
      <c r="AJ5781" s="410"/>
    </row>
    <row r="5782" spans="33:36" ht="11.25" customHeight="1" x14ac:dyDescent="0.2">
      <c r="AG5782" s="19"/>
      <c r="AJ5782" s="410"/>
    </row>
    <row r="5783" spans="33:36" ht="11.25" customHeight="1" x14ac:dyDescent="0.2">
      <c r="AG5783" s="19"/>
      <c r="AJ5783" s="410"/>
    </row>
    <row r="5784" spans="33:36" ht="11.25" customHeight="1" x14ac:dyDescent="0.2">
      <c r="AG5784" s="19"/>
      <c r="AJ5784" s="410"/>
    </row>
    <row r="5785" spans="33:36" ht="11.25" customHeight="1" x14ac:dyDescent="0.2">
      <c r="AG5785" s="19"/>
      <c r="AJ5785" s="410"/>
    </row>
    <row r="5786" spans="33:36" ht="11.25" customHeight="1" x14ac:dyDescent="0.2">
      <c r="AG5786" s="19"/>
      <c r="AJ5786" s="410"/>
    </row>
    <row r="5787" spans="33:36" ht="11.25" customHeight="1" x14ac:dyDescent="0.2">
      <c r="AG5787" s="19"/>
      <c r="AJ5787" s="410"/>
    </row>
    <row r="5788" spans="33:36" ht="11.25" customHeight="1" x14ac:dyDescent="0.2">
      <c r="AG5788" s="19"/>
      <c r="AJ5788" s="410"/>
    </row>
    <row r="5789" spans="33:36" ht="11.25" customHeight="1" x14ac:dyDescent="0.2">
      <c r="AG5789" s="19"/>
      <c r="AJ5789" s="410"/>
    </row>
    <row r="5790" spans="33:36" ht="11.25" customHeight="1" x14ac:dyDescent="0.2">
      <c r="AG5790" s="19"/>
      <c r="AJ5790" s="410"/>
    </row>
    <row r="5791" spans="33:36" ht="11.25" customHeight="1" x14ac:dyDescent="0.2">
      <c r="AG5791" s="19"/>
      <c r="AJ5791" s="410"/>
    </row>
    <row r="5792" spans="33:36" ht="11.25" customHeight="1" x14ac:dyDescent="0.2">
      <c r="AG5792" s="19"/>
      <c r="AJ5792" s="410"/>
    </row>
    <row r="5793" spans="33:36" ht="11.25" customHeight="1" x14ac:dyDescent="0.2">
      <c r="AG5793" s="19"/>
      <c r="AJ5793" s="410"/>
    </row>
    <row r="5794" spans="33:36" ht="11.25" customHeight="1" x14ac:dyDescent="0.2">
      <c r="AG5794" s="19"/>
      <c r="AJ5794" s="410"/>
    </row>
    <row r="5795" spans="33:36" ht="11.25" customHeight="1" x14ac:dyDescent="0.2">
      <c r="AG5795" s="19"/>
      <c r="AJ5795" s="410"/>
    </row>
    <row r="5796" spans="33:36" ht="11.25" customHeight="1" x14ac:dyDescent="0.2">
      <c r="AG5796" s="19"/>
      <c r="AJ5796" s="410"/>
    </row>
    <row r="5797" spans="33:36" ht="11.25" customHeight="1" x14ac:dyDescent="0.2">
      <c r="AG5797" s="19"/>
      <c r="AJ5797" s="410"/>
    </row>
    <row r="5798" spans="33:36" ht="11.25" customHeight="1" x14ac:dyDescent="0.2">
      <c r="AG5798" s="19"/>
      <c r="AJ5798" s="410"/>
    </row>
    <row r="5799" spans="33:36" ht="11.25" customHeight="1" x14ac:dyDescent="0.2">
      <c r="AG5799" s="19"/>
      <c r="AJ5799" s="410"/>
    </row>
    <row r="5800" spans="33:36" ht="11.25" customHeight="1" x14ac:dyDescent="0.2">
      <c r="AG5800" s="19"/>
      <c r="AJ5800" s="410"/>
    </row>
    <row r="5801" spans="33:36" ht="11.25" customHeight="1" x14ac:dyDescent="0.2">
      <c r="AG5801" s="19"/>
      <c r="AJ5801" s="410"/>
    </row>
    <row r="5802" spans="33:36" ht="11.25" customHeight="1" x14ac:dyDescent="0.2">
      <c r="AG5802" s="19"/>
      <c r="AJ5802" s="410"/>
    </row>
    <row r="5803" spans="33:36" ht="11.25" customHeight="1" x14ac:dyDescent="0.2">
      <c r="AG5803" s="19"/>
      <c r="AJ5803" s="410"/>
    </row>
    <row r="5804" spans="33:36" ht="11.25" customHeight="1" x14ac:dyDescent="0.2">
      <c r="AG5804" s="19"/>
      <c r="AJ5804" s="410"/>
    </row>
    <row r="5805" spans="33:36" ht="11.25" customHeight="1" x14ac:dyDescent="0.2">
      <c r="AG5805" s="19"/>
      <c r="AJ5805" s="410"/>
    </row>
    <row r="5806" spans="33:36" ht="11.25" customHeight="1" x14ac:dyDescent="0.2">
      <c r="AG5806" s="19"/>
      <c r="AJ5806" s="410"/>
    </row>
    <row r="5807" spans="33:36" ht="11.25" customHeight="1" x14ac:dyDescent="0.2">
      <c r="AG5807" s="19"/>
      <c r="AJ5807" s="410"/>
    </row>
    <row r="5808" spans="33:36" ht="11.25" customHeight="1" x14ac:dyDescent="0.2">
      <c r="AG5808" s="19"/>
      <c r="AJ5808" s="410"/>
    </row>
    <row r="5809" spans="33:36" ht="11.25" customHeight="1" x14ac:dyDescent="0.2">
      <c r="AG5809" s="19"/>
      <c r="AJ5809" s="410"/>
    </row>
    <row r="5810" spans="33:36" ht="11.25" customHeight="1" x14ac:dyDescent="0.2">
      <c r="AG5810" s="19"/>
      <c r="AJ5810" s="410"/>
    </row>
    <row r="5811" spans="33:36" ht="11.25" customHeight="1" x14ac:dyDescent="0.2">
      <c r="AG5811" s="19"/>
      <c r="AJ5811" s="410"/>
    </row>
    <row r="5812" spans="33:36" ht="11.25" customHeight="1" x14ac:dyDescent="0.2">
      <c r="AG5812" s="19"/>
      <c r="AJ5812" s="410"/>
    </row>
    <row r="5813" spans="33:36" ht="11.25" customHeight="1" x14ac:dyDescent="0.2">
      <c r="AG5813" s="19"/>
      <c r="AJ5813" s="410"/>
    </row>
    <row r="5814" spans="33:36" ht="11.25" customHeight="1" x14ac:dyDescent="0.2">
      <c r="AG5814" s="19"/>
      <c r="AJ5814" s="410"/>
    </row>
    <row r="5815" spans="33:36" ht="11.25" customHeight="1" x14ac:dyDescent="0.2">
      <c r="AG5815" s="19"/>
      <c r="AJ5815" s="410"/>
    </row>
    <row r="5816" spans="33:36" ht="11.25" customHeight="1" x14ac:dyDescent="0.2">
      <c r="AG5816" s="19"/>
      <c r="AJ5816" s="410"/>
    </row>
    <row r="5817" spans="33:36" ht="11.25" customHeight="1" x14ac:dyDescent="0.2">
      <c r="AG5817" s="19"/>
      <c r="AJ5817" s="410"/>
    </row>
    <row r="5818" spans="33:36" ht="11.25" customHeight="1" x14ac:dyDescent="0.2">
      <c r="AG5818" s="19"/>
      <c r="AJ5818" s="410"/>
    </row>
    <row r="5819" spans="33:36" ht="11.25" customHeight="1" x14ac:dyDescent="0.2">
      <c r="AG5819" s="19"/>
      <c r="AJ5819" s="410"/>
    </row>
    <row r="5820" spans="33:36" ht="11.25" customHeight="1" x14ac:dyDescent="0.2">
      <c r="AG5820" s="19"/>
      <c r="AJ5820" s="410"/>
    </row>
    <row r="5821" spans="33:36" ht="11.25" customHeight="1" x14ac:dyDescent="0.2">
      <c r="AG5821" s="19"/>
      <c r="AJ5821" s="410"/>
    </row>
    <row r="5822" spans="33:36" ht="11.25" customHeight="1" x14ac:dyDescent="0.2">
      <c r="AG5822" s="19"/>
      <c r="AJ5822" s="410"/>
    </row>
    <row r="5823" spans="33:36" ht="11.25" customHeight="1" x14ac:dyDescent="0.2">
      <c r="AG5823" s="19"/>
      <c r="AJ5823" s="410"/>
    </row>
    <row r="5824" spans="33:36" ht="11.25" customHeight="1" x14ac:dyDescent="0.2">
      <c r="AG5824" s="19"/>
      <c r="AJ5824" s="410"/>
    </row>
    <row r="5825" spans="33:36" ht="11.25" customHeight="1" x14ac:dyDescent="0.2">
      <c r="AG5825" s="19"/>
      <c r="AJ5825" s="410"/>
    </row>
    <row r="5826" spans="33:36" ht="11.25" customHeight="1" x14ac:dyDescent="0.2">
      <c r="AG5826" s="19"/>
      <c r="AJ5826" s="410"/>
    </row>
    <row r="5827" spans="33:36" ht="11.25" customHeight="1" x14ac:dyDescent="0.2">
      <c r="AG5827" s="19"/>
      <c r="AJ5827" s="410"/>
    </row>
    <row r="5828" spans="33:36" ht="11.25" customHeight="1" x14ac:dyDescent="0.2">
      <c r="AG5828" s="19"/>
      <c r="AJ5828" s="410"/>
    </row>
    <row r="5829" spans="33:36" ht="11.25" customHeight="1" x14ac:dyDescent="0.2">
      <c r="AG5829" s="19"/>
      <c r="AJ5829" s="410"/>
    </row>
    <row r="5830" spans="33:36" ht="11.25" customHeight="1" x14ac:dyDescent="0.2">
      <c r="AG5830" s="19"/>
      <c r="AJ5830" s="410"/>
    </row>
    <row r="5831" spans="33:36" ht="11.25" customHeight="1" x14ac:dyDescent="0.2">
      <c r="AG5831" s="19"/>
      <c r="AJ5831" s="410"/>
    </row>
    <row r="5832" spans="33:36" ht="11.25" customHeight="1" x14ac:dyDescent="0.2">
      <c r="AG5832" s="19"/>
      <c r="AJ5832" s="410"/>
    </row>
    <row r="5833" spans="33:36" ht="11.25" customHeight="1" x14ac:dyDescent="0.2">
      <c r="AG5833" s="19"/>
      <c r="AJ5833" s="410"/>
    </row>
    <row r="5834" spans="33:36" ht="11.25" customHeight="1" x14ac:dyDescent="0.2">
      <c r="AG5834" s="19"/>
      <c r="AJ5834" s="410"/>
    </row>
    <row r="5835" spans="33:36" ht="11.25" customHeight="1" x14ac:dyDescent="0.2">
      <c r="AG5835" s="19"/>
      <c r="AJ5835" s="410"/>
    </row>
    <row r="5836" spans="33:36" ht="11.25" customHeight="1" x14ac:dyDescent="0.2">
      <c r="AG5836" s="19"/>
      <c r="AJ5836" s="410"/>
    </row>
    <row r="5837" spans="33:36" ht="11.25" customHeight="1" x14ac:dyDescent="0.2">
      <c r="AG5837" s="19"/>
      <c r="AJ5837" s="410"/>
    </row>
    <row r="5838" spans="33:36" ht="11.25" customHeight="1" x14ac:dyDescent="0.2">
      <c r="AG5838" s="19"/>
      <c r="AJ5838" s="410"/>
    </row>
    <row r="5839" spans="33:36" ht="11.25" customHeight="1" x14ac:dyDescent="0.2">
      <c r="AG5839" s="19"/>
      <c r="AJ5839" s="410"/>
    </row>
    <row r="5840" spans="33:36" ht="11.25" customHeight="1" x14ac:dyDescent="0.2">
      <c r="AG5840" s="19"/>
      <c r="AJ5840" s="410"/>
    </row>
    <row r="5841" spans="33:36" ht="11.25" customHeight="1" x14ac:dyDescent="0.2">
      <c r="AG5841" s="19"/>
      <c r="AJ5841" s="410"/>
    </row>
    <row r="5842" spans="33:36" ht="11.25" customHeight="1" x14ac:dyDescent="0.2">
      <c r="AG5842" s="19"/>
      <c r="AJ5842" s="410"/>
    </row>
    <row r="5843" spans="33:36" ht="11.25" customHeight="1" x14ac:dyDescent="0.2">
      <c r="AG5843" s="19"/>
      <c r="AJ5843" s="410"/>
    </row>
    <row r="5844" spans="33:36" ht="11.25" customHeight="1" x14ac:dyDescent="0.2">
      <c r="AG5844" s="19"/>
      <c r="AJ5844" s="410"/>
    </row>
    <row r="5845" spans="33:36" ht="11.25" customHeight="1" x14ac:dyDescent="0.2">
      <c r="AG5845" s="19"/>
      <c r="AJ5845" s="410"/>
    </row>
    <row r="5846" spans="33:36" ht="11.25" customHeight="1" x14ac:dyDescent="0.2">
      <c r="AG5846" s="19"/>
      <c r="AJ5846" s="410"/>
    </row>
    <row r="5847" spans="33:36" ht="11.25" customHeight="1" x14ac:dyDescent="0.2">
      <c r="AG5847" s="19"/>
      <c r="AJ5847" s="410"/>
    </row>
    <row r="5848" spans="33:36" ht="11.25" customHeight="1" x14ac:dyDescent="0.2">
      <c r="AG5848" s="19"/>
      <c r="AJ5848" s="410"/>
    </row>
    <row r="5849" spans="33:36" ht="11.25" customHeight="1" x14ac:dyDescent="0.2">
      <c r="AG5849" s="19"/>
      <c r="AJ5849" s="410"/>
    </row>
    <row r="5850" spans="33:36" ht="11.25" customHeight="1" x14ac:dyDescent="0.2">
      <c r="AG5850" s="19"/>
      <c r="AJ5850" s="410"/>
    </row>
    <row r="5851" spans="33:36" ht="11.25" customHeight="1" x14ac:dyDescent="0.2">
      <c r="AG5851" s="19"/>
      <c r="AJ5851" s="410"/>
    </row>
    <row r="5852" spans="33:36" ht="11.25" customHeight="1" x14ac:dyDescent="0.2">
      <c r="AG5852" s="19"/>
      <c r="AJ5852" s="410"/>
    </row>
    <row r="5853" spans="33:36" ht="11.25" customHeight="1" x14ac:dyDescent="0.2">
      <c r="AG5853" s="19"/>
      <c r="AJ5853" s="410"/>
    </row>
    <row r="5854" spans="33:36" ht="11.25" customHeight="1" x14ac:dyDescent="0.2">
      <c r="AG5854" s="19"/>
      <c r="AJ5854" s="410"/>
    </row>
    <row r="5855" spans="33:36" ht="11.25" customHeight="1" x14ac:dyDescent="0.2">
      <c r="AG5855" s="19"/>
      <c r="AJ5855" s="410"/>
    </row>
    <row r="5856" spans="33:36" ht="11.25" customHeight="1" x14ac:dyDescent="0.2">
      <c r="AG5856" s="19"/>
      <c r="AJ5856" s="410"/>
    </row>
    <row r="5857" spans="33:36" ht="11.25" customHeight="1" x14ac:dyDescent="0.2">
      <c r="AG5857" s="19"/>
      <c r="AJ5857" s="410"/>
    </row>
    <row r="5858" spans="33:36" ht="11.25" customHeight="1" x14ac:dyDescent="0.2">
      <c r="AG5858" s="19"/>
      <c r="AJ5858" s="410"/>
    </row>
    <row r="5859" spans="33:36" ht="11.25" customHeight="1" x14ac:dyDescent="0.2">
      <c r="AG5859" s="19"/>
      <c r="AJ5859" s="410"/>
    </row>
    <row r="5860" spans="33:36" ht="11.25" customHeight="1" x14ac:dyDescent="0.2">
      <c r="AG5860" s="19"/>
      <c r="AJ5860" s="410"/>
    </row>
    <row r="5861" spans="33:36" ht="11.25" customHeight="1" x14ac:dyDescent="0.2">
      <c r="AG5861" s="19"/>
      <c r="AJ5861" s="410"/>
    </row>
    <row r="5862" spans="33:36" ht="11.25" customHeight="1" x14ac:dyDescent="0.2">
      <c r="AG5862" s="19"/>
      <c r="AJ5862" s="410"/>
    </row>
    <row r="5863" spans="33:36" ht="11.25" customHeight="1" x14ac:dyDescent="0.2">
      <c r="AG5863" s="19"/>
      <c r="AJ5863" s="410"/>
    </row>
    <row r="5864" spans="33:36" ht="11.25" customHeight="1" x14ac:dyDescent="0.2">
      <c r="AG5864" s="19"/>
      <c r="AJ5864" s="410"/>
    </row>
    <row r="5865" spans="33:36" ht="11.25" customHeight="1" x14ac:dyDescent="0.2">
      <c r="AG5865" s="19"/>
      <c r="AJ5865" s="410"/>
    </row>
    <row r="5866" spans="33:36" ht="11.25" customHeight="1" x14ac:dyDescent="0.2">
      <c r="AG5866" s="19"/>
      <c r="AJ5866" s="410"/>
    </row>
    <row r="5867" spans="33:36" ht="11.25" customHeight="1" x14ac:dyDescent="0.2">
      <c r="AG5867" s="19"/>
      <c r="AJ5867" s="410"/>
    </row>
    <row r="5868" spans="33:36" ht="11.25" customHeight="1" x14ac:dyDescent="0.2">
      <c r="AG5868" s="19"/>
      <c r="AJ5868" s="410"/>
    </row>
    <row r="5869" spans="33:36" ht="11.25" customHeight="1" x14ac:dyDescent="0.2">
      <c r="AG5869" s="19"/>
      <c r="AJ5869" s="410"/>
    </row>
    <row r="5870" spans="33:36" ht="11.25" customHeight="1" x14ac:dyDescent="0.2">
      <c r="AG5870" s="19"/>
      <c r="AJ5870" s="410"/>
    </row>
    <row r="5871" spans="33:36" ht="11.25" customHeight="1" x14ac:dyDescent="0.2">
      <c r="AG5871" s="19"/>
      <c r="AJ5871" s="410"/>
    </row>
    <row r="5872" spans="33:36" ht="11.25" customHeight="1" x14ac:dyDescent="0.2">
      <c r="AG5872" s="19"/>
      <c r="AJ5872" s="410"/>
    </row>
    <row r="5873" spans="33:36" ht="11.25" customHeight="1" x14ac:dyDescent="0.2">
      <c r="AG5873" s="19"/>
      <c r="AJ5873" s="410"/>
    </row>
    <row r="5874" spans="33:36" ht="11.25" customHeight="1" x14ac:dyDescent="0.2">
      <c r="AG5874" s="19"/>
      <c r="AJ5874" s="410"/>
    </row>
    <row r="5875" spans="33:36" ht="11.25" customHeight="1" x14ac:dyDescent="0.2">
      <c r="AG5875" s="19"/>
      <c r="AJ5875" s="410"/>
    </row>
    <row r="5876" spans="33:36" ht="11.25" customHeight="1" x14ac:dyDescent="0.2">
      <c r="AG5876" s="19"/>
      <c r="AJ5876" s="410"/>
    </row>
    <row r="5877" spans="33:36" ht="11.25" customHeight="1" x14ac:dyDescent="0.2">
      <c r="AG5877" s="19"/>
      <c r="AJ5877" s="410"/>
    </row>
    <row r="5878" spans="33:36" ht="11.25" customHeight="1" x14ac:dyDescent="0.2">
      <c r="AG5878" s="19"/>
      <c r="AJ5878" s="410"/>
    </row>
    <row r="5879" spans="33:36" ht="11.25" customHeight="1" x14ac:dyDescent="0.2">
      <c r="AG5879" s="19"/>
      <c r="AJ5879" s="410"/>
    </row>
    <row r="5880" spans="33:36" ht="11.25" customHeight="1" x14ac:dyDescent="0.2">
      <c r="AG5880" s="19"/>
      <c r="AJ5880" s="410"/>
    </row>
    <row r="5881" spans="33:36" ht="11.25" customHeight="1" x14ac:dyDescent="0.2">
      <c r="AG5881" s="19"/>
      <c r="AJ5881" s="410"/>
    </row>
    <row r="5882" spans="33:36" ht="11.25" customHeight="1" x14ac:dyDescent="0.2">
      <c r="AG5882" s="19"/>
      <c r="AJ5882" s="410"/>
    </row>
    <row r="5883" spans="33:36" ht="11.25" customHeight="1" x14ac:dyDescent="0.2">
      <c r="AG5883" s="19"/>
      <c r="AJ5883" s="410"/>
    </row>
    <row r="5884" spans="33:36" ht="11.25" customHeight="1" x14ac:dyDescent="0.2">
      <c r="AG5884" s="19"/>
      <c r="AJ5884" s="410"/>
    </row>
    <row r="5885" spans="33:36" ht="11.25" customHeight="1" x14ac:dyDescent="0.2">
      <c r="AG5885" s="19"/>
      <c r="AJ5885" s="410"/>
    </row>
    <row r="5886" spans="33:36" ht="11.25" customHeight="1" x14ac:dyDescent="0.2">
      <c r="AG5886" s="19"/>
      <c r="AJ5886" s="410"/>
    </row>
    <row r="5887" spans="33:36" ht="11.25" customHeight="1" x14ac:dyDescent="0.2">
      <c r="AG5887" s="19"/>
      <c r="AJ5887" s="410"/>
    </row>
    <row r="5888" spans="33:36" ht="11.25" customHeight="1" x14ac:dyDescent="0.2">
      <c r="AG5888" s="19"/>
      <c r="AJ5888" s="410"/>
    </row>
    <row r="5889" spans="33:36" ht="11.25" customHeight="1" x14ac:dyDescent="0.2">
      <c r="AG5889" s="19"/>
      <c r="AJ5889" s="410"/>
    </row>
    <row r="5890" spans="33:36" ht="11.25" customHeight="1" x14ac:dyDescent="0.2">
      <c r="AG5890" s="19"/>
      <c r="AJ5890" s="410"/>
    </row>
    <row r="5891" spans="33:36" ht="11.25" customHeight="1" x14ac:dyDescent="0.2">
      <c r="AG5891" s="19"/>
      <c r="AJ5891" s="410"/>
    </row>
    <row r="5892" spans="33:36" ht="11.25" customHeight="1" x14ac:dyDescent="0.2">
      <c r="AG5892" s="19"/>
      <c r="AJ5892" s="410"/>
    </row>
    <row r="5893" spans="33:36" ht="11.25" customHeight="1" x14ac:dyDescent="0.2">
      <c r="AG5893" s="19"/>
      <c r="AJ5893" s="410"/>
    </row>
    <row r="5894" spans="33:36" ht="11.25" customHeight="1" x14ac:dyDescent="0.2">
      <c r="AG5894" s="19"/>
      <c r="AJ5894" s="410"/>
    </row>
    <row r="5895" spans="33:36" ht="11.25" customHeight="1" x14ac:dyDescent="0.2">
      <c r="AG5895" s="19"/>
      <c r="AJ5895" s="410"/>
    </row>
    <row r="5896" spans="33:36" ht="11.25" customHeight="1" x14ac:dyDescent="0.2">
      <c r="AG5896" s="19"/>
      <c r="AJ5896" s="410"/>
    </row>
    <row r="5897" spans="33:36" ht="11.25" customHeight="1" x14ac:dyDescent="0.2">
      <c r="AG5897" s="19"/>
      <c r="AJ5897" s="410"/>
    </row>
    <row r="5898" spans="33:36" ht="11.25" customHeight="1" x14ac:dyDescent="0.2">
      <c r="AG5898" s="19"/>
      <c r="AJ5898" s="410"/>
    </row>
    <row r="5899" spans="33:36" ht="11.25" customHeight="1" x14ac:dyDescent="0.2">
      <c r="AG5899" s="19"/>
      <c r="AJ5899" s="410"/>
    </row>
    <row r="5900" spans="33:36" ht="11.25" customHeight="1" x14ac:dyDescent="0.2">
      <c r="AG5900" s="19"/>
      <c r="AJ5900" s="410"/>
    </row>
    <row r="5901" spans="33:36" ht="11.25" customHeight="1" x14ac:dyDescent="0.2">
      <c r="AG5901" s="19"/>
      <c r="AJ5901" s="410"/>
    </row>
    <row r="5902" spans="33:36" ht="11.25" customHeight="1" x14ac:dyDescent="0.2">
      <c r="AG5902" s="19"/>
      <c r="AJ5902" s="410"/>
    </row>
    <row r="5903" spans="33:36" ht="11.25" customHeight="1" x14ac:dyDescent="0.2">
      <c r="AG5903" s="19"/>
      <c r="AJ5903" s="410"/>
    </row>
    <row r="5904" spans="33:36" ht="11.25" customHeight="1" x14ac:dyDescent="0.2">
      <c r="AG5904" s="19"/>
      <c r="AJ5904" s="410"/>
    </row>
    <row r="5905" spans="33:36" ht="11.25" customHeight="1" x14ac:dyDescent="0.2">
      <c r="AG5905" s="19"/>
      <c r="AJ5905" s="410"/>
    </row>
    <row r="5906" spans="33:36" ht="11.25" customHeight="1" x14ac:dyDescent="0.2">
      <c r="AG5906" s="19"/>
      <c r="AJ5906" s="410"/>
    </row>
    <row r="5907" spans="33:36" ht="11.25" customHeight="1" x14ac:dyDescent="0.2">
      <c r="AG5907" s="19"/>
      <c r="AJ5907" s="410"/>
    </row>
    <row r="5908" spans="33:36" ht="11.25" customHeight="1" x14ac:dyDescent="0.2">
      <c r="AG5908" s="19"/>
      <c r="AJ5908" s="410"/>
    </row>
    <row r="5909" spans="33:36" ht="11.25" customHeight="1" x14ac:dyDescent="0.2">
      <c r="AG5909" s="19"/>
      <c r="AJ5909" s="410"/>
    </row>
    <row r="5910" spans="33:36" ht="11.25" customHeight="1" x14ac:dyDescent="0.2">
      <c r="AG5910" s="19"/>
      <c r="AJ5910" s="410"/>
    </row>
    <row r="5911" spans="33:36" ht="11.25" customHeight="1" x14ac:dyDescent="0.2">
      <c r="AG5911" s="19"/>
      <c r="AJ5911" s="410"/>
    </row>
    <row r="5912" spans="33:36" ht="11.25" customHeight="1" x14ac:dyDescent="0.2">
      <c r="AG5912" s="19"/>
      <c r="AJ5912" s="410"/>
    </row>
    <row r="5913" spans="33:36" ht="11.25" customHeight="1" x14ac:dyDescent="0.2">
      <c r="AG5913" s="19"/>
      <c r="AJ5913" s="410"/>
    </row>
    <row r="5914" spans="33:36" ht="11.25" customHeight="1" x14ac:dyDescent="0.2">
      <c r="AG5914" s="19"/>
      <c r="AJ5914" s="410"/>
    </row>
    <row r="5915" spans="33:36" ht="11.25" customHeight="1" x14ac:dyDescent="0.2">
      <c r="AG5915" s="19"/>
      <c r="AJ5915" s="410"/>
    </row>
    <row r="5916" spans="33:36" ht="11.25" customHeight="1" x14ac:dyDescent="0.2">
      <c r="AG5916" s="19"/>
      <c r="AJ5916" s="410"/>
    </row>
    <row r="5917" spans="33:36" ht="11.25" customHeight="1" x14ac:dyDescent="0.2">
      <c r="AG5917" s="19"/>
      <c r="AJ5917" s="410"/>
    </row>
    <row r="5918" spans="33:36" ht="11.25" customHeight="1" x14ac:dyDescent="0.2">
      <c r="AG5918" s="19"/>
      <c r="AJ5918" s="410"/>
    </row>
    <row r="5919" spans="33:36" ht="11.25" customHeight="1" x14ac:dyDescent="0.2">
      <c r="AG5919" s="19"/>
      <c r="AJ5919" s="410"/>
    </row>
    <row r="5920" spans="33:36" ht="11.25" customHeight="1" x14ac:dyDescent="0.2">
      <c r="AG5920" s="19"/>
      <c r="AJ5920" s="410"/>
    </row>
    <row r="5921" spans="33:36" ht="11.25" customHeight="1" x14ac:dyDescent="0.2">
      <c r="AG5921" s="19"/>
      <c r="AJ5921" s="410"/>
    </row>
    <row r="5922" spans="33:36" ht="11.25" customHeight="1" x14ac:dyDescent="0.2">
      <c r="AG5922" s="19"/>
      <c r="AJ5922" s="410"/>
    </row>
    <row r="5923" spans="33:36" ht="11.25" customHeight="1" x14ac:dyDescent="0.2">
      <c r="AG5923" s="19"/>
      <c r="AJ5923" s="410"/>
    </row>
    <row r="5924" spans="33:36" ht="11.25" customHeight="1" x14ac:dyDescent="0.2">
      <c r="AG5924" s="19"/>
      <c r="AJ5924" s="410"/>
    </row>
    <row r="5925" spans="33:36" ht="11.25" customHeight="1" x14ac:dyDescent="0.2">
      <c r="AG5925" s="19"/>
      <c r="AJ5925" s="410"/>
    </row>
    <row r="5926" spans="33:36" ht="11.25" customHeight="1" x14ac:dyDescent="0.2">
      <c r="AG5926" s="19"/>
      <c r="AJ5926" s="410"/>
    </row>
    <row r="5927" spans="33:36" ht="11.25" customHeight="1" x14ac:dyDescent="0.2">
      <c r="AG5927" s="19"/>
      <c r="AJ5927" s="410"/>
    </row>
    <row r="5928" spans="33:36" ht="11.25" customHeight="1" x14ac:dyDescent="0.2">
      <c r="AG5928" s="19"/>
      <c r="AJ5928" s="410"/>
    </row>
    <row r="5929" spans="33:36" ht="11.25" customHeight="1" x14ac:dyDescent="0.2">
      <c r="AG5929" s="19"/>
      <c r="AJ5929" s="410"/>
    </row>
    <row r="5930" spans="33:36" ht="11.25" customHeight="1" x14ac:dyDescent="0.2">
      <c r="AG5930" s="19"/>
      <c r="AJ5930" s="410"/>
    </row>
    <row r="5931" spans="33:36" ht="11.25" customHeight="1" x14ac:dyDescent="0.2">
      <c r="AG5931" s="19"/>
      <c r="AJ5931" s="410"/>
    </row>
    <row r="5932" spans="33:36" ht="11.25" customHeight="1" x14ac:dyDescent="0.2">
      <c r="AG5932" s="19"/>
      <c r="AJ5932" s="410"/>
    </row>
    <row r="5933" spans="33:36" ht="11.25" customHeight="1" x14ac:dyDescent="0.2">
      <c r="AG5933" s="19"/>
      <c r="AJ5933" s="410"/>
    </row>
    <row r="5934" spans="33:36" ht="11.25" customHeight="1" x14ac:dyDescent="0.2">
      <c r="AG5934" s="19"/>
      <c r="AJ5934" s="410"/>
    </row>
    <row r="5935" spans="33:36" ht="11.25" customHeight="1" x14ac:dyDescent="0.2">
      <c r="AG5935" s="19"/>
      <c r="AJ5935" s="410"/>
    </row>
    <row r="5936" spans="33:36" ht="11.25" customHeight="1" x14ac:dyDescent="0.2">
      <c r="AG5936" s="19"/>
      <c r="AJ5936" s="410"/>
    </row>
    <row r="5937" spans="33:36" ht="11.25" customHeight="1" x14ac:dyDescent="0.2">
      <c r="AG5937" s="19"/>
      <c r="AJ5937" s="410"/>
    </row>
    <row r="5938" spans="33:36" ht="11.25" customHeight="1" x14ac:dyDescent="0.2">
      <c r="AG5938" s="19"/>
      <c r="AJ5938" s="410"/>
    </row>
    <row r="5939" spans="33:36" ht="11.25" customHeight="1" x14ac:dyDescent="0.2">
      <c r="AG5939" s="19"/>
      <c r="AJ5939" s="410"/>
    </row>
    <row r="5940" spans="33:36" ht="11.25" customHeight="1" x14ac:dyDescent="0.2">
      <c r="AG5940" s="19"/>
      <c r="AJ5940" s="410"/>
    </row>
    <row r="5941" spans="33:36" ht="11.25" customHeight="1" x14ac:dyDescent="0.2">
      <c r="AG5941" s="19"/>
      <c r="AJ5941" s="410"/>
    </row>
    <row r="5942" spans="33:36" ht="11.25" customHeight="1" x14ac:dyDescent="0.2">
      <c r="AG5942" s="19"/>
      <c r="AJ5942" s="410"/>
    </row>
    <row r="5943" spans="33:36" ht="11.25" customHeight="1" x14ac:dyDescent="0.2">
      <c r="AG5943" s="19"/>
      <c r="AJ5943" s="410"/>
    </row>
    <row r="5944" spans="33:36" ht="11.25" customHeight="1" x14ac:dyDescent="0.2">
      <c r="AG5944" s="19"/>
      <c r="AJ5944" s="410"/>
    </row>
    <row r="5945" spans="33:36" ht="11.25" customHeight="1" x14ac:dyDescent="0.2">
      <c r="AG5945" s="19"/>
      <c r="AJ5945" s="410"/>
    </row>
    <row r="5946" spans="33:36" ht="11.25" customHeight="1" x14ac:dyDescent="0.2">
      <c r="AG5946" s="19"/>
      <c r="AJ5946" s="410"/>
    </row>
    <row r="5947" spans="33:36" ht="11.25" customHeight="1" x14ac:dyDescent="0.2">
      <c r="AG5947" s="19"/>
      <c r="AJ5947" s="410"/>
    </row>
    <row r="5948" spans="33:36" ht="11.25" customHeight="1" x14ac:dyDescent="0.2">
      <c r="AG5948" s="19"/>
      <c r="AJ5948" s="410"/>
    </row>
    <row r="5949" spans="33:36" ht="11.25" customHeight="1" x14ac:dyDescent="0.2">
      <c r="AG5949" s="19"/>
      <c r="AJ5949" s="410"/>
    </row>
    <row r="5950" spans="33:36" ht="11.25" customHeight="1" x14ac:dyDescent="0.2">
      <c r="AG5950" s="19"/>
      <c r="AJ5950" s="410"/>
    </row>
    <row r="5951" spans="33:36" ht="11.25" customHeight="1" x14ac:dyDescent="0.2">
      <c r="AG5951" s="19"/>
      <c r="AJ5951" s="410"/>
    </row>
    <row r="5952" spans="33:36" ht="11.25" customHeight="1" x14ac:dyDescent="0.2">
      <c r="AG5952" s="19"/>
      <c r="AJ5952" s="410"/>
    </row>
    <row r="5953" spans="33:36" ht="11.25" customHeight="1" x14ac:dyDescent="0.2">
      <c r="AG5953" s="19"/>
      <c r="AJ5953" s="410"/>
    </row>
    <row r="5954" spans="33:36" ht="11.25" customHeight="1" x14ac:dyDescent="0.2">
      <c r="AG5954" s="19"/>
      <c r="AJ5954" s="410"/>
    </row>
    <row r="5955" spans="33:36" ht="11.25" customHeight="1" x14ac:dyDescent="0.2">
      <c r="AG5955" s="19"/>
      <c r="AJ5955" s="410"/>
    </row>
    <row r="5956" spans="33:36" ht="11.25" customHeight="1" x14ac:dyDescent="0.2">
      <c r="AG5956" s="19"/>
      <c r="AJ5956" s="410"/>
    </row>
    <row r="5957" spans="33:36" ht="11.25" customHeight="1" x14ac:dyDescent="0.2">
      <c r="AG5957" s="19"/>
      <c r="AJ5957" s="410"/>
    </row>
    <row r="5958" spans="33:36" ht="11.25" customHeight="1" x14ac:dyDescent="0.2">
      <c r="AG5958" s="19"/>
      <c r="AJ5958" s="410"/>
    </row>
    <row r="5959" spans="33:36" ht="11.25" customHeight="1" x14ac:dyDescent="0.2">
      <c r="AG5959" s="19"/>
      <c r="AJ5959" s="410"/>
    </row>
    <row r="5960" spans="33:36" ht="11.25" customHeight="1" x14ac:dyDescent="0.2">
      <c r="AG5960" s="19"/>
      <c r="AJ5960" s="410"/>
    </row>
    <row r="5961" spans="33:36" ht="11.25" customHeight="1" x14ac:dyDescent="0.2">
      <c r="AG5961" s="19"/>
      <c r="AJ5961" s="410"/>
    </row>
    <row r="5962" spans="33:36" ht="11.25" customHeight="1" x14ac:dyDescent="0.2">
      <c r="AG5962" s="19"/>
      <c r="AJ5962" s="410"/>
    </row>
    <row r="5963" spans="33:36" ht="11.25" customHeight="1" x14ac:dyDescent="0.2">
      <c r="AG5963" s="19"/>
      <c r="AJ5963" s="410"/>
    </row>
    <row r="5964" spans="33:36" ht="11.25" customHeight="1" x14ac:dyDescent="0.2">
      <c r="AG5964" s="19"/>
      <c r="AJ5964" s="410"/>
    </row>
    <row r="5965" spans="33:36" ht="11.25" customHeight="1" x14ac:dyDescent="0.2">
      <c r="AG5965" s="19"/>
      <c r="AJ5965" s="410"/>
    </row>
    <row r="5966" spans="33:36" ht="11.25" customHeight="1" x14ac:dyDescent="0.2">
      <c r="AG5966" s="19"/>
      <c r="AJ5966" s="410"/>
    </row>
    <row r="5967" spans="33:36" ht="11.25" customHeight="1" x14ac:dyDescent="0.2">
      <c r="AG5967" s="19"/>
      <c r="AJ5967" s="410"/>
    </row>
    <row r="5968" spans="33:36" ht="11.25" customHeight="1" x14ac:dyDescent="0.2">
      <c r="AG5968" s="19"/>
      <c r="AJ5968" s="410"/>
    </row>
    <row r="5969" spans="33:36" ht="11.25" customHeight="1" x14ac:dyDescent="0.2">
      <c r="AG5969" s="19"/>
      <c r="AJ5969" s="410"/>
    </row>
    <row r="5970" spans="33:36" ht="11.25" customHeight="1" x14ac:dyDescent="0.2">
      <c r="AG5970" s="19"/>
      <c r="AJ5970" s="410"/>
    </row>
    <row r="5971" spans="33:36" ht="11.25" customHeight="1" x14ac:dyDescent="0.2">
      <c r="AG5971" s="19"/>
      <c r="AJ5971" s="410"/>
    </row>
    <row r="5972" spans="33:36" ht="11.25" customHeight="1" x14ac:dyDescent="0.2">
      <c r="AG5972" s="19"/>
      <c r="AJ5972" s="410"/>
    </row>
    <row r="5973" spans="33:36" ht="11.25" customHeight="1" x14ac:dyDescent="0.2">
      <c r="AG5973" s="19"/>
      <c r="AJ5973" s="410"/>
    </row>
    <row r="5974" spans="33:36" ht="11.25" customHeight="1" x14ac:dyDescent="0.2">
      <c r="AG5974" s="19"/>
      <c r="AJ5974" s="410"/>
    </row>
    <row r="5975" spans="33:36" ht="11.25" customHeight="1" x14ac:dyDescent="0.2">
      <c r="AG5975" s="19"/>
      <c r="AJ5975" s="410"/>
    </row>
    <row r="5976" spans="33:36" ht="11.25" customHeight="1" x14ac:dyDescent="0.2">
      <c r="AG5976" s="19"/>
      <c r="AJ5976" s="410"/>
    </row>
    <row r="5977" spans="33:36" ht="11.25" customHeight="1" x14ac:dyDescent="0.2">
      <c r="AG5977" s="19"/>
      <c r="AJ5977" s="410"/>
    </row>
    <row r="5978" spans="33:36" ht="11.25" customHeight="1" x14ac:dyDescent="0.2">
      <c r="AG5978" s="19"/>
      <c r="AJ5978" s="410"/>
    </row>
    <row r="5979" spans="33:36" ht="11.25" customHeight="1" x14ac:dyDescent="0.2">
      <c r="AG5979" s="19"/>
      <c r="AJ5979" s="410"/>
    </row>
    <row r="5980" spans="33:36" ht="11.25" customHeight="1" x14ac:dyDescent="0.2">
      <c r="AG5980" s="19"/>
      <c r="AJ5980" s="410"/>
    </row>
    <row r="5981" spans="33:36" ht="11.25" customHeight="1" x14ac:dyDescent="0.2">
      <c r="AG5981" s="19"/>
      <c r="AJ5981" s="410"/>
    </row>
    <row r="5982" spans="33:36" ht="11.25" customHeight="1" x14ac:dyDescent="0.2">
      <c r="AG5982" s="19"/>
      <c r="AJ5982" s="410"/>
    </row>
    <row r="5983" spans="33:36" ht="11.25" customHeight="1" x14ac:dyDescent="0.2">
      <c r="AG5983" s="19"/>
      <c r="AJ5983" s="410"/>
    </row>
    <row r="5984" spans="33:36" ht="11.25" customHeight="1" x14ac:dyDescent="0.2">
      <c r="AG5984" s="19"/>
      <c r="AJ5984" s="410"/>
    </row>
    <row r="5985" spans="33:36" ht="11.25" customHeight="1" x14ac:dyDescent="0.2">
      <c r="AG5985" s="19"/>
      <c r="AJ5985" s="410"/>
    </row>
    <row r="5986" spans="33:36" ht="11.25" customHeight="1" x14ac:dyDescent="0.2">
      <c r="AG5986" s="19"/>
      <c r="AJ5986" s="410"/>
    </row>
    <row r="5987" spans="33:36" ht="11.25" customHeight="1" x14ac:dyDescent="0.2">
      <c r="AG5987" s="19"/>
      <c r="AJ5987" s="410"/>
    </row>
    <row r="5988" spans="33:36" ht="11.25" customHeight="1" x14ac:dyDescent="0.2">
      <c r="AG5988" s="19"/>
      <c r="AJ5988" s="410"/>
    </row>
    <row r="5989" spans="33:36" ht="11.25" customHeight="1" x14ac:dyDescent="0.2">
      <c r="AG5989" s="19"/>
      <c r="AJ5989" s="410"/>
    </row>
    <row r="5990" spans="33:36" ht="11.25" customHeight="1" x14ac:dyDescent="0.2">
      <c r="AG5990" s="19"/>
      <c r="AJ5990" s="410"/>
    </row>
    <row r="5991" spans="33:36" ht="11.25" customHeight="1" x14ac:dyDescent="0.2">
      <c r="AG5991" s="19"/>
      <c r="AJ5991" s="410"/>
    </row>
    <row r="5992" spans="33:36" ht="11.25" customHeight="1" x14ac:dyDescent="0.2">
      <c r="AG5992" s="19"/>
      <c r="AJ5992" s="410"/>
    </row>
    <row r="5993" spans="33:36" ht="11.25" customHeight="1" x14ac:dyDescent="0.2">
      <c r="AG5993" s="19"/>
      <c r="AJ5993" s="410"/>
    </row>
    <row r="5994" spans="33:36" ht="11.25" customHeight="1" x14ac:dyDescent="0.2">
      <c r="AG5994" s="19"/>
      <c r="AJ5994" s="410"/>
    </row>
    <row r="5995" spans="33:36" ht="11.25" customHeight="1" x14ac:dyDescent="0.2">
      <c r="AG5995" s="19"/>
      <c r="AJ5995" s="410"/>
    </row>
    <row r="5996" spans="33:36" ht="11.25" customHeight="1" x14ac:dyDescent="0.2">
      <c r="AG5996" s="19"/>
      <c r="AJ5996" s="410"/>
    </row>
    <row r="5997" spans="33:36" ht="11.25" customHeight="1" x14ac:dyDescent="0.2">
      <c r="AG5997" s="19"/>
      <c r="AJ5997" s="410"/>
    </row>
    <row r="5998" spans="33:36" ht="11.25" customHeight="1" x14ac:dyDescent="0.2">
      <c r="AG5998" s="19"/>
      <c r="AJ5998" s="410"/>
    </row>
    <row r="5999" spans="33:36" ht="11.25" customHeight="1" x14ac:dyDescent="0.2">
      <c r="AG5999" s="19"/>
      <c r="AJ5999" s="410"/>
    </row>
    <row r="6000" spans="33:36" ht="11.25" customHeight="1" x14ac:dyDescent="0.2">
      <c r="AG6000" s="19"/>
      <c r="AJ6000" s="410"/>
    </row>
    <row r="6001" spans="33:36" ht="11.25" customHeight="1" x14ac:dyDescent="0.2">
      <c r="AG6001" s="19"/>
      <c r="AJ6001" s="410"/>
    </row>
    <row r="6002" spans="33:36" ht="11.25" customHeight="1" x14ac:dyDescent="0.2">
      <c r="AG6002" s="19"/>
      <c r="AJ6002" s="410"/>
    </row>
    <row r="6003" spans="33:36" ht="11.25" customHeight="1" x14ac:dyDescent="0.2">
      <c r="AG6003" s="19"/>
      <c r="AJ6003" s="410"/>
    </row>
    <row r="6004" spans="33:36" ht="11.25" customHeight="1" x14ac:dyDescent="0.2">
      <c r="AG6004" s="19"/>
      <c r="AJ6004" s="410"/>
    </row>
    <row r="6005" spans="33:36" ht="11.25" customHeight="1" x14ac:dyDescent="0.2">
      <c r="AG6005" s="19"/>
      <c r="AJ6005" s="410"/>
    </row>
    <row r="6006" spans="33:36" ht="11.25" customHeight="1" x14ac:dyDescent="0.2">
      <c r="AG6006" s="19"/>
      <c r="AJ6006" s="410"/>
    </row>
    <row r="6007" spans="33:36" ht="11.25" customHeight="1" x14ac:dyDescent="0.2">
      <c r="AG6007" s="19"/>
      <c r="AJ6007" s="410"/>
    </row>
    <row r="6008" spans="33:36" ht="11.25" customHeight="1" x14ac:dyDescent="0.2">
      <c r="AG6008" s="19"/>
      <c r="AJ6008" s="410"/>
    </row>
    <row r="6009" spans="33:36" ht="11.25" customHeight="1" x14ac:dyDescent="0.2">
      <c r="AG6009" s="19"/>
      <c r="AJ6009" s="410"/>
    </row>
    <row r="6010" spans="33:36" ht="11.25" customHeight="1" x14ac:dyDescent="0.2">
      <c r="AG6010" s="19"/>
      <c r="AJ6010" s="410"/>
    </row>
    <row r="6011" spans="33:36" ht="11.25" customHeight="1" x14ac:dyDescent="0.2">
      <c r="AG6011" s="19"/>
      <c r="AJ6011" s="410"/>
    </row>
    <row r="6012" spans="33:36" ht="11.25" customHeight="1" x14ac:dyDescent="0.2">
      <c r="AG6012" s="19"/>
      <c r="AJ6012" s="410"/>
    </row>
    <row r="6013" spans="33:36" ht="11.25" customHeight="1" x14ac:dyDescent="0.2">
      <c r="AG6013" s="19"/>
      <c r="AJ6013" s="410"/>
    </row>
    <row r="6014" spans="33:36" ht="11.25" customHeight="1" x14ac:dyDescent="0.2">
      <c r="AG6014" s="19"/>
      <c r="AJ6014" s="410"/>
    </row>
    <row r="6015" spans="33:36" ht="11.25" customHeight="1" x14ac:dyDescent="0.2">
      <c r="AG6015" s="19"/>
      <c r="AJ6015" s="410"/>
    </row>
    <row r="6016" spans="33:36" ht="11.25" customHeight="1" x14ac:dyDescent="0.2">
      <c r="AG6016" s="19"/>
      <c r="AJ6016" s="410"/>
    </row>
    <row r="6017" spans="33:36" ht="11.25" customHeight="1" x14ac:dyDescent="0.2">
      <c r="AG6017" s="19"/>
      <c r="AJ6017" s="410"/>
    </row>
    <row r="6018" spans="33:36" ht="11.25" customHeight="1" x14ac:dyDescent="0.2">
      <c r="AG6018" s="19"/>
      <c r="AJ6018" s="410"/>
    </row>
    <row r="6019" spans="33:36" ht="11.25" customHeight="1" x14ac:dyDescent="0.2">
      <c r="AG6019" s="19"/>
      <c r="AJ6019" s="410"/>
    </row>
    <row r="6020" spans="33:36" ht="11.25" customHeight="1" x14ac:dyDescent="0.2">
      <c r="AG6020" s="19"/>
      <c r="AJ6020" s="410"/>
    </row>
    <row r="6021" spans="33:36" ht="11.25" customHeight="1" x14ac:dyDescent="0.2">
      <c r="AG6021" s="19"/>
      <c r="AJ6021" s="410"/>
    </row>
    <row r="6022" spans="33:36" ht="11.25" customHeight="1" x14ac:dyDescent="0.2">
      <c r="AG6022" s="19"/>
      <c r="AJ6022" s="410"/>
    </row>
    <row r="6023" spans="33:36" ht="11.25" customHeight="1" x14ac:dyDescent="0.2">
      <c r="AG6023" s="19"/>
      <c r="AJ6023" s="410"/>
    </row>
    <row r="6024" spans="33:36" ht="11.25" customHeight="1" x14ac:dyDescent="0.2">
      <c r="AG6024" s="19"/>
      <c r="AJ6024" s="410"/>
    </row>
    <row r="6025" spans="33:36" ht="11.25" customHeight="1" x14ac:dyDescent="0.2">
      <c r="AG6025" s="19"/>
      <c r="AJ6025" s="410"/>
    </row>
    <row r="6026" spans="33:36" ht="11.25" customHeight="1" x14ac:dyDescent="0.2">
      <c r="AG6026" s="19"/>
      <c r="AJ6026" s="410"/>
    </row>
    <row r="6027" spans="33:36" ht="11.25" customHeight="1" x14ac:dyDescent="0.2">
      <c r="AG6027" s="19"/>
      <c r="AJ6027" s="410"/>
    </row>
    <row r="6028" spans="33:36" ht="11.25" customHeight="1" x14ac:dyDescent="0.2">
      <c r="AG6028" s="19"/>
      <c r="AJ6028" s="410"/>
    </row>
    <row r="6029" spans="33:36" ht="11.25" customHeight="1" x14ac:dyDescent="0.2">
      <c r="AG6029" s="19"/>
      <c r="AJ6029" s="410"/>
    </row>
    <row r="6030" spans="33:36" ht="11.25" customHeight="1" x14ac:dyDescent="0.2">
      <c r="AG6030" s="19"/>
      <c r="AJ6030" s="410"/>
    </row>
    <row r="6031" spans="33:36" ht="11.25" customHeight="1" x14ac:dyDescent="0.2">
      <c r="AG6031" s="19"/>
      <c r="AJ6031" s="410"/>
    </row>
    <row r="6032" spans="33:36" ht="11.25" customHeight="1" x14ac:dyDescent="0.2">
      <c r="AG6032" s="19"/>
      <c r="AJ6032" s="410"/>
    </row>
    <row r="6033" spans="33:36" ht="11.25" customHeight="1" x14ac:dyDescent="0.2">
      <c r="AG6033" s="19"/>
      <c r="AJ6033" s="410"/>
    </row>
    <row r="6034" spans="33:36" ht="11.25" customHeight="1" x14ac:dyDescent="0.2">
      <c r="AG6034" s="19"/>
      <c r="AJ6034" s="410"/>
    </row>
    <row r="6035" spans="33:36" ht="11.25" customHeight="1" x14ac:dyDescent="0.2">
      <c r="AG6035" s="19"/>
      <c r="AJ6035" s="410"/>
    </row>
    <row r="6036" spans="33:36" ht="11.25" customHeight="1" x14ac:dyDescent="0.2">
      <c r="AG6036" s="19"/>
      <c r="AJ6036" s="410"/>
    </row>
    <row r="6037" spans="33:36" ht="11.25" customHeight="1" x14ac:dyDescent="0.2">
      <c r="AG6037" s="19"/>
      <c r="AJ6037" s="410"/>
    </row>
    <row r="6038" spans="33:36" ht="11.25" customHeight="1" x14ac:dyDescent="0.2">
      <c r="AG6038" s="19"/>
      <c r="AJ6038" s="410"/>
    </row>
    <row r="6039" spans="33:36" ht="11.25" customHeight="1" x14ac:dyDescent="0.2">
      <c r="AG6039" s="19"/>
      <c r="AJ6039" s="410"/>
    </row>
    <row r="6040" spans="33:36" ht="11.25" customHeight="1" x14ac:dyDescent="0.2">
      <c r="AG6040" s="19"/>
      <c r="AJ6040" s="410"/>
    </row>
    <row r="6041" spans="33:36" ht="11.25" customHeight="1" x14ac:dyDescent="0.2">
      <c r="AG6041" s="19"/>
      <c r="AJ6041" s="410"/>
    </row>
    <row r="6042" spans="33:36" ht="11.25" customHeight="1" x14ac:dyDescent="0.2">
      <c r="AG6042" s="19"/>
      <c r="AJ6042" s="410"/>
    </row>
    <row r="6043" spans="33:36" ht="11.25" customHeight="1" x14ac:dyDescent="0.2">
      <c r="AG6043" s="19"/>
      <c r="AJ6043" s="410"/>
    </row>
    <row r="6044" spans="33:36" ht="11.25" customHeight="1" x14ac:dyDescent="0.2">
      <c r="AG6044" s="19"/>
      <c r="AJ6044" s="410"/>
    </row>
    <row r="6045" spans="33:36" ht="11.25" customHeight="1" x14ac:dyDescent="0.2">
      <c r="AG6045" s="19"/>
      <c r="AJ6045" s="410"/>
    </row>
    <row r="6046" spans="33:36" ht="11.25" customHeight="1" x14ac:dyDescent="0.2">
      <c r="AG6046" s="19"/>
      <c r="AJ6046" s="410"/>
    </row>
    <row r="6047" spans="33:36" ht="11.25" customHeight="1" x14ac:dyDescent="0.2">
      <c r="AG6047" s="19"/>
      <c r="AJ6047" s="410"/>
    </row>
    <row r="6048" spans="33:36" ht="11.25" customHeight="1" x14ac:dyDescent="0.2">
      <c r="AG6048" s="19"/>
      <c r="AJ6048" s="410"/>
    </row>
    <row r="6049" spans="33:36" ht="11.25" customHeight="1" x14ac:dyDescent="0.2">
      <c r="AG6049" s="19"/>
      <c r="AJ6049" s="410"/>
    </row>
    <row r="6050" spans="33:36" ht="11.25" customHeight="1" x14ac:dyDescent="0.2">
      <c r="AG6050" s="19"/>
      <c r="AJ6050" s="410"/>
    </row>
    <row r="6051" spans="33:36" ht="11.25" customHeight="1" x14ac:dyDescent="0.2">
      <c r="AG6051" s="19"/>
      <c r="AJ6051" s="410"/>
    </row>
    <row r="6052" spans="33:36" ht="11.25" customHeight="1" x14ac:dyDescent="0.2">
      <c r="AG6052" s="19"/>
      <c r="AJ6052" s="410"/>
    </row>
    <row r="6053" spans="33:36" ht="11.25" customHeight="1" x14ac:dyDescent="0.2">
      <c r="AG6053" s="19"/>
      <c r="AJ6053" s="410"/>
    </row>
    <row r="6054" spans="33:36" ht="11.25" customHeight="1" x14ac:dyDescent="0.2">
      <c r="AG6054" s="19"/>
      <c r="AJ6054" s="410"/>
    </row>
    <row r="6055" spans="33:36" ht="11.25" customHeight="1" x14ac:dyDescent="0.2">
      <c r="AG6055" s="19"/>
      <c r="AJ6055" s="410"/>
    </row>
    <row r="6056" spans="33:36" ht="11.25" customHeight="1" x14ac:dyDescent="0.2">
      <c r="AG6056" s="19"/>
      <c r="AJ6056" s="410"/>
    </row>
    <row r="6057" spans="33:36" ht="11.25" customHeight="1" x14ac:dyDescent="0.2">
      <c r="AG6057" s="19"/>
      <c r="AJ6057" s="410"/>
    </row>
    <row r="6058" spans="33:36" ht="11.25" customHeight="1" x14ac:dyDescent="0.2">
      <c r="AG6058" s="19"/>
      <c r="AJ6058" s="410"/>
    </row>
    <row r="6059" spans="33:36" ht="11.25" customHeight="1" x14ac:dyDescent="0.2">
      <c r="AG6059" s="19"/>
      <c r="AJ6059" s="410"/>
    </row>
    <row r="6060" spans="33:36" ht="11.25" customHeight="1" x14ac:dyDescent="0.2">
      <c r="AG6060" s="19"/>
      <c r="AJ6060" s="410"/>
    </row>
    <row r="6061" spans="33:36" ht="11.25" customHeight="1" x14ac:dyDescent="0.2">
      <c r="AG6061" s="19"/>
      <c r="AJ6061" s="410"/>
    </row>
    <row r="6062" spans="33:36" ht="11.25" customHeight="1" x14ac:dyDescent="0.2">
      <c r="AG6062" s="19"/>
      <c r="AJ6062" s="410"/>
    </row>
    <row r="6063" spans="33:36" ht="11.25" customHeight="1" x14ac:dyDescent="0.2">
      <c r="AG6063" s="19"/>
      <c r="AJ6063" s="410"/>
    </row>
    <row r="6064" spans="33:36" ht="11.25" customHeight="1" x14ac:dyDescent="0.2">
      <c r="AG6064" s="19"/>
      <c r="AJ6064" s="410"/>
    </row>
    <row r="6065" spans="33:36" ht="11.25" customHeight="1" x14ac:dyDescent="0.2">
      <c r="AG6065" s="19"/>
      <c r="AJ6065" s="410"/>
    </row>
    <row r="6066" spans="33:36" ht="11.25" customHeight="1" x14ac:dyDescent="0.2">
      <c r="AG6066" s="19"/>
      <c r="AJ6066" s="410"/>
    </row>
    <row r="6067" spans="33:36" ht="11.25" customHeight="1" x14ac:dyDescent="0.2">
      <c r="AG6067" s="19"/>
      <c r="AJ6067" s="410"/>
    </row>
    <row r="6068" spans="33:36" ht="11.25" customHeight="1" x14ac:dyDescent="0.2">
      <c r="AG6068" s="19"/>
      <c r="AJ6068" s="410"/>
    </row>
    <row r="6069" spans="33:36" ht="11.25" customHeight="1" x14ac:dyDescent="0.2">
      <c r="AG6069" s="19"/>
      <c r="AJ6069" s="410"/>
    </row>
    <row r="6070" spans="33:36" ht="11.25" customHeight="1" x14ac:dyDescent="0.2">
      <c r="AG6070" s="19"/>
      <c r="AJ6070" s="410"/>
    </row>
    <row r="6071" spans="33:36" ht="11.25" customHeight="1" x14ac:dyDescent="0.2">
      <c r="AG6071" s="19"/>
      <c r="AJ6071" s="410"/>
    </row>
    <row r="6072" spans="33:36" ht="11.25" customHeight="1" x14ac:dyDescent="0.2">
      <c r="AG6072" s="19"/>
      <c r="AJ6072" s="410"/>
    </row>
    <row r="6073" spans="33:36" ht="11.25" customHeight="1" x14ac:dyDescent="0.2">
      <c r="AG6073" s="19"/>
      <c r="AJ6073" s="410"/>
    </row>
    <row r="6074" spans="33:36" ht="11.25" customHeight="1" x14ac:dyDescent="0.2">
      <c r="AG6074" s="19"/>
      <c r="AJ6074" s="410"/>
    </row>
    <row r="6075" spans="33:36" ht="11.25" customHeight="1" x14ac:dyDescent="0.2">
      <c r="AG6075" s="19"/>
      <c r="AJ6075" s="410"/>
    </row>
    <row r="6076" spans="33:36" ht="11.25" customHeight="1" x14ac:dyDescent="0.2">
      <c r="AG6076" s="19"/>
      <c r="AJ6076" s="410"/>
    </row>
    <row r="6077" spans="33:36" ht="11.25" customHeight="1" x14ac:dyDescent="0.2">
      <c r="AG6077" s="19"/>
      <c r="AJ6077" s="410"/>
    </row>
    <row r="6078" spans="33:36" ht="11.25" customHeight="1" x14ac:dyDescent="0.2">
      <c r="AG6078" s="19"/>
      <c r="AJ6078" s="410"/>
    </row>
    <row r="6079" spans="33:36" ht="11.25" customHeight="1" x14ac:dyDescent="0.2">
      <c r="AG6079" s="19"/>
      <c r="AJ6079" s="410"/>
    </row>
    <row r="6080" spans="33:36" ht="11.25" customHeight="1" x14ac:dyDescent="0.2">
      <c r="AG6080" s="19"/>
      <c r="AJ6080" s="410"/>
    </row>
    <row r="6081" spans="33:36" ht="11.25" customHeight="1" x14ac:dyDescent="0.2">
      <c r="AG6081" s="19"/>
      <c r="AJ6081" s="410"/>
    </row>
    <row r="6082" spans="33:36" ht="11.25" customHeight="1" x14ac:dyDescent="0.2">
      <c r="AG6082" s="19"/>
      <c r="AJ6082" s="410"/>
    </row>
    <row r="6083" spans="33:36" ht="11.25" customHeight="1" x14ac:dyDescent="0.2">
      <c r="AG6083" s="19"/>
      <c r="AJ6083" s="410"/>
    </row>
    <row r="6084" spans="33:36" ht="11.25" customHeight="1" x14ac:dyDescent="0.2">
      <c r="AG6084" s="19"/>
      <c r="AJ6084" s="410"/>
    </row>
    <row r="6085" spans="33:36" ht="11.25" customHeight="1" x14ac:dyDescent="0.2">
      <c r="AG6085" s="19"/>
      <c r="AJ6085" s="410"/>
    </row>
    <row r="6086" spans="33:36" ht="11.25" customHeight="1" x14ac:dyDescent="0.2">
      <c r="AG6086" s="19"/>
      <c r="AJ6086" s="410"/>
    </row>
    <row r="6087" spans="33:36" ht="11.25" customHeight="1" x14ac:dyDescent="0.2">
      <c r="AG6087" s="19"/>
      <c r="AJ6087" s="410"/>
    </row>
    <row r="6088" spans="33:36" ht="11.25" customHeight="1" x14ac:dyDescent="0.2">
      <c r="AG6088" s="19"/>
      <c r="AJ6088" s="410"/>
    </row>
    <row r="6089" spans="33:36" ht="11.25" customHeight="1" x14ac:dyDescent="0.2">
      <c r="AG6089" s="19"/>
      <c r="AJ6089" s="410"/>
    </row>
    <row r="6090" spans="33:36" ht="11.25" customHeight="1" x14ac:dyDescent="0.2">
      <c r="AG6090" s="19"/>
      <c r="AJ6090" s="410"/>
    </row>
    <row r="6091" spans="33:36" ht="11.25" customHeight="1" x14ac:dyDescent="0.2">
      <c r="AG6091" s="19"/>
      <c r="AJ6091" s="410"/>
    </row>
    <row r="6092" spans="33:36" ht="11.25" customHeight="1" x14ac:dyDescent="0.2">
      <c r="AG6092" s="19"/>
      <c r="AJ6092" s="410"/>
    </row>
    <row r="6093" spans="33:36" ht="11.25" customHeight="1" x14ac:dyDescent="0.2">
      <c r="AG6093" s="19"/>
      <c r="AJ6093" s="410"/>
    </row>
    <row r="6094" spans="33:36" ht="11.25" customHeight="1" x14ac:dyDescent="0.2">
      <c r="AG6094" s="19"/>
      <c r="AJ6094" s="410"/>
    </row>
    <row r="6095" spans="33:36" ht="11.25" customHeight="1" x14ac:dyDescent="0.2">
      <c r="AG6095" s="19"/>
      <c r="AJ6095" s="410"/>
    </row>
    <row r="6096" spans="33:36" ht="11.25" customHeight="1" x14ac:dyDescent="0.2">
      <c r="AG6096" s="19"/>
      <c r="AJ6096" s="410"/>
    </row>
    <row r="6097" spans="33:36" ht="11.25" customHeight="1" x14ac:dyDescent="0.2">
      <c r="AG6097" s="19"/>
      <c r="AJ6097" s="410"/>
    </row>
    <row r="6098" spans="33:36" ht="11.25" customHeight="1" x14ac:dyDescent="0.2">
      <c r="AG6098" s="19"/>
      <c r="AJ6098" s="410"/>
    </row>
    <row r="6099" spans="33:36" ht="11.25" customHeight="1" x14ac:dyDescent="0.2">
      <c r="AG6099" s="19"/>
      <c r="AJ6099" s="410"/>
    </row>
    <row r="6100" spans="33:36" ht="11.25" customHeight="1" x14ac:dyDescent="0.2">
      <c r="AG6100" s="19"/>
      <c r="AJ6100" s="410"/>
    </row>
    <row r="6101" spans="33:36" ht="11.25" customHeight="1" x14ac:dyDescent="0.2">
      <c r="AG6101" s="19"/>
      <c r="AJ6101" s="410"/>
    </row>
    <row r="6102" spans="33:36" ht="11.25" customHeight="1" x14ac:dyDescent="0.2">
      <c r="AG6102" s="19"/>
      <c r="AJ6102" s="410"/>
    </row>
    <row r="6103" spans="33:36" ht="11.25" customHeight="1" x14ac:dyDescent="0.2">
      <c r="AG6103" s="19"/>
      <c r="AJ6103" s="410"/>
    </row>
    <row r="6104" spans="33:36" ht="11.25" customHeight="1" x14ac:dyDescent="0.2">
      <c r="AG6104" s="19"/>
      <c r="AJ6104" s="410"/>
    </row>
    <row r="6105" spans="33:36" ht="11.25" customHeight="1" x14ac:dyDescent="0.2">
      <c r="AG6105" s="19"/>
      <c r="AJ6105" s="410"/>
    </row>
    <row r="6106" spans="33:36" ht="11.25" customHeight="1" x14ac:dyDescent="0.2">
      <c r="AG6106" s="19"/>
      <c r="AJ6106" s="410"/>
    </row>
    <row r="6107" spans="33:36" ht="11.25" customHeight="1" x14ac:dyDescent="0.2">
      <c r="AG6107" s="19"/>
      <c r="AJ6107" s="410"/>
    </row>
    <row r="6108" spans="33:36" ht="11.25" customHeight="1" x14ac:dyDescent="0.2">
      <c r="AG6108" s="19"/>
      <c r="AJ6108" s="410"/>
    </row>
    <row r="6109" spans="33:36" ht="11.25" customHeight="1" x14ac:dyDescent="0.2">
      <c r="AG6109" s="19"/>
      <c r="AJ6109" s="410"/>
    </row>
    <row r="6110" spans="33:36" ht="11.25" customHeight="1" x14ac:dyDescent="0.2">
      <c r="AG6110" s="19"/>
      <c r="AJ6110" s="410"/>
    </row>
    <row r="6111" spans="33:36" ht="11.25" customHeight="1" x14ac:dyDescent="0.2">
      <c r="AG6111" s="19"/>
      <c r="AJ6111" s="410"/>
    </row>
    <row r="6112" spans="33:36" ht="11.25" customHeight="1" x14ac:dyDescent="0.2">
      <c r="AG6112" s="19"/>
      <c r="AJ6112" s="410"/>
    </row>
    <row r="6113" spans="33:36" ht="11.25" customHeight="1" x14ac:dyDescent="0.2">
      <c r="AG6113" s="19"/>
      <c r="AJ6113" s="410"/>
    </row>
    <row r="6114" spans="33:36" ht="11.25" customHeight="1" x14ac:dyDescent="0.2">
      <c r="AG6114" s="19"/>
      <c r="AJ6114" s="410"/>
    </row>
    <row r="6115" spans="33:36" ht="11.25" customHeight="1" x14ac:dyDescent="0.2">
      <c r="AG6115" s="19"/>
      <c r="AJ6115" s="410"/>
    </row>
    <row r="6116" spans="33:36" ht="11.25" customHeight="1" x14ac:dyDescent="0.2">
      <c r="AG6116" s="19"/>
      <c r="AJ6116" s="410"/>
    </row>
    <row r="6117" spans="33:36" ht="11.25" customHeight="1" x14ac:dyDescent="0.2">
      <c r="AG6117" s="19"/>
      <c r="AJ6117" s="410"/>
    </row>
    <row r="6118" spans="33:36" ht="11.25" customHeight="1" x14ac:dyDescent="0.2">
      <c r="AG6118" s="19"/>
      <c r="AJ6118" s="410"/>
    </row>
    <row r="6119" spans="33:36" ht="11.25" customHeight="1" x14ac:dyDescent="0.2">
      <c r="AG6119" s="19"/>
      <c r="AJ6119" s="410"/>
    </row>
    <row r="6120" spans="33:36" ht="11.25" customHeight="1" x14ac:dyDescent="0.2">
      <c r="AG6120" s="19"/>
      <c r="AJ6120" s="410"/>
    </row>
    <row r="6121" spans="33:36" ht="11.25" customHeight="1" x14ac:dyDescent="0.2">
      <c r="AG6121" s="19"/>
      <c r="AJ6121" s="410"/>
    </row>
    <row r="6122" spans="33:36" ht="11.25" customHeight="1" x14ac:dyDescent="0.2">
      <c r="AG6122" s="19"/>
      <c r="AJ6122" s="410"/>
    </row>
    <row r="6123" spans="33:36" ht="11.25" customHeight="1" x14ac:dyDescent="0.2">
      <c r="AG6123" s="19"/>
      <c r="AJ6123" s="410"/>
    </row>
    <row r="6124" spans="33:36" ht="11.25" customHeight="1" x14ac:dyDescent="0.2">
      <c r="AG6124" s="19"/>
      <c r="AJ6124" s="410"/>
    </row>
    <row r="6125" spans="33:36" ht="11.25" customHeight="1" x14ac:dyDescent="0.2">
      <c r="AG6125" s="19"/>
      <c r="AJ6125" s="410"/>
    </row>
    <row r="6126" spans="33:36" ht="11.25" customHeight="1" x14ac:dyDescent="0.2">
      <c r="AG6126" s="19"/>
      <c r="AJ6126" s="410"/>
    </row>
    <row r="6127" spans="33:36" ht="11.25" customHeight="1" x14ac:dyDescent="0.2">
      <c r="AG6127" s="19"/>
      <c r="AJ6127" s="410"/>
    </row>
    <row r="6128" spans="33:36" ht="11.25" customHeight="1" x14ac:dyDescent="0.2">
      <c r="AG6128" s="19"/>
      <c r="AJ6128" s="410"/>
    </row>
    <row r="6129" spans="33:36" ht="11.25" customHeight="1" x14ac:dyDescent="0.2">
      <c r="AG6129" s="19"/>
      <c r="AJ6129" s="410"/>
    </row>
    <row r="6130" spans="33:36" ht="11.25" customHeight="1" x14ac:dyDescent="0.2">
      <c r="AG6130" s="19"/>
      <c r="AJ6130" s="410"/>
    </row>
    <row r="6131" spans="33:36" ht="11.25" customHeight="1" x14ac:dyDescent="0.2">
      <c r="AG6131" s="19"/>
      <c r="AJ6131" s="410"/>
    </row>
    <row r="6132" spans="33:36" ht="11.25" customHeight="1" x14ac:dyDescent="0.2">
      <c r="AG6132" s="19"/>
      <c r="AJ6132" s="410"/>
    </row>
    <row r="6133" spans="33:36" ht="11.25" customHeight="1" x14ac:dyDescent="0.2">
      <c r="AG6133" s="19"/>
      <c r="AJ6133" s="410"/>
    </row>
    <row r="6134" spans="33:36" ht="11.25" customHeight="1" x14ac:dyDescent="0.2">
      <c r="AG6134" s="19"/>
      <c r="AJ6134" s="410"/>
    </row>
    <row r="6135" spans="33:36" ht="11.25" customHeight="1" x14ac:dyDescent="0.2">
      <c r="AG6135" s="19"/>
      <c r="AJ6135" s="410"/>
    </row>
    <row r="6136" spans="33:36" ht="11.25" customHeight="1" x14ac:dyDescent="0.2">
      <c r="AG6136" s="19"/>
      <c r="AJ6136" s="410"/>
    </row>
    <row r="6137" spans="33:36" ht="11.25" customHeight="1" x14ac:dyDescent="0.2">
      <c r="AG6137" s="19"/>
      <c r="AJ6137" s="410"/>
    </row>
    <row r="6138" spans="33:36" ht="11.25" customHeight="1" x14ac:dyDescent="0.2">
      <c r="AG6138" s="19"/>
      <c r="AJ6138" s="410"/>
    </row>
    <row r="6139" spans="33:36" ht="11.25" customHeight="1" x14ac:dyDescent="0.2">
      <c r="AG6139" s="19"/>
      <c r="AJ6139" s="410"/>
    </row>
    <row r="6140" spans="33:36" ht="11.25" customHeight="1" x14ac:dyDescent="0.2">
      <c r="AG6140" s="19"/>
      <c r="AJ6140" s="410"/>
    </row>
    <row r="6141" spans="33:36" ht="11.25" customHeight="1" x14ac:dyDescent="0.2">
      <c r="AG6141" s="19"/>
      <c r="AJ6141" s="410"/>
    </row>
    <row r="6142" spans="33:36" ht="11.25" customHeight="1" x14ac:dyDescent="0.2">
      <c r="AG6142" s="19"/>
      <c r="AJ6142" s="410"/>
    </row>
    <row r="6143" spans="33:36" ht="11.25" customHeight="1" x14ac:dyDescent="0.2">
      <c r="AG6143" s="19"/>
      <c r="AJ6143" s="410"/>
    </row>
    <row r="6144" spans="33:36" ht="11.25" customHeight="1" x14ac:dyDescent="0.2">
      <c r="AG6144" s="19"/>
      <c r="AJ6144" s="410"/>
    </row>
    <row r="6145" spans="33:36" ht="11.25" customHeight="1" x14ac:dyDescent="0.2">
      <c r="AG6145" s="19"/>
      <c r="AJ6145" s="410"/>
    </row>
    <row r="6146" spans="33:36" ht="11.25" customHeight="1" x14ac:dyDescent="0.2">
      <c r="AG6146" s="19"/>
      <c r="AJ6146" s="410"/>
    </row>
    <row r="6147" spans="33:36" ht="11.25" customHeight="1" x14ac:dyDescent="0.2">
      <c r="AG6147" s="19"/>
      <c r="AJ6147" s="410"/>
    </row>
    <row r="6148" spans="33:36" ht="11.25" customHeight="1" x14ac:dyDescent="0.2">
      <c r="AG6148" s="19"/>
      <c r="AJ6148" s="410"/>
    </row>
    <row r="6149" spans="33:36" ht="11.25" customHeight="1" x14ac:dyDescent="0.2">
      <c r="AG6149" s="19"/>
      <c r="AJ6149" s="410"/>
    </row>
    <row r="6150" spans="33:36" ht="11.25" customHeight="1" x14ac:dyDescent="0.2">
      <c r="AG6150" s="19"/>
      <c r="AJ6150" s="410"/>
    </row>
    <row r="6151" spans="33:36" ht="11.25" customHeight="1" x14ac:dyDescent="0.2">
      <c r="AG6151" s="19"/>
      <c r="AJ6151" s="410"/>
    </row>
    <row r="6152" spans="33:36" ht="11.25" customHeight="1" x14ac:dyDescent="0.2">
      <c r="AG6152" s="19"/>
      <c r="AJ6152" s="410"/>
    </row>
    <row r="6153" spans="33:36" ht="11.25" customHeight="1" x14ac:dyDescent="0.2">
      <c r="AG6153" s="19"/>
      <c r="AJ6153" s="410"/>
    </row>
    <row r="6154" spans="33:36" ht="11.25" customHeight="1" x14ac:dyDescent="0.2">
      <c r="AG6154" s="19"/>
      <c r="AJ6154" s="410"/>
    </row>
    <row r="6155" spans="33:36" ht="11.25" customHeight="1" x14ac:dyDescent="0.2">
      <c r="AG6155" s="19"/>
      <c r="AJ6155" s="410"/>
    </row>
    <row r="6156" spans="33:36" ht="11.25" customHeight="1" x14ac:dyDescent="0.2">
      <c r="AG6156" s="19"/>
      <c r="AJ6156" s="410"/>
    </row>
    <row r="6157" spans="33:36" ht="11.25" customHeight="1" x14ac:dyDescent="0.2">
      <c r="AG6157" s="19"/>
      <c r="AJ6157" s="410"/>
    </row>
    <row r="6158" spans="33:36" ht="11.25" customHeight="1" x14ac:dyDescent="0.2">
      <c r="AG6158" s="19"/>
      <c r="AJ6158" s="410"/>
    </row>
    <row r="6159" spans="33:36" ht="11.25" customHeight="1" x14ac:dyDescent="0.2">
      <c r="AG6159" s="19"/>
      <c r="AJ6159" s="410"/>
    </row>
    <row r="6160" spans="33:36" ht="11.25" customHeight="1" x14ac:dyDescent="0.2">
      <c r="AG6160" s="19"/>
      <c r="AJ6160" s="410"/>
    </row>
    <row r="6161" spans="33:36" ht="11.25" customHeight="1" x14ac:dyDescent="0.2">
      <c r="AG6161" s="19"/>
      <c r="AJ6161" s="410"/>
    </row>
    <row r="6162" spans="33:36" ht="11.25" customHeight="1" x14ac:dyDescent="0.2">
      <c r="AG6162" s="19"/>
      <c r="AJ6162" s="410"/>
    </row>
    <row r="6163" spans="33:36" ht="11.25" customHeight="1" x14ac:dyDescent="0.2">
      <c r="AG6163" s="19"/>
      <c r="AJ6163" s="410"/>
    </row>
    <row r="6164" spans="33:36" ht="11.25" customHeight="1" x14ac:dyDescent="0.2">
      <c r="AG6164" s="19"/>
      <c r="AJ6164" s="410"/>
    </row>
    <row r="6165" spans="33:36" ht="11.25" customHeight="1" x14ac:dyDescent="0.2">
      <c r="AG6165" s="19"/>
      <c r="AJ6165" s="410"/>
    </row>
    <row r="6166" spans="33:36" ht="11.25" customHeight="1" x14ac:dyDescent="0.2">
      <c r="AG6166" s="19"/>
      <c r="AJ6166" s="410"/>
    </row>
    <row r="6167" spans="33:36" ht="11.25" customHeight="1" x14ac:dyDescent="0.2">
      <c r="AG6167" s="19"/>
      <c r="AJ6167" s="410"/>
    </row>
    <row r="6168" spans="33:36" ht="11.25" customHeight="1" x14ac:dyDescent="0.2">
      <c r="AG6168" s="19"/>
      <c r="AJ6168" s="410"/>
    </row>
    <row r="6169" spans="33:36" ht="11.25" customHeight="1" x14ac:dyDescent="0.2">
      <c r="AG6169" s="19"/>
      <c r="AJ6169" s="410"/>
    </row>
    <row r="6170" spans="33:36" ht="11.25" customHeight="1" x14ac:dyDescent="0.2">
      <c r="AG6170" s="19"/>
      <c r="AJ6170" s="410"/>
    </row>
    <row r="6171" spans="33:36" ht="11.25" customHeight="1" x14ac:dyDescent="0.2">
      <c r="AG6171" s="19"/>
      <c r="AJ6171" s="410"/>
    </row>
    <row r="6172" spans="33:36" ht="11.25" customHeight="1" x14ac:dyDescent="0.2">
      <c r="AG6172" s="19"/>
      <c r="AJ6172" s="410"/>
    </row>
    <row r="6173" spans="33:36" ht="11.25" customHeight="1" x14ac:dyDescent="0.2">
      <c r="AG6173" s="19"/>
      <c r="AJ6173" s="410"/>
    </row>
    <row r="6174" spans="33:36" ht="11.25" customHeight="1" x14ac:dyDescent="0.2">
      <c r="AG6174" s="19"/>
      <c r="AJ6174" s="410"/>
    </row>
    <row r="6175" spans="33:36" ht="11.25" customHeight="1" x14ac:dyDescent="0.2">
      <c r="AG6175" s="19"/>
      <c r="AJ6175" s="410"/>
    </row>
    <row r="6176" spans="33:36" ht="11.25" customHeight="1" x14ac:dyDescent="0.2">
      <c r="AG6176" s="19"/>
      <c r="AJ6176" s="410"/>
    </row>
    <row r="6177" spans="33:36" ht="11.25" customHeight="1" x14ac:dyDescent="0.2">
      <c r="AG6177" s="19"/>
      <c r="AJ6177" s="410"/>
    </row>
    <row r="6178" spans="33:36" ht="11.25" customHeight="1" x14ac:dyDescent="0.2">
      <c r="AG6178" s="19"/>
      <c r="AJ6178" s="410"/>
    </row>
    <row r="6179" spans="33:36" ht="11.25" customHeight="1" x14ac:dyDescent="0.2">
      <c r="AG6179" s="19"/>
      <c r="AJ6179" s="410"/>
    </row>
    <row r="6180" spans="33:36" ht="11.25" customHeight="1" x14ac:dyDescent="0.2">
      <c r="AG6180" s="19"/>
      <c r="AJ6180" s="410"/>
    </row>
    <row r="6181" spans="33:36" ht="11.25" customHeight="1" x14ac:dyDescent="0.2">
      <c r="AG6181" s="19"/>
      <c r="AJ6181" s="410"/>
    </row>
    <row r="6182" spans="33:36" ht="11.25" customHeight="1" x14ac:dyDescent="0.2">
      <c r="AG6182" s="19"/>
      <c r="AJ6182" s="410"/>
    </row>
    <row r="6183" spans="33:36" ht="11.25" customHeight="1" x14ac:dyDescent="0.2">
      <c r="AG6183" s="19"/>
      <c r="AJ6183" s="410"/>
    </row>
    <row r="6184" spans="33:36" ht="11.25" customHeight="1" x14ac:dyDescent="0.2">
      <c r="AG6184" s="19"/>
      <c r="AJ6184" s="410"/>
    </row>
    <row r="6185" spans="33:36" ht="11.25" customHeight="1" x14ac:dyDescent="0.2">
      <c r="AG6185" s="19"/>
      <c r="AJ6185" s="410"/>
    </row>
    <row r="6186" spans="33:36" ht="11.25" customHeight="1" x14ac:dyDescent="0.2">
      <c r="AG6186" s="19"/>
      <c r="AJ6186" s="410"/>
    </row>
    <row r="6187" spans="33:36" ht="11.25" customHeight="1" x14ac:dyDescent="0.2">
      <c r="AG6187" s="19"/>
      <c r="AJ6187" s="410"/>
    </row>
    <row r="6188" spans="33:36" ht="11.25" customHeight="1" x14ac:dyDescent="0.2">
      <c r="AG6188" s="19"/>
      <c r="AJ6188" s="410"/>
    </row>
    <row r="6189" spans="33:36" ht="11.25" customHeight="1" x14ac:dyDescent="0.2">
      <c r="AG6189" s="19"/>
      <c r="AJ6189" s="410"/>
    </row>
    <row r="6190" spans="33:36" ht="11.25" customHeight="1" x14ac:dyDescent="0.2">
      <c r="AG6190" s="19"/>
      <c r="AJ6190" s="410"/>
    </row>
    <row r="6191" spans="33:36" ht="11.25" customHeight="1" x14ac:dyDescent="0.2">
      <c r="AG6191" s="19"/>
      <c r="AJ6191" s="410"/>
    </row>
    <row r="6192" spans="33:36" ht="11.25" customHeight="1" x14ac:dyDescent="0.2">
      <c r="AG6192" s="19"/>
      <c r="AJ6192" s="410"/>
    </row>
    <row r="6193" spans="33:36" ht="11.25" customHeight="1" x14ac:dyDescent="0.2">
      <c r="AG6193" s="19"/>
      <c r="AJ6193" s="410"/>
    </row>
    <row r="6194" spans="33:36" ht="11.25" customHeight="1" x14ac:dyDescent="0.2">
      <c r="AG6194" s="19"/>
      <c r="AJ6194" s="410"/>
    </row>
    <row r="6195" spans="33:36" ht="11.25" customHeight="1" x14ac:dyDescent="0.2">
      <c r="AG6195" s="19"/>
      <c r="AJ6195" s="410"/>
    </row>
    <row r="6196" spans="33:36" ht="11.25" customHeight="1" x14ac:dyDescent="0.2">
      <c r="AG6196" s="19"/>
      <c r="AJ6196" s="410"/>
    </row>
    <row r="6197" spans="33:36" ht="11.25" customHeight="1" x14ac:dyDescent="0.2">
      <c r="AG6197" s="19"/>
      <c r="AJ6197" s="410"/>
    </row>
    <row r="6198" spans="33:36" ht="11.25" customHeight="1" x14ac:dyDescent="0.2">
      <c r="AG6198" s="19"/>
      <c r="AJ6198" s="410"/>
    </row>
    <row r="6199" spans="33:36" ht="11.25" customHeight="1" x14ac:dyDescent="0.2">
      <c r="AG6199" s="19"/>
      <c r="AJ6199" s="410"/>
    </row>
    <row r="6200" spans="33:36" ht="11.25" customHeight="1" x14ac:dyDescent="0.2">
      <c r="AG6200" s="19"/>
      <c r="AJ6200" s="410"/>
    </row>
    <row r="6201" spans="33:36" ht="11.25" customHeight="1" x14ac:dyDescent="0.2">
      <c r="AG6201" s="19"/>
      <c r="AJ6201" s="410"/>
    </row>
    <row r="6202" spans="33:36" ht="11.25" customHeight="1" x14ac:dyDescent="0.2">
      <c r="AG6202" s="19"/>
      <c r="AJ6202" s="410"/>
    </row>
    <row r="6203" spans="33:36" ht="11.25" customHeight="1" x14ac:dyDescent="0.2">
      <c r="AG6203" s="19"/>
      <c r="AJ6203" s="410"/>
    </row>
    <row r="6204" spans="33:36" ht="11.25" customHeight="1" x14ac:dyDescent="0.2">
      <c r="AG6204" s="19"/>
      <c r="AJ6204" s="410"/>
    </row>
    <row r="6205" spans="33:36" ht="11.25" customHeight="1" x14ac:dyDescent="0.2">
      <c r="AG6205" s="19"/>
      <c r="AJ6205" s="410"/>
    </row>
    <row r="6206" spans="33:36" ht="11.25" customHeight="1" x14ac:dyDescent="0.2">
      <c r="AG6206" s="19"/>
      <c r="AJ6206" s="410"/>
    </row>
    <row r="6207" spans="33:36" ht="11.25" customHeight="1" x14ac:dyDescent="0.2">
      <c r="AG6207" s="19"/>
      <c r="AJ6207" s="410"/>
    </row>
    <row r="6208" spans="33:36" ht="11.25" customHeight="1" x14ac:dyDescent="0.2">
      <c r="AG6208" s="19"/>
      <c r="AJ6208" s="410"/>
    </row>
    <row r="6209" spans="33:36" ht="11.25" customHeight="1" x14ac:dyDescent="0.2">
      <c r="AG6209" s="19"/>
      <c r="AJ6209" s="410"/>
    </row>
    <row r="6210" spans="33:36" ht="11.25" customHeight="1" x14ac:dyDescent="0.2">
      <c r="AG6210" s="19"/>
      <c r="AJ6210" s="410"/>
    </row>
    <row r="6211" spans="33:36" ht="11.25" customHeight="1" x14ac:dyDescent="0.2">
      <c r="AG6211" s="19"/>
      <c r="AJ6211" s="410"/>
    </row>
    <row r="6212" spans="33:36" ht="11.25" customHeight="1" x14ac:dyDescent="0.2">
      <c r="AG6212" s="19"/>
      <c r="AJ6212" s="410"/>
    </row>
    <row r="6213" spans="33:36" ht="11.25" customHeight="1" x14ac:dyDescent="0.2">
      <c r="AG6213" s="19"/>
      <c r="AJ6213" s="410"/>
    </row>
    <row r="6214" spans="33:36" ht="11.25" customHeight="1" x14ac:dyDescent="0.2">
      <c r="AG6214" s="19"/>
      <c r="AJ6214" s="410"/>
    </row>
    <row r="6215" spans="33:36" ht="11.25" customHeight="1" x14ac:dyDescent="0.2">
      <c r="AG6215" s="19"/>
      <c r="AJ6215" s="410"/>
    </row>
    <row r="6216" spans="33:36" ht="11.25" customHeight="1" x14ac:dyDescent="0.2">
      <c r="AG6216" s="19"/>
      <c r="AJ6216" s="410"/>
    </row>
    <row r="6217" spans="33:36" ht="11.25" customHeight="1" x14ac:dyDescent="0.2">
      <c r="AG6217" s="19"/>
      <c r="AJ6217" s="410"/>
    </row>
    <row r="6218" spans="33:36" ht="11.25" customHeight="1" x14ac:dyDescent="0.2">
      <c r="AG6218" s="19"/>
      <c r="AJ6218" s="410"/>
    </row>
    <row r="6219" spans="33:36" ht="11.25" customHeight="1" x14ac:dyDescent="0.2">
      <c r="AG6219" s="19"/>
      <c r="AJ6219" s="410"/>
    </row>
    <row r="6220" spans="33:36" ht="11.25" customHeight="1" x14ac:dyDescent="0.2">
      <c r="AG6220" s="19"/>
      <c r="AJ6220" s="410"/>
    </row>
    <row r="6221" spans="33:36" ht="11.25" customHeight="1" x14ac:dyDescent="0.2">
      <c r="AG6221" s="19"/>
      <c r="AJ6221" s="410"/>
    </row>
    <row r="6222" spans="33:36" ht="11.25" customHeight="1" x14ac:dyDescent="0.2">
      <c r="AG6222" s="19"/>
      <c r="AJ6222" s="410"/>
    </row>
    <row r="6223" spans="33:36" ht="11.25" customHeight="1" x14ac:dyDescent="0.2">
      <c r="AG6223" s="19"/>
      <c r="AJ6223" s="410"/>
    </row>
    <row r="6224" spans="33:36" ht="11.25" customHeight="1" x14ac:dyDescent="0.2">
      <c r="AG6224" s="19"/>
      <c r="AJ6224" s="410"/>
    </row>
    <row r="6225" spans="33:36" ht="11.25" customHeight="1" x14ac:dyDescent="0.2">
      <c r="AG6225" s="19"/>
      <c r="AJ6225" s="410"/>
    </row>
    <row r="6226" spans="33:36" ht="11.25" customHeight="1" x14ac:dyDescent="0.2">
      <c r="AG6226" s="19"/>
      <c r="AJ6226" s="410"/>
    </row>
    <row r="6227" spans="33:36" ht="11.25" customHeight="1" x14ac:dyDescent="0.2">
      <c r="AG6227" s="19"/>
      <c r="AJ6227" s="410"/>
    </row>
    <row r="6228" spans="33:36" ht="11.25" customHeight="1" x14ac:dyDescent="0.2">
      <c r="AG6228" s="19"/>
      <c r="AJ6228" s="410"/>
    </row>
    <row r="6229" spans="33:36" ht="11.25" customHeight="1" x14ac:dyDescent="0.2">
      <c r="AG6229" s="19"/>
      <c r="AJ6229" s="410"/>
    </row>
    <row r="6230" spans="33:36" ht="11.25" customHeight="1" x14ac:dyDescent="0.2">
      <c r="AG6230" s="19"/>
      <c r="AJ6230" s="410"/>
    </row>
    <row r="6231" spans="33:36" ht="11.25" customHeight="1" x14ac:dyDescent="0.2">
      <c r="AG6231" s="19"/>
      <c r="AJ6231" s="410"/>
    </row>
    <row r="6232" spans="33:36" ht="11.25" customHeight="1" x14ac:dyDescent="0.2">
      <c r="AG6232" s="19"/>
      <c r="AJ6232" s="410"/>
    </row>
    <row r="6233" spans="33:36" ht="11.25" customHeight="1" x14ac:dyDescent="0.2">
      <c r="AG6233" s="19"/>
      <c r="AJ6233" s="410"/>
    </row>
    <row r="6234" spans="33:36" ht="11.25" customHeight="1" x14ac:dyDescent="0.2">
      <c r="AG6234" s="19"/>
      <c r="AJ6234" s="410"/>
    </row>
    <row r="6235" spans="33:36" ht="11.25" customHeight="1" x14ac:dyDescent="0.2">
      <c r="AG6235" s="19"/>
      <c r="AJ6235" s="410"/>
    </row>
    <row r="6236" spans="33:36" ht="11.25" customHeight="1" x14ac:dyDescent="0.2">
      <c r="AG6236" s="19"/>
      <c r="AJ6236" s="410"/>
    </row>
    <row r="6237" spans="33:36" ht="11.25" customHeight="1" x14ac:dyDescent="0.2">
      <c r="AG6237" s="19"/>
      <c r="AJ6237" s="410"/>
    </row>
    <row r="6238" spans="33:36" ht="11.25" customHeight="1" x14ac:dyDescent="0.2">
      <c r="AG6238" s="19"/>
      <c r="AJ6238" s="410"/>
    </row>
    <row r="6239" spans="33:36" ht="11.25" customHeight="1" x14ac:dyDescent="0.2">
      <c r="AG6239" s="19"/>
      <c r="AJ6239" s="410"/>
    </row>
    <row r="6240" spans="33:36" ht="11.25" customHeight="1" x14ac:dyDescent="0.2">
      <c r="AG6240" s="19"/>
      <c r="AJ6240" s="410"/>
    </row>
    <row r="6241" spans="33:36" ht="11.25" customHeight="1" x14ac:dyDescent="0.2">
      <c r="AG6241" s="19"/>
      <c r="AJ6241" s="410"/>
    </row>
    <row r="6242" spans="33:36" ht="11.25" customHeight="1" x14ac:dyDescent="0.2">
      <c r="AG6242" s="19"/>
      <c r="AJ6242" s="410"/>
    </row>
    <row r="6243" spans="33:36" ht="11.25" customHeight="1" x14ac:dyDescent="0.2">
      <c r="AG6243" s="19"/>
      <c r="AJ6243" s="410"/>
    </row>
    <row r="6244" spans="33:36" ht="11.25" customHeight="1" x14ac:dyDescent="0.2">
      <c r="AG6244" s="19"/>
      <c r="AJ6244" s="410"/>
    </row>
    <row r="6245" spans="33:36" ht="11.25" customHeight="1" x14ac:dyDescent="0.2">
      <c r="AG6245" s="19"/>
      <c r="AJ6245" s="410"/>
    </row>
    <row r="6246" spans="33:36" ht="11.25" customHeight="1" x14ac:dyDescent="0.2">
      <c r="AG6246" s="19"/>
      <c r="AJ6246" s="410"/>
    </row>
    <row r="6247" spans="33:36" ht="11.25" customHeight="1" x14ac:dyDescent="0.2">
      <c r="AG6247" s="19"/>
      <c r="AJ6247" s="410"/>
    </row>
    <row r="6248" spans="33:36" ht="11.25" customHeight="1" x14ac:dyDescent="0.2">
      <c r="AG6248" s="19"/>
      <c r="AJ6248" s="410"/>
    </row>
    <row r="6249" spans="33:36" ht="11.25" customHeight="1" x14ac:dyDescent="0.2">
      <c r="AG6249" s="19"/>
      <c r="AJ6249" s="410"/>
    </row>
    <row r="6250" spans="33:36" ht="11.25" customHeight="1" x14ac:dyDescent="0.2">
      <c r="AG6250" s="19"/>
      <c r="AJ6250" s="410"/>
    </row>
    <row r="6251" spans="33:36" ht="11.25" customHeight="1" x14ac:dyDescent="0.2">
      <c r="AG6251" s="19"/>
      <c r="AJ6251" s="410"/>
    </row>
    <row r="6252" spans="33:36" ht="11.25" customHeight="1" x14ac:dyDescent="0.2">
      <c r="AG6252" s="19"/>
      <c r="AJ6252" s="410"/>
    </row>
    <row r="6253" spans="33:36" ht="11.25" customHeight="1" x14ac:dyDescent="0.2">
      <c r="AG6253" s="19"/>
      <c r="AJ6253" s="410"/>
    </row>
    <row r="6254" spans="33:36" ht="11.25" customHeight="1" x14ac:dyDescent="0.2">
      <c r="AG6254" s="19"/>
      <c r="AJ6254" s="410"/>
    </row>
    <row r="6255" spans="33:36" ht="11.25" customHeight="1" x14ac:dyDescent="0.2">
      <c r="AG6255" s="19"/>
      <c r="AJ6255" s="410"/>
    </row>
    <row r="6256" spans="33:36" ht="11.25" customHeight="1" x14ac:dyDescent="0.2">
      <c r="AG6256" s="19"/>
      <c r="AJ6256" s="410"/>
    </row>
    <row r="6257" spans="33:36" ht="11.25" customHeight="1" x14ac:dyDescent="0.2">
      <c r="AG6257" s="19"/>
      <c r="AJ6257" s="410"/>
    </row>
    <row r="6258" spans="33:36" ht="11.25" customHeight="1" x14ac:dyDescent="0.2">
      <c r="AG6258" s="19"/>
      <c r="AJ6258" s="410"/>
    </row>
    <row r="6259" spans="33:36" ht="11.25" customHeight="1" x14ac:dyDescent="0.2">
      <c r="AG6259" s="19"/>
      <c r="AJ6259" s="410"/>
    </row>
    <row r="6260" spans="33:36" ht="11.25" customHeight="1" x14ac:dyDescent="0.2">
      <c r="AG6260" s="19"/>
      <c r="AJ6260" s="410"/>
    </row>
    <row r="6261" spans="33:36" ht="11.25" customHeight="1" x14ac:dyDescent="0.2">
      <c r="AG6261" s="19"/>
      <c r="AJ6261" s="410"/>
    </row>
    <row r="6262" spans="33:36" ht="11.25" customHeight="1" x14ac:dyDescent="0.2">
      <c r="AG6262" s="19"/>
      <c r="AJ6262" s="410"/>
    </row>
    <row r="6263" spans="33:36" ht="11.25" customHeight="1" x14ac:dyDescent="0.2">
      <c r="AG6263" s="19"/>
      <c r="AJ6263" s="410"/>
    </row>
    <row r="6264" spans="33:36" ht="11.25" customHeight="1" x14ac:dyDescent="0.2">
      <c r="AG6264" s="19"/>
      <c r="AJ6264" s="410"/>
    </row>
    <row r="6265" spans="33:36" ht="11.25" customHeight="1" x14ac:dyDescent="0.2">
      <c r="AG6265" s="19"/>
      <c r="AJ6265" s="410"/>
    </row>
    <row r="6266" spans="33:36" ht="11.25" customHeight="1" x14ac:dyDescent="0.2">
      <c r="AG6266" s="19"/>
      <c r="AJ6266" s="410"/>
    </row>
    <row r="6267" spans="33:36" ht="11.25" customHeight="1" x14ac:dyDescent="0.2">
      <c r="AG6267" s="19"/>
      <c r="AJ6267" s="410"/>
    </row>
    <row r="6268" spans="33:36" ht="11.25" customHeight="1" x14ac:dyDescent="0.2">
      <c r="AG6268" s="19"/>
      <c r="AJ6268" s="410"/>
    </row>
    <row r="6269" spans="33:36" ht="11.25" customHeight="1" x14ac:dyDescent="0.2">
      <c r="AG6269" s="19"/>
      <c r="AJ6269" s="410"/>
    </row>
    <row r="6270" spans="33:36" ht="11.25" customHeight="1" x14ac:dyDescent="0.2">
      <c r="AG6270" s="19"/>
      <c r="AJ6270" s="410"/>
    </row>
    <row r="6271" spans="33:36" ht="11.25" customHeight="1" x14ac:dyDescent="0.2">
      <c r="AG6271" s="19"/>
      <c r="AJ6271" s="410"/>
    </row>
    <row r="6272" spans="33:36" ht="11.25" customHeight="1" x14ac:dyDescent="0.2">
      <c r="AG6272" s="19"/>
      <c r="AJ6272" s="410"/>
    </row>
    <row r="6273" spans="33:36" ht="11.25" customHeight="1" x14ac:dyDescent="0.2">
      <c r="AG6273" s="19"/>
      <c r="AJ6273" s="410"/>
    </row>
    <row r="6274" spans="33:36" ht="11.25" customHeight="1" x14ac:dyDescent="0.2">
      <c r="AG6274" s="19"/>
      <c r="AJ6274" s="410"/>
    </row>
    <row r="6275" spans="33:36" ht="11.25" customHeight="1" x14ac:dyDescent="0.2">
      <c r="AG6275" s="19"/>
      <c r="AJ6275" s="410"/>
    </row>
    <row r="6276" spans="33:36" ht="11.25" customHeight="1" x14ac:dyDescent="0.2">
      <c r="AG6276" s="19"/>
      <c r="AJ6276" s="410"/>
    </row>
    <row r="6277" spans="33:36" ht="11.25" customHeight="1" x14ac:dyDescent="0.2">
      <c r="AG6277" s="19"/>
      <c r="AJ6277" s="410"/>
    </row>
    <row r="6278" spans="33:36" ht="11.25" customHeight="1" x14ac:dyDescent="0.2">
      <c r="AG6278" s="19"/>
      <c r="AJ6278" s="410"/>
    </row>
    <row r="6279" spans="33:36" ht="11.25" customHeight="1" x14ac:dyDescent="0.2">
      <c r="AG6279" s="19"/>
      <c r="AJ6279" s="410"/>
    </row>
    <row r="6280" spans="33:36" ht="11.25" customHeight="1" x14ac:dyDescent="0.2">
      <c r="AG6280" s="19"/>
      <c r="AJ6280" s="410"/>
    </row>
    <row r="6281" spans="33:36" ht="11.25" customHeight="1" x14ac:dyDescent="0.2">
      <c r="AG6281" s="19"/>
      <c r="AJ6281" s="410"/>
    </row>
    <row r="6282" spans="33:36" ht="11.25" customHeight="1" x14ac:dyDescent="0.2">
      <c r="AG6282" s="19"/>
      <c r="AJ6282" s="410"/>
    </row>
    <row r="6283" spans="33:36" ht="11.25" customHeight="1" x14ac:dyDescent="0.2">
      <c r="AG6283" s="19"/>
      <c r="AJ6283" s="410"/>
    </row>
    <row r="6284" spans="33:36" ht="11.25" customHeight="1" x14ac:dyDescent="0.2">
      <c r="AG6284" s="19"/>
      <c r="AJ6284" s="410"/>
    </row>
    <row r="6285" spans="33:36" ht="11.25" customHeight="1" x14ac:dyDescent="0.2">
      <c r="AG6285" s="19"/>
      <c r="AJ6285" s="410"/>
    </row>
    <row r="6286" spans="33:36" ht="11.25" customHeight="1" x14ac:dyDescent="0.2">
      <c r="AG6286" s="19"/>
      <c r="AJ6286" s="410"/>
    </row>
    <row r="6287" spans="33:36" ht="11.25" customHeight="1" x14ac:dyDescent="0.2">
      <c r="AG6287" s="19"/>
      <c r="AJ6287" s="410"/>
    </row>
    <row r="6288" spans="33:36" ht="11.25" customHeight="1" x14ac:dyDescent="0.2">
      <c r="AG6288" s="19"/>
      <c r="AJ6288" s="410"/>
    </row>
    <row r="6289" spans="33:36" ht="11.25" customHeight="1" x14ac:dyDescent="0.2">
      <c r="AG6289" s="19"/>
      <c r="AJ6289" s="410"/>
    </row>
    <row r="6290" spans="33:36" ht="11.25" customHeight="1" x14ac:dyDescent="0.2">
      <c r="AG6290" s="19"/>
      <c r="AJ6290" s="410"/>
    </row>
    <row r="6291" spans="33:36" ht="11.25" customHeight="1" x14ac:dyDescent="0.2">
      <c r="AG6291" s="19"/>
      <c r="AJ6291" s="410"/>
    </row>
    <row r="6292" spans="33:36" ht="11.25" customHeight="1" x14ac:dyDescent="0.2">
      <c r="AG6292" s="19"/>
      <c r="AJ6292" s="410"/>
    </row>
    <row r="6293" spans="33:36" ht="11.25" customHeight="1" x14ac:dyDescent="0.2">
      <c r="AG6293" s="19"/>
      <c r="AJ6293" s="410"/>
    </row>
    <row r="6294" spans="33:36" ht="11.25" customHeight="1" x14ac:dyDescent="0.2">
      <c r="AG6294" s="19"/>
      <c r="AJ6294" s="410"/>
    </row>
    <row r="6295" spans="33:36" ht="11.25" customHeight="1" x14ac:dyDescent="0.2">
      <c r="AG6295" s="19"/>
      <c r="AJ6295" s="410"/>
    </row>
    <row r="6296" spans="33:36" ht="11.25" customHeight="1" x14ac:dyDescent="0.2">
      <c r="AG6296" s="19"/>
      <c r="AJ6296" s="410"/>
    </row>
    <row r="6297" spans="33:36" ht="11.25" customHeight="1" x14ac:dyDescent="0.2">
      <c r="AG6297" s="19"/>
      <c r="AJ6297" s="410"/>
    </row>
    <row r="6298" spans="33:36" ht="11.25" customHeight="1" x14ac:dyDescent="0.2">
      <c r="AG6298" s="19"/>
      <c r="AJ6298" s="410"/>
    </row>
    <row r="6299" spans="33:36" ht="11.25" customHeight="1" x14ac:dyDescent="0.2">
      <c r="AG6299" s="19"/>
      <c r="AJ6299" s="410"/>
    </row>
    <row r="6300" spans="33:36" ht="11.25" customHeight="1" x14ac:dyDescent="0.2">
      <c r="AG6300" s="19"/>
      <c r="AJ6300" s="410"/>
    </row>
    <row r="6301" spans="33:36" ht="11.25" customHeight="1" x14ac:dyDescent="0.2">
      <c r="AG6301" s="19"/>
      <c r="AJ6301" s="410"/>
    </row>
    <row r="6302" spans="33:36" ht="11.25" customHeight="1" x14ac:dyDescent="0.2">
      <c r="AG6302" s="19"/>
      <c r="AJ6302" s="410"/>
    </row>
    <row r="6303" spans="33:36" ht="11.25" customHeight="1" x14ac:dyDescent="0.2">
      <c r="AG6303" s="19"/>
      <c r="AJ6303" s="410"/>
    </row>
    <row r="6304" spans="33:36" ht="11.25" customHeight="1" x14ac:dyDescent="0.2">
      <c r="AG6304" s="19"/>
      <c r="AJ6304" s="410"/>
    </row>
    <row r="6305" spans="33:36" ht="11.25" customHeight="1" x14ac:dyDescent="0.2">
      <c r="AG6305" s="19"/>
      <c r="AJ6305" s="410"/>
    </row>
    <row r="6306" spans="33:36" ht="11.25" customHeight="1" x14ac:dyDescent="0.2">
      <c r="AG6306" s="19"/>
      <c r="AJ6306" s="410"/>
    </row>
    <row r="6307" spans="33:36" ht="11.25" customHeight="1" x14ac:dyDescent="0.2">
      <c r="AG6307" s="19"/>
      <c r="AJ6307" s="410"/>
    </row>
    <row r="6308" spans="33:36" ht="11.25" customHeight="1" x14ac:dyDescent="0.2">
      <c r="AG6308" s="19"/>
      <c r="AJ6308" s="410"/>
    </row>
    <row r="6309" spans="33:36" ht="11.25" customHeight="1" x14ac:dyDescent="0.2">
      <c r="AG6309" s="19"/>
      <c r="AJ6309" s="410"/>
    </row>
    <row r="6310" spans="33:36" ht="11.25" customHeight="1" x14ac:dyDescent="0.2">
      <c r="AG6310" s="19"/>
      <c r="AJ6310" s="410"/>
    </row>
    <row r="6311" spans="33:36" ht="11.25" customHeight="1" x14ac:dyDescent="0.2">
      <c r="AG6311" s="19"/>
      <c r="AJ6311" s="410"/>
    </row>
    <row r="6312" spans="33:36" ht="11.25" customHeight="1" x14ac:dyDescent="0.2">
      <c r="AG6312" s="19"/>
      <c r="AJ6312" s="410"/>
    </row>
    <row r="6313" spans="33:36" ht="11.25" customHeight="1" x14ac:dyDescent="0.2">
      <c r="AG6313" s="19"/>
      <c r="AJ6313" s="410"/>
    </row>
    <row r="6314" spans="33:36" ht="11.25" customHeight="1" x14ac:dyDescent="0.2">
      <c r="AG6314" s="19"/>
      <c r="AJ6314" s="410"/>
    </row>
    <row r="6315" spans="33:36" ht="11.25" customHeight="1" x14ac:dyDescent="0.2">
      <c r="AG6315" s="19"/>
      <c r="AJ6315" s="410"/>
    </row>
    <row r="6316" spans="33:36" ht="11.25" customHeight="1" x14ac:dyDescent="0.2">
      <c r="AG6316" s="19"/>
      <c r="AJ6316" s="410"/>
    </row>
    <row r="6317" spans="33:36" ht="11.25" customHeight="1" x14ac:dyDescent="0.2">
      <c r="AG6317" s="19"/>
      <c r="AJ6317" s="410"/>
    </row>
    <row r="6318" spans="33:36" ht="11.25" customHeight="1" x14ac:dyDescent="0.2">
      <c r="AG6318" s="19"/>
      <c r="AJ6318" s="410"/>
    </row>
    <row r="6319" spans="33:36" ht="11.25" customHeight="1" x14ac:dyDescent="0.2">
      <c r="AG6319" s="19"/>
      <c r="AJ6319" s="410"/>
    </row>
    <row r="6320" spans="33:36" ht="11.25" customHeight="1" x14ac:dyDescent="0.2">
      <c r="AG6320" s="19"/>
      <c r="AJ6320" s="410"/>
    </row>
    <row r="6321" spans="33:36" ht="11.25" customHeight="1" x14ac:dyDescent="0.2">
      <c r="AG6321" s="19"/>
      <c r="AJ6321" s="410"/>
    </row>
    <row r="6322" spans="33:36" ht="11.25" customHeight="1" x14ac:dyDescent="0.2">
      <c r="AG6322" s="19"/>
      <c r="AJ6322" s="410"/>
    </row>
    <row r="6323" spans="33:36" ht="11.25" customHeight="1" x14ac:dyDescent="0.2">
      <c r="AG6323" s="19"/>
      <c r="AJ6323" s="410"/>
    </row>
    <row r="6324" spans="33:36" ht="11.25" customHeight="1" x14ac:dyDescent="0.2">
      <c r="AG6324" s="19"/>
      <c r="AJ6324" s="410"/>
    </row>
    <row r="6325" spans="33:36" ht="11.25" customHeight="1" x14ac:dyDescent="0.2">
      <c r="AG6325" s="19"/>
      <c r="AJ6325" s="410"/>
    </row>
    <row r="6326" spans="33:36" ht="11.25" customHeight="1" x14ac:dyDescent="0.2">
      <c r="AG6326" s="19"/>
      <c r="AJ6326" s="410"/>
    </row>
    <row r="6327" spans="33:36" ht="11.25" customHeight="1" x14ac:dyDescent="0.2">
      <c r="AG6327" s="19"/>
      <c r="AJ6327" s="410"/>
    </row>
    <row r="6328" spans="33:36" ht="11.25" customHeight="1" x14ac:dyDescent="0.2">
      <c r="AG6328" s="19"/>
      <c r="AJ6328" s="410"/>
    </row>
    <row r="6329" spans="33:36" ht="11.25" customHeight="1" x14ac:dyDescent="0.2">
      <c r="AG6329" s="19"/>
      <c r="AJ6329" s="410"/>
    </row>
    <row r="6330" spans="33:36" ht="11.25" customHeight="1" x14ac:dyDescent="0.2">
      <c r="AG6330" s="19"/>
      <c r="AJ6330" s="410"/>
    </row>
    <row r="6331" spans="33:36" ht="11.25" customHeight="1" x14ac:dyDescent="0.2">
      <c r="AG6331" s="19"/>
      <c r="AJ6331" s="410"/>
    </row>
    <row r="6332" spans="33:36" ht="11.25" customHeight="1" x14ac:dyDescent="0.2">
      <c r="AG6332" s="19"/>
      <c r="AJ6332" s="410"/>
    </row>
    <row r="6333" spans="33:36" ht="11.25" customHeight="1" x14ac:dyDescent="0.2">
      <c r="AG6333" s="19"/>
      <c r="AJ6333" s="410"/>
    </row>
    <row r="6334" spans="33:36" ht="11.25" customHeight="1" x14ac:dyDescent="0.2">
      <c r="AG6334" s="19"/>
      <c r="AJ6334" s="410"/>
    </row>
    <row r="6335" spans="33:36" ht="11.25" customHeight="1" x14ac:dyDescent="0.2">
      <c r="AG6335" s="19"/>
      <c r="AJ6335" s="410"/>
    </row>
    <row r="6336" spans="33:36" ht="11.25" customHeight="1" x14ac:dyDescent="0.2">
      <c r="AG6336" s="19"/>
      <c r="AJ6336" s="410"/>
    </row>
    <row r="6337" spans="33:36" ht="11.25" customHeight="1" x14ac:dyDescent="0.2">
      <c r="AG6337" s="19"/>
      <c r="AJ6337" s="410"/>
    </row>
    <row r="6338" spans="33:36" ht="11.25" customHeight="1" x14ac:dyDescent="0.2">
      <c r="AG6338" s="19"/>
      <c r="AJ6338" s="410"/>
    </row>
    <row r="6339" spans="33:36" ht="11.25" customHeight="1" x14ac:dyDescent="0.2">
      <c r="AG6339" s="19"/>
      <c r="AJ6339" s="410"/>
    </row>
    <row r="6340" spans="33:36" ht="11.25" customHeight="1" x14ac:dyDescent="0.2">
      <c r="AG6340" s="19"/>
      <c r="AJ6340" s="410"/>
    </row>
    <row r="6341" spans="33:36" ht="11.25" customHeight="1" x14ac:dyDescent="0.2">
      <c r="AG6341" s="19"/>
      <c r="AJ6341" s="410"/>
    </row>
    <row r="6342" spans="33:36" ht="11.25" customHeight="1" x14ac:dyDescent="0.2">
      <c r="AG6342" s="19"/>
      <c r="AJ6342" s="410"/>
    </row>
    <row r="6343" spans="33:36" ht="11.25" customHeight="1" x14ac:dyDescent="0.2">
      <c r="AG6343" s="19"/>
      <c r="AJ6343" s="410"/>
    </row>
    <row r="6344" spans="33:36" ht="11.25" customHeight="1" x14ac:dyDescent="0.2">
      <c r="AG6344" s="19"/>
      <c r="AJ6344" s="410"/>
    </row>
    <row r="6345" spans="33:36" ht="11.25" customHeight="1" x14ac:dyDescent="0.2">
      <c r="AG6345" s="19"/>
      <c r="AJ6345" s="410"/>
    </row>
    <row r="6346" spans="33:36" ht="11.25" customHeight="1" x14ac:dyDescent="0.2">
      <c r="AG6346" s="19"/>
      <c r="AJ6346" s="410"/>
    </row>
    <row r="6347" spans="33:36" ht="11.25" customHeight="1" x14ac:dyDescent="0.2">
      <c r="AG6347" s="19"/>
      <c r="AJ6347" s="410"/>
    </row>
    <row r="6348" spans="33:36" ht="11.25" customHeight="1" x14ac:dyDescent="0.2">
      <c r="AG6348" s="19"/>
      <c r="AJ6348" s="410"/>
    </row>
    <row r="6349" spans="33:36" ht="11.25" customHeight="1" x14ac:dyDescent="0.2">
      <c r="AG6349" s="19"/>
      <c r="AJ6349" s="410"/>
    </row>
    <row r="6350" spans="33:36" ht="11.25" customHeight="1" x14ac:dyDescent="0.2">
      <c r="AG6350" s="19"/>
      <c r="AJ6350" s="410"/>
    </row>
    <row r="6351" spans="33:36" ht="11.25" customHeight="1" x14ac:dyDescent="0.2">
      <c r="AG6351" s="19"/>
      <c r="AJ6351" s="410"/>
    </row>
    <row r="6352" spans="33:36" ht="11.25" customHeight="1" x14ac:dyDescent="0.2">
      <c r="AG6352" s="19"/>
      <c r="AJ6352" s="410"/>
    </row>
    <row r="6353" spans="33:36" ht="11.25" customHeight="1" x14ac:dyDescent="0.2">
      <c r="AG6353" s="19"/>
      <c r="AJ6353" s="410"/>
    </row>
    <row r="6354" spans="33:36" ht="11.25" customHeight="1" x14ac:dyDescent="0.2">
      <c r="AG6354" s="19"/>
      <c r="AJ6354" s="410"/>
    </row>
    <row r="6355" spans="33:36" ht="11.25" customHeight="1" x14ac:dyDescent="0.2">
      <c r="AG6355" s="19"/>
      <c r="AJ6355" s="410"/>
    </row>
    <row r="6356" spans="33:36" ht="11.25" customHeight="1" x14ac:dyDescent="0.2">
      <c r="AG6356" s="19"/>
      <c r="AJ6356" s="410"/>
    </row>
    <row r="6357" spans="33:36" ht="11.25" customHeight="1" x14ac:dyDescent="0.2">
      <c r="AG6357" s="19"/>
      <c r="AJ6357" s="410"/>
    </row>
    <row r="6358" spans="33:36" ht="11.25" customHeight="1" x14ac:dyDescent="0.2">
      <c r="AG6358" s="19"/>
      <c r="AJ6358" s="410"/>
    </row>
    <row r="6359" spans="33:36" ht="11.25" customHeight="1" x14ac:dyDescent="0.2">
      <c r="AG6359" s="19"/>
      <c r="AJ6359" s="410"/>
    </row>
    <row r="6360" spans="33:36" ht="11.25" customHeight="1" x14ac:dyDescent="0.2">
      <c r="AG6360" s="19"/>
      <c r="AJ6360" s="410"/>
    </row>
    <row r="6361" spans="33:36" ht="11.25" customHeight="1" x14ac:dyDescent="0.2">
      <c r="AG6361" s="19"/>
      <c r="AJ6361" s="410"/>
    </row>
    <row r="6362" spans="33:36" ht="11.25" customHeight="1" x14ac:dyDescent="0.2">
      <c r="AG6362" s="19"/>
      <c r="AJ6362" s="410"/>
    </row>
    <row r="6363" spans="33:36" ht="11.25" customHeight="1" x14ac:dyDescent="0.2">
      <c r="AG6363" s="19"/>
      <c r="AJ6363" s="410"/>
    </row>
    <row r="6364" spans="33:36" ht="11.25" customHeight="1" x14ac:dyDescent="0.2">
      <c r="AG6364" s="19"/>
      <c r="AJ6364" s="410"/>
    </row>
    <row r="6365" spans="33:36" ht="11.25" customHeight="1" x14ac:dyDescent="0.2">
      <c r="AG6365" s="19"/>
      <c r="AJ6365" s="410"/>
    </row>
    <row r="6366" spans="33:36" ht="11.25" customHeight="1" x14ac:dyDescent="0.2">
      <c r="AG6366" s="19"/>
      <c r="AJ6366" s="410"/>
    </row>
    <row r="6367" spans="33:36" ht="11.25" customHeight="1" x14ac:dyDescent="0.2">
      <c r="AG6367" s="19"/>
      <c r="AJ6367" s="410"/>
    </row>
    <row r="6368" spans="33:36" ht="11.25" customHeight="1" x14ac:dyDescent="0.2">
      <c r="AG6368" s="19"/>
      <c r="AJ6368" s="410"/>
    </row>
    <row r="6369" spans="33:36" ht="11.25" customHeight="1" x14ac:dyDescent="0.2">
      <c r="AG6369" s="19"/>
      <c r="AJ6369" s="410"/>
    </row>
    <row r="6370" spans="33:36" ht="11.25" customHeight="1" x14ac:dyDescent="0.2">
      <c r="AG6370" s="19"/>
      <c r="AJ6370" s="410"/>
    </row>
    <row r="6371" spans="33:36" ht="11.25" customHeight="1" x14ac:dyDescent="0.2">
      <c r="AG6371" s="19"/>
      <c r="AJ6371" s="410"/>
    </row>
    <row r="6372" spans="33:36" ht="11.25" customHeight="1" x14ac:dyDescent="0.2">
      <c r="AG6372" s="19"/>
      <c r="AJ6372" s="410"/>
    </row>
    <row r="6373" spans="33:36" ht="11.25" customHeight="1" x14ac:dyDescent="0.2">
      <c r="AG6373" s="19"/>
      <c r="AJ6373" s="410"/>
    </row>
    <row r="6374" spans="33:36" ht="11.25" customHeight="1" x14ac:dyDescent="0.2">
      <c r="AG6374" s="19"/>
      <c r="AJ6374" s="410"/>
    </row>
    <row r="6375" spans="33:36" ht="11.25" customHeight="1" x14ac:dyDescent="0.2">
      <c r="AG6375" s="19"/>
      <c r="AJ6375" s="410"/>
    </row>
    <row r="6376" spans="33:36" ht="11.25" customHeight="1" x14ac:dyDescent="0.2">
      <c r="AG6376" s="19"/>
      <c r="AJ6376" s="410"/>
    </row>
    <row r="6377" spans="33:36" ht="11.25" customHeight="1" x14ac:dyDescent="0.2">
      <c r="AG6377" s="19"/>
      <c r="AJ6377" s="410"/>
    </row>
    <row r="6378" spans="33:36" ht="11.25" customHeight="1" x14ac:dyDescent="0.2">
      <c r="AG6378" s="19"/>
      <c r="AJ6378" s="410"/>
    </row>
    <row r="6379" spans="33:36" ht="11.25" customHeight="1" x14ac:dyDescent="0.2">
      <c r="AG6379" s="19"/>
      <c r="AJ6379" s="410"/>
    </row>
    <row r="6380" spans="33:36" ht="11.25" customHeight="1" x14ac:dyDescent="0.2">
      <c r="AG6380" s="19"/>
      <c r="AJ6380" s="410"/>
    </row>
    <row r="6381" spans="33:36" ht="11.25" customHeight="1" x14ac:dyDescent="0.2">
      <c r="AG6381" s="19"/>
      <c r="AJ6381" s="410"/>
    </row>
    <row r="6382" spans="33:36" ht="11.25" customHeight="1" x14ac:dyDescent="0.2">
      <c r="AG6382" s="19"/>
      <c r="AJ6382" s="410"/>
    </row>
    <row r="6383" spans="33:36" ht="11.25" customHeight="1" x14ac:dyDescent="0.2">
      <c r="AG6383" s="19"/>
      <c r="AJ6383" s="410"/>
    </row>
    <row r="6384" spans="33:36" ht="11.25" customHeight="1" x14ac:dyDescent="0.2">
      <c r="AG6384" s="19"/>
      <c r="AJ6384" s="410"/>
    </row>
    <row r="6385" spans="33:36" ht="11.25" customHeight="1" x14ac:dyDescent="0.2">
      <c r="AG6385" s="19"/>
      <c r="AJ6385" s="410"/>
    </row>
    <row r="6386" spans="33:36" ht="11.25" customHeight="1" x14ac:dyDescent="0.2">
      <c r="AG6386" s="19"/>
      <c r="AJ6386" s="410"/>
    </row>
    <row r="6387" spans="33:36" ht="11.25" customHeight="1" x14ac:dyDescent="0.2">
      <c r="AG6387" s="19"/>
      <c r="AJ6387" s="410"/>
    </row>
    <row r="6388" spans="33:36" ht="11.25" customHeight="1" x14ac:dyDescent="0.2">
      <c r="AG6388" s="19"/>
      <c r="AJ6388" s="410"/>
    </row>
    <row r="6389" spans="33:36" ht="11.25" customHeight="1" x14ac:dyDescent="0.2">
      <c r="AG6389" s="19"/>
      <c r="AJ6389" s="410"/>
    </row>
    <row r="6390" spans="33:36" ht="11.25" customHeight="1" x14ac:dyDescent="0.2">
      <c r="AG6390" s="19"/>
      <c r="AJ6390" s="410"/>
    </row>
    <row r="6391" spans="33:36" ht="11.25" customHeight="1" x14ac:dyDescent="0.2">
      <c r="AG6391" s="19"/>
      <c r="AJ6391" s="410"/>
    </row>
    <row r="6392" spans="33:36" ht="11.25" customHeight="1" x14ac:dyDescent="0.2">
      <c r="AG6392" s="19"/>
      <c r="AJ6392" s="410"/>
    </row>
    <row r="6393" spans="33:36" ht="11.25" customHeight="1" x14ac:dyDescent="0.2">
      <c r="AG6393" s="19"/>
      <c r="AJ6393" s="410"/>
    </row>
    <row r="6394" spans="33:36" ht="11.25" customHeight="1" x14ac:dyDescent="0.2">
      <c r="AG6394" s="19"/>
      <c r="AJ6394" s="410"/>
    </row>
    <row r="6395" spans="33:36" ht="11.25" customHeight="1" x14ac:dyDescent="0.2">
      <c r="AG6395" s="19"/>
      <c r="AJ6395" s="410"/>
    </row>
    <row r="6396" spans="33:36" ht="11.25" customHeight="1" x14ac:dyDescent="0.2">
      <c r="AG6396" s="19"/>
      <c r="AJ6396" s="410"/>
    </row>
    <row r="6397" spans="33:36" ht="11.25" customHeight="1" x14ac:dyDescent="0.2">
      <c r="AG6397" s="19"/>
      <c r="AJ6397" s="410"/>
    </row>
    <row r="6398" spans="33:36" ht="11.25" customHeight="1" x14ac:dyDescent="0.2">
      <c r="AG6398" s="19"/>
      <c r="AJ6398" s="410"/>
    </row>
    <row r="6399" spans="33:36" ht="11.25" customHeight="1" x14ac:dyDescent="0.2">
      <c r="AG6399" s="19"/>
      <c r="AJ6399" s="410"/>
    </row>
    <row r="6400" spans="33:36" ht="11.25" customHeight="1" x14ac:dyDescent="0.2">
      <c r="AG6400" s="19"/>
      <c r="AJ6400" s="410"/>
    </row>
    <row r="6401" spans="33:36" ht="11.25" customHeight="1" x14ac:dyDescent="0.2">
      <c r="AG6401" s="19"/>
      <c r="AJ6401" s="410"/>
    </row>
    <row r="6402" spans="33:36" ht="11.25" customHeight="1" x14ac:dyDescent="0.2">
      <c r="AG6402" s="19"/>
      <c r="AJ6402" s="410"/>
    </row>
    <row r="6403" spans="33:36" ht="11.25" customHeight="1" x14ac:dyDescent="0.2">
      <c r="AG6403" s="19"/>
      <c r="AJ6403" s="410"/>
    </row>
    <row r="6404" spans="33:36" ht="11.25" customHeight="1" x14ac:dyDescent="0.2">
      <c r="AG6404" s="19"/>
      <c r="AJ6404" s="410"/>
    </row>
    <row r="6405" spans="33:36" ht="11.25" customHeight="1" x14ac:dyDescent="0.2">
      <c r="AG6405" s="19"/>
      <c r="AJ6405" s="410"/>
    </row>
    <row r="6406" spans="33:36" ht="11.25" customHeight="1" x14ac:dyDescent="0.2">
      <c r="AG6406" s="19"/>
      <c r="AJ6406" s="410"/>
    </row>
    <row r="6407" spans="33:36" ht="11.25" customHeight="1" x14ac:dyDescent="0.2">
      <c r="AG6407" s="19"/>
      <c r="AJ6407" s="410"/>
    </row>
    <row r="6408" spans="33:36" ht="11.25" customHeight="1" x14ac:dyDescent="0.2">
      <c r="AG6408" s="19"/>
      <c r="AJ6408" s="410"/>
    </row>
    <row r="6409" spans="33:36" ht="11.25" customHeight="1" x14ac:dyDescent="0.2">
      <c r="AG6409" s="19"/>
      <c r="AJ6409" s="410"/>
    </row>
    <row r="6410" spans="33:36" ht="11.25" customHeight="1" x14ac:dyDescent="0.2">
      <c r="AG6410" s="19"/>
      <c r="AJ6410" s="410"/>
    </row>
    <row r="6411" spans="33:36" ht="11.25" customHeight="1" x14ac:dyDescent="0.2">
      <c r="AG6411" s="19"/>
      <c r="AJ6411" s="410"/>
    </row>
    <row r="6412" spans="33:36" ht="11.25" customHeight="1" x14ac:dyDescent="0.2">
      <c r="AG6412" s="19"/>
      <c r="AJ6412" s="410"/>
    </row>
    <row r="6413" spans="33:36" ht="11.25" customHeight="1" x14ac:dyDescent="0.2">
      <c r="AG6413" s="19"/>
      <c r="AJ6413" s="410"/>
    </row>
    <row r="6414" spans="33:36" ht="11.25" customHeight="1" x14ac:dyDescent="0.2">
      <c r="AG6414" s="19"/>
      <c r="AJ6414" s="410"/>
    </row>
    <row r="6415" spans="33:36" ht="11.25" customHeight="1" x14ac:dyDescent="0.2">
      <c r="AG6415" s="19"/>
      <c r="AJ6415" s="410"/>
    </row>
    <row r="6416" spans="33:36" ht="11.25" customHeight="1" x14ac:dyDescent="0.2">
      <c r="AG6416" s="19"/>
      <c r="AJ6416" s="410"/>
    </row>
    <row r="6417" spans="33:36" ht="11.25" customHeight="1" x14ac:dyDescent="0.2">
      <c r="AG6417" s="19"/>
      <c r="AJ6417" s="410"/>
    </row>
    <row r="6418" spans="33:36" ht="11.25" customHeight="1" x14ac:dyDescent="0.2">
      <c r="AG6418" s="19"/>
      <c r="AJ6418" s="410"/>
    </row>
    <row r="6419" spans="33:36" ht="11.25" customHeight="1" x14ac:dyDescent="0.2">
      <c r="AG6419" s="19"/>
      <c r="AJ6419" s="410"/>
    </row>
    <row r="6420" spans="33:36" ht="11.25" customHeight="1" x14ac:dyDescent="0.2">
      <c r="AG6420" s="19"/>
      <c r="AJ6420" s="410"/>
    </row>
    <row r="6421" spans="33:36" ht="11.25" customHeight="1" x14ac:dyDescent="0.2">
      <c r="AG6421" s="19"/>
      <c r="AJ6421" s="410"/>
    </row>
    <row r="6422" spans="33:36" ht="11.25" customHeight="1" x14ac:dyDescent="0.2">
      <c r="AG6422" s="19"/>
      <c r="AJ6422" s="410"/>
    </row>
    <row r="6423" spans="33:36" ht="11.25" customHeight="1" x14ac:dyDescent="0.2">
      <c r="AG6423" s="19"/>
      <c r="AJ6423" s="410"/>
    </row>
    <row r="6424" spans="33:36" ht="11.25" customHeight="1" x14ac:dyDescent="0.2">
      <c r="AG6424" s="19"/>
      <c r="AJ6424" s="410"/>
    </row>
    <row r="6425" spans="33:36" ht="11.25" customHeight="1" x14ac:dyDescent="0.2">
      <c r="AG6425" s="19"/>
      <c r="AJ6425" s="410"/>
    </row>
    <row r="6426" spans="33:36" ht="11.25" customHeight="1" x14ac:dyDescent="0.2">
      <c r="AG6426" s="19"/>
      <c r="AJ6426" s="410"/>
    </row>
    <row r="6427" spans="33:36" ht="11.25" customHeight="1" x14ac:dyDescent="0.2">
      <c r="AG6427" s="19"/>
      <c r="AJ6427" s="410"/>
    </row>
    <row r="6428" spans="33:36" ht="11.25" customHeight="1" x14ac:dyDescent="0.2">
      <c r="AG6428" s="19"/>
      <c r="AJ6428" s="410"/>
    </row>
    <row r="6429" spans="33:36" ht="11.25" customHeight="1" x14ac:dyDescent="0.2">
      <c r="AG6429" s="19"/>
      <c r="AJ6429" s="410"/>
    </row>
    <row r="6430" spans="33:36" ht="11.25" customHeight="1" x14ac:dyDescent="0.2">
      <c r="AG6430" s="19"/>
      <c r="AJ6430" s="410"/>
    </row>
    <row r="6431" spans="33:36" ht="11.25" customHeight="1" x14ac:dyDescent="0.2">
      <c r="AG6431" s="19"/>
      <c r="AJ6431" s="410"/>
    </row>
    <row r="6432" spans="33:36" ht="11.25" customHeight="1" x14ac:dyDescent="0.2">
      <c r="AG6432" s="19"/>
      <c r="AJ6432" s="410"/>
    </row>
    <row r="6433" spans="33:36" ht="11.25" customHeight="1" x14ac:dyDescent="0.2">
      <c r="AG6433" s="19"/>
      <c r="AJ6433" s="410"/>
    </row>
    <row r="6434" spans="33:36" ht="11.25" customHeight="1" x14ac:dyDescent="0.2">
      <c r="AG6434" s="19"/>
      <c r="AJ6434" s="410"/>
    </row>
    <row r="6435" spans="33:36" ht="11.25" customHeight="1" x14ac:dyDescent="0.2">
      <c r="AG6435" s="19"/>
      <c r="AJ6435" s="410"/>
    </row>
    <row r="6436" spans="33:36" ht="11.25" customHeight="1" x14ac:dyDescent="0.2">
      <c r="AG6436" s="19"/>
      <c r="AJ6436" s="410"/>
    </row>
    <row r="6437" spans="33:36" ht="11.25" customHeight="1" x14ac:dyDescent="0.2">
      <c r="AG6437" s="19"/>
      <c r="AJ6437" s="410"/>
    </row>
    <row r="6438" spans="33:36" ht="11.25" customHeight="1" x14ac:dyDescent="0.2">
      <c r="AG6438" s="19"/>
      <c r="AJ6438" s="410"/>
    </row>
    <row r="6439" spans="33:36" ht="11.25" customHeight="1" x14ac:dyDescent="0.2">
      <c r="AG6439" s="19"/>
      <c r="AJ6439" s="410"/>
    </row>
    <row r="6440" spans="33:36" ht="11.25" customHeight="1" x14ac:dyDescent="0.2">
      <c r="AG6440" s="19"/>
      <c r="AJ6440" s="410"/>
    </row>
    <row r="6441" spans="33:36" ht="11.25" customHeight="1" x14ac:dyDescent="0.2">
      <c r="AG6441" s="19"/>
      <c r="AJ6441" s="410"/>
    </row>
    <row r="6442" spans="33:36" ht="11.25" customHeight="1" x14ac:dyDescent="0.2">
      <c r="AG6442" s="19"/>
      <c r="AJ6442" s="410"/>
    </row>
    <row r="6443" spans="33:36" ht="11.25" customHeight="1" x14ac:dyDescent="0.2">
      <c r="AG6443" s="19"/>
      <c r="AJ6443" s="410"/>
    </row>
    <row r="6444" spans="33:36" ht="11.25" customHeight="1" x14ac:dyDescent="0.2">
      <c r="AG6444" s="19"/>
      <c r="AJ6444" s="410"/>
    </row>
    <row r="6445" spans="33:36" ht="11.25" customHeight="1" x14ac:dyDescent="0.2">
      <c r="AG6445" s="19"/>
      <c r="AJ6445" s="410"/>
    </row>
    <row r="6446" spans="33:36" ht="11.25" customHeight="1" x14ac:dyDescent="0.2">
      <c r="AG6446" s="19"/>
      <c r="AJ6446" s="410"/>
    </row>
    <row r="6447" spans="33:36" ht="11.25" customHeight="1" x14ac:dyDescent="0.2">
      <c r="AG6447" s="19"/>
      <c r="AJ6447" s="410"/>
    </row>
    <row r="6448" spans="33:36" ht="11.25" customHeight="1" x14ac:dyDescent="0.2">
      <c r="AG6448" s="19"/>
      <c r="AJ6448" s="410"/>
    </row>
    <row r="6449" spans="33:36" ht="11.25" customHeight="1" x14ac:dyDescent="0.2">
      <c r="AG6449" s="19"/>
      <c r="AJ6449" s="410"/>
    </row>
    <row r="6450" spans="33:36" ht="11.25" customHeight="1" x14ac:dyDescent="0.2">
      <c r="AG6450" s="19"/>
      <c r="AJ6450" s="410"/>
    </row>
    <row r="6451" spans="33:36" ht="11.25" customHeight="1" x14ac:dyDescent="0.2">
      <c r="AG6451" s="19"/>
      <c r="AJ6451" s="410"/>
    </row>
    <row r="6452" spans="33:36" ht="11.25" customHeight="1" x14ac:dyDescent="0.2">
      <c r="AG6452" s="19"/>
      <c r="AJ6452" s="410"/>
    </row>
    <row r="6453" spans="33:36" ht="11.25" customHeight="1" x14ac:dyDescent="0.2">
      <c r="AG6453" s="19"/>
      <c r="AJ6453" s="410"/>
    </row>
    <row r="6454" spans="33:36" ht="11.25" customHeight="1" x14ac:dyDescent="0.2">
      <c r="AG6454" s="19"/>
      <c r="AJ6454" s="410"/>
    </row>
    <row r="6455" spans="33:36" ht="11.25" customHeight="1" x14ac:dyDescent="0.2">
      <c r="AG6455" s="19"/>
      <c r="AJ6455" s="410"/>
    </row>
    <row r="6456" spans="33:36" ht="11.25" customHeight="1" x14ac:dyDescent="0.2">
      <c r="AG6456" s="19"/>
      <c r="AJ6456" s="410"/>
    </row>
    <row r="6457" spans="33:36" ht="11.25" customHeight="1" x14ac:dyDescent="0.2">
      <c r="AG6457" s="19"/>
      <c r="AJ6457" s="410"/>
    </row>
    <row r="6458" spans="33:36" ht="11.25" customHeight="1" x14ac:dyDescent="0.2">
      <c r="AG6458" s="19"/>
      <c r="AJ6458" s="410"/>
    </row>
    <row r="6459" spans="33:36" ht="11.25" customHeight="1" x14ac:dyDescent="0.2">
      <c r="AG6459" s="19"/>
      <c r="AJ6459" s="410"/>
    </row>
    <row r="6460" spans="33:36" ht="11.25" customHeight="1" x14ac:dyDescent="0.2">
      <c r="AG6460" s="19"/>
      <c r="AJ6460" s="410"/>
    </row>
    <row r="6461" spans="33:36" ht="11.25" customHeight="1" x14ac:dyDescent="0.2">
      <c r="AG6461" s="19"/>
      <c r="AJ6461" s="410"/>
    </row>
    <row r="6462" spans="33:36" ht="11.25" customHeight="1" x14ac:dyDescent="0.2">
      <c r="AG6462" s="19"/>
      <c r="AJ6462" s="410"/>
    </row>
    <row r="6463" spans="33:36" ht="11.25" customHeight="1" x14ac:dyDescent="0.2">
      <c r="AG6463" s="19"/>
      <c r="AJ6463" s="410"/>
    </row>
    <row r="6464" spans="33:36" ht="11.25" customHeight="1" x14ac:dyDescent="0.2">
      <c r="AG6464" s="19"/>
      <c r="AJ6464" s="410"/>
    </row>
    <row r="6465" spans="33:36" ht="11.25" customHeight="1" x14ac:dyDescent="0.2">
      <c r="AG6465" s="19"/>
      <c r="AJ6465" s="410"/>
    </row>
    <row r="6466" spans="33:36" ht="11.25" customHeight="1" x14ac:dyDescent="0.2">
      <c r="AG6466" s="19"/>
      <c r="AJ6466" s="410"/>
    </row>
    <row r="6467" spans="33:36" ht="11.25" customHeight="1" x14ac:dyDescent="0.2">
      <c r="AG6467" s="19"/>
      <c r="AJ6467" s="410"/>
    </row>
    <row r="6468" spans="33:36" ht="11.25" customHeight="1" x14ac:dyDescent="0.2">
      <c r="AG6468" s="19"/>
      <c r="AJ6468" s="410"/>
    </row>
    <row r="6469" spans="33:36" ht="11.25" customHeight="1" x14ac:dyDescent="0.2">
      <c r="AG6469" s="19"/>
      <c r="AJ6469" s="410"/>
    </row>
    <row r="6470" spans="33:36" ht="11.25" customHeight="1" x14ac:dyDescent="0.2">
      <c r="AG6470" s="19"/>
      <c r="AJ6470" s="410"/>
    </row>
    <row r="6471" spans="33:36" ht="11.25" customHeight="1" x14ac:dyDescent="0.2">
      <c r="AG6471" s="19"/>
      <c r="AJ6471" s="410"/>
    </row>
    <row r="6472" spans="33:36" ht="11.25" customHeight="1" x14ac:dyDescent="0.2">
      <c r="AG6472" s="19"/>
      <c r="AJ6472" s="410"/>
    </row>
    <row r="6473" spans="33:36" ht="11.25" customHeight="1" x14ac:dyDescent="0.2">
      <c r="AG6473" s="19"/>
      <c r="AJ6473" s="410"/>
    </row>
    <row r="6474" spans="33:36" ht="11.25" customHeight="1" x14ac:dyDescent="0.2">
      <c r="AG6474" s="19"/>
      <c r="AJ6474" s="410"/>
    </row>
    <row r="6475" spans="33:36" ht="11.25" customHeight="1" x14ac:dyDescent="0.2">
      <c r="AG6475" s="19"/>
      <c r="AJ6475" s="410"/>
    </row>
    <row r="6476" spans="33:36" ht="11.25" customHeight="1" x14ac:dyDescent="0.2">
      <c r="AG6476" s="19"/>
      <c r="AJ6476" s="410"/>
    </row>
    <row r="6477" spans="33:36" ht="11.25" customHeight="1" x14ac:dyDescent="0.2">
      <c r="AG6477" s="19"/>
      <c r="AJ6477" s="410"/>
    </row>
    <row r="6478" spans="33:36" ht="11.25" customHeight="1" x14ac:dyDescent="0.2">
      <c r="AG6478" s="19"/>
      <c r="AJ6478" s="410"/>
    </row>
    <row r="6479" spans="33:36" ht="11.25" customHeight="1" x14ac:dyDescent="0.2">
      <c r="AG6479" s="19"/>
      <c r="AJ6479" s="410"/>
    </row>
    <row r="6480" spans="33:36" ht="11.25" customHeight="1" x14ac:dyDescent="0.2">
      <c r="AG6480" s="19"/>
      <c r="AJ6480" s="410"/>
    </row>
    <row r="6481" spans="33:36" ht="11.25" customHeight="1" x14ac:dyDescent="0.2">
      <c r="AG6481" s="19"/>
      <c r="AJ6481" s="410"/>
    </row>
    <row r="6482" spans="33:36" ht="11.25" customHeight="1" x14ac:dyDescent="0.2">
      <c r="AG6482" s="19"/>
      <c r="AJ6482" s="410"/>
    </row>
    <row r="6483" spans="33:36" ht="11.25" customHeight="1" x14ac:dyDescent="0.2">
      <c r="AG6483" s="19"/>
      <c r="AJ6483" s="410"/>
    </row>
    <row r="6484" spans="33:36" ht="11.25" customHeight="1" x14ac:dyDescent="0.2">
      <c r="AG6484" s="19"/>
      <c r="AJ6484" s="410"/>
    </row>
    <row r="6485" spans="33:36" ht="11.25" customHeight="1" x14ac:dyDescent="0.2">
      <c r="AG6485" s="19"/>
      <c r="AJ6485" s="410"/>
    </row>
    <row r="6486" spans="33:36" ht="11.25" customHeight="1" x14ac:dyDescent="0.2">
      <c r="AG6486" s="19"/>
      <c r="AJ6486" s="410"/>
    </row>
    <row r="6487" spans="33:36" ht="11.25" customHeight="1" x14ac:dyDescent="0.2">
      <c r="AG6487" s="19"/>
      <c r="AJ6487" s="410"/>
    </row>
    <row r="6488" spans="33:36" ht="11.25" customHeight="1" x14ac:dyDescent="0.2">
      <c r="AG6488" s="19"/>
      <c r="AJ6488" s="410"/>
    </row>
    <row r="6489" spans="33:36" ht="11.25" customHeight="1" x14ac:dyDescent="0.2">
      <c r="AG6489" s="19"/>
      <c r="AJ6489" s="410"/>
    </row>
    <row r="6490" spans="33:36" ht="11.25" customHeight="1" x14ac:dyDescent="0.2">
      <c r="AG6490" s="19"/>
      <c r="AJ6490" s="410"/>
    </row>
    <row r="6491" spans="33:36" ht="11.25" customHeight="1" x14ac:dyDescent="0.2">
      <c r="AG6491" s="19"/>
      <c r="AJ6491" s="410"/>
    </row>
    <row r="6492" spans="33:36" ht="11.25" customHeight="1" x14ac:dyDescent="0.2">
      <c r="AG6492" s="19"/>
      <c r="AJ6492" s="410"/>
    </row>
    <row r="6493" spans="33:36" ht="11.25" customHeight="1" x14ac:dyDescent="0.2">
      <c r="AG6493" s="19"/>
      <c r="AJ6493" s="410"/>
    </row>
    <row r="6494" spans="33:36" ht="11.25" customHeight="1" x14ac:dyDescent="0.2">
      <c r="AG6494" s="19"/>
      <c r="AJ6494" s="410"/>
    </row>
    <row r="6495" spans="33:36" ht="11.25" customHeight="1" x14ac:dyDescent="0.2">
      <c r="AG6495" s="19"/>
      <c r="AJ6495" s="410"/>
    </row>
    <row r="6496" spans="33:36" ht="11.25" customHeight="1" x14ac:dyDescent="0.2">
      <c r="AG6496" s="19"/>
      <c r="AJ6496" s="410"/>
    </row>
    <row r="6497" spans="33:36" ht="11.25" customHeight="1" x14ac:dyDescent="0.2">
      <c r="AG6497" s="19"/>
      <c r="AJ6497" s="410"/>
    </row>
    <row r="6498" spans="33:36" ht="11.25" customHeight="1" x14ac:dyDescent="0.2">
      <c r="AG6498" s="19"/>
      <c r="AJ6498" s="410"/>
    </row>
    <row r="6499" spans="33:36" ht="11.25" customHeight="1" x14ac:dyDescent="0.2">
      <c r="AG6499" s="19"/>
      <c r="AJ6499" s="410"/>
    </row>
    <row r="6500" spans="33:36" ht="11.25" customHeight="1" x14ac:dyDescent="0.2">
      <c r="AG6500" s="19"/>
      <c r="AJ6500" s="410"/>
    </row>
    <row r="6501" spans="33:36" ht="11.25" customHeight="1" x14ac:dyDescent="0.2">
      <c r="AG6501" s="19"/>
      <c r="AJ6501" s="410"/>
    </row>
    <row r="6502" spans="33:36" ht="11.25" customHeight="1" x14ac:dyDescent="0.2">
      <c r="AG6502" s="19"/>
      <c r="AJ6502" s="410"/>
    </row>
    <row r="6503" spans="33:36" ht="11.25" customHeight="1" x14ac:dyDescent="0.2">
      <c r="AG6503" s="19"/>
      <c r="AJ6503" s="410"/>
    </row>
    <row r="6504" spans="33:36" ht="11.25" customHeight="1" x14ac:dyDescent="0.2">
      <c r="AG6504" s="19"/>
      <c r="AJ6504" s="410"/>
    </row>
    <row r="6505" spans="33:36" ht="11.25" customHeight="1" x14ac:dyDescent="0.2">
      <c r="AG6505" s="19"/>
      <c r="AJ6505" s="410"/>
    </row>
    <row r="6506" spans="33:36" ht="11.25" customHeight="1" x14ac:dyDescent="0.2">
      <c r="AG6506" s="19"/>
      <c r="AJ6506" s="410"/>
    </row>
    <row r="6507" spans="33:36" ht="11.25" customHeight="1" x14ac:dyDescent="0.2">
      <c r="AG6507" s="19"/>
      <c r="AJ6507" s="410"/>
    </row>
    <row r="6508" spans="33:36" ht="11.25" customHeight="1" x14ac:dyDescent="0.2">
      <c r="AG6508" s="19"/>
      <c r="AJ6508" s="410"/>
    </row>
    <row r="6509" spans="33:36" ht="11.25" customHeight="1" x14ac:dyDescent="0.2">
      <c r="AG6509" s="19"/>
      <c r="AJ6509" s="410"/>
    </row>
    <row r="6510" spans="33:36" ht="11.25" customHeight="1" x14ac:dyDescent="0.2">
      <c r="AG6510" s="19"/>
      <c r="AJ6510" s="410"/>
    </row>
    <row r="6511" spans="33:36" ht="11.25" customHeight="1" x14ac:dyDescent="0.2">
      <c r="AG6511" s="19"/>
      <c r="AJ6511" s="410"/>
    </row>
    <row r="6512" spans="33:36" ht="11.25" customHeight="1" x14ac:dyDescent="0.2">
      <c r="AG6512" s="19"/>
      <c r="AJ6512" s="410"/>
    </row>
    <row r="6513" spans="33:36" ht="11.25" customHeight="1" x14ac:dyDescent="0.2">
      <c r="AG6513" s="19"/>
      <c r="AJ6513" s="410"/>
    </row>
    <row r="6514" spans="33:36" ht="11.25" customHeight="1" x14ac:dyDescent="0.2">
      <c r="AG6514" s="19"/>
      <c r="AJ6514" s="410"/>
    </row>
    <row r="6515" spans="33:36" ht="11.25" customHeight="1" x14ac:dyDescent="0.2">
      <c r="AG6515" s="19"/>
      <c r="AJ6515" s="410"/>
    </row>
    <row r="6516" spans="33:36" ht="11.25" customHeight="1" x14ac:dyDescent="0.2">
      <c r="AG6516" s="19"/>
      <c r="AJ6516" s="410"/>
    </row>
    <row r="6517" spans="33:36" ht="11.25" customHeight="1" x14ac:dyDescent="0.2">
      <c r="AG6517" s="19"/>
      <c r="AJ6517" s="410"/>
    </row>
    <row r="6518" spans="33:36" ht="11.25" customHeight="1" x14ac:dyDescent="0.2">
      <c r="AG6518" s="19"/>
      <c r="AJ6518" s="410"/>
    </row>
    <row r="6519" spans="33:36" ht="11.25" customHeight="1" x14ac:dyDescent="0.2">
      <c r="AG6519" s="19"/>
      <c r="AJ6519" s="410"/>
    </row>
    <row r="6520" spans="33:36" ht="11.25" customHeight="1" x14ac:dyDescent="0.2">
      <c r="AG6520" s="19"/>
      <c r="AJ6520" s="410"/>
    </row>
    <row r="6521" spans="33:36" ht="11.25" customHeight="1" x14ac:dyDescent="0.2">
      <c r="AG6521" s="19"/>
      <c r="AJ6521" s="410"/>
    </row>
    <row r="6522" spans="33:36" ht="11.25" customHeight="1" x14ac:dyDescent="0.2">
      <c r="AG6522" s="19"/>
      <c r="AJ6522" s="410"/>
    </row>
    <row r="6523" spans="33:36" ht="11.25" customHeight="1" x14ac:dyDescent="0.2">
      <c r="AG6523" s="19"/>
      <c r="AJ6523" s="410"/>
    </row>
    <row r="6524" spans="33:36" ht="11.25" customHeight="1" x14ac:dyDescent="0.2">
      <c r="AG6524" s="19"/>
      <c r="AJ6524" s="410"/>
    </row>
    <row r="6525" spans="33:36" ht="11.25" customHeight="1" x14ac:dyDescent="0.2">
      <c r="AG6525" s="19"/>
      <c r="AJ6525" s="410"/>
    </row>
    <row r="6526" spans="33:36" ht="11.25" customHeight="1" x14ac:dyDescent="0.2">
      <c r="AG6526" s="19"/>
      <c r="AJ6526" s="410"/>
    </row>
    <row r="6527" spans="33:36" ht="11.25" customHeight="1" x14ac:dyDescent="0.2">
      <c r="AG6527" s="19"/>
      <c r="AJ6527" s="410"/>
    </row>
    <row r="6528" spans="33:36" ht="11.25" customHeight="1" x14ac:dyDescent="0.2">
      <c r="AG6528" s="19"/>
      <c r="AJ6528" s="410"/>
    </row>
    <row r="6529" spans="33:36" ht="11.25" customHeight="1" x14ac:dyDescent="0.2">
      <c r="AG6529" s="19"/>
      <c r="AJ6529" s="410"/>
    </row>
    <row r="6530" spans="33:36" ht="11.25" customHeight="1" x14ac:dyDescent="0.2">
      <c r="AG6530" s="19"/>
      <c r="AJ6530" s="410"/>
    </row>
    <row r="6531" spans="33:36" ht="11.25" customHeight="1" x14ac:dyDescent="0.2">
      <c r="AG6531" s="19"/>
      <c r="AJ6531" s="410"/>
    </row>
    <row r="6532" spans="33:36" ht="11.25" customHeight="1" x14ac:dyDescent="0.2">
      <c r="AG6532" s="19"/>
      <c r="AJ6532" s="410"/>
    </row>
    <row r="6533" spans="33:36" ht="11.25" customHeight="1" x14ac:dyDescent="0.2">
      <c r="AG6533" s="19"/>
      <c r="AJ6533" s="410"/>
    </row>
    <row r="6534" spans="33:36" ht="11.25" customHeight="1" x14ac:dyDescent="0.2">
      <c r="AG6534" s="19"/>
      <c r="AJ6534" s="410"/>
    </row>
    <row r="6535" spans="33:36" ht="11.25" customHeight="1" x14ac:dyDescent="0.2">
      <c r="AG6535" s="19"/>
      <c r="AJ6535" s="410"/>
    </row>
    <row r="6536" spans="33:36" ht="11.25" customHeight="1" x14ac:dyDescent="0.2">
      <c r="AG6536" s="19"/>
      <c r="AJ6536" s="410"/>
    </row>
    <row r="6537" spans="33:36" ht="11.25" customHeight="1" x14ac:dyDescent="0.2">
      <c r="AG6537" s="19"/>
      <c r="AJ6537" s="410"/>
    </row>
    <row r="6538" spans="33:36" ht="11.25" customHeight="1" x14ac:dyDescent="0.2">
      <c r="AG6538" s="19"/>
      <c r="AJ6538" s="410"/>
    </row>
    <row r="6539" spans="33:36" ht="11.25" customHeight="1" x14ac:dyDescent="0.2">
      <c r="AG6539" s="19"/>
      <c r="AJ6539" s="410"/>
    </row>
    <row r="6540" spans="33:36" ht="11.25" customHeight="1" x14ac:dyDescent="0.2">
      <c r="AG6540" s="19"/>
      <c r="AJ6540" s="410"/>
    </row>
    <row r="6541" spans="33:36" ht="11.25" customHeight="1" x14ac:dyDescent="0.2">
      <c r="AG6541" s="19"/>
      <c r="AJ6541" s="410"/>
    </row>
    <row r="6542" spans="33:36" ht="11.25" customHeight="1" x14ac:dyDescent="0.2">
      <c r="AG6542" s="19"/>
      <c r="AJ6542" s="410"/>
    </row>
    <row r="6543" spans="33:36" ht="11.25" customHeight="1" x14ac:dyDescent="0.2">
      <c r="AG6543" s="19"/>
      <c r="AJ6543" s="410"/>
    </row>
    <row r="6544" spans="33:36" ht="11.25" customHeight="1" x14ac:dyDescent="0.2">
      <c r="AG6544" s="19"/>
      <c r="AJ6544" s="410"/>
    </row>
    <row r="6545" spans="33:36" ht="11.25" customHeight="1" x14ac:dyDescent="0.2">
      <c r="AG6545" s="19"/>
      <c r="AJ6545" s="410"/>
    </row>
    <row r="6546" spans="33:36" ht="11.25" customHeight="1" x14ac:dyDescent="0.2">
      <c r="AG6546" s="19"/>
      <c r="AJ6546" s="410"/>
    </row>
    <row r="6547" spans="33:36" ht="11.25" customHeight="1" x14ac:dyDescent="0.2">
      <c r="AG6547" s="19"/>
      <c r="AJ6547" s="410"/>
    </row>
    <row r="6548" spans="33:36" ht="11.25" customHeight="1" x14ac:dyDescent="0.2">
      <c r="AG6548" s="19"/>
      <c r="AJ6548" s="410"/>
    </row>
    <row r="6549" spans="33:36" ht="11.25" customHeight="1" x14ac:dyDescent="0.2">
      <c r="AG6549" s="19"/>
      <c r="AJ6549" s="410"/>
    </row>
    <row r="6550" spans="33:36" ht="11.25" customHeight="1" x14ac:dyDescent="0.2">
      <c r="AG6550" s="19"/>
      <c r="AJ6550" s="410"/>
    </row>
    <row r="6551" spans="33:36" ht="11.25" customHeight="1" x14ac:dyDescent="0.2">
      <c r="AG6551" s="19"/>
      <c r="AJ6551" s="410"/>
    </row>
    <row r="6552" spans="33:36" ht="11.25" customHeight="1" x14ac:dyDescent="0.2">
      <c r="AG6552" s="19"/>
      <c r="AJ6552" s="410"/>
    </row>
    <row r="6553" spans="33:36" ht="11.25" customHeight="1" x14ac:dyDescent="0.2">
      <c r="AG6553" s="19"/>
      <c r="AJ6553" s="410"/>
    </row>
    <row r="6554" spans="33:36" ht="11.25" customHeight="1" x14ac:dyDescent="0.2">
      <c r="AG6554" s="19"/>
      <c r="AJ6554" s="410"/>
    </row>
    <row r="6555" spans="33:36" ht="11.25" customHeight="1" x14ac:dyDescent="0.2">
      <c r="AG6555" s="19"/>
      <c r="AJ6555" s="410"/>
    </row>
    <row r="6556" spans="33:36" ht="11.25" customHeight="1" x14ac:dyDescent="0.2">
      <c r="AG6556" s="19"/>
      <c r="AJ6556" s="410"/>
    </row>
    <row r="6557" spans="33:36" ht="11.25" customHeight="1" x14ac:dyDescent="0.2">
      <c r="AG6557" s="19"/>
      <c r="AJ6557" s="410"/>
    </row>
    <row r="6558" spans="33:36" ht="11.25" customHeight="1" x14ac:dyDescent="0.2">
      <c r="AG6558" s="19"/>
      <c r="AJ6558" s="410"/>
    </row>
    <row r="6559" spans="33:36" ht="11.25" customHeight="1" x14ac:dyDescent="0.2">
      <c r="AG6559" s="19"/>
      <c r="AJ6559" s="410"/>
    </row>
    <row r="6560" spans="33:36" ht="11.25" customHeight="1" x14ac:dyDescent="0.2">
      <c r="AG6560" s="19"/>
      <c r="AJ6560" s="410"/>
    </row>
    <row r="6561" spans="33:36" ht="11.25" customHeight="1" x14ac:dyDescent="0.2">
      <c r="AG6561" s="19"/>
      <c r="AJ6561" s="410"/>
    </row>
    <row r="6562" spans="33:36" ht="11.25" customHeight="1" x14ac:dyDescent="0.2">
      <c r="AG6562" s="19"/>
      <c r="AJ6562" s="410"/>
    </row>
    <row r="6563" spans="33:36" ht="11.25" customHeight="1" x14ac:dyDescent="0.2">
      <c r="AG6563" s="19"/>
      <c r="AJ6563" s="410"/>
    </row>
    <row r="6564" spans="33:36" ht="11.25" customHeight="1" x14ac:dyDescent="0.2">
      <c r="AG6564" s="19"/>
      <c r="AJ6564" s="410"/>
    </row>
    <row r="6565" spans="33:36" ht="11.25" customHeight="1" x14ac:dyDescent="0.2">
      <c r="AG6565" s="19"/>
      <c r="AJ6565" s="410"/>
    </row>
    <row r="6566" spans="33:36" ht="11.25" customHeight="1" x14ac:dyDescent="0.2">
      <c r="AG6566" s="19"/>
      <c r="AJ6566" s="410"/>
    </row>
    <row r="6567" spans="33:36" ht="11.25" customHeight="1" x14ac:dyDescent="0.2">
      <c r="AG6567" s="19"/>
      <c r="AJ6567" s="410"/>
    </row>
    <row r="6568" spans="33:36" ht="11.25" customHeight="1" x14ac:dyDescent="0.2">
      <c r="AG6568" s="19"/>
      <c r="AJ6568" s="410"/>
    </row>
    <row r="6569" spans="33:36" ht="11.25" customHeight="1" x14ac:dyDescent="0.2">
      <c r="AG6569" s="19"/>
      <c r="AJ6569" s="410"/>
    </row>
    <row r="6570" spans="33:36" ht="11.25" customHeight="1" x14ac:dyDescent="0.2">
      <c r="AG6570" s="19"/>
      <c r="AJ6570" s="410"/>
    </row>
    <row r="6571" spans="33:36" ht="11.25" customHeight="1" x14ac:dyDescent="0.2">
      <c r="AG6571" s="19"/>
      <c r="AJ6571" s="410"/>
    </row>
    <row r="6572" spans="33:36" ht="11.25" customHeight="1" x14ac:dyDescent="0.2">
      <c r="AG6572" s="19"/>
      <c r="AJ6572" s="410"/>
    </row>
    <row r="6573" spans="33:36" ht="11.25" customHeight="1" x14ac:dyDescent="0.2">
      <c r="AG6573" s="19"/>
      <c r="AJ6573" s="410"/>
    </row>
    <row r="6574" spans="33:36" ht="11.25" customHeight="1" x14ac:dyDescent="0.2">
      <c r="AG6574" s="19"/>
      <c r="AJ6574" s="410"/>
    </row>
    <row r="6575" spans="33:36" ht="11.25" customHeight="1" x14ac:dyDescent="0.2">
      <c r="AG6575" s="19"/>
      <c r="AJ6575" s="410"/>
    </row>
    <row r="6576" spans="33:36" ht="11.25" customHeight="1" x14ac:dyDescent="0.2">
      <c r="AG6576" s="19"/>
      <c r="AJ6576" s="410"/>
    </row>
    <row r="6577" spans="33:36" ht="11.25" customHeight="1" x14ac:dyDescent="0.2">
      <c r="AG6577" s="19"/>
      <c r="AJ6577" s="410"/>
    </row>
    <row r="6578" spans="33:36" ht="11.25" customHeight="1" x14ac:dyDescent="0.2">
      <c r="AG6578" s="19"/>
      <c r="AJ6578" s="410"/>
    </row>
    <row r="6579" spans="33:36" ht="11.25" customHeight="1" x14ac:dyDescent="0.2">
      <c r="AG6579" s="19"/>
      <c r="AJ6579" s="410"/>
    </row>
    <row r="6580" spans="33:36" ht="11.25" customHeight="1" x14ac:dyDescent="0.2">
      <c r="AG6580" s="19"/>
      <c r="AJ6580" s="410"/>
    </row>
    <row r="6581" spans="33:36" ht="11.25" customHeight="1" x14ac:dyDescent="0.2">
      <c r="AG6581" s="19"/>
      <c r="AJ6581" s="410"/>
    </row>
    <row r="6582" spans="33:36" ht="11.25" customHeight="1" x14ac:dyDescent="0.2">
      <c r="AG6582" s="19"/>
      <c r="AJ6582" s="410"/>
    </row>
    <row r="6583" spans="33:36" ht="11.25" customHeight="1" x14ac:dyDescent="0.2">
      <c r="AG6583" s="19"/>
      <c r="AJ6583" s="410"/>
    </row>
    <row r="6584" spans="33:36" ht="11.25" customHeight="1" x14ac:dyDescent="0.2">
      <c r="AG6584" s="19"/>
      <c r="AJ6584" s="410"/>
    </row>
    <row r="6585" spans="33:36" ht="11.25" customHeight="1" x14ac:dyDescent="0.2">
      <c r="AG6585" s="19"/>
      <c r="AJ6585" s="410"/>
    </row>
    <row r="6586" spans="33:36" ht="11.25" customHeight="1" x14ac:dyDescent="0.2">
      <c r="AG6586" s="19"/>
      <c r="AJ6586" s="410"/>
    </row>
    <row r="6587" spans="33:36" ht="11.25" customHeight="1" x14ac:dyDescent="0.2">
      <c r="AG6587" s="19"/>
      <c r="AJ6587" s="410"/>
    </row>
    <row r="6588" spans="33:36" ht="11.25" customHeight="1" x14ac:dyDescent="0.2">
      <c r="AG6588" s="19"/>
      <c r="AJ6588" s="410"/>
    </row>
    <row r="6589" spans="33:36" ht="11.25" customHeight="1" x14ac:dyDescent="0.2">
      <c r="AG6589" s="19"/>
      <c r="AJ6589" s="410"/>
    </row>
    <row r="6590" spans="33:36" ht="11.25" customHeight="1" x14ac:dyDescent="0.2">
      <c r="AG6590" s="19"/>
      <c r="AJ6590" s="410"/>
    </row>
    <row r="6591" spans="33:36" ht="11.25" customHeight="1" x14ac:dyDescent="0.2">
      <c r="AG6591" s="19"/>
      <c r="AJ6591" s="410"/>
    </row>
    <row r="6592" spans="33:36" ht="11.25" customHeight="1" x14ac:dyDescent="0.2">
      <c r="AG6592" s="19"/>
      <c r="AJ6592" s="410"/>
    </row>
    <row r="6593" spans="33:36" ht="11.25" customHeight="1" x14ac:dyDescent="0.2">
      <c r="AG6593" s="19"/>
      <c r="AJ6593" s="410"/>
    </row>
    <row r="6594" spans="33:36" ht="11.25" customHeight="1" x14ac:dyDescent="0.2">
      <c r="AG6594" s="19"/>
      <c r="AJ6594" s="410"/>
    </row>
    <row r="6595" spans="33:36" ht="11.25" customHeight="1" x14ac:dyDescent="0.2">
      <c r="AG6595" s="19"/>
      <c r="AJ6595" s="410"/>
    </row>
    <row r="6596" spans="33:36" ht="11.25" customHeight="1" x14ac:dyDescent="0.2">
      <c r="AG6596" s="19"/>
      <c r="AJ6596" s="410"/>
    </row>
    <row r="6597" spans="33:36" ht="11.25" customHeight="1" x14ac:dyDescent="0.2">
      <c r="AG6597" s="19"/>
      <c r="AJ6597" s="410"/>
    </row>
    <row r="6598" spans="33:36" ht="11.25" customHeight="1" x14ac:dyDescent="0.2">
      <c r="AG6598" s="19"/>
      <c r="AJ6598" s="410"/>
    </row>
    <row r="6599" spans="33:36" ht="11.25" customHeight="1" x14ac:dyDescent="0.2">
      <c r="AG6599" s="19"/>
      <c r="AJ6599" s="410"/>
    </row>
    <row r="6600" spans="33:36" ht="11.25" customHeight="1" x14ac:dyDescent="0.2">
      <c r="AG6600" s="19"/>
      <c r="AJ6600" s="410"/>
    </row>
    <row r="6601" spans="33:36" ht="11.25" customHeight="1" x14ac:dyDescent="0.2">
      <c r="AG6601" s="19"/>
      <c r="AJ6601" s="410"/>
    </row>
    <row r="6602" spans="33:36" ht="11.25" customHeight="1" x14ac:dyDescent="0.2">
      <c r="AG6602" s="19"/>
      <c r="AJ6602" s="410"/>
    </row>
    <row r="6603" spans="33:36" ht="11.25" customHeight="1" x14ac:dyDescent="0.2">
      <c r="AG6603" s="19"/>
      <c r="AJ6603" s="410"/>
    </row>
    <row r="6604" spans="33:36" ht="11.25" customHeight="1" x14ac:dyDescent="0.2">
      <c r="AG6604" s="19"/>
      <c r="AJ6604" s="410"/>
    </row>
    <row r="6605" spans="33:36" ht="11.25" customHeight="1" x14ac:dyDescent="0.2">
      <c r="AG6605" s="19"/>
      <c r="AJ6605" s="410"/>
    </row>
    <row r="6606" spans="33:36" ht="11.25" customHeight="1" x14ac:dyDescent="0.2">
      <c r="AG6606" s="19"/>
      <c r="AJ6606" s="410"/>
    </row>
    <row r="6607" spans="33:36" ht="11.25" customHeight="1" x14ac:dyDescent="0.2">
      <c r="AG6607" s="19"/>
      <c r="AJ6607" s="410"/>
    </row>
    <row r="6608" spans="33:36" ht="11.25" customHeight="1" x14ac:dyDescent="0.2">
      <c r="AG6608" s="19"/>
      <c r="AJ6608" s="410"/>
    </row>
    <row r="6609" spans="33:36" ht="11.25" customHeight="1" x14ac:dyDescent="0.2">
      <c r="AG6609" s="19"/>
      <c r="AJ6609" s="410"/>
    </row>
    <row r="6610" spans="33:36" ht="11.25" customHeight="1" x14ac:dyDescent="0.2">
      <c r="AG6610" s="19"/>
      <c r="AJ6610" s="410"/>
    </row>
    <row r="6611" spans="33:36" ht="11.25" customHeight="1" x14ac:dyDescent="0.2">
      <c r="AG6611" s="19"/>
      <c r="AJ6611" s="410"/>
    </row>
    <row r="6612" spans="33:36" ht="11.25" customHeight="1" x14ac:dyDescent="0.2">
      <c r="AG6612" s="19"/>
      <c r="AJ6612" s="410"/>
    </row>
    <row r="6613" spans="33:36" ht="11.25" customHeight="1" x14ac:dyDescent="0.2">
      <c r="AG6613" s="19"/>
      <c r="AJ6613" s="410"/>
    </row>
    <row r="6614" spans="33:36" ht="11.25" customHeight="1" x14ac:dyDescent="0.2">
      <c r="AG6614" s="19"/>
      <c r="AJ6614" s="410"/>
    </row>
    <row r="6615" spans="33:36" ht="11.25" customHeight="1" x14ac:dyDescent="0.2">
      <c r="AG6615" s="19"/>
      <c r="AJ6615" s="410"/>
    </row>
    <row r="6616" spans="33:36" ht="11.25" customHeight="1" x14ac:dyDescent="0.2">
      <c r="AG6616" s="19"/>
      <c r="AJ6616" s="410"/>
    </row>
    <row r="6617" spans="33:36" ht="11.25" customHeight="1" x14ac:dyDescent="0.2">
      <c r="AG6617" s="19"/>
      <c r="AJ6617" s="410"/>
    </row>
    <row r="6618" spans="33:36" ht="11.25" customHeight="1" x14ac:dyDescent="0.2">
      <c r="AG6618" s="19"/>
      <c r="AJ6618" s="410"/>
    </row>
    <row r="6619" spans="33:36" ht="11.25" customHeight="1" x14ac:dyDescent="0.2">
      <c r="AG6619" s="19"/>
      <c r="AJ6619" s="410"/>
    </row>
    <row r="6620" spans="33:36" ht="11.25" customHeight="1" x14ac:dyDescent="0.2">
      <c r="AG6620" s="19"/>
      <c r="AJ6620" s="410"/>
    </row>
    <row r="6621" spans="33:36" ht="11.25" customHeight="1" x14ac:dyDescent="0.2">
      <c r="AG6621" s="19"/>
      <c r="AJ6621" s="410"/>
    </row>
    <row r="6622" spans="33:36" ht="11.25" customHeight="1" x14ac:dyDescent="0.2">
      <c r="AG6622" s="19"/>
      <c r="AJ6622" s="410"/>
    </row>
    <row r="6623" spans="33:36" ht="11.25" customHeight="1" x14ac:dyDescent="0.2">
      <c r="AG6623" s="19"/>
      <c r="AJ6623" s="410"/>
    </row>
    <row r="6624" spans="33:36" ht="11.25" customHeight="1" x14ac:dyDescent="0.2">
      <c r="AG6624" s="19"/>
      <c r="AJ6624" s="410"/>
    </row>
    <row r="6625" spans="33:36" ht="11.25" customHeight="1" x14ac:dyDescent="0.2">
      <c r="AG6625" s="19"/>
      <c r="AJ6625" s="410"/>
    </row>
    <row r="6626" spans="33:36" ht="11.25" customHeight="1" x14ac:dyDescent="0.2">
      <c r="AG6626" s="19"/>
      <c r="AJ6626" s="410"/>
    </row>
    <row r="6627" spans="33:36" ht="11.25" customHeight="1" x14ac:dyDescent="0.2">
      <c r="AG6627" s="19"/>
      <c r="AJ6627" s="410"/>
    </row>
    <row r="6628" spans="33:36" ht="11.25" customHeight="1" x14ac:dyDescent="0.2">
      <c r="AG6628" s="19"/>
      <c r="AJ6628" s="410"/>
    </row>
    <row r="6629" spans="33:36" ht="11.25" customHeight="1" x14ac:dyDescent="0.2">
      <c r="AG6629" s="19"/>
      <c r="AJ6629" s="410"/>
    </row>
    <row r="6630" spans="33:36" ht="11.25" customHeight="1" x14ac:dyDescent="0.2">
      <c r="AG6630" s="19"/>
      <c r="AJ6630" s="410"/>
    </row>
    <row r="6631" spans="33:36" ht="11.25" customHeight="1" x14ac:dyDescent="0.2">
      <c r="AG6631" s="19"/>
      <c r="AJ6631" s="410"/>
    </row>
    <row r="6632" spans="33:36" ht="11.25" customHeight="1" x14ac:dyDescent="0.2">
      <c r="AG6632" s="19"/>
      <c r="AJ6632" s="410"/>
    </row>
    <row r="6633" spans="33:36" ht="11.25" customHeight="1" x14ac:dyDescent="0.2">
      <c r="AG6633" s="19"/>
      <c r="AJ6633" s="410"/>
    </row>
    <row r="6634" spans="33:36" ht="11.25" customHeight="1" x14ac:dyDescent="0.2">
      <c r="AG6634" s="19"/>
      <c r="AJ6634" s="410"/>
    </row>
    <row r="6635" spans="33:36" ht="11.25" customHeight="1" x14ac:dyDescent="0.2">
      <c r="AG6635" s="19"/>
      <c r="AJ6635" s="410"/>
    </row>
    <row r="6636" spans="33:36" ht="11.25" customHeight="1" x14ac:dyDescent="0.2">
      <c r="AG6636" s="19"/>
      <c r="AJ6636" s="410"/>
    </row>
    <row r="6637" spans="33:36" ht="11.25" customHeight="1" x14ac:dyDescent="0.2">
      <c r="AG6637" s="19"/>
      <c r="AJ6637" s="410"/>
    </row>
    <row r="6638" spans="33:36" ht="11.25" customHeight="1" x14ac:dyDescent="0.2">
      <c r="AG6638" s="19"/>
      <c r="AJ6638" s="410"/>
    </row>
    <row r="6639" spans="33:36" ht="11.25" customHeight="1" x14ac:dyDescent="0.2">
      <c r="AG6639" s="19"/>
      <c r="AJ6639" s="410"/>
    </row>
    <row r="6640" spans="33:36" ht="11.25" customHeight="1" x14ac:dyDescent="0.2">
      <c r="AG6640" s="19"/>
      <c r="AJ6640" s="410"/>
    </row>
    <row r="6641" spans="33:36" ht="11.25" customHeight="1" x14ac:dyDescent="0.2">
      <c r="AG6641" s="19"/>
      <c r="AJ6641" s="410"/>
    </row>
    <row r="6642" spans="33:36" ht="11.25" customHeight="1" x14ac:dyDescent="0.2">
      <c r="AG6642" s="19"/>
      <c r="AJ6642" s="410"/>
    </row>
    <row r="6643" spans="33:36" ht="11.25" customHeight="1" x14ac:dyDescent="0.2">
      <c r="AG6643" s="19"/>
      <c r="AJ6643" s="410"/>
    </row>
    <row r="6644" spans="33:36" ht="11.25" customHeight="1" x14ac:dyDescent="0.2">
      <c r="AG6644" s="19"/>
      <c r="AJ6644" s="410"/>
    </row>
    <row r="6645" spans="33:36" ht="11.25" customHeight="1" x14ac:dyDescent="0.2">
      <c r="AG6645" s="19"/>
      <c r="AJ6645" s="410"/>
    </row>
    <row r="6646" spans="33:36" ht="11.25" customHeight="1" x14ac:dyDescent="0.2">
      <c r="AG6646" s="19"/>
      <c r="AJ6646" s="410"/>
    </row>
    <row r="6647" spans="33:36" ht="11.25" customHeight="1" x14ac:dyDescent="0.2">
      <c r="AG6647" s="19"/>
      <c r="AJ6647" s="410"/>
    </row>
    <row r="6648" spans="33:36" ht="11.25" customHeight="1" x14ac:dyDescent="0.2">
      <c r="AG6648" s="19"/>
      <c r="AJ6648" s="410"/>
    </row>
    <row r="6649" spans="33:36" ht="11.25" customHeight="1" x14ac:dyDescent="0.2">
      <c r="AG6649" s="19"/>
      <c r="AJ6649" s="410"/>
    </row>
    <row r="6650" spans="33:36" ht="11.25" customHeight="1" x14ac:dyDescent="0.2">
      <c r="AG6650" s="19"/>
      <c r="AJ6650" s="410"/>
    </row>
    <row r="6651" spans="33:36" ht="11.25" customHeight="1" x14ac:dyDescent="0.2">
      <c r="AG6651" s="19"/>
      <c r="AJ6651" s="410"/>
    </row>
    <row r="6652" spans="33:36" ht="11.25" customHeight="1" x14ac:dyDescent="0.2">
      <c r="AG6652" s="19"/>
      <c r="AJ6652" s="410"/>
    </row>
    <row r="6653" spans="33:36" ht="11.25" customHeight="1" x14ac:dyDescent="0.2">
      <c r="AG6653" s="19"/>
      <c r="AJ6653" s="410"/>
    </row>
    <row r="6654" spans="33:36" ht="11.25" customHeight="1" x14ac:dyDescent="0.2">
      <c r="AG6654" s="19"/>
      <c r="AJ6654" s="410"/>
    </row>
    <row r="6655" spans="33:36" ht="11.25" customHeight="1" x14ac:dyDescent="0.2">
      <c r="AG6655" s="19"/>
      <c r="AJ6655" s="410"/>
    </row>
    <row r="6656" spans="33:36" ht="11.25" customHeight="1" x14ac:dyDescent="0.2">
      <c r="AG6656" s="19"/>
      <c r="AJ6656" s="410"/>
    </row>
    <row r="6657" spans="33:36" ht="11.25" customHeight="1" x14ac:dyDescent="0.2">
      <c r="AG6657" s="19"/>
      <c r="AJ6657" s="410"/>
    </row>
    <row r="6658" spans="33:36" ht="11.25" customHeight="1" x14ac:dyDescent="0.2">
      <c r="AG6658" s="19"/>
      <c r="AJ6658" s="410"/>
    </row>
    <row r="6659" spans="33:36" ht="11.25" customHeight="1" x14ac:dyDescent="0.2">
      <c r="AG6659" s="19"/>
      <c r="AJ6659" s="410"/>
    </row>
    <row r="6660" spans="33:36" ht="11.25" customHeight="1" x14ac:dyDescent="0.2">
      <c r="AG6660" s="19"/>
      <c r="AJ6660" s="410"/>
    </row>
    <row r="6661" spans="33:36" ht="11.25" customHeight="1" x14ac:dyDescent="0.2">
      <c r="AG6661" s="19"/>
      <c r="AJ6661" s="410"/>
    </row>
    <row r="6662" spans="33:36" ht="11.25" customHeight="1" x14ac:dyDescent="0.2">
      <c r="AG6662" s="19"/>
      <c r="AJ6662" s="410"/>
    </row>
    <row r="6663" spans="33:36" ht="11.25" customHeight="1" x14ac:dyDescent="0.2">
      <c r="AG6663" s="19"/>
      <c r="AJ6663" s="410"/>
    </row>
    <row r="6664" spans="33:36" ht="11.25" customHeight="1" x14ac:dyDescent="0.2">
      <c r="AG6664" s="19"/>
      <c r="AJ6664" s="410"/>
    </row>
    <row r="6665" spans="33:36" ht="11.25" customHeight="1" x14ac:dyDescent="0.2">
      <c r="AG6665" s="19"/>
      <c r="AJ6665" s="410"/>
    </row>
    <row r="6666" spans="33:36" ht="11.25" customHeight="1" x14ac:dyDescent="0.2">
      <c r="AG6666" s="19"/>
      <c r="AJ6666" s="410"/>
    </row>
    <row r="6667" spans="33:36" ht="11.25" customHeight="1" x14ac:dyDescent="0.2">
      <c r="AG6667" s="19"/>
      <c r="AJ6667" s="410"/>
    </row>
    <row r="6668" spans="33:36" ht="11.25" customHeight="1" x14ac:dyDescent="0.2">
      <c r="AG6668" s="19"/>
      <c r="AJ6668" s="410"/>
    </row>
    <row r="6669" spans="33:36" ht="11.25" customHeight="1" x14ac:dyDescent="0.2">
      <c r="AG6669" s="19"/>
      <c r="AJ6669" s="410"/>
    </row>
    <row r="6670" spans="33:36" ht="11.25" customHeight="1" x14ac:dyDescent="0.2">
      <c r="AG6670" s="19"/>
      <c r="AJ6670" s="410"/>
    </row>
    <row r="6671" spans="33:36" ht="11.25" customHeight="1" x14ac:dyDescent="0.2">
      <c r="AG6671" s="19"/>
      <c r="AJ6671" s="410"/>
    </row>
    <row r="6672" spans="33:36" ht="11.25" customHeight="1" x14ac:dyDescent="0.2">
      <c r="AG6672" s="19"/>
      <c r="AJ6672" s="410"/>
    </row>
    <row r="6673" spans="33:36" ht="11.25" customHeight="1" x14ac:dyDescent="0.2">
      <c r="AG6673" s="19"/>
      <c r="AJ6673" s="410"/>
    </row>
    <row r="6674" spans="33:36" ht="11.25" customHeight="1" x14ac:dyDescent="0.2">
      <c r="AG6674" s="19"/>
      <c r="AJ6674" s="410"/>
    </row>
    <row r="6675" spans="33:36" ht="11.25" customHeight="1" x14ac:dyDescent="0.2">
      <c r="AG6675" s="19"/>
      <c r="AJ6675" s="410"/>
    </row>
    <row r="6676" spans="33:36" ht="11.25" customHeight="1" x14ac:dyDescent="0.2">
      <c r="AG6676" s="19"/>
      <c r="AJ6676" s="410"/>
    </row>
    <row r="6677" spans="33:36" ht="11.25" customHeight="1" x14ac:dyDescent="0.2">
      <c r="AG6677" s="19"/>
      <c r="AJ6677" s="410"/>
    </row>
    <row r="6678" spans="33:36" ht="11.25" customHeight="1" x14ac:dyDescent="0.2">
      <c r="AG6678" s="19"/>
      <c r="AJ6678" s="410"/>
    </row>
    <row r="6679" spans="33:36" ht="11.25" customHeight="1" x14ac:dyDescent="0.2">
      <c r="AG6679" s="19"/>
      <c r="AJ6679" s="410"/>
    </row>
    <row r="6680" spans="33:36" ht="11.25" customHeight="1" x14ac:dyDescent="0.2">
      <c r="AG6680" s="19"/>
      <c r="AJ6680" s="410"/>
    </row>
    <row r="6681" spans="33:36" ht="11.25" customHeight="1" x14ac:dyDescent="0.2">
      <c r="AG6681" s="19"/>
      <c r="AJ6681" s="410"/>
    </row>
    <row r="6682" spans="33:36" ht="11.25" customHeight="1" x14ac:dyDescent="0.2">
      <c r="AG6682" s="19"/>
      <c r="AJ6682" s="410"/>
    </row>
    <row r="6683" spans="33:36" ht="11.25" customHeight="1" x14ac:dyDescent="0.2">
      <c r="AG6683" s="19"/>
      <c r="AJ6683" s="410"/>
    </row>
    <row r="6684" spans="33:36" ht="11.25" customHeight="1" x14ac:dyDescent="0.2">
      <c r="AG6684" s="19"/>
      <c r="AJ6684" s="410"/>
    </row>
    <row r="6685" spans="33:36" ht="11.25" customHeight="1" x14ac:dyDescent="0.2">
      <c r="AG6685" s="19"/>
      <c r="AJ6685" s="410"/>
    </row>
    <row r="6686" spans="33:36" ht="11.25" customHeight="1" x14ac:dyDescent="0.2">
      <c r="AG6686" s="19"/>
      <c r="AJ6686" s="410"/>
    </row>
    <row r="6687" spans="33:36" ht="11.25" customHeight="1" x14ac:dyDescent="0.2">
      <c r="AG6687" s="19"/>
      <c r="AJ6687" s="410"/>
    </row>
    <row r="6688" spans="33:36" ht="11.25" customHeight="1" x14ac:dyDescent="0.2">
      <c r="AG6688" s="19"/>
      <c r="AJ6688" s="410"/>
    </row>
    <row r="6689" spans="33:36" ht="11.25" customHeight="1" x14ac:dyDescent="0.2">
      <c r="AG6689" s="19"/>
      <c r="AJ6689" s="410"/>
    </row>
    <row r="6690" spans="33:36" ht="11.25" customHeight="1" x14ac:dyDescent="0.2">
      <c r="AG6690" s="19"/>
      <c r="AJ6690" s="410"/>
    </row>
    <row r="6691" spans="33:36" ht="11.25" customHeight="1" x14ac:dyDescent="0.2">
      <c r="AG6691" s="19"/>
      <c r="AJ6691" s="410"/>
    </row>
    <row r="6692" spans="33:36" ht="11.25" customHeight="1" x14ac:dyDescent="0.2">
      <c r="AG6692" s="19"/>
      <c r="AJ6692" s="410"/>
    </row>
    <row r="6693" spans="33:36" ht="11.25" customHeight="1" x14ac:dyDescent="0.2">
      <c r="AG6693" s="19"/>
      <c r="AJ6693" s="410"/>
    </row>
    <row r="6694" spans="33:36" ht="11.25" customHeight="1" x14ac:dyDescent="0.2">
      <c r="AG6694" s="19"/>
      <c r="AJ6694" s="410"/>
    </row>
    <row r="6695" spans="33:36" ht="11.25" customHeight="1" x14ac:dyDescent="0.2">
      <c r="AG6695" s="19"/>
      <c r="AJ6695" s="410"/>
    </row>
    <row r="6696" spans="33:36" ht="11.25" customHeight="1" x14ac:dyDescent="0.2">
      <c r="AG6696" s="19"/>
      <c r="AJ6696" s="410"/>
    </row>
    <row r="6697" spans="33:36" ht="11.25" customHeight="1" x14ac:dyDescent="0.2">
      <c r="AG6697" s="19"/>
      <c r="AJ6697" s="410"/>
    </row>
    <row r="6698" spans="33:36" ht="11.25" customHeight="1" x14ac:dyDescent="0.2">
      <c r="AG6698" s="19"/>
      <c r="AJ6698" s="410"/>
    </row>
    <row r="6699" spans="33:36" ht="11.25" customHeight="1" x14ac:dyDescent="0.2">
      <c r="AG6699" s="19"/>
      <c r="AJ6699" s="410"/>
    </row>
    <row r="6700" spans="33:36" ht="11.25" customHeight="1" x14ac:dyDescent="0.2">
      <c r="AG6700" s="19"/>
      <c r="AJ6700" s="410"/>
    </row>
    <row r="6701" spans="33:36" ht="11.25" customHeight="1" x14ac:dyDescent="0.2">
      <c r="AG6701" s="19"/>
      <c r="AJ6701" s="410"/>
    </row>
    <row r="6702" spans="33:36" ht="11.25" customHeight="1" x14ac:dyDescent="0.2">
      <c r="AG6702" s="19"/>
      <c r="AJ6702" s="410"/>
    </row>
    <row r="6703" spans="33:36" ht="11.25" customHeight="1" x14ac:dyDescent="0.2">
      <c r="AG6703" s="19"/>
      <c r="AJ6703" s="410"/>
    </row>
    <row r="6704" spans="33:36" ht="11.25" customHeight="1" x14ac:dyDescent="0.2">
      <c r="AG6704" s="19"/>
      <c r="AJ6704" s="410"/>
    </row>
    <row r="6705" spans="33:36" ht="11.25" customHeight="1" x14ac:dyDescent="0.2">
      <c r="AG6705" s="19"/>
      <c r="AJ6705" s="410"/>
    </row>
    <row r="6706" spans="33:36" ht="11.25" customHeight="1" x14ac:dyDescent="0.2">
      <c r="AG6706" s="19"/>
      <c r="AJ6706" s="410"/>
    </row>
    <row r="6707" spans="33:36" ht="11.25" customHeight="1" x14ac:dyDescent="0.2">
      <c r="AG6707" s="19"/>
      <c r="AJ6707" s="410"/>
    </row>
    <row r="6708" spans="33:36" ht="11.25" customHeight="1" x14ac:dyDescent="0.2">
      <c r="AG6708" s="19"/>
      <c r="AJ6708" s="410"/>
    </row>
    <row r="6709" spans="33:36" ht="11.25" customHeight="1" x14ac:dyDescent="0.2">
      <c r="AG6709" s="19"/>
      <c r="AJ6709" s="410"/>
    </row>
    <row r="6710" spans="33:36" ht="11.25" customHeight="1" x14ac:dyDescent="0.2">
      <c r="AG6710" s="19"/>
      <c r="AJ6710" s="410"/>
    </row>
    <row r="6711" spans="33:36" ht="11.25" customHeight="1" x14ac:dyDescent="0.2">
      <c r="AG6711" s="19"/>
      <c r="AJ6711" s="410"/>
    </row>
    <row r="6712" spans="33:36" ht="11.25" customHeight="1" x14ac:dyDescent="0.2">
      <c r="AG6712" s="19"/>
      <c r="AJ6712" s="410"/>
    </row>
    <row r="6713" spans="33:36" ht="11.25" customHeight="1" x14ac:dyDescent="0.2">
      <c r="AG6713" s="19"/>
      <c r="AJ6713" s="410"/>
    </row>
    <row r="6714" spans="33:36" ht="11.25" customHeight="1" x14ac:dyDescent="0.2">
      <c r="AG6714" s="19"/>
      <c r="AJ6714" s="410"/>
    </row>
    <row r="6715" spans="33:36" ht="11.25" customHeight="1" x14ac:dyDescent="0.2">
      <c r="AG6715" s="19"/>
      <c r="AJ6715" s="410"/>
    </row>
    <row r="6716" spans="33:36" ht="11.25" customHeight="1" x14ac:dyDescent="0.2">
      <c r="AG6716" s="19"/>
      <c r="AJ6716" s="410"/>
    </row>
    <row r="6717" spans="33:36" ht="11.25" customHeight="1" x14ac:dyDescent="0.2">
      <c r="AG6717" s="19"/>
      <c r="AJ6717" s="410"/>
    </row>
    <row r="6718" spans="33:36" ht="11.25" customHeight="1" x14ac:dyDescent="0.2">
      <c r="AG6718" s="19"/>
      <c r="AJ6718" s="410"/>
    </row>
    <row r="6719" spans="33:36" ht="11.25" customHeight="1" x14ac:dyDescent="0.2">
      <c r="AG6719" s="19"/>
      <c r="AJ6719" s="410"/>
    </row>
    <row r="6720" spans="33:36" ht="11.25" customHeight="1" x14ac:dyDescent="0.2">
      <c r="AG6720" s="19"/>
      <c r="AJ6720" s="410"/>
    </row>
    <row r="6721" spans="33:36" ht="11.25" customHeight="1" x14ac:dyDescent="0.2">
      <c r="AG6721" s="19"/>
      <c r="AJ6721" s="410"/>
    </row>
    <row r="6722" spans="33:36" ht="11.25" customHeight="1" x14ac:dyDescent="0.2">
      <c r="AG6722" s="19"/>
      <c r="AJ6722" s="410"/>
    </row>
    <row r="6723" spans="33:36" ht="11.25" customHeight="1" x14ac:dyDescent="0.2">
      <c r="AG6723" s="19"/>
      <c r="AJ6723" s="410"/>
    </row>
    <row r="6724" spans="33:36" ht="11.25" customHeight="1" x14ac:dyDescent="0.2">
      <c r="AG6724" s="19"/>
      <c r="AJ6724" s="410"/>
    </row>
    <row r="6725" spans="33:36" ht="11.25" customHeight="1" x14ac:dyDescent="0.2">
      <c r="AG6725" s="19"/>
      <c r="AJ6725" s="410"/>
    </row>
    <row r="6726" spans="33:36" ht="11.25" customHeight="1" x14ac:dyDescent="0.2">
      <c r="AG6726" s="19"/>
      <c r="AJ6726" s="410"/>
    </row>
    <row r="6727" spans="33:36" ht="11.25" customHeight="1" x14ac:dyDescent="0.2">
      <c r="AG6727" s="19"/>
      <c r="AJ6727" s="410"/>
    </row>
    <row r="6728" spans="33:36" ht="11.25" customHeight="1" x14ac:dyDescent="0.2">
      <c r="AG6728" s="19"/>
      <c r="AJ6728" s="410"/>
    </row>
    <row r="6729" spans="33:36" ht="11.25" customHeight="1" x14ac:dyDescent="0.2">
      <c r="AG6729" s="19"/>
      <c r="AJ6729" s="410"/>
    </row>
    <row r="6730" spans="33:36" ht="11.25" customHeight="1" x14ac:dyDescent="0.2">
      <c r="AG6730" s="19"/>
      <c r="AJ6730" s="410"/>
    </row>
    <row r="6731" spans="33:36" ht="11.25" customHeight="1" x14ac:dyDescent="0.2">
      <c r="AG6731" s="19"/>
      <c r="AJ6731" s="410"/>
    </row>
    <row r="6732" spans="33:36" ht="11.25" customHeight="1" x14ac:dyDescent="0.2">
      <c r="AG6732" s="19"/>
      <c r="AJ6732" s="410"/>
    </row>
    <row r="6733" spans="33:36" ht="11.25" customHeight="1" x14ac:dyDescent="0.2">
      <c r="AG6733" s="19"/>
      <c r="AJ6733" s="410"/>
    </row>
    <row r="6734" spans="33:36" ht="11.25" customHeight="1" x14ac:dyDescent="0.2">
      <c r="AG6734" s="19"/>
      <c r="AJ6734" s="410"/>
    </row>
    <row r="6735" spans="33:36" ht="11.25" customHeight="1" x14ac:dyDescent="0.2">
      <c r="AG6735" s="19"/>
      <c r="AJ6735" s="410"/>
    </row>
    <row r="6736" spans="33:36" ht="11.25" customHeight="1" x14ac:dyDescent="0.2">
      <c r="AG6736" s="19"/>
      <c r="AJ6736" s="410"/>
    </row>
    <row r="6737" spans="33:36" ht="11.25" customHeight="1" x14ac:dyDescent="0.2">
      <c r="AG6737" s="19"/>
      <c r="AJ6737" s="410"/>
    </row>
    <row r="6738" spans="33:36" ht="11.25" customHeight="1" x14ac:dyDescent="0.2">
      <c r="AG6738" s="19"/>
      <c r="AJ6738" s="410"/>
    </row>
    <row r="6739" spans="33:36" ht="11.25" customHeight="1" x14ac:dyDescent="0.2">
      <c r="AG6739" s="19"/>
      <c r="AJ6739" s="410"/>
    </row>
    <row r="6740" spans="33:36" ht="11.25" customHeight="1" x14ac:dyDescent="0.2">
      <c r="AG6740" s="19"/>
      <c r="AJ6740" s="410"/>
    </row>
    <row r="6741" spans="33:36" ht="11.25" customHeight="1" x14ac:dyDescent="0.2">
      <c r="AG6741" s="19"/>
      <c r="AJ6741" s="410"/>
    </row>
    <row r="6742" spans="33:36" ht="11.25" customHeight="1" x14ac:dyDescent="0.2">
      <c r="AG6742" s="19"/>
      <c r="AJ6742" s="410"/>
    </row>
    <row r="6743" spans="33:36" ht="11.25" customHeight="1" x14ac:dyDescent="0.2">
      <c r="AG6743" s="19"/>
      <c r="AJ6743" s="410"/>
    </row>
    <row r="6744" spans="33:36" ht="11.25" customHeight="1" x14ac:dyDescent="0.2">
      <c r="AG6744" s="19"/>
      <c r="AJ6744" s="410"/>
    </row>
    <row r="6745" spans="33:36" ht="11.25" customHeight="1" x14ac:dyDescent="0.2">
      <c r="AG6745" s="19"/>
      <c r="AJ6745" s="410"/>
    </row>
    <row r="6746" spans="33:36" ht="11.25" customHeight="1" x14ac:dyDescent="0.2">
      <c r="AG6746" s="19"/>
      <c r="AJ6746" s="410"/>
    </row>
    <row r="6747" spans="33:36" ht="11.25" customHeight="1" x14ac:dyDescent="0.2">
      <c r="AG6747" s="19"/>
      <c r="AJ6747" s="410"/>
    </row>
    <row r="6748" spans="33:36" ht="11.25" customHeight="1" x14ac:dyDescent="0.2">
      <c r="AG6748" s="19"/>
      <c r="AJ6748" s="410"/>
    </row>
    <row r="6749" spans="33:36" ht="11.25" customHeight="1" x14ac:dyDescent="0.2">
      <c r="AG6749" s="19"/>
      <c r="AJ6749" s="410"/>
    </row>
    <row r="6750" spans="33:36" ht="11.25" customHeight="1" x14ac:dyDescent="0.2">
      <c r="AG6750" s="19"/>
      <c r="AJ6750" s="410"/>
    </row>
    <row r="6751" spans="33:36" ht="11.25" customHeight="1" x14ac:dyDescent="0.2">
      <c r="AG6751" s="19"/>
      <c r="AJ6751" s="410"/>
    </row>
    <row r="6752" spans="33:36" ht="11.25" customHeight="1" x14ac:dyDescent="0.2">
      <c r="AG6752" s="19"/>
      <c r="AJ6752" s="410"/>
    </row>
    <row r="6753" spans="33:36" ht="11.25" customHeight="1" x14ac:dyDescent="0.2">
      <c r="AG6753" s="19"/>
      <c r="AJ6753" s="410"/>
    </row>
    <row r="6754" spans="33:36" ht="11.25" customHeight="1" x14ac:dyDescent="0.2">
      <c r="AG6754" s="19"/>
      <c r="AJ6754" s="410"/>
    </row>
    <row r="6755" spans="33:36" ht="11.25" customHeight="1" x14ac:dyDescent="0.2">
      <c r="AG6755" s="19"/>
      <c r="AJ6755" s="410"/>
    </row>
    <row r="6756" spans="33:36" ht="11.25" customHeight="1" x14ac:dyDescent="0.2">
      <c r="AG6756" s="19"/>
      <c r="AJ6756" s="410"/>
    </row>
    <row r="6757" spans="33:36" ht="11.25" customHeight="1" x14ac:dyDescent="0.2">
      <c r="AG6757" s="19"/>
      <c r="AJ6757" s="410"/>
    </row>
    <row r="6758" spans="33:36" ht="11.25" customHeight="1" x14ac:dyDescent="0.2">
      <c r="AG6758" s="19"/>
      <c r="AJ6758" s="410"/>
    </row>
    <row r="6759" spans="33:36" ht="11.25" customHeight="1" x14ac:dyDescent="0.2">
      <c r="AG6759" s="19"/>
      <c r="AJ6759" s="410"/>
    </row>
    <row r="6760" spans="33:36" ht="11.25" customHeight="1" x14ac:dyDescent="0.2">
      <c r="AG6760" s="19"/>
      <c r="AJ6760" s="410"/>
    </row>
    <row r="6761" spans="33:36" ht="11.25" customHeight="1" x14ac:dyDescent="0.2">
      <c r="AG6761" s="19"/>
      <c r="AJ6761" s="410"/>
    </row>
    <row r="6762" spans="33:36" ht="11.25" customHeight="1" x14ac:dyDescent="0.2">
      <c r="AG6762" s="19"/>
      <c r="AJ6762" s="410"/>
    </row>
    <row r="6763" spans="33:36" ht="11.25" customHeight="1" x14ac:dyDescent="0.2">
      <c r="AG6763" s="19"/>
      <c r="AJ6763" s="410"/>
    </row>
    <row r="6764" spans="33:36" ht="11.25" customHeight="1" x14ac:dyDescent="0.2">
      <c r="AG6764" s="19"/>
      <c r="AJ6764" s="410"/>
    </row>
    <row r="6765" spans="33:36" ht="11.25" customHeight="1" x14ac:dyDescent="0.2">
      <c r="AG6765" s="19"/>
      <c r="AJ6765" s="410"/>
    </row>
    <row r="6766" spans="33:36" ht="11.25" customHeight="1" x14ac:dyDescent="0.2">
      <c r="AG6766" s="19"/>
      <c r="AJ6766" s="410"/>
    </row>
    <row r="6767" spans="33:36" ht="11.25" customHeight="1" x14ac:dyDescent="0.2">
      <c r="AG6767" s="19"/>
      <c r="AJ6767" s="410"/>
    </row>
    <row r="6768" spans="33:36" ht="11.25" customHeight="1" x14ac:dyDescent="0.2">
      <c r="AG6768" s="19"/>
      <c r="AJ6768" s="410"/>
    </row>
    <row r="6769" spans="33:36" ht="11.25" customHeight="1" x14ac:dyDescent="0.2">
      <c r="AG6769" s="19"/>
      <c r="AJ6769" s="410"/>
    </row>
    <row r="6770" spans="33:36" ht="11.25" customHeight="1" x14ac:dyDescent="0.2">
      <c r="AG6770" s="19"/>
      <c r="AJ6770" s="410"/>
    </row>
    <row r="6771" spans="33:36" ht="11.25" customHeight="1" x14ac:dyDescent="0.2">
      <c r="AG6771" s="19"/>
      <c r="AJ6771" s="410"/>
    </row>
    <row r="6772" spans="33:36" ht="11.25" customHeight="1" x14ac:dyDescent="0.2">
      <c r="AG6772" s="19"/>
      <c r="AJ6772" s="410"/>
    </row>
    <row r="6773" spans="33:36" ht="11.25" customHeight="1" x14ac:dyDescent="0.2">
      <c r="AG6773" s="19"/>
      <c r="AJ6773" s="410"/>
    </row>
    <row r="6774" spans="33:36" ht="11.25" customHeight="1" x14ac:dyDescent="0.2">
      <c r="AG6774" s="19"/>
      <c r="AJ6774" s="410"/>
    </row>
    <row r="6775" spans="33:36" ht="11.25" customHeight="1" x14ac:dyDescent="0.2">
      <c r="AG6775" s="19"/>
      <c r="AJ6775" s="410"/>
    </row>
    <row r="6776" spans="33:36" ht="11.25" customHeight="1" x14ac:dyDescent="0.2">
      <c r="AG6776" s="19"/>
      <c r="AJ6776" s="410"/>
    </row>
    <row r="6777" spans="33:36" ht="11.25" customHeight="1" x14ac:dyDescent="0.2">
      <c r="AG6777" s="19"/>
      <c r="AJ6777" s="410"/>
    </row>
    <row r="6778" spans="33:36" ht="11.25" customHeight="1" x14ac:dyDescent="0.2">
      <c r="AG6778" s="19"/>
      <c r="AJ6778" s="410"/>
    </row>
    <row r="6779" spans="33:36" ht="11.25" customHeight="1" x14ac:dyDescent="0.2">
      <c r="AG6779" s="19"/>
      <c r="AJ6779" s="410"/>
    </row>
    <row r="6780" spans="33:36" ht="11.25" customHeight="1" x14ac:dyDescent="0.2">
      <c r="AG6780" s="19"/>
      <c r="AJ6780" s="410"/>
    </row>
    <row r="6781" spans="33:36" ht="11.25" customHeight="1" x14ac:dyDescent="0.2">
      <c r="AG6781" s="19"/>
      <c r="AJ6781" s="410"/>
    </row>
    <row r="6782" spans="33:36" ht="11.25" customHeight="1" x14ac:dyDescent="0.2">
      <c r="AG6782" s="19"/>
      <c r="AJ6782" s="410"/>
    </row>
    <row r="6783" spans="33:36" ht="11.25" customHeight="1" x14ac:dyDescent="0.2">
      <c r="AG6783" s="19"/>
      <c r="AJ6783" s="410"/>
    </row>
    <row r="6784" spans="33:36" ht="11.25" customHeight="1" x14ac:dyDescent="0.2">
      <c r="AG6784" s="19"/>
      <c r="AJ6784" s="410"/>
    </row>
    <row r="6785" spans="33:36" ht="11.25" customHeight="1" x14ac:dyDescent="0.2">
      <c r="AG6785" s="19"/>
      <c r="AJ6785" s="410"/>
    </row>
    <row r="6786" spans="33:36" ht="11.25" customHeight="1" x14ac:dyDescent="0.2">
      <c r="AG6786" s="19"/>
      <c r="AJ6786" s="410"/>
    </row>
    <row r="6787" spans="33:36" ht="11.25" customHeight="1" x14ac:dyDescent="0.2">
      <c r="AG6787" s="19"/>
      <c r="AJ6787" s="410"/>
    </row>
    <row r="6788" spans="33:36" ht="11.25" customHeight="1" x14ac:dyDescent="0.2">
      <c r="AG6788" s="19"/>
      <c r="AJ6788" s="410"/>
    </row>
    <row r="6789" spans="33:36" ht="11.25" customHeight="1" x14ac:dyDescent="0.2">
      <c r="AG6789" s="19"/>
      <c r="AJ6789" s="410"/>
    </row>
    <row r="6790" spans="33:36" ht="11.25" customHeight="1" x14ac:dyDescent="0.2">
      <c r="AG6790" s="19"/>
      <c r="AJ6790" s="410"/>
    </row>
    <row r="6791" spans="33:36" ht="11.25" customHeight="1" x14ac:dyDescent="0.2">
      <c r="AG6791" s="19"/>
      <c r="AJ6791" s="410"/>
    </row>
    <row r="6792" spans="33:36" ht="11.25" customHeight="1" x14ac:dyDescent="0.2">
      <c r="AG6792" s="19"/>
      <c r="AJ6792" s="410"/>
    </row>
    <row r="6793" spans="33:36" ht="11.25" customHeight="1" x14ac:dyDescent="0.2">
      <c r="AG6793" s="19"/>
      <c r="AJ6793" s="410"/>
    </row>
    <row r="6794" spans="33:36" ht="11.25" customHeight="1" x14ac:dyDescent="0.2">
      <c r="AG6794" s="19"/>
      <c r="AJ6794" s="410"/>
    </row>
    <row r="6795" spans="33:36" ht="11.25" customHeight="1" x14ac:dyDescent="0.2">
      <c r="AG6795" s="19"/>
      <c r="AJ6795" s="410"/>
    </row>
    <row r="6796" spans="33:36" ht="11.25" customHeight="1" x14ac:dyDescent="0.2">
      <c r="AG6796" s="19"/>
      <c r="AJ6796" s="410"/>
    </row>
    <row r="6797" spans="33:36" ht="11.25" customHeight="1" x14ac:dyDescent="0.2">
      <c r="AG6797" s="19"/>
      <c r="AJ6797" s="410"/>
    </row>
    <row r="6798" spans="33:36" ht="11.25" customHeight="1" x14ac:dyDescent="0.2">
      <c r="AG6798" s="19"/>
      <c r="AJ6798" s="410"/>
    </row>
    <row r="6799" spans="33:36" ht="11.25" customHeight="1" x14ac:dyDescent="0.2">
      <c r="AG6799" s="19"/>
      <c r="AJ6799" s="410"/>
    </row>
    <row r="6800" spans="33:36" ht="11.25" customHeight="1" x14ac:dyDescent="0.2">
      <c r="AG6800" s="19"/>
      <c r="AJ6800" s="410"/>
    </row>
    <row r="6801" spans="33:36" ht="11.25" customHeight="1" x14ac:dyDescent="0.2">
      <c r="AG6801" s="19"/>
      <c r="AJ6801" s="410"/>
    </row>
    <row r="6802" spans="33:36" ht="11.25" customHeight="1" x14ac:dyDescent="0.2">
      <c r="AG6802" s="19"/>
      <c r="AJ6802" s="410"/>
    </row>
    <row r="6803" spans="33:36" ht="11.25" customHeight="1" x14ac:dyDescent="0.2">
      <c r="AG6803" s="19"/>
      <c r="AJ6803" s="410"/>
    </row>
    <row r="6804" spans="33:36" ht="11.25" customHeight="1" x14ac:dyDescent="0.2">
      <c r="AG6804" s="19"/>
      <c r="AJ6804" s="410"/>
    </row>
    <row r="6805" spans="33:36" ht="11.25" customHeight="1" x14ac:dyDescent="0.2">
      <c r="AG6805" s="19"/>
      <c r="AJ6805" s="410"/>
    </row>
    <row r="6806" spans="33:36" ht="11.25" customHeight="1" x14ac:dyDescent="0.2">
      <c r="AG6806" s="19"/>
      <c r="AJ6806" s="410"/>
    </row>
    <row r="6807" spans="33:36" ht="11.25" customHeight="1" x14ac:dyDescent="0.2">
      <c r="AG6807" s="19"/>
      <c r="AJ6807" s="410"/>
    </row>
    <row r="6808" spans="33:36" ht="11.25" customHeight="1" x14ac:dyDescent="0.2">
      <c r="AG6808" s="19"/>
      <c r="AJ6808" s="410"/>
    </row>
    <row r="6809" spans="33:36" ht="11.25" customHeight="1" x14ac:dyDescent="0.2">
      <c r="AG6809" s="19"/>
      <c r="AJ6809" s="410"/>
    </row>
    <row r="6810" spans="33:36" ht="11.25" customHeight="1" x14ac:dyDescent="0.2">
      <c r="AG6810" s="19"/>
      <c r="AJ6810" s="410"/>
    </row>
    <row r="6811" spans="33:36" ht="11.25" customHeight="1" x14ac:dyDescent="0.2">
      <c r="AG6811" s="19"/>
      <c r="AJ6811" s="410"/>
    </row>
    <row r="6812" spans="33:36" ht="11.25" customHeight="1" x14ac:dyDescent="0.2">
      <c r="AG6812" s="19"/>
      <c r="AJ6812" s="410"/>
    </row>
    <row r="6813" spans="33:36" ht="11.25" customHeight="1" x14ac:dyDescent="0.2">
      <c r="AG6813" s="19"/>
      <c r="AJ6813" s="410"/>
    </row>
    <row r="6814" spans="33:36" ht="11.25" customHeight="1" x14ac:dyDescent="0.2">
      <c r="AG6814" s="19"/>
      <c r="AJ6814" s="410"/>
    </row>
    <row r="6815" spans="33:36" ht="11.25" customHeight="1" x14ac:dyDescent="0.2">
      <c r="AG6815" s="19"/>
      <c r="AJ6815" s="410"/>
    </row>
    <row r="6816" spans="33:36" ht="11.25" customHeight="1" x14ac:dyDescent="0.2">
      <c r="AG6816" s="19"/>
      <c r="AJ6816" s="410"/>
    </row>
    <row r="6817" spans="33:36" ht="11.25" customHeight="1" x14ac:dyDescent="0.2">
      <c r="AG6817" s="19"/>
      <c r="AJ6817" s="410"/>
    </row>
    <row r="6818" spans="33:36" ht="11.25" customHeight="1" x14ac:dyDescent="0.2">
      <c r="AG6818" s="19"/>
      <c r="AJ6818" s="410"/>
    </row>
    <row r="6819" spans="33:36" ht="11.25" customHeight="1" x14ac:dyDescent="0.2">
      <c r="AG6819" s="19"/>
      <c r="AJ6819" s="410"/>
    </row>
    <row r="6820" spans="33:36" ht="11.25" customHeight="1" x14ac:dyDescent="0.2">
      <c r="AG6820" s="19"/>
      <c r="AJ6820" s="410"/>
    </row>
    <row r="6821" spans="33:36" ht="11.25" customHeight="1" x14ac:dyDescent="0.2">
      <c r="AG6821" s="19"/>
      <c r="AJ6821" s="410"/>
    </row>
    <row r="6822" spans="33:36" ht="11.25" customHeight="1" x14ac:dyDescent="0.2">
      <c r="AG6822" s="19"/>
      <c r="AJ6822" s="410"/>
    </row>
    <row r="6823" spans="33:36" ht="11.25" customHeight="1" x14ac:dyDescent="0.2">
      <c r="AG6823" s="19"/>
      <c r="AJ6823" s="410"/>
    </row>
    <row r="6824" spans="33:36" ht="11.25" customHeight="1" x14ac:dyDescent="0.2">
      <c r="AG6824" s="19"/>
      <c r="AJ6824" s="410"/>
    </row>
    <row r="6825" spans="33:36" ht="11.25" customHeight="1" x14ac:dyDescent="0.2">
      <c r="AG6825" s="19"/>
      <c r="AJ6825" s="410"/>
    </row>
    <row r="6826" spans="33:36" ht="11.25" customHeight="1" x14ac:dyDescent="0.2">
      <c r="AG6826" s="19"/>
      <c r="AJ6826" s="410"/>
    </row>
    <row r="6827" spans="33:36" ht="11.25" customHeight="1" x14ac:dyDescent="0.2">
      <c r="AG6827" s="19"/>
      <c r="AJ6827" s="410"/>
    </row>
    <row r="6828" spans="33:36" ht="11.25" customHeight="1" x14ac:dyDescent="0.2">
      <c r="AG6828" s="19"/>
      <c r="AJ6828" s="410"/>
    </row>
    <row r="6829" spans="33:36" ht="11.25" customHeight="1" x14ac:dyDescent="0.2">
      <c r="AG6829" s="19"/>
      <c r="AJ6829" s="410"/>
    </row>
    <row r="6830" spans="33:36" ht="11.25" customHeight="1" x14ac:dyDescent="0.2">
      <c r="AG6830" s="19"/>
      <c r="AJ6830" s="410"/>
    </row>
    <row r="6831" spans="33:36" ht="11.25" customHeight="1" x14ac:dyDescent="0.2">
      <c r="AG6831" s="19"/>
      <c r="AJ6831" s="410"/>
    </row>
    <row r="6832" spans="33:36" ht="11.25" customHeight="1" x14ac:dyDescent="0.2">
      <c r="AG6832" s="19"/>
      <c r="AJ6832" s="410"/>
    </row>
    <row r="6833" spans="33:36" ht="11.25" customHeight="1" x14ac:dyDescent="0.2">
      <c r="AG6833" s="19"/>
      <c r="AJ6833" s="410"/>
    </row>
    <row r="6834" spans="33:36" ht="11.25" customHeight="1" x14ac:dyDescent="0.2">
      <c r="AG6834" s="19"/>
      <c r="AJ6834" s="410"/>
    </row>
    <row r="6835" spans="33:36" ht="11.25" customHeight="1" x14ac:dyDescent="0.2">
      <c r="AG6835" s="19"/>
      <c r="AJ6835" s="410"/>
    </row>
    <row r="6836" spans="33:36" ht="11.25" customHeight="1" x14ac:dyDescent="0.2">
      <c r="AG6836" s="19"/>
      <c r="AJ6836" s="410"/>
    </row>
    <row r="6837" spans="33:36" ht="11.25" customHeight="1" x14ac:dyDescent="0.2">
      <c r="AG6837" s="19"/>
      <c r="AJ6837" s="410"/>
    </row>
    <row r="6838" spans="33:36" ht="11.25" customHeight="1" x14ac:dyDescent="0.2">
      <c r="AG6838" s="19"/>
      <c r="AJ6838" s="410"/>
    </row>
    <row r="6839" spans="33:36" ht="11.25" customHeight="1" x14ac:dyDescent="0.2">
      <c r="AG6839" s="19"/>
      <c r="AJ6839" s="410"/>
    </row>
    <row r="6840" spans="33:36" ht="11.25" customHeight="1" x14ac:dyDescent="0.2">
      <c r="AG6840" s="19"/>
      <c r="AJ6840" s="410"/>
    </row>
    <row r="6841" spans="33:36" ht="11.25" customHeight="1" x14ac:dyDescent="0.2">
      <c r="AG6841" s="19"/>
      <c r="AJ6841" s="410"/>
    </row>
    <row r="6842" spans="33:36" ht="11.25" customHeight="1" x14ac:dyDescent="0.2">
      <c r="AG6842" s="19"/>
      <c r="AJ6842" s="410"/>
    </row>
    <row r="6843" spans="33:36" ht="11.25" customHeight="1" x14ac:dyDescent="0.2">
      <c r="AG6843" s="19"/>
      <c r="AJ6843" s="410"/>
    </row>
    <row r="6844" spans="33:36" ht="11.25" customHeight="1" x14ac:dyDescent="0.2">
      <c r="AG6844" s="19"/>
      <c r="AJ6844" s="410"/>
    </row>
    <row r="6845" spans="33:36" ht="11.25" customHeight="1" x14ac:dyDescent="0.2">
      <c r="AG6845" s="19"/>
      <c r="AJ6845" s="410"/>
    </row>
    <row r="6846" spans="33:36" ht="11.25" customHeight="1" x14ac:dyDescent="0.2">
      <c r="AG6846" s="19"/>
      <c r="AJ6846" s="410"/>
    </row>
    <row r="6847" spans="33:36" ht="11.25" customHeight="1" x14ac:dyDescent="0.2">
      <c r="AG6847" s="19"/>
      <c r="AJ6847" s="410"/>
    </row>
    <row r="6848" spans="33:36" ht="11.25" customHeight="1" x14ac:dyDescent="0.2">
      <c r="AG6848" s="19"/>
      <c r="AJ6848" s="410"/>
    </row>
    <row r="6849" spans="33:36" ht="11.25" customHeight="1" x14ac:dyDescent="0.2">
      <c r="AG6849" s="19"/>
      <c r="AJ6849" s="410"/>
    </row>
    <row r="6850" spans="33:36" ht="11.25" customHeight="1" x14ac:dyDescent="0.2">
      <c r="AG6850" s="19"/>
      <c r="AJ6850" s="410"/>
    </row>
    <row r="6851" spans="33:36" ht="11.25" customHeight="1" x14ac:dyDescent="0.2">
      <c r="AG6851" s="19"/>
      <c r="AJ6851" s="410"/>
    </row>
    <row r="6852" spans="33:36" ht="11.25" customHeight="1" x14ac:dyDescent="0.2">
      <c r="AG6852" s="19"/>
      <c r="AJ6852" s="410"/>
    </row>
    <row r="6853" spans="33:36" ht="11.25" customHeight="1" x14ac:dyDescent="0.2">
      <c r="AG6853" s="19"/>
      <c r="AJ6853" s="410"/>
    </row>
    <row r="6854" spans="33:36" ht="11.25" customHeight="1" x14ac:dyDescent="0.2">
      <c r="AG6854" s="19"/>
      <c r="AJ6854" s="410"/>
    </row>
    <row r="6855" spans="33:36" ht="11.25" customHeight="1" x14ac:dyDescent="0.2">
      <c r="AG6855" s="19"/>
      <c r="AJ6855" s="410"/>
    </row>
    <row r="6856" spans="33:36" ht="11.25" customHeight="1" x14ac:dyDescent="0.2">
      <c r="AG6856" s="19"/>
      <c r="AJ6856" s="410"/>
    </row>
    <row r="6857" spans="33:36" ht="11.25" customHeight="1" x14ac:dyDescent="0.2">
      <c r="AG6857" s="19"/>
      <c r="AJ6857" s="410"/>
    </row>
    <row r="6858" spans="33:36" ht="11.25" customHeight="1" x14ac:dyDescent="0.2">
      <c r="AG6858" s="19"/>
      <c r="AJ6858" s="410"/>
    </row>
    <row r="6859" spans="33:36" ht="11.25" customHeight="1" x14ac:dyDescent="0.2">
      <c r="AG6859" s="19"/>
      <c r="AJ6859" s="410"/>
    </row>
    <row r="6860" spans="33:36" ht="11.25" customHeight="1" x14ac:dyDescent="0.2">
      <c r="AG6860" s="19"/>
      <c r="AJ6860" s="410"/>
    </row>
    <row r="6861" spans="33:36" ht="11.25" customHeight="1" x14ac:dyDescent="0.2">
      <c r="AG6861" s="19"/>
      <c r="AJ6861" s="410"/>
    </row>
    <row r="6862" spans="33:36" ht="11.25" customHeight="1" x14ac:dyDescent="0.2">
      <c r="AG6862" s="19"/>
      <c r="AJ6862" s="410"/>
    </row>
    <row r="6863" spans="33:36" ht="11.25" customHeight="1" x14ac:dyDescent="0.2">
      <c r="AG6863" s="19"/>
      <c r="AJ6863" s="410"/>
    </row>
    <row r="6864" spans="33:36" ht="11.25" customHeight="1" x14ac:dyDescent="0.2">
      <c r="AG6864" s="19"/>
      <c r="AJ6864" s="410"/>
    </row>
    <row r="6865" spans="33:36" ht="11.25" customHeight="1" x14ac:dyDescent="0.2">
      <c r="AG6865" s="19"/>
      <c r="AJ6865" s="410"/>
    </row>
    <row r="6866" spans="33:36" ht="11.25" customHeight="1" x14ac:dyDescent="0.2">
      <c r="AG6866" s="19"/>
      <c r="AJ6866" s="410"/>
    </row>
    <row r="6867" spans="33:36" ht="11.25" customHeight="1" x14ac:dyDescent="0.2">
      <c r="AG6867" s="19"/>
      <c r="AJ6867" s="410"/>
    </row>
    <row r="6868" spans="33:36" ht="11.25" customHeight="1" x14ac:dyDescent="0.2">
      <c r="AG6868" s="19"/>
      <c r="AJ6868" s="410"/>
    </row>
    <row r="6869" spans="33:36" ht="11.25" customHeight="1" x14ac:dyDescent="0.2">
      <c r="AG6869" s="19"/>
      <c r="AJ6869" s="410"/>
    </row>
    <row r="6870" spans="33:36" ht="11.25" customHeight="1" x14ac:dyDescent="0.2">
      <c r="AG6870" s="19"/>
      <c r="AJ6870" s="410"/>
    </row>
    <row r="6871" spans="33:36" ht="11.25" customHeight="1" x14ac:dyDescent="0.2">
      <c r="AG6871" s="19"/>
      <c r="AJ6871" s="410"/>
    </row>
    <row r="6872" spans="33:36" ht="11.25" customHeight="1" x14ac:dyDescent="0.2">
      <c r="AG6872" s="19"/>
      <c r="AJ6872" s="410"/>
    </row>
    <row r="6873" spans="33:36" ht="11.25" customHeight="1" x14ac:dyDescent="0.2">
      <c r="AG6873" s="19"/>
      <c r="AJ6873" s="410"/>
    </row>
    <row r="6874" spans="33:36" ht="11.25" customHeight="1" x14ac:dyDescent="0.2">
      <c r="AG6874" s="19"/>
      <c r="AJ6874" s="410"/>
    </row>
    <row r="6875" spans="33:36" ht="11.25" customHeight="1" x14ac:dyDescent="0.2">
      <c r="AG6875" s="19"/>
      <c r="AJ6875" s="410"/>
    </row>
    <row r="6876" spans="33:36" ht="11.25" customHeight="1" x14ac:dyDescent="0.2">
      <c r="AG6876" s="19"/>
      <c r="AJ6876" s="410"/>
    </row>
    <row r="6877" spans="33:36" ht="11.25" customHeight="1" x14ac:dyDescent="0.2">
      <c r="AG6877" s="19"/>
      <c r="AJ6877" s="410"/>
    </row>
    <row r="6878" spans="33:36" ht="11.25" customHeight="1" x14ac:dyDescent="0.2">
      <c r="AG6878" s="19"/>
      <c r="AJ6878" s="410"/>
    </row>
    <row r="6879" spans="33:36" ht="11.25" customHeight="1" x14ac:dyDescent="0.2">
      <c r="AG6879" s="19"/>
      <c r="AJ6879" s="410"/>
    </row>
    <row r="6880" spans="33:36" ht="11.25" customHeight="1" x14ac:dyDescent="0.2">
      <c r="AG6880" s="19"/>
      <c r="AJ6880" s="410"/>
    </row>
    <row r="6881" spans="33:36" ht="11.25" customHeight="1" x14ac:dyDescent="0.2">
      <c r="AG6881" s="19"/>
      <c r="AJ6881" s="410"/>
    </row>
    <row r="6882" spans="33:36" ht="11.25" customHeight="1" x14ac:dyDescent="0.2">
      <c r="AG6882" s="19"/>
      <c r="AJ6882" s="410"/>
    </row>
    <row r="6883" spans="33:36" ht="11.25" customHeight="1" x14ac:dyDescent="0.2">
      <c r="AG6883" s="19"/>
      <c r="AJ6883" s="410"/>
    </row>
    <row r="6884" spans="33:36" ht="11.25" customHeight="1" x14ac:dyDescent="0.2">
      <c r="AG6884" s="19"/>
      <c r="AJ6884" s="410"/>
    </row>
    <row r="6885" spans="33:36" ht="11.25" customHeight="1" x14ac:dyDescent="0.2">
      <c r="AG6885" s="19"/>
      <c r="AJ6885" s="410"/>
    </row>
    <row r="6886" spans="33:36" ht="11.25" customHeight="1" x14ac:dyDescent="0.2">
      <c r="AG6886" s="19"/>
      <c r="AJ6886" s="410"/>
    </row>
    <row r="6887" spans="33:36" ht="11.25" customHeight="1" x14ac:dyDescent="0.2">
      <c r="AG6887" s="19"/>
      <c r="AJ6887" s="410"/>
    </row>
    <row r="6888" spans="33:36" ht="11.25" customHeight="1" x14ac:dyDescent="0.2">
      <c r="AG6888" s="19"/>
      <c r="AJ6888" s="410"/>
    </row>
    <row r="6889" spans="33:36" ht="11.25" customHeight="1" x14ac:dyDescent="0.2">
      <c r="AG6889" s="19"/>
      <c r="AJ6889" s="410"/>
    </row>
    <row r="6890" spans="33:36" ht="11.25" customHeight="1" x14ac:dyDescent="0.2">
      <c r="AG6890" s="19"/>
      <c r="AJ6890" s="410"/>
    </row>
    <row r="6891" spans="33:36" ht="11.25" customHeight="1" x14ac:dyDescent="0.2">
      <c r="AG6891" s="19"/>
      <c r="AJ6891" s="410"/>
    </row>
    <row r="6892" spans="33:36" ht="11.25" customHeight="1" x14ac:dyDescent="0.2">
      <c r="AG6892" s="19"/>
      <c r="AJ6892" s="410"/>
    </row>
    <row r="6893" spans="33:36" ht="11.25" customHeight="1" x14ac:dyDescent="0.2">
      <c r="AG6893" s="19"/>
      <c r="AJ6893" s="410"/>
    </row>
    <row r="6894" spans="33:36" ht="11.25" customHeight="1" x14ac:dyDescent="0.2">
      <c r="AG6894" s="19"/>
      <c r="AJ6894" s="410"/>
    </row>
    <row r="6895" spans="33:36" ht="11.25" customHeight="1" x14ac:dyDescent="0.2">
      <c r="AG6895" s="19"/>
      <c r="AJ6895" s="410"/>
    </row>
    <row r="6896" spans="33:36" ht="11.25" customHeight="1" x14ac:dyDescent="0.2">
      <c r="AG6896" s="19"/>
      <c r="AJ6896" s="410"/>
    </row>
    <row r="6897" spans="33:36" ht="11.25" customHeight="1" x14ac:dyDescent="0.2">
      <c r="AG6897" s="19"/>
      <c r="AJ6897" s="410"/>
    </row>
    <row r="6898" spans="33:36" ht="11.25" customHeight="1" x14ac:dyDescent="0.2">
      <c r="AG6898" s="19"/>
      <c r="AJ6898" s="410"/>
    </row>
    <row r="6899" spans="33:36" ht="11.25" customHeight="1" x14ac:dyDescent="0.2">
      <c r="AG6899" s="19"/>
      <c r="AJ6899" s="410"/>
    </row>
    <row r="6900" spans="33:36" ht="11.25" customHeight="1" x14ac:dyDescent="0.2">
      <c r="AG6900" s="19"/>
      <c r="AJ6900" s="410"/>
    </row>
    <row r="6901" spans="33:36" ht="11.25" customHeight="1" x14ac:dyDescent="0.2">
      <c r="AG6901" s="19"/>
      <c r="AJ6901" s="410"/>
    </row>
    <row r="6902" spans="33:36" ht="11.25" customHeight="1" x14ac:dyDescent="0.2">
      <c r="AG6902" s="19"/>
      <c r="AJ6902" s="410"/>
    </row>
    <row r="6903" spans="33:36" ht="11.25" customHeight="1" x14ac:dyDescent="0.2">
      <c r="AG6903" s="19"/>
      <c r="AJ6903" s="410"/>
    </row>
    <row r="6904" spans="33:36" ht="11.25" customHeight="1" x14ac:dyDescent="0.2">
      <c r="AG6904" s="19"/>
      <c r="AJ6904" s="410"/>
    </row>
    <row r="6905" spans="33:36" ht="11.25" customHeight="1" x14ac:dyDescent="0.2">
      <c r="AG6905" s="19"/>
      <c r="AJ6905" s="410"/>
    </row>
    <row r="6906" spans="33:36" ht="11.25" customHeight="1" x14ac:dyDescent="0.2">
      <c r="AG6906" s="19"/>
      <c r="AJ6906" s="410"/>
    </row>
    <row r="6907" spans="33:36" ht="11.25" customHeight="1" x14ac:dyDescent="0.2">
      <c r="AG6907" s="19"/>
      <c r="AJ6907" s="410"/>
    </row>
    <row r="6908" spans="33:36" ht="11.25" customHeight="1" x14ac:dyDescent="0.2">
      <c r="AG6908" s="19"/>
      <c r="AJ6908" s="410"/>
    </row>
    <row r="6909" spans="33:36" ht="11.25" customHeight="1" x14ac:dyDescent="0.2">
      <c r="AG6909" s="19"/>
      <c r="AJ6909" s="410"/>
    </row>
    <row r="6910" spans="33:36" ht="11.25" customHeight="1" x14ac:dyDescent="0.2">
      <c r="AG6910" s="19"/>
      <c r="AJ6910" s="410"/>
    </row>
    <row r="6911" spans="33:36" ht="11.25" customHeight="1" x14ac:dyDescent="0.2">
      <c r="AG6911" s="19"/>
      <c r="AJ6911" s="410"/>
    </row>
    <row r="6912" spans="33:36" ht="11.25" customHeight="1" x14ac:dyDescent="0.2">
      <c r="AG6912" s="19"/>
      <c r="AJ6912" s="410"/>
    </row>
    <row r="6913" spans="33:36" ht="11.25" customHeight="1" x14ac:dyDescent="0.2">
      <c r="AG6913" s="19"/>
      <c r="AJ6913" s="410"/>
    </row>
    <row r="6914" spans="33:36" ht="11.25" customHeight="1" x14ac:dyDescent="0.2">
      <c r="AG6914" s="19"/>
      <c r="AJ6914" s="410"/>
    </row>
    <row r="6915" spans="33:36" ht="11.25" customHeight="1" x14ac:dyDescent="0.2">
      <c r="AG6915" s="19"/>
      <c r="AJ6915" s="410"/>
    </row>
    <row r="6916" spans="33:36" ht="11.25" customHeight="1" x14ac:dyDescent="0.2">
      <c r="AG6916" s="19"/>
      <c r="AJ6916" s="410"/>
    </row>
    <row r="6917" spans="33:36" ht="11.25" customHeight="1" x14ac:dyDescent="0.2">
      <c r="AG6917" s="19"/>
      <c r="AJ6917" s="410"/>
    </row>
    <row r="6918" spans="33:36" ht="11.25" customHeight="1" x14ac:dyDescent="0.2">
      <c r="AG6918" s="19"/>
      <c r="AJ6918" s="410"/>
    </row>
    <row r="6919" spans="33:36" ht="11.25" customHeight="1" x14ac:dyDescent="0.2">
      <c r="AG6919" s="19"/>
      <c r="AJ6919" s="410"/>
    </row>
    <row r="6920" spans="33:36" ht="11.25" customHeight="1" x14ac:dyDescent="0.2">
      <c r="AG6920" s="19"/>
      <c r="AJ6920" s="410"/>
    </row>
    <row r="6921" spans="33:36" ht="11.25" customHeight="1" x14ac:dyDescent="0.2">
      <c r="AG6921" s="19"/>
      <c r="AJ6921" s="410"/>
    </row>
    <row r="6922" spans="33:36" ht="11.25" customHeight="1" x14ac:dyDescent="0.2">
      <c r="AG6922" s="19"/>
      <c r="AJ6922" s="410"/>
    </row>
    <row r="6923" spans="33:36" ht="11.25" customHeight="1" x14ac:dyDescent="0.2">
      <c r="AG6923" s="19"/>
      <c r="AJ6923" s="410"/>
    </row>
    <row r="6924" spans="33:36" ht="11.25" customHeight="1" x14ac:dyDescent="0.2">
      <c r="AG6924" s="19"/>
      <c r="AJ6924" s="410"/>
    </row>
    <row r="6925" spans="33:36" ht="11.25" customHeight="1" x14ac:dyDescent="0.2">
      <c r="AG6925" s="19"/>
      <c r="AJ6925" s="410"/>
    </row>
    <row r="6926" spans="33:36" ht="11.25" customHeight="1" x14ac:dyDescent="0.2">
      <c r="AG6926" s="19"/>
      <c r="AJ6926" s="410"/>
    </row>
    <row r="6927" spans="33:36" ht="11.25" customHeight="1" x14ac:dyDescent="0.2">
      <c r="AG6927" s="19"/>
      <c r="AJ6927" s="410"/>
    </row>
    <row r="6928" spans="33:36" ht="11.25" customHeight="1" x14ac:dyDescent="0.2">
      <c r="AG6928" s="19"/>
      <c r="AJ6928" s="410"/>
    </row>
    <row r="6929" spans="33:36" ht="11.25" customHeight="1" x14ac:dyDescent="0.2">
      <c r="AG6929" s="19"/>
      <c r="AJ6929" s="410"/>
    </row>
    <row r="6930" spans="33:36" ht="11.25" customHeight="1" x14ac:dyDescent="0.2">
      <c r="AG6930" s="19"/>
      <c r="AJ6930" s="410"/>
    </row>
    <row r="6931" spans="33:36" ht="11.25" customHeight="1" x14ac:dyDescent="0.2">
      <c r="AG6931" s="19"/>
      <c r="AJ6931" s="410"/>
    </row>
    <row r="6932" spans="33:36" ht="11.25" customHeight="1" x14ac:dyDescent="0.2">
      <c r="AG6932" s="19"/>
      <c r="AJ6932" s="410"/>
    </row>
    <row r="6933" spans="33:36" ht="11.25" customHeight="1" x14ac:dyDescent="0.2">
      <c r="AG6933" s="19"/>
      <c r="AJ6933" s="410"/>
    </row>
    <row r="6934" spans="33:36" ht="11.25" customHeight="1" x14ac:dyDescent="0.2">
      <c r="AG6934" s="19"/>
      <c r="AJ6934" s="410"/>
    </row>
    <row r="6935" spans="33:36" ht="11.25" customHeight="1" x14ac:dyDescent="0.2">
      <c r="AG6935" s="19"/>
      <c r="AJ6935" s="410"/>
    </row>
    <row r="6936" spans="33:36" ht="11.25" customHeight="1" x14ac:dyDescent="0.2">
      <c r="AG6936" s="19"/>
      <c r="AJ6936" s="410"/>
    </row>
    <row r="6937" spans="33:36" ht="11.25" customHeight="1" x14ac:dyDescent="0.2">
      <c r="AG6937" s="19"/>
      <c r="AJ6937" s="410"/>
    </row>
    <row r="6938" spans="33:36" ht="11.25" customHeight="1" x14ac:dyDescent="0.2">
      <c r="AG6938" s="19"/>
      <c r="AJ6938" s="410"/>
    </row>
    <row r="6939" spans="33:36" ht="11.25" customHeight="1" x14ac:dyDescent="0.2">
      <c r="AG6939" s="19"/>
      <c r="AJ6939" s="410"/>
    </row>
    <row r="6940" spans="33:36" ht="11.25" customHeight="1" x14ac:dyDescent="0.2">
      <c r="AG6940" s="19"/>
      <c r="AJ6940" s="410"/>
    </row>
    <row r="6941" spans="33:36" ht="11.25" customHeight="1" x14ac:dyDescent="0.2">
      <c r="AG6941" s="19"/>
      <c r="AJ6941" s="410"/>
    </row>
    <row r="6942" spans="33:36" ht="11.25" customHeight="1" x14ac:dyDescent="0.2">
      <c r="AG6942" s="19"/>
      <c r="AJ6942" s="410"/>
    </row>
    <row r="6943" spans="33:36" ht="11.25" customHeight="1" x14ac:dyDescent="0.2">
      <c r="AG6943" s="19"/>
      <c r="AJ6943" s="410"/>
    </row>
    <row r="6944" spans="33:36" ht="11.25" customHeight="1" x14ac:dyDescent="0.2">
      <c r="AG6944" s="19"/>
      <c r="AJ6944" s="410"/>
    </row>
    <row r="6945" spans="33:36" ht="11.25" customHeight="1" x14ac:dyDescent="0.2">
      <c r="AG6945" s="19"/>
      <c r="AJ6945" s="410"/>
    </row>
    <row r="6946" spans="33:36" ht="11.25" customHeight="1" x14ac:dyDescent="0.2">
      <c r="AG6946" s="19"/>
      <c r="AJ6946" s="410"/>
    </row>
    <row r="6947" spans="33:36" ht="11.25" customHeight="1" x14ac:dyDescent="0.2">
      <c r="AG6947" s="19"/>
      <c r="AJ6947" s="410"/>
    </row>
    <row r="6948" spans="33:36" ht="11.25" customHeight="1" x14ac:dyDescent="0.2">
      <c r="AG6948" s="19"/>
      <c r="AJ6948" s="410"/>
    </row>
    <row r="6949" spans="33:36" ht="11.25" customHeight="1" x14ac:dyDescent="0.2">
      <c r="AG6949" s="19"/>
      <c r="AJ6949" s="410"/>
    </row>
    <row r="6950" spans="33:36" ht="11.25" customHeight="1" x14ac:dyDescent="0.2">
      <c r="AG6950" s="19"/>
      <c r="AJ6950" s="410"/>
    </row>
    <row r="6951" spans="33:36" ht="11.25" customHeight="1" x14ac:dyDescent="0.2">
      <c r="AG6951" s="19"/>
      <c r="AJ6951" s="410"/>
    </row>
    <row r="6952" spans="33:36" ht="11.25" customHeight="1" x14ac:dyDescent="0.2">
      <c r="AG6952" s="19"/>
      <c r="AJ6952" s="410"/>
    </row>
    <row r="6953" spans="33:36" ht="11.25" customHeight="1" x14ac:dyDescent="0.2">
      <c r="AG6953" s="19"/>
      <c r="AJ6953" s="410"/>
    </row>
    <row r="6954" spans="33:36" ht="11.25" customHeight="1" x14ac:dyDescent="0.2">
      <c r="AG6954" s="19"/>
      <c r="AJ6954" s="410"/>
    </row>
    <row r="6955" spans="33:36" ht="11.25" customHeight="1" x14ac:dyDescent="0.2">
      <c r="AG6955" s="19"/>
      <c r="AJ6955" s="410"/>
    </row>
    <row r="6956" spans="33:36" ht="11.25" customHeight="1" x14ac:dyDescent="0.2">
      <c r="AG6956" s="19"/>
      <c r="AJ6956" s="410"/>
    </row>
    <row r="6957" spans="33:36" ht="11.25" customHeight="1" x14ac:dyDescent="0.2">
      <c r="AG6957" s="19"/>
      <c r="AJ6957" s="410"/>
    </row>
    <row r="6958" spans="33:36" ht="11.25" customHeight="1" x14ac:dyDescent="0.2">
      <c r="AG6958" s="19"/>
      <c r="AJ6958" s="410"/>
    </row>
    <row r="6959" spans="33:36" ht="11.25" customHeight="1" x14ac:dyDescent="0.2">
      <c r="AG6959" s="19"/>
      <c r="AJ6959" s="410"/>
    </row>
    <row r="6960" spans="33:36" ht="11.25" customHeight="1" x14ac:dyDescent="0.2">
      <c r="AG6960" s="19"/>
      <c r="AJ6960" s="410"/>
    </row>
    <row r="6961" spans="33:36" ht="11.25" customHeight="1" x14ac:dyDescent="0.2">
      <c r="AG6961" s="19"/>
      <c r="AJ6961" s="410"/>
    </row>
    <row r="6962" spans="33:36" ht="11.25" customHeight="1" x14ac:dyDescent="0.2">
      <c r="AG6962" s="19"/>
      <c r="AJ6962" s="410"/>
    </row>
    <row r="6963" spans="33:36" ht="11.25" customHeight="1" x14ac:dyDescent="0.2">
      <c r="AG6963" s="19"/>
      <c r="AJ6963" s="410"/>
    </row>
    <row r="6964" spans="33:36" ht="11.25" customHeight="1" x14ac:dyDescent="0.2">
      <c r="AG6964" s="19"/>
      <c r="AJ6964" s="410"/>
    </row>
    <row r="6965" spans="33:36" ht="11.25" customHeight="1" x14ac:dyDescent="0.2">
      <c r="AG6965" s="19"/>
      <c r="AJ6965" s="410"/>
    </row>
    <row r="6966" spans="33:36" ht="11.25" customHeight="1" x14ac:dyDescent="0.2">
      <c r="AG6966" s="19"/>
      <c r="AJ6966" s="410"/>
    </row>
    <row r="6967" spans="33:36" ht="11.25" customHeight="1" x14ac:dyDescent="0.2">
      <c r="AG6967" s="19"/>
      <c r="AJ6967" s="410"/>
    </row>
    <row r="6968" spans="33:36" ht="11.25" customHeight="1" x14ac:dyDescent="0.2">
      <c r="AG6968" s="19"/>
      <c r="AJ6968" s="410"/>
    </row>
    <row r="6969" spans="33:36" ht="11.25" customHeight="1" x14ac:dyDescent="0.2">
      <c r="AG6969" s="19"/>
      <c r="AJ6969" s="410"/>
    </row>
    <row r="6970" spans="33:36" ht="11.25" customHeight="1" x14ac:dyDescent="0.2">
      <c r="AG6970" s="19"/>
      <c r="AJ6970" s="410"/>
    </row>
    <row r="6971" spans="33:36" ht="11.25" customHeight="1" x14ac:dyDescent="0.2">
      <c r="AG6971" s="19"/>
      <c r="AJ6971" s="410"/>
    </row>
    <row r="6972" spans="33:36" ht="11.25" customHeight="1" x14ac:dyDescent="0.2">
      <c r="AG6972" s="19"/>
      <c r="AJ6972" s="410"/>
    </row>
    <row r="6973" spans="33:36" ht="11.25" customHeight="1" x14ac:dyDescent="0.2">
      <c r="AG6973" s="19"/>
      <c r="AJ6973" s="410"/>
    </row>
    <row r="6974" spans="33:36" ht="11.25" customHeight="1" x14ac:dyDescent="0.2">
      <c r="AG6974" s="19"/>
      <c r="AJ6974" s="410"/>
    </row>
    <row r="6975" spans="33:36" ht="11.25" customHeight="1" x14ac:dyDescent="0.2">
      <c r="AG6975" s="19"/>
      <c r="AJ6975" s="410"/>
    </row>
    <row r="6976" spans="33:36" ht="11.25" customHeight="1" x14ac:dyDescent="0.2">
      <c r="AG6976" s="19"/>
      <c r="AJ6976" s="410"/>
    </row>
    <row r="6977" spans="33:36" ht="11.25" customHeight="1" x14ac:dyDescent="0.2">
      <c r="AG6977" s="19"/>
      <c r="AJ6977" s="410"/>
    </row>
    <row r="6978" spans="33:36" ht="11.25" customHeight="1" x14ac:dyDescent="0.2">
      <c r="AG6978" s="19"/>
      <c r="AJ6978" s="410"/>
    </row>
    <row r="6979" spans="33:36" ht="11.25" customHeight="1" x14ac:dyDescent="0.2">
      <c r="AG6979" s="19"/>
      <c r="AJ6979" s="410"/>
    </row>
    <row r="6980" spans="33:36" ht="11.25" customHeight="1" x14ac:dyDescent="0.2">
      <c r="AG6980" s="19"/>
      <c r="AJ6980" s="410"/>
    </row>
    <row r="6981" spans="33:36" ht="11.25" customHeight="1" x14ac:dyDescent="0.2">
      <c r="AG6981" s="19"/>
      <c r="AJ6981" s="410"/>
    </row>
    <row r="6982" spans="33:36" ht="11.25" customHeight="1" x14ac:dyDescent="0.2">
      <c r="AG6982" s="19"/>
      <c r="AJ6982" s="410"/>
    </row>
    <row r="6983" spans="33:36" ht="11.25" customHeight="1" x14ac:dyDescent="0.2">
      <c r="AG6983" s="19"/>
      <c r="AJ6983" s="410"/>
    </row>
    <row r="6984" spans="33:36" ht="11.25" customHeight="1" x14ac:dyDescent="0.2">
      <c r="AG6984" s="19"/>
      <c r="AJ6984" s="410"/>
    </row>
    <row r="6985" spans="33:36" ht="11.25" customHeight="1" x14ac:dyDescent="0.2">
      <c r="AG6985" s="19"/>
      <c r="AJ6985" s="410"/>
    </row>
    <row r="6986" spans="33:36" ht="11.25" customHeight="1" x14ac:dyDescent="0.2">
      <c r="AG6986" s="19"/>
      <c r="AJ6986" s="410"/>
    </row>
    <row r="6987" spans="33:36" ht="11.25" customHeight="1" x14ac:dyDescent="0.2">
      <c r="AG6987" s="19"/>
      <c r="AJ6987" s="410"/>
    </row>
    <row r="6988" spans="33:36" ht="11.25" customHeight="1" x14ac:dyDescent="0.2">
      <c r="AG6988" s="19"/>
      <c r="AJ6988" s="410"/>
    </row>
    <row r="6989" spans="33:36" ht="11.25" customHeight="1" x14ac:dyDescent="0.2">
      <c r="AG6989" s="19"/>
      <c r="AJ6989" s="410"/>
    </row>
    <row r="6990" spans="33:36" ht="11.25" customHeight="1" x14ac:dyDescent="0.2">
      <c r="AG6990" s="19"/>
      <c r="AJ6990" s="410"/>
    </row>
    <row r="6991" spans="33:36" ht="11.25" customHeight="1" x14ac:dyDescent="0.2">
      <c r="AG6991" s="19"/>
      <c r="AJ6991" s="410"/>
    </row>
    <row r="6992" spans="33:36" ht="11.25" customHeight="1" x14ac:dyDescent="0.2">
      <c r="AG6992" s="19"/>
      <c r="AJ6992" s="410"/>
    </row>
    <row r="6993" spans="33:36" ht="11.25" customHeight="1" x14ac:dyDescent="0.2">
      <c r="AG6993" s="19"/>
      <c r="AJ6993" s="410"/>
    </row>
    <row r="6994" spans="33:36" ht="11.25" customHeight="1" x14ac:dyDescent="0.2">
      <c r="AG6994" s="19"/>
      <c r="AJ6994" s="410"/>
    </row>
    <row r="6995" spans="33:36" ht="11.25" customHeight="1" x14ac:dyDescent="0.2">
      <c r="AG6995" s="19"/>
      <c r="AJ6995" s="410"/>
    </row>
    <row r="6996" spans="33:36" ht="11.25" customHeight="1" x14ac:dyDescent="0.2">
      <c r="AG6996" s="19"/>
      <c r="AJ6996" s="410"/>
    </row>
    <row r="6997" spans="33:36" ht="11.25" customHeight="1" x14ac:dyDescent="0.2">
      <c r="AG6997" s="19"/>
      <c r="AJ6997" s="410"/>
    </row>
    <row r="6998" spans="33:36" ht="11.25" customHeight="1" x14ac:dyDescent="0.2">
      <c r="AG6998" s="19"/>
      <c r="AJ6998" s="410"/>
    </row>
    <row r="6999" spans="33:36" ht="11.25" customHeight="1" x14ac:dyDescent="0.2">
      <c r="AG6999" s="19"/>
      <c r="AJ6999" s="410"/>
    </row>
    <row r="7000" spans="33:36" ht="11.25" customHeight="1" x14ac:dyDescent="0.2">
      <c r="AG7000" s="19"/>
      <c r="AJ7000" s="410"/>
    </row>
    <row r="7001" spans="33:36" ht="11.25" customHeight="1" x14ac:dyDescent="0.2">
      <c r="AG7001" s="19"/>
      <c r="AJ7001" s="410"/>
    </row>
    <row r="7002" spans="33:36" ht="11.25" customHeight="1" x14ac:dyDescent="0.2">
      <c r="AG7002" s="19"/>
      <c r="AJ7002" s="410"/>
    </row>
    <row r="7003" spans="33:36" ht="11.25" customHeight="1" x14ac:dyDescent="0.2">
      <c r="AG7003" s="19"/>
      <c r="AJ7003" s="410"/>
    </row>
    <row r="7004" spans="33:36" ht="11.25" customHeight="1" x14ac:dyDescent="0.2">
      <c r="AG7004" s="19"/>
      <c r="AJ7004" s="410"/>
    </row>
    <row r="7005" spans="33:36" ht="11.25" customHeight="1" x14ac:dyDescent="0.2">
      <c r="AG7005" s="19"/>
      <c r="AJ7005" s="410"/>
    </row>
    <row r="7006" spans="33:36" ht="11.25" customHeight="1" x14ac:dyDescent="0.2">
      <c r="AG7006" s="19"/>
      <c r="AJ7006" s="410"/>
    </row>
    <row r="7007" spans="33:36" ht="11.25" customHeight="1" x14ac:dyDescent="0.2">
      <c r="AG7007" s="19"/>
      <c r="AJ7007" s="410"/>
    </row>
    <row r="7008" spans="33:36" ht="11.25" customHeight="1" x14ac:dyDescent="0.2">
      <c r="AG7008" s="19"/>
      <c r="AJ7008" s="410"/>
    </row>
    <row r="7009" spans="33:36" ht="11.25" customHeight="1" x14ac:dyDescent="0.2">
      <c r="AG7009" s="19"/>
      <c r="AJ7009" s="410"/>
    </row>
    <row r="7010" spans="33:36" ht="11.25" customHeight="1" x14ac:dyDescent="0.2">
      <c r="AG7010" s="19"/>
      <c r="AJ7010" s="410"/>
    </row>
    <row r="7011" spans="33:36" ht="11.25" customHeight="1" x14ac:dyDescent="0.2">
      <c r="AG7011" s="19"/>
      <c r="AJ7011" s="410"/>
    </row>
    <row r="7012" spans="33:36" ht="11.25" customHeight="1" x14ac:dyDescent="0.2">
      <c r="AG7012" s="19"/>
      <c r="AJ7012" s="410"/>
    </row>
    <row r="7013" spans="33:36" ht="11.25" customHeight="1" x14ac:dyDescent="0.2">
      <c r="AG7013" s="19"/>
      <c r="AJ7013" s="410"/>
    </row>
    <row r="7014" spans="33:36" ht="11.25" customHeight="1" x14ac:dyDescent="0.2">
      <c r="AG7014" s="19"/>
      <c r="AJ7014" s="410"/>
    </row>
    <row r="7015" spans="33:36" ht="11.25" customHeight="1" x14ac:dyDescent="0.2">
      <c r="AG7015" s="19"/>
      <c r="AJ7015" s="410"/>
    </row>
    <row r="7016" spans="33:36" ht="11.25" customHeight="1" x14ac:dyDescent="0.2">
      <c r="AG7016" s="19"/>
      <c r="AJ7016" s="410"/>
    </row>
    <row r="7017" spans="33:36" ht="11.25" customHeight="1" x14ac:dyDescent="0.2">
      <c r="AG7017" s="19"/>
      <c r="AJ7017" s="410"/>
    </row>
    <row r="7018" spans="33:36" ht="11.25" customHeight="1" x14ac:dyDescent="0.2">
      <c r="AG7018" s="19"/>
      <c r="AJ7018" s="410"/>
    </row>
    <row r="7019" spans="33:36" ht="11.25" customHeight="1" x14ac:dyDescent="0.2">
      <c r="AG7019" s="19"/>
      <c r="AJ7019" s="410"/>
    </row>
    <row r="7020" spans="33:36" ht="11.25" customHeight="1" x14ac:dyDescent="0.2">
      <c r="AG7020" s="19"/>
      <c r="AJ7020" s="410"/>
    </row>
    <row r="7021" spans="33:36" ht="11.25" customHeight="1" x14ac:dyDescent="0.2">
      <c r="AG7021" s="19"/>
      <c r="AJ7021" s="410"/>
    </row>
    <row r="7022" spans="33:36" ht="11.25" customHeight="1" x14ac:dyDescent="0.2">
      <c r="AG7022" s="19"/>
      <c r="AJ7022" s="410"/>
    </row>
    <row r="7023" spans="33:36" ht="11.25" customHeight="1" x14ac:dyDescent="0.2">
      <c r="AG7023" s="19"/>
      <c r="AJ7023" s="410"/>
    </row>
    <row r="7024" spans="33:36" ht="11.25" customHeight="1" x14ac:dyDescent="0.2">
      <c r="AG7024" s="19"/>
      <c r="AJ7024" s="410"/>
    </row>
    <row r="7025" spans="33:36" ht="11.25" customHeight="1" x14ac:dyDescent="0.2">
      <c r="AG7025" s="19"/>
      <c r="AJ7025" s="410"/>
    </row>
    <row r="7026" spans="33:36" ht="11.25" customHeight="1" x14ac:dyDescent="0.2">
      <c r="AG7026" s="19"/>
      <c r="AJ7026" s="410"/>
    </row>
    <row r="7027" spans="33:36" ht="11.25" customHeight="1" x14ac:dyDescent="0.2">
      <c r="AG7027" s="19"/>
      <c r="AJ7027" s="410"/>
    </row>
    <row r="7028" spans="33:36" ht="11.25" customHeight="1" x14ac:dyDescent="0.2">
      <c r="AG7028" s="19"/>
      <c r="AJ7028" s="410"/>
    </row>
    <row r="7029" spans="33:36" ht="11.25" customHeight="1" x14ac:dyDescent="0.2">
      <c r="AG7029" s="19"/>
      <c r="AJ7029" s="410"/>
    </row>
    <row r="7030" spans="33:36" ht="11.25" customHeight="1" x14ac:dyDescent="0.2">
      <c r="AG7030" s="19"/>
      <c r="AJ7030" s="410"/>
    </row>
    <row r="7031" spans="33:36" ht="11.25" customHeight="1" x14ac:dyDescent="0.2">
      <c r="AG7031" s="19"/>
      <c r="AJ7031" s="410"/>
    </row>
    <row r="7032" spans="33:36" ht="11.25" customHeight="1" x14ac:dyDescent="0.2">
      <c r="AG7032" s="19"/>
      <c r="AJ7032" s="410"/>
    </row>
    <row r="7033" spans="33:36" ht="11.25" customHeight="1" x14ac:dyDescent="0.2">
      <c r="AG7033" s="19"/>
      <c r="AJ7033" s="410"/>
    </row>
    <row r="7034" spans="33:36" ht="11.25" customHeight="1" x14ac:dyDescent="0.2">
      <c r="AG7034" s="19"/>
      <c r="AJ7034" s="410"/>
    </row>
    <row r="7035" spans="33:36" ht="11.25" customHeight="1" x14ac:dyDescent="0.2">
      <c r="AG7035" s="19"/>
      <c r="AJ7035" s="410"/>
    </row>
    <row r="7036" spans="33:36" ht="11.25" customHeight="1" x14ac:dyDescent="0.2">
      <c r="AG7036" s="19"/>
      <c r="AJ7036" s="410"/>
    </row>
    <row r="7037" spans="33:36" ht="11.25" customHeight="1" x14ac:dyDescent="0.2">
      <c r="AG7037" s="19"/>
      <c r="AJ7037" s="410"/>
    </row>
    <row r="7038" spans="33:36" ht="11.25" customHeight="1" x14ac:dyDescent="0.2">
      <c r="AG7038" s="19"/>
      <c r="AJ7038" s="410"/>
    </row>
    <row r="7039" spans="33:36" ht="11.25" customHeight="1" x14ac:dyDescent="0.2">
      <c r="AG7039" s="19"/>
      <c r="AJ7039" s="410"/>
    </row>
    <row r="7040" spans="33:36" ht="11.25" customHeight="1" x14ac:dyDescent="0.2">
      <c r="AG7040" s="19"/>
      <c r="AJ7040" s="410"/>
    </row>
    <row r="7041" spans="33:36" ht="11.25" customHeight="1" x14ac:dyDescent="0.2">
      <c r="AG7041" s="19"/>
      <c r="AJ7041" s="410"/>
    </row>
    <row r="7042" spans="33:36" ht="11.25" customHeight="1" x14ac:dyDescent="0.2">
      <c r="AG7042" s="19"/>
      <c r="AJ7042" s="410"/>
    </row>
    <row r="7043" spans="33:36" ht="11.25" customHeight="1" x14ac:dyDescent="0.2">
      <c r="AG7043" s="19"/>
      <c r="AJ7043" s="410"/>
    </row>
    <row r="7044" spans="33:36" ht="11.25" customHeight="1" x14ac:dyDescent="0.2">
      <c r="AG7044" s="19"/>
      <c r="AJ7044" s="410"/>
    </row>
    <row r="7045" spans="33:36" ht="11.25" customHeight="1" x14ac:dyDescent="0.2">
      <c r="AG7045" s="19"/>
      <c r="AJ7045" s="410"/>
    </row>
    <row r="7046" spans="33:36" ht="11.25" customHeight="1" x14ac:dyDescent="0.2">
      <c r="AG7046" s="19"/>
      <c r="AJ7046" s="410"/>
    </row>
    <row r="7047" spans="33:36" ht="11.25" customHeight="1" x14ac:dyDescent="0.2">
      <c r="AG7047" s="19"/>
      <c r="AJ7047" s="410"/>
    </row>
    <row r="7048" spans="33:36" ht="11.25" customHeight="1" x14ac:dyDescent="0.2">
      <c r="AG7048" s="19"/>
      <c r="AJ7048" s="410"/>
    </row>
    <row r="7049" spans="33:36" ht="11.25" customHeight="1" x14ac:dyDescent="0.2">
      <c r="AG7049" s="19"/>
      <c r="AJ7049" s="410"/>
    </row>
    <row r="7050" spans="33:36" ht="11.25" customHeight="1" x14ac:dyDescent="0.2">
      <c r="AG7050" s="19"/>
      <c r="AJ7050" s="410"/>
    </row>
    <row r="7051" spans="33:36" ht="11.25" customHeight="1" x14ac:dyDescent="0.2">
      <c r="AG7051" s="19"/>
      <c r="AJ7051" s="410"/>
    </row>
    <row r="7052" spans="33:36" ht="11.25" customHeight="1" x14ac:dyDescent="0.2">
      <c r="AG7052" s="19"/>
      <c r="AJ7052" s="410"/>
    </row>
    <row r="7053" spans="33:36" ht="11.25" customHeight="1" x14ac:dyDescent="0.2">
      <c r="AG7053" s="19"/>
      <c r="AJ7053" s="410"/>
    </row>
    <row r="7054" spans="33:36" ht="11.25" customHeight="1" x14ac:dyDescent="0.2">
      <c r="AG7054" s="19"/>
      <c r="AJ7054" s="410"/>
    </row>
    <row r="7055" spans="33:36" ht="11.25" customHeight="1" x14ac:dyDescent="0.2">
      <c r="AG7055" s="19"/>
      <c r="AJ7055" s="410"/>
    </row>
    <row r="7056" spans="33:36" ht="11.25" customHeight="1" x14ac:dyDescent="0.2">
      <c r="AG7056" s="19"/>
      <c r="AJ7056" s="410"/>
    </row>
    <row r="7057" spans="33:36" ht="11.25" customHeight="1" x14ac:dyDescent="0.2">
      <c r="AG7057" s="19"/>
      <c r="AJ7057" s="410"/>
    </row>
    <row r="7058" spans="33:36" ht="11.25" customHeight="1" x14ac:dyDescent="0.2">
      <c r="AG7058" s="19"/>
      <c r="AJ7058" s="410"/>
    </row>
    <row r="7059" spans="33:36" ht="11.25" customHeight="1" x14ac:dyDescent="0.2">
      <c r="AG7059" s="19"/>
      <c r="AJ7059" s="410"/>
    </row>
    <row r="7060" spans="33:36" ht="11.25" customHeight="1" x14ac:dyDescent="0.2">
      <c r="AG7060" s="19"/>
      <c r="AJ7060" s="410"/>
    </row>
    <row r="7061" spans="33:36" ht="11.25" customHeight="1" x14ac:dyDescent="0.2">
      <c r="AG7061" s="19"/>
      <c r="AJ7061" s="410"/>
    </row>
    <row r="7062" spans="33:36" ht="11.25" customHeight="1" x14ac:dyDescent="0.2">
      <c r="AG7062" s="19"/>
      <c r="AJ7062" s="410"/>
    </row>
    <row r="7063" spans="33:36" ht="11.25" customHeight="1" x14ac:dyDescent="0.2">
      <c r="AG7063" s="19"/>
      <c r="AJ7063" s="410"/>
    </row>
    <row r="7064" spans="33:36" ht="11.25" customHeight="1" x14ac:dyDescent="0.2">
      <c r="AG7064" s="19"/>
      <c r="AJ7064" s="410"/>
    </row>
    <row r="7065" spans="33:36" ht="11.25" customHeight="1" x14ac:dyDescent="0.2">
      <c r="AG7065" s="19"/>
      <c r="AJ7065" s="410"/>
    </row>
    <row r="7066" spans="33:36" ht="11.25" customHeight="1" x14ac:dyDescent="0.2">
      <c r="AG7066" s="19"/>
      <c r="AJ7066" s="410"/>
    </row>
    <row r="7067" spans="33:36" ht="11.25" customHeight="1" x14ac:dyDescent="0.2">
      <c r="AG7067" s="19"/>
      <c r="AJ7067" s="410"/>
    </row>
    <row r="7068" spans="33:36" ht="11.25" customHeight="1" x14ac:dyDescent="0.2">
      <c r="AG7068" s="19"/>
      <c r="AJ7068" s="410"/>
    </row>
    <row r="7069" spans="33:36" ht="11.25" customHeight="1" x14ac:dyDescent="0.2">
      <c r="AG7069" s="19"/>
      <c r="AJ7069" s="410"/>
    </row>
    <row r="7070" spans="33:36" ht="11.25" customHeight="1" x14ac:dyDescent="0.2">
      <c r="AG7070" s="19"/>
      <c r="AJ7070" s="410"/>
    </row>
    <row r="7071" spans="33:36" ht="11.25" customHeight="1" x14ac:dyDescent="0.2">
      <c r="AG7071" s="19"/>
      <c r="AJ7071" s="410"/>
    </row>
    <row r="7072" spans="33:36" ht="11.25" customHeight="1" x14ac:dyDescent="0.2">
      <c r="AG7072" s="19"/>
      <c r="AJ7072" s="410"/>
    </row>
    <row r="7073" spans="33:36" ht="11.25" customHeight="1" x14ac:dyDescent="0.2">
      <c r="AG7073" s="19"/>
      <c r="AJ7073" s="410"/>
    </row>
    <row r="7074" spans="33:36" ht="11.25" customHeight="1" x14ac:dyDescent="0.2">
      <c r="AG7074" s="19"/>
      <c r="AJ7074" s="410"/>
    </row>
    <row r="7075" spans="33:36" ht="11.25" customHeight="1" x14ac:dyDescent="0.2">
      <c r="AG7075" s="19"/>
      <c r="AJ7075" s="410"/>
    </row>
    <row r="7076" spans="33:36" ht="11.25" customHeight="1" x14ac:dyDescent="0.2">
      <c r="AG7076" s="19"/>
      <c r="AJ7076" s="410"/>
    </row>
    <row r="7077" spans="33:36" ht="11.25" customHeight="1" x14ac:dyDescent="0.2">
      <c r="AG7077" s="19"/>
      <c r="AJ7077" s="410"/>
    </row>
    <row r="7078" spans="33:36" ht="11.25" customHeight="1" x14ac:dyDescent="0.2">
      <c r="AG7078" s="19"/>
      <c r="AJ7078" s="410"/>
    </row>
    <row r="7079" spans="33:36" ht="11.25" customHeight="1" x14ac:dyDescent="0.2">
      <c r="AG7079" s="19"/>
      <c r="AJ7079" s="410"/>
    </row>
    <row r="7080" spans="33:36" ht="11.25" customHeight="1" x14ac:dyDescent="0.2">
      <c r="AG7080" s="19"/>
      <c r="AJ7080" s="410"/>
    </row>
    <row r="7081" spans="33:36" ht="11.25" customHeight="1" x14ac:dyDescent="0.2">
      <c r="AG7081" s="19"/>
      <c r="AJ7081" s="410"/>
    </row>
    <row r="7082" spans="33:36" ht="11.25" customHeight="1" x14ac:dyDescent="0.2">
      <c r="AG7082" s="19"/>
      <c r="AJ7082" s="410"/>
    </row>
    <row r="7083" spans="33:36" ht="11.25" customHeight="1" x14ac:dyDescent="0.2">
      <c r="AG7083" s="19"/>
      <c r="AJ7083" s="410"/>
    </row>
    <row r="7084" spans="33:36" ht="11.25" customHeight="1" x14ac:dyDescent="0.2">
      <c r="AG7084" s="19"/>
      <c r="AJ7084" s="410"/>
    </row>
    <row r="7085" spans="33:36" ht="11.25" customHeight="1" x14ac:dyDescent="0.2">
      <c r="AG7085" s="19"/>
      <c r="AJ7085" s="410"/>
    </row>
    <row r="7086" spans="33:36" ht="11.25" customHeight="1" x14ac:dyDescent="0.2">
      <c r="AG7086" s="19"/>
      <c r="AJ7086" s="410"/>
    </row>
    <row r="7087" spans="33:36" ht="11.25" customHeight="1" x14ac:dyDescent="0.2">
      <c r="AG7087" s="19"/>
      <c r="AJ7087" s="410"/>
    </row>
    <row r="7088" spans="33:36" ht="11.25" customHeight="1" x14ac:dyDescent="0.2">
      <c r="AG7088" s="19"/>
      <c r="AJ7088" s="410"/>
    </row>
    <row r="7089" spans="33:36" ht="11.25" customHeight="1" x14ac:dyDescent="0.2">
      <c r="AG7089" s="19"/>
      <c r="AJ7089" s="410"/>
    </row>
    <row r="7090" spans="33:36" ht="11.25" customHeight="1" x14ac:dyDescent="0.2">
      <c r="AG7090" s="19"/>
      <c r="AJ7090" s="410"/>
    </row>
    <row r="7091" spans="33:36" ht="11.25" customHeight="1" x14ac:dyDescent="0.2">
      <c r="AG7091" s="19"/>
      <c r="AJ7091" s="410"/>
    </row>
    <row r="7092" spans="33:36" ht="11.25" customHeight="1" x14ac:dyDescent="0.2">
      <c r="AG7092" s="19"/>
      <c r="AJ7092" s="410"/>
    </row>
    <row r="7093" spans="33:36" ht="11.25" customHeight="1" x14ac:dyDescent="0.2">
      <c r="AG7093" s="19"/>
      <c r="AJ7093" s="410"/>
    </row>
    <row r="7094" spans="33:36" ht="11.25" customHeight="1" x14ac:dyDescent="0.2">
      <c r="AG7094" s="19"/>
      <c r="AJ7094" s="410"/>
    </row>
    <row r="7095" spans="33:36" ht="11.25" customHeight="1" x14ac:dyDescent="0.2">
      <c r="AG7095" s="19"/>
      <c r="AJ7095" s="410"/>
    </row>
    <row r="7096" spans="33:36" ht="11.25" customHeight="1" x14ac:dyDescent="0.2">
      <c r="AG7096" s="19"/>
      <c r="AJ7096" s="410"/>
    </row>
    <row r="7097" spans="33:36" ht="11.25" customHeight="1" x14ac:dyDescent="0.2">
      <c r="AG7097" s="19"/>
      <c r="AJ7097" s="410"/>
    </row>
    <row r="7098" spans="33:36" ht="11.25" customHeight="1" x14ac:dyDescent="0.2">
      <c r="AG7098" s="19"/>
      <c r="AJ7098" s="410"/>
    </row>
    <row r="7099" spans="33:36" ht="11.25" customHeight="1" x14ac:dyDescent="0.2">
      <c r="AG7099" s="19"/>
      <c r="AJ7099" s="410"/>
    </row>
    <row r="7100" spans="33:36" ht="11.25" customHeight="1" x14ac:dyDescent="0.2">
      <c r="AG7100" s="19"/>
      <c r="AJ7100" s="410"/>
    </row>
    <row r="7101" spans="33:36" ht="11.25" customHeight="1" x14ac:dyDescent="0.2">
      <c r="AG7101" s="19"/>
      <c r="AJ7101" s="410"/>
    </row>
    <row r="7102" spans="33:36" ht="11.25" customHeight="1" x14ac:dyDescent="0.2">
      <c r="AG7102" s="19"/>
      <c r="AJ7102" s="410"/>
    </row>
    <row r="7103" spans="33:36" ht="11.25" customHeight="1" x14ac:dyDescent="0.2">
      <c r="AG7103" s="19"/>
      <c r="AJ7103" s="410"/>
    </row>
    <row r="7104" spans="33:36" ht="11.25" customHeight="1" x14ac:dyDescent="0.2">
      <c r="AG7104" s="19"/>
      <c r="AJ7104" s="410"/>
    </row>
    <row r="7105" spans="33:36" ht="11.25" customHeight="1" x14ac:dyDescent="0.2">
      <c r="AG7105" s="19"/>
      <c r="AJ7105" s="410"/>
    </row>
    <row r="7106" spans="33:36" ht="11.25" customHeight="1" x14ac:dyDescent="0.2">
      <c r="AG7106" s="19"/>
      <c r="AJ7106" s="410"/>
    </row>
    <row r="7107" spans="33:36" ht="11.25" customHeight="1" x14ac:dyDescent="0.2">
      <c r="AG7107" s="19"/>
      <c r="AJ7107" s="410"/>
    </row>
    <row r="7108" spans="33:36" ht="11.25" customHeight="1" x14ac:dyDescent="0.2">
      <c r="AG7108" s="19"/>
      <c r="AJ7108" s="410"/>
    </row>
    <row r="7109" spans="33:36" ht="11.25" customHeight="1" x14ac:dyDescent="0.2">
      <c r="AG7109" s="19"/>
      <c r="AJ7109" s="410"/>
    </row>
    <row r="7110" spans="33:36" ht="11.25" customHeight="1" x14ac:dyDescent="0.2">
      <c r="AG7110" s="19"/>
      <c r="AJ7110" s="410"/>
    </row>
    <row r="7111" spans="33:36" ht="11.25" customHeight="1" x14ac:dyDescent="0.2">
      <c r="AG7111" s="19"/>
      <c r="AJ7111" s="410"/>
    </row>
    <row r="7112" spans="33:36" ht="11.25" customHeight="1" x14ac:dyDescent="0.2">
      <c r="AG7112" s="19"/>
      <c r="AJ7112" s="410"/>
    </row>
    <row r="7113" spans="33:36" ht="11.25" customHeight="1" x14ac:dyDescent="0.2">
      <c r="AG7113" s="19"/>
      <c r="AJ7113" s="410"/>
    </row>
    <row r="7114" spans="33:36" ht="11.25" customHeight="1" x14ac:dyDescent="0.2">
      <c r="AG7114" s="19"/>
      <c r="AJ7114" s="410"/>
    </row>
    <row r="7115" spans="33:36" ht="11.25" customHeight="1" x14ac:dyDescent="0.2">
      <c r="AG7115" s="19"/>
      <c r="AJ7115" s="410"/>
    </row>
    <row r="7116" spans="33:36" ht="11.25" customHeight="1" x14ac:dyDescent="0.2">
      <c r="AG7116" s="19"/>
      <c r="AJ7116" s="410"/>
    </row>
    <row r="7117" spans="33:36" ht="11.25" customHeight="1" x14ac:dyDescent="0.2">
      <c r="AG7117" s="19"/>
      <c r="AJ7117" s="410"/>
    </row>
    <row r="7118" spans="33:36" ht="11.25" customHeight="1" x14ac:dyDescent="0.2">
      <c r="AG7118" s="19"/>
      <c r="AJ7118" s="410"/>
    </row>
    <row r="7119" spans="33:36" ht="11.25" customHeight="1" x14ac:dyDescent="0.2">
      <c r="AG7119" s="19"/>
      <c r="AJ7119" s="410"/>
    </row>
    <row r="7120" spans="33:36" ht="11.25" customHeight="1" x14ac:dyDescent="0.2">
      <c r="AG7120" s="19"/>
      <c r="AJ7120" s="410"/>
    </row>
    <row r="7121" spans="33:36" ht="11.25" customHeight="1" x14ac:dyDescent="0.2">
      <c r="AG7121" s="19"/>
      <c r="AJ7121" s="410"/>
    </row>
    <row r="7122" spans="33:36" ht="11.25" customHeight="1" x14ac:dyDescent="0.2">
      <c r="AG7122" s="19"/>
      <c r="AJ7122" s="410"/>
    </row>
    <row r="7123" spans="33:36" ht="11.25" customHeight="1" x14ac:dyDescent="0.2">
      <c r="AG7123" s="19"/>
      <c r="AJ7123" s="410"/>
    </row>
    <row r="7124" spans="33:36" ht="11.25" customHeight="1" x14ac:dyDescent="0.2">
      <c r="AG7124" s="19"/>
      <c r="AJ7124" s="410"/>
    </row>
    <row r="7125" spans="33:36" ht="11.25" customHeight="1" x14ac:dyDescent="0.2">
      <c r="AG7125" s="19"/>
      <c r="AJ7125" s="410"/>
    </row>
    <row r="7126" spans="33:36" ht="11.25" customHeight="1" x14ac:dyDescent="0.2">
      <c r="AG7126" s="19"/>
      <c r="AJ7126" s="410"/>
    </row>
    <row r="7127" spans="33:36" ht="11.25" customHeight="1" x14ac:dyDescent="0.2">
      <c r="AG7127" s="19"/>
      <c r="AJ7127" s="410"/>
    </row>
    <row r="7128" spans="33:36" ht="11.25" customHeight="1" x14ac:dyDescent="0.2">
      <c r="AG7128" s="19"/>
      <c r="AJ7128" s="410"/>
    </row>
    <row r="7129" spans="33:36" ht="11.25" customHeight="1" x14ac:dyDescent="0.2">
      <c r="AG7129" s="19"/>
      <c r="AJ7129" s="410"/>
    </row>
    <row r="7130" spans="33:36" ht="11.25" customHeight="1" x14ac:dyDescent="0.2">
      <c r="AG7130" s="19"/>
      <c r="AJ7130" s="410"/>
    </row>
    <row r="7131" spans="33:36" ht="11.25" customHeight="1" x14ac:dyDescent="0.2">
      <c r="AG7131" s="19"/>
      <c r="AJ7131" s="410"/>
    </row>
    <row r="7132" spans="33:36" ht="11.25" customHeight="1" x14ac:dyDescent="0.2">
      <c r="AG7132" s="19"/>
      <c r="AJ7132" s="410"/>
    </row>
    <row r="7133" spans="33:36" ht="11.25" customHeight="1" x14ac:dyDescent="0.2">
      <c r="AG7133" s="19"/>
      <c r="AJ7133" s="410"/>
    </row>
    <row r="7134" spans="33:36" ht="11.25" customHeight="1" x14ac:dyDescent="0.2">
      <c r="AG7134" s="19"/>
      <c r="AJ7134" s="410"/>
    </row>
    <row r="7135" spans="33:36" ht="11.25" customHeight="1" x14ac:dyDescent="0.2">
      <c r="AG7135" s="19"/>
      <c r="AJ7135" s="410"/>
    </row>
    <row r="7136" spans="33:36" ht="11.25" customHeight="1" x14ac:dyDescent="0.2">
      <c r="AG7136" s="19"/>
      <c r="AJ7136" s="410"/>
    </row>
    <row r="7137" spans="33:36" ht="11.25" customHeight="1" x14ac:dyDescent="0.2">
      <c r="AG7137" s="19"/>
      <c r="AJ7137" s="410"/>
    </row>
    <row r="7138" spans="33:36" ht="11.25" customHeight="1" x14ac:dyDescent="0.2">
      <c r="AG7138" s="19"/>
      <c r="AJ7138" s="410"/>
    </row>
    <row r="7139" spans="33:36" ht="11.25" customHeight="1" x14ac:dyDescent="0.2">
      <c r="AG7139" s="19"/>
      <c r="AJ7139" s="410"/>
    </row>
    <row r="7140" spans="33:36" ht="11.25" customHeight="1" x14ac:dyDescent="0.2">
      <c r="AG7140" s="19"/>
      <c r="AJ7140" s="410"/>
    </row>
    <row r="7141" spans="33:36" ht="11.25" customHeight="1" x14ac:dyDescent="0.2">
      <c r="AG7141" s="19"/>
      <c r="AJ7141" s="410"/>
    </row>
    <row r="7142" spans="33:36" ht="11.25" customHeight="1" x14ac:dyDescent="0.2">
      <c r="AG7142" s="19"/>
      <c r="AJ7142" s="410"/>
    </row>
    <row r="7143" spans="33:36" ht="11.25" customHeight="1" x14ac:dyDescent="0.2">
      <c r="AG7143" s="19"/>
      <c r="AJ7143" s="410"/>
    </row>
    <row r="7144" spans="33:36" ht="11.25" customHeight="1" x14ac:dyDescent="0.2">
      <c r="AG7144" s="19"/>
      <c r="AJ7144" s="410"/>
    </row>
    <row r="7145" spans="33:36" ht="11.25" customHeight="1" x14ac:dyDescent="0.2">
      <c r="AG7145" s="19"/>
      <c r="AJ7145" s="410"/>
    </row>
    <row r="7146" spans="33:36" ht="11.25" customHeight="1" x14ac:dyDescent="0.2">
      <c r="AG7146" s="19"/>
      <c r="AJ7146" s="410"/>
    </row>
    <row r="7147" spans="33:36" ht="11.25" customHeight="1" x14ac:dyDescent="0.2">
      <c r="AG7147" s="19"/>
      <c r="AJ7147" s="410"/>
    </row>
    <row r="7148" spans="33:36" ht="11.25" customHeight="1" x14ac:dyDescent="0.2">
      <c r="AG7148" s="19"/>
      <c r="AJ7148" s="410"/>
    </row>
    <row r="7149" spans="33:36" ht="11.25" customHeight="1" x14ac:dyDescent="0.2">
      <c r="AG7149" s="19"/>
      <c r="AJ7149" s="410"/>
    </row>
    <row r="7150" spans="33:36" ht="11.25" customHeight="1" x14ac:dyDescent="0.2">
      <c r="AG7150" s="19"/>
      <c r="AJ7150" s="410"/>
    </row>
    <row r="7151" spans="33:36" ht="11.25" customHeight="1" x14ac:dyDescent="0.2">
      <c r="AG7151" s="19"/>
      <c r="AJ7151" s="410"/>
    </row>
    <row r="7152" spans="33:36" ht="11.25" customHeight="1" x14ac:dyDescent="0.2">
      <c r="AG7152" s="19"/>
      <c r="AJ7152" s="410"/>
    </row>
    <row r="7153" spans="33:36" ht="11.25" customHeight="1" x14ac:dyDescent="0.2">
      <c r="AG7153" s="19"/>
      <c r="AJ7153" s="410"/>
    </row>
    <row r="7154" spans="33:36" ht="11.25" customHeight="1" x14ac:dyDescent="0.2">
      <c r="AG7154" s="19"/>
      <c r="AJ7154" s="410"/>
    </row>
    <row r="7155" spans="33:36" ht="11.25" customHeight="1" x14ac:dyDescent="0.2">
      <c r="AG7155" s="19"/>
      <c r="AJ7155" s="410"/>
    </row>
    <row r="7156" spans="33:36" ht="11.25" customHeight="1" x14ac:dyDescent="0.2">
      <c r="AG7156" s="19"/>
      <c r="AJ7156" s="410"/>
    </row>
    <row r="7157" spans="33:36" ht="11.25" customHeight="1" x14ac:dyDescent="0.2">
      <c r="AG7157" s="19"/>
      <c r="AJ7157" s="410"/>
    </row>
    <row r="7158" spans="33:36" ht="11.25" customHeight="1" x14ac:dyDescent="0.2">
      <c r="AG7158" s="19"/>
      <c r="AJ7158" s="410"/>
    </row>
    <row r="7159" spans="33:36" ht="11.25" customHeight="1" x14ac:dyDescent="0.2">
      <c r="AG7159" s="19"/>
      <c r="AJ7159" s="410"/>
    </row>
    <row r="7160" spans="33:36" ht="11.25" customHeight="1" x14ac:dyDescent="0.2">
      <c r="AG7160" s="19"/>
      <c r="AJ7160" s="410"/>
    </row>
    <row r="7161" spans="33:36" ht="11.25" customHeight="1" x14ac:dyDescent="0.2">
      <c r="AG7161" s="19"/>
      <c r="AJ7161" s="410"/>
    </row>
    <row r="7162" spans="33:36" ht="11.25" customHeight="1" x14ac:dyDescent="0.2">
      <c r="AG7162" s="19"/>
      <c r="AJ7162" s="410"/>
    </row>
    <row r="7163" spans="33:36" ht="11.25" customHeight="1" x14ac:dyDescent="0.2">
      <c r="AG7163" s="19"/>
      <c r="AJ7163" s="410"/>
    </row>
    <row r="7164" spans="33:36" ht="11.25" customHeight="1" x14ac:dyDescent="0.2">
      <c r="AG7164" s="19"/>
      <c r="AJ7164" s="410"/>
    </row>
    <row r="7165" spans="33:36" ht="11.25" customHeight="1" x14ac:dyDescent="0.2">
      <c r="AG7165" s="19"/>
      <c r="AJ7165" s="410"/>
    </row>
    <row r="7166" spans="33:36" ht="11.25" customHeight="1" x14ac:dyDescent="0.2">
      <c r="AG7166" s="19"/>
      <c r="AJ7166" s="410"/>
    </row>
    <row r="7167" spans="33:36" ht="11.25" customHeight="1" x14ac:dyDescent="0.2">
      <c r="AG7167" s="19"/>
      <c r="AJ7167" s="410"/>
    </row>
    <row r="7168" spans="33:36" ht="11.25" customHeight="1" x14ac:dyDescent="0.2">
      <c r="AG7168" s="19"/>
      <c r="AJ7168" s="410"/>
    </row>
    <row r="7169" spans="33:36" ht="11.25" customHeight="1" x14ac:dyDescent="0.2">
      <c r="AG7169" s="19"/>
      <c r="AJ7169" s="410"/>
    </row>
    <row r="7170" spans="33:36" ht="11.25" customHeight="1" x14ac:dyDescent="0.2">
      <c r="AG7170" s="19"/>
      <c r="AJ7170" s="410"/>
    </row>
    <row r="7171" spans="33:36" ht="11.25" customHeight="1" x14ac:dyDescent="0.2">
      <c r="AG7171" s="19"/>
      <c r="AJ7171" s="410"/>
    </row>
    <row r="7172" spans="33:36" ht="11.25" customHeight="1" x14ac:dyDescent="0.2">
      <c r="AG7172" s="19"/>
      <c r="AJ7172" s="410"/>
    </row>
    <row r="7173" spans="33:36" ht="11.25" customHeight="1" x14ac:dyDescent="0.2">
      <c r="AG7173" s="19"/>
      <c r="AJ7173" s="410"/>
    </row>
    <row r="7174" spans="33:36" ht="11.25" customHeight="1" x14ac:dyDescent="0.2">
      <c r="AG7174" s="19"/>
      <c r="AJ7174" s="410"/>
    </row>
    <row r="7175" spans="33:36" ht="11.25" customHeight="1" x14ac:dyDescent="0.2">
      <c r="AG7175" s="19"/>
      <c r="AJ7175" s="410"/>
    </row>
    <row r="7176" spans="33:36" ht="11.25" customHeight="1" x14ac:dyDescent="0.2">
      <c r="AG7176" s="19"/>
      <c r="AJ7176" s="410"/>
    </row>
    <row r="7177" spans="33:36" ht="11.25" customHeight="1" x14ac:dyDescent="0.2">
      <c r="AG7177" s="19"/>
      <c r="AJ7177" s="410"/>
    </row>
    <row r="7178" spans="33:36" ht="11.25" customHeight="1" x14ac:dyDescent="0.2">
      <c r="AG7178" s="19"/>
      <c r="AJ7178" s="410"/>
    </row>
    <row r="7179" spans="33:36" ht="11.25" customHeight="1" x14ac:dyDescent="0.2">
      <c r="AG7179" s="19"/>
      <c r="AJ7179" s="410"/>
    </row>
    <row r="7180" spans="33:36" ht="11.25" customHeight="1" x14ac:dyDescent="0.2">
      <c r="AG7180" s="19"/>
      <c r="AJ7180" s="410"/>
    </row>
    <row r="7181" spans="33:36" ht="11.25" customHeight="1" x14ac:dyDescent="0.2">
      <c r="AG7181" s="19"/>
      <c r="AJ7181" s="410"/>
    </row>
    <row r="7182" spans="33:36" ht="11.25" customHeight="1" x14ac:dyDescent="0.2">
      <c r="AG7182" s="19"/>
      <c r="AJ7182" s="410"/>
    </row>
    <row r="7183" spans="33:36" ht="11.25" customHeight="1" x14ac:dyDescent="0.2">
      <c r="AG7183" s="19"/>
      <c r="AJ7183" s="410"/>
    </row>
    <row r="7184" spans="33:36" ht="11.25" customHeight="1" x14ac:dyDescent="0.2">
      <c r="AG7184" s="19"/>
      <c r="AJ7184" s="410"/>
    </row>
    <row r="7185" spans="33:36" ht="11.25" customHeight="1" x14ac:dyDescent="0.2">
      <c r="AG7185" s="19"/>
      <c r="AJ7185" s="410"/>
    </row>
    <row r="7186" spans="33:36" ht="11.25" customHeight="1" x14ac:dyDescent="0.2">
      <c r="AG7186" s="19"/>
      <c r="AJ7186" s="410"/>
    </row>
    <row r="7187" spans="33:36" ht="11.25" customHeight="1" x14ac:dyDescent="0.2">
      <c r="AG7187" s="19"/>
      <c r="AJ7187" s="410"/>
    </row>
    <row r="7188" spans="33:36" ht="11.25" customHeight="1" x14ac:dyDescent="0.2">
      <c r="AG7188" s="19"/>
      <c r="AJ7188" s="410"/>
    </row>
    <row r="7189" spans="33:36" ht="11.25" customHeight="1" x14ac:dyDescent="0.2">
      <c r="AG7189" s="19"/>
      <c r="AJ7189" s="410"/>
    </row>
    <row r="7190" spans="33:36" ht="11.25" customHeight="1" x14ac:dyDescent="0.2">
      <c r="AG7190" s="19"/>
      <c r="AJ7190" s="410"/>
    </row>
    <row r="7191" spans="33:36" ht="11.25" customHeight="1" x14ac:dyDescent="0.2">
      <c r="AG7191" s="19"/>
      <c r="AJ7191" s="410"/>
    </row>
    <row r="7192" spans="33:36" ht="11.25" customHeight="1" x14ac:dyDescent="0.2">
      <c r="AG7192" s="19"/>
      <c r="AJ7192" s="410"/>
    </row>
    <row r="7193" spans="33:36" ht="11.25" customHeight="1" x14ac:dyDescent="0.2">
      <c r="AG7193" s="19"/>
      <c r="AJ7193" s="410"/>
    </row>
    <row r="7194" spans="33:36" ht="11.25" customHeight="1" x14ac:dyDescent="0.2">
      <c r="AG7194" s="19"/>
      <c r="AJ7194" s="410"/>
    </row>
    <row r="7195" spans="33:36" ht="11.25" customHeight="1" x14ac:dyDescent="0.2">
      <c r="AG7195" s="19"/>
      <c r="AJ7195" s="410"/>
    </row>
    <row r="7196" spans="33:36" ht="11.25" customHeight="1" x14ac:dyDescent="0.2">
      <c r="AG7196" s="19"/>
      <c r="AJ7196" s="410"/>
    </row>
    <row r="7197" spans="33:36" ht="11.25" customHeight="1" x14ac:dyDescent="0.2">
      <c r="AG7197" s="19"/>
      <c r="AJ7197" s="410"/>
    </row>
    <row r="7198" spans="33:36" ht="11.25" customHeight="1" x14ac:dyDescent="0.2">
      <c r="AG7198" s="19"/>
      <c r="AJ7198" s="410"/>
    </row>
    <row r="7199" spans="33:36" ht="11.25" customHeight="1" x14ac:dyDescent="0.2">
      <c r="AG7199" s="19"/>
      <c r="AJ7199" s="410"/>
    </row>
    <row r="7200" spans="33:36" ht="11.25" customHeight="1" x14ac:dyDescent="0.2">
      <c r="AG7200" s="19"/>
      <c r="AJ7200" s="410"/>
    </row>
    <row r="7201" spans="33:36" ht="11.25" customHeight="1" x14ac:dyDescent="0.2">
      <c r="AG7201" s="19"/>
      <c r="AJ7201" s="410"/>
    </row>
    <row r="7202" spans="33:36" ht="11.25" customHeight="1" x14ac:dyDescent="0.2">
      <c r="AG7202" s="19"/>
      <c r="AJ7202" s="410"/>
    </row>
    <row r="7203" spans="33:36" ht="11.25" customHeight="1" x14ac:dyDescent="0.2">
      <c r="AG7203" s="19"/>
      <c r="AJ7203" s="410"/>
    </row>
    <row r="7204" spans="33:36" ht="11.25" customHeight="1" x14ac:dyDescent="0.2">
      <c r="AG7204" s="19"/>
      <c r="AJ7204" s="410"/>
    </row>
    <row r="7205" spans="33:36" ht="11.25" customHeight="1" x14ac:dyDescent="0.2">
      <c r="AG7205" s="19"/>
      <c r="AJ7205" s="410"/>
    </row>
    <row r="7206" spans="33:36" ht="11.25" customHeight="1" x14ac:dyDescent="0.2">
      <c r="AG7206" s="19"/>
      <c r="AJ7206" s="410"/>
    </row>
    <row r="7207" spans="33:36" ht="11.25" customHeight="1" x14ac:dyDescent="0.2">
      <c r="AG7207" s="19"/>
      <c r="AJ7207" s="410"/>
    </row>
    <row r="7208" spans="33:36" ht="11.25" customHeight="1" x14ac:dyDescent="0.2">
      <c r="AG7208" s="19"/>
      <c r="AJ7208" s="410"/>
    </row>
    <row r="7209" spans="33:36" ht="11.25" customHeight="1" x14ac:dyDescent="0.2">
      <c r="AG7209" s="19"/>
      <c r="AJ7209" s="410"/>
    </row>
    <row r="7210" spans="33:36" ht="11.25" customHeight="1" x14ac:dyDescent="0.2">
      <c r="AG7210" s="19"/>
      <c r="AJ7210" s="410"/>
    </row>
    <row r="7211" spans="33:36" ht="11.25" customHeight="1" x14ac:dyDescent="0.2">
      <c r="AG7211" s="19"/>
      <c r="AJ7211" s="410"/>
    </row>
    <row r="7212" spans="33:36" ht="11.25" customHeight="1" x14ac:dyDescent="0.2">
      <c r="AG7212" s="19"/>
      <c r="AJ7212" s="410"/>
    </row>
    <row r="7213" spans="33:36" ht="11.25" customHeight="1" x14ac:dyDescent="0.2">
      <c r="AG7213" s="19"/>
      <c r="AJ7213" s="410"/>
    </row>
    <row r="7214" spans="33:36" ht="11.25" customHeight="1" x14ac:dyDescent="0.2">
      <c r="AG7214" s="19"/>
      <c r="AJ7214" s="410"/>
    </row>
    <row r="7215" spans="33:36" ht="11.25" customHeight="1" x14ac:dyDescent="0.2">
      <c r="AG7215" s="19"/>
      <c r="AJ7215" s="410"/>
    </row>
    <row r="7216" spans="33:36" ht="11.25" customHeight="1" x14ac:dyDescent="0.2">
      <c r="AG7216" s="19"/>
      <c r="AJ7216" s="410"/>
    </row>
    <row r="7217" spans="33:36" ht="11.25" customHeight="1" x14ac:dyDescent="0.2">
      <c r="AG7217" s="19"/>
      <c r="AJ7217" s="410"/>
    </row>
    <row r="7218" spans="33:36" ht="11.25" customHeight="1" x14ac:dyDescent="0.2">
      <c r="AG7218" s="19"/>
      <c r="AJ7218" s="410"/>
    </row>
    <row r="7219" spans="33:36" ht="11.25" customHeight="1" x14ac:dyDescent="0.2">
      <c r="AG7219" s="19"/>
      <c r="AJ7219" s="410"/>
    </row>
    <row r="7220" spans="33:36" ht="11.25" customHeight="1" x14ac:dyDescent="0.2">
      <c r="AG7220" s="19"/>
      <c r="AJ7220" s="410"/>
    </row>
    <row r="7221" spans="33:36" ht="11.25" customHeight="1" x14ac:dyDescent="0.2">
      <c r="AG7221" s="19"/>
      <c r="AJ7221" s="410"/>
    </row>
    <row r="7222" spans="33:36" ht="11.25" customHeight="1" x14ac:dyDescent="0.2">
      <c r="AG7222" s="19"/>
      <c r="AJ7222" s="410"/>
    </row>
    <row r="7223" spans="33:36" ht="11.25" customHeight="1" x14ac:dyDescent="0.2">
      <c r="AG7223" s="19"/>
      <c r="AJ7223" s="410"/>
    </row>
    <row r="7224" spans="33:36" ht="11.25" customHeight="1" x14ac:dyDescent="0.2">
      <c r="AG7224" s="19"/>
      <c r="AJ7224" s="410"/>
    </row>
    <row r="7225" spans="33:36" ht="11.25" customHeight="1" x14ac:dyDescent="0.2">
      <c r="AG7225" s="19"/>
      <c r="AJ7225" s="410"/>
    </row>
    <row r="7226" spans="33:36" ht="11.25" customHeight="1" x14ac:dyDescent="0.2">
      <c r="AG7226" s="19"/>
      <c r="AJ7226" s="410"/>
    </row>
    <row r="7227" spans="33:36" ht="11.25" customHeight="1" x14ac:dyDescent="0.2">
      <c r="AG7227" s="19"/>
      <c r="AJ7227" s="410"/>
    </row>
    <row r="7228" spans="33:36" ht="11.25" customHeight="1" x14ac:dyDescent="0.2">
      <c r="AG7228" s="19"/>
      <c r="AJ7228" s="410"/>
    </row>
    <row r="7229" spans="33:36" ht="11.25" customHeight="1" x14ac:dyDescent="0.2">
      <c r="AG7229" s="19"/>
      <c r="AJ7229" s="410"/>
    </row>
    <row r="7230" spans="33:36" ht="11.25" customHeight="1" x14ac:dyDescent="0.2">
      <c r="AG7230" s="19"/>
      <c r="AJ7230" s="410"/>
    </row>
    <row r="7231" spans="33:36" ht="11.25" customHeight="1" x14ac:dyDescent="0.2">
      <c r="AG7231" s="19"/>
      <c r="AJ7231" s="410"/>
    </row>
    <row r="7232" spans="33:36" ht="11.25" customHeight="1" x14ac:dyDescent="0.2">
      <c r="AG7232" s="19"/>
      <c r="AJ7232" s="410"/>
    </row>
    <row r="7233" spans="33:36" ht="11.25" customHeight="1" x14ac:dyDescent="0.2">
      <c r="AG7233" s="19"/>
      <c r="AJ7233" s="410"/>
    </row>
    <row r="7234" spans="33:36" ht="11.25" customHeight="1" x14ac:dyDescent="0.2">
      <c r="AG7234" s="19"/>
      <c r="AJ7234" s="410"/>
    </row>
    <row r="7235" spans="33:36" ht="11.25" customHeight="1" x14ac:dyDescent="0.2">
      <c r="AG7235" s="19"/>
      <c r="AJ7235" s="410"/>
    </row>
    <row r="7236" spans="33:36" ht="11.25" customHeight="1" x14ac:dyDescent="0.2">
      <c r="AG7236" s="19"/>
      <c r="AJ7236" s="410"/>
    </row>
    <row r="7237" spans="33:36" ht="11.25" customHeight="1" x14ac:dyDescent="0.2">
      <c r="AG7237" s="19"/>
      <c r="AJ7237" s="410"/>
    </row>
    <row r="7238" spans="33:36" ht="11.25" customHeight="1" x14ac:dyDescent="0.2">
      <c r="AG7238" s="19"/>
      <c r="AJ7238" s="410"/>
    </row>
    <row r="7239" spans="33:36" ht="11.25" customHeight="1" x14ac:dyDescent="0.2">
      <c r="AG7239" s="19"/>
      <c r="AJ7239" s="410"/>
    </row>
    <row r="7240" spans="33:36" ht="11.25" customHeight="1" x14ac:dyDescent="0.2">
      <c r="AG7240" s="19"/>
      <c r="AJ7240" s="410"/>
    </row>
    <row r="7241" spans="33:36" ht="11.25" customHeight="1" x14ac:dyDescent="0.2">
      <c r="AG7241" s="19"/>
      <c r="AJ7241" s="410"/>
    </row>
    <row r="7242" spans="33:36" ht="11.25" customHeight="1" x14ac:dyDescent="0.2">
      <c r="AG7242" s="19"/>
      <c r="AJ7242" s="410"/>
    </row>
    <row r="7243" spans="33:36" ht="11.25" customHeight="1" x14ac:dyDescent="0.2">
      <c r="AG7243" s="19"/>
      <c r="AJ7243" s="410"/>
    </row>
    <row r="7244" spans="33:36" ht="11.25" customHeight="1" x14ac:dyDescent="0.2">
      <c r="AG7244" s="19"/>
      <c r="AJ7244" s="410"/>
    </row>
    <row r="7245" spans="33:36" ht="11.25" customHeight="1" x14ac:dyDescent="0.2">
      <c r="AG7245" s="19"/>
      <c r="AJ7245" s="410"/>
    </row>
    <row r="7246" spans="33:36" ht="11.25" customHeight="1" x14ac:dyDescent="0.2">
      <c r="AG7246" s="19"/>
      <c r="AJ7246" s="410"/>
    </row>
    <row r="7247" spans="33:36" ht="11.25" customHeight="1" x14ac:dyDescent="0.2">
      <c r="AG7247" s="19"/>
      <c r="AJ7247" s="410"/>
    </row>
    <row r="7248" spans="33:36" ht="11.25" customHeight="1" x14ac:dyDescent="0.2">
      <c r="AG7248" s="19"/>
      <c r="AJ7248" s="410"/>
    </row>
    <row r="7249" spans="33:36" ht="11.25" customHeight="1" x14ac:dyDescent="0.2">
      <c r="AG7249" s="19"/>
      <c r="AJ7249" s="410"/>
    </row>
    <row r="7250" spans="33:36" ht="11.25" customHeight="1" x14ac:dyDescent="0.2">
      <c r="AG7250" s="19"/>
      <c r="AJ7250" s="410"/>
    </row>
    <row r="7251" spans="33:36" ht="11.25" customHeight="1" x14ac:dyDescent="0.2">
      <c r="AG7251" s="19"/>
      <c r="AJ7251" s="410"/>
    </row>
    <row r="7252" spans="33:36" ht="11.25" customHeight="1" x14ac:dyDescent="0.2">
      <c r="AG7252" s="19"/>
      <c r="AJ7252" s="410"/>
    </row>
    <row r="7253" spans="33:36" ht="11.25" customHeight="1" x14ac:dyDescent="0.2">
      <c r="AG7253" s="19"/>
      <c r="AJ7253" s="410"/>
    </row>
    <row r="7254" spans="33:36" ht="11.25" customHeight="1" x14ac:dyDescent="0.2">
      <c r="AG7254" s="19"/>
      <c r="AJ7254" s="410"/>
    </row>
    <row r="7255" spans="33:36" ht="11.25" customHeight="1" x14ac:dyDescent="0.2">
      <c r="AG7255" s="19"/>
      <c r="AJ7255" s="410"/>
    </row>
    <row r="7256" spans="33:36" ht="11.25" customHeight="1" x14ac:dyDescent="0.2">
      <c r="AG7256" s="19"/>
      <c r="AJ7256" s="410"/>
    </row>
    <row r="7257" spans="33:36" ht="11.25" customHeight="1" x14ac:dyDescent="0.2">
      <c r="AG7257" s="19"/>
      <c r="AJ7257" s="410"/>
    </row>
    <row r="7258" spans="33:36" ht="11.25" customHeight="1" x14ac:dyDescent="0.2">
      <c r="AG7258" s="19"/>
      <c r="AJ7258" s="410"/>
    </row>
    <row r="7259" spans="33:36" ht="11.25" customHeight="1" x14ac:dyDescent="0.2">
      <c r="AG7259" s="19"/>
      <c r="AJ7259" s="410"/>
    </row>
    <row r="7260" spans="33:36" ht="11.25" customHeight="1" x14ac:dyDescent="0.2">
      <c r="AG7260" s="19"/>
      <c r="AJ7260" s="410"/>
    </row>
    <row r="7261" spans="33:36" ht="11.25" customHeight="1" x14ac:dyDescent="0.2">
      <c r="AG7261" s="19"/>
      <c r="AJ7261" s="410"/>
    </row>
    <row r="7262" spans="33:36" ht="11.25" customHeight="1" x14ac:dyDescent="0.2">
      <c r="AG7262" s="19"/>
      <c r="AJ7262" s="410"/>
    </row>
    <row r="7263" spans="33:36" ht="11.25" customHeight="1" x14ac:dyDescent="0.2">
      <c r="AG7263" s="19"/>
      <c r="AJ7263" s="410"/>
    </row>
    <row r="7264" spans="33:36" ht="11.25" customHeight="1" x14ac:dyDescent="0.2">
      <c r="AG7264" s="19"/>
      <c r="AJ7264" s="410"/>
    </row>
    <row r="7265" spans="33:36" ht="11.25" customHeight="1" x14ac:dyDescent="0.2">
      <c r="AG7265" s="19"/>
      <c r="AJ7265" s="410"/>
    </row>
    <row r="7266" spans="33:36" ht="11.25" customHeight="1" x14ac:dyDescent="0.2">
      <c r="AG7266" s="19"/>
      <c r="AJ7266" s="410"/>
    </row>
    <row r="7267" spans="33:36" ht="11.25" customHeight="1" x14ac:dyDescent="0.2">
      <c r="AG7267" s="19"/>
      <c r="AJ7267" s="410"/>
    </row>
    <row r="7268" spans="33:36" ht="11.25" customHeight="1" x14ac:dyDescent="0.2">
      <c r="AG7268" s="19"/>
      <c r="AJ7268" s="410"/>
    </row>
    <row r="7269" spans="33:36" ht="11.25" customHeight="1" x14ac:dyDescent="0.2">
      <c r="AG7269" s="19"/>
      <c r="AJ7269" s="410"/>
    </row>
    <row r="7270" spans="33:36" ht="11.25" customHeight="1" x14ac:dyDescent="0.2">
      <c r="AG7270" s="19"/>
      <c r="AJ7270" s="410"/>
    </row>
    <row r="7271" spans="33:36" ht="11.25" customHeight="1" x14ac:dyDescent="0.2">
      <c r="AG7271" s="19"/>
      <c r="AJ7271" s="410"/>
    </row>
    <row r="7272" spans="33:36" ht="11.25" customHeight="1" x14ac:dyDescent="0.2">
      <c r="AG7272" s="19"/>
      <c r="AJ7272" s="410"/>
    </row>
    <row r="7273" spans="33:36" ht="11.25" customHeight="1" x14ac:dyDescent="0.2">
      <c r="AG7273" s="19"/>
      <c r="AJ7273" s="410"/>
    </row>
    <row r="7274" spans="33:36" ht="11.25" customHeight="1" x14ac:dyDescent="0.2">
      <c r="AG7274" s="19"/>
      <c r="AJ7274" s="410"/>
    </row>
    <row r="7275" spans="33:36" ht="11.25" customHeight="1" x14ac:dyDescent="0.2">
      <c r="AG7275" s="19"/>
      <c r="AJ7275" s="410"/>
    </row>
    <row r="7276" spans="33:36" ht="11.25" customHeight="1" x14ac:dyDescent="0.2">
      <c r="AG7276" s="19"/>
      <c r="AJ7276" s="410"/>
    </row>
    <row r="7277" spans="33:36" ht="11.25" customHeight="1" x14ac:dyDescent="0.2">
      <c r="AG7277" s="19"/>
      <c r="AJ7277" s="410"/>
    </row>
    <row r="7278" spans="33:36" ht="11.25" customHeight="1" x14ac:dyDescent="0.2">
      <c r="AG7278" s="19"/>
      <c r="AJ7278" s="410"/>
    </row>
    <row r="7279" spans="33:36" ht="11.25" customHeight="1" x14ac:dyDescent="0.2">
      <c r="AG7279" s="19"/>
      <c r="AJ7279" s="410"/>
    </row>
    <row r="7280" spans="33:36" ht="11.25" customHeight="1" x14ac:dyDescent="0.2">
      <c r="AG7280" s="19"/>
      <c r="AJ7280" s="410"/>
    </row>
    <row r="7281" spans="33:36" ht="11.25" customHeight="1" x14ac:dyDescent="0.2">
      <c r="AG7281" s="19"/>
      <c r="AJ7281" s="410"/>
    </row>
    <row r="7282" spans="33:36" ht="11.25" customHeight="1" x14ac:dyDescent="0.2">
      <c r="AG7282" s="19"/>
      <c r="AJ7282" s="410"/>
    </row>
    <row r="7283" spans="33:36" ht="11.25" customHeight="1" x14ac:dyDescent="0.2">
      <c r="AG7283" s="19"/>
      <c r="AJ7283" s="410"/>
    </row>
    <row r="7284" spans="33:36" ht="11.25" customHeight="1" x14ac:dyDescent="0.2">
      <c r="AG7284" s="19"/>
      <c r="AJ7284" s="410"/>
    </row>
    <row r="7285" spans="33:36" ht="11.25" customHeight="1" x14ac:dyDescent="0.2">
      <c r="AG7285" s="19"/>
      <c r="AJ7285" s="410"/>
    </row>
    <row r="7286" spans="33:36" ht="11.25" customHeight="1" x14ac:dyDescent="0.2">
      <c r="AG7286" s="19"/>
      <c r="AJ7286" s="410"/>
    </row>
    <row r="7287" spans="33:36" ht="11.25" customHeight="1" x14ac:dyDescent="0.2">
      <c r="AG7287" s="19"/>
      <c r="AJ7287" s="410"/>
    </row>
    <row r="7288" spans="33:36" ht="11.25" customHeight="1" x14ac:dyDescent="0.2">
      <c r="AG7288" s="19"/>
      <c r="AJ7288" s="410"/>
    </row>
    <row r="7289" spans="33:36" ht="11.25" customHeight="1" x14ac:dyDescent="0.2">
      <c r="AG7289" s="19"/>
      <c r="AJ7289" s="410"/>
    </row>
    <row r="7290" spans="33:36" ht="11.25" customHeight="1" x14ac:dyDescent="0.2">
      <c r="AG7290" s="19"/>
      <c r="AJ7290" s="410"/>
    </row>
    <row r="7291" spans="33:36" ht="11.25" customHeight="1" x14ac:dyDescent="0.2">
      <c r="AG7291" s="19"/>
      <c r="AJ7291" s="410"/>
    </row>
    <row r="7292" spans="33:36" ht="11.25" customHeight="1" x14ac:dyDescent="0.2">
      <c r="AG7292" s="19"/>
      <c r="AJ7292" s="410"/>
    </row>
    <row r="7293" spans="33:36" ht="11.25" customHeight="1" x14ac:dyDescent="0.2">
      <c r="AG7293" s="19"/>
      <c r="AJ7293" s="410"/>
    </row>
    <row r="7294" spans="33:36" ht="11.25" customHeight="1" x14ac:dyDescent="0.2">
      <c r="AG7294" s="19"/>
      <c r="AJ7294" s="410"/>
    </row>
    <row r="7295" spans="33:36" ht="11.25" customHeight="1" x14ac:dyDescent="0.2">
      <c r="AG7295" s="19"/>
      <c r="AJ7295" s="410"/>
    </row>
    <row r="7296" spans="33:36" ht="11.25" customHeight="1" x14ac:dyDescent="0.2">
      <c r="AG7296" s="19"/>
      <c r="AJ7296" s="410"/>
    </row>
    <row r="7297" spans="33:36" ht="11.25" customHeight="1" x14ac:dyDescent="0.2">
      <c r="AG7297" s="19"/>
      <c r="AJ7297" s="410"/>
    </row>
    <row r="7298" spans="33:36" ht="11.25" customHeight="1" x14ac:dyDescent="0.2">
      <c r="AG7298" s="19"/>
      <c r="AJ7298" s="410"/>
    </row>
    <row r="7299" spans="33:36" ht="11.25" customHeight="1" x14ac:dyDescent="0.2">
      <c r="AG7299" s="19"/>
      <c r="AJ7299" s="410"/>
    </row>
    <row r="7300" spans="33:36" ht="11.25" customHeight="1" x14ac:dyDescent="0.2">
      <c r="AG7300" s="19"/>
      <c r="AJ7300" s="410"/>
    </row>
    <row r="7301" spans="33:36" ht="11.25" customHeight="1" x14ac:dyDescent="0.2">
      <c r="AG7301" s="19"/>
      <c r="AJ7301" s="410"/>
    </row>
    <row r="7302" spans="33:36" ht="11.25" customHeight="1" x14ac:dyDescent="0.2">
      <c r="AG7302" s="19"/>
      <c r="AJ7302" s="410"/>
    </row>
    <row r="7303" spans="33:36" ht="11.25" customHeight="1" x14ac:dyDescent="0.2">
      <c r="AG7303" s="19"/>
      <c r="AJ7303" s="410"/>
    </row>
    <row r="7304" spans="33:36" ht="11.25" customHeight="1" x14ac:dyDescent="0.2">
      <c r="AG7304" s="19"/>
      <c r="AJ7304" s="410"/>
    </row>
    <row r="7305" spans="33:36" ht="11.25" customHeight="1" x14ac:dyDescent="0.2">
      <c r="AG7305" s="19"/>
      <c r="AJ7305" s="410"/>
    </row>
    <row r="7306" spans="33:36" ht="11.25" customHeight="1" x14ac:dyDescent="0.2">
      <c r="AG7306" s="19"/>
      <c r="AJ7306" s="410"/>
    </row>
    <row r="7307" spans="33:36" ht="11.25" customHeight="1" x14ac:dyDescent="0.2">
      <c r="AG7307" s="19"/>
      <c r="AJ7307" s="410"/>
    </row>
    <row r="7308" spans="33:36" ht="11.25" customHeight="1" x14ac:dyDescent="0.2">
      <c r="AG7308" s="19"/>
      <c r="AJ7308" s="410"/>
    </row>
    <row r="7309" spans="33:36" ht="11.25" customHeight="1" x14ac:dyDescent="0.2">
      <c r="AG7309" s="19"/>
      <c r="AJ7309" s="410"/>
    </row>
    <row r="7310" spans="33:36" ht="11.25" customHeight="1" x14ac:dyDescent="0.2">
      <c r="AG7310" s="19"/>
      <c r="AJ7310" s="410"/>
    </row>
    <row r="7311" spans="33:36" ht="11.25" customHeight="1" x14ac:dyDescent="0.2">
      <c r="AG7311" s="19"/>
      <c r="AJ7311" s="410"/>
    </row>
    <row r="7312" spans="33:36" ht="11.25" customHeight="1" x14ac:dyDescent="0.2">
      <c r="AG7312" s="19"/>
      <c r="AJ7312" s="410"/>
    </row>
    <row r="7313" spans="33:36" ht="11.25" customHeight="1" x14ac:dyDescent="0.2">
      <c r="AG7313" s="19"/>
      <c r="AJ7313" s="410"/>
    </row>
    <row r="7314" spans="33:36" ht="11.25" customHeight="1" x14ac:dyDescent="0.2">
      <c r="AG7314" s="19"/>
      <c r="AJ7314" s="410"/>
    </row>
    <row r="7315" spans="33:36" ht="11.25" customHeight="1" x14ac:dyDescent="0.2">
      <c r="AG7315" s="19"/>
      <c r="AJ7315" s="410"/>
    </row>
    <row r="7316" spans="33:36" ht="11.25" customHeight="1" x14ac:dyDescent="0.2">
      <c r="AG7316" s="19"/>
      <c r="AJ7316" s="410"/>
    </row>
    <row r="7317" spans="33:36" ht="11.25" customHeight="1" x14ac:dyDescent="0.2">
      <c r="AG7317" s="19"/>
      <c r="AJ7317" s="410"/>
    </row>
    <row r="7318" spans="33:36" ht="11.25" customHeight="1" x14ac:dyDescent="0.2">
      <c r="AG7318" s="19"/>
      <c r="AJ7318" s="410"/>
    </row>
    <row r="7319" spans="33:36" ht="11.25" customHeight="1" x14ac:dyDescent="0.2">
      <c r="AG7319" s="19"/>
      <c r="AJ7319" s="410"/>
    </row>
    <row r="7320" spans="33:36" ht="11.25" customHeight="1" x14ac:dyDescent="0.2">
      <c r="AG7320" s="19"/>
      <c r="AJ7320" s="410"/>
    </row>
    <row r="7321" spans="33:36" ht="11.25" customHeight="1" x14ac:dyDescent="0.2">
      <c r="AG7321" s="19"/>
      <c r="AJ7321" s="410"/>
    </row>
    <row r="7322" spans="33:36" ht="11.25" customHeight="1" x14ac:dyDescent="0.2">
      <c r="AG7322" s="19"/>
      <c r="AJ7322" s="410"/>
    </row>
    <row r="7323" spans="33:36" ht="11.25" customHeight="1" x14ac:dyDescent="0.2">
      <c r="AG7323" s="19"/>
      <c r="AJ7323" s="410"/>
    </row>
    <row r="7324" spans="33:36" ht="11.25" customHeight="1" x14ac:dyDescent="0.2">
      <c r="AG7324" s="19"/>
      <c r="AJ7324" s="410"/>
    </row>
    <row r="7325" spans="33:36" ht="11.25" customHeight="1" x14ac:dyDescent="0.2">
      <c r="AG7325" s="19"/>
      <c r="AJ7325" s="410"/>
    </row>
    <row r="7326" spans="33:36" ht="11.25" customHeight="1" x14ac:dyDescent="0.2">
      <c r="AG7326" s="19"/>
      <c r="AJ7326" s="410"/>
    </row>
    <row r="7327" spans="33:36" ht="11.25" customHeight="1" x14ac:dyDescent="0.2">
      <c r="AG7327" s="19"/>
      <c r="AJ7327" s="410"/>
    </row>
    <row r="7328" spans="33:36" ht="11.25" customHeight="1" x14ac:dyDescent="0.2">
      <c r="AG7328" s="19"/>
      <c r="AJ7328" s="410"/>
    </row>
    <row r="7329" spans="33:36" ht="11.25" customHeight="1" x14ac:dyDescent="0.2">
      <c r="AG7329" s="19"/>
      <c r="AJ7329" s="410"/>
    </row>
    <row r="7330" spans="33:36" ht="11.25" customHeight="1" x14ac:dyDescent="0.2">
      <c r="AG7330" s="19"/>
      <c r="AJ7330" s="410"/>
    </row>
    <row r="7331" spans="33:36" ht="11.25" customHeight="1" x14ac:dyDescent="0.2">
      <c r="AG7331" s="19"/>
      <c r="AJ7331" s="410"/>
    </row>
    <row r="7332" spans="33:36" ht="11.25" customHeight="1" x14ac:dyDescent="0.2">
      <c r="AG7332" s="19"/>
      <c r="AJ7332" s="410"/>
    </row>
    <row r="7333" spans="33:36" ht="11.25" customHeight="1" x14ac:dyDescent="0.2">
      <c r="AG7333" s="19"/>
      <c r="AJ7333" s="410"/>
    </row>
    <row r="7334" spans="33:36" ht="11.25" customHeight="1" x14ac:dyDescent="0.2">
      <c r="AG7334" s="19"/>
      <c r="AJ7334" s="410"/>
    </row>
    <row r="7335" spans="33:36" ht="11.25" customHeight="1" x14ac:dyDescent="0.2">
      <c r="AG7335" s="19"/>
      <c r="AJ7335" s="410"/>
    </row>
    <row r="7336" spans="33:36" ht="11.25" customHeight="1" x14ac:dyDescent="0.2">
      <c r="AG7336" s="19"/>
      <c r="AJ7336" s="410"/>
    </row>
    <row r="7337" spans="33:36" ht="11.25" customHeight="1" x14ac:dyDescent="0.2">
      <c r="AG7337" s="19"/>
      <c r="AJ7337" s="410"/>
    </row>
    <row r="7338" spans="33:36" ht="11.25" customHeight="1" x14ac:dyDescent="0.2">
      <c r="AG7338" s="19"/>
      <c r="AJ7338" s="410"/>
    </row>
    <row r="7339" spans="33:36" ht="11.25" customHeight="1" x14ac:dyDescent="0.2">
      <c r="AG7339" s="19"/>
      <c r="AJ7339" s="410"/>
    </row>
    <row r="7340" spans="33:36" ht="11.25" customHeight="1" x14ac:dyDescent="0.2">
      <c r="AG7340" s="19"/>
      <c r="AJ7340" s="410"/>
    </row>
    <row r="7341" spans="33:36" ht="11.25" customHeight="1" x14ac:dyDescent="0.2">
      <c r="AG7341" s="19"/>
      <c r="AJ7341" s="410"/>
    </row>
    <row r="7342" spans="33:36" ht="11.25" customHeight="1" x14ac:dyDescent="0.2">
      <c r="AG7342" s="19"/>
      <c r="AJ7342" s="410"/>
    </row>
    <row r="7343" spans="33:36" ht="11.25" customHeight="1" x14ac:dyDescent="0.2">
      <c r="AG7343" s="19"/>
      <c r="AJ7343" s="410"/>
    </row>
    <row r="7344" spans="33:36" ht="11.25" customHeight="1" x14ac:dyDescent="0.2">
      <c r="AG7344" s="19"/>
      <c r="AJ7344" s="410"/>
    </row>
    <row r="7345" spans="33:36" ht="11.25" customHeight="1" x14ac:dyDescent="0.2">
      <c r="AG7345" s="19"/>
      <c r="AJ7345" s="410"/>
    </row>
    <row r="7346" spans="33:36" ht="11.25" customHeight="1" x14ac:dyDescent="0.2">
      <c r="AG7346" s="19"/>
      <c r="AJ7346" s="410"/>
    </row>
    <row r="7347" spans="33:36" ht="11.25" customHeight="1" x14ac:dyDescent="0.2">
      <c r="AG7347" s="19"/>
      <c r="AJ7347" s="410"/>
    </row>
    <row r="7348" spans="33:36" ht="11.25" customHeight="1" x14ac:dyDescent="0.2">
      <c r="AG7348" s="19"/>
      <c r="AJ7348" s="410"/>
    </row>
    <row r="7349" spans="33:36" ht="11.25" customHeight="1" x14ac:dyDescent="0.2">
      <c r="AG7349" s="19"/>
      <c r="AJ7349" s="410"/>
    </row>
    <row r="7350" spans="33:36" ht="11.25" customHeight="1" x14ac:dyDescent="0.2">
      <c r="AG7350" s="19"/>
      <c r="AJ7350" s="410"/>
    </row>
    <row r="7351" spans="33:36" ht="11.25" customHeight="1" x14ac:dyDescent="0.2">
      <c r="AG7351" s="19"/>
      <c r="AJ7351" s="410"/>
    </row>
    <row r="7352" spans="33:36" ht="11.25" customHeight="1" x14ac:dyDescent="0.2">
      <c r="AG7352" s="19"/>
      <c r="AJ7352" s="410"/>
    </row>
    <row r="7353" spans="33:36" ht="11.25" customHeight="1" x14ac:dyDescent="0.2">
      <c r="AG7353" s="19"/>
      <c r="AJ7353" s="410"/>
    </row>
    <row r="7354" spans="33:36" ht="11.25" customHeight="1" x14ac:dyDescent="0.2">
      <c r="AG7354" s="19"/>
      <c r="AJ7354" s="410"/>
    </row>
    <row r="7355" spans="33:36" ht="11.25" customHeight="1" x14ac:dyDescent="0.2">
      <c r="AG7355" s="19"/>
      <c r="AJ7355" s="410"/>
    </row>
    <row r="7356" spans="33:36" ht="11.25" customHeight="1" x14ac:dyDescent="0.2">
      <c r="AG7356" s="19"/>
      <c r="AJ7356" s="410"/>
    </row>
    <row r="7357" spans="33:36" ht="11.25" customHeight="1" x14ac:dyDescent="0.2">
      <c r="AG7357" s="19"/>
      <c r="AJ7357" s="410"/>
    </row>
    <row r="7358" spans="33:36" ht="11.25" customHeight="1" x14ac:dyDescent="0.2">
      <c r="AG7358" s="19"/>
      <c r="AJ7358" s="410"/>
    </row>
    <row r="7359" spans="33:36" ht="11.25" customHeight="1" x14ac:dyDescent="0.2">
      <c r="AG7359" s="19"/>
      <c r="AJ7359" s="410"/>
    </row>
    <row r="7360" spans="33:36" ht="11.25" customHeight="1" x14ac:dyDescent="0.2">
      <c r="AG7360" s="19"/>
      <c r="AJ7360" s="410"/>
    </row>
    <row r="7361" spans="33:36" ht="11.25" customHeight="1" x14ac:dyDescent="0.2">
      <c r="AG7361" s="19"/>
      <c r="AJ7361" s="410"/>
    </row>
    <row r="7362" spans="33:36" ht="11.25" customHeight="1" x14ac:dyDescent="0.2">
      <c r="AG7362" s="19"/>
      <c r="AJ7362" s="410"/>
    </row>
    <row r="7363" spans="33:36" ht="11.25" customHeight="1" x14ac:dyDescent="0.2">
      <c r="AG7363" s="19"/>
      <c r="AJ7363" s="410"/>
    </row>
    <row r="7364" spans="33:36" ht="11.25" customHeight="1" x14ac:dyDescent="0.2">
      <c r="AG7364" s="19"/>
      <c r="AJ7364" s="410"/>
    </row>
    <row r="7365" spans="33:36" ht="11.25" customHeight="1" x14ac:dyDescent="0.2">
      <c r="AG7365" s="19"/>
      <c r="AJ7365" s="410"/>
    </row>
    <row r="7366" spans="33:36" ht="11.25" customHeight="1" x14ac:dyDescent="0.2">
      <c r="AG7366" s="19"/>
      <c r="AJ7366" s="410"/>
    </row>
    <row r="7367" spans="33:36" ht="11.25" customHeight="1" x14ac:dyDescent="0.2">
      <c r="AG7367" s="19"/>
      <c r="AJ7367" s="410"/>
    </row>
    <row r="7368" spans="33:36" ht="11.25" customHeight="1" x14ac:dyDescent="0.2">
      <c r="AG7368" s="19"/>
      <c r="AJ7368" s="410"/>
    </row>
    <row r="7369" spans="33:36" ht="11.25" customHeight="1" x14ac:dyDescent="0.2">
      <c r="AG7369" s="19"/>
      <c r="AJ7369" s="410"/>
    </row>
    <row r="7370" spans="33:36" ht="11.25" customHeight="1" x14ac:dyDescent="0.2">
      <c r="AG7370" s="19"/>
      <c r="AJ7370" s="410"/>
    </row>
    <row r="7371" spans="33:36" ht="11.25" customHeight="1" x14ac:dyDescent="0.2">
      <c r="AG7371" s="19"/>
      <c r="AJ7371" s="410"/>
    </row>
    <row r="7372" spans="33:36" ht="11.25" customHeight="1" x14ac:dyDescent="0.2">
      <c r="AG7372" s="19"/>
      <c r="AJ7372" s="410"/>
    </row>
    <row r="7373" spans="33:36" ht="11.25" customHeight="1" x14ac:dyDescent="0.2">
      <c r="AG7373" s="19"/>
      <c r="AJ7373" s="410"/>
    </row>
    <row r="7374" spans="33:36" ht="11.25" customHeight="1" x14ac:dyDescent="0.2">
      <c r="AG7374" s="19"/>
      <c r="AJ7374" s="410"/>
    </row>
    <row r="7375" spans="33:36" ht="11.25" customHeight="1" x14ac:dyDescent="0.2">
      <c r="AG7375" s="19"/>
      <c r="AJ7375" s="410"/>
    </row>
    <row r="7376" spans="33:36" ht="11.25" customHeight="1" x14ac:dyDescent="0.2">
      <c r="AG7376" s="19"/>
      <c r="AJ7376" s="410"/>
    </row>
    <row r="7377" spans="33:36" ht="11.25" customHeight="1" x14ac:dyDescent="0.2">
      <c r="AG7377" s="19"/>
      <c r="AJ7377" s="410"/>
    </row>
    <row r="7378" spans="33:36" ht="11.25" customHeight="1" x14ac:dyDescent="0.2">
      <c r="AG7378" s="19"/>
      <c r="AJ7378" s="410"/>
    </row>
    <row r="7379" spans="33:36" ht="11.25" customHeight="1" x14ac:dyDescent="0.2">
      <c r="AG7379" s="19"/>
      <c r="AJ7379" s="410"/>
    </row>
    <row r="7380" spans="33:36" ht="11.25" customHeight="1" x14ac:dyDescent="0.2">
      <c r="AG7380" s="19"/>
      <c r="AJ7380" s="410"/>
    </row>
    <row r="7381" spans="33:36" ht="11.25" customHeight="1" x14ac:dyDescent="0.2">
      <c r="AG7381" s="19"/>
      <c r="AJ7381" s="410"/>
    </row>
    <row r="7382" spans="33:36" ht="11.25" customHeight="1" x14ac:dyDescent="0.2">
      <c r="AG7382" s="19"/>
      <c r="AJ7382" s="410"/>
    </row>
    <row r="7383" spans="33:36" ht="11.25" customHeight="1" x14ac:dyDescent="0.2">
      <c r="AG7383" s="19"/>
      <c r="AJ7383" s="410"/>
    </row>
    <row r="7384" spans="33:36" ht="11.25" customHeight="1" x14ac:dyDescent="0.2">
      <c r="AG7384" s="19"/>
      <c r="AJ7384" s="410"/>
    </row>
    <row r="7385" spans="33:36" ht="11.25" customHeight="1" x14ac:dyDescent="0.2">
      <c r="AG7385" s="19"/>
      <c r="AJ7385" s="410"/>
    </row>
    <row r="7386" spans="33:36" ht="11.25" customHeight="1" x14ac:dyDescent="0.2">
      <c r="AG7386" s="19"/>
      <c r="AJ7386" s="410"/>
    </row>
    <row r="7387" spans="33:36" ht="11.25" customHeight="1" x14ac:dyDescent="0.2">
      <c r="AG7387" s="19"/>
      <c r="AJ7387" s="410"/>
    </row>
    <row r="7388" spans="33:36" ht="11.25" customHeight="1" x14ac:dyDescent="0.2">
      <c r="AG7388" s="19"/>
      <c r="AJ7388" s="410"/>
    </row>
    <row r="7389" spans="33:36" ht="11.25" customHeight="1" x14ac:dyDescent="0.2">
      <c r="AG7389" s="19"/>
      <c r="AJ7389" s="410"/>
    </row>
    <row r="7390" spans="33:36" ht="11.25" customHeight="1" x14ac:dyDescent="0.2">
      <c r="AG7390" s="19"/>
      <c r="AJ7390" s="410"/>
    </row>
    <row r="7391" spans="33:36" ht="11.25" customHeight="1" x14ac:dyDescent="0.2">
      <c r="AG7391" s="19"/>
      <c r="AJ7391" s="410"/>
    </row>
    <row r="7392" spans="33:36" ht="11.25" customHeight="1" x14ac:dyDescent="0.2">
      <c r="AG7392" s="19"/>
      <c r="AJ7392" s="410"/>
    </row>
    <row r="7393" spans="33:36" ht="11.25" customHeight="1" x14ac:dyDescent="0.2">
      <c r="AG7393" s="19"/>
      <c r="AJ7393" s="410"/>
    </row>
    <row r="7394" spans="33:36" ht="11.25" customHeight="1" x14ac:dyDescent="0.2">
      <c r="AG7394" s="19"/>
      <c r="AJ7394" s="410"/>
    </row>
    <row r="7395" spans="33:36" ht="11.25" customHeight="1" x14ac:dyDescent="0.2">
      <c r="AG7395" s="19"/>
      <c r="AJ7395" s="410"/>
    </row>
    <row r="7396" spans="33:36" ht="11.25" customHeight="1" x14ac:dyDescent="0.2">
      <c r="AG7396" s="19"/>
      <c r="AJ7396" s="410"/>
    </row>
    <row r="7397" spans="33:36" ht="11.25" customHeight="1" x14ac:dyDescent="0.2">
      <c r="AG7397" s="19"/>
      <c r="AJ7397" s="410"/>
    </row>
    <row r="7398" spans="33:36" ht="11.25" customHeight="1" x14ac:dyDescent="0.2">
      <c r="AG7398" s="19"/>
      <c r="AJ7398" s="410"/>
    </row>
    <row r="7399" spans="33:36" ht="11.25" customHeight="1" x14ac:dyDescent="0.2">
      <c r="AG7399" s="19"/>
      <c r="AJ7399" s="410"/>
    </row>
    <row r="7400" spans="33:36" ht="11.25" customHeight="1" x14ac:dyDescent="0.2">
      <c r="AG7400" s="19"/>
      <c r="AJ7400" s="410"/>
    </row>
    <row r="7401" spans="33:36" ht="11.25" customHeight="1" x14ac:dyDescent="0.2">
      <c r="AG7401" s="19"/>
      <c r="AJ7401" s="410"/>
    </row>
    <row r="7402" spans="33:36" ht="11.25" customHeight="1" x14ac:dyDescent="0.2">
      <c r="AG7402" s="19"/>
      <c r="AJ7402" s="410"/>
    </row>
    <row r="7403" spans="33:36" ht="11.25" customHeight="1" x14ac:dyDescent="0.2">
      <c r="AG7403" s="19"/>
      <c r="AJ7403" s="410"/>
    </row>
    <row r="7404" spans="33:36" ht="11.25" customHeight="1" x14ac:dyDescent="0.2">
      <c r="AG7404" s="19"/>
      <c r="AJ7404" s="410"/>
    </row>
    <row r="7405" spans="33:36" ht="11.25" customHeight="1" x14ac:dyDescent="0.2">
      <c r="AG7405" s="19"/>
      <c r="AJ7405" s="410"/>
    </row>
    <row r="7406" spans="33:36" ht="11.25" customHeight="1" x14ac:dyDescent="0.2">
      <c r="AG7406" s="19"/>
      <c r="AJ7406" s="410"/>
    </row>
    <row r="7407" spans="33:36" ht="11.25" customHeight="1" x14ac:dyDescent="0.2">
      <c r="AG7407" s="19"/>
      <c r="AJ7407" s="410"/>
    </row>
    <row r="7408" spans="33:36" ht="11.25" customHeight="1" x14ac:dyDescent="0.2">
      <c r="AG7408" s="19"/>
      <c r="AJ7408" s="410"/>
    </row>
    <row r="7409" spans="33:36" ht="11.25" customHeight="1" x14ac:dyDescent="0.2">
      <c r="AG7409" s="19"/>
      <c r="AJ7409" s="410"/>
    </row>
    <row r="7410" spans="33:36" ht="11.25" customHeight="1" x14ac:dyDescent="0.2">
      <c r="AG7410" s="19"/>
      <c r="AJ7410" s="410"/>
    </row>
    <row r="7411" spans="33:36" ht="11.25" customHeight="1" x14ac:dyDescent="0.2">
      <c r="AG7411" s="19"/>
      <c r="AJ7411" s="410"/>
    </row>
    <row r="7412" spans="33:36" ht="11.25" customHeight="1" x14ac:dyDescent="0.2">
      <c r="AG7412" s="19"/>
      <c r="AJ7412" s="410"/>
    </row>
    <row r="7413" spans="33:36" ht="11.25" customHeight="1" x14ac:dyDescent="0.2">
      <c r="AG7413" s="19"/>
      <c r="AJ7413" s="410"/>
    </row>
    <row r="7414" spans="33:36" ht="11.25" customHeight="1" x14ac:dyDescent="0.2">
      <c r="AG7414" s="19"/>
      <c r="AJ7414" s="410"/>
    </row>
    <row r="7415" spans="33:36" ht="11.25" customHeight="1" x14ac:dyDescent="0.2">
      <c r="AG7415" s="19"/>
      <c r="AJ7415" s="410"/>
    </row>
    <row r="7416" spans="33:36" ht="11.25" customHeight="1" x14ac:dyDescent="0.2">
      <c r="AG7416" s="19"/>
      <c r="AJ7416" s="410"/>
    </row>
    <row r="7417" spans="33:36" ht="11.25" customHeight="1" x14ac:dyDescent="0.2">
      <c r="AG7417" s="19"/>
      <c r="AJ7417" s="410"/>
    </row>
    <row r="7418" spans="33:36" ht="11.25" customHeight="1" x14ac:dyDescent="0.2">
      <c r="AG7418" s="19"/>
      <c r="AJ7418" s="410"/>
    </row>
    <row r="7419" spans="33:36" ht="11.25" customHeight="1" x14ac:dyDescent="0.2">
      <c r="AG7419" s="19"/>
      <c r="AJ7419" s="410"/>
    </row>
    <row r="7420" spans="33:36" ht="11.25" customHeight="1" x14ac:dyDescent="0.2">
      <c r="AG7420" s="19"/>
      <c r="AJ7420" s="410"/>
    </row>
    <row r="7421" spans="33:36" ht="11.25" customHeight="1" x14ac:dyDescent="0.2">
      <c r="AG7421" s="19"/>
      <c r="AJ7421" s="410"/>
    </row>
    <row r="7422" spans="33:36" ht="11.25" customHeight="1" x14ac:dyDescent="0.2">
      <c r="AG7422" s="19"/>
      <c r="AJ7422" s="410"/>
    </row>
    <row r="7423" spans="33:36" ht="11.25" customHeight="1" x14ac:dyDescent="0.2">
      <c r="AG7423" s="19"/>
      <c r="AJ7423" s="410"/>
    </row>
    <row r="7424" spans="33:36" ht="11.25" customHeight="1" x14ac:dyDescent="0.2">
      <c r="AG7424" s="19"/>
      <c r="AJ7424" s="410"/>
    </row>
    <row r="7425" spans="33:36" ht="11.25" customHeight="1" x14ac:dyDescent="0.2">
      <c r="AG7425" s="19"/>
      <c r="AJ7425" s="410"/>
    </row>
    <row r="7426" spans="33:36" ht="11.25" customHeight="1" x14ac:dyDescent="0.2">
      <c r="AG7426" s="19"/>
      <c r="AJ7426" s="410"/>
    </row>
    <row r="7427" spans="33:36" ht="11.25" customHeight="1" x14ac:dyDescent="0.2">
      <c r="AG7427" s="19"/>
      <c r="AJ7427" s="410"/>
    </row>
    <row r="7428" spans="33:36" ht="11.25" customHeight="1" x14ac:dyDescent="0.2">
      <c r="AG7428" s="19"/>
      <c r="AJ7428" s="410"/>
    </row>
    <row r="7429" spans="33:36" ht="11.25" customHeight="1" x14ac:dyDescent="0.2">
      <c r="AG7429" s="19"/>
      <c r="AJ7429" s="410"/>
    </row>
    <row r="7430" spans="33:36" ht="11.25" customHeight="1" x14ac:dyDescent="0.2">
      <c r="AG7430" s="19"/>
      <c r="AJ7430" s="410"/>
    </row>
    <row r="7431" spans="33:36" ht="11.25" customHeight="1" x14ac:dyDescent="0.2">
      <c r="AG7431" s="19"/>
      <c r="AJ7431" s="410"/>
    </row>
    <row r="7432" spans="33:36" ht="11.25" customHeight="1" x14ac:dyDescent="0.2">
      <c r="AG7432" s="19"/>
      <c r="AJ7432" s="410"/>
    </row>
    <row r="7433" spans="33:36" ht="11.25" customHeight="1" x14ac:dyDescent="0.2">
      <c r="AG7433" s="19"/>
      <c r="AJ7433" s="410"/>
    </row>
    <row r="7434" spans="33:36" ht="11.25" customHeight="1" x14ac:dyDescent="0.2">
      <c r="AG7434" s="19"/>
      <c r="AJ7434" s="410"/>
    </row>
    <row r="7435" spans="33:36" ht="11.25" customHeight="1" x14ac:dyDescent="0.2">
      <c r="AG7435" s="19"/>
      <c r="AJ7435" s="410"/>
    </row>
    <row r="7436" spans="33:36" ht="11.25" customHeight="1" x14ac:dyDescent="0.2">
      <c r="AG7436" s="19"/>
      <c r="AJ7436" s="410"/>
    </row>
    <row r="7437" spans="33:36" ht="11.25" customHeight="1" x14ac:dyDescent="0.2">
      <c r="AG7437" s="19"/>
      <c r="AJ7437" s="410"/>
    </row>
    <row r="7438" spans="33:36" ht="11.25" customHeight="1" x14ac:dyDescent="0.2">
      <c r="AG7438" s="19"/>
      <c r="AJ7438" s="410"/>
    </row>
    <row r="7439" spans="33:36" ht="11.25" customHeight="1" x14ac:dyDescent="0.2">
      <c r="AG7439" s="19"/>
      <c r="AJ7439" s="410"/>
    </row>
    <row r="7440" spans="33:36" ht="11.25" customHeight="1" x14ac:dyDescent="0.2">
      <c r="AG7440" s="19"/>
      <c r="AJ7440" s="410"/>
    </row>
    <row r="7441" spans="33:36" ht="11.25" customHeight="1" x14ac:dyDescent="0.2">
      <c r="AG7441" s="19"/>
      <c r="AJ7441" s="410"/>
    </row>
    <row r="7442" spans="33:36" ht="11.25" customHeight="1" x14ac:dyDescent="0.2">
      <c r="AG7442" s="19"/>
      <c r="AJ7442" s="410"/>
    </row>
    <row r="7443" spans="33:36" ht="11.25" customHeight="1" x14ac:dyDescent="0.2">
      <c r="AG7443" s="19"/>
      <c r="AJ7443" s="410"/>
    </row>
    <row r="7444" spans="33:36" ht="11.25" customHeight="1" x14ac:dyDescent="0.2">
      <c r="AG7444" s="19"/>
      <c r="AJ7444" s="410"/>
    </row>
    <row r="7445" spans="33:36" ht="11.25" customHeight="1" x14ac:dyDescent="0.2">
      <c r="AG7445" s="19"/>
      <c r="AJ7445" s="410"/>
    </row>
    <row r="7446" spans="33:36" ht="11.25" customHeight="1" x14ac:dyDescent="0.2">
      <c r="AG7446" s="19"/>
      <c r="AJ7446" s="410"/>
    </row>
    <row r="7447" spans="33:36" ht="11.25" customHeight="1" x14ac:dyDescent="0.2">
      <c r="AG7447" s="19"/>
      <c r="AJ7447" s="410"/>
    </row>
    <row r="7448" spans="33:36" ht="11.25" customHeight="1" x14ac:dyDescent="0.2">
      <c r="AG7448" s="19"/>
      <c r="AJ7448" s="410"/>
    </row>
    <row r="7449" spans="33:36" ht="11.25" customHeight="1" x14ac:dyDescent="0.2">
      <c r="AG7449" s="19"/>
      <c r="AJ7449" s="410"/>
    </row>
    <row r="7450" spans="33:36" ht="11.25" customHeight="1" x14ac:dyDescent="0.2">
      <c r="AG7450" s="19"/>
      <c r="AJ7450" s="410"/>
    </row>
    <row r="7451" spans="33:36" ht="11.25" customHeight="1" x14ac:dyDescent="0.2">
      <c r="AG7451" s="19"/>
      <c r="AJ7451" s="410"/>
    </row>
    <row r="7452" spans="33:36" ht="11.25" customHeight="1" x14ac:dyDescent="0.2">
      <c r="AG7452" s="19"/>
      <c r="AJ7452" s="410"/>
    </row>
    <row r="7453" spans="33:36" ht="11.25" customHeight="1" x14ac:dyDescent="0.2">
      <c r="AG7453" s="19"/>
      <c r="AJ7453" s="410"/>
    </row>
    <row r="7454" spans="33:36" ht="11.25" customHeight="1" x14ac:dyDescent="0.2">
      <c r="AG7454" s="19"/>
      <c r="AJ7454" s="410"/>
    </row>
    <row r="7455" spans="33:36" ht="11.25" customHeight="1" x14ac:dyDescent="0.2">
      <c r="AG7455" s="19"/>
      <c r="AJ7455" s="410"/>
    </row>
    <row r="7456" spans="33:36" ht="11.25" customHeight="1" x14ac:dyDescent="0.2">
      <c r="AG7456" s="19"/>
      <c r="AJ7456" s="410"/>
    </row>
    <row r="7457" spans="33:36" ht="11.25" customHeight="1" x14ac:dyDescent="0.2">
      <c r="AG7457" s="19"/>
      <c r="AJ7457" s="410"/>
    </row>
    <row r="7458" spans="33:36" ht="11.25" customHeight="1" x14ac:dyDescent="0.2">
      <c r="AG7458" s="19"/>
      <c r="AJ7458" s="410"/>
    </row>
    <row r="7459" spans="33:36" ht="11.25" customHeight="1" x14ac:dyDescent="0.2">
      <c r="AG7459" s="19"/>
      <c r="AJ7459" s="410"/>
    </row>
    <row r="7460" spans="33:36" ht="11.25" customHeight="1" x14ac:dyDescent="0.2">
      <c r="AG7460" s="19"/>
      <c r="AJ7460" s="410"/>
    </row>
    <row r="7461" spans="33:36" ht="11.25" customHeight="1" x14ac:dyDescent="0.2">
      <c r="AG7461" s="19"/>
      <c r="AJ7461" s="410"/>
    </row>
    <row r="7462" spans="33:36" ht="11.25" customHeight="1" x14ac:dyDescent="0.2">
      <c r="AG7462" s="19"/>
      <c r="AJ7462" s="410"/>
    </row>
    <row r="7463" spans="33:36" ht="11.25" customHeight="1" x14ac:dyDescent="0.2">
      <c r="AG7463" s="19"/>
      <c r="AJ7463" s="410"/>
    </row>
    <row r="7464" spans="33:36" ht="11.25" customHeight="1" x14ac:dyDescent="0.2">
      <c r="AG7464" s="19"/>
      <c r="AJ7464" s="410"/>
    </row>
    <row r="7465" spans="33:36" ht="11.25" customHeight="1" x14ac:dyDescent="0.2">
      <c r="AG7465" s="19"/>
      <c r="AJ7465" s="410"/>
    </row>
    <row r="7466" spans="33:36" ht="11.25" customHeight="1" x14ac:dyDescent="0.2">
      <c r="AG7466" s="19"/>
      <c r="AJ7466" s="410"/>
    </row>
    <row r="7467" spans="33:36" ht="11.25" customHeight="1" x14ac:dyDescent="0.2">
      <c r="AG7467" s="19"/>
      <c r="AJ7467" s="410"/>
    </row>
    <row r="7468" spans="33:36" ht="11.25" customHeight="1" x14ac:dyDescent="0.2">
      <c r="AG7468" s="19"/>
      <c r="AJ7468" s="410"/>
    </row>
    <row r="7469" spans="33:36" ht="11.25" customHeight="1" x14ac:dyDescent="0.2">
      <c r="AG7469" s="19"/>
      <c r="AJ7469" s="410"/>
    </row>
    <row r="7470" spans="33:36" ht="11.25" customHeight="1" x14ac:dyDescent="0.2">
      <c r="AG7470" s="19"/>
      <c r="AJ7470" s="410"/>
    </row>
    <row r="7471" spans="33:36" ht="11.25" customHeight="1" x14ac:dyDescent="0.2">
      <c r="AG7471" s="19"/>
      <c r="AJ7471" s="410"/>
    </row>
    <row r="7472" spans="33:36" ht="11.25" customHeight="1" x14ac:dyDescent="0.2">
      <c r="AG7472" s="19"/>
      <c r="AJ7472" s="410"/>
    </row>
    <row r="7473" spans="33:36" ht="11.25" customHeight="1" x14ac:dyDescent="0.2">
      <c r="AG7473" s="19"/>
      <c r="AJ7473" s="410"/>
    </row>
    <row r="7474" spans="33:36" ht="11.25" customHeight="1" x14ac:dyDescent="0.2">
      <c r="AG7474" s="19"/>
      <c r="AJ7474" s="410"/>
    </row>
    <row r="7475" spans="33:36" ht="11.25" customHeight="1" x14ac:dyDescent="0.2">
      <c r="AG7475" s="19"/>
      <c r="AJ7475" s="410"/>
    </row>
    <row r="7476" spans="33:36" ht="11.25" customHeight="1" x14ac:dyDescent="0.2">
      <c r="AG7476" s="19"/>
      <c r="AJ7476" s="410"/>
    </row>
    <row r="7477" spans="33:36" ht="11.25" customHeight="1" x14ac:dyDescent="0.2">
      <c r="AG7477" s="19"/>
      <c r="AJ7477" s="410"/>
    </row>
    <row r="7478" spans="33:36" ht="11.25" customHeight="1" x14ac:dyDescent="0.2">
      <c r="AG7478" s="19"/>
      <c r="AJ7478" s="410"/>
    </row>
    <row r="7479" spans="33:36" ht="11.25" customHeight="1" x14ac:dyDescent="0.2">
      <c r="AG7479" s="19"/>
      <c r="AJ7479" s="410"/>
    </row>
    <row r="7480" spans="33:36" ht="11.25" customHeight="1" x14ac:dyDescent="0.2">
      <c r="AG7480" s="19"/>
      <c r="AJ7480" s="410"/>
    </row>
    <row r="7481" spans="33:36" ht="11.25" customHeight="1" x14ac:dyDescent="0.2">
      <c r="AG7481" s="19"/>
      <c r="AJ7481" s="410"/>
    </row>
    <row r="7482" spans="33:36" ht="11.25" customHeight="1" x14ac:dyDescent="0.2">
      <c r="AG7482" s="19"/>
      <c r="AJ7482" s="410"/>
    </row>
    <row r="7483" spans="33:36" ht="11.25" customHeight="1" x14ac:dyDescent="0.2">
      <c r="AG7483" s="19"/>
      <c r="AJ7483" s="410"/>
    </row>
    <row r="7484" spans="33:36" ht="11.25" customHeight="1" x14ac:dyDescent="0.2">
      <c r="AG7484" s="19"/>
      <c r="AJ7484" s="410"/>
    </row>
    <row r="7485" spans="33:36" ht="11.25" customHeight="1" x14ac:dyDescent="0.2">
      <c r="AG7485" s="19"/>
      <c r="AJ7485" s="410"/>
    </row>
    <row r="7486" spans="33:36" ht="11.25" customHeight="1" x14ac:dyDescent="0.2">
      <c r="AG7486" s="19"/>
      <c r="AJ7486" s="410"/>
    </row>
    <row r="7487" spans="33:36" ht="11.25" customHeight="1" x14ac:dyDescent="0.2">
      <c r="AG7487" s="19"/>
      <c r="AJ7487" s="410"/>
    </row>
    <row r="7488" spans="33:36" ht="11.25" customHeight="1" x14ac:dyDescent="0.2">
      <c r="AG7488" s="19"/>
      <c r="AJ7488" s="410"/>
    </row>
    <row r="7489" spans="33:36" ht="11.25" customHeight="1" x14ac:dyDescent="0.2">
      <c r="AG7489" s="19"/>
      <c r="AJ7489" s="410"/>
    </row>
    <row r="7490" spans="33:36" ht="11.25" customHeight="1" x14ac:dyDescent="0.2">
      <c r="AG7490" s="19"/>
      <c r="AJ7490" s="410"/>
    </row>
    <row r="7491" spans="33:36" ht="11.25" customHeight="1" x14ac:dyDescent="0.2">
      <c r="AG7491" s="19"/>
      <c r="AJ7491" s="410"/>
    </row>
    <row r="7492" spans="33:36" ht="11.25" customHeight="1" x14ac:dyDescent="0.2">
      <c r="AG7492" s="19"/>
      <c r="AJ7492" s="410"/>
    </row>
    <row r="7493" spans="33:36" ht="11.25" customHeight="1" x14ac:dyDescent="0.2">
      <c r="AG7493" s="19"/>
      <c r="AJ7493" s="410"/>
    </row>
    <row r="7494" spans="33:36" ht="11.25" customHeight="1" x14ac:dyDescent="0.2">
      <c r="AG7494" s="19"/>
      <c r="AJ7494" s="410"/>
    </row>
    <row r="7495" spans="33:36" ht="11.25" customHeight="1" x14ac:dyDescent="0.2">
      <c r="AG7495" s="19"/>
      <c r="AJ7495" s="410"/>
    </row>
    <row r="7496" spans="33:36" ht="11.25" customHeight="1" x14ac:dyDescent="0.2">
      <c r="AG7496" s="19"/>
      <c r="AJ7496" s="410"/>
    </row>
    <row r="7497" spans="33:36" ht="11.25" customHeight="1" x14ac:dyDescent="0.2">
      <c r="AG7497" s="19"/>
      <c r="AJ7497" s="410"/>
    </row>
    <row r="7498" spans="33:36" ht="11.25" customHeight="1" x14ac:dyDescent="0.2">
      <c r="AG7498" s="19"/>
      <c r="AJ7498" s="410"/>
    </row>
    <row r="7499" spans="33:36" ht="11.25" customHeight="1" x14ac:dyDescent="0.2">
      <c r="AG7499" s="19"/>
      <c r="AJ7499" s="410"/>
    </row>
    <row r="7500" spans="33:36" ht="11.25" customHeight="1" x14ac:dyDescent="0.2">
      <c r="AG7500" s="19"/>
      <c r="AJ7500" s="410"/>
    </row>
    <row r="7501" spans="33:36" ht="11.25" customHeight="1" x14ac:dyDescent="0.2">
      <c r="AG7501" s="19"/>
      <c r="AJ7501" s="410"/>
    </row>
    <row r="7502" spans="33:36" ht="11.25" customHeight="1" x14ac:dyDescent="0.2">
      <c r="AG7502" s="19"/>
      <c r="AJ7502" s="410"/>
    </row>
    <row r="7503" spans="33:36" ht="11.25" customHeight="1" x14ac:dyDescent="0.2">
      <c r="AG7503" s="19"/>
      <c r="AJ7503" s="410"/>
    </row>
    <row r="7504" spans="33:36" ht="11.25" customHeight="1" x14ac:dyDescent="0.2">
      <c r="AG7504" s="19"/>
      <c r="AJ7504" s="410"/>
    </row>
    <row r="7505" spans="33:36" ht="11.25" customHeight="1" x14ac:dyDescent="0.2">
      <c r="AG7505" s="19"/>
      <c r="AJ7505" s="410"/>
    </row>
    <row r="7506" spans="33:36" ht="11.25" customHeight="1" x14ac:dyDescent="0.2">
      <c r="AG7506" s="19"/>
      <c r="AJ7506" s="410"/>
    </row>
    <row r="7507" spans="33:36" ht="11.25" customHeight="1" x14ac:dyDescent="0.2">
      <c r="AG7507" s="19"/>
      <c r="AJ7507" s="410"/>
    </row>
    <row r="7508" spans="33:36" ht="11.25" customHeight="1" x14ac:dyDescent="0.2">
      <c r="AG7508" s="19"/>
      <c r="AJ7508" s="410"/>
    </row>
    <row r="7509" spans="33:36" ht="11.25" customHeight="1" x14ac:dyDescent="0.2">
      <c r="AG7509" s="19"/>
      <c r="AJ7509" s="410"/>
    </row>
    <row r="7510" spans="33:36" ht="11.25" customHeight="1" x14ac:dyDescent="0.2">
      <c r="AG7510" s="19"/>
      <c r="AJ7510" s="410"/>
    </row>
    <row r="7511" spans="33:36" ht="11.25" customHeight="1" x14ac:dyDescent="0.2">
      <c r="AG7511" s="19"/>
      <c r="AJ7511" s="410"/>
    </row>
    <row r="7512" spans="33:36" ht="11.25" customHeight="1" x14ac:dyDescent="0.2">
      <c r="AG7512" s="19"/>
      <c r="AJ7512" s="410"/>
    </row>
    <row r="7513" spans="33:36" ht="11.25" customHeight="1" x14ac:dyDescent="0.2">
      <c r="AG7513" s="19"/>
      <c r="AJ7513" s="410"/>
    </row>
    <row r="7514" spans="33:36" ht="11.25" customHeight="1" x14ac:dyDescent="0.2">
      <c r="AG7514" s="19"/>
      <c r="AJ7514" s="410"/>
    </row>
    <row r="7515" spans="33:36" ht="11.25" customHeight="1" x14ac:dyDescent="0.2">
      <c r="AG7515" s="19"/>
      <c r="AJ7515" s="410"/>
    </row>
    <row r="7516" spans="33:36" ht="11.25" customHeight="1" x14ac:dyDescent="0.2">
      <c r="AG7516" s="19"/>
      <c r="AJ7516" s="410"/>
    </row>
    <row r="7517" spans="33:36" ht="11.25" customHeight="1" x14ac:dyDescent="0.2">
      <c r="AG7517" s="19"/>
      <c r="AJ7517" s="410"/>
    </row>
    <row r="7518" spans="33:36" ht="11.25" customHeight="1" x14ac:dyDescent="0.2">
      <c r="AG7518" s="19"/>
      <c r="AJ7518" s="410"/>
    </row>
    <row r="7519" spans="33:36" ht="11.25" customHeight="1" x14ac:dyDescent="0.2">
      <c r="AG7519" s="19"/>
      <c r="AJ7519" s="410"/>
    </row>
    <row r="7520" spans="33:36" ht="11.25" customHeight="1" x14ac:dyDescent="0.2">
      <c r="AG7520" s="19"/>
      <c r="AJ7520" s="410"/>
    </row>
    <row r="7521" spans="33:36" ht="11.25" customHeight="1" x14ac:dyDescent="0.2">
      <c r="AG7521" s="19"/>
      <c r="AJ7521" s="410"/>
    </row>
    <row r="7522" spans="33:36" ht="11.25" customHeight="1" x14ac:dyDescent="0.2">
      <c r="AG7522" s="19"/>
      <c r="AJ7522" s="410"/>
    </row>
    <row r="7523" spans="33:36" ht="11.25" customHeight="1" x14ac:dyDescent="0.2">
      <c r="AG7523" s="19"/>
      <c r="AJ7523" s="410"/>
    </row>
    <row r="7524" spans="33:36" ht="11.25" customHeight="1" x14ac:dyDescent="0.2">
      <c r="AG7524" s="19"/>
      <c r="AJ7524" s="410"/>
    </row>
    <row r="7525" spans="33:36" ht="11.25" customHeight="1" x14ac:dyDescent="0.2">
      <c r="AG7525" s="19"/>
      <c r="AJ7525" s="410"/>
    </row>
    <row r="7526" spans="33:36" ht="11.25" customHeight="1" x14ac:dyDescent="0.2">
      <c r="AG7526" s="19"/>
      <c r="AJ7526" s="410"/>
    </row>
    <row r="7527" spans="33:36" ht="11.25" customHeight="1" x14ac:dyDescent="0.2">
      <c r="AG7527" s="19"/>
      <c r="AJ7527" s="410"/>
    </row>
    <row r="7528" spans="33:36" ht="11.25" customHeight="1" x14ac:dyDescent="0.2">
      <c r="AG7528" s="19"/>
      <c r="AJ7528" s="410"/>
    </row>
    <row r="7529" spans="33:36" ht="11.25" customHeight="1" x14ac:dyDescent="0.2">
      <c r="AG7529" s="19"/>
      <c r="AJ7529" s="410"/>
    </row>
    <row r="7530" spans="33:36" ht="11.25" customHeight="1" x14ac:dyDescent="0.2">
      <c r="AG7530" s="19"/>
      <c r="AJ7530" s="410"/>
    </row>
    <row r="7531" spans="33:36" ht="11.25" customHeight="1" x14ac:dyDescent="0.2">
      <c r="AG7531" s="19"/>
      <c r="AJ7531" s="410"/>
    </row>
    <row r="7532" spans="33:36" ht="11.25" customHeight="1" x14ac:dyDescent="0.2">
      <c r="AG7532" s="19"/>
      <c r="AJ7532" s="410"/>
    </row>
    <row r="7533" spans="33:36" ht="11.25" customHeight="1" x14ac:dyDescent="0.2">
      <c r="AG7533" s="19"/>
      <c r="AJ7533" s="410"/>
    </row>
    <row r="7534" spans="33:36" ht="11.25" customHeight="1" x14ac:dyDescent="0.2">
      <c r="AG7534" s="19"/>
      <c r="AJ7534" s="410"/>
    </row>
    <row r="7535" spans="33:36" ht="11.25" customHeight="1" x14ac:dyDescent="0.2">
      <c r="AG7535" s="19"/>
      <c r="AJ7535" s="410"/>
    </row>
    <row r="7536" spans="33:36" ht="11.25" customHeight="1" x14ac:dyDescent="0.2">
      <c r="AG7536" s="19"/>
      <c r="AJ7536" s="410"/>
    </row>
    <row r="7537" spans="33:36" ht="11.25" customHeight="1" x14ac:dyDescent="0.2">
      <c r="AG7537" s="19"/>
      <c r="AJ7537" s="410"/>
    </row>
    <row r="7538" spans="33:36" ht="11.25" customHeight="1" x14ac:dyDescent="0.2">
      <c r="AG7538" s="19"/>
      <c r="AJ7538" s="410"/>
    </row>
    <row r="7539" spans="33:36" ht="11.25" customHeight="1" x14ac:dyDescent="0.2">
      <c r="AG7539" s="19"/>
      <c r="AJ7539" s="410"/>
    </row>
    <row r="7540" spans="33:36" ht="11.25" customHeight="1" x14ac:dyDescent="0.2">
      <c r="AG7540" s="19"/>
      <c r="AJ7540" s="410"/>
    </row>
    <row r="7541" spans="33:36" ht="11.25" customHeight="1" x14ac:dyDescent="0.2">
      <c r="AG7541" s="19"/>
      <c r="AJ7541" s="410"/>
    </row>
    <row r="7542" spans="33:36" ht="11.25" customHeight="1" x14ac:dyDescent="0.2">
      <c r="AG7542" s="19"/>
      <c r="AJ7542" s="410"/>
    </row>
    <row r="7543" spans="33:36" ht="11.25" customHeight="1" x14ac:dyDescent="0.2">
      <c r="AG7543" s="19"/>
      <c r="AJ7543" s="410"/>
    </row>
    <row r="7544" spans="33:36" ht="11.25" customHeight="1" x14ac:dyDescent="0.2">
      <c r="AG7544" s="19"/>
      <c r="AJ7544" s="410"/>
    </row>
    <row r="7545" spans="33:36" ht="11.25" customHeight="1" x14ac:dyDescent="0.2">
      <c r="AG7545" s="19"/>
      <c r="AJ7545" s="410"/>
    </row>
    <row r="7546" spans="33:36" ht="11.25" customHeight="1" x14ac:dyDescent="0.2">
      <c r="AG7546" s="19"/>
      <c r="AJ7546" s="410"/>
    </row>
    <row r="7547" spans="33:36" ht="11.25" customHeight="1" x14ac:dyDescent="0.2">
      <c r="AG7547" s="19"/>
      <c r="AJ7547" s="410"/>
    </row>
    <row r="7548" spans="33:36" ht="11.25" customHeight="1" x14ac:dyDescent="0.2">
      <c r="AG7548" s="19"/>
      <c r="AJ7548" s="410"/>
    </row>
    <row r="7549" spans="33:36" ht="11.25" customHeight="1" x14ac:dyDescent="0.2">
      <c r="AG7549" s="19"/>
      <c r="AJ7549" s="410"/>
    </row>
    <row r="7550" spans="33:36" ht="11.25" customHeight="1" x14ac:dyDescent="0.2">
      <c r="AG7550" s="19"/>
      <c r="AJ7550" s="410"/>
    </row>
    <row r="7551" spans="33:36" ht="11.25" customHeight="1" x14ac:dyDescent="0.2">
      <c r="AG7551" s="19"/>
      <c r="AJ7551" s="410"/>
    </row>
    <row r="7552" spans="33:36" ht="11.25" customHeight="1" x14ac:dyDescent="0.2">
      <c r="AG7552" s="19"/>
      <c r="AJ7552" s="410"/>
    </row>
    <row r="7553" spans="33:36" ht="11.25" customHeight="1" x14ac:dyDescent="0.2">
      <c r="AG7553" s="19"/>
      <c r="AJ7553" s="410"/>
    </row>
    <row r="7554" spans="33:36" ht="11.25" customHeight="1" x14ac:dyDescent="0.2">
      <c r="AG7554" s="19"/>
      <c r="AJ7554" s="410"/>
    </row>
    <row r="7555" spans="33:36" ht="11.25" customHeight="1" x14ac:dyDescent="0.2">
      <c r="AG7555" s="19"/>
      <c r="AJ7555" s="410"/>
    </row>
    <row r="7556" spans="33:36" ht="11.25" customHeight="1" x14ac:dyDescent="0.2">
      <c r="AG7556" s="19"/>
      <c r="AJ7556" s="410"/>
    </row>
    <row r="7557" spans="33:36" ht="11.25" customHeight="1" x14ac:dyDescent="0.2">
      <c r="AG7557" s="19"/>
      <c r="AJ7557" s="410"/>
    </row>
    <row r="7558" spans="33:36" ht="11.25" customHeight="1" x14ac:dyDescent="0.2">
      <c r="AG7558" s="19"/>
      <c r="AJ7558" s="410"/>
    </row>
    <row r="7559" spans="33:36" ht="11.25" customHeight="1" x14ac:dyDescent="0.2">
      <c r="AG7559" s="19"/>
      <c r="AJ7559" s="410"/>
    </row>
    <row r="7560" spans="33:36" ht="11.25" customHeight="1" x14ac:dyDescent="0.2">
      <c r="AG7560" s="19"/>
      <c r="AJ7560" s="410"/>
    </row>
    <row r="7561" spans="33:36" ht="11.25" customHeight="1" x14ac:dyDescent="0.2">
      <c r="AG7561" s="19"/>
      <c r="AJ7561" s="410"/>
    </row>
    <row r="7562" spans="33:36" ht="11.25" customHeight="1" x14ac:dyDescent="0.2">
      <c r="AG7562" s="19"/>
      <c r="AJ7562" s="410"/>
    </row>
    <row r="7563" spans="33:36" ht="11.25" customHeight="1" x14ac:dyDescent="0.2">
      <c r="AG7563" s="19"/>
      <c r="AJ7563" s="410"/>
    </row>
    <row r="7564" spans="33:36" ht="11.25" customHeight="1" x14ac:dyDescent="0.2">
      <c r="AG7564" s="19"/>
      <c r="AJ7564" s="410"/>
    </row>
    <row r="7565" spans="33:36" ht="11.25" customHeight="1" x14ac:dyDescent="0.2">
      <c r="AG7565" s="19"/>
      <c r="AJ7565" s="410"/>
    </row>
    <row r="7566" spans="33:36" ht="11.25" customHeight="1" x14ac:dyDescent="0.2">
      <c r="AG7566" s="19"/>
      <c r="AJ7566" s="410"/>
    </row>
    <row r="7567" spans="33:36" ht="11.25" customHeight="1" x14ac:dyDescent="0.2">
      <c r="AG7567" s="19"/>
      <c r="AJ7567" s="410"/>
    </row>
    <row r="7568" spans="33:36" ht="11.25" customHeight="1" x14ac:dyDescent="0.2">
      <c r="AG7568" s="19"/>
      <c r="AJ7568" s="410"/>
    </row>
    <row r="7569" spans="33:36" ht="11.25" customHeight="1" x14ac:dyDescent="0.2">
      <c r="AG7569" s="19"/>
      <c r="AJ7569" s="410"/>
    </row>
    <row r="7570" spans="33:36" ht="11.25" customHeight="1" x14ac:dyDescent="0.2">
      <c r="AG7570" s="19"/>
      <c r="AJ7570" s="410"/>
    </row>
    <row r="7571" spans="33:36" ht="11.25" customHeight="1" x14ac:dyDescent="0.2">
      <c r="AG7571" s="19"/>
      <c r="AJ7571" s="410"/>
    </row>
    <row r="7572" spans="33:36" ht="11.25" customHeight="1" x14ac:dyDescent="0.2">
      <c r="AG7572" s="19"/>
      <c r="AJ7572" s="410"/>
    </row>
    <row r="7573" spans="33:36" ht="11.25" customHeight="1" x14ac:dyDescent="0.2">
      <c r="AG7573" s="19"/>
      <c r="AJ7573" s="410"/>
    </row>
    <row r="7574" spans="33:36" ht="11.25" customHeight="1" x14ac:dyDescent="0.2">
      <c r="AG7574" s="19"/>
      <c r="AJ7574" s="410"/>
    </row>
    <row r="7575" spans="33:36" ht="11.25" customHeight="1" x14ac:dyDescent="0.2">
      <c r="AG7575" s="19"/>
      <c r="AJ7575" s="410"/>
    </row>
    <row r="7576" spans="33:36" ht="11.25" customHeight="1" x14ac:dyDescent="0.2">
      <c r="AG7576" s="19"/>
      <c r="AJ7576" s="410"/>
    </row>
    <row r="7577" spans="33:36" ht="11.25" customHeight="1" x14ac:dyDescent="0.2">
      <c r="AG7577" s="19"/>
      <c r="AJ7577" s="410"/>
    </row>
    <row r="7578" spans="33:36" ht="11.25" customHeight="1" x14ac:dyDescent="0.2">
      <c r="AG7578" s="19"/>
      <c r="AJ7578" s="410"/>
    </row>
    <row r="7579" spans="33:36" ht="11.25" customHeight="1" x14ac:dyDescent="0.2">
      <c r="AG7579" s="19"/>
      <c r="AJ7579" s="410"/>
    </row>
    <row r="7580" spans="33:36" ht="11.25" customHeight="1" x14ac:dyDescent="0.2">
      <c r="AG7580" s="19"/>
      <c r="AJ7580" s="410"/>
    </row>
    <row r="7581" spans="33:36" ht="11.25" customHeight="1" x14ac:dyDescent="0.2">
      <c r="AG7581" s="19"/>
      <c r="AJ7581" s="410"/>
    </row>
    <row r="7582" spans="33:36" ht="11.25" customHeight="1" x14ac:dyDescent="0.2">
      <c r="AG7582" s="19"/>
      <c r="AJ7582" s="410"/>
    </row>
    <row r="7583" spans="33:36" ht="11.25" customHeight="1" x14ac:dyDescent="0.2">
      <c r="AG7583" s="19"/>
      <c r="AJ7583" s="410"/>
    </row>
    <row r="7584" spans="33:36" ht="11.25" customHeight="1" x14ac:dyDescent="0.2">
      <c r="AG7584" s="19"/>
      <c r="AJ7584" s="410"/>
    </row>
    <row r="7585" spans="33:36" ht="11.25" customHeight="1" x14ac:dyDescent="0.2">
      <c r="AG7585" s="19"/>
      <c r="AJ7585" s="410"/>
    </row>
    <row r="7586" spans="33:36" ht="11.25" customHeight="1" x14ac:dyDescent="0.2">
      <c r="AG7586" s="19"/>
      <c r="AJ7586" s="410"/>
    </row>
    <row r="7587" spans="33:36" ht="11.25" customHeight="1" x14ac:dyDescent="0.2">
      <c r="AG7587" s="19"/>
      <c r="AJ7587" s="410"/>
    </row>
    <row r="7588" spans="33:36" ht="11.25" customHeight="1" x14ac:dyDescent="0.2">
      <c r="AG7588" s="19"/>
      <c r="AJ7588" s="410"/>
    </row>
    <row r="7589" spans="33:36" ht="11.25" customHeight="1" x14ac:dyDescent="0.2">
      <c r="AG7589" s="19"/>
      <c r="AJ7589" s="410"/>
    </row>
    <row r="7590" spans="33:36" ht="11.25" customHeight="1" x14ac:dyDescent="0.2">
      <c r="AG7590" s="19"/>
      <c r="AJ7590" s="410"/>
    </row>
    <row r="7591" spans="33:36" ht="11.25" customHeight="1" x14ac:dyDescent="0.2">
      <c r="AG7591" s="19"/>
      <c r="AJ7591" s="410"/>
    </row>
    <row r="7592" spans="33:36" ht="11.25" customHeight="1" x14ac:dyDescent="0.2">
      <c r="AG7592" s="19"/>
      <c r="AJ7592" s="410"/>
    </row>
    <row r="7593" spans="33:36" ht="11.25" customHeight="1" x14ac:dyDescent="0.2">
      <c r="AG7593" s="19"/>
      <c r="AJ7593" s="410"/>
    </row>
    <row r="7594" spans="33:36" ht="11.25" customHeight="1" x14ac:dyDescent="0.2">
      <c r="AG7594" s="19"/>
      <c r="AJ7594" s="410"/>
    </row>
    <row r="7595" spans="33:36" ht="11.25" customHeight="1" x14ac:dyDescent="0.2">
      <c r="AG7595" s="19"/>
      <c r="AJ7595" s="410"/>
    </row>
    <row r="7596" spans="33:36" ht="11.25" customHeight="1" x14ac:dyDescent="0.2">
      <c r="AG7596" s="19"/>
      <c r="AJ7596" s="410"/>
    </row>
    <row r="7597" spans="33:36" ht="11.25" customHeight="1" x14ac:dyDescent="0.2">
      <c r="AG7597" s="19"/>
      <c r="AJ7597" s="410"/>
    </row>
    <row r="7598" spans="33:36" ht="11.25" customHeight="1" x14ac:dyDescent="0.2">
      <c r="AG7598" s="19"/>
      <c r="AJ7598" s="410"/>
    </row>
    <row r="7599" spans="33:36" ht="11.25" customHeight="1" x14ac:dyDescent="0.2">
      <c r="AG7599" s="19"/>
      <c r="AJ7599" s="410"/>
    </row>
    <row r="7600" spans="33:36" ht="11.25" customHeight="1" x14ac:dyDescent="0.2">
      <c r="AG7600" s="19"/>
      <c r="AJ7600" s="410"/>
    </row>
    <row r="7601" spans="33:36" ht="11.25" customHeight="1" x14ac:dyDescent="0.2">
      <c r="AG7601" s="19"/>
      <c r="AJ7601" s="410"/>
    </row>
    <row r="7602" spans="33:36" ht="11.25" customHeight="1" x14ac:dyDescent="0.2">
      <c r="AG7602" s="19"/>
      <c r="AJ7602" s="410"/>
    </row>
    <row r="7603" spans="33:36" ht="11.25" customHeight="1" x14ac:dyDescent="0.2">
      <c r="AG7603" s="19"/>
      <c r="AJ7603" s="410"/>
    </row>
    <row r="7604" spans="33:36" ht="11.25" customHeight="1" x14ac:dyDescent="0.2">
      <c r="AG7604" s="19"/>
      <c r="AJ7604" s="410"/>
    </row>
    <row r="7605" spans="33:36" ht="11.25" customHeight="1" x14ac:dyDescent="0.2">
      <c r="AG7605" s="19"/>
      <c r="AJ7605" s="410"/>
    </row>
    <row r="7606" spans="33:36" ht="11.25" customHeight="1" x14ac:dyDescent="0.2">
      <c r="AG7606" s="19"/>
      <c r="AJ7606" s="410"/>
    </row>
    <row r="7607" spans="33:36" ht="11.25" customHeight="1" x14ac:dyDescent="0.2">
      <c r="AG7607" s="19"/>
      <c r="AJ7607" s="410"/>
    </row>
    <row r="7608" spans="33:36" ht="11.25" customHeight="1" x14ac:dyDescent="0.2">
      <c r="AG7608" s="19"/>
      <c r="AJ7608" s="410"/>
    </row>
    <row r="7609" spans="33:36" ht="11.25" customHeight="1" x14ac:dyDescent="0.2">
      <c r="AG7609" s="19"/>
      <c r="AJ7609" s="410"/>
    </row>
    <row r="7610" spans="33:36" ht="11.25" customHeight="1" x14ac:dyDescent="0.2">
      <c r="AG7610" s="19"/>
      <c r="AJ7610" s="410"/>
    </row>
    <row r="7611" spans="33:36" ht="11.25" customHeight="1" x14ac:dyDescent="0.2">
      <c r="AG7611" s="19"/>
      <c r="AJ7611" s="410"/>
    </row>
    <row r="7612" spans="33:36" ht="11.25" customHeight="1" x14ac:dyDescent="0.2">
      <c r="AG7612" s="19"/>
      <c r="AJ7612" s="410"/>
    </row>
    <row r="7613" spans="33:36" ht="11.25" customHeight="1" x14ac:dyDescent="0.2">
      <c r="AG7613" s="19"/>
      <c r="AJ7613" s="410"/>
    </row>
    <row r="7614" spans="33:36" ht="11.25" customHeight="1" x14ac:dyDescent="0.2">
      <c r="AG7614" s="19"/>
      <c r="AJ7614" s="410"/>
    </row>
    <row r="7615" spans="33:36" ht="11.25" customHeight="1" x14ac:dyDescent="0.2">
      <c r="AG7615" s="19"/>
      <c r="AJ7615" s="410"/>
    </row>
    <row r="7616" spans="33:36" ht="11.25" customHeight="1" x14ac:dyDescent="0.2">
      <c r="AG7616" s="19"/>
      <c r="AJ7616" s="410"/>
    </row>
    <row r="7617" spans="33:36" ht="11.25" customHeight="1" x14ac:dyDescent="0.2">
      <c r="AG7617" s="19"/>
      <c r="AJ7617" s="410"/>
    </row>
    <row r="7618" spans="33:36" ht="11.25" customHeight="1" x14ac:dyDescent="0.2">
      <c r="AG7618" s="19"/>
      <c r="AJ7618" s="410"/>
    </row>
    <row r="7619" spans="33:36" ht="11.25" customHeight="1" x14ac:dyDescent="0.2">
      <c r="AG7619" s="19"/>
      <c r="AJ7619" s="410"/>
    </row>
    <row r="7620" spans="33:36" ht="11.25" customHeight="1" x14ac:dyDescent="0.2">
      <c r="AG7620" s="19"/>
      <c r="AJ7620" s="410"/>
    </row>
    <row r="7621" spans="33:36" ht="11.25" customHeight="1" x14ac:dyDescent="0.2">
      <c r="AG7621" s="19"/>
      <c r="AJ7621" s="410"/>
    </row>
    <row r="7622" spans="33:36" ht="11.25" customHeight="1" x14ac:dyDescent="0.2">
      <c r="AG7622" s="19"/>
      <c r="AJ7622" s="410"/>
    </row>
    <row r="7623" spans="33:36" ht="11.25" customHeight="1" x14ac:dyDescent="0.2">
      <c r="AG7623" s="19"/>
      <c r="AJ7623" s="410"/>
    </row>
    <row r="7624" spans="33:36" ht="11.25" customHeight="1" x14ac:dyDescent="0.2">
      <c r="AG7624" s="19"/>
      <c r="AJ7624" s="410"/>
    </row>
    <row r="7625" spans="33:36" ht="11.25" customHeight="1" x14ac:dyDescent="0.2">
      <c r="AG7625" s="19"/>
      <c r="AJ7625" s="410"/>
    </row>
    <row r="7626" spans="33:36" ht="11.25" customHeight="1" x14ac:dyDescent="0.2">
      <c r="AG7626" s="19"/>
      <c r="AJ7626" s="410"/>
    </row>
    <row r="7627" spans="33:36" ht="11.25" customHeight="1" x14ac:dyDescent="0.2">
      <c r="AG7627" s="19"/>
      <c r="AJ7627" s="410"/>
    </row>
    <row r="7628" spans="33:36" ht="11.25" customHeight="1" x14ac:dyDescent="0.2">
      <c r="AG7628" s="19"/>
      <c r="AJ7628" s="410"/>
    </row>
    <row r="7629" spans="33:36" ht="11.25" customHeight="1" x14ac:dyDescent="0.2">
      <c r="AG7629" s="19"/>
      <c r="AJ7629" s="410"/>
    </row>
    <row r="7630" spans="33:36" ht="11.25" customHeight="1" x14ac:dyDescent="0.2">
      <c r="AG7630" s="19"/>
      <c r="AJ7630" s="410"/>
    </row>
    <row r="7631" spans="33:36" ht="11.25" customHeight="1" x14ac:dyDescent="0.2">
      <c r="AG7631" s="19"/>
      <c r="AJ7631" s="410"/>
    </row>
    <row r="7632" spans="33:36" ht="11.25" customHeight="1" x14ac:dyDescent="0.2">
      <c r="AG7632" s="19"/>
      <c r="AJ7632" s="410"/>
    </row>
    <row r="7633" spans="33:36" ht="11.25" customHeight="1" x14ac:dyDescent="0.2">
      <c r="AG7633" s="19"/>
      <c r="AJ7633" s="410"/>
    </row>
    <row r="7634" spans="33:36" ht="11.25" customHeight="1" x14ac:dyDescent="0.2">
      <c r="AG7634" s="19"/>
      <c r="AJ7634" s="410"/>
    </row>
    <row r="7635" spans="33:36" ht="11.25" customHeight="1" x14ac:dyDescent="0.2">
      <c r="AG7635" s="19"/>
      <c r="AJ7635" s="410"/>
    </row>
    <row r="7636" spans="33:36" ht="11.25" customHeight="1" x14ac:dyDescent="0.2">
      <c r="AG7636" s="19"/>
      <c r="AJ7636" s="410"/>
    </row>
    <row r="7637" spans="33:36" ht="11.25" customHeight="1" x14ac:dyDescent="0.2">
      <c r="AG7637" s="19"/>
      <c r="AJ7637" s="410"/>
    </row>
    <row r="7638" spans="33:36" ht="11.25" customHeight="1" x14ac:dyDescent="0.2">
      <c r="AG7638" s="19"/>
      <c r="AJ7638" s="410"/>
    </row>
    <row r="7639" spans="33:36" ht="11.25" customHeight="1" x14ac:dyDescent="0.2">
      <c r="AG7639" s="19"/>
      <c r="AJ7639" s="410"/>
    </row>
    <row r="7640" spans="33:36" ht="11.25" customHeight="1" x14ac:dyDescent="0.2">
      <c r="AG7640" s="19"/>
      <c r="AJ7640" s="410"/>
    </row>
    <row r="7641" spans="33:36" ht="11.25" customHeight="1" x14ac:dyDescent="0.2">
      <c r="AG7641" s="19"/>
      <c r="AJ7641" s="410"/>
    </row>
    <row r="7642" spans="33:36" ht="11.25" customHeight="1" x14ac:dyDescent="0.2">
      <c r="AG7642" s="19"/>
      <c r="AJ7642" s="410"/>
    </row>
    <row r="7643" spans="33:36" ht="11.25" customHeight="1" x14ac:dyDescent="0.2">
      <c r="AG7643" s="19"/>
      <c r="AJ7643" s="410"/>
    </row>
    <row r="7644" spans="33:36" ht="11.25" customHeight="1" x14ac:dyDescent="0.2">
      <c r="AG7644" s="19"/>
      <c r="AJ7644" s="410"/>
    </row>
    <row r="7645" spans="33:36" ht="11.25" customHeight="1" x14ac:dyDescent="0.2">
      <c r="AG7645" s="19"/>
      <c r="AJ7645" s="410"/>
    </row>
    <row r="7646" spans="33:36" ht="11.25" customHeight="1" x14ac:dyDescent="0.2">
      <c r="AG7646" s="19"/>
      <c r="AJ7646" s="410"/>
    </row>
    <row r="7647" spans="33:36" ht="11.25" customHeight="1" x14ac:dyDescent="0.2">
      <c r="AG7647" s="19"/>
      <c r="AJ7647" s="410"/>
    </row>
    <row r="7648" spans="33:36" ht="11.25" customHeight="1" x14ac:dyDescent="0.2">
      <c r="AG7648" s="19"/>
      <c r="AJ7648" s="410"/>
    </row>
    <row r="7649" spans="33:36" ht="11.25" customHeight="1" x14ac:dyDescent="0.2">
      <c r="AG7649" s="19"/>
      <c r="AJ7649" s="410"/>
    </row>
    <row r="7650" spans="33:36" ht="11.25" customHeight="1" x14ac:dyDescent="0.2">
      <c r="AG7650" s="19"/>
      <c r="AJ7650" s="410"/>
    </row>
    <row r="7651" spans="33:36" ht="11.25" customHeight="1" x14ac:dyDescent="0.2">
      <c r="AG7651" s="19"/>
      <c r="AJ7651" s="410"/>
    </row>
    <row r="7652" spans="33:36" ht="11.25" customHeight="1" x14ac:dyDescent="0.2">
      <c r="AG7652" s="19"/>
      <c r="AJ7652" s="410"/>
    </row>
    <row r="7653" spans="33:36" ht="11.25" customHeight="1" x14ac:dyDescent="0.2">
      <c r="AG7653" s="19"/>
      <c r="AJ7653" s="410"/>
    </row>
    <row r="7654" spans="33:36" ht="11.25" customHeight="1" x14ac:dyDescent="0.2">
      <c r="AG7654" s="19"/>
      <c r="AJ7654" s="410"/>
    </row>
    <row r="7655" spans="33:36" ht="11.25" customHeight="1" x14ac:dyDescent="0.2">
      <c r="AG7655" s="19"/>
      <c r="AJ7655" s="410"/>
    </row>
    <row r="7656" spans="33:36" ht="11.25" customHeight="1" x14ac:dyDescent="0.2">
      <c r="AG7656" s="19"/>
      <c r="AJ7656" s="410"/>
    </row>
    <row r="7657" spans="33:36" ht="11.25" customHeight="1" x14ac:dyDescent="0.2">
      <c r="AG7657" s="19"/>
      <c r="AJ7657" s="410"/>
    </row>
    <row r="7658" spans="33:36" ht="11.25" customHeight="1" x14ac:dyDescent="0.2">
      <c r="AG7658" s="19"/>
      <c r="AJ7658" s="410"/>
    </row>
    <row r="7659" spans="33:36" ht="11.25" customHeight="1" x14ac:dyDescent="0.2">
      <c r="AG7659" s="19"/>
      <c r="AJ7659" s="410"/>
    </row>
    <row r="7660" spans="33:36" ht="11.25" customHeight="1" x14ac:dyDescent="0.2">
      <c r="AG7660" s="19"/>
      <c r="AJ7660" s="410"/>
    </row>
    <row r="7661" spans="33:36" ht="11.25" customHeight="1" x14ac:dyDescent="0.2">
      <c r="AG7661" s="19"/>
      <c r="AJ7661" s="410"/>
    </row>
    <row r="7662" spans="33:36" ht="11.25" customHeight="1" x14ac:dyDescent="0.2">
      <c r="AG7662" s="19"/>
      <c r="AJ7662" s="410"/>
    </row>
    <row r="7663" spans="33:36" ht="11.25" customHeight="1" x14ac:dyDescent="0.2">
      <c r="AG7663" s="19"/>
      <c r="AJ7663" s="410"/>
    </row>
    <row r="7664" spans="33:36" ht="11.25" customHeight="1" x14ac:dyDescent="0.2">
      <c r="AG7664" s="19"/>
      <c r="AJ7664" s="410"/>
    </row>
    <row r="7665" spans="33:36" ht="11.25" customHeight="1" x14ac:dyDescent="0.2">
      <c r="AG7665" s="19"/>
      <c r="AJ7665" s="410"/>
    </row>
    <row r="7666" spans="33:36" ht="11.25" customHeight="1" x14ac:dyDescent="0.2">
      <c r="AG7666" s="19"/>
      <c r="AJ7666" s="410"/>
    </row>
    <row r="7667" spans="33:36" ht="11.25" customHeight="1" x14ac:dyDescent="0.2">
      <c r="AG7667" s="19"/>
      <c r="AJ7667" s="410"/>
    </row>
    <row r="7668" spans="33:36" ht="11.25" customHeight="1" x14ac:dyDescent="0.2">
      <c r="AG7668" s="19"/>
      <c r="AJ7668" s="410"/>
    </row>
    <row r="7669" spans="33:36" ht="11.25" customHeight="1" x14ac:dyDescent="0.2">
      <c r="AG7669" s="19"/>
      <c r="AJ7669" s="410"/>
    </row>
    <row r="7670" spans="33:36" ht="11.25" customHeight="1" x14ac:dyDescent="0.2">
      <c r="AG7670" s="19"/>
      <c r="AJ7670" s="410"/>
    </row>
    <row r="7671" spans="33:36" ht="11.25" customHeight="1" x14ac:dyDescent="0.2">
      <c r="AG7671" s="19"/>
      <c r="AJ7671" s="410"/>
    </row>
    <row r="7672" spans="33:36" ht="11.25" customHeight="1" x14ac:dyDescent="0.2">
      <c r="AG7672" s="19"/>
      <c r="AJ7672" s="410"/>
    </row>
    <row r="7673" spans="33:36" ht="11.25" customHeight="1" x14ac:dyDescent="0.2">
      <c r="AG7673" s="19"/>
      <c r="AJ7673" s="410"/>
    </row>
    <row r="7674" spans="33:36" ht="11.25" customHeight="1" x14ac:dyDescent="0.2">
      <c r="AG7674" s="19"/>
      <c r="AJ7674" s="410"/>
    </row>
    <row r="7675" spans="33:36" ht="11.25" customHeight="1" x14ac:dyDescent="0.2">
      <c r="AG7675" s="19"/>
      <c r="AJ7675" s="410"/>
    </row>
    <row r="7676" spans="33:36" ht="11.25" customHeight="1" x14ac:dyDescent="0.2">
      <c r="AG7676" s="19"/>
      <c r="AJ7676" s="410"/>
    </row>
    <row r="7677" spans="33:36" ht="11.25" customHeight="1" x14ac:dyDescent="0.2">
      <c r="AG7677" s="19"/>
      <c r="AJ7677" s="410"/>
    </row>
    <row r="7678" spans="33:36" ht="11.25" customHeight="1" x14ac:dyDescent="0.2">
      <c r="AG7678" s="19"/>
      <c r="AJ7678" s="410"/>
    </row>
    <row r="7679" spans="33:36" ht="11.25" customHeight="1" x14ac:dyDescent="0.2">
      <c r="AG7679" s="19"/>
      <c r="AJ7679" s="410"/>
    </row>
    <row r="7680" spans="33:36" ht="11.25" customHeight="1" x14ac:dyDescent="0.2">
      <c r="AG7680" s="19"/>
      <c r="AJ7680" s="410"/>
    </row>
    <row r="7681" spans="33:36" ht="11.25" customHeight="1" x14ac:dyDescent="0.2">
      <c r="AG7681" s="19"/>
      <c r="AJ7681" s="410"/>
    </row>
    <row r="7682" spans="33:36" ht="11.25" customHeight="1" x14ac:dyDescent="0.2">
      <c r="AG7682" s="19"/>
      <c r="AJ7682" s="410"/>
    </row>
    <row r="7683" spans="33:36" ht="11.25" customHeight="1" x14ac:dyDescent="0.2">
      <c r="AG7683" s="19"/>
      <c r="AJ7683" s="410"/>
    </row>
    <row r="7684" spans="33:36" ht="11.25" customHeight="1" x14ac:dyDescent="0.2">
      <c r="AG7684" s="19"/>
      <c r="AJ7684" s="410"/>
    </row>
    <row r="7685" spans="33:36" ht="11.25" customHeight="1" x14ac:dyDescent="0.2">
      <c r="AG7685" s="19"/>
      <c r="AJ7685" s="410"/>
    </row>
    <row r="7686" spans="33:36" ht="11.25" customHeight="1" x14ac:dyDescent="0.2">
      <c r="AG7686" s="19"/>
      <c r="AJ7686" s="410"/>
    </row>
    <row r="7687" spans="33:36" ht="11.25" customHeight="1" x14ac:dyDescent="0.2">
      <c r="AG7687" s="19"/>
      <c r="AJ7687" s="410"/>
    </row>
    <row r="7688" spans="33:36" ht="11.25" customHeight="1" x14ac:dyDescent="0.2">
      <c r="AG7688" s="19"/>
      <c r="AJ7688" s="410"/>
    </row>
    <row r="7689" spans="33:36" ht="11.25" customHeight="1" x14ac:dyDescent="0.2">
      <c r="AG7689" s="19"/>
      <c r="AJ7689" s="410"/>
    </row>
    <row r="7690" spans="33:36" ht="11.25" customHeight="1" x14ac:dyDescent="0.2">
      <c r="AG7690" s="19"/>
      <c r="AJ7690" s="410"/>
    </row>
    <row r="7691" spans="33:36" ht="11.25" customHeight="1" x14ac:dyDescent="0.2">
      <c r="AG7691" s="19"/>
      <c r="AJ7691" s="410"/>
    </row>
    <row r="7692" spans="33:36" ht="11.25" customHeight="1" x14ac:dyDescent="0.2">
      <c r="AG7692" s="19"/>
      <c r="AJ7692" s="410"/>
    </row>
    <row r="7693" spans="33:36" ht="11.25" customHeight="1" x14ac:dyDescent="0.2">
      <c r="AG7693" s="19"/>
      <c r="AJ7693" s="410"/>
    </row>
    <row r="7694" spans="33:36" ht="11.25" customHeight="1" x14ac:dyDescent="0.2">
      <c r="AG7694" s="19"/>
      <c r="AJ7694" s="410"/>
    </row>
    <row r="7695" spans="33:36" ht="11.25" customHeight="1" x14ac:dyDescent="0.2">
      <c r="AG7695" s="19"/>
      <c r="AJ7695" s="410"/>
    </row>
    <row r="7696" spans="33:36" ht="11.25" customHeight="1" x14ac:dyDescent="0.2">
      <c r="AG7696" s="19"/>
      <c r="AJ7696" s="410"/>
    </row>
    <row r="7697" spans="33:36" ht="11.25" customHeight="1" x14ac:dyDescent="0.2">
      <c r="AG7697" s="19"/>
      <c r="AJ7697" s="410"/>
    </row>
    <row r="7698" spans="33:36" ht="11.25" customHeight="1" x14ac:dyDescent="0.2">
      <c r="AG7698" s="19"/>
      <c r="AJ7698" s="410"/>
    </row>
    <row r="7699" spans="33:36" ht="11.25" customHeight="1" x14ac:dyDescent="0.2">
      <c r="AG7699" s="19"/>
      <c r="AJ7699" s="410"/>
    </row>
    <row r="7700" spans="33:36" ht="11.25" customHeight="1" x14ac:dyDescent="0.2">
      <c r="AG7700" s="19"/>
      <c r="AJ7700" s="410"/>
    </row>
    <row r="7701" spans="33:36" ht="11.25" customHeight="1" x14ac:dyDescent="0.2">
      <c r="AG7701" s="19"/>
      <c r="AJ7701" s="410"/>
    </row>
    <row r="7702" spans="33:36" ht="11.25" customHeight="1" x14ac:dyDescent="0.2">
      <c r="AG7702" s="19"/>
      <c r="AJ7702" s="410"/>
    </row>
    <row r="7703" spans="33:36" ht="11.25" customHeight="1" x14ac:dyDescent="0.2">
      <c r="AG7703" s="19"/>
      <c r="AJ7703" s="410"/>
    </row>
    <row r="7704" spans="33:36" ht="11.25" customHeight="1" x14ac:dyDescent="0.2">
      <c r="AG7704" s="19"/>
      <c r="AJ7704" s="410"/>
    </row>
    <row r="7705" spans="33:36" ht="11.25" customHeight="1" x14ac:dyDescent="0.2">
      <c r="AG7705" s="19"/>
      <c r="AJ7705" s="410"/>
    </row>
    <row r="7706" spans="33:36" ht="11.25" customHeight="1" x14ac:dyDescent="0.2">
      <c r="AG7706" s="19"/>
      <c r="AJ7706" s="410"/>
    </row>
    <row r="7707" spans="33:36" ht="11.25" customHeight="1" x14ac:dyDescent="0.2">
      <c r="AG7707" s="19"/>
      <c r="AJ7707" s="410"/>
    </row>
    <row r="7708" spans="33:36" ht="11.25" customHeight="1" x14ac:dyDescent="0.2">
      <c r="AG7708" s="19"/>
      <c r="AJ7708" s="410"/>
    </row>
    <row r="7709" spans="33:36" ht="11.25" customHeight="1" x14ac:dyDescent="0.2">
      <c r="AG7709" s="19"/>
      <c r="AJ7709" s="410"/>
    </row>
    <row r="7710" spans="33:36" ht="11.25" customHeight="1" x14ac:dyDescent="0.2">
      <c r="AG7710" s="19"/>
      <c r="AJ7710" s="410"/>
    </row>
    <row r="7711" spans="33:36" ht="11.25" customHeight="1" x14ac:dyDescent="0.2">
      <c r="AG7711" s="19"/>
      <c r="AJ7711" s="410"/>
    </row>
    <row r="7712" spans="33:36" ht="11.25" customHeight="1" x14ac:dyDescent="0.2">
      <c r="AG7712" s="19"/>
      <c r="AJ7712" s="410"/>
    </row>
    <row r="7713" spans="33:36" ht="11.25" customHeight="1" x14ac:dyDescent="0.2">
      <c r="AG7713" s="19"/>
      <c r="AJ7713" s="410"/>
    </row>
    <row r="7714" spans="33:36" ht="11.25" customHeight="1" x14ac:dyDescent="0.2">
      <c r="AG7714" s="19"/>
      <c r="AJ7714" s="410"/>
    </row>
    <row r="7715" spans="33:36" ht="11.25" customHeight="1" x14ac:dyDescent="0.2">
      <c r="AG7715" s="19"/>
      <c r="AJ7715" s="410"/>
    </row>
    <row r="7716" spans="33:36" ht="11.25" customHeight="1" x14ac:dyDescent="0.2">
      <c r="AG7716" s="19"/>
      <c r="AJ7716" s="410"/>
    </row>
    <row r="7717" spans="33:36" ht="11.25" customHeight="1" x14ac:dyDescent="0.2">
      <c r="AG7717" s="19"/>
      <c r="AJ7717" s="410"/>
    </row>
    <row r="7718" spans="33:36" ht="11.25" customHeight="1" x14ac:dyDescent="0.2">
      <c r="AG7718" s="19"/>
      <c r="AJ7718" s="410"/>
    </row>
    <row r="7719" spans="33:36" ht="11.25" customHeight="1" x14ac:dyDescent="0.2">
      <c r="AG7719" s="19"/>
      <c r="AJ7719" s="410"/>
    </row>
    <row r="7720" spans="33:36" ht="11.25" customHeight="1" x14ac:dyDescent="0.2">
      <c r="AG7720" s="19"/>
      <c r="AJ7720" s="410"/>
    </row>
    <row r="7721" spans="33:36" ht="11.25" customHeight="1" x14ac:dyDescent="0.2">
      <c r="AG7721" s="19"/>
      <c r="AJ7721" s="410"/>
    </row>
    <row r="7722" spans="33:36" ht="11.25" customHeight="1" x14ac:dyDescent="0.2">
      <c r="AG7722" s="19"/>
      <c r="AJ7722" s="410"/>
    </row>
    <row r="7723" spans="33:36" ht="11.25" customHeight="1" x14ac:dyDescent="0.2">
      <c r="AG7723" s="19"/>
      <c r="AJ7723" s="410"/>
    </row>
    <row r="7724" spans="33:36" ht="11.25" customHeight="1" x14ac:dyDescent="0.2">
      <c r="AG7724" s="19"/>
      <c r="AJ7724" s="410"/>
    </row>
    <row r="7725" spans="33:36" ht="11.25" customHeight="1" x14ac:dyDescent="0.2">
      <c r="AG7725" s="19"/>
      <c r="AJ7725" s="410"/>
    </row>
    <row r="7726" spans="33:36" ht="11.25" customHeight="1" x14ac:dyDescent="0.2">
      <c r="AG7726" s="19"/>
      <c r="AJ7726" s="410"/>
    </row>
    <row r="7727" spans="33:36" ht="11.25" customHeight="1" x14ac:dyDescent="0.2">
      <c r="AG7727" s="19"/>
      <c r="AJ7727" s="410"/>
    </row>
    <row r="7728" spans="33:36" ht="11.25" customHeight="1" x14ac:dyDescent="0.2">
      <c r="AG7728" s="19"/>
      <c r="AJ7728" s="410"/>
    </row>
    <row r="7729" spans="33:36" ht="11.25" customHeight="1" x14ac:dyDescent="0.2">
      <c r="AG7729" s="19"/>
      <c r="AJ7729" s="410"/>
    </row>
    <row r="7730" spans="33:36" ht="11.25" customHeight="1" x14ac:dyDescent="0.2">
      <c r="AG7730" s="19"/>
      <c r="AJ7730" s="410"/>
    </row>
    <row r="7731" spans="33:36" ht="11.25" customHeight="1" x14ac:dyDescent="0.2">
      <c r="AG7731" s="19"/>
      <c r="AJ7731" s="410"/>
    </row>
    <row r="7732" spans="33:36" ht="11.25" customHeight="1" x14ac:dyDescent="0.2">
      <c r="AG7732" s="19"/>
      <c r="AJ7732" s="410"/>
    </row>
    <row r="7733" spans="33:36" ht="11.25" customHeight="1" x14ac:dyDescent="0.2">
      <c r="AG7733" s="19"/>
      <c r="AJ7733" s="410"/>
    </row>
    <row r="7734" spans="33:36" ht="11.25" customHeight="1" x14ac:dyDescent="0.2">
      <c r="AG7734" s="19"/>
      <c r="AJ7734" s="410"/>
    </row>
    <row r="7735" spans="33:36" ht="11.25" customHeight="1" x14ac:dyDescent="0.2">
      <c r="AG7735" s="19"/>
      <c r="AJ7735" s="410"/>
    </row>
    <row r="7736" spans="33:36" ht="11.25" customHeight="1" x14ac:dyDescent="0.2">
      <c r="AG7736" s="19"/>
      <c r="AJ7736" s="410"/>
    </row>
    <row r="7737" spans="33:36" ht="11.25" customHeight="1" x14ac:dyDescent="0.2">
      <c r="AG7737" s="19"/>
      <c r="AJ7737" s="410"/>
    </row>
    <row r="7738" spans="33:36" ht="11.25" customHeight="1" x14ac:dyDescent="0.2">
      <c r="AG7738" s="19"/>
      <c r="AJ7738" s="410"/>
    </row>
    <row r="7739" spans="33:36" ht="11.25" customHeight="1" x14ac:dyDescent="0.2">
      <c r="AG7739" s="19"/>
      <c r="AJ7739" s="410"/>
    </row>
    <row r="7740" spans="33:36" ht="11.25" customHeight="1" x14ac:dyDescent="0.2">
      <c r="AG7740" s="19"/>
      <c r="AJ7740" s="410"/>
    </row>
    <row r="7741" spans="33:36" ht="11.25" customHeight="1" x14ac:dyDescent="0.2">
      <c r="AG7741" s="19"/>
      <c r="AJ7741" s="410"/>
    </row>
    <row r="7742" spans="33:36" ht="11.25" customHeight="1" x14ac:dyDescent="0.2">
      <c r="AG7742" s="19"/>
      <c r="AJ7742" s="410"/>
    </row>
    <row r="7743" spans="33:36" ht="11.25" customHeight="1" x14ac:dyDescent="0.2">
      <c r="AG7743" s="19"/>
      <c r="AJ7743" s="410"/>
    </row>
    <row r="7744" spans="33:36" ht="11.25" customHeight="1" x14ac:dyDescent="0.2">
      <c r="AG7744" s="19"/>
      <c r="AJ7744" s="410"/>
    </row>
    <row r="7745" spans="33:36" ht="11.25" customHeight="1" x14ac:dyDescent="0.2">
      <c r="AG7745" s="19"/>
      <c r="AJ7745" s="410"/>
    </row>
    <row r="7746" spans="33:36" ht="11.25" customHeight="1" x14ac:dyDescent="0.2">
      <c r="AG7746" s="19"/>
      <c r="AJ7746" s="410"/>
    </row>
    <row r="7747" spans="33:36" ht="11.25" customHeight="1" x14ac:dyDescent="0.2">
      <c r="AG7747" s="19"/>
      <c r="AJ7747" s="410"/>
    </row>
    <row r="7748" spans="33:36" ht="11.25" customHeight="1" x14ac:dyDescent="0.2">
      <c r="AG7748" s="19"/>
      <c r="AJ7748" s="410"/>
    </row>
    <row r="7749" spans="33:36" ht="11.25" customHeight="1" x14ac:dyDescent="0.2">
      <c r="AG7749" s="19"/>
      <c r="AJ7749" s="410"/>
    </row>
    <row r="7750" spans="33:36" ht="11.25" customHeight="1" x14ac:dyDescent="0.2">
      <c r="AG7750" s="19"/>
      <c r="AJ7750" s="410"/>
    </row>
    <row r="7751" spans="33:36" ht="11.25" customHeight="1" x14ac:dyDescent="0.2">
      <c r="AG7751" s="19"/>
      <c r="AJ7751" s="410"/>
    </row>
    <row r="7752" spans="33:36" ht="11.25" customHeight="1" x14ac:dyDescent="0.2">
      <c r="AG7752" s="19"/>
      <c r="AJ7752" s="410"/>
    </row>
    <row r="7753" spans="33:36" ht="11.25" customHeight="1" x14ac:dyDescent="0.2">
      <c r="AG7753" s="19"/>
      <c r="AJ7753" s="410"/>
    </row>
    <row r="7754" spans="33:36" ht="11.25" customHeight="1" x14ac:dyDescent="0.2">
      <c r="AG7754" s="19"/>
      <c r="AJ7754" s="410"/>
    </row>
    <row r="7755" spans="33:36" ht="11.25" customHeight="1" x14ac:dyDescent="0.2">
      <c r="AG7755" s="19"/>
      <c r="AJ7755" s="410"/>
    </row>
    <row r="7756" spans="33:36" ht="11.25" customHeight="1" x14ac:dyDescent="0.2">
      <c r="AG7756" s="19"/>
      <c r="AJ7756" s="410"/>
    </row>
    <row r="7757" spans="33:36" ht="11.25" customHeight="1" x14ac:dyDescent="0.2">
      <c r="AG7757" s="19"/>
      <c r="AJ7757" s="410"/>
    </row>
    <row r="7758" spans="33:36" ht="11.25" customHeight="1" x14ac:dyDescent="0.2">
      <c r="AG7758" s="19"/>
      <c r="AJ7758" s="410"/>
    </row>
    <row r="7759" spans="33:36" ht="11.25" customHeight="1" x14ac:dyDescent="0.2">
      <c r="AG7759" s="19"/>
      <c r="AJ7759" s="410"/>
    </row>
    <row r="7760" spans="33:36" ht="11.25" customHeight="1" x14ac:dyDescent="0.2">
      <c r="AG7760" s="19"/>
      <c r="AJ7760" s="410"/>
    </row>
    <row r="7761" spans="33:36" ht="11.25" customHeight="1" x14ac:dyDescent="0.2">
      <c r="AG7761" s="19"/>
      <c r="AJ7761" s="410"/>
    </row>
    <row r="7762" spans="33:36" ht="11.25" customHeight="1" x14ac:dyDescent="0.2">
      <c r="AG7762" s="19"/>
      <c r="AJ7762" s="410"/>
    </row>
    <row r="7763" spans="33:36" ht="11.25" customHeight="1" x14ac:dyDescent="0.2">
      <c r="AG7763" s="19"/>
      <c r="AJ7763" s="410"/>
    </row>
    <row r="7764" spans="33:36" ht="11.25" customHeight="1" x14ac:dyDescent="0.2">
      <c r="AG7764" s="19"/>
      <c r="AJ7764" s="410"/>
    </row>
    <row r="7765" spans="33:36" ht="11.25" customHeight="1" x14ac:dyDescent="0.2">
      <c r="AG7765" s="19"/>
      <c r="AJ7765" s="410"/>
    </row>
    <row r="7766" spans="33:36" ht="11.25" customHeight="1" x14ac:dyDescent="0.2">
      <c r="AG7766" s="19"/>
      <c r="AJ7766" s="410"/>
    </row>
    <row r="7767" spans="33:36" ht="11.25" customHeight="1" x14ac:dyDescent="0.2">
      <c r="AG7767" s="19"/>
      <c r="AJ7767" s="410"/>
    </row>
    <row r="7768" spans="33:36" ht="11.25" customHeight="1" x14ac:dyDescent="0.2">
      <c r="AG7768" s="19"/>
      <c r="AJ7768" s="410"/>
    </row>
    <row r="7769" spans="33:36" ht="11.25" customHeight="1" x14ac:dyDescent="0.2">
      <c r="AG7769" s="19"/>
      <c r="AJ7769" s="410"/>
    </row>
    <row r="7770" spans="33:36" ht="11.25" customHeight="1" x14ac:dyDescent="0.2">
      <c r="AG7770" s="19"/>
      <c r="AJ7770" s="410"/>
    </row>
    <row r="7771" spans="33:36" ht="11.25" customHeight="1" x14ac:dyDescent="0.2">
      <c r="AG7771" s="19"/>
      <c r="AJ7771" s="410"/>
    </row>
    <row r="7772" spans="33:36" ht="11.25" customHeight="1" x14ac:dyDescent="0.2">
      <c r="AG7772" s="19"/>
      <c r="AJ7772" s="410"/>
    </row>
    <row r="7773" spans="33:36" ht="11.25" customHeight="1" x14ac:dyDescent="0.2">
      <c r="AG7773" s="19"/>
      <c r="AJ7773" s="410"/>
    </row>
    <row r="7774" spans="33:36" ht="11.25" customHeight="1" x14ac:dyDescent="0.2">
      <c r="AG7774" s="19"/>
      <c r="AJ7774" s="410"/>
    </row>
    <row r="7775" spans="33:36" ht="11.25" customHeight="1" x14ac:dyDescent="0.2">
      <c r="AG7775" s="19"/>
      <c r="AJ7775" s="410"/>
    </row>
    <row r="7776" spans="33:36" ht="11.25" customHeight="1" x14ac:dyDescent="0.2">
      <c r="AG7776" s="19"/>
      <c r="AJ7776" s="410"/>
    </row>
    <row r="7777" spans="33:36" ht="11.25" customHeight="1" x14ac:dyDescent="0.2">
      <c r="AG7777" s="19"/>
      <c r="AJ7777" s="410"/>
    </row>
    <row r="7778" spans="33:36" ht="11.25" customHeight="1" x14ac:dyDescent="0.2">
      <c r="AG7778" s="19"/>
      <c r="AJ7778" s="410"/>
    </row>
    <row r="7779" spans="33:36" ht="11.25" customHeight="1" x14ac:dyDescent="0.2">
      <c r="AG7779" s="19"/>
      <c r="AJ7779" s="410"/>
    </row>
    <row r="7780" spans="33:36" ht="11.25" customHeight="1" x14ac:dyDescent="0.2">
      <c r="AG7780" s="19"/>
      <c r="AJ7780" s="410"/>
    </row>
    <row r="7781" spans="33:36" ht="11.25" customHeight="1" x14ac:dyDescent="0.2">
      <c r="AG7781" s="19"/>
      <c r="AJ7781" s="410"/>
    </row>
    <row r="7782" spans="33:36" ht="11.25" customHeight="1" x14ac:dyDescent="0.2">
      <c r="AG7782" s="19"/>
      <c r="AJ7782" s="410"/>
    </row>
    <row r="7783" spans="33:36" ht="11.25" customHeight="1" x14ac:dyDescent="0.2">
      <c r="AG7783" s="19"/>
      <c r="AJ7783" s="410"/>
    </row>
    <row r="7784" spans="33:36" ht="11.25" customHeight="1" x14ac:dyDescent="0.2">
      <c r="AG7784" s="19"/>
      <c r="AJ7784" s="410"/>
    </row>
    <row r="7785" spans="33:36" ht="11.25" customHeight="1" x14ac:dyDescent="0.2">
      <c r="AG7785" s="19"/>
      <c r="AJ7785" s="410"/>
    </row>
    <row r="7786" spans="33:36" ht="11.25" customHeight="1" x14ac:dyDescent="0.2">
      <c r="AG7786" s="19"/>
      <c r="AJ7786" s="410"/>
    </row>
    <row r="7787" spans="33:36" ht="11.25" customHeight="1" x14ac:dyDescent="0.2">
      <c r="AG7787" s="19"/>
      <c r="AJ7787" s="410"/>
    </row>
    <row r="7788" spans="33:36" ht="11.25" customHeight="1" x14ac:dyDescent="0.2">
      <c r="AG7788" s="19"/>
      <c r="AJ7788" s="410"/>
    </row>
    <row r="7789" spans="33:36" ht="11.25" customHeight="1" x14ac:dyDescent="0.2">
      <c r="AG7789" s="19"/>
      <c r="AJ7789" s="410"/>
    </row>
    <row r="7790" spans="33:36" ht="11.25" customHeight="1" x14ac:dyDescent="0.2">
      <c r="AG7790" s="19"/>
      <c r="AJ7790" s="410"/>
    </row>
    <row r="7791" spans="33:36" ht="11.25" customHeight="1" x14ac:dyDescent="0.2">
      <c r="AG7791" s="19"/>
      <c r="AJ7791" s="410"/>
    </row>
    <row r="7792" spans="33:36" ht="11.25" customHeight="1" x14ac:dyDescent="0.2">
      <c r="AG7792" s="19"/>
      <c r="AJ7792" s="410"/>
    </row>
    <row r="7793" spans="33:36" ht="11.25" customHeight="1" x14ac:dyDescent="0.2">
      <c r="AG7793" s="19"/>
      <c r="AJ7793" s="410"/>
    </row>
    <row r="7794" spans="33:36" ht="11.25" customHeight="1" x14ac:dyDescent="0.2">
      <c r="AG7794" s="19"/>
      <c r="AJ7794" s="410"/>
    </row>
    <row r="7795" spans="33:36" ht="11.25" customHeight="1" x14ac:dyDescent="0.2">
      <c r="AG7795" s="19"/>
      <c r="AJ7795" s="410"/>
    </row>
    <row r="7796" spans="33:36" ht="11.25" customHeight="1" x14ac:dyDescent="0.2">
      <c r="AG7796" s="19"/>
      <c r="AJ7796" s="410"/>
    </row>
    <row r="7797" spans="33:36" ht="11.25" customHeight="1" x14ac:dyDescent="0.2">
      <c r="AG7797" s="19"/>
      <c r="AJ7797" s="410"/>
    </row>
    <row r="7798" spans="33:36" ht="11.25" customHeight="1" x14ac:dyDescent="0.2">
      <c r="AG7798" s="19"/>
      <c r="AJ7798" s="410"/>
    </row>
    <row r="7799" spans="33:36" ht="11.25" customHeight="1" x14ac:dyDescent="0.2">
      <c r="AG7799" s="19"/>
      <c r="AJ7799" s="410"/>
    </row>
    <row r="7800" spans="33:36" ht="11.25" customHeight="1" x14ac:dyDescent="0.2">
      <c r="AG7800" s="19"/>
      <c r="AJ7800" s="410"/>
    </row>
    <row r="7801" spans="33:36" ht="11.25" customHeight="1" x14ac:dyDescent="0.2">
      <c r="AG7801" s="19"/>
      <c r="AJ7801" s="410"/>
    </row>
    <row r="7802" spans="33:36" ht="11.25" customHeight="1" x14ac:dyDescent="0.2">
      <c r="AG7802" s="19"/>
      <c r="AJ7802" s="410"/>
    </row>
    <row r="7803" spans="33:36" ht="11.25" customHeight="1" x14ac:dyDescent="0.2">
      <c r="AG7803" s="19"/>
      <c r="AJ7803" s="410"/>
    </row>
    <row r="7804" spans="33:36" ht="11.25" customHeight="1" x14ac:dyDescent="0.2">
      <c r="AG7804" s="19"/>
      <c r="AJ7804" s="410"/>
    </row>
    <row r="7805" spans="33:36" ht="11.25" customHeight="1" x14ac:dyDescent="0.2">
      <c r="AG7805" s="19"/>
      <c r="AJ7805" s="410"/>
    </row>
    <row r="7806" spans="33:36" ht="11.25" customHeight="1" x14ac:dyDescent="0.2">
      <c r="AG7806" s="19"/>
      <c r="AJ7806" s="410"/>
    </row>
    <row r="7807" spans="33:36" ht="11.25" customHeight="1" x14ac:dyDescent="0.2">
      <c r="AG7807" s="19"/>
      <c r="AJ7807" s="410"/>
    </row>
    <row r="7808" spans="33:36" ht="11.25" customHeight="1" x14ac:dyDescent="0.2">
      <c r="AG7808" s="19"/>
      <c r="AJ7808" s="410"/>
    </row>
    <row r="7809" spans="33:36" ht="11.25" customHeight="1" x14ac:dyDescent="0.2">
      <c r="AG7809" s="19"/>
      <c r="AJ7809" s="410"/>
    </row>
    <row r="7810" spans="33:36" ht="11.25" customHeight="1" x14ac:dyDescent="0.2">
      <c r="AG7810" s="19"/>
      <c r="AJ7810" s="410"/>
    </row>
    <row r="7811" spans="33:36" ht="11.25" customHeight="1" x14ac:dyDescent="0.2">
      <c r="AG7811" s="19"/>
      <c r="AJ7811" s="410"/>
    </row>
    <row r="7812" spans="33:36" ht="11.25" customHeight="1" x14ac:dyDescent="0.2">
      <c r="AG7812" s="19"/>
      <c r="AJ7812" s="410"/>
    </row>
    <row r="7813" spans="33:36" ht="11.25" customHeight="1" x14ac:dyDescent="0.2">
      <c r="AG7813" s="19"/>
      <c r="AJ7813" s="410"/>
    </row>
    <row r="7814" spans="33:36" ht="11.25" customHeight="1" x14ac:dyDescent="0.2">
      <c r="AG7814" s="19"/>
      <c r="AJ7814" s="410"/>
    </row>
    <row r="7815" spans="33:36" ht="11.25" customHeight="1" x14ac:dyDescent="0.2">
      <c r="AG7815" s="19"/>
      <c r="AJ7815" s="410"/>
    </row>
    <row r="7816" spans="33:36" ht="11.25" customHeight="1" x14ac:dyDescent="0.2">
      <c r="AG7816" s="19"/>
      <c r="AJ7816" s="410"/>
    </row>
    <row r="7817" spans="33:36" ht="11.25" customHeight="1" x14ac:dyDescent="0.2">
      <c r="AG7817" s="19"/>
      <c r="AJ7817" s="410"/>
    </row>
    <row r="7818" spans="33:36" ht="11.25" customHeight="1" x14ac:dyDescent="0.2">
      <c r="AG7818" s="19"/>
      <c r="AJ7818" s="410"/>
    </row>
    <row r="7819" spans="33:36" ht="11.25" customHeight="1" x14ac:dyDescent="0.2">
      <c r="AG7819" s="19"/>
      <c r="AJ7819" s="410"/>
    </row>
    <row r="7820" spans="33:36" ht="11.25" customHeight="1" x14ac:dyDescent="0.2">
      <c r="AG7820" s="19"/>
      <c r="AJ7820" s="410"/>
    </row>
    <row r="7821" spans="33:36" ht="11.25" customHeight="1" x14ac:dyDescent="0.2">
      <c r="AG7821" s="19"/>
      <c r="AJ7821" s="410"/>
    </row>
    <row r="7822" spans="33:36" ht="11.25" customHeight="1" x14ac:dyDescent="0.2">
      <c r="AG7822" s="19"/>
      <c r="AJ7822" s="410"/>
    </row>
    <row r="7823" spans="33:36" ht="11.25" customHeight="1" x14ac:dyDescent="0.2">
      <c r="AG7823" s="19"/>
      <c r="AJ7823" s="410"/>
    </row>
    <row r="7824" spans="33:36" ht="11.25" customHeight="1" x14ac:dyDescent="0.2">
      <c r="AG7824" s="19"/>
      <c r="AJ7824" s="410"/>
    </row>
    <row r="7825" spans="33:36" ht="11.25" customHeight="1" x14ac:dyDescent="0.2">
      <c r="AG7825" s="19"/>
      <c r="AJ7825" s="410"/>
    </row>
    <row r="7826" spans="33:36" ht="11.25" customHeight="1" x14ac:dyDescent="0.2">
      <c r="AG7826" s="19"/>
      <c r="AJ7826" s="410"/>
    </row>
    <row r="7827" spans="33:36" ht="11.25" customHeight="1" x14ac:dyDescent="0.2">
      <c r="AG7827" s="19"/>
      <c r="AJ7827" s="410"/>
    </row>
    <row r="7828" spans="33:36" ht="11.25" customHeight="1" x14ac:dyDescent="0.2">
      <c r="AG7828" s="19"/>
      <c r="AJ7828" s="410"/>
    </row>
    <row r="7829" spans="33:36" ht="11.25" customHeight="1" x14ac:dyDescent="0.2">
      <c r="AG7829" s="19"/>
      <c r="AJ7829" s="410"/>
    </row>
    <row r="7830" spans="33:36" ht="11.25" customHeight="1" x14ac:dyDescent="0.2">
      <c r="AG7830" s="19"/>
      <c r="AJ7830" s="410"/>
    </row>
    <row r="7831" spans="33:36" ht="11.25" customHeight="1" x14ac:dyDescent="0.2">
      <c r="AG7831" s="19"/>
      <c r="AJ7831" s="410"/>
    </row>
    <row r="7832" spans="33:36" ht="11.25" customHeight="1" x14ac:dyDescent="0.2">
      <c r="AG7832" s="19"/>
      <c r="AJ7832" s="410"/>
    </row>
    <row r="7833" spans="33:36" ht="11.25" customHeight="1" x14ac:dyDescent="0.2">
      <c r="AG7833" s="19"/>
      <c r="AJ7833" s="410"/>
    </row>
    <row r="7834" spans="33:36" ht="11.25" customHeight="1" x14ac:dyDescent="0.2">
      <c r="AG7834" s="19"/>
      <c r="AJ7834" s="410"/>
    </row>
    <row r="7835" spans="33:36" ht="11.25" customHeight="1" x14ac:dyDescent="0.2">
      <c r="AG7835" s="19"/>
      <c r="AJ7835" s="410"/>
    </row>
    <row r="7836" spans="33:36" ht="11.25" customHeight="1" x14ac:dyDescent="0.2">
      <c r="AG7836" s="19"/>
      <c r="AJ7836" s="410"/>
    </row>
    <row r="7837" spans="33:36" ht="11.25" customHeight="1" x14ac:dyDescent="0.2">
      <c r="AG7837" s="19"/>
      <c r="AJ7837" s="410"/>
    </row>
    <row r="7838" spans="33:36" ht="11.25" customHeight="1" x14ac:dyDescent="0.2">
      <c r="AG7838" s="19"/>
      <c r="AJ7838" s="410"/>
    </row>
    <row r="7839" spans="33:36" ht="11.25" customHeight="1" x14ac:dyDescent="0.2">
      <c r="AG7839" s="19"/>
      <c r="AJ7839" s="410"/>
    </row>
    <row r="7840" spans="33:36" ht="11.25" customHeight="1" x14ac:dyDescent="0.2">
      <c r="AG7840" s="19"/>
      <c r="AJ7840" s="410"/>
    </row>
    <row r="7841" spans="33:36" ht="11.25" customHeight="1" x14ac:dyDescent="0.2">
      <c r="AG7841" s="19"/>
      <c r="AJ7841" s="410"/>
    </row>
    <row r="7842" spans="33:36" ht="11.25" customHeight="1" x14ac:dyDescent="0.2">
      <c r="AG7842" s="19"/>
      <c r="AJ7842" s="410"/>
    </row>
    <row r="7843" spans="33:36" ht="11.25" customHeight="1" x14ac:dyDescent="0.2">
      <c r="AG7843" s="19"/>
      <c r="AJ7843" s="410"/>
    </row>
    <row r="7844" spans="33:36" ht="11.25" customHeight="1" x14ac:dyDescent="0.2">
      <c r="AG7844" s="19"/>
      <c r="AJ7844" s="410"/>
    </row>
    <row r="7845" spans="33:36" ht="11.25" customHeight="1" x14ac:dyDescent="0.2">
      <c r="AG7845" s="19"/>
      <c r="AJ7845" s="410"/>
    </row>
    <row r="7846" spans="33:36" ht="11.25" customHeight="1" x14ac:dyDescent="0.2">
      <c r="AG7846" s="19"/>
      <c r="AJ7846" s="410"/>
    </row>
    <row r="7847" spans="33:36" ht="11.25" customHeight="1" x14ac:dyDescent="0.2">
      <c r="AG7847" s="19"/>
      <c r="AJ7847" s="410"/>
    </row>
    <row r="7848" spans="33:36" ht="11.25" customHeight="1" x14ac:dyDescent="0.2">
      <c r="AG7848" s="19"/>
      <c r="AJ7848" s="410"/>
    </row>
    <row r="7849" spans="33:36" ht="11.25" customHeight="1" x14ac:dyDescent="0.2">
      <c r="AG7849" s="19"/>
      <c r="AJ7849" s="410"/>
    </row>
    <row r="7850" spans="33:36" ht="11.25" customHeight="1" x14ac:dyDescent="0.2">
      <c r="AG7850" s="19"/>
      <c r="AJ7850" s="410"/>
    </row>
    <row r="7851" spans="33:36" ht="11.25" customHeight="1" x14ac:dyDescent="0.2">
      <c r="AG7851" s="19"/>
      <c r="AJ7851" s="410"/>
    </row>
    <row r="7852" spans="33:36" ht="11.25" customHeight="1" x14ac:dyDescent="0.2">
      <c r="AG7852" s="19"/>
      <c r="AJ7852" s="410"/>
    </row>
    <row r="7853" spans="33:36" ht="11.25" customHeight="1" x14ac:dyDescent="0.2">
      <c r="AG7853" s="19"/>
      <c r="AJ7853" s="410"/>
    </row>
    <row r="7854" spans="33:36" ht="11.25" customHeight="1" x14ac:dyDescent="0.2">
      <c r="AG7854" s="19"/>
      <c r="AJ7854" s="410"/>
    </row>
    <row r="7855" spans="33:36" ht="11.25" customHeight="1" x14ac:dyDescent="0.2">
      <c r="AG7855" s="19"/>
      <c r="AJ7855" s="410"/>
    </row>
    <row r="7856" spans="33:36" ht="11.25" customHeight="1" x14ac:dyDescent="0.2">
      <c r="AG7856" s="19"/>
      <c r="AJ7856" s="410"/>
    </row>
    <row r="7857" spans="33:36" ht="11.25" customHeight="1" x14ac:dyDescent="0.2">
      <c r="AG7857" s="19"/>
      <c r="AJ7857" s="410"/>
    </row>
    <row r="7858" spans="33:36" ht="11.25" customHeight="1" x14ac:dyDescent="0.2">
      <c r="AG7858" s="19"/>
      <c r="AJ7858" s="410"/>
    </row>
    <row r="7859" spans="33:36" ht="11.25" customHeight="1" x14ac:dyDescent="0.2">
      <c r="AG7859" s="19"/>
      <c r="AJ7859" s="410"/>
    </row>
    <row r="7860" spans="33:36" ht="11.25" customHeight="1" x14ac:dyDescent="0.2">
      <c r="AG7860" s="19"/>
      <c r="AJ7860" s="410"/>
    </row>
    <row r="7861" spans="33:36" ht="11.25" customHeight="1" x14ac:dyDescent="0.2">
      <c r="AG7861" s="19"/>
      <c r="AJ7861" s="410"/>
    </row>
    <row r="7862" spans="33:36" ht="11.25" customHeight="1" x14ac:dyDescent="0.2">
      <c r="AG7862" s="19"/>
      <c r="AJ7862" s="410"/>
    </row>
    <row r="7863" spans="33:36" ht="11.25" customHeight="1" x14ac:dyDescent="0.2">
      <c r="AG7863" s="19"/>
      <c r="AJ7863" s="410"/>
    </row>
    <row r="7864" spans="33:36" ht="11.25" customHeight="1" x14ac:dyDescent="0.2">
      <c r="AG7864" s="19"/>
      <c r="AJ7864" s="410"/>
    </row>
    <row r="7865" spans="33:36" ht="11.25" customHeight="1" x14ac:dyDescent="0.2">
      <c r="AG7865" s="19"/>
      <c r="AJ7865" s="410"/>
    </row>
    <row r="7866" spans="33:36" ht="11.25" customHeight="1" x14ac:dyDescent="0.2">
      <c r="AG7866" s="19"/>
      <c r="AJ7866" s="410"/>
    </row>
    <row r="7867" spans="33:36" ht="11.25" customHeight="1" x14ac:dyDescent="0.2">
      <c r="AG7867" s="19"/>
      <c r="AJ7867" s="410"/>
    </row>
    <row r="7868" spans="33:36" ht="11.25" customHeight="1" x14ac:dyDescent="0.2">
      <c r="AG7868" s="19"/>
      <c r="AJ7868" s="410"/>
    </row>
    <row r="7869" spans="33:36" ht="11.25" customHeight="1" x14ac:dyDescent="0.2">
      <c r="AG7869" s="19"/>
      <c r="AJ7869" s="410"/>
    </row>
    <row r="7870" spans="33:36" ht="11.25" customHeight="1" x14ac:dyDescent="0.2">
      <c r="AG7870" s="19"/>
      <c r="AJ7870" s="410"/>
    </row>
    <row r="7871" spans="33:36" ht="11.25" customHeight="1" x14ac:dyDescent="0.2">
      <c r="AG7871" s="19"/>
      <c r="AJ7871" s="410"/>
    </row>
    <row r="7872" spans="33:36" ht="11.25" customHeight="1" x14ac:dyDescent="0.2">
      <c r="AG7872" s="19"/>
      <c r="AJ7872" s="410"/>
    </row>
    <row r="7873" spans="33:36" ht="11.25" customHeight="1" x14ac:dyDescent="0.2">
      <c r="AG7873" s="19"/>
      <c r="AJ7873" s="410"/>
    </row>
    <row r="7874" spans="33:36" ht="11.25" customHeight="1" x14ac:dyDescent="0.2">
      <c r="AG7874" s="19"/>
      <c r="AJ7874" s="410"/>
    </row>
    <row r="7875" spans="33:36" ht="11.25" customHeight="1" x14ac:dyDescent="0.2">
      <c r="AG7875" s="19"/>
      <c r="AJ7875" s="410"/>
    </row>
    <row r="7876" spans="33:36" ht="11.25" customHeight="1" x14ac:dyDescent="0.2">
      <c r="AG7876" s="19"/>
      <c r="AJ7876" s="410"/>
    </row>
    <row r="7877" spans="33:36" ht="11.25" customHeight="1" x14ac:dyDescent="0.2">
      <c r="AG7877" s="19"/>
      <c r="AJ7877" s="410"/>
    </row>
    <row r="7878" spans="33:36" ht="11.25" customHeight="1" x14ac:dyDescent="0.2">
      <c r="AG7878" s="19"/>
      <c r="AJ7878" s="410"/>
    </row>
    <row r="7879" spans="33:36" ht="11.25" customHeight="1" x14ac:dyDescent="0.2">
      <c r="AG7879" s="19"/>
      <c r="AJ7879" s="410"/>
    </row>
    <row r="7880" spans="33:36" ht="11.25" customHeight="1" x14ac:dyDescent="0.2">
      <c r="AG7880" s="19"/>
      <c r="AJ7880" s="410"/>
    </row>
    <row r="7881" spans="33:36" ht="11.25" customHeight="1" x14ac:dyDescent="0.2">
      <c r="AG7881" s="19"/>
      <c r="AJ7881" s="410"/>
    </row>
    <row r="7882" spans="33:36" ht="11.25" customHeight="1" x14ac:dyDescent="0.2">
      <c r="AG7882" s="19"/>
      <c r="AJ7882" s="410"/>
    </row>
    <row r="7883" spans="33:36" ht="11.25" customHeight="1" x14ac:dyDescent="0.2">
      <c r="AG7883" s="19"/>
      <c r="AJ7883" s="410"/>
    </row>
    <row r="7884" spans="33:36" ht="11.25" customHeight="1" x14ac:dyDescent="0.2">
      <c r="AG7884" s="19"/>
      <c r="AJ7884" s="410"/>
    </row>
    <row r="7885" spans="33:36" ht="11.25" customHeight="1" x14ac:dyDescent="0.2">
      <c r="AG7885" s="19"/>
      <c r="AJ7885" s="410"/>
    </row>
    <row r="7886" spans="33:36" ht="11.25" customHeight="1" x14ac:dyDescent="0.2">
      <c r="AG7886" s="19"/>
      <c r="AJ7886" s="410"/>
    </row>
    <row r="7887" spans="33:36" ht="11.25" customHeight="1" x14ac:dyDescent="0.2">
      <c r="AG7887" s="19"/>
      <c r="AJ7887" s="410"/>
    </row>
    <row r="7888" spans="33:36" ht="11.25" customHeight="1" x14ac:dyDescent="0.2">
      <c r="AG7888" s="19"/>
      <c r="AJ7888" s="410"/>
    </row>
    <row r="7889" spans="33:36" ht="11.25" customHeight="1" x14ac:dyDescent="0.2">
      <c r="AG7889" s="19"/>
      <c r="AJ7889" s="410"/>
    </row>
    <row r="7890" spans="33:36" ht="11.25" customHeight="1" x14ac:dyDescent="0.2">
      <c r="AG7890" s="19"/>
      <c r="AJ7890" s="410"/>
    </row>
    <row r="7891" spans="33:36" ht="11.25" customHeight="1" x14ac:dyDescent="0.2">
      <c r="AG7891" s="19"/>
      <c r="AJ7891" s="410"/>
    </row>
    <row r="7892" spans="33:36" ht="11.25" customHeight="1" x14ac:dyDescent="0.2">
      <c r="AG7892" s="19"/>
      <c r="AJ7892" s="410"/>
    </row>
    <row r="7893" spans="33:36" ht="11.25" customHeight="1" x14ac:dyDescent="0.2">
      <c r="AG7893" s="19"/>
      <c r="AJ7893" s="410"/>
    </row>
    <row r="7894" spans="33:36" ht="11.25" customHeight="1" x14ac:dyDescent="0.2">
      <c r="AG7894" s="19"/>
      <c r="AJ7894" s="410"/>
    </row>
    <row r="7895" spans="33:36" ht="11.25" customHeight="1" x14ac:dyDescent="0.2">
      <c r="AG7895" s="19"/>
      <c r="AJ7895" s="410"/>
    </row>
    <row r="7896" spans="33:36" ht="11.25" customHeight="1" x14ac:dyDescent="0.2">
      <c r="AG7896" s="19"/>
      <c r="AJ7896" s="410"/>
    </row>
    <row r="7897" spans="33:36" ht="11.25" customHeight="1" x14ac:dyDescent="0.2">
      <c r="AG7897" s="19"/>
      <c r="AJ7897" s="410"/>
    </row>
    <row r="7898" spans="33:36" ht="11.25" customHeight="1" x14ac:dyDescent="0.2">
      <c r="AG7898" s="19"/>
      <c r="AJ7898" s="410"/>
    </row>
    <row r="7899" spans="33:36" ht="11.25" customHeight="1" x14ac:dyDescent="0.2">
      <c r="AG7899" s="19"/>
      <c r="AJ7899" s="410"/>
    </row>
    <row r="7900" spans="33:36" ht="11.25" customHeight="1" x14ac:dyDescent="0.2">
      <c r="AG7900" s="19"/>
      <c r="AJ7900" s="410"/>
    </row>
    <row r="7901" spans="33:36" ht="11.25" customHeight="1" x14ac:dyDescent="0.2">
      <c r="AG7901" s="19"/>
      <c r="AJ7901" s="410"/>
    </row>
    <row r="7902" spans="33:36" ht="11.25" customHeight="1" x14ac:dyDescent="0.2">
      <c r="AG7902" s="19"/>
      <c r="AJ7902" s="410"/>
    </row>
    <row r="7903" spans="33:36" ht="11.25" customHeight="1" x14ac:dyDescent="0.2">
      <c r="AG7903" s="19"/>
      <c r="AJ7903" s="410"/>
    </row>
    <row r="7904" spans="33:36" ht="11.25" customHeight="1" x14ac:dyDescent="0.2">
      <c r="AG7904" s="19"/>
      <c r="AJ7904" s="410"/>
    </row>
    <row r="7905" spans="33:36" ht="11.25" customHeight="1" x14ac:dyDescent="0.2">
      <c r="AG7905" s="19"/>
      <c r="AJ7905" s="410"/>
    </row>
    <row r="7906" spans="33:36" ht="11.25" customHeight="1" x14ac:dyDescent="0.2">
      <c r="AG7906" s="19"/>
      <c r="AJ7906" s="410"/>
    </row>
    <row r="7907" spans="33:36" ht="11.25" customHeight="1" x14ac:dyDescent="0.2">
      <c r="AG7907" s="19"/>
      <c r="AJ7907" s="410"/>
    </row>
    <row r="7908" spans="33:36" ht="11.25" customHeight="1" x14ac:dyDescent="0.2">
      <c r="AG7908" s="19"/>
      <c r="AJ7908" s="410"/>
    </row>
    <row r="7909" spans="33:36" ht="11.25" customHeight="1" x14ac:dyDescent="0.2">
      <c r="AG7909" s="19"/>
      <c r="AJ7909" s="410"/>
    </row>
    <row r="7910" spans="33:36" ht="11.25" customHeight="1" x14ac:dyDescent="0.2">
      <c r="AG7910" s="19"/>
      <c r="AJ7910" s="410"/>
    </row>
    <row r="7911" spans="33:36" ht="11.25" customHeight="1" x14ac:dyDescent="0.2">
      <c r="AG7911" s="19"/>
      <c r="AJ7911" s="410"/>
    </row>
    <row r="7912" spans="33:36" ht="11.25" customHeight="1" x14ac:dyDescent="0.2">
      <c r="AG7912" s="19"/>
      <c r="AJ7912" s="410"/>
    </row>
    <row r="7913" spans="33:36" ht="11.25" customHeight="1" x14ac:dyDescent="0.2">
      <c r="AG7913" s="19"/>
      <c r="AJ7913" s="410"/>
    </row>
    <row r="7914" spans="33:36" ht="11.25" customHeight="1" x14ac:dyDescent="0.2">
      <c r="AG7914" s="19"/>
      <c r="AJ7914" s="410"/>
    </row>
    <row r="7915" spans="33:36" ht="11.25" customHeight="1" x14ac:dyDescent="0.2">
      <c r="AG7915" s="19"/>
      <c r="AJ7915" s="410"/>
    </row>
    <row r="7916" spans="33:36" ht="11.25" customHeight="1" x14ac:dyDescent="0.2">
      <c r="AG7916" s="19"/>
      <c r="AJ7916" s="410"/>
    </row>
    <row r="7917" spans="33:36" ht="11.25" customHeight="1" x14ac:dyDescent="0.2">
      <c r="AG7917" s="19"/>
      <c r="AJ7917" s="410"/>
    </row>
    <row r="7918" spans="33:36" ht="11.25" customHeight="1" x14ac:dyDescent="0.2">
      <c r="AG7918" s="19"/>
      <c r="AJ7918" s="410"/>
    </row>
    <row r="7919" spans="33:36" ht="11.25" customHeight="1" x14ac:dyDescent="0.2">
      <c r="AG7919" s="19"/>
      <c r="AJ7919" s="410"/>
    </row>
    <row r="7920" spans="33:36" ht="11.25" customHeight="1" x14ac:dyDescent="0.2">
      <c r="AG7920" s="19"/>
      <c r="AJ7920" s="410"/>
    </row>
    <row r="7921" spans="33:36" ht="11.25" customHeight="1" x14ac:dyDescent="0.2">
      <c r="AG7921" s="19"/>
      <c r="AJ7921" s="410"/>
    </row>
    <row r="7922" spans="33:36" ht="11.25" customHeight="1" x14ac:dyDescent="0.2">
      <c r="AG7922" s="19"/>
      <c r="AJ7922" s="410"/>
    </row>
    <row r="7923" spans="33:36" ht="11.25" customHeight="1" x14ac:dyDescent="0.2">
      <c r="AG7923" s="19"/>
      <c r="AJ7923" s="410"/>
    </row>
    <row r="7924" spans="33:36" ht="11.25" customHeight="1" x14ac:dyDescent="0.2">
      <c r="AG7924" s="19"/>
      <c r="AJ7924" s="410"/>
    </row>
    <row r="7925" spans="33:36" ht="11.25" customHeight="1" x14ac:dyDescent="0.2">
      <c r="AG7925" s="19"/>
      <c r="AJ7925" s="410"/>
    </row>
    <row r="7926" spans="33:36" ht="11.25" customHeight="1" x14ac:dyDescent="0.2">
      <c r="AG7926" s="19"/>
      <c r="AJ7926" s="410"/>
    </row>
    <row r="7927" spans="33:36" ht="11.25" customHeight="1" x14ac:dyDescent="0.2">
      <c r="AG7927" s="19"/>
      <c r="AJ7927" s="410"/>
    </row>
    <row r="7928" spans="33:36" ht="11.25" customHeight="1" x14ac:dyDescent="0.2">
      <c r="AG7928" s="19"/>
      <c r="AJ7928" s="410"/>
    </row>
    <row r="7929" spans="33:36" ht="11.25" customHeight="1" x14ac:dyDescent="0.2">
      <c r="AG7929" s="19"/>
      <c r="AJ7929" s="410"/>
    </row>
    <row r="7930" spans="33:36" ht="11.25" customHeight="1" x14ac:dyDescent="0.2">
      <c r="AG7930" s="19"/>
      <c r="AJ7930" s="410"/>
    </row>
    <row r="7931" spans="33:36" ht="11.25" customHeight="1" x14ac:dyDescent="0.2">
      <c r="AG7931" s="19"/>
      <c r="AJ7931" s="410"/>
    </row>
    <row r="7932" spans="33:36" ht="11.25" customHeight="1" x14ac:dyDescent="0.2">
      <c r="AG7932" s="19"/>
      <c r="AJ7932" s="410"/>
    </row>
    <row r="7933" spans="33:36" ht="11.25" customHeight="1" x14ac:dyDescent="0.2">
      <c r="AG7933" s="19"/>
      <c r="AJ7933" s="410"/>
    </row>
    <row r="7934" spans="33:36" ht="11.25" customHeight="1" x14ac:dyDescent="0.2">
      <c r="AG7934" s="19"/>
      <c r="AJ7934" s="410"/>
    </row>
    <row r="7935" spans="33:36" ht="11.25" customHeight="1" x14ac:dyDescent="0.2">
      <c r="AG7935" s="19"/>
      <c r="AJ7935" s="410"/>
    </row>
    <row r="7936" spans="33:36" ht="11.25" customHeight="1" x14ac:dyDescent="0.2">
      <c r="AG7936" s="19"/>
      <c r="AJ7936" s="410"/>
    </row>
    <row r="7937" spans="33:36" ht="11.25" customHeight="1" x14ac:dyDescent="0.2">
      <c r="AG7937" s="19"/>
      <c r="AJ7937" s="410"/>
    </row>
    <row r="7938" spans="33:36" ht="11.25" customHeight="1" x14ac:dyDescent="0.2">
      <c r="AG7938" s="19"/>
      <c r="AJ7938" s="410"/>
    </row>
    <row r="7939" spans="33:36" ht="11.25" customHeight="1" x14ac:dyDescent="0.2">
      <c r="AG7939" s="19"/>
      <c r="AJ7939" s="410"/>
    </row>
    <row r="7940" spans="33:36" ht="11.25" customHeight="1" x14ac:dyDescent="0.2">
      <c r="AG7940" s="19"/>
      <c r="AJ7940" s="410"/>
    </row>
    <row r="7941" spans="33:36" ht="11.25" customHeight="1" x14ac:dyDescent="0.2">
      <c r="AG7941" s="19"/>
      <c r="AJ7941" s="410"/>
    </row>
    <row r="7942" spans="33:36" ht="11.25" customHeight="1" x14ac:dyDescent="0.2">
      <c r="AG7942" s="19"/>
      <c r="AJ7942" s="410"/>
    </row>
    <row r="7943" spans="33:36" ht="11.25" customHeight="1" x14ac:dyDescent="0.2">
      <c r="AG7943" s="19"/>
      <c r="AJ7943" s="410"/>
    </row>
    <row r="7944" spans="33:36" ht="11.25" customHeight="1" x14ac:dyDescent="0.2">
      <c r="AG7944" s="19"/>
      <c r="AJ7944" s="410"/>
    </row>
    <row r="7945" spans="33:36" ht="11.25" customHeight="1" x14ac:dyDescent="0.2">
      <c r="AG7945" s="19"/>
      <c r="AJ7945" s="410"/>
    </row>
    <row r="7946" spans="33:36" ht="11.25" customHeight="1" x14ac:dyDescent="0.2">
      <c r="AG7946" s="19"/>
      <c r="AJ7946" s="410"/>
    </row>
    <row r="7947" spans="33:36" ht="11.25" customHeight="1" x14ac:dyDescent="0.2">
      <c r="AG7947" s="19"/>
      <c r="AJ7947" s="410"/>
    </row>
    <row r="7948" spans="33:36" ht="11.25" customHeight="1" x14ac:dyDescent="0.2">
      <c r="AG7948" s="19"/>
      <c r="AJ7948" s="410"/>
    </row>
    <row r="7949" spans="33:36" ht="11.25" customHeight="1" x14ac:dyDescent="0.2">
      <c r="AG7949" s="19"/>
      <c r="AJ7949" s="410"/>
    </row>
    <row r="7950" spans="33:36" ht="11.25" customHeight="1" x14ac:dyDescent="0.2">
      <c r="AG7950" s="19"/>
      <c r="AJ7950" s="410"/>
    </row>
    <row r="7951" spans="33:36" ht="11.25" customHeight="1" x14ac:dyDescent="0.2">
      <c r="AG7951" s="19"/>
      <c r="AJ7951" s="410"/>
    </row>
    <row r="7952" spans="33:36" ht="11.25" customHeight="1" x14ac:dyDescent="0.2">
      <c r="AG7952" s="19"/>
      <c r="AJ7952" s="410"/>
    </row>
    <row r="7953" spans="33:36" ht="11.25" customHeight="1" x14ac:dyDescent="0.2">
      <c r="AG7953" s="19"/>
      <c r="AJ7953" s="410"/>
    </row>
    <row r="7954" spans="33:36" ht="11.25" customHeight="1" x14ac:dyDescent="0.2">
      <c r="AG7954" s="19"/>
      <c r="AJ7954" s="410"/>
    </row>
    <row r="7955" spans="33:36" ht="11.25" customHeight="1" x14ac:dyDescent="0.2">
      <c r="AG7955" s="19"/>
      <c r="AJ7955" s="410"/>
    </row>
    <row r="7956" spans="33:36" ht="11.25" customHeight="1" x14ac:dyDescent="0.2">
      <c r="AG7956" s="19"/>
      <c r="AJ7956" s="410"/>
    </row>
    <row r="7957" spans="33:36" ht="11.25" customHeight="1" x14ac:dyDescent="0.2">
      <c r="AG7957" s="19"/>
      <c r="AJ7957" s="410"/>
    </row>
    <row r="7958" spans="33:36" ht="11.25" customHeight="1" x14ac:dyDescent="0.2">
      <c r="AG7958" s="19"/>
      <c r="AJ7958" s="410"/>
    </row>
    <row r="7959" spans="33:36" ht="11.25" customHeight="1" x14ac:dyDescent="0.2">
      <c r="AG7959" s="19"/>
      <c r="AJ7959" s="410"/>
    </row>
    <row r="7960" spans="33:36" ht="11.25" customHeight="1" x14ac:dyDescent="0.2">
      <c r="AG7960" s="19"/>
      <c r="AJ7960" s="410"/>
    </row>
    <row r="7961" spans="33:36" ht="11.25" customHeight="1" x14ac:dyDescent="0.2">
      <c r="AG7961" s="19"/>
      <c r="AJ7961" s="410"/>
    </row>
    <row r="7962" spans="33:36" ht="11.25" customHeight="1" x14ac:dyDescent="0.2">
      <c r="AG7962" s="19"/>
      <c r="AJ7962" s="410"/>
    </row>
    <row r="7963" spans="33:36" ht="11.25" customHeight="1" x14ac:dyDescent="0.2">
      <c r="AG7963" s="19"/>
      <c r="AJ7963" s="410"/>
    </row>
    <row r="7964" spans="33:36" ht="11.25" customHeight="1" x14ac:dyDescent="0.2">
      <c r="AG7964" s="19"/>
      <c r="AJ7964" s="410"/>
    </row>
    <row r="7965" spans="33:36" ht="11.25" customHeight="1" x14ac:dyDescent="0.2">
      <c r="AG7965" s="19"/>
      <c r="AJ7965" s="410"/>
    </row>
    <row r="7966" spans="33:36" ht="11.25" customHeight="1" x14ac:dyDescent="0.2">
      <c r="AG7966" s="19"/>
      <c r="AJ7966" s="410"/>
    </row>
    <row r="7967" spans="33:36" ht="11.25" customHeight="1" x14ac:dyDescent="0.2">
      <c r="AG7967" s="19"/>
      <c r="AJ7967" s="410"/>
    </row>
    <row r="7968" spans="33:36" ht="11.25" customHeight="1" x14ac:dyDescent="0.2">
      <c r="AG7968" s="19"/>
      <c r="AJ7968" s="410"/>
    </row>
    <row r="7969" spans="33:36" ht="11.25" customHeight="1" x14ac:dyDescent="0.2">
      <c r="AG7969" s="19"/>
      <c r="AJ7969" s="410"/>
    </row>
    <row r="7970" spans="33:36" ht="11.25" customHeight="1" x14ac:dyDescent="0.2">
      <c r="AG7970" s="19"/>
      <c r="AJ7970" s="410"/>
    </row>
    <row r="7971" spans="33:36" ht="11.25" customHeight="1" x14ac:dyDescent="0.2">
      <c r="AG7971" s="19"/>
      <c r="AJ7971" s="410"/>
    </row>
    <row r="7972" spans="33:36" ht="11.25" customHeight="1" x14ac:dyDescent="0.2">
      <c r="AG7972" s="19"/>
      <c r="AJ7972" s="410"/>
    </row>
    <row r="7973" spans="33:36" ht="11.25" customHeight="1" x14ac:dyDescent="0.2">
      <c r="AG7973" s="19"/>
      <c r="AJ7973" s="410"/>
    </row>
    <row r="7974" spans="33:36" ht="11.25" customHeight="1" x14ac:dyDescent="0.2">
      <c r="AG7974" s="19"/>
      <c r="AJ7974" s="410"/>
    </row>
    <row r="7975" spans="33:36" ht="11.25" customHeight="1" x14ac:dyDescent="0.2">
      <c r="AG7975" s="19"/>
      <c r="AJ7975" s="410"/>
    </row>
    <row r="7976" spans="33:36" ht="11.25" customHeight="1" x14ac:dyDescent="0.2">
      <c r="AG7976" s="19"/>
      <c r="AJ7976" s="410"/>
    </row>
    <row r="7977" spans="33:36" ht="11.25" customHeight="1" x14ac:dyDescent="0.2">
      <c r="AG7977" s="19"/>
      <c r="AJ7977" s="410"/>
    </row>
    <row r="7978" spans="33:36" ht="11.25" customHeight="1" x14ac:dyDescent="0.2">
      <c r="AG7978" s="19"/>
      <c r="AJ7978" s="410"/>
    </row>
    <row r="7979" spans="33:36" ht="11.25" customHeight="1" x14ac:dyDescent="0.2">
      <c r="AG7979" s="19"/>
      <c r="AJ7979" s="410"/>
    </row>
    <row r="7980" spans="33:36" ht="11.25" customHeight="1" x14ac:dyDescent="0.2">
      <c r="AG7980" s="19"/>
      <c r="AJ7980" s="410"/>
    </row>
    <row r="7981" spans="33:36" ht="11.25" customHeight="1" x14ac:dyDescent="0.2">
      <c r="AG7981" s="19"/>
      <c r="AJ7981" s="410"/>
    </row>
    <row r="7982" spans="33:36" ht="11.25" customHeight="1" x14ac:dyDescent="0.2">
      <c r="AG7982" s="19"/>
      <c r="AJ7982" s="410"/>
    </row>
    <row r="7983" spans="33:36" ht="11.25" customHeight="1" x14ac:dyDescent="0.2">
      <c r="AG7983" s="19"/>
      <c r="AJ7983" s="410"/>
    </row>
    <row r="7984" spans="33:36" ht="11.25" customHeight="1" x14ac:dyDescent="0.2">
      <c r="AG7984" s="19"/>
      <c r="AJ7984" s="410"/>
    </row>
    <row r="7985" spans="33:36" ht="11.25" customHeight="1" x14ac:dyDescent="0.2">
      <c r="AG7985" s="19"/>
      <c r="AJ7985" s="410"/>
    </row>
    <row r="7986" spans="33:36" ht="11.25" customHeight="1" x14ac:dyDescent="0.2">
      <c r="AG7986" s="19"/>
      <c r="AJ7986" s="410"/>
    </row>
    <row r="7987" spans="33:36" ht="11.25" customHeight="1" x14ac:dyDescent="0.2">
      <c r="AG7987" s="19"/>
      <c r="AJ7987" s="410"/>
    </row>
    <row r="7988" spans="33:36" ht="11.25" customHeight="1" x14ac:dyDescent="0.2">
      <c r="AG7988" s="19"/>
      <c r="AJ7988" s="410"/>
    </row>
    <row r="7989" spans="33:36" ht="11.25" customHeight="1" x14ac:dyDescent="0.2">
      <c r="AG7989" s="19"/>
      <c r="AJ7989" s="410"/>
    </row>
    <row r="7990" spans="33:36" ht="11.25" customHeight="1" x14ac:dyDescent="0.2">
      <c r="AG7990" s="19"/>
      <c r="AJ7990" s="410"/>
    </row>
    <row r="7991" spans="33:36" ht="11.25" customHeight="1" x14ac:dyDescent="0.2">
      <c r="AG7991" s="19"/>
      <c r="AJ7991" s="410"/>
    </row>
    <row r="7992" spans="33:36" ht="11.25" customHeight="1" x14ac:dyDescent="0.2">
      <c r="AG7992" s="19"/>
      <c r="AJ7992" s="410"/>
    </row>
    <row r="7993" spans="33:36" ht="11.25" customHeight="1" x14ac:dyDescent="0.2">
      <c r="AG7993" s="19"/>
      <c r="AJ7993" s="410"/>
    </row>
    <row r="7994" spans="33:36" ht="11.25" customHeight="1" x14ac:dyDescent="0.2">
      <c r="AG7994" s="19"/>
      <c r="AJ7994" s="410"/>
    </row>
    <row r="7995" spans="33:36" ht="11.25" customHeight="1" x14ac:dyDescent="0.2">
      <c r="AG7995" s="19"/>
      <c r="AJ7995" s="410"/>
    </row>
    <row r="7996" spans="33:36" ht="11.25" customHeight="1" x14ac:dyDescent="0.2">
      <c r="AG7996" s="19"/>
      <c r="AJ7996" s="410"/>
    </row>
    <row r="7997" spans="33:36" ht="11.25" customHeight="1" x14ac:dyDescent="0.2">
      <c r="AG7997" s="19"/>
      <c r="AJ7997" s="410"/>
    </row>
    <row r="7998" spans="33:36" ht="11.25" customHeight="1" x14ac:dyDescent="0.2">
      <c r="AG7998" s="19"/>
      <c r="AJ7998" s="410"/>
    </row>
    <row r="7999" spans="33:36" ht="11.25" customHeight="1" x14ac:dyDescent="0.2">
      <c r="AG7999" s="19"/>
      <c r="AJ7999" s="410"/>
    </row>
    <row r="8000" spans="33:36" ht="11.25" customHeight="1" x14ac:dyDescent="0.2">
      <c r="AG8000" s="19"/>
      <c r="AJ8000" s="410"/>
    </row>
    <row r="8001" spans="33:36" ht="11.25" customHeight="1" x14ac:dyDescent="0.2">
      <c r="AG8001" s="19"/>
      <c r="AJ8001" s="410"/>
    </row>
    <row r="8002" spans="33:36" ht="11.25" customHeight="1" x14ac:dyDescent="0.2">
      <c r="AG8002" s="19"/>
      <c r="AJ8002" s="410"/>
    </row>
    <row r="8003" spans="33:36" ht="11.25" customHeight="1" x14ac:dyDescent="0.2">
      <c r="AG8003" s="19"/>
      <c r="AJ8003" s="410"/>
    </row>
    <row r="8004" spans="33:36" ht="11.25" customHeight="1" x14ac:dyDescent="0.2">
      <c r="AG8004" s="19"/>
      <c r="AJ8004" s="410"/>
    </row>
    <row r="8005" spans="33:36" ht="11.25" customHeight="1" x14ac:dyDescent="0.2">
      <c r="AG8005" s="19"/>
      <c r="AJ8005" s="410"/>
    </row>
    <row r="8006" spans="33:36" ht="11.25" customHeight="1" x14ac:dyDescent="0.2">
      <c r="AG8006" s="19"/>
      <c r="AJ8006" s="410"/>
    </row>
    <row r="8007" spans="33:36" ht="11.25" customHeight="1" x14ac:dyDescent="0.2">
      <c r="AG8007" s="19"/>
      <c r="AJ8007" s="410"/>
    </row>
    <row r="8008" spans="33:36" ht="11.25" customHeight="1" x14ac:dyDescent="0.2">
      <c r="AG8008" s="19"/>
      <c r="AJ8008" s="410"/>
    </row>
    <row r="8009" spans="33:36" ht="11.25" customHeight="1" x14ac:dyDescent="0.2">
      <c r="AG8009" s="19"/>
      <c r="AJ8009" s="410"/>
    </row>
    <row r="8010" spans="33:36" ht="11.25" customHeight="1" x14ac:dyDescent="0.2">
      <c r="AG8010" s="19"/>
      <c r="AJ8010" s="410"/>
    </row>
    <row r="8011" spans="33:36" ht="11.25" customHeight="1" x14ac:dyDescent="0.2">
      <c r="AG8011" s="19"/>
      <c r="AJ8011" s="410"/>
    </row>
    <row r="8012" spans="33:36" ht="11.25" customHeight="1" x14ac:dyDescent="0.2">
      <c r="AG8012" s="19"/>
      <c r="AJ8012" s="410"/>
    </row>
    <row r="8013" spans="33:36" ht="11.25" customHeight="1" x14ac:dyDescent="0.2">
      <c r="AG8013" s="19"/>
      <c r="AJ8013" s="410"/>
    </row>
    <row r="8014" spans="33:36" ht="11.25" customHeight="1" x14ac:dyDescent="0.2">
      <c r="AG8014" s="19"/>
      <c r="AJ8014" s="410"/>
    </row>
    <row r="8015" spans="33:36" ht="11.25" customHeight="1" x14ac:dyDescent="0.2">
      <c r="AG8015" s="19"/>
      <c r="AJ8015" s="410"/>
    </row>
    <row r="8016" spans="33:36" ht="11.25" customHeight="1" x14ac:dyDescent="0.2">
      <c r="AG8016" s="19"/>
      <c r="AJ8016" s="410"/>
    </row>
    <row r="8017" spans="33:36" ht="11.25" customHeight="1" x14ac:dyDescent="0.2">
      <c r="AG8017" s="19"/>
      <c r="AJ8017" s="410"/>
    </row>
    <row r="8018" spans="33:36" ht="11.25" customHeight="1" x14ac:dyDescent="0.2">
      <c r="AG8018" s="19"/>
      <c r="AJ8018" s="410"/>
    </row>
    <row r="8019" spans="33:36" ht="11.25" customHeight="1" x14ac:dyDescent="0.2">
      <c r="AG8019" s="19"/>
      <c r="AJ8019" s="410"/>
    </row>
    <row r="8020" spans="33:36" ht="11.25" customHeight="1" x14ac:dyDescent="0.2">
      <c r="AG8020" s="19"/>
      <c r="AJ8020" s="410"/>
    </row>
    <row r="8021" spans="33:36" ht="11.25" customHeight="1" x14ac:dyDescent="0.2">
      <c r="AG8021" s="19"/>
      <c r="AJ8021" s="410"/>
    </row>
    <row r="8022" spans="33:36" ht="11.25" customHeight="1" x14ac:dyDescent="0.2">
      <c r="AG8022" s="19"/>
      <c r="AJ8022" s="410"/>
    </row>
    <row r="8023" spans="33:36" ht="11.25" customHeight="1" x14ac:dyDescent="0.2">
      <c r="AG8023" s="19"/>
      <c r="AJ8023" s="410"/>
    </row>
    <row r="8024" spans="33:36" ht="11.25" customHeight="1" x14ac:dyDescent="0.2">
      <c r="AG8024" s="19"/>
      <c r="AJ8024" s="410"/>
    </row>
    <row r="8025" spans="33:36" ht="11.25" customHeight="1" x14ac:dyDescent="0.2">
      <c r="AG8025" s="19"/>
      <c r="AJ8025" s="410"/>
    </row>
    <row r="8026" spans="33:36" ht="11.25" customHeight="1" x14ac:dyDescent="0.2">
      <c r="AG8026" s="19"/>
      <c r="AJ8026" s="410"/>
    </row>
    <row r="8027" spans="33:36" ht="11.25" customHeight="1" x14ac:dyDescent="0.2">
      <c r="AG8027" s="19"/>
      <c r="AJ8027" s="410"/>
    </row>
    <row r="8028" spans="33:36" ht="11.25" customHeight="1" x14ac:dyDescent="0.2">
      <c r="AG8028" s="19"/>
      <c r="AJ8028" s="410"/>
    </row>
    <row r="8029" spans="33:36" ht="11.25" customHeight="1" x14ac:dyDescent="0.2">
      <c r="AG8029" s="19"/>
      <c r="AJ8029" s="410"/>
    </row>
    <row r="8030" spans="33:36" ht="11.25" customHeight="1" x14ac:dyDescent="0.2">
      <c r="AG8030" s="19"/>
      <c r="AJ8030" s="410"/>
    </row>
    <row r="8031" spans="33:36" ht="11.25" customHeight="1" x14ac:dyDescent="0.2">
      <c r="AG8031" s="19"/>
      <c r="AJ8031" s="410"/>
    </row>
    <row r="8032" spans="33:36" ht="11.25" customHeight="1" x14ac:dyDescent="0.2">
      <c r="AG8032" s="19"/>
      <c r="AJ8032" s="410"/>
    </row>
    <row r="8033" spans="33:36" ht="11.25" customHeight="1" x14ac:dyDescent="0.2">
      <c r="AG8033" s="19"/>
      <c r="AJ8033" s="410"/>
    </row>
    <row r="8034" spans="33:36" ht="11.25" customHeight="1" x14ac:dyDescent="0.2">
      <c r="AG8034" s="19"/>
      <c r="AJ8034" s="410"/>
    </row>
    <row r="8035" spans="33:36" ht="11.25" customHeight="1" x14ac:dyDescent="0.2">
      <c r="AG8035" s="19"/>
      <c r="AJ8035" s="410"/>
    </row>
    <row r="8036" spans="33:36" ht="11.25" customHeight="1" x14ac:dyDescent="0.2">
      <c r="AG8036" s="19"/>
      <c r="AJ8036" s="410"/>
    </row>
    <row r="8037" spans="33:36" ht="11.25" customHeight="1" x14ac:dyDescent="0.2">
      <c r="AG8037" s="19"/>
      <c r="AJ8037" s="410"/>
    </row>
    <row r="8038" spans="33:36" ht="11.25" customHeight="1" x14ac:dyDescent="0.2">
      <c r="AG8038" s="19"/>
      <c r="AJ8038" s="410"/>
    </row>
    <row r="8039" spans="33:36" ht="11.25" customHeight="1" x14ac:dyDescent="0.2">
      <c r="AG8039" s="19"/>
      <c r="AJ8039" s="410"/>
    </row>
    <row r="8040" spans="33:36" ht="11.25" customHeight="1" x14ac:dyDescent="0.2">
      <c r="AG8040" s="19"/>
      <c r="AJ8040" s="410"/>
    </row>
    <row r="8041" spans="33:36" ht="11.25" customHeight="1" x14ac:dyDescent="0.2">
      <c r="AG8041" s="19"/>
      <c r="AJ8041" s="410"/>
    </row>
    <row r="8042" spans="33:36" ht="11.25" customHeight="1" x14ac:dyDescent="0.2">
      <c r="AG8042" s="19"/>
      <c r="AJ8042" s="410"/>
    </row>
    <row r="8043" spans="33:36" ht="11.25" customHeight="1" x14ac:dyDescent="0.2">
      <c r="AG8043" s="19"/>
      <c r="AJ8043" s="410"/>
    </row>
    <row r="8044" spans="33:36" ht="11.25" customHeight="1" x14ac:dyDescent="0.2">
      <c r="AG8044" s="19"/>
      <c r="AJ8044" s="410"/>
    </row>
    <row r="8045" spans="33:36" ht="11.25" customHeight="1" x14ac:dyDescent="0.2">
      <c r="AG8045" s="19"/>
      <c r="AJ8045" s="410"/>
    </row>
    <row r="8046" spans="33:36" ht="11.25" customHeight="1" x14ac:dyDescent="0.2">
      <c r="AG8046" s="19"/>
      <c r="AJ8046" s="410"/>
    </row>
    <row r="8047" spans="33:36" ht="11.25" customHeight="1" x14ac:dyDescent="0.2">
      <c r="AG8047" s="19"/>
      <c r="AJ8047" s="410"/>
    </row>
    <row r="8048" spans="33:36" ht="11.25" customHeight="1" x14ac:dyDescent="0.2">
      <c r="AG8048" s="19"/>
      <c r="AJ8048" s="410"/>
    </row>
    <row r="8049" spans="33:36" ht="11.25" customHeight="1" x14ac:dyDescent="0.2">
      <c r="AG8049" s="19"/>
      <c r="AJ8049" s="410"/>
    </row>
    <row r="8050" spans="33:36" ht="11.25" customHeight="1" x14ac:dyDescent="0.2">
      <c r="AG8050" s="19"/>
      <c r="AJ8050" s="410"/>
    </row>
    <row r="8051" spans="33:36" ht="11.25" customHeight="1" x14ac:dyDescent="0.2">
      <c r="AG8051" s="19"/>
      <c r="AJ8051" s="410"/>
    </row>
    <row r="8052" spans="33:36" ht="11.25" customHeight="1" x14ac:dyDescent="0.2">
      <c r="AG8052" s="19"/>
      <c r="AJ8052" s="410"/>
    </row>
    <row r="8053" spans="33:36" ht="11.25" customHeight="1" x14ac:dyDescent="0.2">
      <c r="AG8053" s="19"/>
      <c r="AJ8053" s="410"/>
    </row>
    <row r="8054" spans="33:36" ht="11.25" customHeight="1" x14ac:dyDescent="0.2">
      <c r="AG8054" s="19"/>
      <c r="AJ8054" s="410"/>
    </row>
    <row r="8055" spans="33:36" ht="11.25" customHeight="1" x14ac:dyDescent="0.2">
      <c r="AG8055" s="19"/>
      <c r="AJ8055" s="410"/>
    </row>
    <row r="8056" spans="33:36" ht="11.25" customHeight="1" x14ac:dyDescent="0.2">
      <c r="AG8056" s="19"/>
      <c r="AJ8056" s="410"/>
    </row>
    <row r="8057" spans="33:36" ht="11.25" customHeight="1" x14ac:dyDescent="0.2">
      <c r="AG8057" s="19"/>
      <c r="AJ8057" s="410"/>
    </row>
    <row r="8058" spans="33:36" ht="11.25" customHeight="1" x14ac:dyDescent="0.2">
      <c r="AG8058" s="19"/>
      <c r="AJ8058" s="410"/>
    </row>
    <row r="8059" spans="33:36" ht="11.25" customHeight="1" x14ac:dyDescent="0.2">
      <c r="AG8059" s="19"/>
      <c r="AJ8059" s="410"/>
    </row>
    <row r="8060" spans="33:36" ht="11.25" customHeight="1" x14ac:dyDescent="0.2">
      <c r="AG8060" s="19"/>
      <c r="AJ8060" s="410"/>
    </row>
    <row r="8061" spans="33:36" ht="11.25" customHeight="1" x14ac:dyDescent="0.2">
      <c r="AG8061" s="19"/>
      <c r="AJ8061" s="410"/>
    </row>
    <row r="8062" spans="33:36" ht="11.25" customHeight="1" x14ac:dyDescent="0.2">
      <c r="AG8062" s="19"/>
      <c r="AJ8062" s="410"/>
    </row>
    <row r="8063" spans="33:36" ht="11.25" customHeight="1" x14ac:dyDescent="0.2">
      <c r="AG8063" s="19"/>
      <c r="AJ8063" s="410"/>
    </row>
    <row r="8064" spans="33:36" ht="11.25" customHeight="1" x14ac:dyDescent="0.2">
      <c r="AG8064" s="19"/>
      <c r="AJ8064" s="410"/>
    </row>
    <row r="8065" spans="33:36" ht="11.25" customHeight="1" x14ac:dyDescent="0.2">
      <c r="AG8065" s="19"/>
      <c r="AJ8065" s="410"/>
    </row>
    <row r="8066" spans="33:36" ht="11.25" customHeight="1" x14ac:dyDescent="0.2">
      <c r="AG8066" s="19"/>
      <c r="AJ8066" s="410"/>
    </row>
    <row r="8067" spans="33:36" ht="11.25" customHeight="1" x14ac:dyDescent="0.2">
      <c r="AG8067" s="19"/>
      <c r="AJ8067" s="410"/>
    </row>
    <row r="8068" spans="33:36" ht="11.25" customHeight="1" x14ac:dyDescent="0.2">
      <c r="AG8068" s="19"/>
      <c r="AJ8068" s="410"/>
    </row>
    <row r="8069" spans="33:36" ht="11.25" customHeight="1" x14ac:dyDescent="0.2">
      <c r="AG8069" s="19"/>
      <c r="AJ8069" s="410"/>
    </row>
    <row r="8070" spans="33:36" ht="11.25" customHeight="1" x14ac:dyDescent="0.2">
      <c r="AG8070" s="19"/>
      <c r="AJ8070" s="410"/>
    </row>
    <row r="8071" spans="33:36" ht="11.25" customHeight="1" x14ac:dyDescent="0.2">
      <c r="AG8071" s="19"/>
      <c r="AJ8071" s="410"/>
    </row>
    <row r="8072" spans="33:36" ht="11.25" customHeight="1" x14ac:dyDescent="0.2">
      <c r="AG8072" s="19"/>
      <c r="AJ8072" s="410"/>
    </row>
    <row r="8073" spans="33:36" ht="11.25" customHeight="1" x14ac:dyDescent="0.2">
      <c r="AG8073" s="19"/>
      <c r="AJ8073" s="410"/>
    </row>
    <row r="8074" spans="33:36" ht="11.25" customHeight="1" x14ac:dyDescent="0.2">
      <c r="AG8074" s="19"/>
      <c r="AJ8074" s="410"/>
    </row>
    <row r="8075" spans="33:36" ht="11.25" customHeight="1" x14ac:dyDescent="0.2">
      <c r="AG8075" s="19"/>
      <c r="AJ8075" s="410"/>
    </row>
    <row r="8076" spans="33:36" ht="11.25" customHeight="1" x14ac:dyDescent="0.2">
      <c r="AG8076" s="19"/>
      <c r="AJ8076" s="410"/>
    </row>
    <row r="8077" spans="33:36" ht="11.25" customHeight="1" x14ac:dyDescent="0.2">
      <c r="AG8077" s="19"/>
      <c r="AJ8077" s="410"/>
    </row>
    <row r="8078" spans="33:36" ht="11.25" customHeight="1" x14ac:dyDescent="0.2">
      <c r="AG8078" s="19"/>
      <c r="AJ8078" s="410"/>
    </row>
    <row r="8079" spans="33:36" ht="11.25" customHeight="1" x14ac:dyDescent="0.2">
      <c r="AG8079" s="19"/>
      <c r="AJ8079" s="410"/>
    </row>
    <row r="8080" spans="33:36" ht="11.25" customHeight="1" x14ac:dyDescent="0.2">
      <c r="AG8080" s="19"/>
      <c r="AJ8080" s="410"/>
    </row>
    <row r="8081" spans="33:36" ht="11.25" customHeight="1" x14ac:dyDescent="0.2">
      <c r="AG8081" s="19"/>
      <c r="AJ8081" s="410"/>
    </row>
    <row r="8082" spans="33:36" ht="11.25" customHeight="1" x14ac:dyDescent="0.2">
      <c r="AG8082" s="19"/>
      <c r="AJ8082" s="410"/>
    </row>
    <row r="8083" spans="33:36" ht="11.25" customHeight="1" x14ac:dyDescent="0.2">
      <c r="AG8083" s="19"/>
      <c r="AJ8083" s="410"/>
    </row>
    <row r="8084" spans="33:36" ht="11.25" customHeight="1" x14ac:dyDescent="0.2">
      <c r="AG8084" s="19"/>
      <c r="AJ8084" s="410"/>
    </row>
    <row r="8085" spans="33:36" ht="11.25" customHeight="1" x14ac:dyDescent="0.2">
      <c r="AG8085" s="19"/>
      <c r="AJ8085" s="410"/>
    </row>
    <row r="8086" spans="33:36" ht="11.25" customHeight="1" x14ac:dyDescent="0.2">
      <c r="AG8086" s="19"/>
      <c r="AJ8086" s="410"/>
    </row>
    <row r="8087" spans="33:36" ht="11.25" customHeight="1" x14ac:dyDescent="0.2">
      <c r="AG8087" s="19"/>
      <c r="AJ8087" s="410"/>
    </row>
    <row r="8088" spans="33:36" ht="11.25" customHeight="1" x14ac:dyDescent="0.2">
      <c r="AG8088" s="19"/>
      <c r="AJ8088" s="410"/>
    </row>
    <row r="8089" spans="33:36" ht="11.25" customHeight="1" x14ac:dyDescent="0.2">
      <c r="AG8089" s="19"/>
      <c r="AJ8089" s="410"/>
    </row>
    <row r="8090" spans="33:36" ht="11.25" customHeight="1" x14ac:dyDescent="0.2">
      <c r="AG8090" s="19"/>
      <c r="AJ8090" s="410"/>
    </row>
    <row r="8091" spans="33:36" ht="11.25" customHeight="1" x14ac:dyDescent="0.2">
      <c r="AG8091" s="19"/>
      <c r="AJ8091" s="410"/>
    </row>
    <row r="8092" spans="33:36" ht="11.25" customHeight="1" x14ac:dyDescent="0.2">
      <c r="AG8092" s="19"/>
      <c r="AJ8092" s="410"/>
    </row>
    <row r="8093" spans="33:36" ht="11.25" customHeight="1" x14ac:dyDescent="0.2">
      <c r="AG8093" s="19"/>
      <c r="AJ8093" s="410"/>
    </row>
    <row r="8094" spans="33:36" ht="11.25" customHeight="1" x14ac:dyDescent="0.2">
      <c r="AG8094" s="19"/>
      <c r="AJ8094" s="410"/>
    </row>
    <row r="8095" spans="33:36" ht="11.25" customHeight="1" x14ac:dyDescent="0.2">
      <c r="AG8095" s="19"/>
      <c r="AJ8095" s="410"/>
    </row>
    <row r="8096" spans="33:36" ht="11.25" customHeight="1" x14ac:dyDescent="0.2">
      <c r="AG8096" s="19"/>
      <c r="AJ8096" s="410"/>
    </row>
    <row r="8097" spans="33:36" ht="11.25" customHeight="1" x14ac:dyDescent="0.2">
      <c r="AG8097" s="19"/>
      <c r="AJ8097" s="410"/>
    </row>
    <row r="8098" spans="33:36" ht="11.25" customHeight="1" x14ac:dyDescent="0.2">
      <c r="AG8098" s="19"/>
      <c r="AJ8098" s="410"/>
    </row>
    <row r="8099" spans="33:36" ht="11.25" customHeight="1" x14ac:dyDescent="0.2">
      <c r="AG8099" s="19"/>
      <c r="AJ8099" s="410"/>
    </row>
    <row r="8100" spans="33:36" ht="11.25" customHeight="1" x14ac:dyDescent="0.2">
      <c r="AG8100" s="19"/>
      <c r="AJ8100" s="410"/>
    </row>
    <row r="8101" spans="33:36" ht="11.25" customHeight="1" x14ac:dyDescent="0.2">
      <c r="AG8101" s="19"/>
      <c r="AJ8101" s="410"/>
    </row>
    <row r="8102" spans="33:36" ht="11.25" customHeight="1" x14ac:dyDescent="0.2">
      <c r="AG8102" s="19"/>
      <c r="AJ8102" s="410"/>
    </row>
    <row r="8103" spans="33:36" ht="11.25" customHeight="1" x14ac:dyDescent="0.2">
      <c r="AG8103" s="19"/>
      <c r="AJ8103" s="410"/>
    </row>
    <row r="8104" spans="33:36" ht="11.25" customHeight="1" x14ac:dyDescent="0.2">
      <c r="AG8104" s="19"/>
      <c r="AJ8104" s="410"/>
    </row>
    <row r="8105" spans="33:36" ht="11.25" customHeight="1" x14ac:dyDescent="0.2">
      <c r="AG8105" s="19"/>
      <c r="AJ8105" s="410"/>
    </row>
    <row r="8106" spans="33:36" ht="11.25" customHeight="1" x14ac:dyDescent="0.2">
      <c r="AG8106" s="19"/>
      <c r="AJ8106" s="410"/>
    </row>
    <row r="8107" spans="33:36" ht="11.25" customHeight="1" x14ac:dyDescent="0.2">
      <c r="AG8107" s="19"/>
      <c r="AJ8107" s="410"/>
    </row>
    <row r="8108" spans="33:36" ht="11.25" customHeight="1" x14ac:dyDescent="0.2">
      <c r="AG8108" s="19"/>
      <c r="AJ8108" s="410"/>
    </row>
    <row r="8109" spans="33:36" ht="11.25" customHeight="1" x14ac:dyDescent="0.2">
      <c r="AG8109" s="19"/>
      <c r="AJ8109" s="410"/>
    </row>
    <row r="8110" spans="33:36" ht="11.25" customHeight="1" x14ac:dyDescent="0.2">
      <c r="AG8110" s="19"/>
      <c r="AJ8110" s="410"/>
    </row>
    <row r="8111" spans="33:36" ht="11.25" customHeight="1" x14ac:dyDescent="0.2">
      <c r="AG8111" s="19"/>
      <c r="AJ8111" s="410"/>
    </row>
    <row r="8112" spans="33:36" ht="11.25" customHeight="1" x14ac:dyDescent="0.2">
      <c r="AG8112" s="19"/>
      <c r="AJ8112" s="410"/>
    </row>
    <row r="8113" spans="33:36" ht="11.25" customHeight="1" x14ac:dyDescent="0.2">
      <c r="AG8113" s="19"/>
      <c r="AJ8113" s="410"/>
    </row>
    <row r="8114" spans="33:36" ht="11.25" customHeight="1" x14ac:dyDescent="0.2">
      <c r="AG8114" s="19"/>
      <c r="AJ8114" s="410"/>
    </row>
    <row r="8115" spans="33:36" ht="11.25" customHeight="1" x14ac:dyDescent="0.2">
      <c r="AG8115" s="19"/>
      <c r="AJ8115" s="410"/>
    </row>
    <row r="8116" spans="33:36" ht="11.25" customHeight="1" x14ac:dyDescent="0.2">
      <c r="AG8116" s="19"/>
      <c r="AJ8116" s="410"/>
    </row>
    <row r="8117" spans="33:36" ht="11.25" customHeight="1" x14ac:dyDescent="0.2">
      <c r="AG8117" s="19"/>
      <c r="AJ8117" s="410"/>
    </row>
    <row r="8118" spans="33:36" ht="11.25" customHeight="1" x14ac:dyDescent="0.2">
      <c r="AG8118" s="19"/>
      <c r="AJ8118" s="410"/>
    </row>
    <row r="8119" spans="33:36" ht="11.25" customHeight="1" x14ac:dyDescent="0.2">
      <c r="AG8119" s="19"/>
      <c r="AJ8119" s="410"/>
    </row>
    <row r="8120" spans="33:36" ht="11.25" customHeight="1" x14ac:dyDescent="0.2">
      <c r="AG8120" s="19"/>
      <c r="AJ8120" s="410"/>
    </row>
    <row r="8121" spans="33:36" ht="11.25" customHeight="1" x14ac:dyDescent="0.2">
      <c r="AG8121" s="19"/>
      <c r="AJ8121" s="410"/>
    </row>
    <row r="8122" spans="33:36" ht="11.25" customHeight="1" x14ac:dyDescent="0.2">
      <c r="AG8122" s="19"/>
      <c r="AJ8122" s="410"/>
    </row>
    <row r="8123" spans="33:36" ht="11.25" customHeight="1" x14ac:dyDescent="0.2">
      <c r="AG8123" s="19"/>
      <c r="AJ8123" s="410"/>
    </row>
    <row r="8124" spans="33:36" ht="11.25" customHeight="1" x14ac:dyDescent="0.2">
      <c r="AG8124" s="19"/>
      <c r="AJ8124" s="410"/>
    </row>
    <row r="8125" spans="33:36" ht="11.25" customHeight="1" x14ac:dyDescent="0.2">
      <c r="AG8125" s="19"/>
      <c r="AJ8125" s="410"/>
    </row>
    <row r="8126" spans="33:36" ht="11.25" customHeight="1" x14ac:dyDescent="0.2">
      <c r="AG8126" s="19"/>
      <c r="AJ8126" s="410"/>
    </row>
    <row r="8127" spans="33:36" ht="11.25" customHeight="1" x14ac:dyDescent="0.2">
      <c r="AG8127" s="19"/>
      <c r="AJ8127" s="410"/>
    </row>
    <row r="8128" spans="33:36" ht="11.25" customHeight="1" x14ac:dyDescent="0.2">
      <c r="AG8128" s="19"/>
      <c r="AJ8128" s="410"/>
    </row>
    <row r="8129" spans="33:36" ht="11.25" customHeight="1" x14ac:dyDescent="0.2">
      <c r="AG8129" s="19"/>
      <c r="AJ8129" s="410"/>
    </row>
    <row r="8130" spans="33:36" ht="11.25" customHeight="1" x14ac:dyDescent="0.2">
      <c r="AG8130" s="19"/>
      <c r="AJ8130" s="410"/>
    </row>
    <row r="8131" spans="33:36" ht="11.25" customHeight="1" x14ac:dyDescent="0.2">
      <c r="AG8131" s="19"/>
      <c r="AJ8131" s="410"/>
    </row>
    <row r="8132" spans="33:36" ht="11.25" customHeight="1" x14ac:dyDescent="0.2">
      <c r="AG8132" s="19"/>
      <c r="AJ8132" s="410"/>
    </row>
    <row r="8133" spans="33:36" ht="11.25" customHeight="1" x14ac:dyDescent="0.2">
      <c r="AG8133" s="19"/>
      <c r="AJ8133" s="410"/>
    </row>
    <row r="8134" spans="33:36" ht="11.25" customHeight="1" x14ac:dyDescent="0.2">
      <c r="AG8134" s="19"/>
      <c r="AJ8134" s="410"/>
    </row>
    <row r="8135" spans="33:36" ht="11.25" customHeight="1" x14ac:dyDescent="0.2">
      <c r="AG8135" s="19"/>
      <c r="AJ8135" s="410"/>
    </row>
    <row r="8136" spans="33:36" ht="11.25" customHeight="1" x14ac:dyDescent="0.2">
      <c r="AG8136" s="19"/>
      <c r="AJ8136" s="410"/>
    </row>
    <row r="8137" spans="33:36" ht="11.25" customHeight="1" x14ac:dyDescent="0.2">
      <c r="AG8137" s="19"/>
      <c r="AJ8137" s="410"/>
    </row>
    <row r="8138" spans="33:36" ht="11.25" customHeight="1" x14ac:dyDescent="0.2">
      <c r="AG8138" s="19"/>
      <c r="AJ8138" s="410"/>
    </row>
    <row r="8139" spans="33:36" ht="11.25" customHeight="1" x14ac:dyDescent="0.2">
      <c r="AG8139" s="19"/>
      <c r="AJ8139" s="410"/>
    </row>
    <row r="8140" spans="33:36" ht="11.25" customHeight="1" x14ac:dyDescent="0.2">
      <c r="AG8140" s="19"/>
      <c r="AJ8140" s="410"/>
    </row>
    <row r="8141" spans="33:36" ht="11.25" customHeight="1" x14ac:dyDescent="0.2">
      <c r="AG8141" s="19"/>
      <c r="AJ8141" s="410"/>
    </row>
    <row r="8142" spans="33:36" ht="11.25" customHeight="1" x14ac:dyDescent="0.2">
      <c r="AG8142" s="19"/>
      <c r="AJ8142" s="410"/>
    </row>
    <row r="8143" spans="33:36" ht="11.25" customHeight="1" x14ac:dyDescent="0.2">
      <c r="AG8143" s="19"/>
      <c r="AJ8143" s="410"/>
    </row>
    <row r="8144" spans="33:36" ht="11.25" customHeight="1" x14ac:dyDescent="0.2">
      <c r="AG8144" s="19"/>
      <c r="AJ8144" s="410"/>
    </row>
    <row r="8145" spans="33:36" ht="11.25" customHeight="1" x14ac:dyDescent="0.2">
      <c r="AG8145" s="19"/>
      <c r="AJ8145" s="410"/>
    </row>
    <row r="8146" spans="33:36" ht="11.25" customHeight="1" x14ac:dyDescent="0.2">
      <c r="AG8146" s="19"/>
      <c r="AJ8146" s="410"/>
    </row>
    <row r="8147" spans="33:36" ht="11.25" customHeight="1" x14ac:dyDescent="0.2">
      <c r="AG8147" s="19"/>
      <c r="AJ8147" s="410"/>
    </row>
    <row r="8148" spans="33:36" ht="11.25" customHeight="1" x14ac:dyDescent="0.2">
      <c r="AG8148" s="19"/>
      <c r="AJ8148" s="410"/>
    </row>
    <row r="8149" spans="33:36" ht="11.25" customHeight="1" x14ac:dyDescent="0.2">
      <c r="AG8149" s="19"/>
      <c r="AJ8149" s="410"/>
    </row>
    <row r="8150" spans="33:36" ht="11.25" customHeight="1" x14ac:dyDescent="0.2">
      <c r="AG8150" s="19"/>
      <c r="AJ8150" s="410"/>
    </row>
    <row r="8151" spans="33:36" ht="11.25" customHeight="1" x14ac:dyDescent="0.2">
      <c r="AG8151" s="19"/>
      <c r="AJ8151" s="410"/>
    </row>
    <row r="8152" spans="33:36" ht="11.25" customHeight="1" x14ac:dyDescent="0.2">
      <c r="AG8152" s="19"/>
      <c r="AJ8152" s="410"/>
    </row>
    <row r="8153" spans="33:36" ht="11.25" customHeight="1" x14ac:dyDescent="0.2">
      <c r="AG8153" s="19"/>
      <c r="AJ8153" s="410"/>
    </row>
    <row r="8154" spans="33:36" ht="11.25" customHeight="1" x14ac:dyDescent="0.2">
      <c r="AG8154" s="19"/>
      <c r="AJ8154" s="410"/>
    </row>
    <row r="8155" spans="33:36" ht="11.25" customHeight="1" x14ac:dyDescent="0.2">
      <c r="AG8155" s="19"/>
      <c r="AJ8155" s="410"/>
    </row>
    <row r="8156" spans="33:36" ht="11.25" customHeight="1" x14ac:dyDescent="0.2">
      <c r="AG8156" s="19"/>
      <c r="AJ8156" s="410"/>
    </row>
    <row r="8157" spans="33:36" ht="11.25" customHeight="1" x14ac:dyDescent="0.2">
      <c r="AG8157" s="19"/>
      <c r="AJ8157" s="410"/>
    </row>
    <row r="8158" spans="33:36" ht="11.25" customHeight="1" x14ac:dyDescent="0.2">
      <c r="AG8158" s="19"/>
      <c r="AJ8158" s="410"/>
    </row>
    <row r="8159" spans="33:36" ht="11.25" customHeight="1" x14ac:dyDescent="0.2">
      <c r="AG8159" s="19"/>
      <c r="AJ8159" s="410"/>
    </row>
    <row r="8160" spans="33:36" ht="11.25" customHeight="1" x14ac:dyDescent="0.2">
      <c r="AG8160" s="19"/>
      <c r="AJ8160" s="410"/>
    </row>
    <row r="8161" spans="33:36" ht="11.25" customHeight="1" x14ac:dyDescent="0.2">
      <c r="AG8161" s="19"/>
      <c r="AJ8161" s="410"/>
    </row>
    <row r="8162" spans="33:36" ht="11.25" customHeight="1" x14ac:dyDescent="0.2">
      <c r="AG8162" s="19"/>
      <c r="AJ8162" s="410"/>
    </row>
    <row r="8163" spans="33:36" ht="11.25" customHeight="1" x14ac:dyDescent="0.2">
      <c r="AG8163" s="19"/>
      <c r="AJ8163" s="410"/>
    </row>
    <row r="8164" spans="33:36" ht="11.25" customHeight="1" x14ac:dyDescent="0.2">
      <c r="AG8164" s="19"/>
      <c r="AJ8164" s="410"/>
    </row>
    <row r="8165" spans="33:36" ht="11.25" customHeight="1" x14ac:dyDescent="0.2">
      <c r="AG8165" s="19"/>
      <c r="AJ8165" s="410"/>
    </row>
    <row r="8166" spans="33:36" ht="11.25" customHeight="1" x14ac:dyDescent="0.2">
      <c r="AG8166" s="19"/>
      <c r="AJ8166" s="410"/>
    </row>
    <row r="8167" spans="33:36" ht="11.25" customHeight="1" x14ac:dyDescent="0.2">
      <c r="AG8167" s="19"/>
      <c r="AJ8167" s="410"/>
    </row>
    <row r="8168" spans="33:36" ht="11.25" customHeight="1" x14ac:dyDescent="0.2">
      <c r="AG8168" s="19"/>
      <c r="AJ8168" s="410"/>
    </row>
    <row r="8169" spans="33:36" ht="11.25" customHeight="1" x14ac:dyDescent="0.2">
      <c r="AG8169" s="19"/>
      <c r="AJ8169" s="410"/>
    </row>
    <row r="8170" spans="33:36" ht="11.25" customHeight="1" x14ac:dyDescent="0.2">
      <c r="AG8170" s="19"/>
      <c r="AJ8170" s="410"/>
    </row>
    <row r="8171" spans="33:36" ht="11.25" customHeight="1" x14ac:dyDescent="0.2">
      <c r="AG8171" s="19"/>
      <c r="AJ8171" s="410"/>
    </row>
    <row r="8172" spans="33:36" ht="11.25" customHeight="1" x14ac:dyDescent="0.2">
      <c r="AG8172" s="19"/>
      <c r="AJ8172" s="410"/>
    </row>
    <row r="8173" spans="33:36" ht="11.25" customHeight="1" x14ac:dyDescent="0.2">
      <c r="AG8173" s="19"/>
      <c r="AJ8173" s="410"/>
    </row>
    <row r="8174" spans="33:36" ht="11.25" customHeight="1" x14ac:dyDescent="0.2">
      <c r="AG8174" s="19"/>
      <c r="AJ8174" s="410"/>
    </row>
    <row r="8175" spans="33:36" ht="11.25" customHeight="1" x14ac:dyDescent="0.2">
      <c r="AG8175" s="19"/>
      <c r="AJ8175" s="410"/>
    </row>
    <row r="8176" spans="33:36" ht="11.25" customHeight="1" x14ac:dyDescent="0.2">
      <c r="AG8176" s="19"/>
      <c r="AJ8176" s="410"/>
    </row>
    <row r="8177" spans="33:36" ht="11.25" customHeight="1" x14ac:dyDescent="0.2">
      <c r="AG8177" s="19"/>
      <c r="AJ8177" s="410"/>
    </row>
    <row r="8178" spans="33:36" ht="11.25" customHeight="1" x14ac:dyDescent="0.2">
      <c r="AG8178" s="19"/>
      <c r="AJ8178" s="410"/>
    </row>
    <row r="8179" spans="33:36" ht="11.25" customHeight="1" x14ac:dyDescent="0.2">
      <c r="AG8179" s="19"/>
      <c r="AJ8179" s="410"/>
    </row>
    <row r="8180" spans="33:36" ht="11.25" customHeight="1" x14ac:dyDescent="0.2">
      <c r="AG8180" s="19"/>
      <c r="AJ8180" s="410"/>
    </row>
    <row r="8181" spans="33:36" ht="11.25" customHeight="1" x14ac:dyDescent="0.2">
      <c r="AG8181" s="19"/>
      <c r="AJ8181" s="410"/>
    </row>
    <row r="8182" spans="33:36" ht="11.25" customHeight="1" x14ac:dyDescent="0.2">
      <c r="AG8182" s="19"/>
      <c r="AJ8182" s="410"/>
    </row>
    <row r="8183" spans="33:36" ht="11.25" customHeight="1" x14ac:dyDescent="0.2">
      <c r="AG8183" s="19"/>
      <c r="AJ8183" s="410"/>
    </row>
    <row r="8184" spans="33:36" ht="11.25" customHeight="1" x14ac:dyDescent="0.2">
      <c r="AG8184" s="19"/>
      <c r="AJ8184" s="410"/>
    </row>
    <row r="8185" spans="33:36" ht="11.25" customHeight="1" x14ac:dyDescent="0.2">
      <c r="AG8185" s="19"/>
      <c r="AJ8185" s="410"/>
    </row>
    <row r="8186" spans="33:36" ht="11.25" customHeight="1" x14ac:dyDescent="0.2">
      <c r="AG8186" s="19"/>
      <c r="AJ8186" s="410"/>
    </row>
    <row r="8187" spans="33:36" ht="11.25" customHeight="1" x14ac:dyDescent="0.2">
      <c r="AG8187" s="19"/>
      <c r="AJ8187" s="410"/>
    </row>
    <row r="8188" spans="33:36" ht="11.25" customHeight="1" x14ac:dyDescent="0.2">
      <c r="AG8188" s="19"/>
      <c r="AJ8188" s="410"/>
    </row>
    <row r="8189" spans="33:36" ht="11.25" customHeight="1" x14ac:dyDescent="0.2">
      <c r="AG8189" s="19"/>
      <c r="AJ8189" s="410"/>
    </row>
    <row r="8190" spans="33:36" ht="11.25" customHeight="1" x14ac:dyDescent="0.2">
      <c r="AG8190" s="19"/>
      <c r="AJ8190" s="410"/>
    </row>
    <row r="8191" spans="33:36" ht="11.25" customHeight="1" x14ac:dyDescent="0.2">
      <c r="AG8191" s="19"/>
      <c r="AJ8191" s="410"/>
    </row>
    <row r="8192" spans="33:36" ht="11.25" customHeight="1" x14ac:dyDescent="0.2">
      <c r="AG8192" s="19"/>
      <c r="AJ8192" s="410"/>
    </row>
    <row r="8193" spans="33:36" ht="11.25" customHeight="1" x14ac:dyDescent="0.2">
      <c r="AG8193" s="19"/>
      <c r="AJ8193" s="410"/>
    </row>
    <row r="8194" spans="33:36" ht="11.25" customHeight="1" x14ac:dyDescent="0.2">
      <c r="AG8194" s="19"/>
      <c r="AJ8194" s="410"/>
    </row>
    <row r="8195" spans="33:36" ht="11.25" customHeight="1" x14ac:dyDescent="0.2">
      <c r="AG8195" s="19"/>
      <c r="AJ8195" s="410"/>
    </row>
    <row r="8196" spans="33:36" ht="11.25" customHeight="1" x14ac:dyDescent="0.2">
      <c r="AG8196" s="19"/>
      <c r="AJ8196" s="410"/>
    </row>
    <row r="8197" spans="33:36" ht="11.25" customHeight="1" x14ac:dyDescent="0.2">
      <c r="AG8197" s="19"/>
      <c r="AJ8197" s="410"/>
    </row>
    <row r="8198" spans="33:36" ht="11.25" customHeight="1" x14ac:dyDescent="0.2">
      <c r="AG8198" s="19"/>
      <c r="AJ8198" s="410"/>
    </row>
    <row r="8199" spans="33:36" ht="11.25" customHeight="1" x14ac:dyDescent="0.2">
      <c r="AG8199" s="19"/>
      <c r="AJ8199" s="410"/>
    </row>
    <row r="8200" spans="33:36" ht="11.25" customHeight="1" x14ac:dyDescent="0.2">
      <c r="AG8200" s="19"/>
      <c r="AJ8200" s="410"/>
    </row>
    <row r="8201" spans="33:36" ht="11.25" customHeight="1" x14ac:dyDescent="0.2">
      <c r="AG8201" s="19"/>
      <c r="AJ8201" s="410"/>
    </row>
    <row r="8202" spans="33:36" ht="11.25" customHeight="1" x14ac:dyDescent="0.2">
      <c r="AG8202" s="19"/>
      <c r="AJ8202" s="410"/>
    </row>
    <row r="8203" spans="33:36" ht="11.25" customHeight="1" x14ac:dyDescent="0.2">
      <c r="AG8203" s="19"/>
      <c r="AJ8203" s="410"/>
    </row>
    <row r="8204" spans="33:36" ht="11.25" customHeight="1" x14ac:dyDescent="0.2">
      <c r="AG8204" s="19"/>
      <c r="AJ8204" s="410"/>
    </row>
    <row r="8205" spans="33:36" ht="11.25" customHeight="1" x14ac:dyDescent="0.2">
      <c r="AG8205" s="19"/>
      <c r="AJ8205" s="410"/>
    </row>
    <row r="8206" spans="33:36" ht="11.25" customHeight="1" x14ac:dyDescent="0.2">
      <c r="AG8206" s="19"/>
      <c r="AJ8206" s="410"/>
    </row>
    <row r="8207" spans="33:36" ht="11.25" customHeight="1" x14ac:dyDescent="0.2">
      <c r="AG8207" s="19"/>
      <c r="AJ8207" s="410"/>
    </row>
    <row r="8208" spans="33:36" ht="11.25" customHeight="1" x14ac:dyDescent="0.2">
      <c r="AG8208" s="19"/>
      <c r="AJ8208" s="410"/>
    </row>
    <row r="8209" spans="33:36" ht="11.25" customHeight="1" x14ac:dyDescent="0.2">
      <c r="AG8209" s="19"/>
      <c r="AJ8209" s="410"/>
    </row>
    <row r="8210" spans="33:36" ht="11.25" customHeight="1" x14ac:dyDescent="0.2">
      <c r="AG8210" s="19"/>
      <c r="AJ8210" s="410"/>
    </row>
    <row r="8211" spans="33:36" ht="11.25" customHeight="1" x14ac:dyDescent="0.2">
      <c r="AG8211" s="19"/>
      <c r="AJ8211" s="410"/>
    </row>
    <row r="8212" spans="33:36" ht="11.25" customHeight="1" x14ac:dyDescent="0.2">
      <c r="AG8212" s="19"/>
      <c r="AJ8212" s="410"/>
    </row>
    <row r="8213" spans="33:36" ht="11.25" customHeight="1" x14ac:dyDescent="0.2">
      <c r="AG8213" s="19"/>
      <c r="AJ8213" s="410"/>
    </row>
    <row r="8214" spans="33:36" ht="11.25" customHeight="1" x14ac:dyDescent="0.2">
      <c r="AG8214" s="19"/>
      <c r="AJ8214" s="410"/>
    </row>
    <row r="8215" spans="33:36" ht="11.25" customHeight="1" x14ac:dyDescent="0.2">
      <c r="AG8215" s="19"/>
      <c r="AJ8215" s="410"/>
    </row>
    <row r="8216" spans="33:36" ht="11.25" customHeight="1" x14ac:dyDescent="0.2">
      <c r="AG8216" s="19"/>
      <c r="AJ8216" s="410"/>
    </row>
    <row r="8217" spans="33:36" ht="11.25" customHeight="1" x14ac:dyDescent="0.2">
      <c r="AG8217" s="19"/>
      <c r="AJ8217" s="410"/>
    </row>
    <row r="8218" spans="33:36" ht="11.25" customHeight="1" x14ac:dyDescent="0.2">
      <c r="AG8218" s="19"/>
      <c r="AJ8218" s="410"/>
    </row>
    <row r="8219" spans="33:36" ht="11.25" customHeight="1" x14ac:dyDescent="0.2">
      <c r="AG8219" s="19"/>
      <c r="AJ8219" s="410"/>
    </row>
    <row r="8220" spans="33:36" ht="11.25" customHeight="1" x14ac:dyDescent="0.2">
      <c r="AG8220" s="19"/>
      <c r="AJ8220" s="410"/>
    </row>
    <row r="8221" spans="33:36" ht="11.25" customHeight="1" x14ac:dyDescent="0.2">
      <c r="AG8221" s="19"/>
      <c r="AJ8221" s="410"/>
    </row>
    <row r="8222" spans="33:36" ht="11.25" customHeight="1" x14ac:dyDescent="0.2">
      <c r="AG8222" s="19"/>
      <c r="AJ8222" s="410"/>
    </row>
    <row r="8223" spans="33:36" ht="11.25" customHeight="1" x14ac:dyDescent="0.2">
      <c r="AG8223" s="19"/>
      <c r="AJ8223" s="410"/>
    </row>
    <row r="8224" spans="33:36" ht="11.25" customHeight="1" x14ac:dyDescent="0.2">
      <c r="AG8224" s="19"/>
      <c r="AJ8224" s="410"/>
    </row>
    <row r="8225" spans="33:36" ht="11.25" customHeight="1" x14ac:dyDescent="0.2">
      <c r="AG8225" s="19"/>
      <c r="AJ8225" s="410"/>
    </row>
    <row r="8226" spans="33:36" ht="11.25" customHeight="1" x14ac:dyDescent="0.2">
      <c r="AG8226" s="19"/>
      <c r="AJ8226" s="410"/>
    </row>
    <row r="8227" spans="33:36" ht="11.25" customHeight="1" x14ac:dyDescent="0.2">
      <c r="AG8227" s="19"/>
      <c r="AJ8227" s="410"/>
    </row>
    <row r="8228" spans="33:36" ht="11.25" customHeight="1" x14ac:dyDescent="0.2">
      <c r="AG8228" s="19"/>
      <c r="AJ8228" s="410"/>
    </row>
    <row r="8229" spans="33:36" ht="11.25" customHeight="1" x14ac:dyDescent="0.2">
      <c r="AG8229" s="19"/>
      <c r="AJ8229" s="410"/>
    </row>
    <row r="8230" spans="33:36" ht="11.25" customHeight="1" x14ac:dyDescent="0.2">
      <c r="AG8230" s="19"/>
      <c r="AJ8230" s="410"/>
    </row>
    <row r="8231" spans="33:36" ht="11.25" customHeight="1" x14ac:dyDescent="0.2">
      <c r="AG8231" s="19"/>
      <c r="AJ8231" s="410"/>
    </row>
    <row r="8232" spans="33:36" ht="11.25" customHeight="1" x14ac:dyDescent="0.2">
      <c r="AG8232" s="19"/>
      <c r="AJ8232" s="410"/>
    </row>
    <row r="8233" spans="33:36" ht="11.25" customHeight="1" x14ac:dyDescent="0.2">
      <c r="AG8233" s="19"/>
      <c r="AJ8233" s="410"/>
    </row>
    <row r="8234" spans="33:36" ht="11.25" customHeight="1" x14ac:dyDescent="0.2">
      <c r="AG8234" s="19"/>
      <c r="AJ8234" s="410"/>
    </row>
    <row r="8235" spans="33:36" ht="11.25" customHeight="1" x14ac:dyDescent="0.2">
      <c r="AG8235" s="19"/>
      <c r="AJ8235" s="410"/>
    </row>
    <row r="8236" spans="33:36" ht="11.25" customHeight="1" x14ac:dyDescent="0.2">
      <c r="AG8236" s="19"/>
      <c r="AJ8236" s="410"/>
    </row>
    <row r="8237" spans="33:36" ht="11.25" customHeight="1" x14ac:dyDescent="0.2">
      <c r="AG8237" s="19"/>
      <c r="AJ8237" s="410"/>
    </row>
    <row r="8238" spans="33:36" ht="11.25" customHeight="1" x14ac:dyDescent="0.2">
      <c r="AG8238" s="19"/>
      <c r="AJ8238" s="410"/>
    </row>
    <row r="8239" spans="33:36" ht="11.25" customHeight="1" x14ac:dyDescent="0.2">
      <c r="AG8239" s="19"/>
      <c r="AJ8239" s="410"/>
    </row>
    <row r="8240" spans="33:36" ht="11.25" customHeight="1" x14ac:dyDescent="0.2">
      <c r="AG8240" s="19"/>
      <c r="AJ8240" s="410"/>
    </row>
    <row r="8241" spans="33:36" ht="11.25" customHeight="1" x14ac:dyDescent="0.2">
      <c r="AG8241" s="19"/>
      <c r="AJ8241" s="410"/>
    </row>
    <row r="8242" spans="33:36" ht="11.25" customHeight="1" x14ac:dyDescent="0.2">
      <c r="AG8242" s="19"/>
      <c r="AJ8242" s="410"/>
    </row>
    <row r="8243" spans="33:36" ht="11.25" customHeight="1" x14ac:dyDescent="0.2">
      <c r="AG8243" s="19"/>
      <c r="AJ8243" s="410"/>
    </row>
    <row r="8244" spans="33:36" ht="11.25" customHeight="1" x14ac:dyDescent="0.2">
      <c r="AG8244" s="19"/>
      <c r="AJ8244" s="410"/>
    </row>
    <row r="8245" spans="33:36" ht="11.25" customHeight="1" x14ac:dyDescent="0.2">
      <c r="AG8245" s="19"/>
      <c r="AJ8245" s="410"/>
    </row>
    <row r="8246" spans="33:36" ht="11.25" customHeight="1" x14ac:dyDescent="0.2">
      <c r="AG8246" s="19"/>
      <c r="AJ8246" s="410"/>
    </row>
    <row r="8247" spans="33:36" ht="11.25" customHeight="1" x14ac:dyDescent="0.2">
      <c r="AG8247" s="19"/>
      <c r="AJ8247" s="410"/>
    </row>
    <row r="8248" spans="33:36" ht="11.25" customHeight="1" x14ac:dyDescent="0.2">
      <c r="AG8248" s="19"/>
      <c r="AJ8248" s="410"/>
    </row>
    <row r="8249" spans="33:36" ht="11.25" customHeight="1" x14ac:dyDescent="0.2">
      <c r="AG8249" s="19"/>
      <c r="AJ8249" s="410"/>
    </row>
    <row r="8250" spans="33:36" ht="11.25" customHeight="1" x14ac:dyDescent="0.2">
      <c r="AG8250" s="19"/>
      <c r="AJ8250" s="410"/>
    </row>
    <row r="8251" spans="33:36" ht="11.25" customHeight="1" x14ac:dyDescent="0.2">
      <c r="AG8251" s="19"/>
      <c r="AJ8251" s="410"/>
    </row>
    <row r="8252" spans="33:36" ht="11.25" customHeight="1" x14ac:dyDescent="0.2">
      <c r="AG8252" s="19"/>
      <c r="AJ8252" s="410"/>
    </row>
    <row r="8253" spans="33:36" ht="11.25" customHeight="1" x14ac:dyDescent="0.2">
      <c r="AG8253" s="19"/>
      <c r="AJ8253" s="410"/>
    </row>
    <row r="8254" spans="33:36" ht="11.25" customHeight="1" x14ac:dyDescent="0.2">
      <c r="AG8254" s="19"/>
      <c r="AJ8254" s="410"/>
    </row>
    <row r="8255" spans="33:36" ht="11.25" customHeight="1" x14ac:dyDescent="0.2">
      <c r="AG8255" s="19"/>
      <c r="AJ8255" s="410"/>
    </row>
    <row r="8256" spans="33:36" ht="11.25" customHeight="1" x14ac:dyDescent="0.2">
      <c r="AG8256" s="19"/>
      <c r="AJ8256" s="410"/>
    </row>
    <row r="8257" spans="33:36" ht="11.25" customHeight="1" x14ac:dyDescent="0.2">
      <c r="AG8257" s="19"/>
      <c r="AJ8257" s="410"/>
    </row>
    <row r="8258" spans="33:36" ht="11.25" customHeight="1" x14ac:dyDescent="0.2">
      <c r="AG8258" s="19"/>
      <c r="AJ8258" s="410"/>
    </row>
    <row r="8259" spans="33:36" ht="11.25" customHeight="1" x14ac:dyDescent="0.2">
      <c r="AG8259" s="19"/>
      <c r="AJ8259" s="410"/>
    </row>
    <row r="8260" spans="33:36" ht="11.25" customHeight="1" x14ac:dyDescent="0.2">
      <c r="AG8260" s="19"/>
      <c r="AJ8260" s="410"/>
    </row>
    <row r="8261" spans="33:36" ht="11.25" customHeight="1" x14ac:dyDescent="0.2">
      <c r="AG8261" s="19"/>
      <c r="AJ8261" s="410"/>
    </row>
    <row r="8262" spans="33:36" ht="11.25" customHeight="1" x14ac:dyDescent="0.2">
      <c r="AG8262" s="19"/>
      <c r="AJ8262" s="410"/>
    </row>
    <row r="8263" spans="33:36" ht="11.25" customHeight="1" x14ac:dyDescent="0.2">
      <c r="AG8263" s="19"/>
      <c r="AJ8263" s="410"/>
    </row>
    <row r="8264" spans="33:36" ht="11.25" customHeight="1" x14ac:dyDescent="0.2">
      <c r="AG8264" s="19"/>
      <c r="AJ8264" s="410"/>
    </row>
    <row r="8265" spans="33:36" ht="11.25" customHeight="1" x14ac:dyDescent="0.2">
      <c r="AG8265" s="19"/>
      <c r="AJ8265" s="410"/>
    </row>
    <row r="8266" spans="33:36" ht="11.25" customHeight="1" x14ac:dyDescent="0.2">
      <c r="AG8266" s="19"/>
      <c r="AJ8266" s="410"/>
    </row>
    <row r="8267" spans="33:36" ht="11.25" customHeight="1" x14ac:dyDescent="0.2">
      <c r="AG8267" s="19"/>
      <c r="AJ8267" s="410"/>
    </row>
    <row r="8268" spans="33:36" ht="11.25" customHeight="1" x14ac:dyDescent="0.2">
      <c r="AG8268" s="19"/>
      <c r="AJ8268" s="410"/>
    </row>
    <row r="8269" spans="33:36" ht="11.25" customHeight="1" x14ac:dyDescent="0.2">
      <c r="AG8269" s="19"/>
      <c r="AJ8269" s="410"/>
    </row>
    <row r="8270" spans="33:36" ht="11.25" customHeight="1" x14ac:dyDescent="0.2">
      <c r="AG8270" s="19"/>
      <c r="AJ8270" s="410"/>
    </row>
    <row r="8271" spans="33:36" ht="11.25" customHeight="1" x14ac:dyDescent="0.2">
      <c r="AG8271" s="19"/>
      <c r="AJ8271" s="410"/>
    </row>
    <row r="8272" spans="33:36" ht="11.25" customHeight="1" x14ac:dyDescent="0.2">
      <c r="AG8272" s="19"/>
      <c r="AJ8272" s="410"/>
    </row>
    <row r="8273" spans="33:36" ht="11.25" customHeight="1" x14ac:dyDescent="0.2">
      <c r="AG8273" s="19"/>
      <c r="AJ8273" s="410"/>
    </row>
    <row r="8274" spans="33:36" ht="11.25" customHeight="1" x14ac:dyDescent="0.2">
      <c r="AG8274" s="19"/>
      <c r="AJ8274" s="410"/>
    </row>
    <row r="8275" spans="33:36" ht="11.25" customHeight="1" x14ac:dyDescent="0.2">
      <c r="AG8275" s="19"/>
      <c r="AJ8275" s="410"/>
    </row>
    <row r="8276" spans="33:36" ht="11.25" customHeight="1" x14ac:dyDescent="0.2">
      <c r="AG8276" s="19"/>
      <c r="AJ8276" s="410"/>
    </row>
    <row r="8277" spans="33:36" ht="11.25" customHeight="1" x14ac:dyDescent="0.2">
      <c r="AG8277" s="19"/>
      <c r="AJ8277" s="410"/>
    </row>
    <row r="8278" spans="33:36" ht="11.25" customHeight="1" x14ac:dyDescent="0.2">
      <c r="AG8278" s="19"/>
      <c r="AJ8278" s="410"/>
    </row>
    <row r="8279" spans="33:36" ht="11.25" customHeight="1" x14ac:dyDescent="0.2">
      <c r="AG8279" s="19"/>
      <c r="AJ8279" s="410"/>
    </row>
    <row r="8280" spans="33:36" ht="11.25" customHeight="1" x14ac:dyDescent="0.2">
      <c r="AG8280" s="19"/>
      <c r="AJ8280" s="410"/>
    </row>
    <row r="8281" spans="33:36" ht="11.25" customHeight="1" x14ac:dyDescent="0.2">
      <c r="AG8281" s="19"/>
      <c r="AJ8281" s="410"/>
    </row>
    <row r="8282" spans="33:36" ht="11.25" customHeight="1" x14ac:dyDescent="0.2">
      <c r="AG8282" s="19"/>
      <c r="AJ8282" s="410"/>
    </row>
    <row r="8283" spans="33:36" ht="11.25" customHeight="1" x14ac:dyDescent="0.2">
      <c r="AG8283" s="19"/>
      <c r="AJ8283" s="410"/>
    </row>
    <row r="8284" spans="33:36" ht="11.25" customHeight="1" x14ac:dyDescent="0.2">
      <c r="AG8284" s="19"/>
      <c r="AJ8284" s="410"/>
    </row>
    <row r="8285" spans="33:36" ht="11.25" customHeight="1" x14ac:dyDescent="0.2">
      <c r="AG8285" s="19"/>
      <c r="AJ8285" s="410"/>
    </row>
    <row r="8286" spans="33:36" ht="11.25" customHeight="1" x14ac:dyDescent="0.2">
      <c r="AG8286" s="19"/>
      <c r="AJ8286" s="410"/>
    </row>
    <row r="8287" spans="33:36" ht="11.25" customHeight="1" x14ac:dyDescent="0.2">
      <c r="AG8287" s="19"/>
      <c r="AJ8287" s="410"/>
    </row>
    <row r="8288" spans="33:36" ht="11.25" customHeight="1" x14ac:dyDescent="0.2">
      <c r="AG8288" s="19"/>
      <c r="AJ8288" s="410"/>
    </row>
    <row r="8289" spans="33:36" ht="11.25" customHeight="1" x14ac:dyDescent="0.2">
      <c r="AG8289" s="19"/>
      <c r="AJ8289" s="410"/>
    </row>
    <row r="8290" spans="33:36" ht="11.25" customHeight="1" x14ac:dyDescent="0.2">
      <c r="AG8290" s="19"/>
      <c r="AJ8290" s="410"/>
    </row>
    <row r="8291" spans="33:36" ht="11.25" customHeight="1" x14ac:dyDescent="0.2">
      <c r="AG8291" s="19"/>
      <c r="AJ8291" s="410"/>
    </row>
    <row r="8292" spans="33:36" ht="11.25" customHeight="1" x14ac:dyDescent="0.2">
      <c r="AG8292" s="19"/>
      <c r="AJ8292" s="410"/>
    </row>
    <row r="8293" spans="33:36" ht="11.25" customHeight="1" x14ac:dyDescent="0.2">
      <c r="AG8293" s="19"/>
      <c r="AJ8293" s="410"/>
    </row>
    <row r="8294" spans="33:36" ht="11.25" customHeight="1" x14ac:dyDescent="0.2">
      <c r="AG8294" s="19"/>
      <c r="AJ8294" s="410"/>
    </row>
    <row r="8295" spans="33:36" ht="11.25" customHeight="1" x14ac:dyDescent="0.2">
      <c r="AG8295" s="19"/>
      <c r="AJ8295" s="410"/>
    </row>
    <row r="8296" spans="33:36" ht="11.25" customHeight="1" x14ac:dyDescent="0.2">
      <c r="AG8296" s="19"/>
      <c r="AJ8296" s="410"/>
    </row>
    <row r="8297" spans="33:36" ht="11.25" customHeight="1" x14ac:dyDescent="0.2">
      <c r="AG8297" s="19"/>
      <c r="AJ8297" s="410"/>
    </row>
    <row r="8298" spans="33:36" ht="11.25" customHeight="1" x14ac:dyDescent="0.2">
      <c r="AG8298" s="19"/>
      <c r="AJ8298" s="410"/>
    </row>
    <row r="8299" spans="33:36" ht="11.25" customHeight="1" x14ac:dyDescent="0.2">
      <c r="AG8299" s="19"/>
      <c r="AJ8299" s="410"/>
    </row>
    <row r="8300" spans="33:36" ht="11.25" customHeight="1" x14ac:dyDescent="0.2">
      <c r="AG8300" s="19"/>
      <c r="AJ8300" s="410"/>
    </row>
    <row r="8301" spans="33:36" ht="11.25" customHeight="1" x14ac:dyDescent="0.2">
      <c r="AG8301" s="19"/>
      <c r="AJ8301" s="410"/>
    </row>
    <row r="8302" spans="33:36" ht="11.25" customHeight="1" x14ac:dyDescent="0.2">
      <c r="AG8302" s="19"/>
      <c r="AJ8302" s="410"/>
    </row>
    <row r="8303" spans="33:36" ht="11.25" customHeight="1" x14ac:dyDescent="0.2">
      <c r="AG8303" s="19"/>
      <c r="AJ8303" s="410"/>
    </row>
    <row r="8304" spans="33:36" ht="11.25" customHeight="1" x14ac:dyDescent="0.2">
      <c r="AG8304" s="19"/>
      <c r="AJ8304" s="410"/>
    </row>
    <row r="8305" spans="33:36" ht="11.25" customHeight="1" x14ac:dyDescent="0.2">
      <c r="AG8305" s="19"/>
      <c r="AJ8305" s="410"/>
    </row>
    <row r="8306" spans="33:36" ht="11.25" customHeight="1" x14ac:dyDescent="0.2">
      <c r="AG8306" s="19"/>
      <c r="AJ8306" s="410"/>
    </row>
    <row r="8307" spans="33:36" ht="11.25" customHeight="1" x14ac:dyDescent="0.2">
      <c r="AG8307" s="19"/>
      <c r="AJ8307" s="410"/>
    </row>
    <row r="8308" spans="33:36" ht="11.25" customHeight="1" x14ac:dyDescent="0.2">
      <c r="AG8308" s="19"/>
      <c r="AJ8308" s="410"/>
    </row>
    <row r="8309" spans="33:36" ht="11.25" customHeight="1" x14ac:dyDescent="0.2">
      <c r="AG8309" s="19"/>
      <c r="AJ8309" s="410"/>
    </row>
    <row r="8310" spans="33:36" ht="11.25" customHeight="1" x14ac:dyDescent="0.2">
      <c r="AG8310" s="19"/>
      <c r="AJ8310" s="410"/>
    </row>
    <row r="8311" spans="33:36" ht="11.25" customHeight="1" x14ac:dyDescent="0.2">
      <c r="AG8311" s="19"/>
      <c r="AJ8311" s="410"/>
    </row>
    <row r="8312" spans="33:36" ht="11.25" customHeight="1" x14ac:dyDescent="0.2">
      <c r="AG8312" s="19"/>
      <c r="AJ8312" s="410"/>
    </row>
    <row r="8313" spans="33:36" ht="11.25" customHeight="1" x14ac:dyDescent="0.2">
      <c r="AG8313" s="19"/>
      <c r="AJ8313" s="410"/>
    </row>
    <row r="8314" spans="33:36" ht="11.25" customHeight="1" x14ac:dyDescent="0.2">
      <c r="AG8314" s="19"/>
      <c r="AJ8314" s="410"/>
    </row>
    <row r="8315" spans="33:36" ht="11.25" customHeight="1" x14ac:dyDescent="0.2">
      <c r="AG8315" s="19"/>
      <c r="AJ8315" s="410"/>
    </row>
    <row r="8316" spans="33:36" ht="11.25" customHeight="1" x14ac:dyDescent="0.2">
      <c r="AG8316" s="19"/>
      <c r="AJ8316" s="410"/>
    </row>
    <row r="8317" spans="33:36" ht="11.25" customHeight="1" x14ac:dyDescent="0.2">
      <c r="AG8317" s="19"/>
      <c r="AJ8317" s="410"/>
    </row>
    <row r="8318" spans="33:36" ht="11.25" customHeight="1" x14ac:dyDescent="0.2">
      <c r="AG8318" s="19"/>
      <c r="AJ8318" s="410"/>
    </row>
    <row r="8319" spans="33:36" ht="11.25" customHeight="1" x14ac:dyDescent="0.2">
      <c r="AG8319" s="19"/>
      <c r="AJ8319" s="410"/>
    </row>
    <row r="8320" spans="33:36" ht="11.25" customHeight="1" x14ac:dyDescent="0.2">
      <c r="AG8320" s="19"/>
      <c r="AJ8320" s="410"/>
    </row>
    <row r="8321" spans="33:36" ht="11.25" customHeight="1" x14ac:dyDescent="0.2">
      <c r="AG8321" s="19"/>
      <c r="AJ8321" s="410"/>
    </row>
    <row r="8322" spans="33:36" ht="11.25" customHeight="1" x14ac:dyDescent="0.2">
      <c r="AG8322" s="19"/>
      <c r="AJ8322" s="410"/>
    </row>
    <row r="8323" spans="33:36" ht="11.25" customHeight="1" x14ac:dyDescent="0.2">
      <c r="AG8323" s="19"/>
      <c r="AJ8323" s="410"/>
    </row>
    <row r="8324" spans="33:36" ht="11.25" customHeight="1" x14ac:dyDescent="0.2">
      <c r="AG8324" s="19"/>
      <c r="AJ8324" s="410"/>
    </row>
    <row r="8325" spans="33:36" ht="11.25" customHeight="1" x14ac:dyDescent="0.2">
      <c r="AG8325" s="19"/>
      <c r="AJ8325" s="410"/>
    </row>
    <row r="8326" spans="33:36" ht="11.25" customHeight="1" x14ac:dyDescent="0.2">
      <c r="AG8326" s="19"/>
      <c r="AJ8326" s="410"/>
    </row>
    <row r="8327" spans="33:36" ht="11.25" customHeight="1" x14ac:dyDescent="0.2">
      <c r="AG8327" s="19"/>
      <c r="AJ8327" s="410"/>
    </row>
    <row r="8328" spans="33:36" ht="11.25" customHeight="1" x14ac:dyDescent="0.2">
      <c r="AG8328" s="19"/>
      <c r="AJ8328" s="410"/>
    </row>
    <row r="8329" spans="33:36" ht="11.25" customHeight="1" x14ac:dyDescent="0.2">
      <c r="AG8329" s="19"/>
      <c r="AJ8329" s="410"/>
    </row>
    <row r="8330" spans="33:36" ht="11.25" customHeight="1" x14ac:dyDescent="0.2">
      <c r="AG8330" s="19"/>
      <c r="AJ8330" s="410"/>
    </row>
    <row r="8331" spans="33:36" ht="11.25" customHeight="1" x14ac:dyDescent="0.2">
      <c r="AG8331" s="19"/>
      <c r="AJ8331" s="410"/>
    </row>
    <row r="8332" spans="33:36" ht="11.25" customHeight="1" x14ac:dyDescent="0.2">
      <c r="AG8332" s="19"/>
      <c r="AJ8332" s="410"/>
    </row>
    <row r="8333" spans="33:36" ht="11.25" customHeight="1" x14ac:dyDescent="0.2">
      <c r="AG8333" s="19"/>
      <c r="AJ8333" s="410"/>
    </row>
    <row r="8334" spans="33:36" ht="11.25" customHeight="1" x14ac:dyDescent="0.2">
      <c r="AG8334" s="19"/>
      <c r="AJ8334" s="410"/>
    </row>
    <row r="8335" spans="33:36" ht="11.25" customHeight="1" x14ac:dyDescent="0.2">
      <c r="AG8335" s="19"/>
      <c r="AJ8335" s="410"/>
    </row>
    <row r="8336" spans="33:36" ht="11.25" customHeight="1" x14ac:dyDescent="0.2">
      <c r="AG8336" s="19"/>
      <c r="AJ8336" s="410"/>
    </row>
    <row r="8337" spans="33:36" ht="11.25" customHeight="1" x14ac:dyDescent="0.2">
      <c r="AG8337" s="19"/>
      <c r="AJ8337" s="410"/>
    </row>
    <row r="8338" spans="33:36" ht="11.25" customHeight="1" x14ac:dyDescent="0.2">
      <c r="AG8338" s="19"/>
      <c r="AJ8338" s="410"/>
    </row>
    <row r="8339" spans="33:36" ht="11.25" customHeight="1" x14ac:dyDescent="0.2">
      <c r="AG8339" s="19"/>
      <c r="AJ8339" s="410"/>
    </row>
    <row r="8340" spans="33:36" ht="11.25" customHeight="1" x14ac:dyDescent="0.2">
      <c r="AG8340" s="19"/>
      <c r="AJ8340" s="410"/>
    </row>
    <row r="8341" spans="33:36" ht="11.25" customHeight="1" x14ac:dyDescent="0.2">
      <c r="AG8341" s="19"/>
      <c r="AJ8341" s="410"/>
    </row>
    <row r="8342" spans="33:36" ht="11.25" customHeight="1" x14ac:dyDescent="0.2">
      <c r="AG8342" s="19"/>
      <c r="AJ8342" s="410"/>
    </row>
    <row r="8343" spans="33:36" ht="11.25" customHeight="1" x14ac:dyDescent="0.2">
      <c r="AG8343" s="19"/>
      <c r="AJ8343" s="410"/>
    </row>
    <row r="8344" spans="33:36" ht="11.25" customHeight="1" x14ac:dyDescent="0.2">
      <c r="AG8344" s="19"/>
      <c r="AJ8344" s="410"/>
    </row>
    <row r="8345" spans="33:36" ht="11.25" customHeight="1" x14ac:dyDescent="0.2">
      <c r="AG8345" s="19"/>
      <c r="AJ8345" s="410"/>
    </row>
    <row r="8346" spans="33:36" ht="11.25" customHeight="1" x14ac:dyDescent="0.2">
      <c r="AG8346" s="19"/>
      <c r="AJ8346" s="410"/>
    </row>
    <row r="8347" spans="33:36" ht="11.25" customHeight="1" x14ac:dyDescent="0.2">
      <c r="AG8347" s="19"/>
      <c r="AJ8347" s="410"/>
    </row>
    <row r="8348" spans="33:36" ht="11.25" customHeight="1" x14ac:dyDescent="0.2">
      <c r="AG8348" s="19"/>
      <c r="AJ8348" s="410"/>
    </row>
    <row r="8349" spans="33:36" ht="11.25" customHeight="1" x14ac:dyDescent="0.2">
      <c r="AG8349" s="19"/>
      <c r="AJ8349" s="410"/>
    </row>
    <row r="8350" spans="33:36" ht="11.25" customHeight="1" x14ac:dyDescent="0.2">
      <c r="AG8350" s="19"/>
      <c r="AJ8350" s="410"/>
    </row>
    <row r="8351" spans="33:36" ht="11.25" customHeight="1" x14ac:dyDescent="0.2">
      <c r="AG8351" s="19"/>
      <c r="AJ8351" s="410"/>
    </row>
    <row r="8352" spans="33:36" ht="11.25" customHeight="1" x14ac:dyDescent="0.2">
      <c r="AG8352" s="19"/>
      <c r="AJ8352" s="410"/>
    </row>
    <row r="8353" spans="33:36" ht="11.25" customHeight="1" x14ac:dyDescent="0.2">
      <c r="AG8353" s="19"/>
      <c r="AJ8353" s="410"/>
    </row>
    <row r="8354" spans="33:36" ht="11.25" customHeight="1" x14ac:dyDescent="0.2">
      <c r="AG8354" s="19"/>
      <c r="AJ8354" s="410"/>
    </row>
    <row r="8355" spans="33:36" ht="11.25" customHeight="1" x14ac:dyDescent="0.2">
      <c r="AG8355" s="19"/>
      <c r="AJ8355" s="410"/>
    </row>
    <row r="8356" spans="33:36" ht="11.25" customHeight="1" x14ac:dyDescent="0.2">
      <c r="AG8356" s="19"/>
      <c r="AJ8356" s="410"/>
    </row>
    <row r="8357" spans="33:36" ht="11.25" customHeight="1" x14ac:dyDescent="0.2">
      <c r="AG8357" s="19"/>
      <c r="AJ8357" s="410"/>
    </row>
    <row r="8358" spans="33:36" ht="11.25" customHeight="1" x14ac:dyDescent="0.2">
      <c r="AG8358" s="19"/>
      <c r="AJ8358" s="410"/>
    </row>
    <row r="8359" spans="33:36" ht="11.25" customHeight="1" x14ac:dyDescent="0.2">
      <c r="AG8359" s="19"/>
      <c r="AJ8359" s="410"/>
    </row>
    <row r="8360" spans="33:36" ht="11.25" customHeight="1" x14ac:dyDescent="0.2">
      <c r="AG8360" s="19"/>
      <c r="AJ8360" s="410"/>
    </row>
    <row r="8361" spans="33:36" ht="11.25" customHeight="1" x14ac:dyDescent="0.2">
      <c r="AG8361" s="19"/>
      <c r="AJ8361" s="410"/>
    </row>
    <row r="8362" spans="33:36" ht="11.25" customHeight="1" x14ac:dyDescent="0.2">
      <c r="AG8362" s="19"/>
      <c r="AJ8362" s="410"/>
    </row>
    <row r="8363" spans="33:36" ht="11.25" customHeight="1" x14ac:dyDescent="0.2">
      <c r="AG8363" s="19"/>
      <c r="AJ8363" s="410"/>
    </row>
    <row r="8364" spans="33:36" ht="11.25" customHeight="1" x14ac:dyDescent="0.2">
      <c r="AG8364" s="19"/>
      <c r="AJ8364" s="410"/>
    </row>
    <row r="8365" spans="33:36" ht="11.25" customHeight="1" x14ac:dyDescent="0.2">
      <c r="AG8365" s="19"/>
      <c r="AJ8365" s="410"/>
    </row>
    <row r="8366" spans="33:36" ht="11.25" customHeight="1" x14ac:dyDescent="0.2">
      <c r="AG8366" s="19"/>
      <c r="AJ8366" s="410"/>
    </row>
    <row r="8367" spans="33:36" ht="11.25" customHeight="1" x14ac:dyDescent="0.2">
      <c r="AG8367" s="19"/>
      <c r="AJ8367" s="410"/>
    </row>
    <row r="8368" spans="33:36" ht="11.25" customHeight="1" x14ac:dyDescent="0.2">
      <c r="AG8368" s="19"/>
      <c r="AJ8368" s="410"/>
    </row>
    <row r="8369" spans="33:36" ht="11.25" customHeight="1" x14ac:dyDescent="0.2">
      <c r="AG8369" s="19"/>
      <c r="AJ8369" s="410"/>
    </row>
    <row r="8370" spans="33:36" ht="11.25" customHeight="1" x14ac:dyDescent="0.2">
      <c r="AG8370" s="19"/>
      <c r="AJ8370" s="410"/>
    </row>
    <row r="8371" spans="33:36" ht="11.25" customHeight="1" x14ac:dyDescent="0.2">
      <c r="AG8371" s="19"/>
      <c r="AJ8371" s="410"/>
    </row>
    <row r="8372" spans="33:36" ht="11.25" customHeight="1" x14ac:dyDescent="0.2">
      <c r="AG8372" s="19"/>
      <c r="AJ8372" s="410"/>
    </row>
    <row r="8373" spans="33:36" ht="11.25" customHeight="1" x14ac:dyDescent="0.2">
      <c r="AG8373" s="19"/>
      <c r="AJ8373" s="410"/>
    </row>
    <row r="8374" spans="33:36" ht="11.25" customHeight="1" x14ac:dyDescent="0.2">
      <c r="AG8374" s="19"/>
      <c r="AJ8374" s="410"/>
    </row>
    <row r="8375" spans="33:36" ht="11.25" customHeight="1" x14ac:dyDescent="0.2">
      <c r="AG8375" s="19"/>
      <c r="AJ8375" s="410"/>
    </row>
    <row r="8376" spans="33:36" ht="11.25" customHeight="1" x14ac:dyDescent="0.2">
      <c r="AG8376" s="19"/>
      <c r="AJ8376" s="410"/>
    </row>
    <row r="8377" spans="33:36" ht="11.25" customHeight="1" x14ac:dyDescent="0.2">
      <c r="AG8377" s="19"/>
      <c r="AJ8377" s="410"/>
    </row>
    <row r="8378" spans="33:36" ht="11.25" customHeight="1" x14ac:dyDescent="0.2">
      <c r="AG8378" s="19"/>
      <c r="AJ8378" s="410"/>
    </row>
    <row r="8379" spans="33:36" ht="11.25" customHeight="1" x14ac:dyDescent="0.2">
      <c r="AG8379" s="19"/>
      <c r="AJ8379" s="410"/>
    </row>
    <row r="8380" spans="33:36" ht="11.25" customHeight="1" x14ac:dyDescent="0.2">
      <c r="AG8380" s="19"/>
      <c r="AJ8380" s="410"/>
    </row>
    <row r="8381" spans="33:36" ht="11.25" customHeight="1" x14ac:dyDescent="0.2">
      <c r="AG8381" s="19"/>
      <c r="AJ8381" s="410"/>
    </row>
    <row r="8382" spans="33:36" ht="11.25" customHeight="1" x14ac:dyDescent="0.2">
      <c r="AG8382" s="19"/>
      <c r="AJ8382" s="410"/>
    </row>
    <row r="8383" spans="33:36" ht="11.25" customHeight="1" x14ac:dyDescent="0.2">
      <c r="AG8383" s="19"/>
      <c r="AJ8383" s="410"/>
    </row>
    <row r="8384" spans="33:36" ht="11.25" customHeight="1" x14ac:dyDescent="0.2">
      <c r="AG8384" s="19"/>
      <c r="AJ8384" s="410"/>
    </row>
    <row r="8385" spans="33:36" ht="11.25" customHeight="1" x14ac:dyDescent="0.2">
      <c r="AG8385" s="19"/>
      <c r="AJ8385" s="410"/>
    </row>
    <row r="8386" spans="33:36" ht="11.25" customHeight="1" x14ac:dyDescent="0.2">
      <c r="AG8386" s="19"/>
      <c r="AJ8386" s="410"/>
    </row>
    <row r="8387" spans="33:36" ht="11.25" customHeight="1" x14ac:dyDescent="0.2">
      <c r="AG8387" s="19"/>
      <c r="AJ8387" s="410"/>
    </row>
    <row r="8388" spans="33:36" ht="11.25" customHeight="1" x14ac:dyDescent="0.2">
      <c r="AG8388" s="19"/>
      <c r="AJ8388" s="410"/>
    </row>
    <row r="8389" spans="33:36" ht="11.25" customHeight="1" x14ac:dyDescent="0.2">
      <c r="AG8389" s="19"/>
      <c r="AJ8389" s="410"/>
    </row>
    <row r="8390" spans="33:36" ht="11.25" customHeight="1" x14ac:dyDescent="0.2">
      <c r="AG8390" s="19"/>
      <c r="AJ8390" s="410"/>
    </row>
    <row r="8391" spans="33:36" ht="11.25" customHeight="1" x14ac:dyDescent="0.2">
      <c r="AG8391" s="19"/>
      <c r="AJ8391" s="410"/>
    </row>
    <row r="8392" spans="33:36" ht="11.25" customHeight="1" x14ac:dyDescent="0.2">
      <c r="AG8392" s="19"/>
      <c r="AJ8392" s="410"/>
    </row>
    <row r="8393" spans="33:36" ht="11.25" customHeight="1" x14ac:dyDescent="0.2">
      <c r="AG8393" s="19"/>
      <c r="AJ8393" s="410"/>
    </row>
    <row r="8394" spans="33:36" ht="11.25" customHeight="1" x14ac:dyDescent="0.2">
      <c r="AG8394" s="19"/>
      <c r="AJ8394" s="410"/>
    </row>
    <row r="8395" spans="33:36" ht="11.25" customHeight="1" x14ac:dyDescent="0.2">
      <c r="AG8395" s="19"/>
      <c r="AJ8395" s="410"/>
    </row>
    <row r="8396" spans="33:36" ht="11.25" customHeight="1" x14ac:dyDescent="0.2">
      <c r="AG8396" s="19"/>
      <c r="AJ8396" s="410"/>
    </row>
    <row r="8397" spans="33:36" ht="11.25" customHeight="1" x14ac:dyDescent="0.2">
      <c r="AG8397" s="19"/>
      <c r="AJ8397" s="410"/>
    </row>
    <row r="8398" spans="33:36" ht="11.25" customHeight="1" x14ac:dyDescent="0.2">
      <c r="AG8398" s="19"/>
      <c r="AJ8398" s="410"/>
    </row>
    <row r="8399" spans="33:36" ht="11.25" customHeight="1" x14ac:dyDescent="0.2">
      <c r="AG8399" s="19"/>
      <c r="AJ8399" s="410"/>
    </row>
    <row r="8400" spans="33:36" ht="11.25" customHeight="1" x14ac:dyDescent="0.2">
      <c r="AG8400" s="19"/>
      <c r="AJ8400" s="410"/>
    </row>
    <row r="8401" spans="33:36" ht="11.25" customHeight="1" x14ac:dyDescent="0.2">
      <c r="AG8401" s="19"/>
      <c r="AJ8401" s="410"/>
    </row>
    <row r="8402" spans="33:36" ht="11.25" customHeight="1" x14ac:dyDescent="0.2">
      <c r="AG8402" s="19"/>
      <c r="AJ8402" s="410"/>
    </row>
    <row r="8403" spans="33:36" ht="11.25" customHeight="1" x14ac:dyDescent="0.2">
      <c r="AG8403" s="19"/>
      <c r="AJ8403" s="410"/>
    </row>
    <row r="8404" spans="33:36" ht="11.25" customHeight="1" x14ac:dyDescent="0.2">
      <c r="AG8404" s="19"/>
      <c r="AJ8404" s="410"/>
    </row>
    <row r="8405" spans="33:36" ht="11.25" customHeight="1" x14ac:dyDescent="0.2">
      <c r="AG8405" s="19"/>
      <c r="AJ8405" s="410"/>
    </row>
    <row r="8406" spans="33:36" ht="11.25" customHeight="1" x14ac:dyDescent="0.2">
      <c r="AG8406" s="19"/>
      <c r="AJ8406" s="410"/>
    </row>
    <row r="8407" spans="33:36" ht="11.25" customHeight="1" x14ac:dyDescent="0.2">
      <c r="AG8407" s="19"/>
      <c r="AJ8407" s="410"/>
    </row>
    <row r="8408" spans="33:36" ht="11.25" customHeight="1" x14ac:dyDescent="0.2">
      <c r="AG8408" s="19"/>
      <c r="AJ8408" s="410"/>
    </row>
    <row r="8409" spans="33:36" ht="11.25" customHeight="1" x14ac:dyDescent="0.2">
      <c r="AG8409" s="19"/>
      <c r="AJ8409" s="410"/>
    </row>
    <row r="8410" spans="33:36" ht="11.25" customHeight="1" x14ac:dyDescent="0.2">
      <c r="AG8410" s="19"/>
      <c r="AJ8410" s="410"/>
    </row>
    <row r="8411" spans="33:36" ht="11.25" customHeight="1" x14ac:dyDescent="0.2">
      <c r="AG8411" s="19"/>
      <c r="AJ8411" s="410"/>
    </row>
    <row r="8412" spans="33:36" ht="11.25" customHeight="1" x14ac:dyDescent="0.2">
      <c r="AG8412" s="19"/>
      <c r="AJ8412" s="410"/>
    </row>
    <row r="8413" spans="33:36" ht="11.25" customHeight="1" x14ac:dyDescent="0.2">
      <c r="AG8413" s="19"/>
      <c r="AJ8413" s="410"/>
    </row>
    <row r="8414" spans="33:36" ht="11.25" customHeight="1" x14ac:dyDescent="0.2">
      <c r="AG8414" s="19"/>
      <c r="AJ8414" s="410"/>
    </row>
    <row r="8415" spans="33:36" ht="11.25" customHeight="1" x14ac:dyDescent="0.2">
      <c r="AG8415" s="19"/>
      <c r="AJ8415" s="410"/>
    </row>
    <row r="8416" spans="33:36" ht="11.25" customHeight="1" x14ac:dyDescent="0.2">
      <c r="AG8416" s="19"/>
      <c r="AJ8416" s="410"/>
    </row>
    <row r="8417" spans="33:36" ht="11.25" customHeight="1" x14ac:dyDescent="0.2">
      <c r="AG8417" s="19"/>
      <c r="AJ8417" s="410"/>
    </row>
    <row r="8418" spans="33:36" ht="11.25" customHeight="1" x14ac:dyDescent="0.2">
      <c r="AG8418" s="19"/>
      <c r="AJ8418" s="410"/>
    </row>
    <row r="8419" spans="33:36" ht="11.25" customHeight="1" x14ac:dyDescent="0.2">
      <c r="AG8419" s="19"/>
      <c r="AJ8419" s="410"/>
    </row>
    <row r="8420" spans="33:36" ht="11.25" customHeight="1" x14ac:dyDescent="0.2">
      <c r="AG8420" s="19"/>
      <c r="AJ8420" s="410"/>
    </row>
    <row r="8421" spans="33:36" ht="11.25" customHeight="1" x14ac:dyDescent="0.2">
      <c r="AG8421" s="19"/>
      <c r="AJ8421" s="410"/>
    </row>
    <row r="8422" spans="33:36" ht="11.25" customHeight="1" x14ac:dyDescent="0.2">
      <c r="AG8422" s="19"/>
      <c r="AJ8422" s="410"/>
    </row>
    <row r="8423" spans="33:36" ht="11.25" customHeight="1" x14ac:dyDescent="0.2">
      <c r="AG8423" s="19"/>
      <c r="AJ8423" s="410"/>
    </row>
    <row r="8424" spans="33:36" ht="11.25" customHeight="1" x14ac:dyDescent="0.2">
      <c r="AG8424" s="19"/>
      <c r="AJ8424" s="410"/>
    </row>
    <row r="8425" spans="33:36" ht="11.25" customHeight="1" x14ac:dyDescent="0.2">
      <c r="AG8425" s="19"/>
      <c r="AJ8425" s="410"/>
    </row>
    <row r="8426" spans="33:36" ht="11.25" customHeight="1" x14ac:dyDescent="0.2">
      <c r="AG8426" s="19"/>
      <c r="AJ8426" s="410"/>
    </row>
    <row r="8427" spans="33:36" ht="11.25" customHeight="1" x14ac:dyDescent="0.2">
      <c r="AG8427" s="19"/>
      <c r="AJ8427" s="410"/>
    </row>
    <row r="8428" spans="33:36" ht="11.25" customHeight="1" x14ac:dyDescent="0.2">
      <c r="AG8428" s="19"/>
      <c r="AJ8428" s="410"/>
    </row>
    <row r="8429" spans="33:36" ht="11.25" customHeight="1" x14ac:dyDescent="0.2">
      <c r="AG8429" s="19"/>
      <c r="AJ8429" s="410"/>
    </row>
    <row r="8430" spans="33:36" ht="11.25" customHeight="1" x14ac:dyDescent="0.2">
      <c r="AG8430" s="19"/>
      <c r="AJ8430" s="410"/>
    </row>
    <row r="8431" spans="33:36" ht="11.25" customHeight="1" x14ac:dyDescent="0.2">
      <c r="AG8431" s="19"/>
      <c r="AJ8431" s="410"/>
    </row>
    <row r="8432" spans="33:36" ht="11.25" customHeight="1" x14ac:dyDescent="0.2">
      <c r="AG8432" s="19"/>
      <c r="AJ8432" s="410"/>
    </row>
    <row r="8433" spans="33:36" ht="11.25" customHeight="1" x14ac:dyDescent="0.2">
      <c r="AG8433" s="19"/>
      <c r="AJ8433" s="410"/>
    </row>
    <row r="8434" spans="33:36" ht="11.25" customHeight="1" x14ac:dyDescent="0.2">
      <c r="AG8434" s="19"/>
      <c r="AJ8434" s="410"/>
    </row>
    <row r="8435" spans="33:36" ht="11.25" customHeight="1" x14ac:dyDescent="0.2">
      <c r="AG8435" s="19"/>
      <c r="AJ8435" s="410"/>
    </row>
    <row r="8436" spans="33:36" ht="11.25" customHeight="1" x14ac:dyDescent="0.2">
      <c r="AG8436" s="19"/>
      <c r="AJ8436" s="410"/>
    </row>
    <row r="8437" spans="33:36" ht="11.25" customHeight="1" x14ac:dyDescent="0.2">
      <c r="AG8437" s="19"/>
      <c r="AJ8437" s="410"/>
    </row>
    <row r="8438" spans="33:36" ht="11.25" customHeight="1" x14ac:dyDescent="0.2">
      <c r="AG8438" s="19"/>
      <c r="AJ8438" s="410"/>
    </row>
    <row r="8439" spans="33:36" ht="11.25" customHeight="1" x14ac:dyDescent="0.2">
      <c r="AG8439" s="19"/>
      <c r="AJ8439" s="410"/>
    </row>
    <row r="8440" spans="33:36" ht="11.25" customHeight="1" x14ac:dyDescent="0.2">
      <c r="AG8440" s="19"/>
      <c r="AJ8440" s="410"/>
    </row>
    <row r="8441" spans="33:36" ht="11.25" customHeight="1" x14ac:dyDescent="0.2">
      <c r="AG8441" s="19"/>
      <c r="AJ8441" s="410"/>
    </row>
    <row r="8442" spans="33:36" ht="11.25" customHeight="1" x14ac:dyDescent="0.2">
      <c r="AG8442" s="19"/>
      <c r="AJ8442" s="410"/>
    </row>
    <row r="8443" spans="33:36" ht="11.25" customHeight="1" x14ac:dyDescent="0.2">
      <c r="AG8443" s="19"/>
      <c r="AJ8443" s="410"/>
    </row>
    <row r="8444" spans="33:36" ht="11.25" customHeight="1" x14ac:dyDescent="0.2">
      <c r="AG8444" s="19"/>
      <c r="AJ8444" s="410"/>
    </row>
    <row r="8445" spans="33:36" ht="11.25" customHeight="1" x14ac:dyDescent="0.2">
      <c r="AG8445" s="19"/>
      <c r="AJ8445" s="410"/>
    </row>
    <row r="8446" spans="33:36" ht="11.25" customHeight="1" x14ac:dyDescent="0.2">
      <c r="AG8446" s="19"/>
      <c r="AJ8446" s="410"/>
    </row>
    <row r="8447" spans="33:36" ht="11.25" customHeight="1" x14ac:dyDescent="0.2">
      <c r="AG8447" s="19"/>
      <c r="AJ8447" s="410"/>
    </row>
    <row r="8448" spans="33:36" ht="11.25" customHeight="1" x14ac:dyDescent="0.2">
      <c r="AG8448" s="19"/>
      <c r="AJ8448" s="410"/>
    </row>
    <row r="8449" spans="33:36" ht="11.25" customHeight="1" x14ac:dyDescent="0.2">
      <c r="AG8449" s="19"/>
      <c r="AJ8449" s="410"/>
    </row>
    <row r="8450" spans="33:36" ht="11.25" customHeight="1" x14ac:dyDescent="0.2">
      <c r="AG8450" s="19"/>
      <c r="AJ8450" s="410"/>
    </row>
    <row r="8451" spans="33:36" ht="11.25" customHeight="1" x14ac:dyDescent="0.2">
      <c r="AG8451" s="19"/>
      <c r="AJ8451" s="410"/>
    </row>
    <row r="8452" spans="33:36" ht="11.25" customHeight="1" x14ac:dyDescent="0.2">
      <c r="AG8452" s="19"/>
      <c r="AJ8452" s="410"/>
    </row>
    <row r="8453" spans="33:36" ht="11.25" customHeight="1" x14ac:dyDescent="0.2">
      <c r="AG8453" s="19"/>
      <c r="AJ8453" s="410"/>
    </row>
    <row r="8454" spans="33:36" ht="11.25" customHeight="1" x14ac:dyDescent="0.2">
      <c r="AG8454" s="19"/>
      <c r="AJ8454" s="410"/>
    </row>
    <row r="8455" spans="33:36" ht="11.25" customHeight="1" x14ac:dyDescent="0.2">
      <c r="AG8455" s="19"/>
      <c r="AJ8455" s="410"/>
    </row>
    <row r="8456" spans="33:36" ht="11.25" customHeight="1" x14ac:dyDescent="0.2">
      <c r="AG8456" s="19"/>
      <c r="AJ8456" s="410"/>
    </row>
    <row r="8457" spans="33:36" ht="11.25" customHeight="1" x14ac:dyDescent="0.2">
      <c r="AG8457" s="19"/>
      <c r="AJ8457" s="410"/>
    </row>
    <row r="8458" spans="33:36" ht="11.25" customHeight="1" x14ac:dyDescent="0.2">
      <c r="AG8458" s="19"/>
      <c r="AJ8458" s="410"/>
    </row>
    <row r="8459" spans="33:36" ht="11.25" customHeight="1" x14ac:dyDescent="0.2">
      <c r="AG8459" s="19"/>
      <c r="AJ8459" s="410"/>
    </row>
    <row r="8460" spans="33:36" ht="11.25" customHeight="1" x14ac:dyDescent="0.2">
      <c r="AG8460" s="19"/>
      <c r="AJ8460" s="410"/>
    </row>
    <row r="8461" spans="33:36" ht="11.25" customHeight="1" x14ac:dyDescent="0.2">
      <c r="AG8461" s="19"/>
      <c r="AJ8461" s="410"/>
    </row>
    <row r="8462" spans="33:36" ht="11.25" customHeight="1" x14ac:dyDescent="0.2">
      <c r="AG8462" s="19"/>
      <c r="AJ8462" s="410"/>
    </row>
    <row r="8463" spans="33:36" ht="11.25" customHeight="1" x14ac:dyDescent="0.2">
      <c r="AG8463" s="19"/>
      <c r="AJ8463" s="410"/>
    </row>
    <row r="8464" spans="33:36" ht="11.25" customHeight="1" x14ac:dyDescent="0.2">
      <c r="AG8464" s="19"/>
      <c r="AJ8464" s="410"/>
    </row>
    <row r="8465" spans="33:36" ht="11.25" customHeight="1" x14ac:dyDescent="0.2">
      <c r="AG8465" s="19"/>
      <c r="AJ8465" s="410"/>
    </row>
    <row r="8466" spans="33:36" ht="11.25" customHeight="1" x14ac:dyDescent="0.2">
      <c r="AG8466" s="19"/>
      <c r="AJ8466" s="410"/>
    </row>
    <row r="8467" spans="33:36" ht="11.25" customHeight="1" x14ac:dyDescent="0.2">
      <c r="AG8467" s="19"/>
      <c r="AJ8467" s="410"/>
    </row>
    <row r="8468" spans="33:36" ht="11.25" customHeight="1" x14ac:dyDescent="0.2">
      <c r="AG8468" s="19"/>
      <c r="AJ8468" s="410"/>
    </row>
    <row r="8469" spans="33:36" ht="11.25" customHeight="1" x14ac:dyDescent="0.2">
      <c r="AG8469" s="19"/>
      <c r="AJ8469" s="410"/>
    </row>
    <row r="8470" spans="33:36" ht="11.25" customHeight="1" x14ac:dyDescent="0.2">
      <c r="AG8470" s="19"/>
      <c r="AJ8470" s="410"/>
    </row>
    <row r="8471" spans="33:36" ht="11.25" customHeight="1" x14ac:dyDescent="0.2">
      <c r="AG8471" s="19"/>
      <c r="AJ8471" s="410"/>
    </row>
    <row r="8472" spans="33:36" ht="11.25" customHeight="1" x14ac:dyDescent="0.2">
      <c r="AG8472" s="19"/>
      <c r="AJ8472" s="410"/>
    </row>
    <row r="8473" spans="33:36" ht="11.25" customHeight="1" x14ac:dyDescent="0.2">
      <c r="AG8473" s="19"/>
      <c r="AJ8473" s="410"/>
    </row>
    <row r="8474" spans="33:36" ht="11.25" customHeight="1" x14ac:dyDescent="0.2">
      <c r="AG8474" s="19"/>
      <c r="AJ8474" s="410"/>
    </row>
    <row r="8475" spans="33:36" ht="11.25" customHeight="1" x14ac:dyDescent="0.2">
      <c r="AG8475" s="19"/>
      <c r="AJ8475" s="410"/>
    </row>
    <row r="8476" spans="33:36" ht="11.25" customHeight="1" x14ac:dyDescent="0.2">
      <c r="AG8476" s="19"/>
      <c r="AJ8476" s="410"/>
    </row>
    <row r="8477" spans="33:36" ht="11.25" customHeight="1" x14ac:dyDescent="0.2">
      <c r="AG8477" s="19"/>
      <c r="AJ8477" s="410"/>
    </row>
    <row r="8478" spans="33:36" ht="11.25" customHeight="1" x14ac:dyDescent="0.2">
      <c r="AG8478" s="19"/>
      <c r="AJ8478" s="410"/>
    </row>
    <row r="8479" spans="33:36" ht="11.25" customHeight="1" x14ac:dyDescent="0.2">
      <c r="AG8479" s="19"/>
      <c r="AJ8479" s="410"/>
    </row>
    <row r="8480" spans="33:36" ht="11.25" customHeight="1" x14ac:dyDescent="0.2">
      <c r="AG8480" s="19"/>
      <c r="AJ8480" s="410"/>
    </row>
    <row r="8481" spans="33:36" ht="11.25" customHeight="1" x14ac:dyDescent="0.2">
      <c r="AG8481" s="19"/>
      <c r="AJ8481" s="410"/>
    </row>
    <row r="8482" spans="33:36" ht="11.25" customHeight="1" x14ac:dyDescent="0.2">
      <c r="AG8482" s="19"/>
      <c r="AJ8482" s="410"/>
    </row>
    <row r="8483" spans="33:36" ht="11.25" customHeight="1" x14ac:dyDescent="0.2">
      <c r="AG8483" s="19"/>
      <c r="AJ8483" s="410"/>
    </row>
    <row r="8484" spans="33:36" ht="11.25" customHeight="1" x14ac:dyDescent="0.2">
      <c r="AG8484" s="19"/>
      <c r="AJ8484" s="410"/>
    </row>
    <row r="8485" spans="33:36" ht="11.25" customHeight="1" x14ac:dyDescent="0.2">
      <c r="AG8485" s="19"/>
      <c r="AJ8485" s="410"/>
    </row>
    <row r="8486" spans="33:36" ht="11.25" customHeight="1" x14ac:dyDescent="0.2">
      <c r="AG8486" s="19"/>
      <c r="AJ8486" s="410"/>
    </row>
    <row r="8487" spans="33:36" ht="11.25" customHeight="1" x14ac:dyDescent="0.2">
      <c r="AG8487" s="19"/>
      <c r="AJ8487" s="410"/>
    </row>
    <row r="8488" spans="33:36" ht="11.25" customHeight="1" x14ac:dyDescent="0.2">
      <c r="AG8488" s="19"/>
      <c r="AJ8488" s="410"/>
    </row>
    <row r="8489" spans="33:36" ht="11.25" customHeight="1" x14ac:dyDescent="0.2">
      <c r="AG8489" s="19"/>
      <c r="AJ8489" s="410"/>
    </row>
    <row r="8490" spans="33:36" ht="11.25" customHeight="1" x14ac:dyDescent="0.2">
      <c r="AG8490" s="19"/>
      <c r="AJ8490" s="410"/>
    </row>
    <row r="8491" spans="33:36" ht="11.25" customHeight="1" x14ac:dyDescent="0.2">
      <c r="AG8491" s="19"/>
      <c r="AJ8491" s="410"/>
    </row>
    <row r="8492" spans="33:36" ht="11.25" customHeight="1" x14ac:dyDescent="0.2">
      <c r="AG8492" s="19"/>
      <c r="AJ8492" s="410"/>
    </row>
    <row r="8493" spans="33:36" ht="11.25" customHeight="1" x14ac:dyDescent="0.2">
      <c r="AG8493" s="19"/>
      <c r="AJ8493" s="410"/>
    </row>
    <row r="8494" spans="33:36" ht="11.25" customHeight="1" x14ac:dyDescent="0.2">
      <c r="AG8494" s="19"/>
      <c r="AJ8494" s="410"/>
    </row>
    <row r="8495" spans="33:36" ht="11.25" customHeight="1" x14ac:dyDescent="0.2">
      <c r="AG8495" s="19"/>
      <c r="AJ8495" s="410"/>
    </row>
    <row r="8496" spans="33:36" ht="11.25" customHeight="1" x14ac:dyDescent="0.2">
      <c r="AG8496" s="19"/>
      <c r="AJ8496" s="410"/>
    </row>
    <row r="8497" spans="33:36" ht="11.25" customHeight="1" x14ac:dyDescent="0.2">
      <c r="AG8497" s="19"/>
      <c r="AJ8497" s="410"/>
    </row>
    <row r="8498" spans="33:36" ht="11.25" customHeight="1" x14ac:dyDescent="0.2">
      <c r="AG8498" s="19"/>
      <c r="AJ8498" s="410"/>
    </row>
    <row r="8499" spans="33:36" ht="11.25" customHeight="1" x14ac:dyDescent="0.2">
      <c r="AG8499" s="19"/>
      <c r="AJ8499" s="410"/>
    </row>
    <row r="8500" spans="33:36" ht="11.25" customHeight="1" x14ac:dyDescent="0.2">
      <c r="AG8500" s="19"/>
      <c r="AJ8500" s="410"/>
    </row>
    <row r="8501" spans="33:36" ht="11.25" customHeight="1" x14ac:dyDescent="0.2">
      <c r="AG8501" s="19"/>
      <c r="AJ8501" s="410"/>
    </row>
    <row r="8502" spans="33:36" ht="11.25" customHeight="1" x14ac:dyDescent="0.2">
      <c r="AG8502" s="19"/>
      <c r="AJ8502" s="410"/>
    </row>
    <row r="8503" spans="33:36" ht="11.25" customHeight="1" x14ac:dyDescent="0.2">
      <c r="AG8503" s="19"/>
      <c r="AJ8503" s="410"/>
    </row>
    <row r="8504" spans="33:36" ht="11.25" customHeight="1" x14ac:dyDescent="0.2">
      <c r="AG8504" s="19"/>
      <c r="AJ8504" s="410"/>
    </row>
    <row r="8505" spans="33:36" ht="11.25" customHeight="1" x14ac:dyDescent="0.2">
      <c r="AG8505" s="19"/>
      <c r="AJ8505" s="410"/>
    </row>
    <row r="8506" spans="33:36" ht="11.25" customHeight="1" x14ac:dyDescent="0.2">
      <c r="AG8506" s="19"/>
      <c r="AJ8506" s="410"/>
    </row>
    <row r="8507" spans="33:36" ht="11.25" customHeight="1" x14ac:dyDescent="0.2">
      <c r="AG8507" s="19"/>
      <c r="AJ8507" s="410"/>
    </row>
    <row r="8508" spans="33:36" ht="11.25" customHeight="1" x14ac:dyDescent="0.2">
      <c r="AG8508" s="19"/>
      <c r="AJ8508" s="410"/>
    </row>
    <row r="8509" spans="33:36" ht="11.25" customHeight="1" x14ac:dyDescent="0.2">
      <c r="AG8509" s="19"/>
      <c r="AJ8509" s="410"/>
    </row>
    <row r="8510" spans="33:36" ht="11.25" customHeight="1" x14ac:dyDescent="0.2">
      <c r="AG8510" s="19"/>
      <c r="AJ8510" s="410"/>
    </row>
    <row r="8511" spans="33:36" ht="11.25" customHeight="1" x14ac:dyDescent="0.2">
      <c r="AG8511" s="19"/>
      <c r="AJ8511" s="410"/>
    </row>
    <row r="8512" spans="33:36" ht="11.25" customHeight="1" x14ac:dyDescent="0.2">
      <c r="AG8512" s="19"/>
      <c r="AJ8512" s="410"/>
    </row>
    <row r="8513" spans="33:36" ht="11.25" customHeight="1" x14ac:dyDescent="0.2">
      <c r="AG8513" s="19"/>
      <c r="AJ8513" s="410"/>
    </row>
    <row r="8514" spans="33:36" ht="11.25" customHeight="1" x14ac:dyDescent="0.2">
      <c r="AG8514" s="19"/>
      <c r="AJ8514" s="410"/>
    </row>
    <row r="8515" spans="33:36" ht="11.25" customHeight="1" x14ac:dyDescent="0.2">
      <c r="AG8515" s="19"/>
      <c r="AJ8515" s="410"/>
    </row>
    <row r="8516" spans="33:36" ht="11.25" customHeight="1" x14ac:dyDescent="0.2">
      <c r="AG8516" s="19"/>
      <c r="AJ8516" s="410"/>
    </row>
    <row r="8517" spans="33:36" ht="11.25" customHeight="1" x14ac:dyDescent="0.2">
      <c r="AG8517" s="19"/>
      <c r="AJ8517" s="410"/>
    </row>
    <row r="8518" spans="33:36" ht="11.25" customHeight="1" x14ac:dyDescent="0.2">
      <c r="AG8518" s="19"/>
      <c r="AJ8518" s="410"/>
    </row>
    <row r="8519" spans="33:36" ht="11.25" customHeight="1" x14ac:dyDescent="0.2">
      <c r="AG8519" s="19"/>
      <c r="AJ8519" s="410"/>
    </row>
    <row r="8520" spans="33:36" ht="11.25" customHeight="1" x14ac:dyDescent="0.2">
      <c r="AG8520" s="19"/>
      <c r="AJ8520" s="410"/>
    </row>
    <row r="8521" spans="33:36" ht="11.25" customHeight="1" x14ac:dyDescent="0.2">
      <c r="AG8521" s="19"/>
      <c r="AJ8521" s="410"/>
    </row>
    <row r="8522" spans="33:36" ht="11.25" customHeight="1" x14ac:dyDescent="0.2">
      <c r="AG8522" s="19"/>
      <c r="AJ8522" s="410"/>
    </row>
    <row r="8523" spans="33:36" ht="11.25" customHeight="1" x14ac:dyDescent="0.2">
      <c r="AG8523" s="19"/>
      <c r="AJ8523" s="410"/>
    </row>
    <row r="8524" spans="33:36" ht="11.25" customHeight="1" x14ac:dyDescent="0.2">
      <c r="AG8524" s="19"/>
      <c r="AJ8524" s="410"/>
    </row>
    <row r="8525" spans="33:36" ht="11.25" customHeight="1" x14ac:dyDescent="0.2">
      <c r="AG8525" s="19"/>
      <c r="AJ8525" s="410"/>
    </row>
    <row r="8526" spans="33:36" ht="11.25" customHeight="1" x14ac:dyDescent="0.2">
      <c r="AG8526" s="19"/>
      <c r="AJ8526" s="410"/>
    </row>
    <row r="8527" spans="33:36" ht="11.25" customHeight="1" x14ac:dyDescent="0.2">
      <c r="AG8527" s="19"/>
      <c r="AJ8527" s="410"/>
    </row>
    <row r="8528" spans="33:36" ht="11.25" customHeight="1" x14ac:dyDescent="0.2">
      <c r="AG8528" s="19"/>
      <c r="AJ8528" s="410"/>
    </row>
    <row r="8529" spans="33:36" ht="11.25" customHeight="1" x14ac:dyDescent="0.2">
      <c r="AG8529" s="19"/>
      <c r="AJ8529" s="410"/>
    </row>
    <row r="8530" spans="33:36" ht="11.25" customHeight="1" x14ac:dyDescent="0.2">
      <c r="AG8530" s="19"/>
      <c r="AJ8530" s="410"/>
    </row>
    <row r="8531" spans="33:36" ht="11.25" customHeight="1" x14ac:dyDescent="0.2">
      <c r="AG8531" s="19"/>
      <c r="AJ8531" s="410"/>
    </row>
    <row r="8532" spans="33:36" ht="11.25" customHeight="1" x14ac:dyDescent="0.2">
      <c r="AG8532" s="19"/>
      <c r="AJ8532" s="410"/>
    </row>
    <row r="8533" spans="33:36" ht="11.25" customHeight="1" x14ac:dyDescent="0.2">
      <c r="AG8533" s="19"/>
      <c r="AJ8533" s="410"/>
    </row>
    <row r="8534" spans="33:36" ht="11.25" customHeight="1" x14ac:dyDescent="0.2">
      <c r="AG8534" s="19"/>
      <c r="AJ8534" s="410"/>
    </row>
    <row r="8535" spans="33:36" ht="11.25" customHeight="1" x14ac:dyDescent="0.2">
      <c r="AG8535" s="19"/>
      <c r="AJ8535" s="410"/>
    </row>
    <row r="8536" spans="33:36" ht="11.25" customHeight="1" x14ac:dyDescent="0.2">
      <c r="AG8536" s="19"/>
      <c r="AJ8536" s="410"/>
    </row>
    <row r="8537" spans="33:36" ht="11.25" customHeight="1" x14ac:dyDescent="0.2">
      <c r="AG8537" s="19"/>
      <c r="AJ8537" s="410"/>
    </row>
    <row r="8538" spans="33:36" ht="11.25" customHeight="1" x14ac:dyDescent="0.2">
      <c r="AG8538" s="19"/>
      <c r="AJ8538" s="410"/>
    </row>
    <row r="8539" spans="33:36" ht="11.25" customHeight="1" x14ac:dyDescent="0.2">
      <c r="AG8539" s="19"/>
      <c r="AJ8539" s="410"/>
    </row>
    <row r="8540" spans="33:36" ht="11.25" customHeight="1" x14ac:dyDescent="0.2">
      <c r="AG8540" s="19"/>
      <c r="AJ8540" s="410"/>
    </row>
    <row r="8541" spans="33:36" ht="11.25" customHeight="1" x14ac:dyDescent="0.2">
      <c r="AG8541" s="19"/>
      <c r="AJ8541" s="410"/>
    </row>
    <row r="8542" spans="33:36" ht="11.25" customHeight="1" x14ac:dyDescent="0.2">
      <c r="AG8542" s="19"/>
      <c r="AJ8542" s="410"/>
    </row>
    <row r="8543" spans="33:36" ht="11.25" customHeight="1" x14ac:dyDescent="0.2">
      <c r="AG8543" s="19"/>
      <c r="AJ8543" s="410"/>
    </row>
    <row r="8544" spans="33:36" ht="11.25" customHeight="1" x14ac:dyDescent="0.2">
      <c r="AG8544" s="19"/>
      <c r="AJ8544" s="410"/>
    </row>
    <row r="8545" spans="33:36" ht="11.25" customHeight="1" x14ac:dyDescent="0.2">
      <c r="AG8545" s="19"/>
      <c r="AJ8545" s="410"/>
    </row>
    <row r="8546" spans="33:36" ht="11.25" customHeight="1" x14ac:dyDescent="0.2">
      <c r="AG8546" s="19"/>
      <c r="AJ8546" s="410"/>
    </row>
    <row r="8547" spans="33:36" ht="11.25" customHeight="1" x14ac:dyDescent="0.2">
      <c r="AG8547" s="19"/>
      <c r="AJ8547" s="410"/>
    </row>
    <row r="8548" spans="33:36" ht="11.25" customHeight="1" x14ac:dyDescent="0.2">
      <c r="AG8548" s="19"/>
      <c r="AJ8548" s="410"/>
    </row>
    <row r="8549" spans="33:36" ht="11.25" customHeight="1" x14ac:dyDescent="0.2">
      <c r="AG8549" s="19"/>
      <c r="AJ8549" s="410"/>
    </row>
    <row r="8550" spans="33:36" ht="11.25" customHeight="1" x14ac:dyDescent="0.2">
      <c r="AG8550" s="19"/>
      <c r="AJ8550" s="410"/>
    </row>
    <row r="8551" spans="33:36" ht="11.25" customHeight="1" x14ac:dyDescent="0.2">
      <c r="AG8551" s="19"/>
      <c r="AJ8551" s="410"/>
    </row>
    <row r="8552" spans="33:36" ht="11.25" customHeight="1" x14ac:dyDescent="0.2">
      <c r="AG8552" s="19"/>
      <c r="AJ8552" s="410"/>
    </row>
    <row r="8553" spans="33:36" ht="11.25" customHeight="1" x14ac:dyDescent="0.2">
      <c r="AG8553" s="19"/>
      <c r="AJ8553" s="410"/>
    </row>
    <row r="8554" spans="33:36" ht="11.25" customHeight="1" x14ac:dyDescent="0.2">
      <c r="AG8554" s="19"/>
      <c r="AJ8554" s="410"/>
    </row>
    <row r="8555" spans="33:36" ht="11.25" customHeight="1" x14ac:dyDescent="0.2">
      <c r="AG8555" s="19"/>
      <c r="AJ8555" s="410"/>
    </row>
    <row r="8556" spans="33:36" ht="11.25" customHeight="1" x14ac:dyDescent="0.2">
      <c r="AG8556" s="19"/>
      <c r="AJ8556" s="410"/>
    </row>
    <row r="8557" spans="33:36" ht="11.25" customHeight="1" x14ac:dyDescent="0.2">
      <c r="AG8557" s="19"/>
      <c r="AJ8557" s="410"/>
    </row>
    <row r="8558" spans="33:36" ht="11.25" customHeight="1" x14ac:dyDescent="0.2">
      <c r="AG8558" s="19"/>
      <c r="AJ8558" s="410"/>
    </row>
    <row r="8559" spans="33:36" ht="11.25" customHeight="1" x14ac:dyDescent="0.2">
      <c r="AG8559" s="19"/>
      <c r="AJ8559" s="410"/>
    </row>
    <row r="8560" spans="33:36" ht="11.25" customHeight="1" x14ac:dyDescent="0.2">
      <c r="AG8560" s="19"/>
      <c r="AJ8560" s="410"/>
    </row>
    <row r="8561" spans="33:36" ht="11.25" customHeight="1" x14ac:dyDescent="0.2">
      <c r="AG8561" s="19"/>
      <c r="AJ8561" s="410"/>
    </row>
    <row r="8562" spans="33:36" ht="11.25" customHeight="1" x14ac:dyDescent="0.2">
      <c r="AG8562" s="19"/>
      <c r="AJ8562" s="410"/>
    </row>
    <row r="8563" spans="33:36" ht="11.25" customHeight="1" x14ac:dyDescent="0.2">
      <c r="AG8563" s="19"/>
      <c r="AJ8563" s="410"/>
    </row>
    <row r="8564" spans="33:36" ht="11.25" customHeight="1" x14ac:dyDescent="0.2">
      <c r="AG8564" s="19"/>
      <c r="AJ8564" s="410"/>
    </row>
    <row r="8565" spans="33:36" ht="11.25" customHeight="1" x14ac:dyDescent="0.2">
      <c r="AG8565" s="19"/>
      <c r="AJ8565" s="410"/>
    </row>
    <row r="8566" spans="33:36" ht="11.25" customHeight="1" x14ac:dyDescent="0.2">
      <c r="AG8566" s="19"/>
      <c r="AJ8566" s="410"/>
    </row>
    <row r="8567" spans="33:36" ht="11.25" customHeight="1" x14ac:dyDescent="0.2">
      <c r="AG8567" s="19"/>
      <c r="AJ8567" s="410"/>
    </row>
    <row r="8568" spans="33:36" ht="11.25" customHeight="1" x14ac:dyDescent="0.2">
      <c r="AG8568" s="19"/>
      <c r="AJ8568" s="410"/>
    </row>
    <row r="8569" spans="33:36" ht="11.25" customHeight="1" x14ac:dyDescent="0.2">
      <c r="AG8569" s="19"/>
      <c r="AJ8569" s="410"/>
    </row>
    <row r="8570" spans="33:36" ht="11.25" customHeight="1" x14ac:dyDescent="0.2">
      <c r="AG8570" s="19"/>
      <c r="AJ8570" s="410"/>
    </row>
    <row r="8571" spans="33:36" ht="11.25" customHeight="1" x14ac:dyDescent="0.2">
      <c r="AG8571" s="19"/>
      <c r="AJ8571" s="410"/>
    </row>
    <row r="8572" spans="33:36" ht="11.25" customHeight="1" x14ac:dyDescent="0.2">
      <c r="AG8572" s="19"/>
      <c r="AJ8572" s="410"/>
    </row>
    <row r="8573" spans="33:36" ht="11.25" customHeight="1" x14ac:dyDescent="0.2">
      <c r="AG8573" s="19"/>
      <c r="AJ8573" s="410"/>
    </row>
    <row r="8574" spans="33:36" ht="11.25" customHeight="1" x14ac:dyDescent="0.2">
      <c r="AG8574" s="19"/>
      <c r="AJ8574" s="410"/>
    </row>
    <row r="8575" spans="33:36" ht="11.25" customHeight="1" x14ac:dyDescent="0.2">
      <c r="AG8575" s="19"/>
      <c r="AJ8575" s="410"/>
    </row>
    <row r="8576" spans="33:36" ht="11.25" customHeight="1" x14ac:dyDescent="0.2">
      <c r="AG8576" s="19"/>
      <c r="AJ8576" s="410"/>
    </row>
    <row r="8577" spans="33:36" ht="11.25" customHeight="1" x14ac:dyDescent="0.2">
      <c r="AG8577" s="19"/>
      <c r="AJ8577" s="410"/>
    </row>
    <row r="8578" spans="33:36" ht="11.25" customHeight="1" x14ac:dyDescent="0.2">
      <c r="AG8578" s="19"/>
      <c r="AJ8578" s="410"/>
    </row>
    <row r="8579" spans="33:36" ht="11.25" customHeight="1" x14ac:dyDescent="0.2">
      <c r="AG8579" s="19"/>
      <c r="AJ8579" s="410"/>
    </row>
    <row r="8580" spans="33:36" ht="11.25" customHeight="1" x14ac:dyDescent="0.2">
      <c r="AG8580" s="19"/>
      <c r="AJ8580" s="410"/>
    </row>
    <row r="8581" spans="33:36" ht="11.25" customHeight="1" x14ac:dyDescent="0.2">
      <c r="AG8581" s="19"/>
      <c r="AJ8581" s="410"/>
    </row>
    <row r="8582" spans="33:36" ht="11.25" customHeight="1" x14ac:dyDescent="0.2">
      <c r="AG8582" s="19"/>
      <c r="AJ8582" s="410"/>
    </row>
    <row r="8583" spans="33:36" ht="11.25" customHeight="1" x14ac:dyDescent="0.2">
      <c r="AG8583" s="19"/>
      <c r="AJ8583" s="410"/>
    </row>
    <row r="8584" spans="33:36" ht="11.25" customHeight="1" x14ac:dyDescent="0.2">
      <c r="AG8584" s="19"/>
      <c r="AJ8584" s="410"/>
    </row>
    <row r="8585" spans="33:36" ht="11.25" customHeight="1" x14ac:dyDescent="0.2">
      <c r="AG8585" s="19"/>
      <c r="AJ8585" s="410"/>
    </row>
    <row r="8586" spans="33:36" ht="11.25" customHeight="1" x14ac:dyDescent="0.2">
      <c r="AG8586" s="19"/>
      <c r="AJ8586" s="410"/>
    </row>
    <row r="8587" spans="33:36" ht="11.25" customHeight="1" x14ac:dyDescent="0.2">
      <c r="AG8587" s="19"/>
      <c r="AJ8587" s="410"/>
    </row>
    <row r="8588" spans="33:36" ht="11.25" customHeight="1" x14ac:dyDescent="0.2">
      <c r="AG8588" s="19"/>
      <c r="AJ8588" s="410"/>
    </row>
    <row r="8589" spans="33:36" ht="11.25" customHeight="1" x14ac:dyDescent="0.2">
      <c r="AG8589" s="19"/>
      <c r="AJ8589" s="410"/>
    </row>
    <row r="8590" spans="33:36" ht="11.25" customHeight="1" x14ac:dyDescent="0.2">
      <c r="AG8590" s="19"/>
      <c r="AJ8590" s="410"/>
    </row>
    <row r="8591" spans="33:36" ht="11.25" customHeight="1" x14ac:dyDescent="0.2">
      <c r="AG8591" s="19"/>
      <c r="AJ8591" s="410"/>
    </row>
    <row r="8592" spans="33:36" ht="11.25" customHeight="1" x14ac:dyDescent="0.2">
      <c r="AG8592" s="19"/>
      <c r="AJ8592" s="410"/>
    </row>
    <row r="8593" spans="33:36" ht="11.25" customHeight="1" x14ac:dyDescent="0.2">
      <c r="AG8593" s="19"/>
      <c r="AJ8593" s="410"/>
    </row>
    <row r="8594" spans="33:36" ht="11.25" customHeight="1" x14ac:dyDescent="0.2">
      <c r="AG8594" s="19"/>
      <c r="AJ8594" s="410"/>
    </row>
    <row r="8595" spans="33:36" ht="11.25" customHeight="1" x14ac:dyDescent="0.2">
      <c r="AG8595" s="19"/>
      <c r="AJ8595" s="410"/>
    </row>
    <row r="8596" spans="33:36" ht="11.25" customHeight="1" x14ac:dyDescent="0.2">
      <c r="AG8596" s="19"/>
      <c r="AJ8596" s="410"/>
    </row>
    <row r="8597" spans="33:36" ht="11.25" customHeight="1" x14ac:dyDescent="0.2">
      <c r="AG8597" s="19"/>
      <c r="AJ8597" s="410"/>
    </row>
    <row r="8598" spans="33:36" ht="11.25" customHeight="1" x14ac:dyDescent="0.2">
      <c r="AG8598" s="19"/>
      <c r="AJ8598" s="410"/>
    </row>
    <row r="8599" spans="33:36" ht="11.25" customHeight="1" x14ac:dyDescent="0.2">
      <c r="AG8599" s="19"/>
      <c r="AJ8599" s="410"/>
    </row>
    <row r="8600" spans="33:36" ht="11.25" customHeight="1" x14ac:dyDescent="0.2">
      <c r="AG8600" s="19"/>
      <c r="AJ8600" s="410"/>
    </row>
    <row r="8601" spans="33:36" ht="11.25" customHeight="1" x14ac:dyDescent="0.2">
      <c r="AG8601" s="19"/>
      <c r="AJ8601" s="410"/>
    </row>
    <row r="8602" spans="33:36" ht="11.25" customHeight="1" x14ac:dyDescent="0.2">
      <c r="AG8602" s="19"/>
      <c r="AJ8602" s="410"/>
    </row>
    <row r="8603" spans="33:36" ht="11.25" customHeight="1" x14ac:dyDescent="0.2">
      <c r="AG8603" s="19"/>
      <c r="AJ8603" s="410"/>
    </row>
    <row r="8604" spans="33:36" ht="11.25" customHeight="1" x14ac:dyDescent="0.2">
      <c r="AG8604" s="19"/>
      <c r="AJ8604" s="410"/>
    </row>
    <row r="8605" spans="33:36" ht="11.25" customHeight="1" x14ac:dyDescent="0.2">
      <c r="AG8605" s="19"/>
      <c r="AJ8605" s="410"/>
    </row>
    <row r="8606" spans="33:36" ht="11.25" customHeight="1" x14ac:dyDescent="0.2">
      <c r="AG8606" s="19"/>
      <c r="AJ8606" s="410"/>
    </row>
    <row r="8607" spans="33:36" ht="11.25" customHeight="1" x14ac:dyDescent="0.2">
      <c r="AG8607" s="19"/>
      <c r="AJ8607" s="410"/>
    </row>
    <row r="8608" spans="33:36" ht="11.25" customHeight="1" x14ac:dyDescent="0.2">
      <c r="AG8608" s="19"/>
      <c r="AJ8608" s="410"/>
    </row>
    <row r="8609" spans="33:36" ht="11.25" customHeight="1" x14ac:dyDescent="0.2">
      <c r="AG8609" s="19"/>
      <c r="AJ8609" s="410"/>
    </row>
    <row r="8610" spans="33:36" ht="11.25" customHeight="1" x14ac:dyDescent="0.2">
      <c r="AG8610" s="19"/>
      <c r="AJ8610" s="410"/>
    </row>
    <row r="8611" spans="33:36" ht="11.25" customHeight="1" x14ac:dyDescent="0.2">
      <c r="AG8611" s="19"/>
      <c r="AJ8611" s="410"/>
    </row>
    <row r="8612" spans="33:36" ht="11.25" customHeight="1" x14ac:dyDescent="0.2">
      <c r="AG8612" s="19"/>
      <c r="AJ8612" s="410"/>
    </row>
    <row r="8613" spans="33:36" ht="11.25" customHeight="1" x14ac:dyDescent="0.2">
      <c r="AG8613" s="19"/>
      <c r="AJ8613" s="410"/>
    </row>
    <row r="8614" spans="33:36" ht="11.25" customHeight="1" x14ac:dyDescent="0.2">
      <c r="AG8614" s="19"/>
      <c r="AJ8614" s="410"/>
    </row>
    <row r="8615" spans="33:36" ht="11.25" customHeight="1" x14ac:dyDescent="0.2">
      <c r="AG8615" s="19"/>
      <c r="AJ8615" s="410"/>
    </row>
    <row r="8616" spans="33:36" ht="11.25" customHeight="1" x14ac:dyDescent="0.2">
      <c r="AG8616" s="19"/>
      <c r="AJ8616" s="410"/>
    </row>
    <row r="8617" spans="33:36" ht="11.25" customHeight="1" x14ac:dyDescent="0.2">
      <c r="AG8617" s="19"/>
      <c r="AJ8617" s="410"/>
    </row>
    <row r="8618" spans="33:36" ht="11.25" customHeight="1" x14ac:dyDescent="0.2">
      <c r="AG8618" s="19"/>
      <c r="AJ8618" s="410"/>
    </row>
    <row r="8619" spans="33:36" ht="11.25" customHeight="1" x14ac:dyDescent="0.2">
      <c r="AG8619" s="19"/>
      <c r="AJ8619" s="410"/>
    </row>
    <row r="8620" spans="33:36" ht="11.25" customHeight="1" x14ac:dyDescent="0.2">
      <c r="AG8620" s="19"/>
      <c r="AJ8620" s="410"/>
    </row>
    <row r="8621" spans="33:36" ht="11.25" customHeight="1" x14ac:dyDescent="0.2">
      <c r="AG8621" s="19"/>
      <c r="AJ8621" s="410"/>
    </row>
    <row r="8622" spans="33:36" ht="11.25" customHeight="1" x14ac:dyDescent="0.2">
      <c r="AG8622" s="19"/>
      <c r="AJ8622" s="410"/>
    </row>
    <row r="8623" spans="33:36" ht="11.25" customHeight="1" x14ac:dyDescent="0.2">
      <c r="AG8623" s="19"/>
      <c r="AJ8623" s="410"/>
    </row>
    <row r="8624" spans="33:36" ht="11.25" customHeight="1" x14ac:dyDescent="0.2">
      <c r="AG8624" s="19"/>
      <c r="AJ8624" s="410"/>
    </row>
    <row r="8625" spans="33:36" ht="11.25" customHeight="1" x14ac:dyDescent="0.2">
      <c r="AG8625" s="19"/>
      <c r="AJ8625" s="410"/>
    </row>
    <row r="8626" spans="33:36" ht="11.25" customHeight="1" x14ac:dyDescent="0.2">
      <c r="AG8626" s="19"/>
      <c r="AJ8626" s="410"/>
    </row>
    <row r="8627" spans="33:36" ht="11.25" customHeight="1" x14ac:dyDescent="0.2">
      <c r="AG8627" s="19"/>
      <c r="AJ8627" s="410"/>
    </row>
    <row r="8628" spans="33:36" ht="11.25" customHeight="1" x14ac:dyDescent="0.2">
      <c r="AG8628" s="19"/>
      <c r="AJ8628" s="410"/>
    </row>
    <row r="8629" spans="33:36" ht="11.25" customHeight="1" x14ac:dyDescent="0.2">
      <c r="AG8629" s="19"/>
      <c r="AJ8629" s="410"/>
    </row>
    <row r="8630" spans="33:36" ht="11.25" customHeight="1" x14ac:dyDescent="0.2">
      <c r="AG8630" s="19"/>
      <c r="AJ8630" s="410"/>
    </row>
    <row r="8631" spans="33:36" ht="11.25" customHeight="1" x14ac:dyDescent="0.2">
      <c r="AG8631" s="19"/>
      <c r="AJ8631" s="410"/>
    </row>
    <row r="8632" spans="33:36" ht="11.25" customHeight="1" x14ac:dyDescent="0.2">
      <c r="AG8632" s="19"/>
      <c r="AJ8632" s="410"/>
    </row>
    <row r="8633" spans="33:36" ht="11.25" customHeight="1" x14ac:dyDescent="0.2">
      <c r="AG8633" s="19"/>
      <c r="AJ8633" s="410"/>
    </row>
    <row r="8634" spans="33:36" ht="11.25" customHeight="1" x14ac:dyDescent="0.2">
      <c r="AG8634" s="19"/>
      <c r="AJ8634" s="410"/>
    </row>
    <row r="8635" spans="33:36" ht="11.25" customHeight="1" x14ac:dyDescent="0.2">
      <c r="AG8635" s="19"/>
      <c r="AJ8635" s="410"/>
    </row>
    <row r="8636" spans="33:36" ht="11.25" customHeight="1" x14ac:dyDescent="0.2">
      <c r="AG8636" s="19"/>
      <c r="AJ8636" s="410"/>
    </row>
    <row r="8637" spans="33:36" ht="11.25" customHeight="1" x14ac:dyDescent="0.2">
      <c r="AG8637" s="19"/>
      <c r="AJ8637" s="410"/>
    </row>
    <row r="8638" spans="33:36" ht="11.25" customHeight="1" x14ac:dyDescent="0.2">
      <c r="AG8638" s="19"/>
      <c r="AJ8638" s="410"/>
    </row>
    <row r="8639" spans="33:36" ht="11.25" customHeight="1" x14ac:dyDescent="0.2">
      <c r="AG8639" s="19"/>
      <c r="AJ8639" s="410"/>
    </row>
    <row r="8640" spans="33:36" ht="11.25" customHeight="1" x14ac:dyDescent="0.2">
      <c r="AG8640" s="19"/>
      <c r="AJ8640" s="410"/>
    </row>
    <row r="8641" spans="33:36" ht="11.25" customHeight="1" x14ac:dyDescent="0.2">
      <c r="AG8641" s="19"/>
      <c r="AJ8641" s="410"/>
    </row>
    <row r="8642" spans="33:36" ht="11.25" customHeight="1" x14ac:dyDescent="0.2">
      <c r="AG8642" s="19"/>
      <c r="AJ8642" s="410"/>
    </row>
    <row r="8643" spans="33:36" ht="11.25" customHeight="1" x14ac:dyDescent="0.2">
      <c r="AG8643" s="19"/>
      <c r="AJ8643" s="410"/>
    </row>
    <row r="8644" spans="33:36" ht="11.25" customHeight="1" x14ac:dyDescent="0.2">
      <c r="AG8644" s="19"/>
      <c r="AJ8644" s="410"/>
    </row>
    <row r="8645" spans="33:36" ht="11.25" customHeight="1" x14ac:dyDescent="0.2">
      <c r="AG8645" s="19"/>
      <c r="AJ8645" s="410"/>
    </row>
    <row r="8646" spans="33:36" ht="11.25" customHeight="1" x14ac:dyDescent="0.2">
      <c r="AG8646" s="19"/>
      <c r="AJ8646" s="410"/>
    </row>
    <row r="8647" spans="33:36" ht="11.25" customHeight="1" x14ac:dyDescent="0.2">
      <c r="AG8647" s="19"/>
      <c r="AJ8647" s="410"/>
    </row>
    <row r="8648" spans="33:36" ht="11.25" customHeight="1" x14ac:dyDescent="0.2">
      <c r="AG8648" s="19"/>
      <c r="AJ8648" s="410"/>
    </row>
    <row r="8649" spans="33:36" ht="11.25" customHeight="1" x14ac:dyDescent="0.2">
      <c r="AG8649" s="19"/>
      <c r="AJ8649" s="410"/>
    </row>
    <row r="8650" spans="33:36" ht="11.25" customHeight="1" x14ac:dyDescent="0.2">
      <c r="AG8650" s="19"/>
      <c r="AJ8650" s="410"/>
    </row>
    <row r="8651" spans="33:36" ht="11.25" customHeight="1" x14ac:dyDescent="0.2">
      <c r="AG8651" s="19"/>
      <c r="AJ8651" s="410"/>
    </row>
    <row r="8652" spans="33:36" ht="11.25" customHeight="1" x14ac:dyDescent="0.2">
      <c r="AG8652" s="19"/>
      <c r="AJ8652" s="410"/>
    </row>
    <row r="8653" spans="33:36" ht="11.25" customHeight="1" x14ac:dyDescent="0.2">
      <c r="AG8653" s="19"/>
      <c r="AJ8653" s="410"/>
    </row>
    <row r="8654" spans="33:36" ht="11.25" customHeight="1" x14ac:dyDescent="0.2">
      <c r="AG8654" s="19"/>
      <c r="AJ8654" s="410"/>
    </row>
    <row r="8655" spans="33:36" ht="11.25" customHeight="1" x14ac:dyDescent="0.2">
      <c r="AG8655" s="19"/>
      <c r="AJ8655" s="410"/>
    </row>
    <row r="8656" spans="33:36" ht="11.25" customHeight="1" x14ac:dyDescent="0.2">
      <c r="AG8656" s="19"/>
      <c r="AJ8656" s="410"/>
    </row>
    <row r="8657" spans="33:36" ht="11.25" customHeight="1" x14ac:dyDescent="0.2">
      <c r="AG8657" s="19"/>
      <c r="AJ8657" s="410"/>
    </row>
    <row r="8658" spans="33:36" ht="11.25" customHeight="1" x14ac:dyDescent="0.2">
      <c r="AG8658" s="19"/>
      <c r="AJ8658" s="410"/>
    </row>
    <row r="8659" spans="33:36" ht="11.25" customHeight="1" x14ac:dyDescent="0.2">
      <c r="AG8659" s="19"/>
      <c r="AJ8659" s="410"/>
    </row>
    <row r="8660" spans="33:36" ht="11.25" customHeight="1" x14ac:dyDescent="0.2">
      <c r="AG8660" s="19"/>
      <c r="AJ8660" s="410"/>
    </row>
    <row r="8661" spans="33:36" ht="11.25" customHeight="1" x14ac:dyDescent="0.2">
      <c r="AG8661" s="19"/>
      <c r="AJ8661" s="410"/>
    </row>
    <row r="8662" spans="33:36" ht="11.25" customHeight="1" x14ac:dyDescent="0.2">
      <c r="AG8662" s="19"/>
      <c r="AJ8662" s="410"/>
    </row>
    <row r="8663" spans="33:36" ht="11.25" customHeight="1" x14ac:dyDescent="0.2">
      <c r="AG8663" s="19"/>
      <c r="AJ8663" s="410"/>
    </row>
    <row r="8664" spans="33:36" ht="11.25" customHeight="1" x14ac:dyDescent="0.2">
      <c r="AG8664" s="19"/>
      <c r="AJ8664" s="410"/>
    </row>
    <row r="8665" spans="33:36" ht="11.25" customHeight="1" x14ac:dyDescent="0.2">
      <c r="AG8665" s="19"/>
      <c r="AJ8665" s="410"/>
    </row>
    <row r="8666" spans="33:36" ht="11.25" customHeight="1" x14ac:dyDescent="0.2">
      <c r="AG8666" s="19"/>
      <c r="AJ8666" s="410"/>
    </row>
    <row r="8667" spans="33:36" ht="11.25" customHeight="1" x14ac:dyDescent="0.2">
      <c r="AG8667" s="19"/>
      <c r="AJ8667" s="410"/>
    </row>
    <row r="8668" spans="33:36" ht="11.25" customHeight="1" x14ac:dyDescent="0.2">
      <c r="AG8668" s="19"/>
      <c r="AJ8668" s="410"/>
    </row>
    <row r="8669" spans="33:36" ht="11.25" customHeight="1" x14ac:dyDescent="0.2">
      <c r="AG8669" s="19"/>
      <c r="AJ8669" s="410"/>
    </row>
    <row r="8670" spans="33:36" ht="11.25" customHeight="1" x14ac:dyDescent="0.2">
      <c r="AG8670" s="19"/>
      <c r="AJ8670" s="410"/>
    </row>
    <row r="8671" spans="33:36" ht="11.25" customHeight="1" x14ac:dyDescent="0.2">
      <c r="AG8671" s="19"/>
      <c r="AJ8671" s="410"/>
    </row>
    <row r="8672" spans="33:36" ht="11.25" customHeight="1" x14ac:dyDescent="0.2">
      <c r="AG8672" s="19"/>
      <c r="AJ8672" s="410"/>
    </row>
    <row r="8673" spans="33:36" ht="11.25" customHeight="1" x14ac:dyDescent="0.2">
      <c r="AG8673" s="19"/>
      <c r="AJ8673" s="410"/>
    </row>
    <row r="8674" spans="33:36" ht="11.25" customHeight="1" x14ac:dyDescent="0.2">
      <c r="AG8674" s="19"/>
      <c r="AJ8674" s="410"/>
    </row>
    <row r="8675" spans="33:36" ht="11.25" customHeight="1" x14ac:dyDescent="0.2">
      <c r="AG8675" s="19"/>
      <c r="AJ8675" s="410"/>
    </row>
    <row r="8676" spans="33:36" ht="11.25" customHeight="1" x14ac:dyDescent="0.2">
      <c r="AG8676" s="19"/>
      <c r="AJ8676" s="410"/>
    </row>
    <row r="8677" spans="33:36" ht="11.25" customHeight="1" x14ac:dyDescent="0.2">
      <c r="AG8677" s="19"/>
      <c r="AJ8677" s="410"/>
    </row>
    <row r="8678" spans="33:36" ht="11.25" customHeight="1" x14ac:dyDescent="0.2">
      <c r="AG8678" s="19"/>
      <c r="AJ8678" s="410"/>
    </row>
    <row r="8679" spans="33:36" ht="11.25" customHeight="1" x14ac:dyDescent="0.2">
      <c r="AG8679" s="19"/>
      <c r="AJ8679" s="410"/>
    </row>
    <row r="8680" spans="33:36" ht="11.25" customHeight="1" x14ac:dyDescent="0.2">
      <c r="AG8680" s="19"/>
      <c r="AJ8680" s="410"/>
    </row>
    <row r="8681" spans="33:36" ht="11.25" customHeight="1" x14ac:dyDescent="0.2">
      <c r="AG8681" s="19"/>
      <c r="AJ8681" s="410"/>
    </row>
    <row r="8682" spans="33:36" ht="11.25" customHeight="1" x14ac:dyDescent="0.2">
      <c r="AG8682" s="19"/>
      <c r="AJ8682" s="410"/>
    </row>
    <row r="8683" spans="33:36" ht="11.25" customHeight="1" x14ac:dyDescent="0.2">
      <c r="AG8683" s="19"/>
      <c r="AJ8683" s="410"/>
    </row>
    <row r="8684" spans="33:36" ht="11.25" customHeight="1" x14ac:dyDescent="0.2">
      <c r="AG8684" s="19"/>
      <c r="AJ8684" s="410"/>
    </row>
    <row r="8685" spans="33:36" ht="11.25" customHeight="1" x14ac:dyDescent="0.2">
      <c r="AG8685" s="19"/>
      <c r="AJ8685" s="410"/>
    </row>
    <row r="8686" spans="33:36" ht="11.25" customHeight="1" x14ac:dyDescent="0.2">
      <c r="AG8686" s="19"/>
      <c r="AJ8686" s="410"/>
    </row>
    <row r="8687" spans="33:36" ht="11.25" customHeight="1" x14ac:dyDescent="0.2">
      <c r="AG8687" s="19"/>
      <c r="AJ8687" s="410"/>
    </row>
    <row r="8688" spans="33:36" ht="11.25" customHeight="1" x14ac:dyDescent="0.2">
      <c r="AG8688" s="19"/>
      <c r="AJ8688" s="410"/>
    </row>
    <row r="8689" spans="33:36" ht="11.25" customHeight="1" x14ac:dyDescent="0.2">
      <c r="AG8689" s="19"/>
      <c r="AJ8689" s="410"/>
    </row>
    <row r="8690" spans="33:36" ht="11.25" customHeight="1" x14ac:dyDescent="0.2">
      <c r="AG8690" s="19"/>
      <c r="AJ8690" s="410"/>
    </row>
    <row r="8691" spans="33:36" ht="11.25" customHeight="1" x14ac:dyDescent="0.2">
      <c r="AG8691" s="19"/>
      <c r="AJ8691" s="410"/>
    </row>
    <row r="8692" spans="33:36" ht="11.25" customHeight="1" x14ac:dyDescent="0.2">
      <c r="AG8692" s="19"/>
      <c r="AJ8692" s="410"/>
    </row>
    <row r="8693" spans="33:36" ht="11.25" customHeight="1" x14ac:dyDescent="0.2">
      <c r="AG8693" s="19"/>
      <c r="AJ8693" s="410"/>
    </row>
    <row r="8694" spans="33:36" ht="11.25" customHeight="1" x14ac:dyDescent="0.2">
      <c r="AG8694" s="19"/>
      <c r="AJ8694" s="410"/>
    </row>
    <row r="8695" spans="33:36" ht="11.25" customHeight="1" x14ac:dyDescent="0.2">
      <c r="AG8695" s="19"/>
      <c r="AJ8695" s="410"/>
    </row>
    <row r="8696" spans="33:36" ht="11.25" customHeight="1" x14ac:dyDescent="0.2">
      <c r="AG8696" s="19"/>
      <c r="AJ8696" s="410"/>
    </row>
    <row r="8697" spans="33:36" ht="11.25" customHeight="1" x14ac:dyDescent="0.2">
      <c r="AG8697" s="19"/>
      <c r="AJ8697" s="410"/>
    </row>
    <row r="8698" spans="33:36" ht="11.25" customHeight="1" x14ac:dyDescent="0.2">
      <c r="AG8698" s="19"/>
      <c r="AJ8698" s="410"/>
    </row>
    <row r="8699" spans="33:36" ht="11.25" customHeight="1" x14ac:dyDescent="0.2">
      <c r="AG8699" s="19"/>
      <c r="AJ8699" s="410"/>
    </row>
    <row r="8700" spans="33:36" ht="11.25" customHeight="1" x14ac:dyDescent="0.2">
      <c r="AG8700" s="19"/>
      <c r="AJ8700" s="410"/>
    </row>
    <row r="8701" spans="33:36" ht="11.25" customHeight="1" x14ac:dyDescent="0.2">
      <c r="AG8701" s="19"/>
      <c r="AJ8701" s="410"/>
    </row>
    <row r="8702" spans="33:36" ht="11.25" customHeight="1" x14ac:dyDescent="0.2">
      <c r="AG8702" s="19"/>
      <c r="AJ8702" s="410"/>
    </row>
    <row r="8703" spans="33:36" ht="11.25" customHeight="1" x14ac:dyDescent="0.2">
      <c r="AG8703" s="19"/>
      <c r="AJ8703" s="410"/>
    </row>
    <row r="8704" spans="33:36" ht="11.25" customHeight="1" x14ac:dyDescent="0.2">
      <c r="AG8704" s="19"/>
      <c r="AJ8704" s="410"/>
    </row>
    <row r="8705" spans="33:36" ht="11.25" customHeight="1" x14ac:dyDescent="0.2">
      <c r="AG8705" s="19"/>
      <c r="AJ8705" s="410"/>
    </row>
    <row r="8706" spans="33:36" ht="11.25" customHeight="1" x14ac:dyDescent="0.2">
      <c r="AG8706" s="19"/>
      <c r="AJ8706" s="410"/>
    </row>
    <row r="8707" spans="33:36" ht="11.25" customHeight="1" x14ac:dyDescent="0.2">
      <c r="AG8707" s="19"/>
      <c r="AJ8707" s="410"/>
    </row>
    <row r="8708" spans="33:36" ht="11.25" customHeight="1" x14ac:dyDescent="0.2">
      <c r="AG8708" s="19"/>
      <c r="AJ8708" s="410"/>
    </row>
    <row r="8709" spans="33:36" ht="11.25" customHeight="1" x14ac:dyDescent="0.2">
      <c r="AG8709" s="19"/>
      <c r="AJ8709" s="410"/>
    </row>
    <row r="8710" spans="33:36" ht="11.25" customHeight="1" x14ac:dyDescent="0.2">
      <c r="AG8710" s="19"/>
      <c r="AJ8710" s="410"/>
    </row>
    <row r="8711" spans="33:36" ht="11.25" customHeight="1" x14ac:dyDescent="0.2">
      <c r="AG8711" s="19"/>
      <c r="AJ8711" s="410"/>
    </row>
    <row r="8712" spans="33:36" ht="11.25" customHeight="1" x14ac:dyDescent="0.2">
      <c r="AG8712" s="19"/>
      <c r="AJ8712" s="410"/>
    </row>
    <row r="8713" spans="33:36" ht="11.25" customHeight="1" x14ac:dyDescent="0.2">
      <c r="AG8713" s="19"/>
      <c r="AJ8713" s="410"/>
    </row>
    <row r="8714" spans="33:36" ht="11.25" customHeight="1" x14ac:dyDescent="0.2">
      <c r="AG8714" s="19"/>
      <c r="AJ8714" s="410"/>
    </row>
    <row r="8715" spans="33:36" ht="11.25" customHeight="1" x14ac:dyDescent="0.2">
      <c r="AG8715" s="19"/>
      <c r="AJ8715" s="410"/>
    </row>
    <row r="8716" spans="33:36" ht="11.25" customHeight="1" x14ac:dyDescent="0.2">
      <c r="AG8716" s="19"/>
      <c r="AJ8716" s="410"/>
    </row>
    <row r="8717" spans="33:36" ht="11.25" customHeight="1" x14ac:dyDescent="0.2">
      <c r="AG8717" s="19"/>
      <c r="AJ8717" s="410"/>
    </row>
    <row r="8718" spans="33:36" ht="11.25" customHeight="1" x14ac:dyDescent="0.2">
      <c r="AG8718" s="19"/>
      <c r="AJ8718" s="410"/>
    </row>
    <row r="8719" spans="33:36" ht="11.25" customHeight="1" x14ac:dyDescent="0.2">
      <c r="AG8719" s="19"/>
      <c r="AJ8719" s="410"/>
    </row>
    <row r="8720" spans="33:36" ht="11.25" customHeight="1" x14ac:dyDescent="0.2">
      <c r="AG8720" s="19"/>
      <c r="AJ8720" s="410"/>
    </row>
    <row r="8721" spans="33:36" ht="11.25" customHeight="1" x14ac:dyDescent="0.2">
      <c r="AG8721" s="19"/>
      <c r="AJ8721" s="410"/>
    </row>
    <row r="8722" spans="33:36" ht="11.25" customHeight="1" x14ac:dyDescent="0.2">
      <c r="AG8722" s="19"/>
      <c r="AJ8722" s="410"/>
    </row>
    <row r="8723" spans="33:36" ht="11.25" customHeight="1" x14ac:dyDescent="0.2">
      <c r="AG8723" s="19"/>
      <c r="AJ8723" s="410"/>
    </row>
    <row r="8724" spans="33:36" ht="11.25" customHeight="1" x14ac:dyDescent="0.2">
      <c r="AG8724" s="19"/>
      <c r="AJ8724" s="410"/>
    </row>
    <row r="8725" spans="33:36" ht="11.25" customHeight="1" x14ac:dyDescent="0.2">
      <c r="AG8725" s="19"/>
      <c r="AJ8725" s="410"/>
    </row>
    <row r="8726" spans="33:36" ht="11.25" customHeight="1" x14ac:dyDescent="0.2">
      <c r="AG8726" s="19"/>
      <c r="AJ8726" s="410"/>
    </row>
    <row r="8727" spans="33:36" ht="11.25" customHeight="1" x14ac:dyDescent="0.2">
      <c r="AG8727" s="19"/>
      <c r="AJ8727" s="410"/>
    </row>
    <row r="8728" spans="33:36" ht="11.25" customHeight="1" x14ac:dyDescent="0.2">
      <c r="AG8728" s="19"/>
      <c r="AJ8728" s="410"/>
    </row>
    <row r="8729" spans="33:36" ht="11.25" customHeight="1" x14ac:dyDescent="0.2">
      <c r="AG8729" s="19"/>
      <c r="AJ8729" s="410"/>
    </row>
    <row r="8730" spans="33:36" ht="11.25" customHeight="1" x14ac:dyDescent="0.2">
      <c r="AG8730" s="19"/>
      <c r="AJ8730" s="410"/>
    </row>
    <row r="8731" spans="33:36" ht="11.25" customHeight="1" x14ac:dyDescent="0.2">
      <c r="AG8731" s="19"/>
      <c r="AJ8731" s="410"/>
    </row>
    <row r="8732" spans="33:36" ht="11.25" customHeight="1" x14ac:dyDescent="0.2">
      <c r="AG8732" s="19"/>
      <c r="AJ8732" s="410"/>
    </row>
    <row r="8733" spans="33:36" ht="11.25" customHeight="1" x14ac:dyDescent="0.2">
      <c r="AG8733" s="19"/>
      <c r="AJ8733" s="410"/>
    </row>
    <row r="8734" spans="33:36" ht="11.25" customHeight="1" x14ac:dyDescent="0.2">
      <c r="AG8734" s="19"/>
      <c r="AJ8734" s="410"/>
    </row>
    <row r="8735" spans="33:36" ht="11.25" customHeight="1" x14ac:dyDescent="0.2">
      <c r="AG8735" s="19"/>
      <c r="AJ8735" s="410"/>
    </row>
    <row r="8736" spans="33:36" ht="11.25" customHeight="1" x14ac:dyDescent="0.2">
      <c r="AG8736" s="19"/>
      <c r="AJ8736" s="410"/>
    </row>
    <row r="8737" spans="33:36" ht="11.25" customHeight="1" x14ac:dyDescent="0.2">
      <c r="AG8737" s="19"/>
      <c r="AJ8737" s="410"/>
    </row>
    <row r="8738" spans="33:36" ht="11.25" customHeight="1" x14ac:dyDescent="0.2">
      <c r="AG8738" s="19"/>
      <c r="AJ8738" s="410"/>
    </row>
    <row r="8739" spans="33:36" ht="11.25" customHeight="1" x14ac:dyDescent="0.2">
      <c r="AG8739" s="19"/>
      <c r="AJ8739" s="410"/>
    </row>
    <row r="8740" spans="33:36" ht="11.25" customHeight="1" x14ac:dyDescent="0.2">
      <c r="AG8740" s="19"/>
      <c r="AJ8740" s="410"/>
    </row>
    <row r="8741" spans="33:36" ht="11.25" customHeight="1" x14ac:dyDescent="0.2">
      <c r="AG8741" s="19"/>
      <c r="AJ8741" s="410"/>
    </row>
    <row r="8742" spans="33:36" ht="11.25" customHeight="1" x14ac:dyDescent="0.2">
      <c r="AG8742" s="19"/>
      <c r="AJ8742" s="410"/>
    </row>
    <row r="8743" spans="33:36" ht="11.25" customHeight="1" x14ac:dyDescent="0.2">
      <c r="AG8743" s="19"/>
      <c r="AJ8743" s="410"/>
    </row>
    <row r="8744" spans="33:36" ht="11.25" customHeight="1" x14ac:dyDescent="0.2">
      <c r="AG8744" s="19"/>
      <c r="AJ8744" s="410"/>
    </row>
    <row r="8745" spans="33:36" ht="11.25" customHeight="1" x14ac:dyDescent="0.2">
      <c r="AG8745" s="19"/>
      <c r="AJ8745" s="410"/>
    </row>
    <row r="8746" spans="33:36" ht="11.25" customHeight="1" x14ac:dyDescent="0.2">
      <c r="AG8746" s="19"/>
      <c r="AJ8746" s="410"/>
    </row>
    <row r="8747" spans="33:36" ht="11.25" customHeight="1" x14ac:dyDescent="0.2">
      <c r="AG8747" s="19"/>
      <c r="AJ8747" s="410"/>
    </row>
    <row r="8748" spans="33:36" ht="11.25" customHeight="1" x14ac:dyDescent="0.2">
      <c r="AG8748" s="19"/>
      <c r="AJ8748" s="410"/>
    </row>
    <row r="8749" spans="33:36" ht="11.25" customHeight="1" x14ac:dyDescent="0.2">
      <c r="AG8749" s="19"/>
      <c r="AJ8749" s="410"/>
    </row>
    <row r="8750" spans="33:36" ht="11.25" customHeight="1" x14ac:dyDescent="0.2">
      <c r="AG8750" s="19"/>
      <c r="AJ8750" s="410"/>
    </row>
    <row r="8751" spans="33:36" ht="11.25" customHeight="1" x14ac:dyDescent="0.2">
      <c r="AG8751" s="19"/>
      <c r="AJ8751" s="410"/>
    </row>
    <row r="8752" spans="33:36" ht="11.25" customHeight="1" x14ac:dyDescent="0.2">
      <c r="AG8752" s="19"/>
      <c r="AJ8752" s="410"/>
    </row>
    <row r="8753" spans="33:36" ht="11.25" customHeight="1" x14ac:dyDescent="0.2">
      <c r="AG8753" s="19"/>
      <c r="AJ8753" s="410"/>
    </row>
    <row r="8754" spans="33:36" ht="11.25" customHeight="1" x14ac:dyDescent="0.2">
      <c r="AG8754" s="19"/>
      <c r="AJ8754" s="410"/>
    </row>
    <row r="8755" spans="33:36" ht="11.25" customHeight="1" x14ac:dyDescent="0.2">
      <c r="AG8755" s="19"/>
      <c r="AJ8755" s="410"/>
    </row>
    <row r="8756" spans="33:36" ht="11.25" customHeight="1" x14ac:dyDescent="0.2">
      <c r="AG8756" s="19"/>
      <c r="AJ8756" s="410"/>
    </row>
    <row r="8757" spans="33:36" ht="11.25" customHeight="1" x14ac:dyDescent="0.2">
      <c r="AG8757" s="19"/>
      <c r="AJ8757" s="410"/>
    </row>
    <row r="8758" spans="33:36" ht="11.25" customHeight="1" x14ac:dyDescent="0.2">
      <c r="AG8758" s="19"/>
      <c r="AJ8758" s="410"/>
    </row>
    <row r="8759" spans="33:36" ht="11.25" customHeight="1" x14ac:dyDescent="0.2">
      <c r="AG8759" s="19"/>
      <c r="AJ8759" s="410"/>
    </row>
    <row r="8760" spans="33:36" ht="11.25" customHeight="1" x14ac:dyDescent="0.2">
      <c r="AG8760" s="19"/>
      <c r="AJ8760" s="410"/>
    </row>
    <row r="8761" spans="33:36" ht="11.25" customHeight="1" x14ac:dyDescent="0.2">
      <c r="AG8761" s="19"/>
      <c r="AJ8761" s="410"/>
    </row>
    <row r="8762" spans="33:36" ht="11.25" customHeight="1" x14ac:dyDescent="0.2">
      <c r="AG8762" s="19"/>
      <c r="AJ8762" s="410"/>
    </row>
    <row r="8763" spans="33:36" ht="11.25" customHeight="1" x14ac:dyDescent="0.2">
      <c r="AG8763" s="19"/>
      <c r="AJ8763" s="410"/>
    </row>
    <row r="8764" spans="33:36" ht="11.25" customHeight="1" x14ac:dyDescent="0.2">
      <c r="AG8764" s="19"/>
      <c r="AJ8764" s="410"/>
    </row>
    <row r="8765" spans="33:36" ht="11.25" customHeight="1" x14ac:dyDescent="0.2">
      <c r="AG8765" s="19"/>
      <c r="AJ8765" s="410"/>
    </row>
    <row r="8766" spans="33:36" ht="11.25" customHeight="1" x14ac:dyDescent="0.2">
      <c r="AG8766" s="19"/>
      <c r="AJ8766" s="410"/>
    </row>
    <row r="8767" spans="33:36" ht="11.25" customHeight="1" x14ac:dyDescent="0.2">
      <c r="AG8767" s="19"/>
      <c r="AJ8767" s="410"/>
    </row>
    <row r="8768" spans="33:36" ht="11.25" customHeight="1" x14ac:dyDescent="0.2">
      <c r="AG8768" s="19"/>
      <c r="AJ8768" s="410"/>
    </row>
    <row r="8769" spans="33:36" ht="11.25" customHeight="1" x14ac:dyDescent="0.2">
      <c r="AG8769" s="19"/>
      <c r="AJ8769" s="410"/>
    </row>
    <row r="8770" spans="33:36" ht="11.25" customHeight="1" x14ac:dyDescent="0.2">
      <c r="AG8770" s="19"/>
      <c r="AJ8770" s="410"/>
    </row>
    <row r="8771" spans="33:36" ht="11.25" customHeight="1" x14ac:dyDescent="0.2">
      <c r="AG8771" s="19"/>
      <c r="AJ8771" s="410"/>
    </row>
    <row r="8772" spans="33:36" ht="11.25" customHeight="1" x14ac:dyDescent="0.2">
      <c r="AG8772" s="19"/>
      <c r="AJ8772" s="410"/>
    </row>
    <row r="8773" spans="33:36" ht="11.25" customHeight="1" x14ac:dyDescent="0.2">
      <c r="AG8773" s="19"/>
      <c r="AJ8773" s="410"/>
    </row>
    <row r="8774" spans="33:36" ht="11.25" customHeight="1" x14ac:dyDescent="0.2">
      <c r="AG8774" s="19"/>
      <c r="AJ8774" s="410"/>
    </row>
    <row r="8775" spans="33:36" ht="11.25" customHeight="1" x14ac:dyDescent="0.2">
      <c r="AG8775" s="19"/>
      <c r="AJ8775" s="410"/>
    </row>
    <row r="8776" spans="33:36" ht="11.25" customHeight="1" x14ac:dyDescent="0.2">
      <c r="AG8776" s="19"/>
      <c r="AJ8776" s="410"/>
    </row>
    <row r="8777" spans="33:36" ht="11.25" customHeight="1" x14ac:dyDescent="0.2">
      <c r="AG8777" s="19"/>
      <c r="AJ8777" s="410"/>
    </row>
    <row r="8778" spans="33:36" ht="11.25" customHeight="1" x14ac:dyDescent="0.2">
      <c r="AG8778" s="19"/>
      <c r="AJ8778" s="410"/>
    </row>
    <row r="8779" spans="33:36" ht="11.25" customHeight="1" x14ac:dyDescent="0.2">
      <c r="AG8779" s="19"/>
      <c r="AJ8779" s="410"/>
    </row>
    <row r="8780" spans="33:36" ht="11.25" customHeight="1" x14ac:dyDescent="0.2">
      <c r="AG8780" s="19"/>
      <c r="AJ8780" s="410"/>
    </row>
    <row r="8781" spans="33:36" ht="11.25" customHeight="1" x14ac:dyDescent="0.2">
      <c r="AG8781" s="19"/>
      <c r="AJ8781" s="410"/>
    </row>
    <row r="8782" spans="33:36" ht="11.25" customHeight="1" x14ac:dyDescent="0.2">
      <c r="AG8782" s="19"/>
      <c r="AJ8782" s="410"/>
    </row>
    <row r="8783" spans="33:36" ht="11.25" customHeight="1" x14ac:dyDescent="0.2">
      <c r="AG8783" s="19"/>
      <c r="AJ8783" s="410"/>
    </row>
    <row r="8784" spans="33:36" ht="11.25" customHeight="1" x14ac:dyDescent="0.2">
      <c r="AG8784" s="19"/>
      <c r="AJ8784" s="410"/>
    </row>
    <row r="8785" spans="33:36" ht="11.25" customHeight="1" x14ac:dyDescent="0.2">
      <c r="AG8785" s="19"/>
      <c r="AJ8785" s="410"/>
    </row>
    <row r="8786" spans="33:36" ht="11.25" customHeight="1" x14ac:dyDescent="0.2">
      <c r="AG8786" s="19"/>
      <c r="AJ8786" s="410"/>
    </row>
    <row r="8787" spans="33:36" ht="11.25" customHeight="1" x14ac:dyDescent="0.2">
      <c r="AG8787" s="19"/>
      <c r="AJ8787" s="410"/>
    </row>
    <row r="8788" spans="33:36" ht="11.25" customHeight="1" x14ac:dyDescent="0.2">
      <c r="AG8788" s="19"/>
      <c r="AJ8788" s="410"/>
    </row>
    <row r="8789" spans="33:36" ht="11.25" customHeight="1" x14ac:dyDescent="0.2">
      <c r="AG8789" s="19"/>
      <c r="AJ8789" s="410"/>
    </row>
    <row r="8790" spans="33:36" ht="11.25" customHeight="1" x14ac:dyDescent="0.2">
      <c r="AG8790" s="19"/>
      <c r="AJ8790" s="410"/>
    </row>
    <row r="8791" spans="33:36" ht="11.25" customHeight="1" x14ac:dyDescent="0.2">
      <c r="AG8791" s="19"/>
      <c r="AJ8791" s="410"/>
    </row>
    <row r="8792" spans="33:36" ht="11.25" customHeight="1" x14ac:dyDescent="0.2">
      <c r="AG8792" s="19"/>
      <c r="AJ8792" s="410"/>
    </row>
    <row r="8793" spans="33:36" ht="11.25" customHeight="1" x14ac:dyDescent="0.2">
      <c r="AG8793" s="19"/>
      <c r="AJ8793" s="410"/>
    </row>
    <row r="8794" spans="33:36" ht="11.25" customHeight="1" x14ac:dyDescent="0.2">
      <c r="AG8794" s="19"/>
      <c r="AJ8794" s="410"/>
    </row>
    <row r="8795" spans="33:36" ht="11.25" customHeight="1" x14ac:dyDescent="0.2">
      <c r="AG8795" s="19"/>
      <c r="AJ8795" s="410"/>
    </row>
    <row r="8796" spans="33:36" ht="11.25" customHeight="1" x14ac:dyDescent="0.2">
      <c r="AG8796" s="19"/>
      <c r="AJ8796" s="410"/>
    </row>
    <row r="8797" spans="33:36" ht="11.25" customHeight="1" x14ac:dyDescent="0.2">
      <c r="AG8797" s="19"/>
      <c r="AJ8797" s="410"/>
    </row>
    <row r="8798" spans="33:36" ht="11.25" customHeight="1" x14ac:dyDescent="0.2">
      <c r="AG8798" s="19"/>
      <c r="AJ8798" s="410"/>
    </row>
    <row r="8799" spans="33:36" ht="11.25" customHeight="1" x14ac:dyDescent="0.2">
      <c r="AG8799" s="19"/>
      <c r="AJ8799" s="410"/>
    </row>
    <row r="8800" spans="33:36" ht="11.25" customHeight="1" x14ac:dyDescent="0.2">
      <c r="AG8800" s="19"/>
      <c r="AJ8800" s="410"/>
    </row>
    <row r="8801" spans="33:36" ht="11.25" customHeight="1" x14ac:dyDescent="0.2">
      <c r="AG8801" s="19"/>
      <c r="AJ8801" s="410"/>
    </row>
    <row r="8802" spans="33:36" ht="11.25" customHeight="1" x14ac:dyDescent="0.2">
      <c r="AG8802" s="19"/>
      <c r="AJ8802" s="410"/>
    </row>
    <row r="8803" spans="33:36" ht="11.25" customHeight="1" x14ac:dyDescent="0.2">
      <c r="AG8803" s="19"/>
      <c r="AJ8803" s="410"/>
    </row>
    <row r="8804" spans="33:36" ht="11.25" customHeight="1" x14ac:dyDescent="0.2">
      <c r="AG8804" s="19"/>
      <c r="AJ8804" s="410"/>
    </row>
    <row r="8805" spans="33:36" ht="11.25" customHeight="1" x14ac:dyDescent="0.2">
      <c r="AG8805" s="19"/>
      <c r="AJ8805" s="410"/>
    </row>
    <row r="8806" spans="33:36" ht="11.25" customHeight="1" x14ac:dyDescent="0.2">
      <c r="AG8806" s="19"/>
      <c r="AJ8806" s="410"/>
    </row>
    <row r="8807" spans="33:36" ht="11.25" customHeight="1" x14ac:dyDescent="0.2">
      <c r="AG8807" s="19"/>
      <c r="AJ8807" s="410"/>
    </row>
    <row r="8808" spans="33:36" ht="11.25" customHeight="1" x14ac:dyDescent="0.2">
      <c r="AG8808" s="19"/>
      <c r="AJ8808" s="410"/>
    </row>
    <row r="8809" spans="33:36" ht="11.25" customHeight="1" x14ac:dyDescent="0.2">
      <c r="AG8809" s="19"/>
      <c r="AJ8809" s="410"/>
    </row>
    <row r="8810" spans="33:36" ht="11.25" customHeight="1" x14ac:dyDescent="0.2">
      <c r="AG8810" s="19"/>
      <c r="AJ8810" s="410"/>
    </row>
    <row r="8811" spans="33:36" ht="11.25" customHeight="1" x14ac:dyDescent="0.2">
      <c r="AG8811" s="19"/>
      <c r="AJ8811" s="410"/>
    </row>
    <row r="8812" spans="33:36" ht="11.25" customHeight="1" x14ac:dyDescent="0.2">
      <c r="AG8812" s="19"/>
      <c r="AJ8812" s="410"/>
    </row>
    <row r="8813" spans="33:36" ht="11.25" customHeight="1" x14ac:dyDescent="0.2">
      <c r="AG8813" s="19"/>
      <c r="AJ8813" s="410"/>
    </row>
    <row r="8814" spans="33:36" ht="11.25" customHeight="1" x14ac:dyDescent="0.2">
      <c r="AG8814" s="19"/>
      <c r="AJ8814" s="410"/>
    </row>
    <row r="8815" spans="33:36" ht="11.25" customHeight="1" x14ac:dyDescent="0.2">
      <c r="AG8815" s="19"/>
      <c r="AJ8815" s="410"/>
    </row>
    <row r="8816" spans="33:36" ht="11.25" customHeight="1" x14ac:dyDescent="0.2">
      <c r="AG8816" s="19"/>
      <c r="AJ8816" s="410"/>
    </row>
    <row r="8817" spans="33:36" ht="11.25" customHeight="1" x14ac:dyDescent="0.2">
      <c r="AG8817" s="19"/>
      <c r="AJ8817" s="410"/>
    </row>
    <row r="8818" spans="33:36" ht="11.25" customHeight="1" x14ac:dyDescent="0.2">
      <c r="AG8818" s="19"/>
      <c r="AJ8818" s="410"/>
    </row>
    <row r="8819" spans="33:36" ht="11.25" customHeight="1" x14ac:dyDescent="0.2">
      <c r="AG8819" s="19"/>
      <c r="AJ8819" s="410"/>
    </row>
    <row r="8820" spans="33:36" ht="11.25" customHeight="1" x14ac:dyDescent="0.2">
      <c r="AG8820" s="19"/>
      <c r="AJ8820" s="410"/>
    </row>
    <row r="8821" spans="33:36" ht="11.25" customHeight="1" x14ac:dyDescent="0.2">
      <c r="AG8821" s="19"/>
      <c r="AJ8821" s="410"/>
    </row>
    <row r="8822" spans="33:36" ht="11.25" customHeight="1" x14ac:dyDescent="0.2">
      <c r="AG8822" s="19"/>
      <c r="AJ8822" s="410"/>
    </row>
    <row r="8823" spans="33:36" ht="11.25" customHeight="1" x14ac:dyDescent="0.2">
      <c r="AG8823" s="19"/>
      <c r="AJ8823" s="410"/>
    </row>
    <row r="8824" spans="33:36" ht="11.25" customHeight="1" x14ac:dyDescent="0.2">
      <c r="AG8824" s="19"/>
      <c r="AJ8824" s="410"/>
    </row>
    <row r="8825" spans="33:36" ht="11.25" customHeight="1" x14ac:dyDescent="0.2">
      <c r="AG8825" s="19"/>
      <c r="AJ8825" s="410"/>
    </row>
    <row r="8826" spans="33:36" ht="11.25" customHeight="1" x14ac:dyDescent="0.2">
      <c r="AG8826" s="19"/>
      <c r="AJ8826" s="410"/>
    </row>
    <row r="8827" spans="33:36" ht="11.25" customHeight="1" x14ac:dyDescent="0.2">
      <c r="AG8827" s="19"/>
      <c r="AJ8827" s="410"/>
    </row>
    <row r="8828" spans="33:36" ht="11.25" customHeight="1" x14ac:dyDescent="0.2">
      <c r="AG8828" s="19"/>
      <c r="AJ8828" s="410"/>
    </row>
    <row r="8829" spans="33:36" ht="11.25" customHeight="1" x14ac:dyDescent="0.2">
      <c r="AG8829" s="19"/>
      <c r="AJ8829" s="410"/>
    </row>
    <row r="8830" spans="33:36" ht="11.25" customHeight="1" x14ac:dyDescent="0.2">
      <c r="AG8830" s="19"/>
      <c r="AJ8830" s="410"/>
    </row>
    <row r="8831" spans="33:36" ht="11.25" customHeight="1" x14ac:dyDescent="0.2">
      <c r="AG8831" s="19"/>
      <c r="AJ8831" s="410"/>
    </row>
    <row r="8832" spans="33:36" ht="11.25" customHeight="1" x14ac:dyDescent="0.2">
      <c r="AG8832" s="19"/>
      <c r="AJ8832" s="410"/>
    </row>
    <row r="8833" spans="33:36" ht="11.25" customHeight="1" x14ac:dyDescent="0.2">
      <c r="AG8833" s="19"/>
      <c r="AJ8833" s="410"/>
    </row>
    <row r="8834" spans="33:36" ht="11.25" customHeight="1" x14ac:dyDescent="0.2">
      <c r="AG8834" s="19"/>
      <c r="AJ8834" s="410"/>
    </row>
    <row r="8835" spans="33:36" ht="11.25" customHeight="1" x14ac:dyDescent="0.2">
      <c r="AG8835" s="19"/>
      <c r="AJ8835" s="410"/>
    </row>
    <row r="8836" spans="33:36" ht="11.25" customHeight="1" x14ac:dyDescent="0.2">
      <c r="AG8836" s="19"/>
      <c r="AJ8836" s="410"/>
    </row>
    <row r="8837" spans="33:36" ht="11.25" customHeight="1" x14ac:dyDescent="0.2">
      <c r="AG8837" s="19"/>
      <c r="AJ8837" s="410"/>
    </row>
    <row r="8838" spans="33:36" ht="11.25" customHeight="1" x14ac:dyDescent="0.2">
      <c r="AG8838" s="19"/>
      <c r="AJ8838" s="410"/>
    </row>
    <row r="8839" spans="33:36" ht="11.25" customHeight="1" x14ac:dyDescent="0.2">
      <c r="AG8839" s="19"/>
      <c r="AJ8839" s="410"/>
    </row>
    <row r="8840" spans="33:36" ht="11.25" customHeight="1" x14ac:dyDescent="0.2">
      <c r="AG8840" s="19"/>
      <c r="AJ8840" s="410"/>
    </row>
    <row r="8841" spans="33:36" ht="11.25" customHeight="1" x14ac:dyDescent="0.2">
      <c r="AG8841" s="19"/>
      <c r="AJ8841" s="410"/>
    </row>
    <row r="8842" spans="33:36" ht="11.25" customHeight="1" x14ac:dyDescent="0.2">
      <c r="AG8842" s="19"/>
      <c r="AJ8842" s="410"/>
    </row>
    <row r="8843" spans="33:36" ht="11.25" customHeight="1" x14ac:dyDescent="0.2">
      <c r="AG8843" s="19"/>
      <c r="AJ8843" s="410"/>
    </row>
    <row r="8844" spans="33:36" ht="11.25" customHeight="1" x14ac:dyDescent="0.2">
      <c r="AG8844" s="19"/>
      <c r="AJ8844" s="410"/>
    </row>
    <row r="8845" spans="33:36" ht="11.25" customHeight="1" x14ac:dyDescent="0.2">
      <c r="AG8845" s="19"/>
      <c r="AJ8845" s="410"/>
    </row>
    <row r="8846" spans="33:36" ht="11.25" customHeight="1" x14ac:dyDescent="0.2">
      <c r="AG8846" s="19"/>
      <c r="AJ8846" s="410"/>
    </row>
    <row r="8847" spans="33:36" ht="11.25" customHeight="1" x14ac:dyDescent="0.2">
      <c r="AG8847" s="19"/>
      <c r="AJ8847" s="410"/>
    </row>
    <row r="8848" spans="33:36" ht="11.25" customHeight="1" x14ac:dyDescent="0.2">
      <c r="AG8848" s="19"/>
      <c r="AJ8848" s="410"/>
    </row>
    <row r="8849" spans="33:36" ht="11.25" customHeight="1" x14ac:dyDescent="0.2">
      <c r="AG8849" s="19"/>
      <c r="AJ8849" s="410"/>
    </row>
    <row r="8850" spans="33:36" ht="11.25" customHeight="1" x14ac:dyDescent="0.2">
      <c r="AG8850" s="19"/>
      <c r="AJ8850" s="410"/>
    </row>
    <row r="8851" spans="33:36" ht="11.25" customHeight="1" x14ac:dyDescent="0.2">
      <c r="AG8851" s="19"/>
      <c r="AJ8851" s="410"/>
    </row>
    <row r="8852" spans="33:36" ht="11.25" customHeight="1" x14ac:dyDescent="0.2">
      <c r="AG8852" s="19"/>
      <c r="AJ8852" s="410"/>
    </row>
    <row r="8853" spans="33:36" ht="11.25" customHeight="1" x14ac:dyDescent="0.2">
      <c r="AG8853" s="19"/>
      <c r="AJ8853" s="410"/>
    </row>
    <row r="8854" spans="33:36" ht="11.25" customHeight="1" x14ac:dyDescent="0.2">
      <c r="AG8854" s="19"/>
      <c r="AJ8854" s="410"/>
    </row>
    <row r="8855" spans="33:36" ht="11.25" customHeight="1" x14ac:dyDescent="0.2">
      <c r="AG8855" s="19"/>
      <c r="AJ8855" s="410"/>
    </row>
    <row r="8856" spans="33:36" ht="11.25" customHeight="1" x14ac:dyDescent="0.2">
      <c r="AG8856" s="19"/>
      <c r="AJ8856" s="410"/>
    </row>
    <row r="8857" spans="33:36" ht="11.25" customHeight="1" x14ac:dyDescent="0.2">
      <c r="AG8857" s="19"/>
      <c r="AJ8857" s="410"/>
    </row>
    <row r="8858" spans="33:36" ht="11.25" customHeight="1" x14ac:dyDescent="0.2">
      <c r="AG8858" s="19"/>
      <c r="AJ8858" s="410"/>
    </row>
    <row r="8859" spans="33:36" ht="11.25" customHeight="1" x14ac:dyDescent="0.2">
      <c r="AG8859" s="19"/>
      <c r="AJ8859" s="410"/>
    </row>
    <row r="8860" spans="33:36" ht="11.25" customHeight="1" x14ac:dyDescent="0.2">
      <c r="AG8860" s="19"/>
      <c r="AJ8860" s="410"/>
    </row>
    <row r="8861" spans="33:36" ht="11.25" customHeight="1" x14ac:dyDescent="0.2">
      <c r="AG8861" s="19"/>
      <c r="AJ8861" s="410"/>
    </row>
    <row r="8862" spans="33:36" ht="11.25" customHeight="1" x14ac:dyDescent="0.2">
      <c r="AG8862" s="19"/>
      <c r="AJ8862" s="410"/>
    </row>
    <row r="8863" spans="33:36" ht="11.25" customHeight="1" x14ac:dyDescent="0.2">
      <c r="AG8863" s="19"/>
      <c r="AJ8863" s="410"/>
    </row>
    <row r="8864" spans="33:36" ht="11.25" customHeight="1" x14ac:dyDescent="0.2">
      <c r="AG8864" s="19"/>
      <c r="AJ8864" s="410"/>
    </row>
    <row r="8865" spans="33:36" ht="11.25" customHeight="1" x14ac:dyDescent="0.2">
      <c r="AG8865" s="19"/>
      <c r="AJ8865" s="410"/>
    </row>
    <row r="8866" spans="33:36" ht="11.25" customHeight="1" x14ac:dyDescent="0.2">
      <c r="AG8866" s="19"/>
      <c r="AJ8866" s="410"/>
    </row>
    <row r="8867" spans="33:36" ht="11.25" customHeight="1" x14ac:dyDescent="0.2">
      <c r="AG8867" s="19"/>
      <c r="AJ8867" s="410"/>
    </row>
    <row r="8868" spans="33:36" ht="11.25" customHeight="1" x14ac:dyDescent="0.2">
      <c r="AG8868" s="19"/>
      <c r="AJ8868" s="410"/>
    </row>
    <row r="8869" spans="33:36" ht="11.25" customHeight="1" x14ac:dyDescent="0.2">
      <c r="AG8869" s="19"/>
      <c r="AJ8869" s="410"/>
    </row>
    <row r="8870" spans="33:36" ht="11.25" customHeight="1" x14ac:dyDescent="0.2">
      <c r="AG8870" s="19"/>
      <c r="AJ8870" s="410"/>
    </row>
    <row r="8871" spans="33:36" ht="11.25" customHeight="1" x14ac:dyDescent="0.2">
      <c r="AG8871" s="19"/>
      <c r="AJ8871" s="410"/>
    </row>
    <row r="8872" spans="33:36" ht="11.25" customHeight="1" x14ac:dyDescent="0.2">
      <c r="AG8872" s="19"/>
      <c r="AJ8872" s="410"/>
    </row>
    <row r="8873" spans="33:36" ht="11.25" customHeight="1" x14ac:dyDescent="0.2">
      <c r="AG8873" s="19"/>
      <c r="AJ8873" s="410"/>
    </row>
    <row r="8874" spans="33:36" ht="11.25" customHeight="1" x14ac:dyDescent="0.2">
      <c r="AG8874" s="19"/>
      <c r="AJ8874" s="410"/>
    </row>
    <row r="8875" spans="33:36" ht="11.25" customHeight="1" x14ac:dyDescent="0.2">
      <c r="AG8875" s="19"/>
      <c r="AJ8875" s="410"/>
    </row>
    <row r="8876" spans="33:36" ht="11.25" customHeight="1" x14ac:dyDescent="0.2">
      <c r="AG8876" s="19"/>
      <c r="AJ8876" s="410"/>
    </row>
    <row r="8877" spans="33:36" ht="11.25" customHeight="1" x14ac:dyDescent="0.2">
      <c r="AG8877" s="19"/>
      <c r="AJ8877" s="410"/>
    </row>
    <row r="8878" spans="33:36" ht="11.25" customHeight="1" x14ac:dyDescent="0.2">
      <c r="AG8878" s="19"/>
      <c r="AJ8878" s="410"/>
    </row>
    <row r="8879" spans="33:36" ht="11.25" customHeight="1" x14ac:dyDescent="0.2">
      <c r="AG8879" s="19"/>
      <c r="AJ8879" s="410"/>
    </row>
    <row r="8880" spans="33:36" ht="11.25" customHeight="1" x14ac:dyDescent="0.2">
      <c r="AG8880" s="19"/>
      <c r="AJ8880" s="410"/>
    </row>
    <row r="8881" spans="33:36" ht="11.25" customHeight="1" x14ac:dyDescent="0.2">
      <c r="AG8881" s="19"/>
      <c r="AJ8881" s="410"/>
    </row>
    <row r="8882" spans="33:36" ht="11.25" customHeight="1" x14ac:dyDescent="0.2">
      <c r="AG8882" s="19"/>
      <c r="AJ8882" s="410"/>
    </row>
    <row r="8883" spans="33:36" ht="11.25" customHeight="1" x14ac:dyDescent="0.2">
      <c r="AG8883" s="19"/>
      <c r="AJ8883" s="410"/>
    </row>
    <row r="8884" spans="33:36" ht="11.25" customHeight="1" x14ac:dyDescent="0.2">
      <c r="AG8884" s="19"/>
      <c r="AJ8884" s="410"/>
    </row>
    <row r="8885" spans="33:36" ht="11.25" customHeight="1" x14ac:dyDescent="0.2">
      <c r="AG8885" s="19"/>
      <c r="AJ8885" s="410"/>
    </row>
    <row r="8886" spans="33:36" ht="11.25" customHeight="1" x14ac:dyDescent="0.2">
      <c r="AG8886" s="19"/>
      <c r="AJ8886" s="410"/>
    </row>
    <row r="8887" spans="33:36" ht="11.25" customHeight="1" x14ac:dyDescent="0.2">
      <c r="AG8887" s="19"/>
      <c r="AJ8887" s="410"/>
    </row>
    <row r="8888" spans="33:36" ht="11.25" customHeight="1" x14ac:dyDescent="0.2">
      <c r="AG8888" s="19"/>
      <c r="AJ8888" s="410"/>
    </row>
    <row r="8889" spans="33:36" ht="11.25" customHeight="1" x14ac:dyDescent="0.2">
      <c r="AG8889" s="19"/>
      <c r="AJ8889" s="410"/>
    </row>
    <row r="8890" spans="33:36" ht="11.25" customHeight="1" x14ac:dyDescent="0.2">
      <c r="AG8890" s="19"/>
      <c r="AJ8890" s="410"/>
    </row>
    <row r="8891" spans="33:36" ht="11.25" customHeight="1" x14ac:dyDescent="0.2">
      <c r="AG8891" s="19"/>
      <c r="AJ8891" s="410"/>
    </row>
    <row r="8892" spans="33:36" ht="11.25" customHeight="1" x14ac:dyDescent="0.2">
      <c r="AG8892" s="19"/>
      <c r="AJ8892" s="410"/>
    </row>
    <row r="8893" spans="33:36" ht="11.25" customHeight="1" x14ac:dyDescent="0.2">
      <c r="AG8893" s="19"/>
      <c r="AJ8893" s="410"/>
    </row>
    <row r="8894" spans="33:36" ht="11.25" customHeight="1" x14ac:dyDescent="0.2">
      <c r="AG8894" s="19"/>
      <c r="AJ8894" s="410"/>
    </row>
    <row r="8895" spans="33:36" ht="11.25" customHeight="1" x14ac:dyDescent="0.2">
      <c r="AG8895" s="19"/>
      <c r="AJ8895" s="410"/>
    </row>
    <row r="8896" spans="33:36" ht="11.25" customHeight="1" x14ac:dyDescent="0.2">
      <c r="AG8896" s="19"/>
      <c r="AJ8896" s="410"/>
    </row>
    <row r="8897" spans="33:36" ht="11.25" customHeight="1" x14ac:dyDescent="0.2">
      <c r="AG8897" s="19"/>
      <c r="AJ8897" s="410"/>
    </row>
    <row r="8898" spans="33:36" ht="11.25" customHeight="1" x14ac:dyDescent="0.2">
      <c r="AG8898" s="19"/>
      <c r="AJ8898" s="410"/>
    </row>
    <row r="8899" spans="33:36" ht="11.25" customHeight="1" x14ac:dyDescent="0.2">
      <c r="AG8899" s="19"/>
      <c r="AJ8899" s="410"/>
    </row>
    <row r="8900" spans="33:36" ht="11.25" customHeight="1" x14ac:dyDescent="0.2">
      <c r="AG8900" s="19"/>
      <c r="AJ8900" s="410"/>
    </row>
    <row r="8901" spans="33:36" ht="11.25" customHeight="1" x14ac:dyDescent="0.2">
      <c r="AG8901" s="19"/>
      <c r="AJ8901" s="410"/>
    </row>
    <row r="8902" spans="33:36" ht="11.25" customHeight="1" x14ac:dyDescent="0.2">
      <c r="AG8902" s="19"/>
      <c r="AJ8902" s="410"/>
    </row>
    <row r="8903" spans="33:36" ht="11.25" customHeight="1" x14ac:dyDescent="0.2">
      <c r="AG8903" s="19"/>
      <c r="AJ8903" s="410"/>
    </row>
    <row r="8904" spans="33:36" ht="11.25" customHeight="1" x14ac:dyDescent="0.2">
      <c r="AG8904" s="19"/>
      <c r="AJ8904" s="410"/>
    </row>
    <row r="8905" spans="33:36" ht="11.25" customHeight="1" x14ac:dyDescent="0.2">
      <c r="AG8905" s="19"/>
      <c r="AJ8905" s="410"/>
    </row>
    <row r="8906" spans="33:36" ht="11.25" customHeight="1" x14ac:dyDescent="0.2">
      <c r="AG8906" s="19"/>
      <c r="AJ8906" s="410"/>
    </row>
    <row r="8907" spans="33:36" ht="11.25" customHeight="1" x14ac:dyDescent="0.2">
      <c r="AG8907" s="19"/>
      <c r="AJ8907" s="410"/>
    </row>
    <row r="8908" spans="33:36" ht="11.25" customHeight="1" x14ac:dyDescent="0.2">
      <c r="AG8908" s="19"/>
      <c r="AJ8908" s="410"/>
    </row>
    <row r="8909" spans="33:36" ht="11.25" customHeight="1" x14ac:dyDescent="0.2">
      <c r="AG8909" s="19"/>
      <c r="AJ8909" s="410"/>
    </row>
    <row r="8910" spans="33:36" ht="11.25" customHeight="1" x14ac:dyDescent="0.2">
      <c r="AG8910" s="19"/>
      <c r="AJ8910" s="410"/>
    </row>
    <row r="8911" spans="33:36" ht="11.25" customHeight="1" x14ac:dyDescent="0.2">
      <c r="AG8911" s="19"/>
      <c r="AJ8911" s="410"/>
    </row>
    <row r="8912" spans="33:36" ht="11.25" customHeight="1" x14ac:dyDescent="0.2">
      <c r="AG8912" s="19"/>
      <c r="AJ8912" s="410"/>
    </row>
    <row r="8913" spans="33:36" ht="11.25" customHeight="1" x14ac:dyDescent="0.2">
      <c r="AG8913" s="19"/>
      <c r="AJ8913" s="410"/>
    </row>
    <row r="8914" spans="33:36" ht="11.25" customHeight="1" x14ac:dyDescent="0.2">
      <c r="AG8914" s="19"/>
      <c r="AJ8914" s="410"/>
    </row>
    <row r="8915" spans="33:36" ht="11.25" customHeight="1" x14ac:dyDescent="0.2">
      <c r="AG8915" s="19"/>
      <c r="AJ8915" s="410"/>
    </row>
    <row r="8916" spans="33:36" ht="11.25" customHeight="1" x14ac:dyDescent="0.2">
      <c r="AG8916" s="19"/>
      <c r="AJ8916" s="410"/>
    </row>
    <row r="8917" spans="33:36" ht="11.25" customHeight="1" x14ac:dyDescent="0.2">
      <c r="AG8917" s="19"/>
      <c r="AJ8917" s="410"/>
    </row>
    <row r="8918" spans="33:36" ht="11.25" customHeight="1" x14ac:dyDescent="0.2">
      <c r="AG8918" s="19"/>
      <c r="AJ8918" s="410"/>
    </row>
    <row r="8919" spans="33:36" ht="11.25" customHeight="1" x14ac:dyDescent="0.2">
      <c r="AG8919" s="19"/>
      <c r="AJ8919" s="410"/>
    </row>
    <row r="8920" spans="33:36" ht="11.25" customHeight="1" x14ac:dyDescent="0.2">
      <c r="AG8920" s="19"/>
      <c r="AJ8920" s="410"/>
    </row>
    <row r="8921" spans="33:36" ht="11.25" customHeight="1" x14ac:dyDescent="0.2">
      <c r="AG8921" s="19"/>
      <c r="AJ8921" s="410"/>
    </row>
    <row r="8922" spans="33:36" ht="11.25" customHeight="1" x14ac:dyDescent="0.2">
      <c r="AG8922" s="19"/>
      <c r="AJ8922" s="410"/>
    </row>
    <row r="8923" spans="33:36" ht="11.25" customHeight="1" x14ac:dyDescent="0.2">
      <c r="AG8923" s="19"/>
      <c r="AJ8923" s="410"/>
    </row>
    <row r="8924" spans="33:36" ht="11.25" customHeight="1" x14ac:dyDescent="0.2">
      <c r="AG8924" s="19"/>
      <c r="AJ8924" s="410"/>
    </row>
    <row r="8925" spans="33:36" ht="11.25" customHeight="1" x14ac:dyDescent="0.2">
      <c r="AG8925" s="19"/>
      <c r="AJ8925" s="410"/>
    </row>
    <row r="8926" spans="33:36" ht="11.25" customHeight="1" x14ac:dyDescent="0.2">
      <c r="AG8926" s="19"/>
      <c r="AJ8926" s="410"/>
    </row>
    <row r="8927" spans="33:36" ht="11.25" customHeight="1" x14ac:dyDescent="0.2">
      <c r="AG8927" s="19"/>
      <c r="AJ8927" s="410"/>
    </row>
    <row r="8928" spans="33:36" ht="11.25" customHeight="1" x14ac:dyDescent="0.2">
      <c r="AG8928" s="19"/>
      <c r="AJ8928" s="410"/>
    </row>
    <row r="8929" spans="33:36" ht="11.25" customHeight="1" x14ac:dyDescent="0.2">
      <c r="AG8929" s="19"/>
      <c r="AJ8929" s="410"/>
    </row>
    <row r="8930" spans="33:36" ht="11.25" customHeight="1" x14ac:dyDescent="0.2">
      <c r="AG8930" s="19"/>
      <c r="AJ8930" s="410"/>
    </row>
    <row r="8931" spans="33:36" ht="11.25" customHeight="1" x14ac:dyDescent="0.2">
      <c r="AG8931" s="19"/>
      <c r="AJ8931" s="410"/>
    </row>
    <row r="8932" spans="33:36" ht="11.25" customHeight="1" x14ac:dyDescent="0.2">
      <c r="AG8932" s="19"/>
      <c r="AJ8932" s="410"/>
    </row>
    <row r="8933" spans="33:36" ht="11.25" customHeight="1" x14ac:dyDescent="0.2">
      <c r="AG8933" s="19"/>
      <c r="AJ8933" s="410"/>
    </row>
    <row r="8934" spans="33:36" ht="11.25" customHeight="1" x14ac:dyDescent="0.2">
      <c r="AG8934" s="19"/>
      <c r="AJ8934" s="410"/>
    </row>
    <row r="8935" spans="33:36" ht="11.25" customHeight="1" x14ac:dyDescent="0.2">
      <c r="AG8935" s="19"/>
      <c r="AJ8935" s="410"/>
    </row>
    <row r="8936" spans="33:36" ht="11.25" customHeight="1" x14ac:dyDescent="0.2">
      <c r="AG8936" s="19"/>
      <c r="AJ8936" s="410"/>
    </row>
    <row r="8937" spans="33:36" ht="11.25" customHeight="1" x14ac:dyDescent="0.2">
      <c r="AG8937" s="19"/>
      <c r="AJ8937" s="410"/>
    </row>
    <row r="8938" spans="33:36" ht="11.25" customHeight="1" x14ac:dyDescent="0.2">
      <c r="AG8938" s="19"/>
      <c r="AJ8938" s="410"/>
    </row>
    <row r="8939" spans="33:36" ht="11.25" customHeight="1" x14ac:dyDescent="0.2">
      <c r="AG8939" s="19"/>
      <c r="AJ8939" s="410"/>
    </row>
    <row r="8940" spans="33:36" ht="11.25" customHeight="1" x14ac:dyDescent="0.2">
      <c r="AG8940" s="19"/>
      <c r="AJ8940" s="410"/>
    </row>
    <row r="8941" spans="33:36" ht="11.25" customHeight="1" x14ac:dyDescent="0.2">
      <c r="AG8941" s="19"/>
      <c r="AJ8941" s="410"/>
    </row>
    <row r="8942" spans="33:36" ht="11.25" customHeight="1" x14ac:dyDescent="0.2">
      <c r="AG8942" s="19"/>
      <c r="AJ8942" s="410"/>
    </row>
    <row r="8943" spans="33:36" ht="11.25" customHeight="1" x14ac:dyDescent="0.2">
      <c r="AG8943" s="19"/>
      <c r="AJ8943" s="410"/>
    </row>
    <row r="8944" spans="33:36" ht="11.25" customHeight="1" x14ac:dyDescent="0.2">
      <c r="AG8944" s="19"/>
      <c r="AJ8944" s="410"/>
    </row>
    <row r="8945" spans="33:36" ht="11.25" customHeight="1" x14ac:dyDescent="0.2">
      <c r="AG8945" s="19"/>
      <c r="AJ8945" s="410"/>
    </row>
    <row r="8946" spans="33:36" ht="11.25" customHeight="1" x14ac:dyDescent="0.2">
      <c r="AG8946" s="19"/>
      <c r="AJ8946" s="410"/>
    </row>
    <row r="8947" spans="33:36" ht="11.25" customHeight="1" x14ac:dyDescent="0.2">
      <c r="AG8947" s="19"/>
      <c r="AJ8947" s="410"/>
    </row>
    <row r="8948" spans="33:36" ht="11.25" customHeight="1" x14ac:dyDescent="0.2">
      <c r="AG8948" s="19"/>
      <c r="AJ8948" s="410"/>
    </row>
    <row r="8949" spans="33:36" ht="11.25" customHeight="1" x14ac:dyDescent="0.2">
      <c r="AG8949" s="19"/>
      <c r="AJ8949" s="410"/>
    </row>
    <row r="8950" spans="33:36" ht="11.25" customHeight="1" x14ac:dyDescent="0.2">
      <c r="AG8950" s="19"/>
      <c r="AJ8950" s="410"/>
    </row>
    <row r="8951" spans="33:36" ht="11.25" customHeight="1" x14ac:dyDescent="0.2">
      <c r="AG8951" s="19"/>
      <c r="AJ8951" s="410"/>
    </row>
    <row r="8952" spans="33:36" ht="11.25" customHeight="1" x14ac:dyDescent="0.2">
      <c r="AG8952" s="19"/>
      <c r="AJ8952" s="410"/>
    </row>
    <row r="8953" spans="33:36" ht="11.25" customHeight="1" x14ac:dyDescent="0.2">
      <c r="AG8953" s="19"/>
      <c r="AJ8953" s="410"/>
    </row>
    <row r="8954" spans="33:36" ht="11.25" customHeight="1" x14ac:dyDescent="0.2">
      <c r="AG8954" s="19"/>
      <c r="AJ8954" s="410"/>
    </row>
    <row r="8955" spans="33:36" ht="11.25" customHeight="1" x14ac:dyDescent="0.2">
      <c r="AG8955" s="19"/>
      <c r="AJ8955" s="410"/>
    </row>
    <row r="8956" spans="33:36" ht="11.25" customHeight="1" x14ac:dyDescent="0.2">
      <c r="AG8956" s="19"/>
      <c r="AJ8956" s="410"/>
    </row>
    <row r="8957" spans="33:36" ht="11.25" customHeight="1" x14ac:dyDescent="0.2">
      <c r="AG8957" s="19"/>
      <c r="AJ8957" s="410"/>
    </row>
    <row r="8958" spans="33:36" ht="11.25" customHeight="1" x14ac:dyDescent="0.2">
      <c r="AG8958" s="19"/>
      <c r="AJ8958" s="410"/>
    </row>
    <row r="8959" spans="33:36" ht="11.25" customHeight="1" x14ac:dyDescent="0.2">
      <c r="AG8959" s="19"/>
      <c r="AJ8959" s="410"/>
    </row>
    <row r="8960" spans="33:36" ht="11.25" customHeight="1" x14ac:dyDescent="0.2">
      <c r="AG8960" s="19"/>
      <c r="AJ8960" s="410"/>
    </row>
    <row r="8961" spans="33:36" ht="11.25" customHeight="1" x14ac:dyDescent="0.2">
      <c r="AG8961" s="19"/>
      <c r="AJ8961" s="410"/>
    </row>
    <row r="8962" spans="33:36" ht="11.25" customHeight="1" x14ac:dyDescent="0.2">
      <c r="AG8962" s="19"/>
      <c r="AJ8962" s="410"/>
    </row>
    <row r="8963" spans="33:36" ht="11.25" customHeight="1" x14ac:dyDescent="0.2">
      <c r="AG8963" s="19"/>
      <c r="AJ8963" s="410"/>
    </row>
    <row r="8964" spans="33:36" ht="11.25" customHeight="1" x14ac:dyDescent="0.2">
      <c r="AG8964" s="19"/>
      <c r="AJ8964" s="410"/>
    </row>
    <row r="8965" spans="33:36" ht="11.25" customHeight="1" x14ac:dyDescent="0.2">
      <c r="AG8965" s="19"/>
      <c r="AJ8965" s="410"/>
    </row>
    <row r="8966" spans="33:36" ht="11.25" customHeight="1" x14ac:dyDescent="0.2">
      <c r="AG8966" s="19"/>
      <c r="AJ8966" s="410"/>
    </row>
    <row r="8967" spans="33:36" ht="11.25" customHeight="1" x14ac:dyDescent="0.2">
      <c r="AG8967" s="19"/>
      <c r="AJ8967" s="410"/>
    </row>
    <row r="8968" spans="33:36" ht="11.25" customHeight="1" x14ac:dyDescent="0.2">
      <c r="AG8968" s="19"/>
      <c r="AJ8968" s="410"/>
    </row>
    <row r="8969" spans="33:36" ht="11.25" customHeight="1" x14ac:dyDescent="0.2">
      <c r="AG8969" s="19"/>
      <c r="AJ8969" s="410"/>
    </row>
    <row r="8970" spans="33:36" ht="11.25" customHeight="1" x14ac:dyDescent="0.2">
      <c r="AG8970" s="19"/>
      <c r="AJ8970" s="410"/>
    </row>
    <row r="8971" spans="33:36" ht="11.25" customHeight="1" x14ac:dyDescent="0.2">
      <c r="AG8971" s="19"/>
      <c r="AJ8971" s="410"/>
    </row>
    <row r="8972" spans="33:36" ht="11.25" customHeight="1" x14ac:dyDescent="0.2">
      <c r="AG8972" s="19"/>
      <c r="AJ8972" s="410"/>
    </row>
    <row r="8973" spans="33:36" ht="11.25" customHeight="1" x14ac:dyDescent="0.2">
      <c r="AG8973" s="19"/>
      <c r="AJ8973" s="410"/>
    </row>
    <row r="8974" spans="33:36" ht="11.25" customHeight="1" x14ac:dyDescent="0.2">
      <c r="AG8974" s="19"/>
      <c r="AJ8974" s="410"/>
    </row>
    <row r="8975" spans="33:36" ht="11.25" customHeight="1" x14ac:dyDescent="0.2">
      <c r="AG8975" s="19"/>
      <c r="AJ8975" s="410"/>
    </row>
    <row r="8976" spans="33:36" ht="11.25" customHeight="1" x14ac:dyDescent="0.2">
      <c r="AG8976" s="19"/>
      <c r="AJ8976" s="410"/>
    </row>
    <row r="8977" spans="33:36" ht="11.25" customHeight="1" x14ac:dyDescent="0.2">
      <c r="AG8977" s="19"/>
      <c r="AJ8977" s="410"/>
    </row>
    <row r="8978" spans="33:36" ht="11.25" customHeight="1" x14ac:dyDescent="0.2">
      <c r="AG8978" s="19"/>
      <c r="AJ8978" s="410"/>
    </row>
    <row r="8979" spans="33:36" ht="11.25" customHeight="1" x14ac:dyDescent="0.2">
      <c r="AG8979" s="19"/>
      <c r="AJ8979" s="410"/>
    </row>
    <row r="8980" spans="33:36" ht="11.25" customHeight="1" x14ac:dyDescent="0.2">
      <c r="AG8980" s="19"/>
      <c r="AJ8980" s="410"/>
    </row>
    <row r="8981" spans="33:36" ht="11.25" customHeight="1" x14ac:dyDescent="0.2">
      <c r="AG8981" s="19"/>
      <c r="AJ8981" s="410"/>
    </row>
    <row r="8982" spans="33:36" ht="11.25" customHeight="1" x14ac:dyDescent="0.2">
      <c r="AG8982" s="19"/>
      <c r="AJ8982" s="410"/>
    </row>
    <row r="8983" spans="33:36" ht="11.25" customHeight="1" x14ac:dyDescent="0.2">
      <c r="AG8983" s="19"/>
      <c r="AJ8983" s="410"/>
    </row>
    <row r="8984" spans="33:36" ht="11.25" customHeight="1" x14ac:dyDescent="0.2">
      <c r="AG8984" s="19"/>
      <c r="AJ8984" s="410"/>
    </row>
    <row r="8985" spans="33:36" ht="11.25" customHeight="1" x14ac:dyDescent="0.2">
      <c r="AG8985" s="19"/>
      <c r="AJ8985" s="410"/>
    </row>
    <row r="8986" spans="33:36" ht="11.25" customHeight="1" x14ac:dyDescent="0.2">
      <c r="AG8986" s="19"/>
      <c r="AJ8986" s="410"/>
    </row>
    <row r="8987" spans="33:36" ht="11.25" customHeight="1" x14ac:dyDescent="0.2">
      <c r="AG8987" s="19"/>
      <c r="AJ8987" s="410"/>
    </row>
    <row r="8988" spans="33:36" ht="11.25" customHeight="1" x14ac:dyDescent="0.2">
      <c r="AG8988" s="19"/>
      <c r="AJ8988" s="410"/>
    </row>
    <row r="8989" spans="33:36" ht="11.25" customHeight="1" x14ac:dyDescent="0.2">
      <c r="AG8989" s="19"/>
      <c r="AJ8989" s="410"/>
    </row>
    <row r="8990" spans="33:36" ht="11.25" customHeight="1" x14ac:dyDescent="0.2">
      <c r="AG8990" s="19"/>
      <c r="AJ8990" s="410"/>
    </row>
    <row r="8991" spans="33:36" ht="11.25" customHeight="1" x14ac:dyDescent="0.2">
      <c r="AG8991" s="19"/>
      <c r="AJ8991" s="410"/>
    </row>
    <row r="8992" spans="33:36" ht="11.25" customHeight="1" x14ac:dyDescent="0.2">
      <c r="AG8992" s="19"/>
      <c r="AJ8992" s="410"/>
    </row>
    <row r="8993" spans="33:36" ht="11.25" customHeight="1" x14ac:dyDescent="0.2">
      <c r="AG8993" s="19"/>
      <c r="AJ8993" s="410"/>
    </row>
    <row r="8994" spans="33:36" ht="11.25" customHeight="1" x14ac:dyDescent="0.2">
      <c r="AG8994" s="19"/>
      <c r="AJ8994" s="410"/>
    </row>
    <row r="8995" spans="33:36" ht="11.25" customHeight="1" x14ac:dyDescent="0.2">
      <c r="AG8995" s="19"/>
      <c r="AJ8995" s="410"/>
    </row>
    <row r="8996" spans="33:36" ht="11.25" customHeight="1" x14ac:dyDescent="0.2">
      <c r="AG8996" s="19"/>
      <c r="AJ8996" s="410"/>
    </row>
    <row r="8997" spans="33:36" ht="11.25" customHeight="1" x14ac:dyDescent="0.2">
      <c r="AG8997" s="19"/>
      <c r="AJ8997" s="410"/>
    </row>
    <row r="8998" spans="33:36" ht="11.25" customHeight="1" x14ac:dyDescent="0.2">
      <c r="AG8998" s="19"/>
      <c r="AJ8998" s="410"/>
    </row>
    <row r="8999" spans="33:36" ht="11.25" customHeight="1" x14ac:dyDescent="0.2">
      <c r="AG8999" s="19"/>
      <c r="AJ8999" s="410"/>
    </row>
    <row r="9000" spans="33:36" ht="11.25" customHeight="1" x14ac:dyDescent="0.2">
      <c r="AG9000" s="19"/>
      <c r="AJ9000" s="410"/>
    </row>
    <row r="9001" spans="33:36" ht="11.25" customHeight="1" x14ac:dyDescent="0.2">
      <c r="AG9001" s="19"/>
      <c r="AJ9001" s="410"/>
    </row>
    <row r="9002" spans="33:36" ht="11.25" customHeight="1" x14ac:dyDescent="0.2">
      <c r="AG9002" s="19"/>
      <c r="AJ9002" s="410"/>
    </row>
    <row r="9003" spans="33:36" ht="11.25" customHeight="1" x14ac:dyDescent="0.2">
      <c r="AG9003" s="19"/>
      <c r="AJ9003" s="410"/>
    </row>
    <row r="9004" spans="33:36" ht="11.25" customHeight="1" x14ac:dyDescent="0.2">
      <c r="AG9004" s="19"/>
      <c r="AJ9004" s="410"/>
    </row>
    <row r="9005" spans="33:36" ht="11.25" customHeight="1" x14ac:dyDescent="0.2">
      <c r="AG9005" s="19"/>
      <c r="AJ9005" s="410"/>
    </row>
    <row r="9006" spans="33:36" ht="11.25" customHeight="1" x14ac:dyDescent="0.2">
      <c r="AG9006" s="19"/>
      <c r="AJ9006" s="410"/>
    </row>
    <row r="9007" spans="33:36" ht="11.25" customHeight="1" x14ac:dyDescent="0.2">
      <c r="AG9007" s="19"/>
      <c r="AJ9007" s="410"/>
    </row>
    <row r="9008" spans="33:36" ht="11.25" customHeight="1" x14ac:dyDescent="0.2">
      <c r="AG9008" s="19"/>
      <c r="AJ9008" s="410"/>
    </row>
    <row r="9009" spans="33:36" ht="11.25" customHeight="1" x14ac:dyDescent="0.2">
      <c r="AG9009" s="19"/>
      <c r="AJ9009" s="410"/>
    </row>
    <row r="9010" spans="33:36" ht="11.25" customHeight="1" x14ac:dyDescent="0.2">
      <c r="AG9010" s="19"/>
      <c r="AJ9010" s="410"/>
    </row>
    <row r="9011" spans="33:36" ht="11.25" customHeight="1" x14ac:dyDescent="0.2">
      <c r="AG9011" s="19"/>
      <c r="AJ9011" s="410"/>
    </row>
    <row r="9012" spans="33:36" ht="11.25" customHeight="1" x14ac:dyDescent="0.2">
      <c r="AG9012" s="19"/>
      <c r="AJ9012" s="410"/>
    </row>
    <row r="9013" spans="33:36" ht="11.25" customHeight="1" x14ac:dyDescent="0.2">
      <c r="AG9013" s="19"/>
      <c r="AJ9013" s="410"/>
    </row>
    <row r="9014" spans="33:36" ht="11.25" customHeight="1" x14ac:dyDescent="0.2">
      <c r="AG9014" s="19"/>
      <c r="AJ9014" s="410"/>
    </row>
    <row r="9015" spans="33:36" ht="11.25" customHeight="1" x14ac:dyDescent="0.2">
      <c r="AG9015" s="19"/>
      <c r="AJ9015" s="410"/>
    </row>
    <row r="9016" spans="33:36" ht="11.25" customHeight="1" x14ac:dyDescent="0.2">
      <c r="AG9016" s="19"/>
      <c r="AJ9016" s="410"/>
    </row>
    <row r="9017" spans="33:36" ht="11.25" customHeight="1" x14ac:dyDescent="0.2">
      <c r="AG9017" s="19"/>
      <c r="AJ9017" s="410"/>
    </row>
    <row r="9018" spans="33:36" ht="11.25" customHeight="1" x14ac:dyDescent="0.2">
      <c r="AG9018" s="19"/>
      <c r="AJ9018" s="410"/>
    </row>
    <row r="9019" spans="33:36" ht="11.25" customHeight="1" x14ac:dyDescent="0.2">
      <c r="AG9019" s="19"/>
      <c r="AJ9019" s="410"/>
    </row>
    <row r="9020" spans="33:36" ht="11.25" customHeight="1" x14ac:dyDescent="0.2">
      <c r="AG9020" s="19"/>
      <c r="AJ9020" s="410"/>
    </row>
    <row r="9021" spans="33:36" ht="11.25" customHeight="1" x14ac:dyDescent="0.2">
      <c r="AG9021" s="19"/>
      <c r="AJ9021" s="410"/>
    </row>
    <row r="9022" spans="33:36" ht="11.25" customHeight="1" x14ac:dyDescent="0.2">
      <c r="AG9022" s="19"/>
      <c r="AJ9022" s="410"/>
    </row>
    <row r="9023" spans="33:36" ht="11.25" customHeight="1" x14ac:dyDescent="0.2">
      <c r="AG9023" s="19"/>
      <c r="AJ9023" s="410"/>
    </row>
    <row r="9024" spans="33:36" ht="11.25" customHeight="1" x14ac:dyDescent="0.2">
      <c r="AG9024" s="19"/>
      <c r="AJ9024" s="410"/>
    </row>
    <row r="9025" spans="33:36" ht="11.25" customHeight="1" x14ac:dyDescent="0.2">
      <c r="AG9025" s="19"/>
      <c r="AJ9025" s="410"/>
    </row>
    <row r="9026" spans="33:36" ht="11.25" customHeight="1" x14ac:dyDescent="0.2">
      <c r="AG9026" s="19"/>
      <c r="AJ9026" s="410"/>
    </row>
    <row r="9027" spans="33:36" ht="11.25" customHeight="1" x14ac:dyDescent="0.2">
      <c r="AG9027" s="19"/>
      <c r="AJ9027" s="410"/>
    </row>
    <row r="9028" spans="33:36" ht="11.25" customHeight="1" x14ac:dyDescent="0.2">
      <c r="AG9028" s="19"/>
      <c r="AJ9028" s="410"/>
    </row>
    <row r="9029" spans="33:36" ht="11.25" customHeight="1" x14ac:dyDescent="0.2">
      <c r="AG9029" s="19"/>
      <c r="AJ9029" s="410"/>
    </row>
    <row r="9030" spans="33:36" ht="11.25" customHeight="1" x14ac:dyDescent="0.2">
      <c r="AG9030" s="19"/>
      <c r="AJ9030" s="410"/>
    </row>
    <row r="9031" spans="33:36" ht="11.25" customHeight="1" x14ac:dyDescent="0.2">
      <c r="AG9031" s="19"/>
      <c r="AJ9031" s="410"/>
    </row>
    <row r="9032" spans="33:36" ht="11.25" customHeight="1" x14ac:dyDescent="0.2">
      <c r="AG9032" s="19"/>
      <c r="AJ9032" s="410"/>
    </row>
    <row r="9033" spans="33:36" ht="11.25" customHeight="1" x14ac:dyDescent="0.2">
      <c r="AG9033" s="19"/>
      <c r="AJ9033" s="410"/>
    </row>
    <row r="9034" spans="33:36" ht="11.25" customHeight="1" x14ac:dyDescent="0.2">
      <c r="AG9034" s="19"/>
      <c r="AJ9034" s="410"/>
    </row>
    <row r="9035" spans="33:36" ht="11.25" customHeight="1" x14ac:dyDescent="0.2">
      <c r="AG9035" s="19"/>
      <c r="AJ9035" s="410"/>
    </row>
    <row r="9036" spans="33:36" ht="11.25" customHeight="1" x14ac:dyDescent="0.2">
      <c r="AG9036" s="19"/>
      <c r="AJ9036" s="410"/>
    </row>
    <row r="9037" spans="33:36" ht="11.25" customHeight="1" x14ac:dyDescent="0.2">
      <c r="AG9037" s="19"/>
      <c r="AJ9037" s="410"/>
    </row>
    <row r="9038" spans="33:36" ht="11.25" customHeight="1" x14ac:dyDescent="0.2">
      <c r="AG9038" s="19"/>
      <c r="AJ9038" s="410"/>
    </row>
    <row r="9039" spans="33:36" ht="11.25" customHeight="1" x14ac:dyDescent="0.2">
      <c r="AG9039" s="19"/>
      <c r="AJ9039" s="410"/>
    </row>
    <row r="9040" spans="33:36" ht="11.25" customHeight="1" x14ac:dyDescent="0.2">
      <c r="AG9040" s="19"/>
      <c r="AJ9040" s="410"/>
    </row>
    <row r="9041" spans="33:36" ht="11.25" customHeight="1" x14ac:dyDescent="0.2">
      <c r="AG9041" s="19"/>
      <c r="AJ9041" s="410"/>
    </row>
    <row r="9042" spans="33:36" ht="11.25" customHeight="1" x14ac:dyDescent="0.2">
      <c r="AG9042" s="19"/>
      <c r="AJ9042" s="410"/>
    </row>
    <row r="9043" spans="33:36" ht="11.25" customHeight="1" x14ac:dyDescent="0.2">
      <c r="AG9043" s="19"/>
      <c r="AJ9043" s="410"/>
    </row>
    <row r="9044" spans="33:36" ht="11.25" customHeight="1" x14ac:dyDescent="0.2">
      <c r="AG9044" s="19"/>
      <c r="AJ9044" s="410"/>
    </row>
    <row r="9045" spans="33:36" ht="11.25" customHeight="1" x14ac:dyDescent="0.2">
      <c r="AG9045" s="19"/>
      <c r="AJ9045" s="410"/>
    </row>
    <row r="9046" spans="33:36" ht="11.25" customHeight="1" x14ac:dyDescent="0.2">
      <c r="AG9046" s="19"/>
      <c r="AJ9046" s="410"/>
    </row>
    <row r="9047" spans="33:36" ht="11.25" customHeight="1" x14ac:dyDescent="0.2">
      <c r="AG9047" s="19"/>
      <c r="AJ9047" s="410"/>
    </row>
    <row r="9048" spans="33:36" ht="11.25" customHeight="1" x14ac:dyDescent="0.2">
      <c r="AG9048" s="19"/>
      <c r="AJ9048" s="410"/>
    </row>
    <row r="9049" spans="33:36" ht="11.25" customHeight="1" x14ac:dyDescent="0.2">
      <c r="AG9049" s="19"/>
      <c r="AJ9049" s="410"/>
    </row>
    <row r="9050" spans="33:36" ht="11.25" customHeight="1" x14ac:dyDescent="0.2">
      <c r="AG9050" s="19"/>
      <c r="AJ9050" s="410"/>
    </row>
    <row r="9051" spans="33:36" ht="11.25" customHeight="1" x14ac:dyDescent="0.2">
      <c r="AG9051" s="19"/>
      <c r="AJ9051" s="410"/>
    </row>
    <row r="9052" spans="33:36" ht="11.25" customHeight="1" x14ac:dyDescent="0.2">
      <c r="AG9052" s="19"/>
      <c r="AJ9052" s="410"/>
    </row>
    <row r="9053" spans="33:36" ht="11.25" customHeight="1" x14ac:dyDescent="0.2">
      <c r="AG9053" s="19"/>
      <c r="AJ9053" s="410"/>
    </row>
    <row r="9054" spans="33:36" ht="11.25" customHeight="1" x14ac:dyDescent="0.2">
      <c r="AG9054" s="19"/>
      <c r="AJ9054" s="410"/>
    </row>
    <row r="9055" spans="33:36" ht="11.25" customHeight="1" x14ac:dyDescent="0.2">
      <c r="AG9055" s="19"/>
      <c r="AJ9055" s="410"/>
    </row>
    <row r="9056" spans="33:36" ht="11.25" customHeight="1" x14ac:dyDescent="0.2">
      <c r="AG9056" s="19"/>
      <c r="AJ9056" s="410"/>
    </row>
    <row r="9057" spans="33:36" ht="11.25" customHeight="1" x14ac:dyDescent="0.2">
      <c r="AG9057" s="19"/>
      <c r="AJ9057" s="410"/>
    </row>
    <row r="9058" spans="33:36" ht="11.25" customHeight="1" x14ac:dyDescent="0.2">
      <c r="AG9058" s="19"/>
      <c r="AJ9058" s="410"/>
    </row>
    <row r="9059" spans="33:36" ht="11.25" customHeight="1" x14ac:dyDescent="0.2">
      <c r="AG9059" s="19"/>
      <c r="AJ9059" s="410"/>
    </row>
    <row r="9060" spans="33:36" ht="11.25" customHeight="1" x14ac:dyDescent="0.2">
      <c r="AG9060" s="19"/>
      <c r="AJ9060" s="410"/>
    </row>
    <row r="9061" spans="33:36" ht="11.25" customHeight="1" x14ac:dyDescent="0.2">
      <c r="AG9061" s="19"/>
      <c r="AJ9061" s="410"/>
    </row>
    <row r="9062" spans="33:36" ht="11.25" customHeight="1" x14ac:dyDescent="0.2">
      <c r="AG9062" s="19"/>
      <c r="AJ9062" s="410"/>
    </row>
    <row r="9063" spans="33:36" ht="11.25" customHeight="1" x14ac:dyDescent="0.2">
      <c r="AG9063" s="19"/>
      <c r="AJ9063" s="410"/>
    </row>
    <row r="9064" spans="33:36" ht="11.25" customHeight="1" x14ac:dyDescent="0.2">
      <c r="AG9064" s="19"/>
      <c r="AJ9064" s="410"/>
    </row>
    <row r="9065" spans="33:36" ht="11.25" customHeight="1" x14ac:dyDescent="0.2">
      <c r="AG9065" s="19"/>
      <c r="AJ9065" s="410"/>
    </row>
    <row r="9066" spans="33:36" ht="11.25" customHeight="1" x14ac:dyDescent="0.2">
      <c r="AG9066" s="19"/>
      <c r="AJ9066" s="410"/>
    </row>
    <row r="9067" spans="33:36" ht="11.25" customHeight="1" x14ac:dyDescent="0.2">
      <c r="AG9067" s="19"/>
      <c r="AJ9067" s="410"/>
    </row>
    <row r="9068" spans="33:36" ht="11.25" customHeight="1" x14ac:dyDescent="0.2">
      <c r="AG9068" s="19"/>
      <c r="AJ9068" s="410"/>
    </row>
    <row r="9069" spans="33:36" ht="11.25" customHeight="1" x14ac:dyDescent="0.2">
      <c r="AG9069" s="19"/>
      <c r="AJ9069" s="410"/>
    </row>
    <row r="9070" spans="33:36" ht="11.25" customHeight="1" x14ac:dyDescent="0.2">
      <c r="AG9070" s="19"/>
      <c r="AJ9070" s="410"/>
    </row>
    <row r="9071" spans="33:36" ht="11.25" customHeight="1" x14ac:dyDescent="0.2">
      <c r="AG9071" s="19"/>
      <c r="AJ9071" s="410"/>
    </row>
    <row r="9072" spans="33:36" ht="11.25" customHeight="1" x14ac:dyDescent="0.2">
      <c r="AG9072" s="19"/>
      <c r="AJ9072" s="410"/>
    </row>
    <row r="9073" spans="33:36" ht="11.25" customHeight="1" x14ac:dyDescent="0.2">
      <c r="AG9073" s="19"/>
      <c r="AJ9073" s="410"/>
    </row>
    <row r="9074" spans="33:36" ht="11.25" customHeight="1" x14ac:dyDescent="0.2">
      <c r="AG9074" s="19"/>
      <c r="AJ9074" s="410"/>
    </row>
    <row r="9075" spans="33:36" ht="11.25" customHeight="1" x14ac:dyDescent="0.2">
      <c r="AG9075" s="19"/>
      <c r="AJ9075" s="410"/>
    </row>
    <row r="9076" spans="33:36" ht="11.25" customHeight="1" x14ac:dyDescent="0.2">
      <c r="AG9076" s="19"/>
      <c r="AJ9076" s="410"/>
    </row>
    <row r="9077" spans="33:36" ht="11.25" customHeight="1" x14ac:dyDescent="0.2">
      <c r="AG9077" s="19"/>
      <c r="AJ9077" s="410"/>
    </row>
    <row r="9078" spans="33:36" ht="11.25" customHeight="1" x14ac:dyDescent="0.2">
      <c r="AG9078" s="19"/>
      <c r="AJ9078" s="410"/>
    </row>
    <row r="9079" spans="33:36" ht="11.25" customHeight="1" x14ac:dyDescent="0.2">
      <c r="AG9079" s="19"/>
      <c r="AJ9079" s="410"/>
    </row>
    <row r="9080" spans="33:36" ht="11.25" customHeight="1" x14ac:dyDescent="0.2">
      <c r="AG9080" s="19"/>
      <c r="AJ9080" s="410"/>
    </row>
    <row r="9081" spans="33:36" ht="11.25" customHeight="1" x14ac:dyDescent="0.2">
      <c r="AG9081" s="19"/>
      <c r="AJ9081" s="410"/>
    </row>
    <row r="9082" spans="33:36" ht="11.25" customHeight="1" x14ac:dyDescent="0.2">
      <c r="AG9082" s="19"/>
      <c r="AJ9082" s="410"/>
    </row>
    <row r="9083" spans="33:36" ht="11.25" customHeight="1" x14ac:dyDescent="0.2">
      <c r="AG9083" s="19"/>
      <c r="AJ9083" s="410"/>
    </row>
    <row r="9084" spans="33:36" ht="11.25" customHeight="1" x14ac:dyDescent="0.2">
      <c r="AG9084" s="19"/>
      <c r="AJ9084" s="410"/>
    </row>
    <row r="9085" spans="33:36" ht="11.25" customHeight="1" x14ac:dyDescent="0.2">
      <c r="AG9085" s="19"/>
      <c r="AJ9085" s="410"/>
    </row>
    <row r="9086" spans="33:36" ht="11.25" customHeight="1" x14ac:dyDescent="0.2">
      <c r="AG9086" s="19"/>
      <c r="AJ9086" s="410"/>
    </row>
    <row r="9087" spans="33:36" ht="11.25" customHeight="1" x14ac:dyDescent="0.2">
      <c r="AG9087" s="19"/>
      <c r="AJ9087" s="410"/>
    </row>
    <row r="9088" spans="33:36" ht="11.25" customHeight="1" x14ac:dyDescent="0.2">
      <c r="AG9088" s="19"/>
      <c r="AJ9088" s="410"/>
    </row>
    <row r="9089" spans="33:36" ht="11.25" customHeight="1" x14ac:dyDescent="0.2">
      <c r="AG9089" s="19"/>
      <c r="AJ9089" s="410"/>
    </row>
    <row r="9090" spans="33:36" ht="11.25" customHeight="1" x14ac:dyDescent="0.2">
      <c r="AG9090" s="19"/>
      <c r="AJ9090" s="410"/>
    </row>
    <row r="9091" spans="33:36" ht="11.25" customHeight="1" x14ac:dyDescent="0.2">
      <c r="AG9091" s="19"/>
      <c r="AJ9091" s="410"/>
    </row>
    <row r="9092" spans="33:36" ht="11.25" customHeight="1" x14ac:dyDescent="0.2">
      <c r="AG9092" s="19"/>
      <c r="AJ9092" s="410"/>
    </row>
    <row r="9093" spans="33:36" ht="11.25" customHeight="1" x14ac:dyDescent="0.2">
      <c r="AG9093" s="19"/>
      <c r="AJ9093" s="410"/>
    </row>
    <row r="9094" spans="33:36" ht="11.25" customHeight="1" x14ac:dyDescent="0.2">
      <c r="AG9094" s="19"/>
      <c r="AJ9094" s="410"/>
    </row>
    <row r="9095" spans="33:36" ht="11.25" customHeight="1" x14ac:dyDescent="0.2">
      <c r="AG9095" s="19"/>
      <c r="AJ9095" s="410"/>
    </row>
    <row r="9096" spans="33:36" ht="11.25" customHeight="1" x14ac:dyDescent="0.2">
      <c r="AG9096" s="19"/>
      <c r="AJ9096" s="410"/>
    </row>
    <row r="9097" spans="33:36" ht="11.25" customHeight="1" x14ac:dyDescent="0.2">
      <c r="AG9097" s="19"/>
      <c r="AJ9097" s="410"/>
    </row>
    <row r="9098" spans="33:36" ht="11.25" customHeight="1" x14ac:dyDescent="0.2">
      <c r="AG9098" s="19"/>
      <c r="AJ9098" s="410"/>
    </row>
    <row r="9099" spans="33:36" ht="11.25" customHeight="1" x14ac:dyDescent="0.2">
      <c r="AG9099" s="19"/>
      <c r="AJ9099" s="410"/>
    </row>
    <row r="9100" spans="33:36" ht="11.25" customHeight="1" x14ac:dyDescent="0.2">
      <c r="AG9100" s="19"/>
      <c r="AJ9100" s="410"/>
    </row>
    <row r="9101" spans="33:36" ht="11.25" customHeight="1" x14ac:dyDescent="0.2">
      <c r="AG9101" s="19"/>
      <c r="AJ9101" s="410"/>
    </row>
    <row r="9102" spans="33:36" ht="11.25" customHeight="1" x14ac:dyDescent="0.2">
      <c r="AG9102" s="19"/>
      <c r="AJ9102" s="410"/>
    </row>
    <row r="9103" spans="33:36" ht="11.25" customHeight="1" x14ac:dyDescent="0.2">
      <c r="AG9103" s="19"/>
      <c r="AJ9103" s="410"/>
    </row>
    <row r="9104" spans="33:36" ht="11.25" customHeight="1" x14ac:dyDescent="0.2">
      <c r="AG9104" s="19"/>
      <c r="AJ9104" s="410"/>
    </row>
    <row r="9105" spans="33:36" ht="11.25" customHeight="1" x14ac:dyDescent="0.2">
      <c r="AG9105" s="19"/>
      <c r="AJ9105" s="410"/>
    </row>
    <row r="9106" spans="33:36" ht="11.25" customHeight="1" x14ac:dyDescent="0.2">
      <c r="AG9106" s="19"/>
      <c r="AJ9106" s="410"/>
    </row>
    <row r="9107" spans="33:36" ht="11.25" customHeight="1" x14ac:dyDescent="0.2">
      <c r="AG9107" s="19"/>
      <c r="AJ9107" s="410"/>
    </row>
    <row r="9108" spans="33:36" ht="11.25" customHeight="1" x14ac:dyDescent="0.2">
      <c r="AG9108" s="19"/>
      <c r="AJ9108" s="410"/>
    </row>
    <row r="9109" spans="33:36" ht="11.25" customHeight="1" x14ac:dyDescent="0.2">
      <c r="AG9109" s="19"/>
      <c r="AJ9109" s="410"/>
    </row>
    <row r="9110" spans="33:36" ht="11.25" customHeight="1" x14ac:dyDescent="0.2">
      <c r="AG9110" s="19"/>
      <c r="AJ9110" s="410"/>
    </row>
    <row r="9111" spans="33:36" ht="11.25" customHeight="1" x14ac:dyDescent="0.2">
      <c r="AG9111" s="19"/>
      <c r="AJ9111" s="410"/>
    </row>
    <row r="9112" spans="33:36" ht="11.25" customHeight="1" x14ac:dyDescent="0.2">
      <c r="AG9112" s="19"/>
      <c r="AJ9112" s="410"/>
    </row>
    <row r="9113" spans="33:36" ht="11.25" customHeight="1" x14ac:dyDescent="0.2">
      <c r="AG9113" s="19"/>
      <c r="AJ9113" s="410"/>
    </row>
    <row r="9114" spans="33:36" ht="11.25" customHeight="1" x14ac:dyDescent="0.2">
      <c r="AG9114" s="19"/>
      <c r="AJ9114" s="410"/>
    </row>
    <row r="9115" spans="33:36" ht="11.25" customHeight="1" x14ac:dyDescent="0.2">
      <c r="AG9115" s="19"/>
      <c r="AJ9115" s="410"/>
    </row>
    <row r="9116" spans="33:36" ht="11.25" customHeight="1" x14ac:dyDescent="0.2">
      <c r="AG9116" s="19"/>
      <c r="AJ9116" s="410"/>
    </row>
    <row r="9117" spans="33:36" ht="11.25" customHeight="1" x14ac:dyDescent="0.2">
      <c r="AG9117" s="19"/>
      <c r="AJ9117" s="410"/>
    </row>
    <row r="9118" spans="33:36" ht="11.25" customHeight="1" x14ac:dyDescent="0.2">
      <c r="AG9118" s="19"/>
      <c r="AJ9118" s="410"/>
    </row>
    <row r="9119" spans="33:36" ht="11.25" customHeight="1" x14ac:dyDescent="0.2">
      <c r="AG9119" s="19"/>
      <c r="AJ9119" s="410"/>
    </row>
    <row r="9120" spans="33:36" ht="11.25" customHeight="1" x14ac:dyDescent="0.2">
      <c r="AG9120" s="19"/>
      <c r="AJ9120" s="410"/>
    </row>
    <row r="9121" spans="33:36" ht="11.25" customHeight="1" x14ac:dyDescent="0.2">
      <c r="AG9121" s="19"/>
      <c r="AJ9121" s="410"/>
    </row>
    <row r="9122" spans="33:36" ht="11.25" customHeight="1" x14ac:dyDescent="0.2">
      <c r="AG9122" s="19"/>
      <c r="AJ9122" s="410"/>
    </row>
    <row r="9123" spans="33:36" ht="11.25" customHeight="1" x14ac:dyDescent="0.2">
      <c r="AG9123" s="19"/>
      <c r="AJ9123" s="410"/>
    </row>
    <row r="9124" spans="33:36" ht="11.25" customHeight="1" x14ac:dyDescent="0.2">
      <c r="AG9124" s="19"/>
      <c r="AJ9124" s="410"/>
    </row>
    <row r="9125" spans="33:36" ht="11.25" customHeight="1" x14ac:dyDescent="0.2">
      <c r="AG9125" s="19"/>
      <c r="AJ9125" s="410"/>
    </row>
    <row r="9126" spans="33:36" ht="11.25" customHeight="1" x14ac:dyDescent="0.2">
      <c r="AG9126" s="19"/>
      <c r="AJ9126" s="410"/>
    </row>
    <row r="9127" spans="33:36" ht="11.25" customHeight="1" x14ac:dyDescent="0.2">
      <c r="AG9127" s="19"/>
      <c r="AJ9127" s="410"/>
    </row>
    <row r="9128" spans="33:36" ht="11.25" customHeight="1" x14ac:dyDescent="0.2">
      <c r="AG9128" s="19"/>
      <c r="AJ9128" s="410"/>
    </row>
    <row r="9129" spans="33:36" ht="11.25" customHeight="1" x14ac:dyDescent="0.2">
      <c r="AG9129" s="19"/>
      <c r="AJ9129" s="410"/>
    </row>
    <row r="9130" spans="33:36" ht="11.25" customHeight="1" x14ac:dyDescent="0.2">
      <c r="AG9130" s="19"/>
      <c r="AJ9130" s="410"/>
    </row>
    <row r="9131" spans="33:36" ht="11.25" customHeight="1" x14ac:dyDescent="0.2">
      <c r="AG9131" s="19"/>
      <c r="AJ9131" s="410"/>
    </row>
    <row r="9132" spans="33:36" ht="11.25" customHeight="1" x14ac:dyDescent="0.2">
      <c r="AG9132" s="19"/>
      <c r="AJ9132" s="410"/>
    </row>
    <row r="9133" spans="33:36" ht="11.25" customHeight="1" x14ac:dyDescent="0.2">
      <c r="AG9133" s="19"/>
      <c r="AJ9133" s="410"/>
    </row>
    <row r="9134" spans="33:36" ht="11.25" customHeight="1" x14ac:dyDescent="0.2">
      <c r="AG9134" s="19"/>
      <c r="AJ9134" s="410"/>
    </row>
    <row r="9135" spans="33:36" ht="11.25" customHeight="1" x14ac:dyDescent="0.2">
      <c r="AG9135" s="19"/>
      <c r="AJ9135" s="410"/>
    </row>
    <row r="9136" spans="33:36" ht="11.25" customHeight="1" x14ac:dyDescent="0.2">
      <c r="AG9136" s="19"/>
      <c r="AJ9136" s="410"/>
    </row>
    <row r="9137" spans="33:36" ht="11.25" customHeight="1" x14ac:dyDescent="0.2">
      <c r="AG9137" s="19"/>
      <c r="AJ9137" s="410"/>
    </row>
    <row r="9138" spans="33:36" ht="11.25" customHeight="1" x14ac:dyDescent="0.2">
      <c r="AG9138" s="19"/>
      <c r="AJ9138" s="410"/>
    </row>
    <row r="9139" spans="33:36" ht="11.25" customHeight="1" x14ac:dyDescent="0.2">
      <c r="AG9139" s="19"/>
      <c r="AJ9139" s="410"/>
    </row>
    <row r="9140" spans="33:36" ht="11.25" customHeight="1" x14ac:dyDescent="0.2">
      <c r="AG9140" s="19"/>
      <c r="AJ9140" s="410"/>
    </row>
    <row r="9141" spans="33:36" ht="11.25" customHeight="1" x14ac:dyDescent="0.2">
      <c r="AG9141" s="19"/>
      <c r="AJ9141" s="410"/>
    </row>
    <row r="9142" spans="33:36" ht="11.25" customHeight="1" x14ac:dyDescent="0.2">
      <c r="AG9142" s="19"/>
      <c r="AJ9142" s="410"/>
    </row>
    <row r="9143" spans="33:36" ht="11.25" customHeight="1" x14ac:dyDescent="0.2">
      <c r="AG9143" s="19"/>
      <c r="AJ9143" s="410"/>
    </row>
    <row r="9144" spans="33:36" ht="11.25" customHeight="1" x14ac:dyDescent="0.2">
      <c r="AG9144" s="19"/>
      <c r="AJ9144" s="410"/>
    </row>
    <row r="9145" spans="33:36" ht="11.25" customHeight="1" x14ac:dyDescent="0.2">
      <c r="AG9145" s="19"/>
      <c r="AJ9145" s="410"/>
    </row>
    <row r="9146" spans="33:36" ht="11.25" customHeight="1" x14ac:dyDescent="0.2">
      <c r="AG9146" s="19"/>
      <c r="AJ9146" s="410"/>
    </row>
    <row r="9147" spans="33:36" ht="11.25" customHeight="1" x14ac:dyDescent="0.2">
      <c r="AG9147" s="19"/>
      <c r="AJ9147" s="410"/>
    </row>
    <row r="9148" spans="33:36" ht="11.25" customHeight="1" x14ac:dyDescent="0.2">
      <c r="AG9148" s="19"/>
      <c r="AJ9148" s="410"/>
    </row>
    <row r="9149" spans="33:36" ht="11.25" customHeight="1" x14ac:dyDescent="0.2">
      <c r="AG9149" s="19"/>
      <c r="AJ9149" s="410"/>
    </row>
    <row r="9150" spans="33:36" ht="11.25" customHeight="1" x14ac:dyDescent="0.2">
      <c r="AG9150" s="19"/>
      <c r="AJ9150" s="410"/>
    </row>
    <row r="9151" spans="33:36" ht="11.25" customHeight="1" x14ac:dyDescent="0.2">
      <c r="AG9151" s="19"/>
      <c r="AJ9151" s="410"/>
    </row>
    <row r="9152" spans="33:36" ht="11.25" customHeight="1" x14ac:dyDescent="0.2">
      <c r="AG9152" s="19"/>
      <c r="AJ9152" s="410"/>
    </row>
    <row r="9153" spans="33:36" ht="11.25" customHeight="1" x14ac:dyDescent="0.2">
      <c r="AG9153" s="19"/>
      <c r="AJ9153" s="410"/>
    </row>
    <row r="9154" spans="33:36" ht="11.25" customHeight="1" x14ac:dyDescent="0.2">
      <c r="AG9154" s="19"/>
      <c r="AJ9154" s="410"/>
    </row>
    <row r="9155" spans="33:36" ht="11.25" customHeight="1" x14ac:dyDescent="0.2">
      <c r="AG9155" s="19"/>
      <c r="AJ9155" s="410"/>
    </row>
    <row r="9156" spans="33:36" ht="11.25" customHeight="1" x14ac:dyDescent="0.2">
      <c r="AG9156" s="19"/>
      <c r="AJ9156" s="410"/>
    </row>
    <row r="9157" spans="33:36" ht="11.25" customHeight="1" x14ac:dyDescent="0.2">
      <c r="AG9157" s="19"/>
      <c r="AJ9157" s="410"/>
    </row>
    <row r="9158" spans="33:36" ht="11.25" customHeight="1" x14ac:dyDescent="0.2">
      <c r="AG9158" s="19"/>
      <c r="AJ9158" s="410"/>
    </row>
    <row r="9159" spans="33:36" ht="11.25" customHeight="1" x14ac:dyDescent="0.2">
      <c r="AG9159" s="19"/>
      <c r="AJ9159" s="410"/>
    </row>
    <row r="9160" spans="33:36" ht="11.25" customHeight="1" x14ac:dyDescent="0.2">
      <c r="AG9160" s="19"/>
      <c r="AJ9160" s="410"/>
    </row>
    <row r="9161" spans="33:36" ht="11.25" customHeight="1" x14ac:dyDescent="0.2">
      <c r="AG9161" s="19"/>
      <c r="AJ9161" s="410"/>
    </row>
    <row r="9162" spans="33:36" ht="11.25" customHeight="1" x14ac:dyDescent="0.2">
      <c r="AG9162" s="19"/>
      <c r="AJ9162" s="410"/>
    </row>
    <row r="9163" spans="33:36" ht="11.25" customHeight="1" x14ac:dyDescent="0.2">
      <c r="AG9163" s="19"/>
      <c r="AJ9163" s="410"/>
    </row>
    <row r="9164" spans="33:36" ht="11.25" customHeight="1" x14ac:dyDescent="0.2">
      <c r="AG9164" s="19"/>
      <c r="AJ9164" s="410"/>
    </row>
    <row r="9165" spans="33:36" ht="11.25" customHeight="1" x14ac:dyDescent="0.2">
      <c r="AG9165" s="19"/>
      <c r="AJ9165" s="410"/>
    </row>
    <row r="9166" spans="33:36" ht="11.25" customHeight="1" x14ac:dyDescent="0.2">
      <c r="AG9166" s="19"/>
      <c r="AJ9166" s="410"/>
    </row>
    <row r="9167" spans="33:36" ht="11.25" customHeight="1" x14ac:dyDescent="0.2">
      <c r="AG9167" s="19"/>
      <c r="AJ9167" s="410"/>
    </row>
    <row r="9168" spans="33:36" ht="11.25" customHeight="1" x14ac:dyDescent="0.2">
      <c r="AG9168" s="19"/>
      <c r="AJ9168" s="410"/>
    </row>
    <row r="9169" spans="33:36" ht="11.25" customHeight="1" x14ac:dyDescent="0.2">
      <c r="AG9169" s="19"/>
      <c r="AJ9169" s="410"/>
    </row>
    <row r="9170" spans="33:36" ht="11.25" customHeight="1" x14ac:dyDescent="0.2">
      <c r="AG9170" s="19"/>
      <c r="AJ9170" s="410"/>
    </row>
    <row r="9171" spans="33:36" ht="11.25" customHeight="1" x14ac:dyDescent="0.2">
      <c r="AG9171" s="19"/>
      <c r="AJ9171" s="410"/>
    </row>
    <row r="9172" spans="33:36" ht="11.25" customHeight="1" x14ac:dyDescent="0.2">
      <c r="AG9172" s="19"/>
      <c r="AJ9172" s="410"/>
    </row>
    <row r="9173" spans="33:36" ht="11.25" customHeight="1" x14ac:dyDescent="0.2">
      <c r="AG9173" s="19"/>
      <c r="AJ9173" s="410"/>
    </row>
    <row r="9174" spans="33:36" ht="11.25" customHeight="1" x14ac:dyDescent="0.2">
      <c r="AG9174" s="19"/>
      <c r="AJ9174" s="410"/>
    </row>
    <row r="9175" spans="33:36" ht="11.25" customHeight="1" x14ac:dyDescent="0.2">
      <c r="AG9175" s="19"/>
      <c r="AJ9175" s="410"/>
    </row>
    <row r="9176" spans="33:36" ht="11.25" customHeight="1" x14ac:dyDescent="0.2">
      <c r="AG9176" s="19"/>
      <c r="AJ9176" s="410"/>
    </row>
    <row r="9177" spans="33:36" ht="11.25" customHeight="1" x14ac:dyDescent="0.2">
      <c r="AG9177" s="19"/>
      <c r="AJ9177" s="410"/>
    </row>
    <row r="9178" spans="33:36" ht="11.25" customHeight="1" x14ac:dyDescent="0.2">
      <c r="AG9178" s="19"/>
      <c r="AJ9178" s="410"/>
    </row>
    <row r="9179" spans="33:36" ht="11.25" customHeight="1" x14ac:dyDescent="0.2">
      <c r="AG9179" s="19"/>
      <c r="AJ9179" s="410"/>
    </row>
    <row r="9180" spans="33:36" ht="11.25" customHeight="1" x14ac:dyDescent="0.2">
      <c r="AG9180" s="19"/>
      <c r="AJ9180" s="410"/>
    </row>
    <row r="9181" spans="33:36" ht="11.25" customHeight="1" x14ac:dyDescent="0.2">
      <c r="AG9181" s="19"/>
      <c r="AJ9181" s="410"/>
    </row>
    <row r="9182" spans="33:36" ht="11.25" customHeight="1" x14ac:dyDescent="0.2">
      <c r="AG9182" s="19"/>
      <c r="AJ9182" s="410"/>
    </row>
    <row r="9183" spans="33:36" ht="11.25" customHeight="1" x14ac:dyDescent="0.2">
      <c r="AG9183" s="19"/>
      <c r="AJ9183" s="410"/>
    </row>
    <row r="9184" spans="33:36" ht="11.25" customHeight="1" x14ac:dyDescent="0.2">
      <c r="AG9184" s="19"/>
      <c r="AJ9184" s="410"/>
    </row>
    <row r="9185" spans="33:36" ht="11.25" customHeight="1" x14ac:dyDescent="0.2">
      <c r="AG9185" s="19"/>
      <c r="AJ9185" s="410"/>
    </row>
    <row r="9186" spans="33:36" ht="11.25" customHeight="1" x14ac:dyDescent="0.2">
      <c r="AG9186" s="19"/>
      <c r="AJ9186" s="410"/>
    </row>
    <row r="9187" spans="33:36" ht="11.25" customHeight="1" x14ac:dyDescent="0.2">
      <c r="AG9187" s="19"/>
      <c r="AJ9187" s="410"/>
    </row>
    <row r="9188" spans="33:36" ht="11.25" customHeight="1" x14ac:dyDescent="0.2">
      <c r="AG9188" s="19"/>
      <c r="AJ9188" s="410"/>
    </row>
    <row r="9189" spans="33:36" ht="11.25" customHeight="1" x14ac:dyDescent="0.2">
      <c r="AG9189" s="19"/>
      <c r="AJ9189" s="410"/>
    </row>
    <row r="9190" spans="33:36" ht="11.25" customHeight="1" x14ac:dyDescent="0.2">
      <c r="AG9190" s="19"/>
      <c r="AJ9190" s="410"/>
    </row>
    <row r="9191" spans="33:36" ht="11.25" customHeight="1" x14ac:dyDescent="0.2">
      <c r="AG9191" s="19"/>
      <c r="AJ9191" s="410"/>
    </row>
    <row r="9192" spans="33:36" ht="11.25" customHeight="1" x14ac:dyDescent="0.2">
      <c r="AG9192" s="19"/>
      <c r="AJ9192" s="410"/>
    </row>
    <row r="9193" spans="33:36" ht="11.25" customHeight="1" x14ac:dyDescent="0.2">
      <c r="AG9193" s="19"/>
      <c r="AJ9193" s="410"/>
    </row>
    <row r="9194" spans="33:36" ht="11.25" customHeight="1" x14ac:dyDescent="0.2">
      <c r="AG9194" s="19"/>
      <c r="AJ9194" s="410"/>
    </row>
    <row r="9195" spans="33:36" ht="11.25" customHeight="1" x14ac:dyDescent="0.2">
      <c r="AG9195" s="19"/>
      <c r="AJ9195" s="410"/>
    </row>
    <row r="9196" spans="33:36" ht="11.25" customHeight="1" x14ac:dyDescent="0.2">
      <c r="AG9196" s="19"/>
      <c r="AJ9196" s="410"/>
    </row>
    <row r="9197" spans="33:36" ht="11.25" customHeight="1" x14ac:dyDescent="0.2">
      <c r="AG9197" s="19"/>
      <c r="AJ9197" s="410"/>
    </row>
    <row r="9198" spans="33:36" ht="11.25" customHeight="1" x14ac:dyDescent="0.2">
      <c r="AG9198" s="19"/>
      <c r="AJ9198" s="410"/>
    </row>
    <row r="9199" spans="33:36" ht="11.25" customHeight="1" x14ac:dyDescent="0.2">
      <c r="AG9199" s="19"/>
      <c r="AJ9199" s="410"/>
    </row>
    <row r="9200" spans="33:36" ht="11.25" customHeight="1" x14ac:dyDescent="0.2">
      <c r="AG9200" s="19"/>
      <c r="AJ9200" s="410"/>
    </row>
    <row r="9201" spans="33:36" ht="11.25" customHeight="1" x14ac:dyDescent="0.2">
      <c r="AG9201" s="19"/>
      <c r="AJ9201" s="410"/>
    </row>
    <row r="9202" spans="33:36" ht="11.25" customHeight="1" x14ac:dyDescent="0.2">
      <c r="AG9202" s="19"/>
      <c r="AJ9202" s="410"/>
    </row>
    <row r="9203" spans="33:36" ht="11.25" customHeight="1" x14ac:dyDescent="0.2">
      <c r="AG9203" s="19"/>
      <c r="AJ9203" s="410"/>
    </row>
    <row r="9204" spans="33:36" ht="11.25" customHeight="1" x14ac:dyDescent="0.2">
      <c r="AG9204" s="19"/>
      <c r="AJ9204" s="410"/>
    </row>
    <row r="9205" spans="33:36" ht="11.25" customHeight="1" x14ac:dyDescent="0.2">
      <c r="AG9205" s="19"/>
      <c r="AJ9205" s="410"/>
    </row>
    <row r="9206" spans="33:36" ht="11.25" customHeight="1" x14ac:dyDescent="0.2">
      <c r="AG9206" s="19"/>
      <c r="AJ9206" s="410"/>
    </row>
    <row r="9207" spans="33:36" ht="11.25" customHeight="1" x14ac:dyDescent="0.2">
      <c r="AG9207" s="19"/>
      <c r="AJ9207" s="410"/>
    </row>
    <row r="9208" spans="33:36" ht="11.25" customHeight="1" x14ac:dyDescent="0.2">
      <c r="AG9208" s="19"/>
      <c r="AJ9208" s="410"/>
    </row>
    <row r="9209" spans="33:36" ht="11.25" customHeight="1" x14ac:dyDescent="0.2">
      <c r="AG9209" s="19"/>
      <c r="AJ9209" s="410"/>
    </row>
    <row r="9210" spans="33:36" ht="11.25" customHeight="1" x14ac:dyDescent="0.2">
      <c r="AG9210" s="19"/>
      <c r="AJ9210" s="410"/>
    </row>
    <row r="9211" spans="33:36" ht="11.25" customHeight="1" x14ac:dyDescent="0.2">
      <c r="AG9211" s="19"/>
      <c r="AJ9211" s="410"/>
    </row>
    <row r="9212" spans="33:36" ht="11.25" customHeight="1" x14ac:dyDescent="0.2">
      <c r="AG9212" s="19"/>
      <c r="AJ9212" s="410"/>
    </row>
    <row r="9213" spans="33:36" ht="11.25" customHeight="1" x14ac:dyDescent="0.2">
      <c r="AG9213" s="19"/>
      <c r="AJ9213" s="410"/>
    </row>
    <row r="9214" spans="33:36" ht="11.25" customHeight="1" x14ac:dyDescent="0.2">
      <c r="AG9214" s="19"/>
      <c r="AJ9214" s="410"/>
    </row>
    <row r="9215" spans="33:36" ht="11.25" customHeight="1" x14ac:dyDescent="0.2">
      <c r="AG9215" s="19"/>
      <c r="AJ9215" s="410"/>
    </row>
    <row r="9216" spans="33:36" ht="11.25" customHeight="1" x14ac:dyDescent="0.2">
      <c r="AG9216" s="19"/>
      <c r="AJ9216" s="410"/>
    </row>
    <row r="9217" spans="33:36" ht="11.25" customHeight="1" x14ac:dyDescent="0.2">
      <c r="AG9217" s="19"/>
      <c r="AJ9217" s="410"/>
    </row>
    <row r="9218" spans="33:36" ht="11.25" customHeight="1" x14ac:dyDescent="0.2">
      <c r="AG9218" s="19"/>
      <c r="AJ9218" s="410"/>
    </row>
    <row r="9219" spans="33:36" ht="11.25" customHeight="1" x14ac:dyDescent="0.2">
      <c r="AG9219" s="19"/>
      <c r="AJ9219" s="410"/>
    </row>
    <row r="9220" spans="33:36" ht="11.25" customHeight="1" x14ac:dyDescent="0.2">
      <c r="AG9220" s="19"/>
      <c r="AJ9220" s="410"/>
    </row>
    <row r="9221" spans="33:36" ht="11.25" customHeight="1" x14ac:dyDescent="0.2">
      <c r="AG9221" s="19"/>
      <c r="AJ9221" s="410"/>
    </row>
    <row r="9222" spans="33:36" ht="11.25" customHeight="1" x14ac:dyDescent="0.2">
      <c r="AG9222" s="19"/>
      <c r="AJ9222" s="410"/>
    </row>
    <row r="9223" spans="33:36" ht="11.25" customHeight="1" x14ac:dyDescent="0.2">
      <c r="AG9223" s="19"/>
      <c r="AJ9223" s="410"/>
    </row>
    <row r="9224" spans="33:36" ht="11.25" customHeight="1" x14ac:dyDescent="0.2">
      <c r="AG9224" s="19"/>
      <c r="AJ9224" s="410"/>
    </row>
    <row r="9225" spans="33:36" ht="11.25" customHeight="1" x14ac:dyDescent="0.2">
      <c r="AG9225" s="19"/>
      <c r="AJ9225" s="410"/>
    </row>
    <row r="9226" spans="33:36" ht="11.25" customHeight="1" x14ac:dyDescent="0.2">
      <c r="AG9226" s="19"/>
      <c r="AJ9226" s="410"/>
    </row>
    <row r="9227" spans="33:36" ht="11.25" customHeight="1" x14ac:dyDescent="0.2">
      <c r="AG9227" s="19"/>
      <c r="AJ9227" s="410"/>
    </row>
    <row r="9228" spans="33:36" ht="11.25" customHeight="1" x14ac:dyDescent="0.2">
      <c r="AG9228" s="19"/>
      <c r="AJ9228" s="410"/>
    </row>
    <row r="9229" spans="33:36" ht="11.25" customHeight="1" x14ac:dyDescent="0.2">
      <c r="AG9229" s="19"/>
      <c r="AJ9229" s="410"/>
    </row>
    <row r="9230" spans="33:36" ht="11.25" customHeight="1" x14ac:dyDescent="0.2">
      <c r="AG9230" s="19"/>
      <c r="AJ9230" s="410"/>
    </row>
    <row r="9231" spans="33:36" ht="11.25" customHeight="1" x14ac:dyDescent="0.2">
      <c r="AG9231" s="19"/>
      <c r="AJ9231" s="410"/>
    </row>
    <row r="9232" spans="33:36" ht="11.25" customHeight="1" x14ac:dyDescent="0.2">
      <c r="AG9232" s="19"/>
      <c r="AJ9232" s="410"/>
    </row>
    <row r="9233" spans="33:36" ht="11.25" customHeight="1" x14ac:dyDescent="0.2">
      <c r="AG9233" s="19"/>
      <c r="AJ9233" s="410"/>
    </row>
    <row r="9234" spans="33:36" ht="11.25" customHeight="1" x14ac:dyDescent="0.2">
      <c r="AG9234" s="19"/>
      <c r="AJ9234" s="410"/>
    </row>
    <row r="9235" spans="33:36" ht="11.25" customHeight="1" x14ac:dyDescent="0.2">
      <c r="AG9235" s="19"/>
      <c r="AJ9235" s="410"/>
    </row>
    <row r="9236" spans="33:36" ht="11.25" customHeight="1" x14ac:dyDescent="0.2">
      <c r="AG9236" s="19"/>
      <c r="AJ9236" s="410"/>
    </row>
    <row r="9237" spans="33:36" ht="11.25" customHeight="1" x14ac:dyDescent="0.2">
      <c r="AG9237" s="19"/>
      <c r="AJ9237" s="410"/>
    </row>
    <row r="9238" spans="33:36" ht="11.25" customHeight="1" x14ac:dyDescent="0.2">
      <c r="AG9238" s="19"/>
      <c r="AJ9238" s="410"/>
    </row>
    <row r="9239" spans="33:36" ht="11.25" customHeight="1" x14ac:dyDescent="0.2">
      <c r="AG9239" s="19"/>
      <c r="AJ9239" s="410"/>
    </row>
    <row r="9240" spans="33:36" ht="11.25" customHeight="1" x14ac:dyDescent="0.2">
      <c r="AG9240" s="19"/>
      <c r="AJ9240" s="410"/>
    </row>
    <row r="9241" spans="33:36" ht="11.25" customHeight="1" x14ac:dyDescent="0.2">
      <c r="AG9241" s="19"/>
      <c r="AJ9241" s="410"/>
    </row>
    <row r="9242" spans="33:36" ht="11.25" customHeight="1" x14ac:dyDescent="0.2">
      <c r="AG9242" s="19"/>
      <c r="AJ9242" s="410"/>
    </row>
    <row r="9243" spans="33:36" ht="11.25" customHeight="1" x14ac:dyDescent="0.2">
      <c r="AG9243" s="19"/>
      <c r="AJ9243" s="410"/>
    </row>
    <row r="9244" spans="33:36" ht="11.25" customHeight="1" x14ac:dyDescent="0.2">
      <c r="AG9244" s="19"/>
      <c r="AJ9244" s="410"/>
    </row>
    <row r="9245" spans="33:36" ht="11.25" customHeight="1" x14ac:dyDescent="0.2">
      <c r="AG9245" s="19"/>
      <c r="AJ9245" s="410"/>
    </row>
    <row r="9246" spans="33:36" ht="11.25" customHeight="1" x14ac:dyDescent="0.2">
      <c r="AG9246" s="19"/>
      <c r="AJ9246" s="410"/>
    </row>
    <row r="9247" spans="33:36" ht="11.25" customHeight="1" x14ac:dyDescent="0.2">
      <c r="AG9247" s="19"/>
      <c r="AJ9247" s="410"/>
    </row>
    <row r="9248" spans="33:36" ht="11.25" customHeight="1" x14ac:dyDescent="0.2">
      <c r="AG9248" s="19"/>
      <c r="AJ9248" s="410"/>
    </row>
    <row r="9249" spans="33:36" ht="11.25" customHeight="1" x14ac:dyDescent="0.2">
      <c r="AG9249" s="19"/>
      <c r="AJ9249" s="410"/>
    </row>
    <row r="9250" spans="33:36" ht="11.25" customHeight="1" x14ac:dyDescent="0.2">
      <c r="AG9250" s="19"/>
      <c r="AJ9250" s="410"/>
    </row>
    <row r="9251" spans="33:36" ht="11.25" customHeight="1" x14ac:dyDescent="0.2">
      <c r="AG9251" s="19"/>
      <c r="AJ9251" s="410"/>
    </row>
    <row r="9252" spans="33:36" ht="11.25" customHeight="1" x14ac:dyDescent="0.2">
      <c r="AG9252" s="19"/>
      <c r="AJ9252" s="410"/>
    </row>
    <row r="9253" spans="33:36" ht="11.25" customHeight="1" x14ac:dyDescent="0.2">
      <c r="AG9253" s="19"/>
      <c r="AJ9253" s="410"/>
    </row>
    <row r="9254" spans="33:36" ht="11.25" customHeight="1" x14ac:dyDescent="0.2">
      <c r="AG9254" s="19"/>
      <c r="AJ9254" s="410"/>
    </row>
    <row r="9255" spans="33:36" ht="11.25" customHeight="1" x14ac:dyDescent="0.2">
      <c r="AG9255" s="19"/>
      <c r="AJ9255" s="410"/>
    </row>
    <row r="9256" spans="33:36" ht="11.25" customHeight="1" x14ac:dyDescent="0.2">
      <c r="AG9256" s="19"/>
      <c r="AJ9256" s="410"/>
    </row>
    <row r="9257" spans="33:36" ht="11.25" customHeight="1" x14ac:dyDescent="0.2">
      <c r="AG9257" s="19"/>
      <c r="AJ9257" s="410"/>
    </row>
    <row r="9258" spans="33:36" ht="11.25" customHeight="1" x14ac:dyDescent="0.2">
      <c r="AG9258" s="19"/>
      <c r="AJ9258" s="410"/>
    </row>
    <row r="9259" spans="33:36" ht="11.25" customHeight="1" x14ac:dyDescent="0.2">
      <c r="AG9259" s="19"/>
      <c r="AJ9259" s="410"/>
    </row>
    <row r="9260" spans="33:36" ht="11.25" customHeight="1" x14ac:dyDescent="0.2">
      <c r="AG9260" s="19"/>
      <c r="AJ9260" s="410"/>
    </row>
    <row r="9261" spans="33:36" ht="11.25" customHeight="1" x14ac:dyDescent="0.2">
      <c r="AG9261" s="19"/>
      <c r="AJ9261" s="410"/>
    </row>
    <row r="9262" spans="33:36" ht="11.25" customHeight="1" x14ac:dyDescent="0.2">
      <c r="AG9262" s="19"/>
      <c r="AJ9262" s="410"/>
    </row>
    <row r="9263" spans="33:36" ht="11.25" customHeight="1" x14ac:dyDescent="0.2">
      <c r="AG9263" s="19"/>
      <c r="AJ9263" s="410"/>
    </row>
    <row r="9264" spans="33:36" ht="11.25" customHeight="1" x14ac:dyDescent="0.2">
      <c r="AG9264" s="19"/>
      <c r="AJ9264" s="410"/>
    </row>
    <row r="9265" spans="33:36" ht="11.25" customHeight="1" x14ac:dyDescent="0.2">
      <c r="AG9265" s="19"/>
      <c r="AJ9265" s="410"/>
    </row>
    <row r="9266" spans="33:36" ht="11.25" customHeight="1" x14ac:dyDescent="0.2">
      <c r="AG9266" s="19"/>
      <c r="AJ9266" s="410"/>
    </row>
    <row r="9267" spans="33:36" ht="11.25" customHeight="1" x14ac:dyDescent="0.2">
      <c r="AG9267" s="19"/>
      <c r="AJ9267" s="410"/>
    </row>
    <row r="9268" spans="33:36" ht="11.25" customHeight="1" x14ac:dyDescent="0.2">
      <c r="AG9268" s="19"/>
      <c r="AJ9268" s="410"/>
    </row>
    <row r="9269" spans="33:36" ht="11.25" customHeight="1" x14ac:dyDescent="0.2">
      <c r="AG9269" s="19"/>
      <c r="AJ9269" s="410"/>
    </row>
    <row r="9270" spans="33:36" ht="11.25" customHeight="1" x14ac:dyDescent="0.2">
      <c r="AG9270" s="19"/>
      <c r="AJ9270" s="410"/>
    </row>
    <row r="9271" spans="33:36" ht="11.25" customHeight="1" x14ac:dyDescent="0.2">
      <c r="AG9271" s="19"/>
      <c r="AJ9271" s="410"/>
    </row>
    <row r="9272" spans="33:36" ht="11.25" customHeight="1" x14ac:dyDescent="0.2">
      <c r="AG9272" s="19"/>
      <c r="AJ9272" s="410"/>
    </row>
    <row r="9273" spans="33:36" ht="11.25" customHeight="1" x14ac:dyDescent="0.2">
      <c r="AG9273" s="19"/>
      <c r="AJ9273" s="410"/>
    </row>
    <row r="9274" spans="33:36" ht="11.25" customHeight="1" x14ac:dyDescent="0.2">
      <c r="AG9274" s="19"/>
      <c r="AJ9274" s="410"/>
    </row>
    <row r="9275" spans="33:36" ht="11.25" customHeight="1" x14ac:dyDescent="0.2">
      <c r="AG9275" s="19"/>
      <c r="AJ9275" s="410"/>
    </row>
    <row r="9276" spans="33:36" ht="11.25" customHeight="1" x14ac:dyDescent="0.2">
      <c r="AG9276" s="19"/>
      <c r="AJ9276" s="410"/>
    </row>
    <row r="9277" spans="33:36" ht="11.25" customHeight="1" x14ac:dyDescent="0.2">
      <c r="AG9277" s="19"/>
      <c r="AJ9277" s="410"/>
    </row>
    <row r="9278" spans="33:36" ht="11.25" customHeight="1" x14ac:dyDescent="0.2">
      <c r="AG9278" s="19"/>
      <c r="AJ9278" s="410"/>
    </row>
    <row r="9279" spans="33:36" ht="11.25" customHeight="1" x14ac:dyDescent="0.2">
      <c r="AG9279" s="19"/>
      <c r="AJ9279" s="410"/>
    </row>
    <row r="9280" spans="33:36" ht="11.25" customHeight="1" x14ac:dyDescent="0.2">
      <c r="AG9280" s="19"/>
      <c r="AJ9280" s="410"/>
    </row>
    <row r="9281" spans="33:36" ht="11.25" customHeight="1" x14ac:dyDescent="0.2">
      <c r="AG9281" s="19"/>
      <c r="AJ9281" s="410"/>
    </row>
    <row r="9282" spans="33:36" ht="11.25" customHeight="1" x14ac:dyDescent="0.2">
      <c r="AG9282" s="19"/>
      <c r="AJ9282" s="410"/>
    </row>
    <row r="9283" spans="33:36" ht="11.25" customHeight="1" x14ac:dyDescent="0.2">
      <c r="AG9283" s="19"/>
      <c r="AJ9283" s="410"/>
    </row>
    <row r="9284" spans="33:36" ht="11.25" customHeight="1" x14ac:dyDescent="0.2">
      <c r="AG9284" s="19"/>
      <c r="AJ9284" s="410"/>
    </row>
    <row r="9285" spans="33:36" ht="11.25" customHeight="1" x14ac:dyDescent="0.2">
      <c r="AG9285" s="19"/>
      <c r="AJ9285" s="410"/>
    </row>
    <row r="9286" spans="33:36" ht="11.25" customHeight="1" x14ac:dyDescent="0.2">
      <c r="AG9286" s="19"/>
      <c r="AJ9286" s="410"/>
    </row>
    <row r="9287" spans="33:36" ht="11.25" customHeight="1" x14ac:dyDescent="0.2">
      <c r="AG9287" s="19"/>
      <c r="AJ9287" s="410"/>
    </row>
    <row r="9288" spans="33:36" ht="11.25" customHeight="1" x14ac:dyDescent="0.2">
      <c r="AG9288" s="19"/>
      <c r="AJ9288" s="410"/>
    </row>
    <row r="9289" spans="33:36" ht="11.25" customHeight="1" x14ac:dyDescent="0.2">
      <c r="AG9289" s="19"/>
      <c r="AJ9289" s="410"/>
    </row>
    <row r="9290" spans="33:36" ht="11.25" customHeight="1" x14ac:dyDescent="0.2">
      <c r="AG9290" s="19"/>
      <c r="AJ9290" s="410"/>
    </row>
    <row r="9291" spans="33:36" ht="11.25" customHeight="1" x14ac:dyDescent="0.2">
      <c r="AG9291" s="19"/>
      <c r="AJ9291" s="410"/>
    </row>
    <row r="9292" spans="33:36" ht="11.25" customHeight="1" x14ac:dyDescent="0.2">
      <c r="AG9292" s="19"/>
      <c r="AJ9292" s="410"/>
    </row>
    <row r="9293" spans="33:36" ht="11.25" customHeight="1" x14ac:dyDescent="0.2">
      <c r="AG9293" s="19"/>
      <c r="AJ9293" s="410"/>
    </row>
    <row r="9294" spans="33:36" ht="11.25" customHeight="1" x14ac:dyDescent="0.2">
      <c r="AG9294" s="19"/>
      <c r="AJ9294" s="410"/>
    </row>
    <row r="9295" spans="33:36" ht="11.25" customHeight="1" x14ac:dyDescent="0.2">
      <c r="AG9295" s="19"/>
      <c r="AJ9295" s="410"/>
    </row>
    <row r="9296" spans="33:36" ht="11.25" customHeight="1" x14ac:dyDescent="0.2">
      <c r="AG9296" s="19"/>
      <c r="AJ9296" s="410"/>
    </row>
    <row r="9297" spans="33:36" ht="11.25" customHeight="1" x14ac:dyDescent="0.2">
      <c r="AG9297" s="19"/>
      <c r="AJ9297" s="410"/>
    </row>
    <row r="9298" spans="33:36" ht="11.25" customHeight="1" x14ac:dyDescent="0.2">
      <c r="AG9298" s="19"/>
      <c r="AJ9298" s="410"/>
    </row>
    <row r="9299" spans="33:36" ht="11.25" customHeight="1" x14ac:dyDescent="0.2">
      <c r="AG9299" s="19"/>
      <c r="AJ9299" s="410"/>
    </row>
    <row r="9300" spans="33:36" ht="11.25" customHeight="1" x14ac:dyDescent="0.2">
      <c r="AG9300" s="19"/>
      <c r="AJ9300" s="410"/>
    </row>
    <row r="9301" spans="33:36" ht="11.25" customHeight="1" x14ac:dyDescent="0.2">
      <c r="AG9301" s="19"/>
      <c r="AJ9301" s="410"/>
    </row>
    <row r="9302" spans="33:36" ht="11.25" customHeight="1" x14ac:dyDescent="0.2">
      <c r="AG9302" s="19"/>
      <c r="AJ9302" s="410"/>
    </row>
    <row r="9303" spans="33:36" ht="11.25" customHeight="1" x14ac:dyDescent="0.2">
      <c r="AG9303" s="19"/>
      <c r="AJ9303" s="410"/>
    </row>
    <row r="9304" spans="33:36" ht="11.25" customHeight="1" x14ac:dyDescent="0.2">
      <c r="AG9304" s="19"/>
      <c r="AJ9304" s="410"/>
    </row>
    <row r="9305" spans="33:36" ht="11.25" customHeight="1" x14ac:dyDescent="0.2">
      <c r="AG9305" s="19"/>
      <c r="AJ9305" s="410"/>
    </row>
    <row r="9306" spans="33:36" ht="11.25" customHeight="1" x14ac:dyDescent="0.2">
      <c r="AG9306" s="19"/>
      <c r="AJ9306" s="410"/>
    </row>
    <row r="9307" spans="33:36" ht="11.25" customHeight="1" x14ac:dyDescent="0.2">
      <c r="AG9307" s="19"/>
      <c r="AJ9307" s="410"/>
    </row>
    <row r="9308" spans="33:36" ht="11.25" customHeight="1" x14ac:dyDescent="0.2">
      <c r="AG9308" s="19"/>
      <c r="AJ9308" s="410"/>
    </row>
    <row r="9309" spans="33:36" ht="11.25" customHeight="1" x14ac:dyDescent="0.2">
      <c r="AG9309" s="19"/>
      <c r="AJ9309" s="410"/>
    </row>
    <row r="9310" spans="33:36" ht="11.25" customHeight="1" x14ac:dyDescent="0.2">
      <c r="AG9310" s="19"/>
      <c r="AJ9310" s="410"/>
    </row>
    <row r="9311" spans="33:36" ht="11.25" customHeight="1" x14ac:dyDescent="0.2">
      <c r="AG9311" s="19"/>
      <c r="AJ9311" s="410"/>
    </row>
    <row r="9312" spans="33:36" ht="11.25" customHeight="1" x14ac:dyDescent="0.2">
      <c r="AG9312" s="19"/>
      <c r="AJ9312" s="410"/>
    </row>
    <row r="9313" spans="33:36" ht="11.25" customHeight="1" x14ac:dyDescent="0.2">
      <c r="AG9313" s="19"/>
      <c r="AJ9313" s="410"/>
    </row>
    <row r="9314" spans="33:36" ht="11.25" customHeight="1" x14ac:dyDescent="0.2">
      <c r="AG9314" s="19"/>
      <c r="AJ9314" s="410"/>
    </row>
    <row r="9315" spans="33:36" ht="11.25" customHeight="1" x14ac:dyDescent="0.2">
      <c r="AG9315" s="19"/>
      <c r="AJ9315" s="410"/>
    </row>
    <row r="9316" spans="33:36" ht="11.25" customHeight="1" x14ac:dyDescent="0.2">
      <c r="AG9316" s="19"/>
      <c r="AJ9316" s="410"/>
    </row>
    <row r="9317" spans="33:36" ht="11.25" customHeight="1" x14ac:dyDescent="0.2">
      <c r="AG9317" s="19"/>
      <c r="AJ9317" s="410"/>
    </row>
    <row r="9318" spans="33:36" ht="11.25" customHeight="1" x14ac:dyDescent="0.2">
      <c r="AG9318" s="19"/>
      <c r="AJ9318" s="410"/>
    </row>
    <row r="9319" spans="33:36" ht="11.25" customHeight="1" x14ac:dyDescent="0.2">
      <c r="AG9319" s="19"/>
      <c r="AJ9319" s="410"/>
    </row>
    <row r="9320" spans="33:36" ht="11.25" customHeight="1" x14ac:dyDescent="0.2">
      <c r="AG9320" s="19"/>
      <c r="AJ9320" s="410"/>
    </row>
    <row r="9321" spans="33:36" ht="11.25" customHeight="1" x14ac:dyDescent="0.2">
      <c r="AG9321" s="19"/>
      <c r="AJ9321" s="410"/>
    </row>
    <row r="9322" spans="33:36" ht="11.25" customHeight="1" x14ac:dyDescent="0.2">
      <c r="AG9322" s="19"/>
      <c r="AJ9322" s="410"/>
    </row>
    <row r="9323" spans="33:36" ht="11.25" customHeight="1" x14ac:dyDescent="0.2">
      <c r="AG9323" s="19"/>
      <c r="AJ9323" s="410"/>
    </row>
    <row r="9324" spans="33:36" ht="11.25" customHeight="1" x14ac:dyDescent="0.2">
      <c r="AG9324" s="19"/>
      <c r="AJ9324" s="410"/>
    </row>
    <row r="9325" spans="33:36" ht="11.25" customHeight="1" x14ac:dyDescent="0.2">
      <c r="AG9325" s="19"/>
      <c r="AJ9325" s="410"/>
    </row>
    <row r="9326" spans="33:36" ht="11.25" customHeight="1" x14ac:dyDescent="0.2">
      <c r="AG9326" s="19"/>
      <c r="AJ9326" s="410"/>
    </row>
    <row r="9327" spans="33:36" ht="11.25" customHeight="1" x14ac:dyDescent="0.2">
      <c r="AG9327" s="19"/>
      <c r="AJ9327" s="410"/>
    </row>
    <row r="9328" spans="33:36" ht="11.25" customHeight="1" x14ac:dyDescent="0.2">
      <c r="AG9328" s="19"/>
      <c r="AJ9328" s="410"/>
    </row>
    <row r="9329" spans="33:36" ht="11.25" customHeight="1" x14ac:dyDescent="0.2">
      <c r="AG9329" s="19"/>
      <c r="AJ9329" s="410"/>
    </row>
    <row r="9330" spans="33:36" ht="11.25" customHeight="1" x14ac:dyDescent="0.2">
      <c r="AG9330" s="19"/>
      <c r="AJ9330" s="410"/>
    </row>
    <row r="9331" spans="33:36" ht="11.25" customHeight="1" x14ac:dyDescent="0.2">
      <c r="AG9331" s="19"/>
      <c r="AJ9331" s="410"/>
    </row>
    <row r="9332" spans="33:36" ht="11.25" customHeight="1" x14ac:dyDescent="0.2">
      <c r="AG9332" s="19"/>
      <c r="AJ9332" s="410"/>
    </row>
    <row r="9333" spans="33:36" ht="11.25" customHeight="1" x14ac:dyDescent="0.2">
      <c r="AG9333" s="19"/>
      <c r="AJ9333" s="410"/>
    </row>
    <row r="9334" spans="33:36" ht="11.25" customHeight="1" x14ac:dyDescent="0.2">
      <c r="AG9334" s="19"/>
      <c r="AJ9334" s="410"/>
    </row>
    <row r="9335" spans="33:36" ht="11.25" customHeight="1" x14ac:dyDescent="0.2">
      <c r="AG9335" s="19"/>
      <c r="AJ9335" s="410"/>
    </row>
    <row r="9336" spans="33:36" ht="11.25" customHeight="1" x14ac:dyDescent="0.2">
      <c r="AG9336" s="19"/>
      <c r="AJ9336" s="410"/>
    </row>
    <row r="9337" spans="33:36" ht="11.25" customHeight="1" x14ac:dyDescent="0.2">
      <c r="AG9337" s="19"/>
      <c r="AJ9337" s="410"/>
    </row>
    <row r="9338" spans="33:36" ht="11.25" customHeight="1" x14ac:dyDescent="0.2">
      <c r="AG9338" s="19"/>
      <c r="AJ9338" s="410"/>
    </row>
    <row r="9339" spans="33:36" ht="11.25" customHeight="1" x14ac:dyDescent="0.2">
      <c r="AG9339" s="19"/>
      <c r="AJ9339" s="410"/>
    </row>
    <row r="9340" spans="33:36" ht="11.25" customHeight="1" x14ac:dyDescent="0.2">
      <c r="AG9340" s="19"/>
      <c r="AJ9340" s="410"/>
    </row>
    <row r="9341" spans="33:36" ht="11.25" customHeight="1" x14ac:dyDescent="0.2">
      <c r="AG9341" s="19"/>
      <c r="AJ9341" s="410"/>
    </row>
    <row r="9342" spans="33:36" ht="11.25" customHeight="1" x14ac:dyDescent="0.2">
      <c r="AG9342" s="19"/>
      <c r="AJ9342" s="410"/>
    </row>
    <row r="9343" spans="33:36" ht="11.25" customHeight="1" x14ac:dyDescent="0.2">
      <c r="AG9343" s="19"/>
      <c r="AJ9343" s="410"/>
    </row>
    <row r="9344" spans="33:36" ht="11.25" customHeight="1" x14ac:dyDescent="0.2">
      <c r="AG9344" s="19"/>
      <c r="AJ9344" s="410"/>
    </row>
    <row r="9345" spans="33:36" ht="11.25" customHeight="1" x14ac:dyDescent="0.2">
      <c r="AG9345" s="19"/>
      <c r="AJ9345" s="410"/>
    </row>
    <row r="9346" spans="33:36" ht="11.25" customHeight="1" x14ac:dyDescent="0.2">
      <c r="AG9346" s="19"/>
      <c r="AJ9346" s="410"/>
    </row>
    <row r="9347" spans="33:36" ht="11.25" customHeight="1" x14ac:dyDescent="0.2">
      <c r="AG9347" s="19"/>
      <c r="AJ9347" s="410"/>
    </row>
    <row r="9348" spans="33:36" ht="11.25" customHeight="1" x14ac:dyDescent="0.2">
      <c r="AG9348" s="19"/>
      <c r="AJ9348" s="410"/>
    </row>
    <row r="9349" spans="33:36" ht="11.25" customHeight="1" x14ac:dyDescent="0.2">
      <c r="AG9349" s="19"/>
      <c r="AJ9349" s="410"/>
    </row>
    <row r="9350" spans="33:36" ht="11.25" customHeight="1" x14ac:dyDescent="0.2">
      <c r="AG9350" s="19"/>
      <c r="AJ9350" s="410"/>
    </row>
    <row r="9351" spans="33:36" ht="11.25" customHeight="1" x14ac:dyDescent="0.2">
      <c r="AG9351" s="19"/>
      <c r="AJ9351" s="410"/>
    </row>
    <row r="9352" spans="33:36" ht="11.25" customHeight="1" x14ac:dyDescent="0.2">
      <c r="AG9352" s="19"/>
      <c r="AJ9352" s="410"/>
    </row>
    <row r="9353" spans="33:36" ht="11.25" customHeight="1" x14ac:dyDescent="0.2">
      <c r="AG9353" s="19"/>
      <c r="AJ9353" s="410"/>
    </row>
    <row r="9354" spans="33:36" ht="11.25" customHeight="1" x14ac:dyDescent="0.2">
      <c r="AG9354" s="19"/>
      <c r="AJ9354" s="410"/>
    </row>
    <row r="9355" spans="33:36" ht="11.25" customHeight="1" x14ac:dyDescent="0.2">
      <c r="AG9355" s="19"/>
      <c r="AJ9355" s="410"/>
    </row>
    <row r="9356" spans="33:36" ht="11.25" customHeight="1" x14ac:dyDescent="0.2">
      <c r="AG9356" s="19"/>
      <c r="AJ9356" s="410"/>
    </row>
    <row r="9357" spans="33:36" ht="11.25" customHeight="1" x14ac:dyDescent="0.2">
      <c r="AG9357" s="19"/>
      <c r="AJ9357" s="410"/>
    </row>
    <row r="9358" spans="33:36" ht="11.25" customHeight="1" x14ac:dyDescent="0.2">
      <c r="AG9358" s="19"/>
      <c r="AJ9358" s="410"/>
    </row>
    <row r="9359" spans="33:36" ht="11.25" customHeight="1" x14ac:dyDescent="0.2">
      <c r="AG9359" s="19"/>
      <c r="AJ9359" s="410"/>
    </row>
    <row r="9360" spans="33:36" ht="11.25" customHeight="1" x14ac:dyDescent="0.2">
      <c r="AG9360" s="19"/>
      <c r="AJ9360" s="410"/>
    </row>
    <row r="9361" spans="33:36" ht="11.25" customHeight="1" x14ac:dyDescent="0.2">
      <c r="AG9361" s="19"/>
      <c r="AJ9361" s="410"/>
    </row>
    <row r="9362" spans="33:36" ht="11.25" customHeight="1" x14ac:dyDescent="0.2">
      <c r="AG9362" s="19"/>
      <c r="AJ9362" s="410"/>
    </row>
    <row r="9363" spans="33:36" ht="11.25" customHeight="1" x14ac:dyDescent="0.2">
      <c r="AG9363" s="19"/>
      <c r="AJ9363" s="410"/>
    </row>
    <row r="9364" spans="33:36" ht="11.25" customHeight="1" x14ac:dyDescent="0.2">
      <c r="AG9364" s="19"/>
      <c r="AJ9364" s="410"/>
    </row>
    <row r="9365" spans="33:36" ht="11.25" customHeight="1" x14ac:dyDescent="0.2">
      <c r="AG9365" s="19"/>
      <c r="AJ9365" s="410"/>
    </row>
    <row r="9366" spans="33:36" ht="11.25" customHeight="1" x14ac:dyDescent="0.2">
      <c r="AG9366" s="19"/>
      <c r="AJ9366" s="410"/>
    </row>
    <row r="9367" spans="33:36" ht="11.25" customHeight="1" x14ac:dyDescent="0.2">
      <c r="AG9367" s="19"/>
      <c r="AJ9367" s="410"/>
    </row>
    <row r="9368" spans="33:36" ht="11.25" customHeight="1" x14ac:dyDescent="0.2">
      <c r="AG9368" s="19"/>
      <c r="AJ9368" s="410"/>
    </row>
    <row r="9369" spans="33:36" ht="11.25" customHeight="1" x14ac:dyDescent="0.2">
      <c r="AG9369" s="19"/>
      <c r="AJ9369" s="410"/>
    </row>
    <row r="9370" spans="33:36" ht="11.25" customHeight="1" x14ac:dyDescent="0.2">
      <c r="AG9370" s="19"/>
      <c r="AJ9370" s="410"/>
    </row>
    <row r="9371" spans="33:36" ht="11.25" customHeight="1" x14ac:dyDescent="0.2">
      <c r="AG9371" s="19"/>
      <c r="AJ9371" s="410"/>
    </row>
    <row r="9372" spans="33:36" ht="11.25" customHeight="1" x14ac:dyDescent="0.2">
      <c r="AG9372" s="19"/>
      <c r="AJ9372" s="410"/>
    </row>
    <row r="9373" spans="33:36" ht="11.25" customHeight="1" x14ac:dyDescent="0.2">
      <c r="AG9373" s="19"/>
      <c r="AJ9373" s="410"/>
    </row>
    <row r="9374" spans="33:36" ht="11.25" customHeight="1" x14ac:dyDescent="0.2">
      <c r="AG9374" s="19"/>
      <c r="AJ9374" s="410"/>
    </row>
    <row r="9375" spans="33:36" ht="11.25" customHeight="1" x14ac:dyDescent="0.2">
      <c r="AG9375" s="19"/>
      <c r="AJ9375" s="410"/>
    </row>
    <row r="9376" spans="33:36" ht="11.25" customHeight="1" x14ac:dyDescent="0.2">
      <c r="AG9376" s="19"/>
      <c r="AJ9376" s="410"/>
    </row>
    <row r="9377" spans="33:36" ht="11.25" customHeight="1" x14ac:dyDescent="0.2">
      <c r="AG9377" s="19"/>
      <c r="AJ9377" s="410"/>
    </row>
    <row r="9378" spans="33:36" ht="11.25" customHeight="1" x14ac:dyDescent="0.2">
      <c r="AG9378" s="19"/>
      <c r="AJ9378" s="410"/>
    </row>
    <row r="9379" spans="33:36" ht="11.25" customHeight="1" x14ac:dyDescent="0.2">
      <c r="AG9379" s="19"/>
      <c r="AJ9379" s="410"/>
    </row>
    <row r="9380" spans="33:36" ht="11.25" customHeight="1" x14ac:dyDescent="0.2">
      <c r="AG9380" s="19"/>
      <c r="AJ9380" s="410"/>
    </row>
    <row r="9381" spans="33:36" ht="11.25" customHeight="1" x14ac:dyDescent="0.2">
      <c r="AG9381" s="19"/>
      <c r="AJ9381" s="410"/>
    </row>
    <row r="9382" spans="33:36" ht="11.25" customHeight="1" x14ac:dyDescent="0.2">
      <c r="AG9382" s="19"/>
      <c r="AJ9382" s="410"/>
    </row>
    <row r="9383" spans="33:36" ht="11.25" customHeight="1" x14ac:dyDescent="0.2">
      <c r="AG9383" s="19"/>
      <c r="AJ9383" s="410"/>
    </row>
    <row r="9384" spans="33:36" ht="11.25" customHeight="1" x14ac:dyDescent="0.2">
      <c r="AG9384" s="19"/>
      <c r="AJ9384" s="410"/>
    </row>
    <row r="9385" spans="33:36" ht="11.25" customHeight="1" x14ac:dyDescent="0.2">
      <c r="AG9385" s="19"/>
      <c r="AJ9385" s="410"/>
    </row>
    <row r="9386" spans="33:36" ht="11.25" customHeight="1" x14ac:dyDescent="0.2">
      <c r="AG9386" s="19"/>
      <c r="AJ9386" s="410"/>
    </row>
    <row r="9387" spans="33:36" ht="11.25" customHeight="1" x14ac:dyDescent="0.2">
      <c r="AG9387" s="19"/>
      <c r="AJ9387" s="410"/>
    </row>
    <row r="9388" spans="33:36" ht="11.25" customHeight="1" x14ac:dyDescent="0.2">
      <c r="AG9388" s="19"/>
      <c r="AJ9388" s="410"/>
    </row>
    <row r="9389" spans="33:36" ht="11.25" customHeight="1" x14ac:dyDescent="0.2">
      <c r="AG9389" s="19"/>
      <c r="AJ9389" s="410"/>
    </row>
    <row r="9390" spans="33:36" ht="11.25" customHeight="1" x14ac:dyDescent="0.2">
      <c r="AG9390" s="19"/>
      <c r="AJ9390" s="410"/>
    </row>
    <row r="9391" spans="33:36" ht="11.25" customHeight="1" x14ac:dyDescent="0.2">
      <c r="AG9391" s="19"/>
      <c r="AJ9391" s="410"/>
    </row>
    <row r="9392" spans="33:36" ht="11.25" customHeight="1" x14ac:dyDescent="0.2">
      <c r="AG9392" s="19"/>
      <c r="AJ9392" s="410"/>
    </row>
    <row r="9393" spans="33:36" ht="11.25" customHeight="1" x14ac:dyDescent="0.2">
      <c r="AG9393" s="19"/>
      <c r="AJ9393" s="410"/>
    </row>
    <row r="9394" spans="33:36" ht="11.25" customHeight="1" x14ac:dyDescent="0.2">
      <c r="AG9394" s="19"/>
      <c r="AJ9394" s="410"/>
    </row>
    <row r="9395" spans="33:36" ht="11.25" customHeight="1" x14ac:dyDescent="0.2">
      <c r="AG9395" s="19"/>
      <c r="AJ9395" s="410"/>
    </row>
    <row r="9396" spans="33:36" ht="11.25" customHeight="1" x14ac:dyDescent="0.2">
      <c r="AG9396" s="19"/>
      <c r="AJ9396" s="410"/>
    </row>
    <row r="9397" spans="33:36" ht="11.25" customHeight="1" x14ac:dyDescent="0.2">
      <c r="AG9397" s="19"/>
      <c r="AJ9397" s="410"/>
    </row>
    <row r="9398" spans="33:36" ht="11.25" customHeight="1" x14ac:dyDescent="0.2">
      <c r="AG9398" s="19"/>
      <c r="AJ9398" s="410"/>
    </row>
    <row r="9399" spans="33:36" ht="11.25" customHeight="1" x14ac:dyDescent="0.2">
      <c r="AG9399" s="19"/>
      <c r="AJ9399" s="410"/>
    </row>
    <row r="9400" spans="33:36" ht="11.25" customHeight="1" x14ac:dyDescent="0.2">
      <c r="AG9400" s="19"/>
      <c r="AJ9400" s="410"/>
    </row>
    <row r="9401" spans="33:36" ht="11.25" customHeight="1" x14ac:dyDescent="0.2">
      <c r="AG9401" s="19"/>
      <c r="AJ9401" s="410"/>
    </row>
    <row r="9402" spans="33:36" ht="11.25" customHeight="1" x14ac:dyDescent="0.2">
      <c r="AG9402" s="19"/>
      <c r="AJ9402" s="410"/>
    </row>
    <row r="9403" spans="33:36" ht="11.25" customHeight="1" x14ac:dyDescent="0.2">
      <c r="AG9403" s="19"/>
      <c r="AJ9403" s="410"/>
    </row>
    <row r="9404" spans="33:36" ht="11.25" customHeight="1" x14ac:dyDescent="0.2">
      <c r="AG9404" s="19"/>
      <c r="AJ9404" s="410"/>
    </row>
    <row r="9405" spans="33:36" ht="11.25" customHeight="1" x14ac:dyDescent="0.2">
      <c r="AG9405" s="19"/>
      <c r="AJ9405" s="410"/>
    </row>
    <row r="9406" spans="33:36" ht="11.25" customHeight="1" x14ac:dyDescent="0.2">
      <c r="AG9406" s="19"/>
      <c r="AJ9406" s="410"/>
    </row>
    <row r="9407" spans="33:36" ht="11.25" customHeight="1" x14ac:dyDescent="0.2">
      <c r="AG9407" s="19"/>
      <c r="AJ9407" s="410"/>
    </row>
    <row r="9408" spans="33:36" ht="11.25" customHeight="1" x14ac:dyDescent="0.2">
      <c r="AG9408" s="19"/>
      <c r="AJ9408" s="410"/>
    </row>
    <row r="9409" spans="33:36" ht="11.25" customHeight="1" x14ac:dyDescent="0.2">
      <c r="AG9409" s="19"/>
      <c r="AJ9409" s="410"/>
    </row>
    <row r="9410" spans="33:36" ht="11.25" customHeight="1" x14ac:dyDescent="0.2">
      <c r="AG9410" s="19"/>
      <c r="AJ9410" s="410"/>
    </row>
    <row r="9411" spans="33:36" ht="11.25" customHeight="1" x14ac:dyDescent="0.2">
      <c r="AG9411" s="19"/>
      <c r="AJ9411" s="410"/>
    </row>
    <row r="9412" spans="33:36" ht="11.25" customHeight="1" x14ac:dyDescent="0.2">
      <c r="AG9412" s="19"/>
      <c r="AJ9412" s="410"/>
    </row>
    <row r="9413" spans="33:36" ht="11.25" customHeight="1" x14ac:dyDescent="0.2">
      <c r="AG9413" s="19"/>
      <c r="AJ9413" s="410"/>
    </row>
    <row r="9414" spans="33:36" ht="11.25" customHeight="1" x14ac:dyDescent="0.2">
      <c r="AG9414" s="19"/>
      <c r="AJ9414" s="410"/>
    </row>
    <row r="9415" spans="33:36" ht="11.25" customHeight="1" x14ac:dyDescent="0.2">
      <c r="AG9415" s="19"/>
      <c r="AJ9415" s="410"/>
    </row>
    <row r="9416" spans="33:36" ht="11.25" customHeight="1" x14ac:dyDescent="0.2">
      <c r="AG9416" s="19"/>
      <c r="AJ9416" s="410"/>
    </row>
    <row r="9417" spans="33:36" ht="11.25" customHeight="1" x14ac:dyDescent="0.2">
      <c r="AG9417" s="19"/>
      <c r="AJ9417" s="410"/>
    </row>
    <row r="9418" spans="33:36" ht="11.25" customHeight="1" x14ac:dyDescent="0.2">
      <c r="AG9418" s="19"/>
      <c r="AJ9418" s="410"/>
    </row>
    <row r="9419" spans="33:36" ht="11.25" customHeight="1" x14ac:dyDescent="0.2">
      <c r="AG9419" s="19"/>
      <c r="AJ9419" s="410"/>
    </row>
    <row r="9420" spans="33:36" ht="11.25" customHeight="1" x14ac:dyDescent="0.2">
      <c r="AG9420" s="19"/>
      <c r="AJ9420" s="410"/>
    </row>
    <row r="9421" spans="33:36" ht="11.25" customHeight="1" x14ac:dyDescent="0.2">
      <c r="AG9421" s="19"/>
      <c r="AJ9421" s="410"/>
    </row>
    <row r="9422" spans="33:36" ht="11.25" customHeight="1" x14ac:dyDescent="0.2">
      <c r="AG9422" s="19"/>
      <c r="AJ9422" s="410"/>
    </row>
    <row r="9423" spans="33:36" ht="11.25" customHeight="1" x14ac:dyDescent="0.2">
      <c r="AG9423" s="19"/>
      <c r="AJ9423" s="410"/>
    </row>
    <row r="9424" spans="33:36" ht="11.25" customHeight="1" x14ac:dyDescent="0.2">
      <c r="AG9424" s="19"/>
      <c r="AJ9424" s="410"/>
    </row>
    <row r="9425" spans="33:36" ht="11.25" customHeight="1" x14ac:dyDescent="0.2">
      <c r="AG9425" s="19"/>
      <c r="AJ9425" s="410"/>
    </row>
    <row r="9426" spans="33:36" ht="11.25" customHeight="1" x14ac:dyDescent="0.2">
      <c r="AG9426" s="19"/>
      <c r="AJ9426" s="410"/>
    </row>
    <row r="9427" spans="33:36" ht="11.25" customHeight="1" x14ac:dyDescent="0.2">
      <c r="AG9427" s="19"/>
      <c r="AJ9427" s="410"/>
    </row>
    <row r="9428" spans="33:36" ht="11.25" customHeight="1" x14ac:dyDescent="0.2">
      <c r="AG9428" s="19"/>
      <c r="AJ9428" s="410"/>
    </row>
    <row r="9429" spans="33:36" ht="11.25" customHeight="1" x14ac:dyDescent="0.2">
      <c r="AG9429" s="19"/>
      <c r="AJ9429" s="410"/>
    </row>
    <row r="9430" spans="33:36" ht="11.25" customHeight="1" x14ac:dyDescent="0.2">
      <c r="AG9430" s="19"/>
      <c r="AJ9430" s="410"/>
    </row>
    <row r="9431" spans="33:36" ht="11.25" customHeight="1" x14ac:dyDescent="0.2">
      <c r="AG9431" s="19"/>
      <c r="AJ9431" s="410"/>
    </row>
    <row r="9432" spans="33:36" ht="11.25" customHeight="1" x14ac:dyDescent="0.2">
      <c r="AG9432" s="19"/>
      <c r="AJ9432" s="410"/>
    </row>
    <row r="9433" spans="33:36" ht="11.25" customHeight="1" x14ac:dyDescent="0.2">
      <c r="AG9433" s="19"/>
      <c r="AJ9433" s="410"/>
    </row>
    <row r="9434" spans="33:36" ht="11.25" customHeight="1" x14ac:dyDescent="0.2">
      <c r="AG9434" s="19"/>
      <c r="AJ9434" s="410"/>
    </row>
    <row r="9435" spans="33:36" ht="11.25" customHeight="1" x14ac:dyDescent="0.2">
      <c r="AG9435" s="19"/>
      <c r="AJ9435" s="410"/>
    </row>
    <row r="9436" spans="33:36" ht="11.25" customHeight="1" x14ac:dyDescent="0.2">
      <c r="AG9436" s="19"/>
      <c r="AJ9436" s="410"/>
    </row>
    <row r="9437" spans="33:36" ht="11.25" customHeight="1" x14ac:dyDescent="0.2">
      <c r="AG9437" s="19"/>
      <c r="AJ9437" s="410"/>
    </row>
    <row r="9438" spans="33:36" ht="11.25" customHeight="1" x14ac:dyDescent="0.2">
      <c r="AG9438" s="19"/>
      <c r="AJ9438" s="410"/>
    </row>
    <row r="9439" spans="33:36" ht="11.25" customHeight="1" x14ac:dyDescent="0.2">
      <c r="AG9439" s="19"/>
      <c r="AJ9439" s="410"/>
    </row>
    <row r="9440" spans="33:36" ht="11.25" customHeight="1" x14ac:dyDescent="0.2">
      <c r="AG9440" s="19"/>
      <c r="AJ9440" s="410"/>
    </row>
    <row r="9441" spans="33:36" ht="11.25" customHeight="1" x14ac:dyDescent="0.2">
      <c r="AG9441" s="19"/>
      <c r="AJ9441" s="410"/>
    </row>
    <row r="9442" spans="33:36" ht="11.25" customHeight="1" x14ac:dyDescent="0.2">
      <c r="AG9442" s="19"/>
      <c r="AJ9442" s="410"/>
    </row>
    <row r="9443" spans="33:36" ht="11.25" customHeight="1" x14ac:dyDescent="0.2">
      <c r="AG9443" s="19"/>
      <c r="AJ9443" s="410"/>
    </row>
    <row r="9444" spans="33:36" ht="11.25" customHeight="1" x14ac:dyDescent="0.2">
      <c r="AG9444" s="19"/>
      <c r="AJ9444" s="410"/>
    </row>
    <row r="9445" spans="33:36" ht="11.25" customHeight="1" x14ac:dyDescent="0.2">
      <c r="AG9445" s="19"/>
      <c r="AJ9445" s="410"/>
    </row>
    <row r="9446" spans="33:36" ht="11.25" customHeight="1" x14ac:dyDescent="0.2">
      <c r="AG9446" s="19"/>
      <c r="AJ9446" s="410"/>
    </row>
    <row r="9447" spans="33:36" ht="11.25" customHeight="1" x14ac:dyDescent="0.2">
      <c r="AG9447" s="19"/>
      <c r="AJ9447" s="410"/>
    </row>
    <row r="9448" spans="33:36" ht="11.25" customHeight="1" x14ac:dyDescent="0.2">
      <c r="AG9448" s="19"/>
      <c r="AJ9448" s="410"/>
    </row>
    <row r="9449" spans="33:36" ht="11.25" customHeight="1" x14ac:dyDescent="0.2">
      <c r="AG9449" s="19"/>
      <c r="AJ9449" s="410"/>
    </row>
    <row r="9450" spans="33:36" ht="11.25" customHeight="1" x14ac:dyDescent="0.2">
      <c r="AG9450" s="19"/>
      <c r="AJ9450" s="410"/>
    </row>
    <row r="9451" spans="33:36" ht="11.25" customHeight="1" x14ac:dyDescent="0.2">
      <c r="AG9451" s="19"/>
      <c r="AJ9451" s="410"/>
    </row>
    <row r="9452" spans="33:36" ht="11.25" customHeight="1" x14ac:dyDescent="0.2">
      <c r="AG9452" s="19"/>
      <c r="AJ9452" s="410"/>
    </row>
    <row r="9453" spans="33:36" ht="11.25" customHeight="1" x14ac:dyDescent="0.2">
      <c r="AG9453" s="19"/>
      <c r="AJ9453" s="410"/>
    </row>
    <row r="9454" spans="33:36" ht="11.25" customHeight="1" x14ac:dyDescent="0.2">
      <c r="AG9454" s="19"/>
      <c r="AJ9454" s="410"/>
    </row>
    <row r="9455" spans="33:36" ht="11.25" customHeight="1" x14ac:dyDescent="0.2">
      <c r="AG9455" s="19"/>
      <c r="AJ9455" s="410"/>
    </row>
    <row r="9456" spans="33:36" ht="11.25" customHeight="1" x14ac:dyDescent="0.2">
      <c r="AG9456" s="19"/>
      <c r="AJ9456" s="410"/>
    </row>
    <row r="9457" spans="33:36" ht="11.25" customHeight="1" x14ac:dyDescent="0.2">
      <c r="AG9457" s="19"/>
      <c r="AJ9457" s="410"/>
    </row>
    <row r="9458" spans="33:36" ht="11.25" customHeight="1" x14ac:dyDescent="0.2">
      <c r="AG9458" s="19"/>
      <c r="AJ9458" s="410"/>
    </row>
    <row r="9459" spans="33:36" ht="11.25" customHeight="1" x14ac:dyDescent="0.2">
      <c r="AG9459" s="19"/>
      <c r="AJ9459" s="410"/>
    </row>
    <row r="9460" spans="33:36" ht="11.25" customHeight="1" x14ac:dyDescent="0.2">
      <c r="AG9460" s="19"/>
      <c r="AJ9460" s="410"/>
    </row>
    <row r="9461" spans="33:36" ht="11.25" customHeight="1" x14ac:dyDescent="0.2">
      <c r="AG9461" s="19"/>
      <c r="AJ9461" s="410"/>
    </row>
    <row r="9462" spans="33:36" ht="11.25" customHeight="1" x14ac:dyDescent="0.2">
      <c r="AG9462" s="19"/>
      <c r="AJ9462" s="410"/>
    </row>
    <row r="9463" spans="33:36" ht="11.25" customHeight="1" x14ac:dyDescent="0.2">
      <c r="AG9463" s="19"/>
      <c r="AJ9463" s="410"/>
    </row>
    <row r="9464" spans="33:36" ht="11.25" customHeight="1" x14ac:dyDescent="0.2">
      <c r="AG9464" s="19"/>
      <c r="AJ9464" s="410"/>
    </row>
    <row r="9465" spans="33:36" ht="11.25" customHeight="1" x14ac:dyDescent="0.2">
      <c r="AG9465" s="19"/>
      <c r="AJ9465" s="410"/>
    </row>
    <row r="9466" spans="33:36" ht="11.25" customHeight="1" x14ac:dyDescent="0.2">
      <c r="AG9466" s="19"/>
      <c r="AJ9466" s="410"/>
    </row>
    <row r="9467" spans="33:36" ht="11.25" customHeight="1" x14ac:dyDescent="0.2">
      <c r="AG9467" s="19"/>
      <c r="AJ9467" s="410"/>
    </row>
    <row r="9468" spans="33:36" ht="11.25" customHeight="1" x14ac:dyDescent="0.2">
      <c r="AG9468" s="19"/>
      <c r="AJ9468" s="410"/>
    </row>
    <row r="9469" spans="33:36" ht="11.25" customHeight="1" x14ac:dyDescent="0.2">
      <c r="AG9469" s="19"/>
      <c r="AJ9469" s="410"/>
    </row>
    <row r="9470" spans="33:36" ht="11.25" customHeight="1" x14ac:dyDescent="0.2">
      <c r="AG9470" s="19"/>
      <c r="AJ9470" s="410"/>
    </row>
    <row r="9471" spans="33:36" ht="11.25" customHeight="1" x14ac:dyDescent="0.2">
      <c r="AG9471" s="19"/>
      <c r="AJ9471" s="410"/>
    </row>
    <row r="9472" spans="33:36" ht="11.25" customHeight="1" x14ac:dyDescent="0.2">
      <c r="AG9472" s="19"/>
      <c r="AJ9472" s="410"/>
    </row>
    <row r="9473" spans="33:36" ht="11.25" customHeight="1" x14ac:dyDescent="0.2">
      <c r="AG9473" s="19"/>
      <c r="AJ9473" s="410"/>
    </row>
    <row r="9474" spans="33:36" ht="11.25" customHeight="1" x14ac:dyDescent="0.2">
      <c r="AG9474" s="19"/>
      <c r="AJ9474" s="410"/>
    </row>
    <row r="9475" spans="33:36" ht="11.25" customHeight="1" x14ac:dyDescent="0.2">
      <c r="AG9475" s="19"/>
      <c r="AJ9475" s="410"/>
    </row>
    <row r="9476" spans="33:36" ht="11.25" customHeight="1" x14ac:dyDescent="0.2">
      <c r="AG9476" s="19"/>
      <c r="AJ9476" s="410"/>
    </row>
    <row r="9477" spans="33:36" ht="11.25" customHeight="1" x14ac:dyDescent="0.2">
      <c r="AG9477" s="19"/>
      <c r="AJ9477" s="410"/>
    </row>
    <row r="9478" spans="33:36" ht="11.25" customHeight="1" x14ac:dyDescent="0.2">
      <c r="AG9478" s="19"/>
      <c r="AJ9478" s="410"/>
    </row>
    <row r="9479" spans="33:36" ht="11.25" customHeight="1" x14ac:dyDescent="0.2">
      <c r="AG9479" s="19"/>
      <c r="AJ9479" s="410"/>
    </row>
    <row r="9480" spans="33:36" ht="11.25" customHeight="1" x14ac:dyDescent="0.2">
      <c r="AG9480" s="19"/>
      <c r="AJ9480" s="410"/>
    </row>
    <row r="9481" spans="33:36" ht="11.25" customHeight="1" x14ac:dyDescent="0.2">
      <c r="AG9481" s="19"/>
      <c r="AJ9481" s="410"/>
    </row>
    <row r="9482" spans="33:36" ht="11.25" customHeight="1" x14ac:dyDescent="0.2">
      <c r="AG9482" s="19"/>
      <c r="AJ9482" s="410"/>
    </row>
    <row r="9483" spans="33:36" ht="11.25" customHeight="1" x14ac:dyDescent="0.2">
      <c r="AG9483" s="19"/>
      <c r="AJ9483" s="410"/>
    </row>
    <row r="9484" spans="33:36" ht="11.25" customHeight="1" x14ac:dyDescent="0.2">
      <c r="AG9484" s="19"/>
      <c r="AJ9484" s="410"/>
    </row>
    <row r="9485" spans="33:36" ht="11.25" customHeight="1" x14ac:dyDescent="0.2">
      <c r="AG9485" s="19"/>
      <c r="AJ9485" s="410"/>
    </row>
    <row r="9486" spans="33:36" ht="11.25" customHeight="1" x14ac:dyDescent="0.2">
      <c r="AG9486" s="19"/>
      <c r="AJ9486" s="410"/>
    </row>
    <row r="9487" spans="33:36" ht="11.25" customHeight="1" x14ac:dyDescent="0.2">
      <c r="AG9487" s="19"/>
      <c r="AJ9487" s="410"/>
    </row>
    <row r="9488" spans="33:36" ht="11.25" customHeight="1" x14ac:dyDescent="0.2">
      <c r="AG9488" s="19"/>
      <c r="AJ9488" s="410"/>
    </row>
    <row r="9489" spans="33:36" ht="11.25" customHeight="1" x14ac:dyDescent="0.2">
      <c r="AG9489" s="19"/>
      <c r="AJ9489" s="410"/>
    </row>
    <row r="9490" spans="33:36" ht="11.25" customHeight="1" x14ac:dyDescent="0.2">
      <c r="AG9490" s="19"/>
      <c r="AJ9490" s="410"/>
    </row>
    <row r="9491" spans="33:36" ht="11.25" customHeight="1" x14ac:dyDescent="0.2">
      <c r="AG9491" s="19"/>
      <c r="AJ9491" s="410"/>
    </row>
    <row r="9492" spans="33:36" ht="11.25" customHeight="1" x14ac:dyDescent="0.2">
      <c r="AG9492" s="19"/>
      <c r="AJ9492" s="410"/>
    </row>
    <row r="9493" spans="33:36" ht="11.25" customHeight="1" x14ac:dyDescent="0.2">
      <c r="AG9493" s="19"/>
      <c r="AJ9493" s="410"/>
    </row>
    <row r="9494" spans="33:36" ht="11.25" customHeight="1" x14ac:dyDescent="0.2">
      <c r="AG9494" s="19"/>
      <c r="AJ9494" s="410"/>
    </row>
    <row r="9495" spans="33:36" ht="11.25" customHeight="1" x14ac:dyDescent="0.2">
      <c r="AG9495" s="19"/>
      <c r="AJ9495" s="410"/>
    </row>
    <row r="9496" spans="33:36" ht="11.25" customHeight="1" x14ac:dyDescent="0.2">
      <c r="AG9496" s="19"/>
      <c r="AJ9496" s="410"/>
    </row>
    <row r="9497" spans="33:36" ht="11.25" customHeight="1" x14ac:dyDescent="0.2">
      <c r="AG9497" s="19"/>
      <c r="AJ9497" s="410"/>
    </row>
    <row r="9498" spans="33:36" ht="11.25" customHeight="1" x14ac:dyDescent="0.2">
      <c r="AG9498" s="19"/>
      <c r="AJ9498" s="410"/>
    </row>
    <row r="9499" spans="33:36" ht="11.25" customHeight="1" x14ac:dyDescent="0.2">
      <c r="AG9499" s="19"/>
      <c r="AJ9499" s="410"/>
    </row>
    <row r="9500" spans="33:36" ht="11.25" customHeight="1" x14ac:dyDescent="0.2">
      <c r="AG9500" s="19"/>
      <c r="AJ9500" s="410"/>
    </row>
    <row r="9501" spans="33:36" ht="11.25" customHeight="1" x14ac:dyDescent="0.2">
      <c r="AG9501" s="19"/>
      <c r="AJ9501" s="410"/>
    </row>
    <row r="9502" spans="33:36" ht="11.25" customHeight="1" x14ac:dyDescent="0.2">
      <c r="AG9502" s="19"/>
      <c r="AJ9502" s="410"/>
    </row>
    <row r="9503" spans="33:36" ht="11.25" customHeight="1" x14ac:dyDescent="0.2">
      <c r="AG9503" s="19"/>
      <c r="AJ9503" s="410"/>
    </row>
    <row r="9504" spans="33:36" ht="11.25" customHeight="1" x14ac:dyDescent="0.2">
      <c r="AG9504" s="19"/>
      <c r="AJ9504" s="410"/>
    </row>
    <row r="9505" spans="33:36" ht="11.25" customHeight="1" x14ac:dyDescent="0.2">
      <c r="AG9505" s="19"/>
      <c r="AJ9505" s="410"/>
    </row>
    <row r="9506" spans="33:36" ht="11.25" customHeight="1" x14ac:dyDescent="0.2">
      <c r="AG9506" s="19"/>
      <c r="AJ9506" s="410"/>
    </row>
    <row r="9507" spans="33:36" ht="11.25" customHeight="1" x14ac:dyDescent="0.2">
      <c r="AG9507" s="19"/>
      <c r="AJ9507" s="410"/>
    </row>
    <row r="9508" spans="33:36" ht="11.25" customHeight="1" x14ac:dyDescent="0.2">
      <c r="AG9508" s="19"/>
      <c r="AJ9508" s="410"/>
    </row>
    <row r="9509" spans="33:36" ht="11.25" customHeight="1" x14ac:dyDescent="0.2">
      <c r="AG9509" s="19"/>
      <c r="AJ9509" s="410"/>
    </row>
    <row r="9510" spans="33:36" ht="11.25" customHeight="1" x14ac:dyDescent="0.2">
      <c r="AG9510" s="19"/>
      <c r="AJ9510" s="410"/>
    </row>
    <row r="9511" spans="33:36" ht="11.25" customHeight="1" x14ac:dyDescent="0.2">
      <c r="AG9511" s="19"/>
      <c r="AJ9511" s="410"/>
    </row>
    <row r="9512" spans="33:36" ht="11.25" customHeight="1" x14ac:dyDescent="0.2">
      <c r="AG9512" s="19"/>
      <c r="AJ9512" s="410"/>
    </row>
    <row r="9513" spans="33:36" ht="11.25" customHeight="1" x14ac:dyDescent="0.2">
      <c r="AG9513" s="19"/>
      <c r="AJ9513" s="410"/>
    </row>
    <row r="9514" spans="33:36" ht="11.25" customHeight="1" x14ac:dyDescent="0.2">
      <c r="AG9514" s="19"/>
      <c r="AJ9514" s="410"/>
    </row>
    <row r="9515" spans="33:36" ht="11.25" customHeight="1" x14ac:dyDescent="0.2">
      <c r="AG9515" s="19"/>
      <c r="AJ9515" s="410"/>
    </row>
    <row r="9516" spans="33:36" ht="11.25" customHeight="1" x14ac:dyDescent="0.2">
      <c r="AG9516" s="19"/>
      <c r="AJ9516" s="410"/>
    </row>
    <row r="9517" spans="33:36" ht="11.25" customHeight="1" x14ac:dyDescent="0.2">
      <c r="AG9517" s="19"/>
      <c r="AJ9517" s="410"/>
    </row>
    <row r="9518" spans="33:36" ht="11.25" customHeight="1" x14ac:dyDescent="0.2">
      <c r="AG9518" s="19"/>
      <c r="AJ9518" s="410"/>
    </row>
    <row r="9519" spans="33:36" ht="11.25" customHeight="1" x14ac:dyDescent="0.2">
      <c r="AG9519" s="19"/>
      <c r="AJ9519" s="410"/>
    </row>
    <row r="9520" spans="33:36" ht="11.25" customHeight="1" x14ac:dyDescent="0.2">
      <c r="AG9520" s="19"/>
      <c r="AJ9520" s="410"/>
    </row>
    <row r="9521" spans="33:36" ht="11.25" customHeight="1" x14ac:dyDescent="0.2">
      <c r="AG9521" s="19"/>
      <c r="AJ9521" s="410"/>
    </row>
    <row r="9522" spans="33:36" ht="11.25" customHeight="1" x14ac:dyDescent="0.2">
      <c r="AG9522" s="19"/>
      <c r="AJ9522" s="410"/>
    </row>
    <row r="9523" spans="33:36" ht="11.25" customHeight="1" x14ac:dyDescent="0.2">
      <c r="AG9523" s="19"/>
      <c r="AJ9523" s="410"/>
    </row>
    <row r="9524" spans="33:36" ht="11.25" customHeight="1" x14ac:dyDescent="0.2">
      <c r="AG9524" s="19"/>
      <c r="AJ9524" s="410"/>
    </row>
    <row r="9525" spans="33:36" ht="11.25" customHeight="1" x14ac:dyDescent="0.2">
      <c r="AG9525" s="19"/>
      <c r="AJ9525" s="410"/>
    </row>
    <row r="9526" spans="33:36" ht="11.25" customHeight="1" x14ac:dyDescent="0.2">
      <c r="AG9526" s="19"/>
      <c r="AJ9526" s="410"/>
    </row>
    <row r="9527" spans="33:36" ht="11.25" customHeight="1" x14ac:dyDescent="0.2">
      <c r="AG9527" s="19"/>
      <c r="AJ9527" s="410"/>
    </row>
    <row r="9528" spans="33:36" ht="11.25" customHeight="1" x14ac:dyDescent="0.2">
      <c r="AG9528" s="19"/>
      <c r="AJ9528" s="410"/>
    </row>
    <row r="9529" spans="33:36" ht="11.25" customHeight="1" x14ac:dyDescent="0.2">
      <c r="AG9529" s="19"/>
      <c r="AJ9529" s="410"/>
    </row>
    <row r="9530" spans="33:36" ht="11.25" customHeight="1" x14ac:dyDescent="0.2">
      <c r="AG9530" s="19"/>
      <c r="AJ9530" s="410"/>
    </row>
    <row r="9531" spans="33:36" ht="11.25" customHeight="1" x14ac:dyDescent="0.2">
      <c r="AG9531" s="19"/>
      <c r="AJ9531" s="410"/>
    </row>
    <row r="9532" spans="33:36" ht="11.25" customHeight="1" x14ac:dyDescent="0.2">
      <c r="AG9532" s="19"/>
      <c r="AJ9532" s="410"/>
    </row>
    <row r="9533" spans="33:36" ht="11.25" customHeight="1" x14ac:dyDescent="0.2">
      <c r="AG9533" s="19"/>
      <c r="AJ9533" s="410"/>
    </row>
    <row r="9534" spans="33:36" ht="11.25" customHeight="1" x14ac:dyDescent="0.2">
      <c r="AG9534" s="19"/>
      <c r="AJ9534" s="410"/>
    </row>
    <row r="9535" spans="33:36" ht="11.25" customHeight="1" x14ac:dyDescent="0.2">
      <c r="AG9535" s="19"/>
      <c r="AJ9535" s="410"/>
    </row>
    <row r="9536" spans="33:36" ht="11.25" customHeight="1" x14ac:dyDescent="0.2">
      <c r="AG9536" s="19"/>
      <c r="AJ9536" s="410"/>
    </row>
    <row r="9537" spans="33:36" ht="11.25" customHeight="1" x14ac:dyDescent="0.2">
      <c r="AG9537" s="19"/>
      <c r="AJ9537" s="410"/>
    </row>
    <row r="9538" spans="33:36" ht="11.25" customHeight="1" x14ac:dyDescent="0.2">
      <c r="AG9538" s="19"/>
      <c r="AJ9538" s="410"/>
    </row>
    <row r="9539" spans="33:36" ht="11.25" customHeight="1" x14ac:dyDescent="0.2">
      <c r="AG9539" s="19"/>
      <c r="AJ9539" s="410"/>
    </row>
    <row r="9540" spans="33:36" ht="11.25" customHeight="1" x14ac:dyDescent="0.2">
      <c r="AG9540" s="19"/>
      <c r="AJ9540" s="410"/>
    </row>
    <row r="9541" spans="33:36" ht="11.25" customHeight="1" x14ac:dyDescent="0.2">
      <c r="AG9541" s="19"/>
      <c r="AJ9541" s="410"/>
    </row>
    <row r="9542" spans="33:36" ht="11.25" customHeight="1" x14ac:dyDescent="0.2">
      <c r="AG9542" s="19"/>
      <c r="AJ9542" s="410"/>
    </row>
    <row r="9543" spans="33:36" ht="11.25" customHeight="1" x14ac:dyDescent="0.2">
      <c r="AG9543" s="19"/>
      <c r="AJ9543" s="410"/>
    </row>
    <row r="9544" spans="33:36" ht="11.25" customHeight="1" x14ac:dyDescent="0.2">
      <c r="AG9544" s="19"/>
      <c r="AJ9544" s="410"/>
    </row>
    <row r="9545" spans="33:36" ht="11.25" customHeight="1" x14ac:dyDescent="0.2">
      <c r="AG9545" s="19"/>
      <c r="AJ9545" s="410"/>
    </row>
    <row r="9546" spans="33:36" ht="11.25" customHeight="1" x14ac:dyDescent="0.2">
      <c r="AG9546" s="19"/>
      <c r="AJ9546" s="410"/>
    </row>
    <row r="9547" spans="33:36" ht="11.25" customHeight="1" x14ac:dyDescent="0.2">
      <c r="AG9547" s="19"/>
      <c r="AJ9547" s="410"/>
    </row>
    <row r="9548" spans="33:36" ht="11.25" customHeight="1" x14ac:dyDescent="0.2">
      <c r="AG9548" s="19"/>
      <c r="AJ9548" s="410"/>
    </row>
    <row r="9549" spans="33:36" ht="11.25" customHeight="1" x14ac:dyDescent="0.2">
      <c r="AG9549" s="19"/>
      <c r="AJ9549" s="410"/>
    </row>
    <row r="9550" spans="33:36" ht="11.25" customHeight="1" x14ac:dyDescent="0.2">
      <c r="AG9550" s="19"/>
      <c r="AJ9550" s="410"/>
    </row>
    <row r="9551" spans="33:36" ht="11.25" customHeight="1" x14ac:dyDescent="0.2">
      <c r="AG9551" s="19"/>
      <c r="AJ9551" s="410"/>
    </row>
    <row r="9552" spans="33:36" ht="11.25" customHeight="1" x14ac:dyDescent="0.2">
      <c r="AG9552" s="19"/>
      <c r="AJ9552" s="410"/>
    </row>
    <row r="9553" spans="33:36" ht="11.25" customHeight="1" x14ac:dyDescent="0.2">
      <c r="AG9553" s="19"/>
      <c r="AJ9553" s="410"/>
    </row>
    <row r="9554" spans="33:36" ht="11.25" customHeight="1" x14ac:dyDescent="0.2">
      <c r="AG9554" s="19"/>
      <c r="AJ9554" s="410"/>
    </row>
    <row r="9555" spans="33:36" ht="11.25" customHeight="1" x14ac:dyDescent="0.2">
      <c r="AG9555" s="19"/>
      <c r="AJ9555" s="410"/>
    </row>
    <row r="9556" spans="33:36" ht="11.25" customHeight="1" x14ac:dyDescent="0.2">
      <c r="AG9556" s="19"/>
      <c r="AJ9556" s="410"/>
    </row>
    <row r="9557" spans="33:36" ht="11.25" customHeight="1" x14ac:dyDescent="0.2">
      <c r="AG9557" s="19"/>
      <c r="AJ9557" s="410"/>
    </row>
    <row r="9558" spans="33:36" ht="11.25" customHeight="1" x14ac:dyDescent="0.2">
      <c r="AG9558" s="19"/>
      <c r="AJ9558" s="410"/>
    </row>
    <row r="9559" spans="33:36" ht="11.25" customHeight="1" x14ac:dyDescent="0.2">
      <c r="AG9559" s="19"/>
      <c r="AJ9559" s="410"/>
    </row>
    <row r="9560" spans="33:36" ht="11.25" customHeight="1" x14ac:dyDescent="0.2">
      <c r="AG9560" s="19"/>
      <c r="AJ9560" s="410"/>
    </row>
    <row r="9561" spans="33:36" ht="11.25" customHeight="1" x14ac:dyDescent="0.2">
      <c r="AG9561" s="19"/>
      <c r="AJ9561" s="410"/>
    </row>
    <row r="9562" spans="33:36" ht="11.25" customHeight="1" x14ac:dyDescent="0.2">
      <c r="AG9562" s="19"/>
      <c r="AJ9562" s="410"/>
    </row>
    <row r="9563" spans="33:36" ht="11.25" customHeight="1" x14ac:dyDescent="0.2">
      <c r="AG9563" s="19"/>
      <c r="AJ9563" s="410"/>
    </row>
    <row r="9564" spans="33:36" ht="11.25" customHeight="1" x14ac:dyDescent="0.2">
      <c r="AG9564" s="19"/>
      <c r="AJ9564" s="410"/>
    </row>
    <row r="9565" spans="33:36" ht="11.25" customHeight="1" x14ac:dyDescent="0.2">
      <c r="AG9565" s="19"/>
      <c r="AJ9565" s="410"/>
    </row>
    <row r="9566" spans="33:36" ht="11.25" customHeight="1" x14ac:dyDescent="0.2">
      <c r="AG9566" s="19"/>
      <c r="AJ9566" s="410"/>
    </row>
    <row r="9567" spans="33:36" ht="11.25" customHeight="1" x14ac:dyDescent="0.2">
      <c r="AG9567" s="19"/>
      <c r="AJ9567" s="410"/>
    </row>
    <row r="9568" spans="33:36" ht="11.25" customHeight="1" x14ac:dyDescent="0.2">
      <c r="AG9568" s="19"/>
      <c r="AJ9568" s="410"/>
    </row>
    <row r="9569" spans="33:36" ht="11.25" customHeight="1" x14ac:dyDescent="0.2">
      <c r="AG9569" s="19"/>
      <c r="AJ9569" s="410"/>
    </row>
    <row r="9570" spans="33:36" ht="11.25" customHeight="1" x14ac:dyDescent="0.2">
      <c r="AG9570" s="19"/>
      <c r="AJ9570" s="410"/>
    </row>
    <row r="9571" spans="33:36" ht="11.25" customHeight="1" x14ac:dyDescent="0.2">
      <c r="AG9571" s="19"/>
      <c r="AJ9571" s="410"/>
    </row>
    <row r="9572" spans="33:36" ht="11.25" customHeight="1" x14ac:dyDescent="0.2">
      <c r="AG9572" s="19"/>
      <c r="AJ9572" s="410"/>
    </row>
    <row r="9573" spans="33:36" ht="11.25" customHeight="1" x14ac:dyDescent="0.2">
      <c r="AG9573" s="19"/>
      <c r="AJ9573" s="410"/>
    </row>
    <row r="9574" spans="33:36" ht="11.25" customHeight="1" x14ac:dyDescent="0.2">
      <c r="AG9574" s="19"/>
      <c r="AJ9574" s="410"/>
    </row>
    <row r="9575" spans="33:36" ht="11.25" customHeight="1" x14ac:dyDescent="0.2">
      <c r="AG9575" s="19"/>
      <c r="AJ9575" s="410"/>
    </row>
    <row r="9576" spans="33:36" ht="11.25" customHeight="1" x14ac:dyDescent="0.2">
      <c r="AG9576" s="19"/>
      <c r="AJ9576" s="410"/>
    </row>
    <row r="9577" spans="33:36" ht="11.25" customHeight="1" x14ac:dyDescent="0.2">
      <c r="AG9577" s="19"/>
      <c r="AJ9577" s="410"/>
    </row>
    <row r="9578" spans="33:36" ht="11.25" customHeight="1" x14ac:dyDescent="0.2">
      <c r="AG9578" s="19"/>
      <c r="AJ9578" s="410"/>
    </row>
    <row r="9579" spans="33:36" ht="11.25" customHeight="1" x14ac:dyDescent="0.2">
      <c r="AG9579" s="19"/>
      <c r="AJ9579" s="410"/>
    </row>
    <row r="9580" spans="33:36" ht="11.25" customHeight="1" x14ac:dyDescent="0.2">
      <c r="AG9580" s="19"/>
      <c r="AJ9580" s="410"/>
    </row>
    <row r="9581" spans="33:36" ht="11.25" customHeight="1" x14ac:dyDescent="0.2">
      <c r="AG9581" s="19"/>
      <c r="AJ9581" s="410"/>
    </row>
    <row r="9582" spans="33:36" ht="11.25" customHeight="1" x14ac:dyDescent="0.2">
      <c r="AG9582" s="19"/>
      <c r="AJ9582" s="410"/>
    </row>
    <row r="9583" spans="33:36" ht="11.25" customHeight="1" x14ac:dyDescent="0.2">
      <c r="AG9583" s="19"/>
      <c r="AJ9583" s="410"/>
    </row>
    <row r="9584" spans="33:36" ht="11.25" customHeight="1" x14ac:dyDescent="0.2">
      <c r="AG9584" s="19"/>
      <c r="AJ9584" s="410"/>
    </row>
    <row r="9585" spans="33:36" ht="11.25" customHeight="1" x14ac:dyDescent="0.2">
      <c r="AG9585" s="19"/>
      <c r="AJ9585" s="410"/>
    </row>
    <row r="9586" spans="33:36" ht="11.25" customHeight="1" x14ac:dyDescent="0.2">
      <c r="AG9586" s="19"/>
      <c r="AJ9586" s="410"/>
    </row>
    <row r="9587" spans="33:36" ht="11.25" customHeight="1" x14ac:dyDescent="0.2">
      <c r="AG9587" s="19"/>
      <c r="AJ9587" s="410"/>
    </row>
    <row r="9588" spans="33:36" ht="11.25" customHeight="1" x14ac:dyDescent="0.2">
      <c r="AG9588" s="19"/>
      <c r="AJ9588" s="410"/>
    </row>
    <row r="9589" spans="33:36" ht="11.25" customHeight="1" x14ac:dyDescent="0.2">
      <c r="AG9589" s="19"/>
      <c r="AJ9589" s="410"/>
    </row>
    <row r="9590" spans="33:36" ht="11.25" customHeight="1" x14ac:dyDescent="0.2">
      <c r="AG9590" s="19"/>
      <c r="AJ9590" s="410"/>
    </row>
    <row r="9591" spans="33:36" ht="11.25" customHeight="1" x14ac:dyDescent="0.2">
      <c r="AG9591" s="19"/>
      <c r="AJ9591" s="410"/>
    </row>
    <row r="9592" spans="33:36" ht="11.25" customHeight="1" x14ac:dyDescent="0.2">
      <c r="AG9592" s="19"/>
      <c r="AJ9592" s="410"/>
    </row>
    <row r="9593" spans="33:36" ht="11.25" customHeight="1" x14ac:dyDescent="0.2">
      <c r="AG9593" s="19"/>
      <c r="AJ9593" s="410"/>
    </row>
    <row r="9594" spans="33:36" ht="11.25" customHeight="1" x14ac:dyDescent="0.2">
      <c r="AG9594" s="19"/>
      <c r="AJ9594" s="410"/>
    </row>
    <row r="9595" spans="33:36" ht="11.25" customHeight="1" x14ac:dyDescent="0.2">
      <c r="AG9595" s="19"/>
      <c r="AJ9595" s="410"/>
    </row>
    <row r="9596" spans="33:36" ht="11.25" customHeight="1" x14ac:dyDescent="0.2">
      <c r="AG9596" s="19"/>
      <c r="AJ9596" s="410"/>
    </row>
    <row r="9597" spans="33:36" ht="11.25" customHeight="1" x14ac:dyDescent="0.2">
      <c r="AG9597" s="19"/>
      <c r="AJ9597" s="410"/>
    </row>
    <row r="9598" spans="33:36" ht="11.25" customHeight="1" x14ac:dyDescent="0.2">
      <c r="AG9598" s="19"/>
      <c r="AJ9598" s="410"/>
    </row>
    <row r="9599" spans="33:36" ht="11.25" customHeight="1" x14ac:dyDescent="0.2">
      <c r="AG9599" s="19"/>
      <c r="AJ9599" s="410"/>
    </row>
    <row r="9600" spans="33:36" ht="11.25" customHeight="1" x14ac:dyDescent="0.2">
      <c r="AG9600" s="19"/>
      <c r="AJ9600" s="410"/>
    </row>
    <row r="9601" spans="33:36" ht="11.25" customHeight="1" x14ac:dyDescent="0.2">
      <c r="AG9601" s="19"/>
      <c r="AJ9601" s="410"/>
    </row>
    <row r="9602" spans="33:36" ht="11.25" customHeight="1" x14ac:dyDescent="0.2">
      <c r="AG9602" s="19"/>
      <c r="AJ9602" s="410"/>
    </row>
    <row r="9603" spans="33:36" ht="11.25" customHeight="1" x14ac:dyDescent="0.2">
      <c r="AG9603" s="19"/>
      <c r="AJ9603" s="410"/>
    </row>
    <row r="9604" spans="33:36" ht="11.25" customHeight="1" x14ac:dyDescent="0.2">
      <c r="AG9604" s="19"/>
      <c r="AJ9604" s="410"/>
    </row>
    <row r="9605" spans="33:36" ht="11.25" customHeight="1" x14ac:dyDescent="0.2">
      <c r="AG9605" s="19"/>
      <c r="AJ9605" s="410"/>
    </row>
    <row r="9606" spans="33:36" ht="11.25" customHeight="1" x14ac:dyDescent="0.2">
      <c r="AG9606" s="19"/>
      <c r="AJ9606" s="410"/>
    </row>
    <row r="9607" spans="33:36" ht="11.25" customHeight="1" x14ac:dyDescent="0.2">
      <c r="AG9607" s="19"/>
      <c r="AJ9607" s="410"/>
    </row>
    <row r="9608" spans="33:36" ht="11.25" customHeight="1" x14ac:dyDescent="0.2">
      <c r="AG9608" s="19"/>
      <c r="AJ9608" s="410"/>
    </row>
    <row r="9609" spans="33:36" ht="11.25" customHeight="1" x14ac:dyDescent="0.2">
      <c r="AG9609" s="19"/>
      <c r="AJ9609" s="410"/>
    </row>
    <row r="9610" spans="33:36" ht="11.25" customHeight="1" x14ac:dyDescent="0.2">
      <c r="AG9610" s="19"/>
      <c r="AJ9610" s="410"/>
    </row>
    <row r="9611" spans="33:36" ht="11.25" customHeight="1" x14ac:dyDescent="0.2">
      <c r="AG9611" s="19"/>
      <c r="AJ9611" s="410"/>
    </row>
    <row r="9612" spans="33:36" ht="11.25" customHeight="1" x14ac:dyDescent="0.2">
      <c r="AG9612" s="19"/>
      <c r="AJ9612" s="410"/>
    </row>
    <row r="9613" spans="33:36" ht="11.25" customHeight="1" x14ac:dyDescent="0.2">
      <c r="AG9613" s="19"/>
      <c r="AJ9613" s="410"/>
    </row>
    <row r="9614" spans="33:36" ht="11.25" customHeight="1" x14ac:dyDescent="0.2">
      <c r="AG9614" s="19"/>
      <c r="AJ9614" s="410"/>
    </row>
    <row r="9615" spans="33:36" ht="11.25" customHeight="1" x14ac:dyDescent="0.2">
      <c r="AG9615" s="19"/>
      <c r="AJ9615" s="410"/>
    </row>
    <row r="9616" spans="33:36" ht="11.25" customHeight="1" x14ac:dyDescent="0.2">
      <c r="AG9616" s="19"/>
      <c r="AJ9616" s="410"/>
    </row>
    <row r="9617" spans="33:36" ht="11.25" customHeight="1" x14ac:dyDescent="0.2">
      <c r="AG9617" s="19"/>
      <c r="AJ9617" s="410"/>
    </row>
    <row r="9618" spans="33:36" ht="11.25" customHeight="1" x14ac:dyDescent="0.2">
      <c r="AG9618" s="19"/>
      <c r="AJ9618" s="410"/>
    </row>
    <row r="9619" spans="33:36" ht="11.25" customHeight="1" x14ac:dyDescent="0.2">
      <c r="AG9619" s="19"/>
      <c r="AJ9619" s="410"/>
    </row>
    <row r="9620" spans="33:36" ht="11.25" customHeight="1" x14ac:dyDescent="0.2">
      <c r="AG9620" s="19"/>
      <c r="AJ9620" s="410"/>
    </row>
    <row r="9621" spans="33:36" ht="11.25" customHeight="1" x14ac:dyDescent="0.2">
      <c r="AG9621" s="19"/>
      <c r="AJ9621" s="410"/>
    </row>
    <row r="9622" spans="33:36" ht="11.25" customHeight="1" x14ac:dyDescent="0.2">
      <c r="AG9622" s="19"/>
      <c r="AJ9622" s="410"/>
    </row>
    <row r="9623" spans="33:36" ht="11.25" customHeight="1" x14ac:dyDescent="0.2">
      <c r="AG9623" s="19"/>
      <c r="AJ9623" s="410"/>
    </row>
    <row r="9624" spans="33:36" ht="11.25" customHeight="1" x14ac:dyDescent="0.2">
      <c r="AG9624" s="19"/>
      <c r="AJ9624" s="410"/>
    </row>
    <row r="9625" spans="33:36" ht="11.25" customHeight="1" x14ac:dyDescent="0.2">
      <c r="AG9625" s="19"/>
      <c r="AJ9625" s="410"/>
    </row>
    <row r="9626" spans="33:36" ht="11.25" customHeight="1" x14ac:dyDescent="0.2">
      <c r="AG9626" s="19"/>
      <c r="AJ9626" s="410"/>
    </row>
    <row r="9627" spans="33:36" ht="11.25" customHeight="1" x14ac:dyDescent="0.2">
      <c r="AG9627" s="19"/>
      <c r="AJ9627" s="410"/>
    </row>
    <row r="9628" spans="33:36" ht="11.25" customHeight="1" x14ac:dyDescent="0.2">
      <c r="AG9628" s="19"/>
      <c r="AJ9628" s="410"/>
    </row>
    <row r="9629" spans="33:36" ht="11.25" customHeight="1" x14ac:dyDescent="0.2">
      <c r="AG9629" s="19"/>
      <c r="AJ9629" s="410"/>
    </row>
    <row r="9630" spans="33:36" ht="11.25" customHeight="1" x14ac:dyDescent="0.2">
      <c r="AG9630" s="19"/>
      <c r="AJ9630" s="410"/>
    </row>
    <row r="9631" spans="33:36" ht="11.25" customHeight="1" x14ac:dyDescent="0.2">
      <c r="AG9631" s="19"/>
      <c r="AJ9631" s="410"/>
    </row>
    <row r="9632" spans="33:36" ht="11.25" customHeight="1" x14ac:dyDescent="0.2">
      <c r="AG9632" s="19"/>
      <c r="AJ9632" s="410"/>
    </row>
    <row r="9633" spans="33:36" ht="11.25" customHeight="1" x14ac:dyDescent="0.2">
      <c r="AG9633" s="19"/>
      <c r="AJ9633" s="410"/>
    </row>
    <row r="9634" spans="33:36" ht="11.25" customHeight="1" x14ac:dyDescent="0.2">
      <c r="AG9634" s="19"/>
      <c r="AJ9634" s="410"/>
    </row>
    <row r="9635" spans="33:36" ht="11.25" customHeight="1" x14ac:dyDescent="0.2">
      <c r="AG9635" s="19"/>
      <c r="AJ9635" s="410"/>
    </row>
    <row r="9636" spans="33:36" ht="11.25" customHeight="1" x14ac:dyDescent="0.2">
      <c r="AG9636" s="19"/>
      <c r="AJ9636" s="410"/>
    </row>
    <row r="9637" spans="33:36" ht="11.25" customHeight="1" x14ac:dyDescent="0.2">
      <c r="AG9637" s="19"/>
      <c r="AJ9637" s="410"/>
    </row>
    <row r="9638" spans="33:36" ht="11.25" customHeight="1" x14ac:dyDescent="0.2">
      <c r="AG9638" s="19"/>
      <c r="AJ9638" s="410"/>
    </row>
    <row r="9639" spans="33:36" ht="11.25" customHeight="1" x14ac:dyDescent="0.2">
      <c r="AG9639" s="19"/>
      <c r="AJ9639" s="410"/>
    </row>
    <row r="9640" spans="33:36" ht="11.25" customHeight="1" x14ac:dyDescent="0.2">
      <c r="AG9640" s="19"/>
      <c r="AJ9640" s="410"/>
    </row>
    <row r="9641" spans="33:36" ht="11.25" customHeight="1" x14ac:dyDescent="0.2">
      <c r="AG9641" s="19"/>
      <c r="AJ9641" s="410"/>
    </row>
    <row r="9642" spans="33:36" ht="11.25" customHeight="1" x14ac:dyDescent="0.2">
      <c r="AG9642" s="19"/>
      <c r="AJ9642" s="410"/>
    </row>
    <row r="9643" spans="33:36" ht="11.25" customHeight="1" x14ac:dyDescent="0.2">
      <c r="AG9643" s="19"/>
      <c r="AJ9643" s="410"/>
    </row>
    <row r="9644" spans="33:36" ht="11.25" customHeight="1" x14ac:dyDescent="0.2">
      <c r="AG9644" s="19"/>
      <c r="AJ9644" s="410"/>
    </row>
    <row r="9645" spans="33:36" ht="11.25" customHeight="1" x14ac:dyDescent="0.2">
      <c r="AG9645" s="19"/>
      <c r="AJ9645" s="410"/>
    </row>
    <row r="9646" spans="33:36" ht="11.25" customHeight="1" x14ac:dyDescent="0.2">
      <c r="AG9646" s="19"/>
      <c r="AJ9646" s="410"/>
    </row>
    <row r="9647" spans="33:36" ht="11.25" customHeight="1" x14ac:dyDescent="0.2">
      <c r="AG9647" s="19"/>
      <c r="AJ9647" s="410"/>
    </row>
    <row r="9648" spans="33:36" ht="11.25" customHeight="1" x14ac:dyDescent="0.2">
      <c r="AG9648" s="19"/>
      <c r="AJ9648" s="410"/>
    </row>
    <row r="9649" spans="33:36" ht="11.25" customHeight="1" x14ac:dyDescent="0.2">
      <c r="AG9649" s="19"/>
      <c r="AJ9649" s="410"/>
    </row>
    <row r="9650" spans="33:36" ht="11.25" customHeight="1" x14ac:dyDescent="0.2">
      <c r="AG9650" s="19"/>
      <c r="AJ9650" s="410"/>
    </row>
    <row r="9651" spans="33:36" ht="11.25" customHeight="1" x14ac:dyDescent="0.2">
      <c r="AG9651" s="19"/>
      <c r="AJ9651" s="410"/>
    </row>
    <row r="9652" spans="33:36" ht="11.25" customHeight="1" x14ac:dyDescent="0.2">
      <c r="AG9652" s="19"/>
      <c r="AJ9652" s="410"/>
    </row>
    <row r="9653" spans="33:36" ht="11.25" customHeight="1" x14ac:dyDescent="0.2">
      <c r="AG9653" s="19"/>
      <c r="AJ9653" s="410"/>
    </row>
    <row r="9654" spans="33:36" ht="11.25" customHeight="1" x14ac:dyDescent="0.2">
      <c r="AG9654" s="19"/>
      <c r="AJ9654" s="410"/>
    </row>
    <row r="9655" spans="33:36" ht="11.25" customHeight="1" x14ac:dyDescent="0.2">
      <c r="AG9655" s="19"/>
      <c r="AJ9655" s="410"/>
    </row>
    <row r="9656" spans="33:36" ht="11.25" customHeight="1" x14ac:dyDescent="0.2">
      <c r="AG9656" s="19"/>
      <c r="AJ9656" s="410"/>
    </row>
    <row r="9657" spans="33:36" ht="11.25" customHeight="1" x14ac:dyDescent="0.2">
      <c r="AG9657" s="19"/>
      <c r="AJ9657" s="410"/>
    </row>
    <row r="9658" spans="33:36" ht="11.25" customHeight="1" x14ac:dyDescent="0.2">
      <c r="AG9658" s="19"/>
      <c r="AJ9658" s="410"/>
    </row>
    <row r="9659" spans="33:36" ht="11.25" customHeight="1" x14ac:dyDescent="0.2">
      <c r="AG9659" s="19"/>
      <c r="AJ9659" s="410"/>
    </row>
    <row r="9660" spans="33:36" ht="11.25" customHeight="1" x14ac:dyDescent="0.2">
      <c r="AG9660" s="19"/>
      <c r="AJ9660" s="410"/>
    </row>
    <row r="9661" spans="33:36" ht="11.25" customHeight="1" x14ac:dyDescent="0.2">
      <c r="AG9661" s="19"/>
      <c r="AJ9661" s="410"/>
    </row>
    <row r="9662" spans="33:36" ht="11.25" customHeight="1" x14ac:dyDescent="0.2">
      <c r="AG9662" s="19"/>
      <c r="AJ9662" s="410"/>
    </row>
    <row r="9663" spans="33:36" ht="11.25" customHeight="1" x14ac:dyDescent="0.2">
      <c r="AG9663" s="19"/>
      <c r="AJ9663" s="410"/>
    </row>
    <row r="9664" spans="33:36" ht="11.25" customHeight="1" x14ac:dyDescent="0.2">
      <c r="AG9664" s="19"/>
      <c r="AJ9664" s="410"/>
    </row>
    <row r="9665" spans="33:36" ht="11.25" customHeight="1" x14ac:dyDescent="0.2">
      <c r="AG9665" s="19"/>
      <c r="AJ9665" s="410"/>
    </row>
    <row r="9666" spans="33:36" ht="11.25" customHeight="1" x14ac:dyDescent="0.2">
      <c r="AG9666" s="19"/>
      <c r="AJ9666" s="410"/>
    </row>
    <row r="9667" spans="33:36" ht="11.25" customHeight="1" x14ac:dyDescent="0.2">
      <c r="AG9667" s="19"/>
      <c r="AJ9667" s="410"/>
    </row>
    <row r="9668" spans="33:36" ht="11.25" customHeight="1" x14ac:dyDescent="0.2">
      <c r="AG9668" s="19"/>
      <c r="AJ9668" s="410"/>
    </row>
    <row r="9669" spans="33:36" ht="11.25" customHeight="1" x14ac:dyDescent="0.2">
      <c r="AG9669" s="19"/>
      <c r="AJ9669" s="410"/>
    </row>
    <row r="9670" spans="33:36" ht="11.25" customHeight="1" x14ac:dyDescent="0.2">
      <c r="AG9670" s="19"/>
      <c r="AJ9670" s="410"/>
    </row>
    <row r="9671" spans="33:36" ht="11.25" customHeight="1" x14ac:dyDescent="0.2">
      <c r="AG9671" s="19"/>
      <c r="AJ9671" s="410"/>
    </row>
    <row r="9672" spans="33:36" ht="11.25" customHeight="1" x14ac:dyDescent="0.2">
      <c r="AG9672" s="19"/>
      <c r="AJ9672" s="410"/>
    </row>
    <row r="9673" spans="33:36" ht="11.25" customHeight="1" x14ac:dyDescent="0.2">
      <c r="AG9673" s="19"/>
      <c r="AJ9673" s="410"/>
    </row>
    <row r="9674" spans="33:36" ht="11.25" customHeight="1" x14ac:dyDescent="0.2">
      <c r="AG9674" s="19"/>
      <c r="AJ9674" s="410"/>
    </row>
    <row r="9675" spans="33:36" ht="11.25" customHeight="1" x14ac:dyDescent="0.2">
      <c r="AG9675" s="19"/>
      <c r="AJ9675" s="410"/>
    </row>
    <row r="9676" spans="33:36" ht="11.25" customHeight="1" x14ac:dyDescent="0.2">
      <c r="AG9676" s="19"/>
      <c r="AJ9676" s="410"/>
    </row>
    <row r="9677" spans="33:36" ht="11.25" customHeight="1" x14ac:dyDescent="0.2">
      <c r="AG9677" s="19"/>
      <c r="AJ9677" s="410"/>
    </row>
    <row r="9678" spans="33:36" ht="11.25" customHeight="1" x14ac:dyDescent="0.2">
      <c r="AG9678" s="19"/>
      <c r="AJ9678" s="410"/>
    </row>
    <row r="9679" spans="33:36" ht="11.25" customHeight="1" x14ac:dyDescent="0.2">
      <c r="AG9679" s="19"/>
      <c r="AJ9679" s="410"/>
    </row>
    <row r="9680" spans="33:36" ht="11.25" customHeight="1" x14ac:dyDescent="0.2">
      <c r="AG9680" s="19"/>
      <c r="AJ9680" s="410"/>
    </row>
    <row r="9681" spans="33:36" ht="11.25" customHeight="1" x14ac:dyDescent="0.2">
      <c r="AG9681" s="19"/>
      <c r="AJ9681" s="410"/>
    </row>
    <row r="9682" spans="33:36" ht="11.25" customHeight="1" x14ac:dyDescent="0.2">
      <c r="AG9682" s="19"/>
      <c r="AJ9682" s="410"/>
    </row>
    <row r="9683" spans="33:36" ht="11.25" customHeight="1" x14ac:dyDescent="0.2">
      <c r="AG9683" s="19"/>
      <c r="AJ9683" s="410"/>
    </row>
    <row r="9684" spans="33:36" ht="11.25" customHeight="1" x14ac:dyDescent="0.2">
      <c r="AG9684" s="19"/>
      <c r="AJ9684" s="410"/>
    </row>
    <row r="9685" spans="33:36" ht="11.25" customHeight="1" x14ac:dyDescent="0.2">
      <c r="AG9685" s="19"/>
      <c r="AJ9685" s="410"/>
    </row>
    <row r="9686" spans="33:36" ht="11.25" customHeight="1" x14ac:dyDescent="0.2">
      <c r="AG9686" s="19"/>
      <c r="AJ9686" s="410"/>
    </row>
    <row r="9687" spans="33:36" ht="11.25" customHeight="1" x14ac:dyDescent="0.2">
      <c r="AG9687" s="19"/>
      <c r="AJ9687" s="410"/>
    </row>
    <row r="9688" spans="33:36" ht="11.25" customHeight="1" x14ac:dyDescent="0.2">
      <c r="AG9688" s="19"/>
      <c r="AJ9688" s="410"/>
    </row>
    <row r="9689" spans="33:36" ht="11.25" customHeight="1" x14ac:dyDescent="0.2">
      <c r="AG9689" s="19"/>
      <c r="AJ9689" s="410"/>
    </row>
    <row r="9690" spans="33:36" ht="11.25" customHeight="1" x14ac:dyDescent="0.2">
      <c r="AG9690" s="19"/>
      <c r="AJ9690" s="410"/>
    </row>
    <row r="9691" spans="33:36" ht="11.25" customHeight="1" x14ac:dyDescent="0.2">
      <c r="AG9691" s="19"/>
      <c r="AJ9691" s="410"/>
    </row>
    <row r="9692" spans="33:36" ht="11.25" customHeight="1" x14ac:dyDescent="0.2">
      <c r="AG9692" s="19"/>
      <c r="AJ9692" s="410"/>
    </row>
    <row r="9693" spans="33:36" ht="11.25" customHeight="1" x14ac:dyDescent="0.2">
      <c r="AG9693" s="19"/>
      <c r="AJ9693" s="410"/>
    </row>
    <row r="9694" spans="33:36" ht="11.25" customHeight="1" x14ac:dyDescent="0.2">
      <c r="AG9694" s="19"/>
      <c r="AJ9694" s="410"/>
    </row>
    <row r="9695" spans="33:36" ht="11.25" customHeight="1" x14ac:dyDescent="0.2">
      <c r="AG9695" s="19"/>
      <c r="AJ9695" s="410"/>
    </row>
    <row r="9696" spans="33:36" ht="11.25" customHeight="1" x14ac:dyDescent="0.2">
      <c r="AG9696" s="19"/>
      <c r="AJ9696" s="410"/>
    </row>
    <row r="9697" spans="33:36" ht="11.25" customHeight="1" x14ac:dyDescent="0.2">
      <c r="AG9697" s="19"/>
      <c r="AJ9697" s="410"/>
    </row>
    <row r="9698" spans="33:36" ht="11.25" customHeight="1" x14ac:dyDescent="0.2">
      <c r="AG9698" s="19"/>
      <c r="AJ9698" s="410"/>
    </row>
    <row r="9699" spans="33:36" ht="11.25" customHeight="1" x14ac:dyDescent="0.2">
      <c r="AG9699" s="19"/>
      <c r="AJ9699" s="410"/>
    </row>
    <row r="9700" spans="33:36" ht="11.25" customHeight="1" x14ac:dyDescent="0.2">
      <c r="AG9700" s="19"/>
      <c r="AJ9700" s="410"/>
    </row>
    <row r="9701" spans="33:36" ht="11.25" customHeight="1" x14ac:dyDescent="0.2">
      <c r="AG9701" s="19"/>
      <c r="AJ9701" s="410"/>
    </row>
    <row r="9702" spans="33:36" ht="11.25" customHeight="1" x14ac:dyDescent="0.2">
      <c r="AG9702" s="19"/>
      <c r="AJ9702" s="410"/>
    </row>
    <row r="9703" spans="33:36" ht="11.25" customHeight="1" x14ac:dyDescent="0.2">
      <c r="AG9703" s="19"/>
      <c r="AJ9703" s="410"/>
    </row>
    <row r="9704" spans="33:36" ht="11.25" customHeight="1" x14ac:dyDescent="0.2">
      <c r="AG9704" s="19"/>
      <c r="AJ9704" s="410"/>
    </row>
    <row r="9705" spans="33:36" ht="11.25" customHeight="1" x14ac:dyDescent="0.2">
      <c r="AG9705" s="19"/>
      <c r="AJ9705" s="410"/>
    </row>
    <row r="9706" spans="33:36" ht="11.25" customHeight="1" x14ac:dyDescent="0.2">
      <c r="AG9706" s="19"/>
      <c r="AJ9706" s="410"/>
    </row>
    <row r="9707" spans="33:36" ht="11.25" customHeight="1" x14ac:dyDescent="0.2">
      <c r="AG9707" s="19"/>
      <c r="AJ9707" s="410"/>
    </row>
    <row r="9708" spans="33:36" ht="11.25" customHeight="1" x14ac:dyDescent="0.2">
      <c r="AG9708" s="19"/>
      <c r="AJ9708" s="410"/>
    </row>
    <row r="9709" spans="33:36" ht="11.25" customHeight="1" x14ac:dyDescent="0.2">
      <c r="AG9709" s="19"/>
      <c r="AJ9709" s="410"/>
    </row>
    <row r="9710" spans="33:36" ht="11.25" customHeight="1" x14ac:dyDescent="0.2">
      <c r="AG9710" s="19"/>
      <c r="AJ9710" s="410"/>
    </row>
    <row r="9711" spans="33:36" ht="11.25" customHeight="1" x14ac:dyDescent="0.2">
      <c r="AG9711" s="19"/>
      <c r="AJ9711" s="410"/>
    </row>
    <row r="9712" spans="33:36" ht="11.25" customHeight="1" x14ac:dyDescent="0.2">
      <c r="AG9712" s="19"/>
      <c r="AJ9712" s="410"/>
    </row>
    <row r="9713" spans="33:36" ht="11.25" customHeight="1" x14ac:dyDescent="0.2">
      <c r="AG9713" s="19"/>
      <c r="AJ9713" s="410"/>
    </row>
    <row r="9714" spans="33:36" ht="11.25" customHeight="1" x14ac:dyDescent="0.2">
      <c r="AG9714" s="19"/>
      <c r="AJ9714" s="410"/>
    </row>
    <row r="9715" spans="33:36" ht="11.25" customHeight="1" x14ac:dyDescent="0.2">
      <c r="AG9715" s="19"/>
      <c r="AJ9715" s="410"/>
    </row>
    <row r="9716" spans="33:36" ht="11.25" customHeight="1" x14ac:dyDescent="0.2">
      <c r="AG9716" s="19"/>
      <c r="AJ9716" s="410"/>
    </row>
    <row r="9717" spans="33:36" ht="11.25" customHeight="1" x14ac:dyDescent="0.2">
      <c r="AG9717" s="19"/>
      <c r="AJ9717" s="410"/>
    </row>
    <row r="9718" spans="33:36" ht="11.25" customHeight="1" x14ac:dyDescent="0.2">
      <c r="AG9718" s="19"/>
      <c r="AJ9718" s="410"/>
    </row>
    <row r="9719" spans="33:36" ht="11.25" customHeight="1" x14ac:dyDescent="0.2">
      <c r="AG9719" s="19"/>
      <c r="AJ9719" s="410"/>
    </row>
    <row r="9720" spans="33:36" ht="11.25" customHeight="1" x14ac:dyDescent="0.2">
      <c r="AG9720" s="19"/>
      <c r="AJ9720" s="410"/>
    </row>
    <row r="9721" spans="33:36" ht="11.25" customHeight="1" x14ac:dyDescent="0.2">
      <c r="AG9721" s="19"/>
      <c r="AJ9721" s="410"/>
    </row>
    <row r="9722" spans="33:36" ht="11.25" customHeight="1" x14ac:dyDescent="0.2">
      <c r="AG9722" s="19"/>
      <c r="AJ9722" s="410"/>
    </row>
    <row r="9723" spans="33:36" ht="11.25" customHeight="1" x14ac:dyDescent="0.2">
      <c r="AG9723" s="19"/>
      <c r="AJ9723" s="410"/>
    </row>
    <row r="9724" spans="33:36" ht="11.25" customHeight="1" x14ac:dyDescent="0.2">
      <c r="AG9724" s="19"/>
      <c r="AJ9724" s="410"/>
    </row>
    <row r="9725" spans="33:36" ht="11.25" customHeight="1" x14ac:dyDescent="0.2">
      <c r="AG9725" s="19"/>
      <c r="AJ9725" s="410"/>
    </row>
    <row r="9726" spans="33:36" ht="11.25" customHeight="1" x14ac:dyDescent="0.2">
      <c r="AG9726" s="19"/>
      <c r="AJ9726" s="410"/>
    </row>
    <row r="9727" spans="33:36" ht="11.25" customHeight="1" x14ac:dyDescent="0.2">
      <c r="AG9727" s="19"/>
      <c r="AJ9727" s="410"/>
    </row>
    <row r="9728" spans="33:36" ht="11.25" customHeight="1" x14ac:dyDescent="0.2">
      <c r="AG9728" s="19"/>
      <c r="AJ9728" s="410"/>
    </row>
    <row r="9729" spans="33:36" ht="11.25" customHeight="1" x14ac:dyDescent="0.2">
      <c r="AG9729" s="19"/>
      <c r="AJ9729" s="410"/>
    </row>
    <row r="9730" spans="33:36" ht="11.25" customHeight="1" x14ac:dyDescent="0.2">
      <c r="AG9730" s="19"/>
      <c r="AJ9730" s="410"/>
    </row>
    <row r="9731" spans="33:36" ht="11.25" customHeight="1" x14ac:dyDescent="0.2">
      <c r="AG9731" s="19"/>
      <c r="AJ9731" s="410"/>
    </row>
    <row r="9732" spans="33:36" ht="11.25" customHeight="1" x14ac:dyDescent="0.2">
      <c r="AG9732" s="19"/>
      <c r="AJ9732" s="410"/>
    </row>
    <row r="9733" spans="33:36" ht="11.25" customHeight="1" x14ac:dyDescent="0.2">
      <c r="AG9733" s="19"/>
      <c r="AJ9733" s="410"/>
    </row>
    <row r="9734" spans="33:36" ht="11.25" customHeight="1" x14ac:dyDescent="0.2">
      <c r="AG9734" s="19"/>
      <c r="AJ9734" s="410"/>
    </row>
    <row r="9735" spans="33:36" ht="11.25" customHeight="1" x14ac:dyDescent="0.2">
      <c r="AG9735" s="19"/>
      <c r="AJ9735" s="410"/>
    </row>
    <row r="9736" spans="33:36" ht="11.25" customHeight="1" x14ac:dyDescent="0.2">
      <c r="AG9736" s="19"/>
      <c r="AJ9736" s="410"/>
    </row>
    <row r="9737" spans="33:36" ht="11.25" customHeight="1" x14ac:dyDescent="0.2">
      <c r="AG9737" s="19"/>
      <c r="AJ9737" s="410"/>
    </row>
    <row r="9738" spans="33:36" ht="11.25" customHeight="1" x14ac:dyDescent="0.2">
      <c r="AG9738" s="19"/>
      <c r="AJ9738" s="410"/>
    </row>
    <row r="9739" spans="33:36" ht="11.25" customHeight="1" x14ac:dyDescent="0.2">
      <c r="AG9739" s="19"/>
      <c r="AJ9739" s="410"/>
    </row>
    <row r="9740" spans="33:36" ht="11.25" customHeight="1" x14ac:dyDescent="0.2">
      <c r="AG9740" s="19"/>
      <c r="AJ9740" s="410"/>
    </row>
    <row r="9741" spans="33:36" ht="11.25" customHeight="1" x14ac:dyDescent="0.2">
      <c r="AG9741" s="19"/>
      <c r="AJ9741" s="410"/>
    </row>
    <row r="9742" spans="33:36" ht="11.25" customHeight="1" x14ac:dyDescent="0.2">
      <c r="AG9742" s="19"/>
      <c r="AJ9742" s="410"/>
    </row>
    <row r="9743" spans="33:36" ht="11.25" customHeight="1" x14ac:dyDescent="0.2">
      <c r="AG9743" s="19"/>
      <c r="AJ9743" s="410"/>
    </row>
    <row r="9744" spans="33:36" ht="11.25" customHeight="1" x14ac:dyDescent="0.2">
      <c r="AG9744" s="19"/>
      <c r="AJ9744" s="410"/>
    </row>
    <row r="9745" spans="33:36" ht="11.25" customHeight="1" x14ac:dyDescent="0.2">
      <c r="AG9745" s="19"/>
      <c r="AJ9745" s="410"/>
    </row>
    <row r="9746" spans="33:36" ht="11.25" customHeight="1" x14ac:dyDescent="0.2">
      <c r="AG9746" s="19"/>
      <c r="AJ9746" s="410"/>
    </row>
    <row r="9747" spans="33:36" ht="11.25" customHeight="1" x14ac:dyDescent="0.2">
      <c r="AG9747" s="19"/>
      <c r="AJ9747" s="410"/>
    </row>
    <row r="9748" spans="33:36" ht="11.25" customHeight="1" x14ac:dyDescent="0.2">
      <c r="AG9748" s="19"/>
      <c r="AJ9748" s="410"/>
    </row>
    <row r="9749" spans="33:36" ht="11.25" customHeight="1" x14ac:dyDescent="0.2">
      <c r="AG9749" s="19"/>
      <c r="AJ9749" s="410"/>
    </row>
    <row r="9750" spans="33:36" ht="11.25" customHeight="1" x14ac:dyDescent="0.2">
      <c r="AG9750" s="19"/>
      <c r="AJ9750" s="410"/>
    </row>
    <row r="9751" spans="33:36" ht="11.25" customHeight="1" x14ac:dyDescent="0.2">
      <c r="AG9751" s="19"/>
      <c r="AJ9751" s="410"/>
    </row>
    <row r="9752" spans="33:36" ht="11.25" customHeight="1" x14ac:dyDescent="0.2">
      <c r="AG9752" s="19"/>
      <c r="AJ9752" s="410"/>
    </row>
    <row r="9753" spans="33:36" ht="11.25" customHeight="1" x14ac:dyDescent="0.2">
      <c r="AG9753" s="19"/>
      <c r="AJ9753" s="410"/>
    </row>
    <row r="9754" spans="33:36" ht="11.25" customHeight="1" x14ac:dyDescent="0.2">
      <c r="AG9754" s="19"/>
      <c r="AJ9754" s="410"/>
    </row>
    <row r="9755" spans="33:36" ht="11.25" customHeight="1" x14ac:dyDescent="0.2">
      <c r="AG9755" s="19"/>
      <c r="AJ9755" s="410"/>
    </row>
    <row r="9756" spans="33:36" ht="11.25" customHeight="1" x14ac:dyDescent="0.2">
      <c r="AG9756" s="19"/>
      <c r="AJ9756" s="410"/>
    </row>
    <row r="9757" spans="33:36" ht="11.25" customHeight="1" x14ac:dyDescent="0.2">
      <c r="AG9757" s="19"/>
      <c r="AJ9757" s="410"/>
    </row>
    <row r="9758" spans="33:36" ht="11.25" customHeight="1" x14ac:dyDescent="0.2">
      <c r="AG9758" s="19"/>
      <c r="AJ9758" s="410"/>
    </row>
    <row r="9759" spans="33:36" ht="11.25" customHeight="1" x14ac:dyDescent="0.2">
      <c r="AG9759" s="19"/>
      <c r="AJ9759" s="410"/>
    </row>
    <row r="9760" spans="33:36" ht="11.25" customHeight="1" x14ac:dyDescent="0.2">
      <c r="AG9760" s="19"/>
      <c r="AJ9760" s="410"/>
    </row>
    <row r="9761" spans="33:36" ht="11.25" customHeight="1" x14ac:dyDescent="0.2">
      <c r="AG9761" s="19"/>
      <c r="AJ9761" s="410"/>
    </row>
    <row r="9762" spans="33:36" ht="11.25" customHeight="1" x14ac:dyDescent="0.2">
      <c r="AG9762" s="19"/>
      <c r="AJ9762" s="410"/>
    </row>
    <row r="9763" spans="33:36" ht="11.25" customHeight="1" x14ac:dyDescent="0.2">
      <c r="AG9763" s="19"/>
      <c r="AJ9763" s="410"/>
    </row>
    <row r="9764" spans="33:36" ht="11.25" customHeight="1" x14ac:dyDescent="0.2">
      <c r="AG9764" s="19"/>
      <c r="AJ9764" s="410"/>
    </row>
    <row r="9765" spans="33:36" ht="11.25" customHeight="1" x14ac:dyDescent="0.2">
      <c r="AG9765" s="19"/>
      <c r="AJ9765" s="410"/>
    </row>
    <row r="9766" spans="33:36" ht="11.25" customHeight="1" x14ac:dyDescent="0.2">
      <c r="AG9766" s="19"/>
      <c r="AJ9766" s="410"/>
    </row>
    <row r="9767" spans="33:36" ht="11.25" customHeight="1" x14ac:dyDescent="0.2">
      <c r="AG9767" s="19"/>
      <c r="AJ9767" s="410"/>
    </row>
    <row r="9768" spans="33:36" ht="11.25" customHeight="1" x14ac:dyDescent="0.2">
      <c r="AG9768" s="19"/>
      <c r="AJ9768" s="410"/>
    </row>
    <row r="9769" spans="33:36" ht="11.25" customHeight="1" x14ac:dyDescent="0.2">
      <c r="AG9769" s="19"/>
      <c r="AJ9769" s="410"/>
    </row>
    <row r="9770" spans="33:36" ht="11.25" customHeight="1" x14ac:dyDescent="0.2">
      <c r="AG9770" s="19"/>
      <c r="AJ9770" s="410"/>
    </row>
    <row r="9771" spans="33:36" ht="11.25" customHeight="1" x14ac:dyDescent="0.2">
      <c r="AG9771" s="19"/>
      <c r="AJ9771" s="410"/>
    </row>
    <row r="9772" spans="33:36" ht="11.25" customHeight="1" x14ac:dyDescent="0.2">
      <c r="AG9772" s="19"/>
      <c r="AJ9772" s="410"/>
    </row>
    <row r="9773" spans="33:36" ht="11.25" customHeight="1" x14ac:dyDescent="0.2">
      <c r="AG9773" s="19"/>
      <c r="AJ9773" s="410"/>
    </row>
    <row r="9774" spans="33:36" ht="11.25" customHeight="1" x14ac:dyDescent="0.2">
      <c r="AG9774" s="19"/>
      <c r="AJ9774" s="410"/>
    </row>
    <row r="9775" spans="33:36" ht="11.25" customHeight="1" x14ac:dyDescent="0.2">
      <c r="AG9775" s="19"/>
      <c r="AJ9775" s="410"/>
    </row>
    <row r="9776" spans="33:36" ht="11.25" customHeight="1" x14ac:dyDescent="0.2">
      <c r="AG9776" s="19"/>
      <c r="AJ9776" s="410"/>
    </row>
    <row r="9777" spans="33:36" ht="11.25" customHeight="1" x14ac:dyDescent="0.2">
      <c r="AG9777" s="19"/>
      <c r="AJ9777" s="410"/>
    </row>
    <row r="9778" spans="33:36" ht="11.25" customHeight="1" x14ac:dyDescent="0.2">
      <c r="AG9778" s="19"/>
      <c r="AJ9778" s="410"/>
    </row>
    <row r="9779" spans="33:36" ht="11.25" customHeight="1" x14ac:dyDescent="0.2">
      <c r="AG9779" s="19"/>
      <c r="AJ9779" s="410"/>
    </row>
    <row r="9780" spans="33:36" ht="11.25" customHeight="1" x14ac:dyDescent="0.2">
      <c r="AG9780" s="19"/>
      <c r="AJ9780" s="410"/>
    </row>
    <row r="9781" spans="33:36" ht="11.25" customHeight="1" x14ac:dyDescent="0.2">
      <c r="AG9781" s="19"/>
      <c r="AJ9781" s="410"/>
    </row>
    <row r="9782" spans="33:36" ht="11.25" customHeight="1" x14ac:dyDescent="0.2">
      <c r="AG9782" s="19"/>
      <c r="AJ9782" s="410"/>
    </row>
    <row r="9783" spans="33:36" ht="11.25" customHeight="1" x14ac:dyDescent="0.2">
      <c r="AG9783" s="19"/>
      <c r="AJ9783" s="410"/>
    </row>
    <row r="9784" spans="33:36" ht="11.25" customHeight="1" x14ac:dyDescent="0.2">
      <c r="AG9784" s="19"/>
      <c r="AJ9784" s="410"/>
    </row>
    <row r="9785" spans="33:36" ht="11.25" customHeight="1" x14ac:dyDescent="0.2">
      <c r="AG9785" s="19"/>
      <c r="AJ9785" s="410"/>
    </row>
    <row r="9786" spans="33:36" ht="11.25" customHeight="1" x14ac:dyDescent="0.2">
      <c r="AG9786" s="19"/>
      <c r="AJ9786" s="410"/>
    </row>
    <row r="9787" spans="33:36" ht="11.25" customHeight="1" x14ac:dyDescent="0.2">
      <c r="AG9787" s="19"/>
      <c r="AJ9787" s="410"/>
    </row>
    <row r="9788" spans="33:36" ht="11.25" customHeight="1" x14ac:dyDescent="0.2">
      <c r="AG9788" s="19"/>
      <c r="AJ9788" s="410"/>
    </row>
    <row r="9789" spans="33:36" ht="11.25" customHeight="1" x14ac:dyDescent="0.2">
      <c r="AG9789" s="19"/>
      <c r="AJ9789" s="410"/>
    </row>
    <row r="9790" spans="33:36" ht="11.25" customHeight="1" x14ac:dyDescent="0.2">
      <c r="AG9790" s="19"/>
      <c r="AJ9790" s="410"/>
    </row>
    <row r="9791" spans="33:36" ht="11.25" customHeight="1" x14ac:dyDescent="0.2">
      <c r="AG9791" s="19"/>
      <c r="AJ9791" s="410"/>
    </row>
    <row r="9792" spans="33:36" ht="11.25" customHeight="1" x14ac:dyDescent="0.2">
      <c r="AG9792" s="19"/>
      <c r="AJ9792" s="410"/>
    </row>
    <row r="9793" spans="33:36" ht="11.25" customHeight="1" x14ac:dyDescent="0.2">
      <c r="AG9793" s="19"/>
      <c r="AJ9793" s="410"/>
    </row>
    <row r="9794" spans="33:36" ht="11.25" customHeight="1" x14ac:dyDescent="0.2">
      <c r="AG9794" s="19"/>
      <c r="AJ9794" s="410"/>
    </row>
    <row r="9795" spans="33:36" ht="11.25" customHeight="1" x14ac:dyDescent="0.2">
      <c r="AG9795" s="19"/>
      <c r="AJ9795" s="410"/>
    </row>
    <row r="9796" spans="33:36" ht="11.25" customHeight="1" x14ac:dyDescent="0.2">
      <c r="AG9796" s="19"/>
      <c r="AJ9796" s="410"/>
    </row>
    <row r="9797" spans="33:36" ht="11.25" customHeight="1" x14ac:dyDescent="0.2">
      <c r="AG9797" s="19"/>
      <c r="AJ9797" s="410"/>
    </row>
    <row r="9798" spans="33:36" ht="11.25" customHeight="1" x14ac:dyDescent="0.2">
      <c r="AG9798" s="19"/>
      <c r="AJ9798" s="410"/>
    </row>
    <row r="9799" spans="33:36" ht="11.25" customHeight="1" x14ac:dyDescent="0.2">
      <c r="AG9799" s="19"/>
      <c r="AJ9799" s="410"/>
    </row>
    <row r="9800" spans="33:36" ht="11.25" customHeight="1" x14ac:dyDescent="0.2">
      <c r="AG9800" s="19"/>
      <c r="AJ9800" s="410"/>
    </row>
    <row r="9801" spans="33:36" ht="11.25" customHeight="1" x14ac:dyDescent="0.2">
      <c r="AG9801" s="19"/>
      <c r="AJ9801" s="410"/>
    </row>
    <row r="9802" spans="33:36" ht="11.25" customHeight="1" x14ac:dyDescent="0.2">
      <c r="AG9802" s="19"/>
      <c r="AJ9802" s="410"/>
    </row>
    <row r="9803" spans="33:36" ht="11.25" customHeight="1" x14ac:dyDescent="0.2">
      <c r="AG9803" s="19"/>
      <c r="AJ9803" s="410"/>
    </row>
    <row r="9804" spans="33:36" ht="11.25" customHeight="1" x14ac:dyDescent="0.2">
      <c r="AG9804" s="19"/>
      <c r="AJ9804" s="410"/>
    </row>
    <row r="9805" spans="33:36" ht="11.25" customHeight="1" x14ac:dyDescent="0.2">
      <c r="AG9805" s="19"/>
      <c r="AJ9805" s="410"/>
    </row>
    <row r="9806" spans="33:36" ht="11.25" customHeight="1" x14ac:dyDescent="0.2">
      <c r="AG9806" s="19"/>
      <c r="AJ9806" s="410"/>
    </row>
    <row r="9807" spans="33:36" ht="11.25" customHeight="1" x14ac:dyDescent="0.2">
      <c r="AG9807" s="19"/>
      <c r="AJ9807" s="410"/>
    </row>
    <row r="9808" spans="33:36" ht="11.25" customHeight="1" x14ac:dyDescent="0.2">
      <c r="AG9808" s="19"/>
      <c r="AJ9808" s="410"/>
    </row>
    <row r="9809" spans="33:36" ht="11.25" customHeight="1" x14ac:dyDescent="0.2">
      <c r="AG9809" s="19"/>
      <c r="AJ9809" s="410"/>
    </row>
    <row r="9810" spans="33:36" ht="11.25" customHeight="1" x14ac:dyDescent="0.2">
      <c r="AG9810" s="19"/>
      <c r="AJ9810" s="410"/>
    </row>
    <row r="9811" spans="33:36" ht="11.25" customHeight="1" x14ac:dyDescent="0.2">
      <c r="AG9811" s="19"/>
      <c r="AJ9811" s="410"/>
    </row>
    <row r="9812" spans="33:36" ht="11.25" customHeight="1" x14ac:dyDescent="0.2">
      <c r="AG9812" s="19"/>
      <c r="AJ9812" s="410"/>
    </row>
    <row r="9813" spans="33:36" ht="11.25" customHeight="1" x14ac:dyDescent="0.2">
      <c r="AG9813" s="19"/>
      <c r="AJ9813" s="410"/>
    </row>
    <row r="9814" spans="33:36" ht="11.25" customHeight="1" x14ac:dyDescent="0.2">
      <c r="AG9814" s="19"/>
      <c r="AJ9814" s="410"/>
    </row>
    <row r="9815" spans="33:36" ht="11.25" customHeight="1" x14ac:dyDescent="0.2">
      <c r="AG9815" s="19"/>
      <c r="AJ9815" s="410"/>
    </row>
    <row r="9816" spans="33:36" ht="11.25" customHeight="1" x14ac:dyDescent="0.2">
      <c r="AG9816" s="19"/>
      <c r="AJ9816" s="410"/>
    </row>
    <row r="9817" spans="33:36" ht="11.25" customHeight="1" x14ac:dyDescent="0.2">
      <c r="AG9817" s="19"/>
      <c r="AJ9817" s="410"/>
    </row>
    <row r="9818" spans="33:36" ht="11.25" customHeight="1" x14ac:dyDescent="0.2">
      <c r="AG9818" s="19"/>
      <c r="AJ9818" s="410"/>
    </row>
    <row r="9819" spans="33:36" ht="11.25" customHeight="1" x14ac:dyDescent="0.2">
      <c r="AG9819" s="19"/>
      <c r="AJ9819" s="410"/>
    </row>
    <row r="9820" spans="33:36" ht="11.25" customHeight="1" x14ac:dyDescent="0.2">
      <c r="AG9820" s="19"/>
      <c r="AJ9820" s="410"/>
    </row>
    <row r="9821" spans="33:36" ht="11.25" customHeight="1" x14ac:dyDescent="0.2">
      <c r="AG9821" s="19"/>
      <c r="AJ9821" s="410"/>
    </row>
    <row r="9822" spans="33:36" ht="11.25" customHeight="1" x14ac:dyDescent="0.2">
      <c r="AG9822" s="19"/>
      <c r="AJ9822" s="410"/>
    </row>
    <row r="9823" spans="33:36" ht="11.25" customHeight="1" x14ac:dyDescent="0.2">
      <c r="AG9823" s="19"/>
      <c r="AJ9823" s="410"/>
    </row>
    <row r="9824" spans="33:36" ht="11.25" customHeight="1" x14ac:dyDescent="0.2">
      <c r="AG9824" s="19"/>
      <c r="AJ9824" s="410"/>
    </row>
    <row r="9825" spans="33:36" ht="11.25" customHeight="1" x14ac:dyDescent="0.2">
      <c r="AG9825" s="19"/>
      <c r="AJ9825" s="410"/>
    </row>
    <row r="9826" spans="33:36" ht="11.25" customHeight="1" x14ac:dyDescent="0.2">
      <c r="AG9826" s="19"/>
      <c r="AJ9826" s="410"/>
    </row>
    <row r="9827" spans="33:36" ht="11.25" customHeight="1" x14ac:dyDescent="0.2">
      <c r="AG9827" s="19"/>
      <c r="AJ9827" s="410"/>
    </row>
    <row r="9828" spans="33:36" ht="11.25" customHeight="1" x14ac:dyDescent="0.2">
      <c r="AG9828" s="19"/>
      <c r="AJ9828" s="410"/>
    </row>
    <row r="9829" spans="33:36" ht="11.25" customHeight="1" x14ac:dyDescent="0.2">
      <c r="AG9829" s="19"/>
      <c r="AJ9829" s="410"/>
    </row>
    <row r="9830" spans="33:36" ht="11.25" customHeight="1" x14ac:dyDescent="0.2">
      <c r="AG9830" s="19"/>
      <c r="AJ9830" s="410"/>
    </row>
    <row r="9831" spans="33:36" ht="11.25" customHeight="1" x14ac:dyDescent="0.2">
      <c r="AG9831" s="19"/>
      <c r="AJ9831" s="410"/>
    </row>
    <row r="9832" spans="33:36" ht="11.25" customHeight="1" x14ac:dyDescent="0.2">
      <c r="AG9832" s="19"/>
      <c r="AJ9832" s="410"/>
    </row>
    <row r="9833" spans="33:36" ht="11.25" customHeight="1" x14ac:dyDescent="0.2">
      <c r="AG9833" s="19"/>
      <c r="AJ9833" s="410"/>
    </row>
    <row r="9834" spans="33:36" ht="11.25" customHeight="1" x14ac:dyDescent="0.2">
      <c r="AG9834" s="19"/>
      <c r="AJ9834" s="410"/>
    </row>
    <row r="9835" spans="33:36" ht="11.25" customHeight="1" x14ac:dyDescent="0.2">
      <c r="AG9835" s="19"/>
      <c r="AJ9835" s="410"/>
    </row>
    <row r="9836" spans="33:36" ht="11.25" customHeight="1" x14ac:dyDescent="0.2">
      <c r="AG9836" s="19"/>
      <c r="AJ9836" s="410"/>
    </row>
    <row r="9837" spans="33:36" ht="11.25" customHeight="1" x14ac:dyDescent="0.2">
      <c r="AG9837" s="19"/>
      <c r="AJ9837" s="410"/>
    </row>
    <row r="9838" spans="33:36" ht="11.25" customHeight="1" x14ac:dyDescent="0.2">
      <c r="AG9838" s="19"/>
      <c r="AJ9838" s="410"/>
    </row>
    <row r="9839" spans="33:36" ht="11.25" customHeight="1" x14ac:dyDescent="0.2">
      <c r="AG9839" s="19"/>
      <c r="AJ9839" s="410"/>
    </row>
    <row r="9840" spans="33:36" ht="11.25" customHeight="1" x14ac:dyDescent="0.2">
      <c r="AG9840" s="19"/>
      <c r="AJ9840" s="410"/>
    </row>
    <row r="9841" spans="33:36" ht="11.25" customHeight="1" x14ac:dyDescent="0.2">
      <c r="AG9841" s="19"/>
      <c r="AJ9841" s="410"/>
    </row>
    <row r="9842" spans="33:36" ht="11.25" customHeight="1" x14ac:dyDescent="0.2">
      <c r="AG9842" s="19"/>
      <c r="AJ9842" s="410"/>
    </row>
    <row r="9843" spans="33:36" ht="11.25" customHeight="1" x14ac:dyDescent="0.2">
      <c r="AG9843" s="19"/>
      <c r="AJ9843" s="410"/>
    </row>
    <row r="9844" spans="33:36" ht="11.25" customHeight="1" x14ac:dyDescent="0.2">
      <c r="AG9844" s="19"/>
      <c r="AJ9844" s="410"/>
    </row>
    <row r="9845" spans="33:36" ht="11.25" customHeight="1" x14ac:dyDescent="0.2">
      <c r="AG9845" s="19"/>
      <c r="AJ9845" s="410"/>
    </row>
    <row r="9846" spans="33:36" ht="11.25" customHeight="1" x14ac:dyDescent="0.2">
      <c r="AG9846" s="19"/>
      <c r="AJ9846" s="410"/>
    </row>
    <row r="9847" spans="33:36" ht="11.25" customHeight="1" x14ac:dyDescent="0.2">
      <c r="AG9847" s="19"/>
      <c r="AJ9847" s="410"/>
    </row>
    <row r="9848" spans="33:36" ht="11.25" customHeight="1" x14ac:dyDescent="0.2">
      <c r="AG9848" s="19"/>
      <c r="AJ9848" s="410"/>
    </row>
    <row r="9849" spans="33:36" ht="11.25" customHeight="1" x14ac:dyDescent="0.2">
      <c r="AG9849" s="19"/>
      <c r="AJ9849" s="410"/>
    </row>
    <row r="9850" spans="33:36" ht="11.25" customHeight="1" x14ac:dyDescent="0.2">
      <c r="AG9850" s="19"/>
      <c r="AJ9850" s="410"/>
    </row>
    <row r="9851" spans="33:36" ht="11.25" customHeight="1" x14ac:dyDescent="0.2">
      <c r="AG9851" s="19"/>
      <c r="AJ9851" s="410"/>
    </row>
    <row r="9852" spans="33:36" ht="11.25" customHeight="1" x14ac:dyDescent="0.2">
      <c r="AG9852" s="19"/>
      <c r="AJ9852" s="410"/>
    </row>
    <row r="9853" spans="33:36" ht="11.25" customHeight="1" x14ac:dyDescent="0.2">
      <c r="AG9853" s="19"/>
      <c r="AJ9853" s="410"/>
    </row>
    <row r="9854" spans="33:36" ht="11.25" customHeight="1" x14ac:dyDescent="0.2">
      <c r="AG9854" s="19"/>
      <c r="AJ9854" s="410"/>
    </row>
    <row r="9855" spans="33:36" ht="11.25" customHeight="1" x14ac:dyDescent="0.2">
      <c r="AG9855" s="19"/>
      <c r="AJ9855" s="410"/>
    </row>
    <row r="9856" spans="33:36" ht="11.25" customHeight="1" x14ac:dyDescent="0.2">
      <c r="AG9856" s="19"/>
      <c r="AJ9856" s="410"/>
    </row>
    <row r="9857" spans="33:36" ht="11.25" customHeight="1" x14ac:dyDescent="0.2">
      <c r="AG9857" s="19"/>
      <c r="AJ9857" s="410"/>
    </row>
    <row r="9858" spans="33:36" ht="11.25" customHeight="1" x14ac:dyDescent="0.2">
      <c r="AG9858" s="19"/>
      <c r="AJ9858" s="410"/>
    </row>
    <row r="9859" spans="33:36" ht="11.25" customHeight="1" x14ac:dyDescent="0.2">
      <c r="AG9859" s="19"/>
      <c r="AJ9859" s="410"/>
    </row>
    <row r="9860" spans="33:36" ht="11.25" customHeight="1" x14ac:dyDescent="0.2">
      <c r="AG9860" s="19"/>
      <c r="AJ9860" s="410"/>
    </row>
    <row r="9861" spans="33:36" ht="11.25" customHeight="1" x14ac:dyDescent="0.2">
      <c r="AG9861" s="19"/>
      <c r="AJ9861" s="410"/>
    </row>
    <row r="9862" spans="33:36" ht="11.25" customHeight="1" x14ac:dyDescent="0.2">
      <c r="AG9862" s="19"/>
      <c r="AJ9862" s="410"/>
    </row>
    <row r="9863" spans="33:36" ht="11.25" customHeight="1" x14ac:dyDescent="0.2">
      <c r="AG9863" s="19"/>
      <c r="AJ9863" s="410"/>
    </row>
    <row r="9864" spans="33:36" ht="11.25" customHeight="1" x14ac:dyDescent="0.2">
      <c r="AG9864" s="19"/>
      <c r="AJ9864" s="410"/>
    </row>
    <row r="9865" spans="33:36" ht="11.25" customHeight="1" x14ac:dyDescent="0.2">
      <c r="AG9865" s="19"/>
      <c r="AJ9865" s="410"/>
    </row>
    <row r="9866" spans="33:36" ht="11.25" customHeight="1" x14ac:dyDescent="0.2">
      <c r="AG9866" s="19"/>
      <c r="AJ9866" s="410"/>
    </row>
    <row r="9867" spans="33:36" ht="11.25" customHeight="1" x14ac:dyDescent="0.2">
      <c r="AG9867" s="19"/>
      <c r="AJ9867" s="410"/>
    </row>
    <row r="9868" spans="33:36" ht="11.25" customHeight="1" x14ac:dyDescent="0.2">
      <c r="AG9868" s="19"/>
      <c r="AJ9868" s="410"/>
    </row>
    <row r="9869" spans="33:36" ht="11.25" customHeight="1" x14ac:dyDescent="0.2">
      <c r="AG9869" s="19"/>
      <c r="AJ9869" s="410"/>
    </row>
    <row r="9870" spans="33:36" ht="11.25" customHeight="1" x14ac:dyDescent="0.2">
      <c r="AG9870" s="19"/>
      <c r="AJ9870" s="410"/>
    </row>
    <row r="9871" spans="33:36" ht="11.25" customHeight="1" x14ac:dyDescent="0.2">
      <c r="AG9871" s="19"/>
      <c r="AJ9871" s="410"/>
    </row>
    <row r="9872" spans="33:36" ht="11.25" customHeight="1" x14ac:dyDescent="0.2">
      <c r="AG9872" s="19"/>
      <c r="AJ9872" s="410"/>
    </row>
    <row r="9873" spans="33:36" ht="11.25" customHeight="1" x14ac:dyDescent="0.2">
      <c r="AG9873" s="19"/>
      <c r="AJ9873" s="410"/>
    </row>
    <row r="9874" spans="33:36" ht="11.25" customHeight="1" x14ac:dyDescent="0.2">
      <c r="AG9874" s="19"/>
      <c r="AJ9874" s="410"/>
    </row>
    <row r="9875" spans="33:36" ht="11.25" customHeight="1" x14ac:dyDescent="0.2">
      <c r="AG9875" s="19"/>
      <c r="AJ9875" s="410"/>
    </row>
    <row r="9876" spans="33:36" ht="11.25" customHeight="1" x14ac:dyDescent="0.2">
      <c r="AG9876" s="19"/>
      <c r="AJ9876" s="410"/>
    </row>
    <row r="9877" spans="33:36" ht="11.25" customHeight="1" x14ac:dyDescent="0.2">
      <c r="AG9877" s="19"/>
      <c r="AJ9877" s="410"/>
    </row>
    <row r="9878" spans="33:36" ht="11.25" customHeight="1" x14ac:dyDescent="0.2">
      <c r="AG9878" s="19"/>
      <c r="AJ9878" s="410"/>
    </row>
    <row r="9879" spans="33:36" ht="11.25" customHeight="1" x14ac:dyDescent="0.2">
      <c r="AG9879" s="19"/>
      <c r="AJ9879" s="410"/>
    </row>
    <row r="9880" spans="33:36" ht="11.25" customHeight="1" x14ac:dyDescent="0.2">
      <c r="AG9880" s="19"/>
      <c r="AJ9880" s="410"/>
    </row>
    <row r="9881" spans="33:36" ht="11.25" customHeight="1" x14ac:dyDescent="0.2">
      <c r="AG9881" s="19"/>
      <c r="AJ9881" s="410"/>
    </row>
    <row r="9882" spans="33:36" ht="11.25" customHeight="1" x14ac:dyDescent="0.2">
      <c r="AG9882" s="19"/>
      <c r="AJ9882" s="410"/>
    </row>
    <row r="9883" spans="33:36" ht="11.25" customHeight="1" x14ac:dyDescent="0.2">
      <c r="AG9883" s="19"/>
      <c r="AJ9883" s="410"/>
    </row>
    <row r="9884" spans="33:36" ht="11.25" customHeight="1" x14ac:dyDescent="0.2">
      <c r="AG9884" s="19"/>
      <c r="AJ9884" s="410"/>
    </row>
    <row r="9885" spans="33:36" ht="11.25" customHeight="1" x14ac:dyDescent="0.2">
      <c r="AG9885" s="19"/>
      <c r="AJ9885" s="410"/>
    </row>
    <row r="9886" spans="33:36" ht="11.25" customHeight="1" x14ac:dyDescent="0.2">
      <c r="AG9886" s="19"/>
      <c r="AJ9886" s="410"/>
    </row>
    <row r="9887" spans="33:36" ht="11.25" customHeight="1" x14ac:dyDescent="0.2">
      <c r="AG9887" s="19"/>
      <c r="AJ9887" s="410"/>
    </row>
    <row r="9888" spans="33:36" ht="11.25" customHeight="1" x14ac:dyDescent="0.2">
      <c r="AG9888" s="19"/>
      <c r="AJ9888" s="410"/>
    </row>
    <row r="9889" spans="33:36" ht="11.25" customHeight="1" x14ac:dyDescent="0.2">
      <c r="AG9889" s="19"/>
      <c r="AJ9889" s="410"/>
    </row>
    <row r="9890" spans="33:36" ht="11.25" customHeight="1" x14ac:dyDescent="0.2">
      <c r="AG9890" s="19"/>
      <c r="AJ9890" s="410"/>
    </row>
    <row r="9891" spans="33:36" ht="11.25" customHeight="1" x14ac:dyDescent="0.2">
      <c r="AG9891" s="19"/>
      <c r="AJ9891" s="410"/>
    </row>
    <row r="9892" spans="33:36" ht="11.25" customHeight="1" x14ac:dyDescent="0.2">
      <c r="AG9892" s="19"/>
      <c r="AJ9892" s="410"/>
    </row>
    <row r="9893" spans="33:36" ht="11.25" customHeight="1" x14ac:dyDescent="0.2">
      <c r="AG9893" s="19"/>
      <c r="AJ9893" s="410"/>
    </row>
    <row r="9894" spans="33:36" ht="11.25" customHeight="1" x14ac:dyDescent="0.2">
      <c r="AG9894" s="19"/>
      <c r="AJ9894" s="410"/>
    </row>
    <row r="9895" spans="33:36" ht="11.25" customHeight="1" x14ac:dyDescent="0.2">
      <c r="AG9895" s="19"/>
      <c r="AJ9895" s="410"/>
    </row>
    <row r="9896" spans="33:36" ht="11.25" customHeight="1" x14ac:dyDescent="0.2">
      <c r="AG9896" s="19"/>
      <c r="AJ9896" s="410"/>
    </row>
    <row r="9897" spans="33:36" ht="11.25" customHeight="1" x14ac:dyDescent="0.2">
      <c r="AG9897" s="19"/>
      <c r="AJ9897" s="410"/>
    </row>
    <row r="9898" spans="33:36" ht="11.25" customHeight="1" x14ac:dyDescent="0.2">
      <c r="AG9898" s="19"/>
      <c r="AJ9898" s="410"/>
    </row>
    <row r="9899" spans="33:36" ht="11.25" customHeight="1" x14ac:dyDescent="0.2">
      <c r="AG9899" s="19"/>
      <c r="AJ9899" s="410"/>
    </row>
    <row r="9900" spans="33:36" ht="11.25" customHeight="1" x14ac:dyDescent="0.2">
      <c r="AG9900" s="19"/>
      <c r="AJ9900" s="410"/>
    </row>
    <row r="9901" spans="33:36" ht="11.25" customHeight="1" x14ac:dyDescent="0.2">
      <c r="AG9901" s="19"/>
      <c r="AJ9901" s="410"/>
    </row>
    <row r="9902" spans="33:36" ht="11.25" customHeight="1" x14ac:dyDescent="0.2">
      <c r="AG9902" s="19"/>
      <c r="AJ9902" s="410"/>
    </row>
    <row r="9903" spans="33:36" ht="11.25" customHeight="1" x14ac:dyDescent="0.2">
      <c r="AG9903" s="19"/>
      <c r="AJ9903" s="410"/>
    </row>
    <row r="9904" spans="33:36" ht="11.25" customHeight="1" x14ac:dyDescent="0.2">
      <c r="AG9904" s="19"/>
      <c r="AJ9904" s="410"/>
    </row>
    <row r="9905" spans="33:36" ht="11.25" customHeight="1" x14ac:dyDescent="0.2">
      <c r="AG9905" s="19"/>
      <c r="AJ9905" s="410"/>
    </row>
    <row r="9906" spans="33:36" ht="11.25" customHeight="1" x14ac:dyDescent="0.2">
      <c r="AG9906" s="19"/>
      <c r="AJ9906" s="410"/>
    </row>
    <row r="9907" spans="33:36" ht="11.25" customHeight="1" x14ac:dyDescent="0.2">
      <c r="AG9907" s="19"/>
      <c r="AJ9907" s="410"/>
    </row>
    <row r="9908" spans="33:36" ht="11.25" customHeight="1" x14ac:dyDescent="0.2">
      <c r="AG9908" s="19"/>
      <c r="AJ9908" s="410"/>
    </row>
    <row r="9909" spans="33:36" ht="11.25" customHeight="1" x14ac:dyDescent="0.2">
      <c r="AG9909" s="19"/>
      <c r="AJ9909" s="410"/>
    </row>
    <row r="9910" spans="33:36" ht="11.25" customHeight="1" x14ac:dyDescent="0.2">
      <c r="AG9910" s="19"/>
      <c r="AJ9910" s="410"/>
    </row>
    <row r="9911" spans="33:36" ht="11.25" customHeight="1" x14ac:dyDescent="0.2">
      <c r="AG9911" s="19"/>
      <c r="AJ9911" s="410"/>
    </row>
    <row r="9912" spans="33:36" ht="11.25" customHeight="1" x14ac:dyDescent="0.2">
      <c r="AG9912" s="19"/>
      <c r="AJ9912" s="410"/>
    </row>
    <row r="9913" spans="33:36" ht="11.25" customHeight="1" x14ac:dyDescent="0.2">
      <c r="AG9913" s="19"/>
      <c r="AJ9913" s="410"/>
    </row>
    <row r="9914" spans="33:36" ht="11.25" customHeight="1" x14ac:dyDescent="0.2">
      <c r="AG9914" s="19"/>
      <c r="AJ9914" s="410"/>
    </row>
    <row r="9915" spans="33:36" ht="11.25" customHeight="1" x14ac:dyDescent="0.2">
      <c r="AG9915" s="19"/>
      <c r="AJ9915" s="410"/>
    </row>
    <row r="9916" spans="33:36" ht="11.25" customHeight="1" x14ac:dyDescent="0.2">
      <c r="AG9916" s="19"/>
      <c r="AJ9916" s="410"/>
    </row>
    <row r="9917" spans="33:36" ht="11.25" customHeight="1" x14ac:dyDescent="0.2">
      <c r="AG9917" s="19"/>
      <c r="AJ9917" s="410"/>
    </row>
    <row r="9918" spans="33:36" ht="11.25" customHeight="1" x14ac:dyDescent="0.2">
      <c r="AG9918" s="19"/>
      <c r="AJ9918" s="410"/>
    </row>
    <row r="9919" spans="33:36" ht="11.25" customHeight="1" x14ac:dyDescent="0.2">
      <c r="AG9919" s="19"/>
      <c r="AJ9919" s="410"/>
    </row>
    <row r="9920" spans="33:36" ht="11.25" customHeight="1" x14ac:dyDescent="0.2">
      <c r="AG9920" s="19"/>
      <c r="AJ9920" s="410"/>
    </row>
    <row r="9921" spans="33:36" ht="11.25" customHeight="1" x14ac:dyDescent="0.2">
      <c r="AG9921" s="19"/>
      <c r="AJ9921" s="410"/>
    </row>
    <row r="9922" spans="33:36" ht="11.25" customHeight="1" x14ac:dyDescent="0.2">
      <c r="AG9922" s="19"/>
      <c r="AJ9922" s="410"/>
    </row>
    <row r="9923" spans="33:36" ht="11.25" customHeight="1" x14ac:dyDescent="0.2">
      <c r="AG9923" s="19"/>
      <c r="AJ9923" s="410"/>
    </row>
    <row r="9924" spans="33:36" ht="11.25" customHeight="1" x14ac:dyDescent="0.2">
      <c r="AG9924" s="19"/>
      <c r="AJ9924" s="410"/>
    </row>
    <row r="9925" spans="33:36" ht="11.25" customHeight="1" x14ac:dyDescent="0.2">
      <c r="AG9925" s="19"/>
      <c r="AJ9925" s="410"/>
    </row>
    <row r="9926" spans="33:36" ht="11.25" customHeight="1" x14ac:dyDescent="0.2">
      <c r="AG9926" s="19"/>
      <c r="AJ9926" s="410"/>
    </row>
    <row r="9927" spans="33:36" ht="11.25" customHeight="1" x14ac:dyDescent="0.2">
      <c r="AG9927" s="19"/>
      <c r="AJ9927" s="410"/>
    </row>
    <row r="9928" spans="33:36" ht="11.25" customHeight="1" x14ac:dyDescent="0.2">
      <c r="AG9928" s="19"/>
      <c r="AJ9928" s="410"/>
    </row>
    <row r="9929" spans="33:36" ht="11.25" customHeight="1" x14ac:dyDescent="0.2">
      <c r="AG9929" s="19"/>
      <c r="AJ9929" s="410"/>
    </row>
    <row r="9930" spans="33:36" ht="11.25" customHeight="1" x14ac:dyDescent="0.2">
      <c r="AG9930" s="19"/>
      <c r="AJ9930" s="410"/>
    </row>
    <row r="9931" spans="33:36" ht="11.25" customHeight="1" x14ac:dyDescent="0.2">
      <c r="AG9931" s="19"/>
      <c r="AJ9931" s="410"/>
    </row>
    <row r="9932" spans="33:36" ht="11.25" customHeight="1" x14ac:dyDescent="0.2">
      <c r="AG9932" s="19"/>
      <c r="AJ9932" s="410"/>
    </row>
    <row r="9933" spans="33:36" ht="11.25" customHeight="1" x14ac:dyDescent="0.2">
      <c r="AG9933" s="19"/>
      <c r="AJ9933" s="410"/>
    </row>
    <row r="9934" spans="33:36" ht="11.25" customHeight="1" x14ac:dyDescent="0.2">
      <c r="AG9934" s="19"/>
      <c r="AJ9934" s="410"/>
    </row>
    <row r="9935" spans="33:36" ht="11.25" customHeight="1" x14ac:dyDescent="0.2">
      <c r="AG9935" s="19"/>
      <c r="AJ9935" s="410"/>
    </row>
    <row r="9936" spans="33:36" ht="11.25" customHeight="1" x14ac:dyDescent="0.2">
      <c r="AG9936" s="19"/>
      <c r="AJ9936" s="410"/>
    </row>
    <row r="9937" spans="33:36" ht="11.25" customHeight="1" x14ac:dyDescent="0.2">
      <c r="AG9937" s="19"/>
      <c r="AJ9937" s="410"/>
    </row>
    <row r="9938" spans="33:36" ht="11.25" customHeight="1" x14ac:dyDescent="0.2">
      <c r="AG9938" s="19"/>
      <c r="AJ9938" s="410"/>
    </row>
    <row r="9939" spans="33:36" ht="11.25" customHeight="1" x14ac:dyDescent="0.2">
      <c r="AG9939" s="19"/>
      <c r="AJ9939" s="410"/>
    </row>
    <row r="9940" spans="33:36" ht="11.25" customHeight="1" x14ac:dyDescent="0.2">
      <c r="AG9940" s="19"/>
      <c r="AJ9940" s="410"/>
    </row>
    <row r="9941" spans="33:36" ht="11.25" customHeight="1" x14ac:dyDescent="0.2">
      <c r="AG9941" s="19"/>
      <c r="AJ9941" s="410"/>
    </row>
    <row r="9942" spans="33:36" ht="11.25" customHeight="1" x14ac:dyDescent="0.2">
      <c r="AG9942" s="19"/>
      <c r="AJ9942" s="410"/>
    </row>
    <row r="9943" spans="33:36" ht="11.25" customHeight="1" x14ac:dyDescent="0.2">
      <c r="AG9943" s="19"/>
      <c r="AJ9943" s="410"/>
    </row>
    <row r="9944" spans="33:36" ht="11.25" customHeight="1" x14ac:dyDescent="0.2">
      <c r="AG9944" s="19"/>
      <c r="AJ9944" s="410"/>
    </row>
    <row r="9945" spans="33:36" ht="11.25" customHeight="1" x14ac:dyDescent="0.2">
      <c r="AG9945" s="19"/>
      <c r="AJ9945" s="410"/>
    </row>
    <row r="9946" spans="33:36" ht="11.25" customHeight="1" x14ac:dyDescent="0.2">
      <c r="AG9946" s="19"/>
      <c r="AJ9946" s="410"/>
    </row>
    <row r="9947" spans="33:36" ht="11.25" customHeight="1" x14ac:dyDescent="0.2">
      <c r="AG9947" s="19"/>
      <c r="AJ9947" s="410"/>
    </row>
    <row r="9948" spans="33:36" ht="11.25" customHeight="1" x14ac:dyDescent="0.2">
      <c r="AG9948" s="19"/>
      <c r="AJ9948" s="410"/>
    </row>
    <row r="9949" spans="33:36" ht="11.25" customHeight="1" x14ac:dyDescent="0.2">
      <c r="AG9949" s="19"/>
      <c r="AJ9949" s="410"/>
    </row>
    <row r="9950" spans="33:36" ht="11.25" customHeight="1" x14ac:dyDescent="0.2">
      <c r="AG9950" s="19"/>
      <c r="AJ9950" s="410"/>
    </row>
    <row r="9951" spans="33:36" ht="11.25" customHeight="1" x14ac:dyDescent="0.2">
      <c r="AG9951" s="19"/>
      <c r="AJ9951" s="410"/>
    </row>
    <row r="9952" spans="33:36" ht="11.25" customHeight="1" x14ac:dyDescent="0.2">
      <c r="AG9952" s="19"/>
      <c r="AJ9952" s="410"/>
    </row>
    <row r="9953" spans="33:36" ht="11.25" customHeight="1" x14ac:dyDescent="0.2">
      <c r="AG9953" s="19"/>
      <c r="AJ9953" s="410"/>
    </row>
    <row r="9954" spans="33:36" ht="11.25" customHeight="1" x14ac:dyDescent="0.2">
      <c r="AG9954" s="19"/>
      <c r="AJ9954" s="410"/>
    </row>
    <row r="9955" spans="33:36" ht="11.25" customHeight="1" x14ac:dyDescent="0.2">
      <c r="AG9955" s="19"/>
      <c r="AJ9955" s="410"/>
    </row>
    <row r="9956" spans="33:36" ht="11.25" customHeight="1" x14ac:dyDescent="0.2">
      <c r="AG9956" s="19"/>
      <c r="AJ9956" s="410"/>
    </row>
    <row r="9957" spans="33:36" ht="11.25" customHeight="1" x14ac:dyDescent="0.2">
      <c r="AG9957" s="19"/>
      <c r="AJ9957" s="410"/>
    </row>
    <row r="9958" spans="33:36" ht="11.25" customHeight="1" x14ac:dyDescent="0.2">
      <c r="AG9958" s="19"/>
      <c r="AJ9958" s="410"/>
    </row>
    <row r="9959" spans="33:36" ht="11.25" customHeight="1" x14ac:dyDescent="0.2">
      <c r="AG9959" s="19"/>
      <c r="AJ9959" s="410"/>
    </row>
    <row r="9960" spans="33:36" ht="11.25" customHeight="1" x14ac:dyDescent="0.2">
      <c r="AG9960" s="19"/>
      <c r="AJ9960" s="410"/>
    </row>
    <row r="9961" spans="33:36" ht="11.25" customHeight="1" x14ac:dyDescent="0.2">
      <c r="AG9961" s="19"/>
      <c r="AJ9961" s="410"/>
    </row>
    <row r="9962" spans="33:36" ht="11.25" customHeight="1" x14ac:dyDescent="0.2">
      <c r="AG9962" s="19"/>
      <c r="AJ9962" s="410"/>
    </row>
    <row r="9963" spans="33:36" ht="11.25" customHeight="1" x14ac:dyDescent="0.2">
      <c r="AG9963" s="19"/>
      <c r="AJ9963" s="410"/>
    </row>
    <row r="9964" spans="33:36" ht="11.25" customHeight="1" x14ac:dyDescent="0.2">
      <c r="AG9964" s="19"/>
      <c r="AJ9964" s="410"/>
    </row>
    <row r="9965" spans="33:36" ht="11.25" customHeight="1" x14ac:dyDescent="0.2">
      <c r="AG9965" s="19"/>
      <c r="AJ9965" s="410"/>
    </row>
    <row r="9966" spans="33:36" ht="11.25" customHeight="1" x14ac:dyDescent="0.2">
      <c r="AG9966" s="19"/>
      <c r="AJ9966" s="410"/>
    </row>
    <row r="9967" spans="33:36" ht="11.25" customHeight="1" x14ac:dyDescent="0.2">
      <c r="AG9967" s="19"/>
      <c r="AJ9967" s="410"/>
    </row>
    <row r="9968" spans="33:36" ht="11.25" customHeight="1" x14ac:dyDescent="0.2">
      <c r="AG9968" s="19"/>
      <c r="AJ9968" s="410"/>
    </row>
    <row r="9969" spans="33:36" ht="11.25" customHeight="1" x14ac:dyDescent="0.2">
      <c r="AG9969" s="19"/>
      <c r="AJ9969" s="410"/>
    </row>
    <row r="9970" spans="33:36" ht="11.25" customHeight="1" x14ac:dyDescent="0.2">
      <c r="AG9970" s="19"/>
      <c r="AJ9970" s="410"/>
    </row>
    <row r="9971" spans="33:36" ht="11.25" customHeight="1" x14ac:dyDescent="0.2">
      <c r="AG9971" s="19"/>
      <c r="AJ9971" s="410"/>
    </row>
    <row r="9972" spans="33:36" ht="11.25" customHeight="1" x14ac:dyDescent="0.2">
      <c r="AG9972" s="19"/>
      <c r="AJ9972" s="410"/>
    </row>
    <row r="9973" spans="33:36" ht="11.25" customHeight="1" x14ac:dyDescent="0.2">
      <c r="AG9973" s="19"/>
      <c r="AJ9973" s="410"/>
    </row>
    <row r="9974" spans="33:36" ht="11.25" customHeight="1" x14ac:dyDescent="0.2">
      <c r="AG9974" s="19"/>
      <c r="AJ9974" s="410"/>
    </row>
    <row r="9975" spans="33:36" ht="11.25" customHeight="1" x14ac:dyDescent="0.2">
      <c r="AG9975" s="19"/>
      <c r="AJ9975" s="410"/>
    </row>
    <row r="9976" spans="33:36" ht="11.25" customHeight="1" x14ac:dyDescent="0.2">
      <c r="AG9976" s="19"/>
      <c r="AJ9976" s="410"/>
    </row>
    <row r="9977" spans="33:36" ht="11.25" customHeight="1" x14ac:dyDescent="0.2">
      <c r="AG9977" s="19"/>
      <c r="AJ9977" s="410"/>
    </row>
    <row r="9978" spans="33:36" ht="11.25" customHeight="1" x14ac:dyDescent="0.2">
      <c r="AG9978" s="19"/>
      <c r="AJ9978" s="410"/>
    </row>
    <row r="9979" spans="33:36" ht="11.25" customHeight="1" x14ac:dyDescent="0.2">
      <c r="AG9979" s="19"/>
      <c r="AJ9979" s="410"/>
    </row>
    <row r="9980" spans="33:36" ht="11.25" customHeight="1" x14ac:dyDescent="0.2">
      <c r="AG9980" s="19"/>
      <c r="AJ9980" s="410"/>
    </row>
    <row r="9981" spans="33:36" ht="11.25" customHeight="1" x14ac:dyDescent="0.2">
      <c r="AG9981" s="19"/>
      <c r="AJ9981" s="410"/>
    </row>
    <row r="9982" spans="33:36" ht="11.25" customHeight="1" x14ac:dyDescent="0.2">
      <c r="AG9982" s="19"/>
      <c r="AJ9982" s="410"/>
    </row>
    <row r="9983" spans="33:36" ht="11.25" customHeight="1" x14ac:dyDescent="0.2">
      <c r="AG9983" s="19"/>
      <c r="AJ9983" s="410"/>
    </row>
    <row r="9984" spans="33:36" ht="11.25" customHeight="1" x14ac:dyDescent="0.2">
      <c r="AG9984" s="19"/>
      <c r="AJ9984" s="410"/>
    </row>
    <row r="9985" spans="33:36" ht="11.25" customHeight="1" x14ac:dyDescent="0.2">
      <c r="AG9985" s="19"/>
      <c r="AJ9985" s="410"/>
    </row>
    <row r="9986" spans="33:36" ht="11.25" customHeight="1" x14ac:dyDescent="0.2">
      <c r="AG9986" s="19"/>
      <c r="AJ9986" s="410"/>
    </row>
    <row r="9987" spans="33:36" ht="11.25" customHeight="1" x14ac:dyDescent="0.2">
      <c r="AG9987" s="19"/>
      <c r="AJ9987" s="410"/>
    </row>
    <row r="9988" spans="33:36" ht="11.25" customHeight="1" x14ac:dyDescent="0.2">
      <c r="AG9988" s="19"/>
      <c r="AJ9988" s="410"/>
    </row>
    <row r="9989" spans="33:36" ht="11.25" customHeight="1" x14ac:dyDescent="0.2">
      <c r="AG9989" s="19"/>
      <c r="AJ9989" s="410"/>
    </row>
    <row r="9990" spans="33:36" ht="11.25" customHeight="1" x14ac:dyDescent="0.2">
      <c r="AG9990" s="19"/>
      <c r="AJ9990" s="410"/>
    </row>
    <row r="9991" spans="33:36" ht="11.25" customHeight="1" x14ac:dyDescent="0.2">
      <c r="AG9991" s="19"/>
      <c r="AJ9991" s="410"/>
    </row>
    <row r="9992" spans="33:36" ht="11.25" customHeight="1" x14ac:dyDescent="0.2">
      <c r="AG9992" s="19"/>
      <c r="AJ9992" s="410"/>
    </row>
    <row r="9993" spans="33:36" ht="11.25" customHeight="1" x14ac:dyDescent="0.2">
      <c r="AG9993" s="19"/>
      <c r="AJ9993" s="410"/>
    </row>
    <row r="9994" spans="33:36" ht="11.25" customHeight="1" x14ac:dyDescent="0.2">
      <c r="AG9994" s="19"/>
      <c r="AJ9994" s="410"/>
    </row>
    <row r="9995" spans="33:36" ht="11.25" customHeight="1" x14ac:dyDescent="0.2">
      <c r="AG9995" s="19"/>
      <c r="AJ9995" s="410"/>
    </row>
    <row r="9996" spans="33:36" ht="11.25" customHeight="1" x14ac:dyDescent="0.2">
      <c r="AG9996" s="19"/>
      <c r="AJ9996" s="410"/>
    </row>
    <row r="9997" spans="33:36" ht="11.25" customHeight="1" x14ac:dyDescent="0.2">
      <c r="AG9997" s="19"/>
      <c r="AJ9997" s="410"/>
    </row>
    <row r="9998" spans="33:36" ht="11.25" customHeight="1" x14ac:dyDescent="0.2">
      <c r="AG9998" s="19"/>
      <c r="AJ9998" s="410"/>
    </row>
    <row r="9999" spans="33:36" ht="11.25" customHeight="1" x14ac:dyDescent="0.2">
      <c r="AG9999" s="19"/>
      <c r="AJ9999" s="410"/>
    </row>
    <row r="10000" spans="33:36" ht="11.25" customHeight="1" x14ac:dyDescent="0.2">
      <c r="AG10000" s="19"/>
      <c r="AJ10000" s="410"/>
    </row>
    <row r="10001" spans="33:36" ht="11.25" customHeight="1" x14ac:dyDescent="0.2">
      <c r="AG10001" s="19"/>
      <c r="AJ10001" s="410"/>
    </row>
    <row r="10002" spans="33:36" ht="11.25" customHeight="1" x14ac:dyDescent="0.2">
      <c r="AG10002" s="19"/>
      <c r="AJ10002" s="410"/>
    </row>
    <row r="10003" spans="33:36" ht="11.25" customHeight="1" x14ac:dyDescent="0.2">
      <c r="AG10003" s="19"/>
      <c r="AJ10003" s="410"/>
    </row>
    <row r="10004" spans="33:36" ht="11.25" customHeight="1" x14ac:dyDescent="0.2">
      <c r="AG10004" s="19"/>
      <c r="AJ10004" s="410"/>
    </row>
    <row r="10005" spans="33:36" ht="11.25" customHeight="1" x14ac:dyDescent="0.2">
      <c r="AG10005" s="19"/>
      <c r="AJ10005" s="410"/>
    </row>
    <row r="10006" spans="33:36" ht="11.25" customHeight="1" x14ac:dyDescent="0.2">
      <c r="AG10006" s="19"/>
      <c r="AJ10006" s="410"/>
    </row>
    <row r="10007" spans="33:36" ht="11.25" customHeight="1" x14ac:dyDescent="0.2">
      <c r="AG10007" s="19"/>
      <c r="AJ10007" s="410"/>
    </row>
    <row r="10008" spans="33:36" ht="11.25" customHeight="1" x14ac:dyDescent="0.2">
      <c r="AG10008" s="19"/>
      <c r="AJ10008" s="410"/>
    </row>
    <row r="10009" spans="33:36" ht="11.25" customHeight="1" x14ac:dyDescent="0.2">
      <c r="AG10009" s="19"/>
      <c r="AJ10009" s="410"/>
    </row>
    <row r="10010" spans="33:36" ht="11.25" customHeight="1" x14ac:dyDescent="0.2">
      <c r="AG10010" s="19"/>
      <c r="AJ10010" s="410"/>
    </row>
    <row r="10011" spans="33:36" ht="11.25" customHeight="1" x14ac:dyDescent="0.2">
      <c r="AG10011" s="19"/>
      <c r="AJ10011" s="410"/>
    </row>
    <row r="10012" spans="33:36" ht="11.25" customHeight="1" x14ac:dyDescent="0.2">
      <c r="AG10012" s="19"/>
      <c r="AJ10012" s="410"/>
    </row>
    <row r="10013" spans="33:36" ht="11.25" customHeight="1" x14ac:dyDescent="0.2">
      <c r="AG10013" s="19"/>
      <c r="AJ10013" s="410"/>
    </row>
    <row r="10014" spans="33:36" ht="11.25" customHeight="1" x14ac:dyDescent="0.2">
      <c r="AG10014" s="19"/>
      <c r="AJ10014" s="410"/>
    </row>
    <row r="10015" spans="33:36" ht="11.25" customHeight="1" x14ac:dyDescent="0.2">
      <c r="AG10015" s="19"/>
      <c r="AJ10015" s="410"/>
    </row>
    <row r="10016" spans="33:36" ht="11.25" customHeight="1" x14ac:dyDescent="0.2">
      <c r="AG10016" s="19"/>
      <c r="AJ10016" s="410"/>
    </row>
    <row r="10017" spans="33:36" ht="11.25" customHeight="1" x14ac:dyDescent="0.2">
      <c r="AG10017" s="19"/>
      <c r="AJ10017" s="410"/>
    </row>
    <row r="10018" spans="33:36" ht="11.25" customHeight="1" x14ac:dyDescent="0.2">
      <c r="AG10018" s="19"/>
      <c r="AJ10018" s="410"/>
    </row>
    <row r="10019" spans="33:36" ht="11.25" customHeight="1" x14ac:dyDescent="0.2">
      <c r="AG10019" s="19"/>
      <c r="AJ10019" s="410"/>
    </row>
    <row r="10020" spans="33:36" ht="11.25" customHeight="1" x14ac:dyDescent="0.2">
      <c r="AG10020" s="19"/>
      <c r="AJ10020" s="410"/>
    </row>
    <row r="10021" spans="33:36" ht="11.25" customHeight="1" x14ac:dyDescent="0.2">
      <c r="AG10021" s="19"/>
      <c r="AJ10021" s="410"/>
    </row>
    <row r="10022" spans="33:36" ht="11.25" customHeight="1" x14ac:dyDescent="0.2">
      <c r="AG10022" s="19"/>
      <c r="AJ10022" s="410"/>
    </row>
    <row r="10023" spans="33:36" ht="11.25" customHeight="1" x14ac:dyDescent="0.2">
      <c r="AG10023" s="19"/>
      <c r="AJ10023" s="410"/>
    </row>
    <row r="10024" spans="33:36" ht="11.25" customHeight="1" x14ac:dyDescent="0.2">
      <c r="AG10024" s="19"/>
      <c r="AJ10024" s="410"/>
    </row>
    <row r="10025" spans="33:36" ht="11.25" customHeight="1" x14ac:dyDescent="0.2">
      <c r="AG10025" s="19"/>
      <c r="AJ10025" s="410"/>
    </row>
    <row r="10026" spans="33:36" ht="11.25" customHeight="1" x14ac:dyDescent="0.2">
      <c r="AG10026" s="19"/>
      <c r="AJ10026" s="410"/>
    </row>
    <row r="10027" spans="33:36" ht="11.25" customHeight="1" x14ac:dyDescent="0.2">
      <c r="AG10027" s="19"/>
      <c r="AJ10027" s="410"/>
    </row>
    <row r="10028" spans="33:36" ht="11.25" customHeight="1" x14ac:dyDescent="0.2">
      <c r="AG10028" s="19"/>
      <c r="AJ10028" s="410"/>
    </row>
    <row r="10029" spans="33:36" ht="11.25" customHeight="1" x14ac:dyDescent="0.2">
      <c r="AG10029" s="19"/>
      <c r="AJ10029" s="410"/>
    </row>
    <row r="10030" spans="33:36" ht="11.25" customHeight="1" x14ac:dyDescent="0.2">
      <c r="AG10030" s="19"/>
      <c r="AJ10030" s="410"/>
    </row>
    <row r="10031" spans="33:36" ht="11.25" customHeight="1" x14ac:dyDescent="0.2">
      <c r="AG10031" s="19"/>
      <c r="AJ10031" s="410"/>
    </row>
    <row r="10032" spans="33:36" ht="11.25" customHeight="1" x14ac:dyDescent="0.2">
      <c r="AG10032" s="19"/>
      <c r="AJ10032" s="410"/>
    </row>
    <row r="10033" spans="33:36" ht="11.25" customHeight="1" x14ac:dyDescent="0.2">
      <c r="AG10033" s="19"/>
      <c r="AJ10033" s="410"/>
    </row>
    <row r="10034" spans="33:36" ht="11.25" customHeight="1" x14ac:dyDescent="0.2">
      <c r="AG10034" s="19"/>
      <c r="AJ10034" s="410"/>
    </row>
    <row r="10035" spans="33:36" ht="11.25" customHeight="1" x14ac:dyDescent="0.2">
      <c r="AG10035" s="19"/>
      <c r="AJ10035" s="410"/>
    </row>
    <row r="10036" spans="33:36" ht="11.25" customHeight="1" x14ac:dyDescent="0.2">
      <c r="AG10036" s="19"/>
      <c r="AJ10036" s="410"/>
    </row>
    <row r="10037" spans="33:36" ht="11.25" customHeight="1" x14ac:dyDescent="0.2">
      <c r="AG10037" s="19"/>
      <c r="AJ10037" s="410"/>
    </row>
    <row r="10038" spans="33:36" ht="11.25" customHeight="1" x14ac:dyDescent="0.2">
      <c r="AG10038" s="19"/>
      <c r="AJ10038" s="410"/>
    </row>
    <row r="10039" spans="33:36" ht="11.25" customHeight="1" x14ac:dyDescent="0.2">
      <c r="AG10039" s="19"/>
      <c r="AJ10039" s="410"/>
    </row>
    <row r="10040" spans="33:36" ht="11.25" customHeight="1" x14ac:dyDescent="0.2">
      <c r="AG10040" s="19"/>
      <c r="AJ10040" s="410"/>
    </row>
    <row r="10041" spans="33:36" ht="11.25" customHeight="1" x14ac:dyDescent="0.2">
      <c r="AG10041" s="19"/>
      <c r="AJ10041" s="410"/>
    </row>
    <row r="10042" spans="33:36" ht="11.25" customHeight="1" x14ac:dyDescent="0.2">
      <c r="AG10042" s="19"/>
      <c r="AJ10042" s="410"/>
    </row>
    <row r="10043" spans="33:36" ht="11.25" customHeight="1" x14ac:dyDescent="0.2">
      <c r="AG10043" s="19"/>
      <c r="AJ10043" s="410"/>
    </row>
    <row r="10044" spans="33:36" ht="11.25" customHeight="1" x14ac:dyDescent="0.2">
      <c r="AG10044" s="19"/>
      <c r="AJ10044" s="410"/>
    </row>
    <row r="10045" spans="33:36" ht="11.25" customHeight="1" x14ac:dyDescent="0.2">
      <c r="AG10045" s="19"/>
      <c r="AJ10045" s="410"/>
    </row>
    <row r="10046" spans="33:36" ht="11.25" customHeight="1" x14ac:dyDescent="0.2">
      <c r="AG10046" s="19"/>
      <c r="AJ10046" s="410"/>
    </row>
    <row r="10047" spans="33:36" ht="11.25" customHeight="1" x14ac:dyDescent="0.2">
      <c r="AG10047" s="19"/>
      <c r="AJ10047" s="410"/>
    </row>
    <row r="10048" spans="33:36" ht="11.25" customHeight="1" x14ac:dyDescent="0.2">
      <c r="AG10048" s="19"/>
      <c r="AJ10048" s="410"/>
    </row>
    <row r="10049" spans="33:36" ht="11.25" customHeight="1" x14ac:dyDescent="0.2">
      <c r="AG10049" s="19"/>
      <c r="AJ10049" s="410"/>
    </row>
    <row r="10050" spans="33:36" ht="11.25" customHeight="1" x14ac:dyDescent="0.2">
      <c r="AG10050" s="19"/>
      <c r="AJ10050" s="410"/>
    </row>
    <row r="10051" spans="33:36" ht="11.25" customHeight="1" x14ac:dyDescent="0.2">
      <c r="AG10051" s="19"/>
      <c r="AJ10051" s="410"/>
    </row>
    <row r="10052" spans="33:36" ht="11.25" customHeight="1" x14ac:dyDescent="0.2">
      <c r="AG10052" s="19"/>
      <c r="AJ10052" s="410"/>
    </row>
    <row r="10053" spans="33:36" ht="11.25" customHeight="1" x14ac:dyDescent="0.2">
      <c r="AG10053" s="19"/>
      <c r="AJ10053" s="410"/>
    </row>
    <row r="10054" spans="33:36" ht="11.25" customHeight="1" x14ac:dyDescent="0.2">
      <c r="AG10054" s="19"/>
      <c r="AJ10054" s="410"/>
    </row>
    <row r="10055" spans="33:36" ht="11.25" customHeight="1" x14ac:dyDescent="0.2">
      <c r="AG10055" s="19"/>
      <c r="AJ10055" s="410"/>
    </row>
    <row r="10056" spans="33:36" ht="11.25" customHeight="1" x14ac:dyDescent="0.2">
      <c r="AG10056" s="19"/>
      <c r="AJ10056" s="410"/>
    </row>
    <row r="10057" spans="33:36" ht="11.25" customHeight="1" x14ac:dyDescent="0.2">
      <c r="AG10057" s="19"/>
      <c r="AJ10057" s="410"/>
    </row>
    <row r="10058" spans="33:36" ht="11.25" customHeight="1" x14ac:dyDescent="0.2">
      <c r="AG10058" s="19"/>
      <c r="AJ10058" s="410"/>
    </row>
    <row r="10059" spans="33:36" ht="11.25" customHeight="1" x14ac:dyDescent="0.2">
      <c r="AG10059" s="19"/>
      <c r="AJ10059" s="410"/>
    </row>
    <row r="10060" spans="33:36" ht="11.25" customHeight="1" x14ac:dyDescent="0.2">
      <c r="AG10060" s="19"/>
      <c r="AJ10060" s="410"/>
    </row>
    <row r="10061" spans="33:36" ht="11.25" customHeight="1" x14ac:dyDescent="0.2">
      <c r="AG10061" s="19"/>
      <c r="AJ10061" s="410"/>
    </row>
    <row r="10062" spans="33:36" ht="11.25" customHeight="1" x14ac:dyDescent="0.2">
      <c r="AG10062" s="19"/>
      <c r="AJ10062" s="410"/>
    </row>
    <row r="10063" spans="33:36" ht="11.25" customHeight="1" x14ac:dyDescent="0.2">
      <c r="AG10063" s="19"/>
      <c r="AJ10063" s="410"/>
    </row>
    <row r="10064" spans="33:36" ht="11.25" customHeight="1" x14ac:dyDescent="0.2">
      <c r="AG10064" s="19"/>
      <c r="AJ10064" s="410"/>
    </row>
    <row r="10065" spans="33:36" ht="11.25" customHeight="1" x14ac:dyDescent="0.2">
      <c r="AG10065" s="19"/>
      <c r="AJ10065" s="410"/>
    </row>
    <row r="10066" spans="33:36" ht="11.25" customHeight="1" x14ac:dyDescent="0.2">
      <c r="AG10066" s="19"/>
      <c r="AJ10066" s="410"/>
    </row>
    <row r="10067" spans="33:36" ht="11.25" customHeight="1" x14ac:dyDescent="0.2">
      <c r="AG10067" s="19"/>
      <c r="AJ10067" s="410"/>
    </row>
    <row r="10068" spans="33:36" ht="11.25" customHeight="1" x14ac:dyDescent="0.2">
      <c r="AG10068" s="19"/>
      <c r="AJ10068" s="410"/>
    </row>
    <row r="10069" spans="33:36" ht="11.25" customHeight="1" x14ac:dyDescent="0.2">
      <c r="AG10069" s="19"/>
      <c r="AJ10069" s="410"/>
    </row>
    <row r="10070" spans="33:36" ht="11.25" customHeight="1" x14ac:dyDescent="0.2">
      <c r="AG10070" s="19"/>
      <c r="AJ10070" s="410"/>
    </row>
    <row r="10071" spans="33:36" ht="11.25" customHeight="1" x14ac:dyDescent="0.2">
      <c r="AG10071" s="19"/>
      <c r="AJ10071" s="410"/>
    </row>
    <row r="10072" spans="33:36" ht="11.25" customHeight="1" x14ac:dyDescent="0.2">
      <c r="AG10072" s="19"/>
      <c r="AJ10072" s="410"/>
    </row>
    <row r="10073" spans="33:36" ht="11.25" customHeight="1" x14ac:dyDescent="0.2">
      <c r="AG10073" s="19"/>
      <c r="AJ10073" s="410"/>
    </row>
    <row r="10074" spans="33:36" ht="11.25" customHeight="1" x14ac:dyDescent="0.2">
      <c r="AG10074" s="19"/>
      <c r="AJ10074" s="410"/>
    </row>
    <row r="10075" spans="33:36" ht="11.25" customHeight="1" x14ac:dyDescent="0.2">
      <c r="AG10075" s="19"/>
      <c r="AJ10075" s="410"/>
    </row>
    <row r="10076" spans="33:36" ht="11.25" customHeight="1" x14ac:dyDescent="0.2">
      <c r="AG10076" s="19"/>
      <c r="AJ10076" s="410"/>
    </row>
    <row r="10077" spans="33:36" ht="11.25" customHeight="1" x14ac:dyDescent="0.2">
      <c r="AG10077" s="19"/>
      <c r="AJ10077" s="410"/>
    </row>
    <row r="10078" spans="33:36" ht="11.25" customHeight="1" x14ac:dyDescent="0.2">
      <c r="AG10078" s="19"/>
      <c r="AJ10078" s="410"/>
    </row>
    <row r="10079" spans="33:36" ht="11.25" customHeight="1" x14ac:dyDescent="0.2">
      <c r="AG10079" s="19"/>
      <c r="AJ10079" s="410"/>
    </row>
    <row r="10080" spans="33:36" ht="11.25" customHeight="1" x14ac:dyDescent="0.2">
      <c r="AG10080" s="19"/>
      <c r="AJ10080" s="410"/>
    </row>
    <row r="10081" spans="33:36" ht="11.25" customHeight="1" x14ac:dyDescent="0.2">
      <c r="AG10081" s="19"/>
      <c r="AJ10081" s="410"/>
    </row>
    <row r="10082" spans="33:36" ht="11.25" customHeight="1" x14ac:dyDescent="0.2">
      <c r="AG10082" s="19"/>
      <c r="AJ10082" s="410"/>
    </row>
    <row r="10083" spans="33:36" ht="11.25" customHeight="1" x14ac:dyDescent="0.2">
      <c r="AG10083" s="19"/>
      <c r="AJ10083" s="410"/>
    </row>
    <row r="10084" spans="33:36" ht="11.25" customHeight="1" x14ac:dyDescent="0.2">
      <c r="AG10084" s="19"/>
      <c r="AJ10084" s="410"/>
    </row>
    <row r="10085" spans="33:36" ht="11.25" customHeight="1" x14ac:dyDescent="0.2">
      <c r="AG10085" s="19"/>
      <c r="AJ10085" s="410"/>
    </row>
    <row r="10086" spans="33:36" ht="11.25" customHeight="1" x14ac:dyDescent="0.2">
      <c r="AG10086" s="19"/>
      <c r="AJ10086" s="410"/>
    </row>
    <row r="10087" spans="33:36" ht="11.25" customHeight="1" x14ac:dyDescent="0.2">
      <c r="AG10087" s="19"/>
      <c r="AJ10087" s="410"/>
    </row>
    <row r="10088" spans="33:36" ht="11.25" customHeight="1" x14ac:dyDescent="0.2">
      <c r="AG10088" s="19"/>
      <c r="AJ10088" s="410"/>
    </row>
    <row r="10089" spans="33:36" ht="11.25" customHeight="1" x14ac:dyDescent="0.2">
      <c r="AG10089" s="19"/>
      <c r="AJ10089" s="410"/>
    </row>
    <row r="10090" spans="33:36" ht="11.25" customHeight="1" x14ac:dyDescent="0.2">
      <c r="AG10090" s="19"/>
      <c r="AJ10090" s="410"/>
    </row>
    <row r="10091" spans="33:36" ht="11.25" customHeight="1" x14ac:dyDescent="0.2">
      <c r="AG10091" s="19"/>
      <c r="AJ10091" s="410"/>
    </row>
  </sheetData>
  <sheetProtection sheet="1" objects="1" scenarios="1" selectLockedCells="1"/>
  <phoneticPr fontId="29" type="noConversion"/>
  <dataValidations disablePrompts="1" count="4">
    <dataValidation type="decimal" allowBlank="1" showErrorMessage="1" errorTitle="Population mean" error="Number, min 0, max 100" sqref="AB3 AB5:AF5">
      <formula1>0</formula1>
      <formula2>100</formula2>
    </dataValidation>
    <dataValidation type="decimal" allowBlank="1" showErrorMessage="1" errorTitle="Population standard deviation" error="Number, min 1, max 50" sqref="AB7:AE7">
      <formula1>1</formula1>
      <formula2>50</formula2>
    </dataValidation>
    <dataValidation type="whole" allowBlank="1" showErrorMessage="1" errorTitle="Sample size" error="Integer, min 2, max 200" sqref="U10">
      <formula1>2</formula1>
      <formula2>200</formula2>
    </dataValidation>
    <dataValidation type="decimal" allowBlank="1" showErrorMessage="1" errorTitle="Comparison value for mean" error="Number, min 0, max 100" sqref="BR2">
      <formula1>0</formula1>
      <formula2>100</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oleObjects>
    <mc:AlternateContent xmlns:mc="http://schemas.openxmlformats.org/markup-compatibility/2006">
      <mc:Choice Requires="x14">
        <oleObject progId="Paint.Picture" shapeId="177246" r:id="rId4">
          <objectPr defaultSize="0" autoPict="0" r:id="rId5">
            <anchor moveWithCells="1">
              <from>
                <xdr:col>0</xdr:col>
                <xdr:colOff>0</xdr:colOff>
                <xdr:row>0</xdr:row>
                <xdr:rowOff>0</xdr:rowOff>
              </from>
              <to>
                <xdr:col>13</xdr:col>
                <xdr:colOff>0</xdr:colOff>
                <xdr:row>55</xdr:row>
                <xdr:rowOff>28575</xdr:rowOff>
              </to>
            </anchor>
          </objectPr>
        </oleObject>
      </mc:Choice>
      <mc:Fallback>
        <oleObject progId="Paint.Picture" shapeId="177246" r:id="rId4"/>
      </mc:Fallback>
    </mc:AlternateContent>
  </oleObjects>
  <mc:AlternateContent xmlns:mc="http://schemas.openxmlformats.org/markup-compatibility/2006">
    <mc:Choice Requires="x14">
      <controls>
        <mc:AlternateContent xmlns:mc="http://schemas.openxmlformats.org/markup-compatibility/2006">
          <mc:Choice Requires="x14">
            <control shapeId="177186" r:id="rId6" name="Spinner 34">
              <controlPr defaultSize="0" autoPict="0" macro="[0]!switchdiffaxis">
                <anchor moveWithCells="1" sizeWithCells="1">
                  <from>
                    <xdr:col>21</xdr:col>
                    <xdr:colOff>9525</xdr:colOff>
                    <xdr:row>8</xdr:row>
                    <xdr:rowOff>66675</xdr:rowOff>
                  </from>
                  <to>
                    <xdr:col>22</xdr:col>
                    <xdr:colOff>66675</xdr:colOff>
                    <xdr:row>10</xdr:row>
                    <xdr:rowOff>28575</xdr:rowOff>
                  </to>
                </anchor>
              </controlPr>
            </control>
          </mc:Choice>
        </mc:AlternateContent>
        <mc:AlternateContent xmlns:mc="http://schemas.openxmlformats.org/markup-compatibility/2006">
          <mc:Choice Requires="x14">
            <control shapeId="177187" r:id="rId7" name="Scroll Bar 35">
              <controlPr defaultSize="0" autoPict="0" macro="[0]!switchdiffaxis">
                <anchor moveWithCells="1">
                  <from>
                    <xdr:col>20</xdr:col>
                    <xdr:colOff>95250</xdr:colOff>
                    <xdr:row>2</xdr:row>
                    <xdr:rowOff>9525</xdr:rowOff>
                  </from>
                  <to>
                    <xdr:col>26</xdr:col>
                    <xdr:colOff>219075</xdr:colOff>
                    <xdr:row>3</xdr:row>
                    <xdr:rowOff>47625</xdr:rowOff>
                  </to>
                </anchor>
              </controlPr>
            </control>
          </mc:Choice>
        </mc:AlternateContent>
        <mc:AlternateContent xmlns:mc="http://schemas.openxmlformats.org/markup-compatibility/2006">
          <mc:Choice Requires="x14">
            <control shapeId="177188" r:id="rId8" name="Scroll Bar 36">
              <controlPr defaultSize="0" autoPict="0" macro="[0]!switchdiffaxis">
                <anchor moveWithCells="1">
                  <from>
                    <xdr:col>20</xdr:col>
                    <xdr:colOff>95250</xdr:colOff>
                    <xdr:row>5</xdr:row>
                    <xdr:rowOff>133350</xdr:rowOff>
                  </from>
                  <to>
                    <xdr:col>26</xdr:col>
                    <xdr:colOff>219075</xdr:colOff>
                    <xdr:row>7</xdr:row>
                    <xdr:rowOff>28575</xdr:rowOff>
                  </to>
                </anchor>
              </controlPr>
            </control>
          </mc:Choice>
        </mc:AlternateContent>
        <mc:AlternateContent xmlns:mc="http://schemas.openxmlformats.org/markup-compatibility/2006">
          <mc:Choice Requires="x14">
            <control shapeId="177189" r:id="rId9" name="Button 37">
              <controlPr defaultSize="0" print="0" autoFill="0" autoPict="0" macro="[0]!ClearSampDataDP">
                <anchor moveWithCells="1">
                  <from>
                    <xdr:col>30</xdr:col>
                    <xdr:colOff>0</xdr:colOff>
                    <xdr:row>1</xdr:row>
                    <xdr:rowOff>19050</xdr:rowOff>
                  </from>
                  <to>
                    <xdr:col>31</xdr:col>
                    <xdr:colOff>171450</xdr:colOff>
                    <xdr:row>2</xdr:row>
                    <xdr:rowOff>95250</xdr:rowOff>
                  </to>
                </anchor>
              </controlPr>
            </control>
          </mc:Choice>
        </mc:AlternateContent>
        <mc:AlternateContent xmlns:mc="http://schemas.openxmlformats.org/markup-compatibility/2006">
          <mc:Choice Requires="x14">
            <control shapeId="177190" r:id="rId10" name="Button 38">
              <controlPr defaultSize="0" print="0" autoFill="0" autoPict="0" macro="[0]!Samp2DP">
                <anchor moveWithCells="1">
                  <from>
                    <xdr:col>30</xdr:col>
                    <xdr:colOff>0</xdr:colOff>
                    <xdr:row>3</xdr:row>
                    <xdr:rowOff>38100</xdr:rowOff>
                  </from>
                  <to>
                    <xdr:col>31</xdr:col>
                    <xdr:colOff>171450</xdr:colOff>
                    <xdr:row>5</xdr:row>
                    <xdr:rowOff>76200</xdr:rowOff>
                  </to>
                </anchor>
              </controlPr>
            </control>
          </mc:Choice>
        </mc:AlternateContent>
        <mc:AlternateContent xmlns:mc="http://schemas.openxmlformats.org/markup-compatibility/2006">
          <mc:Choice Requires="x14">
            <control shapeId="177191" r:id="rId11" name="Button 39">
              <controlPr defaultSize="0" print="0" autoFill="0" autoPict="0" macro="[0]!ResetDP">
                <anchor moveWithCells="1">
                  <from>
                    <xdr:col>30</xdr:col>
                    <xdr:colOff>0</xdr:colOff>
                    <xdr:row>6</xdr:row>
                    <xdr:rowOff>19050</xdr:rowOff>
                  </from>
                  <to>
                    <xdr:col>31</xdr:col>
                    <xdr:colOff>171450</xdr:colOff>
                    <xdr:row>7</xdr:row>
                    <xdr:rowOff>95250</xdr:rowOff>
                  </to>
                </anchor>
              </controlPr>
            </control>
          </mc:Choice>
        </mc:AlternateContent>
        <mc:AlternateContent xmlns:mc="http://schemas.openxmlformats.org/markup-compatibility/2006">
          <mc:Choice Requires="x14">
            <control shapeId="177196" r:id="rId12" name="Spinner 44">
              <controlPr defaultSize="0" autoPict="0">
                <anchor moveWithCells="1" sizeWithCells="1">
                  <from>
                    <xdr:col>27</xdr:col>
                    <xdr:colOff>9525</xdr:colOff>
                    <xdr:row>87</xdr:row>
                    <xdr:rowOff>28575</xdr:rowOff>
                  </from>
                  <to>
                    <xdr:col>27</xdr:col>
                    <xdr:colOff>152400</xdr:colOff>
                    <xdr:row>88</xdr:row>
                    <xdr:rowOff>114300</xdr:rowOff>
                  </to>
                </anchor>
              </controlPr>
            </control>
          </mc:Choice>
        </mc:AlternateContent>
        <mc:AlternateContent xmlns:mc="http://schemas.openxmlformats.org/markup-compatibility/2006">
          <mc:Choice Requires="x14">
            <control shapeId="177197" r:id="rId13" name="Spinner 45">
              <controlPr defaultSize="0" autoPict="0">
                <anchor moveWithCells="1" sizeWithCells="1">
                  <from>
                    <xdr:col>27</xdr:col>
                    <xdr:colOff>9525</xdr:colOff>
                    <xdr:row>84</xdr:row>
                    <xdr:rowOff>19050</xdr:rowOff>
                  </from>
                  <to>
                    <xdr:col>27</xdr:col>
                    <xdr:colOff>152400</xdr:colOff>
                    <xdr:row>85</xdr:row>
                    <xdr:rowOff>123825</xdr:rowOff>
                  </to>
                </anchor>
              </controlPr>
            </control>
          </mc:Choice>
        </mc:AlternateContent>
        <mc:AlternateContent xmlns:mc="http://schemas.openxmlformats.org/markup-compatibility/2006">
          <mc:Choice Requires="x14">
            <control shapeId="177203" r:id="rId14" name="Check Box 51">
              <controlPr defaultSize="0" autoFill="0" autoLine="0" autoPict="0" macro="[0]!switchCE">
                <anchor moveWithCells="1">
                  <from>
                    <xdr:col>12</xdr:col>
                    <xdr:colOff>28575</xdr:colOff>
                    <xdr:row>9</xdr:row>
                    <xdr:rowOff>47625</xdr:rowOff>
                  </from>
                  <to>
                    <xdr:col>14</xdr:col>
                    <xdr:colOff>28575</xdr:colOff>
                    <xdr:row>10</xdr:row>
                    <xdr:rowOff>95250</xdr:rowOff>
                  </to>
                </anchor>
              </controlPr>
            </control>
          </mc:Choice>
        </mc:AlternateContent>
        <mc:AlternateContent xmlns:mc="http://schemas.openxmlformats.org/markup-compatibility/2006">
          <mc:Choice Requires="x14">
            <control shapeId="177204" r:id="rId15" name="Scroll Bar 52">
              <controlPr defaultSize="0" autoPict="0" macro="[0]!switchdiffaxis">
                <anchor moveWithCells="1">
                  <from>
                    <xdr:col>20</xdr:col>
                    <xdr:colOff>95250</xdr:colOff>
                    <xdr:row>3</xdr:row>
                    <xdr:rowOff>133350</xdr:rowOff>
                  </from>
                  <to>
                    <xdr:col>26</xdr:col>
                    <xdr:colOff>219075</xdr:colOff>
                    <xdr:row>5</xdr:row>
                    <xdr:rowOff>28575</xdr:rowOff>
                  </to>
                </anchor>
              </controlPr>
            </control>
          </mc:Choice>
        </mc:AlternateContent>
        <mc:AlternateContent xmlns:mc="http://schemas.openxmlformats.org/markup-compatibility/2006">
          <mc:Choice Requires="x14">
            <control shapeId="177205" r:id="rId16" name="Check Box 53">
              <controlPr defaultSize="0" autoFill="0" autoLine="0" autoPict="0">
                <anchor moveWithCells="1">
                  <from>
                    <xdr:col>14</xdr:col>
                    <xdr:colOff>419100</xdr:colOff>
                    <xdr:row>4</xdr:row>
                    <xdr:rowOff>114300</xdr:rowOff>
                  </from>
                  <to>
                    <xdr:col>16</xdr:col>
                    <xdr:colOff>76200</xdr:colOff>
                    <xdr:row>6</xdr:row>
                    <xdr:rowOff>38100</xdr:rowOff>
                  </to>
                </anchor>
              </controlPr>
            </control>
          </mc:Choice>
        </mc:AlternateContent>
        <mc:AlternateContent xmlns:mc="http://schemas.openxmlformats.org/markup-compatibility/2006">
          <mc:Choice Requires="x14">
            <control shapeId="177206" r:id="rId17" name="Check Box 54">
              <controlPr defaultSize="0" autoFill="0" autoLine="0" autoPict="0">
                <anchor moveWithCells="1">
                  <from>
                    <xdr:col>14</xdr:col>
                    <xdr:colOff>104775</xdr:colOff>
                    <xdr:row>12</xdr:row>
                    <xdr:rowOff>95250</xdr:rowOff>
                  </from>
                  <to>
                    <xdr:col>15</xdr:col>
                    <xdr:colOff>0</xdr:colOff>
                    <xdr:row>14</xdr:row>
                    <xdr:rowOff>9525</xdr:rowOff>
                  </to>
                </anchor>
              </controlPr>
            </control>
          </mc:Choice>
        </mc:AlternateContent>
        <mc:AlternateContent xmlns:mc="http://schemas.openxmlformats.org/markup-compatibility/2006">
          <mc:Choice Requires="x14">
            <control shapeId="177207" r:id="rId18" name="Check Box 55">
              <controlPr defaultSize="0" autoFill="0" autoLine="0" autoPict="0" macro="[0]!setcolumns">
                <anchor moveWithCells="1">
                  <from>
                    <xdr:col>19</xdr:col>
                    <xdr:colOff>152400</xdr:colOff>
                    <xdr:row>10</xdr:row>
                    <xdr:rowOff>114300</xdr:rowOff>
                  </from>
                  <to>
                    <xdr:col>20</xdr:col>
                    <xdr:colOff>0</xdr:colOff>
                    <xdr:row>12</xdr:row>
                    <xdr:rowOff>28575</xdr:rowOff>
                  </to>
                </anchor>
              </controlPr>
            </control>
          </mc:Choice>
        </mc:AlternateContent>
        <mc:AlternateContent xmlns:mc="http://schemas.openxmlformats.org/markup-compatibility/2006">
          <mc:Choice Requires="x14">
            <control shapeId="177210" r:id="rId19" name="Check Box 58">
              <controlPr defaultSize="0" autoFill="0" autoLine="0" autoPict="0" macro="[0]!switchdiffaxis">
                <anchor moveWithCells="1">
                  <from>
                    <xdr:col>12</xdr:col>
                    <xdr:colOff>28575</xdr:colOff>
                    <xdr:row>11</xdr:row>
                    <xdr:rowOff>104775</xdr:rowOff>
                  </from>
                  <to>
                    <xdr:col>14</xdr:col>
                    <xdr:colOff>38100</xdr:colOff>
                    <xdr:row>13</xdr:row>
                    <xdr:rowOff>28575</xdr:rowOff>
                  </to>
                </anchor>
              </controlPr>
            </control>
          </mc:Choice>
        </mc:AlternateContent>
        <mc:AlternateContent xmlns:mc="http://schemas.openxmlformats.org/markup-compatibility/2006">
          <mc:Choice Requires="x14">
            <control shapeId="177214" r:id="rId20" name="Check Box 62">
              <controlPr defaultSize="0" autoFill="0" autoLine="0" autoPict="0">
                <anchor moveWithCells="1">
                  <from>
                    <xdr:col>20</xdr:col>
                    <xdr:colOff>200025</xdr:colOff>
                    <xdr:row>11</xdr:row>
                    <xdr:rowOff>95250</xdr:rowOff>
                  </from>
                  <to>
                    <xdr:col>21</xdr:col>
                    <xdr:colOff>47625</xdr:colOff>
                    <xdr:row>13</xdr:row>
                    <xdr:rowOff>9525</xdr:rowOff>
                  </to>
                </anchor>
              </controlPr>
            </control>
          </mc:Choice>
        </mc:AlternateContent>
        <mc:AlternateContent xmlns:mc="http://schemas.openxmlformats.org/markup-compatibility/2006">
          <mc:Choice Requires="x14">
            <control shapeId="177215" r:id="rId21" name="Spinner 63">
              <controlPr defaultSize="0" autoPict="0">
                <anchor moveWithCells="1" sizeWithCells="1">
                  <from>
                    <xdr:col>27</xdr:col>
                    <xdr:colOff>9525</xdr:colOff>
                    <xdr:row>90</xdr:row>
                    <xdr:rowOff>28575</xdr:rowOff>
                  </from>
                  <to>
                    <xdr:col>27</xdr:col>
                    <xdr:colOff>152400</xdr:colOff>
                    <xdr:row>91</xdr:row>
                    <xdr:rowOff>114300</xdr:rowOff>
                  </to>
                </anchor>
              </controlPr>
            </control>
          </mc:Choice>
        </mc:AlternateContent>
        <mc:AlternateContent xmlns:mc="http://schemas.openxmlformats.org/markup-compatibility/2006">
          <mc:Choice Requires="x14">
            <control shapeId="177221" r:id="rId22" name="Check Box 69">
              <controlPr defaultSize="0" autoFill="0" autoLine="0" autoPict="0" macro="[0]!setcolumns">
                <anchor moveWithCells="1">
                  <from>
                    <xdr:col>12</xdr:col>
                    <xdr:colOff>28575</xdr:colOff>
                    <xdr:row>25</xdr:row>
                    <xdr:rowOff>123825</xdr:rowOff>
                  </from>
                  <to>
                    <xdr:col>14</xdr:col>
                    <xdr:colOff>38100</xdr:colOff>
                    <xdr:row>27</xdr:row>
                    <xdr:rowOff>47625</xdr:rowOff>
                  </to>
                </anchor>
              </controlPr>
            </control>
          </mc:Choice>
        </mc:AlternateContent>
        <mc:AlternateContent xmlns:mc="http://schemas.openxmlformats.org/markup-compatibility/2006">
          <mc:Choice Requires="x14">
            <control shapeId="177222" r:id="rId23" name="Scroll Bar 70">
              <controlPr defaultSize="0" autoPict="0">
                <anchor moveWithCells="1">
                  <from>
                    <xdr:col>14</xdr:col>
                    <xdr:colOff>247650</xdr:colOff>
                    <xdr:row>29</xdr:row>
                    <xdr:rowOff>133350</xdr:rowOff>
                  </from>
                  <to>
                    <xdr:col>14</xdr:col>
                    <xdr:colOff>428625</xdr:colOff>
                    <xdr:row>38</xdr:row>
                    <xdr:rowOff>85725</xdr:rowOff>
                  </to>
                </anchor>
              </controlPr>
            </control>
          </mc:Choice>
        </mc:AlternateContent>
        <mc:AlternateContent xmlns:mc="http://schemas.openxmlformats.org/markup-compatibility/2006">
          <mc:Choice Requires="x14">
            <control shapeId="177224" r:id="rId24" name="Check Box 72">
              <controlPr defaultSize="0" autoFill="0" autoLine="0" autoPict="0">
                <anchor moveWithCells="1">
                  <from>
                    <xdr:col>29</xdr:col>
                    <xdr:colOff>95250</xdr:colOff>
                    <xdr:row>12</xdr:row>
                    <xdr:rowOff>76200</xdr:rowOff>
                  </from>
                  <to>
                    <xdr:col>31</xdr:col>
                    <xdr:colOff>161925</xdr:colOff>
                    <xdr:row>14</xdr:row>
                    <xdr:rowOff>9525</xdr:rowOff>
                  </to>
                </anchor>
              </controlPr>
            </control>
          </mc:Choice>
        </mc:AlternateContent>
        <mc:AlternateContent xmlns:mc="http://schemas.openxmlformats.org/markup-compatibility/2006">
          <mc:Choice Requires="x14">
            <control shapeId="177225" r:id="rId25" name="Check Box 73">
              <controlPr defaultSize="0" autoFill="0" autoLine="0" autoPict="0" macro="[0]!Seedancep">
                <anchor moveWithCells="1">
                  <from>
                    <xdr:col>21</xdr:col>
                    <xdr:colOff>76200</xdr:colOff>
                    <xdr:row>12</xdr:row>
                    <xdr:rowOff>85725</xdr:rowOff>
                  </from>
                  <to>
                    <xdr:col>25</xdr:col>
                    <xdr:colOff>19050</xdr:colOff>
                    <xdr:row>14</xdr:row>
                    <xdr:rowOff>19050</xdr:rowOff>
                  </to>
                </anchor>
              </controlPr>
            </control>
          </mc:Choice>
        </mc:AlternateContent>
        <mc:AlternateContent xmlns:mc="http://schemas.openxmlformats.org/markup-compatibility/2006">
          <mc:Choice Requires="x14">
            <control shapeId="177228" r:id="rId26" name="Spinner 76">
              <controlPr defaultSize="0" autoPict="0">
                <anchor moveWithCells="1">
                  <from>
                    <xdr:col>29</xdr:col>
                    <xdr:colOff>28575</xdr:colOff>
                    <xdr:row>6</xdr:row>
                    <xdr:rowOff>19050</xdr:rowOff>
                  </from>
                  <to>
                    <xdr:col>29</xdr:col>
                    <xdr:colOff>171450</xdr:colOff>
                    <xdr:row>7</xdr:row>
                    <xdr:rowOff>123825</xdr:rowOff>
                  </to>
                </anchor>
              </controlPr>
            </control>
          </mc:Choice>
        </mc:AlternateContent>
        <mc:AlternateContent xmlns:mc="http://schemas.openxmlformats.org/markup-compatibility/2006">
          <mc:Choice Requires="x14">
            <control shapeId="177230" r:id="rId27" name="Check Box 78">
              <controlPr defaultSize="0" autoFill="0" autoLine="0" autoPict="0" macro="[0]!setcolumns">
                <anchor moveWithCells="1">
                  <from>
                    <xdr:col>12</xdr:col>
                    <xdr:colOff>28575</xdr:colOff>
                    <xdr:row>21</xdr:row>
                    <xdr:rowOff>114300</xdr:rowOff>
                  </from>
                  <to>
                    <xdr:col>14</xdr:col>
                    <xdr:colOff>38100</xdr:colOff>
                    <xdr:row>23</xdr:row>
                    <xdr:rowOff>38100</xdr:rowOff>
                  </to>
                </anchor>
              </controlPr>
            </control>
          </mc:Choice>
        </mc:AlternateContent>
        <mc:AlternateContent xmlns:mc="http://schemas.openxmlformats.org/markup-compatibility/2006">
          <mc:Choice Requires="x14">
            <control shapeId="177232" r:id="rId28" name="Button 80">
              <controlPr defaultSize="0" print="0" autoFill="0" autoPict="0" macro="[0]!playsd5">
                <anchor moveWithCells="1">
                  <from>
                    <xdr:col>18</xdr:col>
                    <xdr:colOff>85725</xdr:colOff>
                    <xdr:row>39</xdr:row>
                    <xdr:rowOff>85725</xdr:rowOff>
                  </from>
                  <to>
                    <xdr:col>19</xdr:col>
                    <xdr:colOff>95250</xdr:colOff>
                    <xdr:row>40</xdr:row>
                    <xdr:rowOff>85725</xdr:rowOff>
                  </to>
                </anchor>
              </controlPr>
            </control>
          </mc:Choice>
        </mc:AlternateContent>
        <mc:AlternateContent xmlns:mc="http://schemas.openxmlformats.org/markup-compatibility/2006">
          <mc:Choice Requires="x14">
            <control shapeId="177233" r:id="rId29" name="Button 81">
              <controlPr defaultSize="0" print="0" autoFill="0" autoPict="0" macro="[0]!playsd4">
                <anchor moveWithCells="1">
                  <from>
                    <xdr:col>20</xdr:col>
                    <xdr:colOff>257175</xdr:colOff>
                    <xdr:row>39</xdr:row>
                    <xdr:rowOff>85725</xdr:rowOff>
                  </from>
                  <to>
                    <xdr:col>21</xdr:col>
                    <xdr:colOff>9525</xdr:colOff>
                    <xdr:row>40</xdr:row>
                    <xdr:rowOff>85725</xdr:rowOff>
                  </to>
                </anchor>
              </controlPr>
            </control>
          </mc:Choice>
        </mc:AlternateContent>
        <mc:AlternateContent xmlns:mc="http://schemas.openxmlformats.org/markup-compatibility/2006">
          <mc:Choice Requires="x14">
            <control shapeId="177234" r:id="rId30" name="Button 82">
              <controlPr defaultSize="0" print="0" autoFill="0" autoPict="0" macro="[0]!play3">
                <anchor moveWithCells="1">
                  <from>
                    <xdr:col>26</xdr:col>
                    <xdr:colOff>114300</xdr:colOff>
                    <xdr:row>39</xdr:row>
                    <xdr:rowOff>85725</xdr:rowOff>
                  </from>
                  <to>
                    <xdr:col>26</xdr:col>
                    <xdr:colOff>257175</xdr:colOff>
                    <xdr:row>40</xdr:row>
                    <xdr:rowOff>85725</xdr:rowOff>
                  </to>
                </anchor>
              </controlPr>
            </control>
          </mc:Choice>
        </mc:AlternateContent>
        <mc:AlternateContent xmlns:mc="http://schemas.openxmlformats.org/markup-compatibility/2006">
          <mc:Choice Requires="x14">
            <control shapeId="177235" r:id="rId31" name="Button 83">
              <controlPr defaultSize="0" print="0" autoFill="0" autoPict="0" macro="[0]!play2">
                <anchor moveWithCells="1">
                  <from>
                    <xdr:col>29</xdr:col>
                    <xdr:colOff>19050</xdr:colOff>
                    <xdr:row>39</xdr:row>
                    <xdr:rowOff>85725</xdr:rowOff>
                  </from>
                  <to>
                    <xdr:col>29</xdr:col>
                    <xdr:colOff>161925</xdr:colOff>
                    <xdr:row>40</xdr:row>
                    <xdr:rowOff>85725</xdr:rowOff>
                  </to>
                </anchor>
              </controlPr>
            </control>
          </mc:Choice>
        </mc:AlternateContent>
        <mc:AlternateContent xmlns:mc="http://schemas.openxmlformats.org/markup-compatibility/2006">
          <mc:Choice Requires="x14">
            <control shapeId="177236" r:id="rId32" name="Button 84">
              <controlPr defaultSize="0" print="0" autoFill="0" autoPict="0" macro="[0]!playsd1">
                <anchor moveWithCells="1" sizeWithCells="1">
                  <from>
                    <xdr:col>31</xdr:col>
                    <xdr:colOff>28575</xdr:colOff>
                    <xdr:row>39</xdr:row>
                    <xdr:rowOff>76200</xdr:rowOff>
                  </from>
                  <to>
                    <xdr:col>31</xdr:col>
                    <xdr:colOff>180975</xdr:colOff>
                    <xdr:row>40</xdr:row>
                    <xdr:rowOff>85725</xdr:rowOff>
                  </to>
                </anchor>
              </controlPr>
            </control>
          </mc:Choice>
        </mc:AlternateContent>
        <mc:AlternateContent xmlns:mc="http://schemas.openxmlformats.org/markup-compatibility/2006">
          <mc:Choice Requires="x14">
            <control shapeId="177243" r:id="rId33" name="Check Box 91">
              <controlPr defaultSize="0" autoFill="0" autoLine="0" autoPict="0" macro="[0]!setcolumns">
                <anchor moveWithCells="1">
                  <from>
                    <xdr:col>13</xdr:col>
                    <xdr:colOff>47625</xdr:colOff>
                    <xdr:row>42</xdr:row>
                    <xdr:rowOff>38100</xdr:rowOff>
                  </from>
                  <to>
                    <xdr:col>14</xdr:col>
                    <xdr:colOff>95250</xdr:colOff>
                    <xdr:row>43</xdr:row>
                    <xdr:rowOff>104775</xdr:rowOff>
                  </to>
                </anchor>
              </controlPr>
            </control>
          </mc:Choice>
        </mc:AlternateContent>
        <mc:AlternateContent xmlns:mc="http://schemas.openxmlformats.org/markup-compatibility/2006">
          <mc:Choice Requires="x14">
            <control shapeId="177394" r:id="rId34" name="Check Box 242">
              <controlPr defaultSize="0" autoFill="0" autoLine="0" autoPict="0">
                <anchor moveWithCells="1">
                  <from>
                    <xdr:col>60</xdr:col>
                    <xdr:colOff>38100</xdr:colOff>
                    <xdr:row>9</xdr:row>
                    <xdr:rowOff>114300</xdr:rowOff>
                  </from>
                  <to>
                    <xdr:col>60</xdr:col>
                    <xdr:colOff>342900</xdr:colOff>
                    <xdr:row>11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P1062"/>
  <sheetViews>
    <sheetView showGridLines="0" showRowColHeaders="0" workbookViewId="0">
      <selection activeCell="J2" sqref="J2"/>
    </sheetView>
  </sheetViews>
  <sheetFormatPr defaultColWidth="9" defaultRowHeight="11.25" customHeight="1" x14ac:dyDescent="0.2"/>
  <cols>
    <col min="1" max="1" width="3" style="900" customWidth="1"/>
    <col min="2" max="2" width="5.85546875" style="900" customWidth="1"/>
    <col min="3" max="3" width="2.5703125" style="900" customWidth="1"/>
    <col min="4" max="4" width="2.42578125" style="900" customWidth="1"/>
    <col min="5" max="5" width="2.5703125" style="902" customWidth="1"/>
    <col min="6" max="6" width="6.28515625" style="903" customWidth="1"/>
    <col min="7" max="7" width="3.28515625" style="900" customWidth="1"/>
    <col min="8" max="8" width="10.140625" style="900" customWidth="1"/>
    <col min="9" max="9" width="9" style="900" customWidth="1"/>
    <col min="10" max="10" width="9" style="908" customWidth="1"/>
    <col min="11" max="11" width="9" style="900" customWidth="1"/>
    <col min="12" max="25" width="9" style="1" customWidth="1"/>
    <col min="26" max="31" width="9" style="900" customWidth="1"/>
    <col min="32" max="42" width="9" style="1" customWidth="1"/>
    <col min="43" max="16384" width="9" style="900"/>
  </cols>
  <sheetData>
    <row r="1" spans="1:23" ht="11.25" customHeight="1" x14ac:dyDescent="0.2">
      <c r="A1" s="899"/>
      <c r="C1" s="901" t="s">
        <v>1123</v>
      </c>
      <c r="D1" s="901"/>
      <c r="H1" s="904"/>
      <c r="I1" s="905">
        <f t="shared" ref="I1:W1" si="0">(nopts+mindist+persist)/1000000</f>
        <v>4.0299999999999998E-4</v>
      </c>
      <c r="J1" s="905">
        <f t="shared" si="0"/>
        <v>4.0299999999999998E-4</v>
      </c>
      <c r="K1" s="905">
        <f t="shared" si="0"/>
        <v>4.0299999999999998E-4</v>
      </c>
      <c r="L1" s="905">
        <f t="shared" si="0"/>
        <v>4.0299999999999998E-4</v>
      </c>
      <c r="M1" s="905">
        <f t="shared" si="0"/>
        <v>4.0299999999999998E-4</v>
      </c>
      <c r="N1" s="905">
        <f t="shared" si="0"/>
        <v>4.0299999999999998E-4</v>
      </c>
      <c r="O1" s="905">
        <f t="shared" si="0"/>
        <v>4.0299999999999998E-4</v>
      </c>
      <c r="P1" s="905">
        <f t="shared" si="0"/>
        <v>4.0299999999999998E-4</v>
      </c>
      <c r="Q1" s="905">
        <f t="shared" si="0"/>
        <v>4.0299999999999998E-4</v>
      </c>
      <c r="R1" s="905">
        <f t="shared" si="0"/>
        <v>4.0299999999999998E-4</v>
      </c>
      <c r="S1" s="905">
        <f t="shared" si="0"/>
        <v>4.0299999999999998E-4</v>
      </c>
      <c r="T1" s="905">
        <f t="shared" si="0"/>
        <v>4.0299999999999998E-4</v>
      </c>
      <c r="U1" s="905">
        <f t="shared" si="0"/>
        <v>4.0299999999999998E-4</v>
      </c>
      <c r="V1" s="905">
        <f t="shared" si="0"/>
        <v>4.0299999999999998E-4</v>
      </c>
      <c r="W1" s="906">
        <f t="shared" si="0"/>
        <v>4.0299999999999998E-4</v>
      </c>
    </row>
    <row r="2" spans="1:23" ht="11.25" customHeight="1" x14ac:dyDescent="0.2">
      <c r="C2" s="902" t="s">
        <v>1124</v>
      </c>
      <c r="D2" s="902"/>
      <c r="I2" s="905">
        <f t="shared" ref="I2:I30" si="1">(nopts+mindist+persist)/1000000</f>
        <v>4.0299999999999998E-4</v>
      </c>
      <c r="J2" s="907"/>
      <c r="K2" s="905"/>
      <c r="R2" s="13"/>
      <c r="W2" s="906">
        <f t="shared" ref="W2:W30" si="2">(nopts+mindist+persist)/1000000</f>
        <v>4.0299999999999998E-4</v>
      </c>
    </row>
    <row r="3" spans="1:23" ht="11.25" customHeight="1" x14ac:dyDescent="0.2">
      <c r="C3" s="903" t="s">
        <v>1125</v>
      </c>
      <c r="D3" s="903"/>
      <c r="I3" s="905">
        <f t="shared" si="1"/>
        <v>4.0299999999999998E-4</v>
      </c>
      <c r="J3" s="907"/>
      <c r="K3" s="905"/>
      <c r="R3" s="13"/>
      <c r="W3" s="906">
        <f t="shared" si="2"/>
        <v>4.0299999999999998E-4</v>
      </c>
    </row>
    <row r="4" spans="1:23" ht="11.25" customHeight="1" x14ac:dyDescent="0.2">
      <c r="D4" s="909"/>
      <c r="I4" s="905">
        <f t="shared" si="1"/>
        <v>4.0299999999999998E-4</v>
      </c>
      <c r="J4" s="907"/>
      <c r="K4" s="905"/>
      <c r="R4" s="13"/>
      <c r="W4" s="906">
        <f t="shared" si="2"/>
        <v>4.0299999999999998E-4</v>
      </c>
    </row>
    <row r="5" spans="1:23" ht="11.25" customHeight="1" x14ac:dyDescent="0.2">
      <c r="B5" s="908"/>
      <c r="D5" s="908"/>
      <c r="E5" s="910"/>
      <c r="F5" s="911"/>
      <c r="G5" s="908"/>
      <c r="H5" s="910"/>
      <c r="I5" s="905">
        <f t="shared" si="1"/>
        <v>4.0299999999999998E-4</v>
      </c>
      <c r="K5" s="905"/>
      <c r="R5" s="13"/>
      <c r="W5" s="906">
        <f t="shared" si="2"/>
        <v>4.0299999999999998E-4</v>
      </c>
    </row>
    <row r="6" spans="1:23" ht="11.25" customHeight="1" x14ac:dyDescent="0.2">
      <c r="I6" s="905">
        <f t="shared" si="1"/>
        <v>4.0299999999999998E-4</v>
      </c>
      <c r="K6" s="905"/>
      <c r="R6" s="13"/>
      <c r="W6" s="906">
        <f t="shared" si="2"/>
        <v>4.0299999999999998E-4</v>
      </c>
    </row>
    <row r="7" spans="1:23" ht="11.25" customHeight="1" x14ac:dyDescent="0.2">
      <c r="A7" s="912">
        <v>1</v>
      </c>
      <c r="B7" s="913" t="s">
        <v>1126</v>
      </c>
      <c r="C7" s="913"/>
      <c r="D7" s="913"/>
      <c r="E7" s="914"/>
      <c r="F7" s="915"/>
      <c r="G7" s="916"/>
      <c r="H7" s="914"/>
      <c r="I7" s="917">
        <f t="shared" si="1"/>
        <v>4.0299999999999998E-4</v>
      </c>
      <c r="K7" s="905"/>
      <c r="R7" s="13"/>
      <c r="W7" s="906">
        <f t="shared" si="2"/>
        <v>4.0299999999999998E-4</v>
      </c>
    </row>
    <row r="8" spans="1:23" ht="11.25" customHeight="1" x14ac:dyDescent="0.2">
      <c r="A8" s="918"/>
      <c r="B8" s="919"/>
      <c r="C8" s="919"/>
      <c r="D8" s="919"/>
      <c r="E8" s="920"/>
      <c r="F8" s="921">
        <f>IF(F56&lt;8,F56+2,(F56-7)*10)</f>
        <v>200</v>
      </c>
      <c r="G8" s="922"/>
      <c r="H8" s="923"/>
      <c r="I8" s="924">
        <f t="shared" si="1"/>
        <v>4.0299999999999998E-4</v>
      </c>
      <c r="K8" s="905"/>
      <c r="R8" s="13"/>
      <c r="W8" s="906">
        <f t="shared" si="2"/>
        <v>4.0299999999999998E-4</v>
      </c>
    </row>
    <row r="9" spans="1:23" ht="11.25" customHeight="1" x14ac:dyDescent="0.2">
      <c r="A9" s="918"/>
      <c r="B9" s="922"/>
      <c r="C9" s="919"/>
      <c r="D9" s="919"/>
      <c r="E9" s="920"/>
      <c r="F9" s="925"/>
      <c r="G9" s="926"/>
      <c r="H9" s="927"/>
      <c r="I9" s="924">
        <f t="shared" si="1"/>
        <v>4.0299999999999998E-4</v>
      </c>
      <c r="K9" s="905"/>
      <c r="R9" s="13"/>
      <c r="W9" s="906">
        <f t="shared" si="2"/>
        <v>4.0299999999999998E-4</v>
      </c>
    </row>
    <row r="10" spans="1:23" ht="11.25" customHeight="1" x14ac:dyDescent="0.2">
      <c r="A10" s="928"/>
      <c r="B10" s="929"/>
      <c r="C10" s="929"/>
      <c r="D10" s="929"/>
      <c r="E10" s="930"/>
      <c r="F10" s="931"/>
      <c r="G10" s="929"/>
      <c r="H10" s="929"/>
      <c r="I10" s="932">
        <f t="shared" si="1"/>
        <v>4.0299999999999998E-4</v>
      </c>
      <c r="K10" s="905"/>
      <c r="R10" s="13"/>
      <c r="W10" s="906">
        <f t="shared" si="2"/>
        <v>4.0299999999999998E-4</v>
      </c>
    </row>
    <row r="11" spans="1:23" ht="11.25" customHeight="1" x14ac:dyDescent="0.2">
      <c r="A11" s="933"/>
      <c r="B11" s="933"/>
      <c r="C11" s="933"/>
      <c r="D11" s="933"/>
      <c r="E11" s="934"/>
      <c r="F11" s="935"/>
      <c r="G11" s="933"/>
      <c r="H11" s="908"/>
      <c r="I11" s="905">
        <f t="shared" si="1"/>
        <v>4.0299999999999998E-4</v>
      </c>
      <c r="K11" s="905"/>
      <c r="R11" s="13"/>
      <c r="W11" s="906">
        <f t="shared" si="2"/>
        <v>4.0299999999999998E-4</v>
      </c>
    </row>
    <row r="12" spans="1:23" ht="11.25" customHeight="1" x14ac:dyDescent="0.2">
      <c r="A12" s="936">
        <v>2</v>
      </c>
      <c r="B12" s="937" t="s">
        <v>1127</v>
      </c>
      <c r="C12" s="938"/>
      <c r="D12" s="938"/>
      <c r="E12" s="939"/>
      <c r="F12" s="940"/>
      <c r="G12" s="938"/>
      <c r="H12" s="938"/>
      <c r="I12" s="941">
        <f t="shared" si="1"/>
        <v>4.0299999999999998E-4</v>
      </c>
      <c r="K12" s="905"/>
      <c r="R12" s="13"/>
      <c r="W12" s="906">
        <f t="shared" si="2"/>
        <v>4.0299999999999998E-4</v>
      </c>
    </row>
    <row r="13" spans="1:23" ht="11.25" customHeight="1" x14ac:dyDescent="0.2">
      <c r="A13" s="942"/>
      <c r="B13" s="49"/>
      <c r="C13" s="49"/>
      <c r="D13" s="49"/>
      <c r="E13" s="49"/>
      <c r="F13" s="921">
        <f>IF(F57&lt;101,F57/10,F57-90)</f>
        <v>3</v>
      </c>
      <c r="G13" s="943" t="s">
        <v>1035</v>
      </c>
      <c r="H13" s="944"/>
      <c r="I13" s="945">
        <f t="shared" si="1"/>
        <v>4.0299999999999998E-4</v>
      </c>
      <c r="K13" s="905"/>
      <c r="R13" s="13"/>
      <c r="W13" s="906">
        <f t="shared" si="2"/>
        <v>4.0299999999999998E-4</v>
      </c>
    </row>
    <row r="14" spans="1:23" ht="11.25" customHeight="1" x14ac:dyDescent="0.2">
      <c r="A14" s="946"/>
      <c r="B14" s="944"/>
      <c r="C14" s="944"/>
      <c r="D14" s="944"/>
      <c r="E14" s="944"/>
      <c r="F14" s="944"/>
      <c r="G14" s="944"/>
      <c r="H14" s="944"/>
      <c r="I14" s="945">
        <f t="shared" si="1"/>
        <v>4.0299999999999998E-4</v>
      </c>
      <c r="K14" s="905"/>
      <c r="R14" s="13"/>
      <c r="W14" s="906">
        <f t="shared" si="2"/>
        <v>4.0299999999999998E-4</v>
      </c>
    </row>
    <row r="15" spans="1:23" ht="11.25" customHeight="1" x14ac:dyDescent="0.2">
      <c r="A15" s="946"/>
      <c r="B15" s="944" t="s">
        <v>1128</v>
      </c>
      <c r="C15" s="944"/>
      <c r="D15" s="944"/>
      <c r="E15" s="944"/>
      <c r="F15" s="947"/>
      <c r="G15" s="944"/>
      <c r="H15" s="944"/>
      <c r="I15" s="945">
        <f t="shared" si="1"/>
        <v>4.0299999999999998E-4</v>
      </c>
      <c r="K15" s="905"/>
      <c r="R15" s="13"/>
      <c r="W15" s="906">
        <f t="shared" si="2"/>
        <v>4.0299999999999998E-4</v>
      </c>
    </row>
    <row r="16" spans="1:23" ht="11.25" customHeight="1" x14ac:dyDescent="0.2">
      <c r="A16" s="948"/>
      <c r="B16" s="949"/>
      <c r="C16" s="949"/>
      <c r="D16" s="949"/>
      <c r="E16" s="950"/>
      <c r="F16" s="951"/>
      <c r="G16" s="949"/>
      <c r="H16" s="949"/>
      <c r="I16" s="952">
        <f t="shared" si="1"/>
        <v>4.0299999999999998E-4</v>
      </c>
      <c r="K16" s="905"/>
      <c r="R16" s="13"/>
      <c r="W16" s="906">
        <f t="shared" si="2"/>
        <v>4.0299999999999998E-4</v>
      </c>
    </row>
    <row r="17" spans="1:23" ht="11.25" customHeight="1" x14ac:dyDescent="0.2">
      <c r="E17" s="900"/>
      <c r="F17" s="900"/>
      <c r="I17" s="905">
        <f t="shared" si="1"/>
        <v>4.0299999999999998E-4</v>
      </c>
      <c r="K17" s="905"/>
      <c r="R17" s="13"/>
      <c r="W17" s="906">
        <f t="shared" si="2"/>
        <v>4.0299999999999998E-4</v>
      </c>
    </row>
    <row r="18" spans="1:23" ht="11.25" customHeight="1" x14ac:dyDescent="0.2">
      <c r="A18" s="953">
        <v>3</v>
      </c>
      <c r="I18" s="905">
        <f t="shared" si="1"/>
        <v>4.0299999999999998E-4</v>
      </c>
      <c r="K18" s="905"/>
      <c r="R18" s="13"/>
      <c r="W18" s="906">
        <f t="shared" si="2"/>
        <v>4.0299999999999998E-4</v>
      </c>
    </row>
    <row r="19" spans="1:23" ht="11.25" customHeight="1" x14ac:dyDescent="0.2">
      <c r="I19" s="905">
        <f t="shared" si="1"/>
        <v>4.0299999999999998E-4</v>
      </c>
      <c r="K19" s="905"/>
      <c r="R19" s="13"/>
      <c r="W19" s="906">
        <f t="shared" si="2"/>
        <v>4.0299999999999998E-4</v>
      </c>
    </row>
    <row r="20" spans="1:23" ht="11.25" customHeight="1" x14ac:dyDescent="0.2">
      <c r="I20" s="905">
        <f t="shared" si="1"/>
        <v>4.0299999999999998E-4</v>
      </c>
      <c r="K20" s="905"/>
      <c r="R20" s="13"/>
      <c r="W20" s="906">
        <f t="shared" si="2"/>
        <v>4.0299999999999998E-4</v>
      </c>
    </row>
    <row r="21" spans="1:23" ht="11.25" customHeight="1" x14ac:dyDescent="0.2">
      <c r="A21" s="954">
        <v>4</v>
      </c>
      <c r="B21" s="955" t="s">
        <v>1129</v>
      </c>
      <c r="C21" s="956"/>
      <c r="D21" s="956"/>
      <c r="E21" s="957"/>
      <c r="F21" s="958"/>
      <c r="G21" s="956"/>
      <c r="H21" s="956"/>
      <c r="I21" s="959">
        <f t="shared" si="1"/>
        <v>4.0299999999999998E-4</v>
      </c>
      <c r="K21" s="905"/>
      <c r="R21" s="13"/>
      <c r="W21" s="906">
        <f t="shared" si="2"/>
        <v>4.0299999999999998E-4</v>
      </c>
    </row>
    <row r="22" spans="1:23" ht="11.25" customHeight="1" x14ac:dyDescent="0.2">
      <c r="A22" s="960"/>
      <c r="B22" s="961"/>
      <c r="C22" s="961"/>
      <c r="D22" s="961"/>
      <c r="E22" s="962"/>
      <c r="F22" s="963"/>
      <c r="G22" s="961"/>
      <c r="H22" s="961"/>
      <c r="I22" s="964">
        <f t="shared" si="1"/>
        <v>4.0299999999999998E-4</v>
      </c>
      <c r="K22" s="905"/>
      <c r="R22" s="13"/>
      <c r="W22" s="906">
        <f t="shared" si="2"/>
        <v>4.0299999999999998E-4</v>
      </c>
    </row>
    <row r="23" spans="1:23" ht="11.25" customHeight="1" x14ac:dyDescent="0.2">
      <c r="A23" s="553"/>
      <c r="B23" s="302"/>
      <c r="C23" s="302"/>
      <c r="D23" s="302"/>
      <c r="E23" s="965" t="s">
        <v>1130</v>
      </c>
      <c r="F23" s="748">
        <v>0</v>
      </c>
      <c r="G23" s="302"/>
      <c r="H23" s="302"/>
      <c r="I23" s="964">
        <f t="shared" si="1"/>
        <v>4.0299999999999998E-4</v>
      </c>
      <c r="K23" s="905"/>
      <c r="W23" s="906">
        <f t="shared" si="2"/>
        <v>4.0299999999999998E-4</v>
      </c>
    </row>
    <row r="24" spans="1:23" ht="11.25" customHeight="1" x14ac:dyDescent="0.2">
      <c r="A24" s="966"/>
      <c r="B24" s="967"/>
      <c r="C24" s="967"/>
      <c r="D24" s="967"/>
      <c r="E24" s="968"/>
      <c r="F24" s="969"/>
      <c r="G24" s="967"/>
      <c r="H24" s="967"/>
      <c r="I24" s="970">
        <f t="shared" si="1"/>
        <v>4.0299999999999998E-4</v>
      </c>
      <c r="K24" s="905"/>
      <c r="W24" s="906">
        <f t="shared" si="2"/>
        <v>4.0299999999999998E-4</v>
      </c>
    </row>
    <row r="25" spans="1:23" ht="11.25" customHeight="1" x14ac:dyDescent="0.2">
      <c r="I25" s="905">
        <f t="shared" si="1"/>
        <v>4.0299999999999998E-4</v>
      </c>
      <c r="K25" s="905"/>
      <c r="W25" s="906">
        <f t="shared" si="2"/>
        <v>4.0299999999999998E-4</v>
      </c>
    </row>
    <row r="26" spans="1:23" ht="11.25" customHeight="1" x14ac:dyDescent="0.2">
      <c r="I26" s="905">
        <f t="shared" si="1"/>
        <v>4.0299999999999998E-4</v>
      </c>
      <c r="K26" s="905"/>
      <c r="W26" s="906">
        <f t="shared" si="2"/>
        <v>4.0299999999999998E-4</v>
      </c>
    </row>
    <row r="27" spans="1:23" ht="11.25" customHeight="1" x14ac:dyDescent="0.2">
      <c r="A27"/>
      <c r="B27"/>
      <c r="C27"/>
      <c r="D27"/>
      <c r="E27"/>
      <c r="F27" s="1"/>
      <c r="G27"/>
      <c r="H27"/>
      <c r="I27" s="905">
        <f t="shared" si="1"/>
        <v>4.0299999999999998E-4</v>
      </c>
      <c r="K27" s="905"/>
      <c r="W27" s="906">
        <f t="shared" si="2"/>
        <v>4.0299999999999998E-4</v>
      </c>
    </row>
    <row r="28" spans="1:23" ht="11.25" customHeight="1" x14ac:dyDescent="0.2">
      <c r="A28"/>
      <c r="B28"/>
      <c r="C28"/>
      <c r="D28"/>
      <c r="E28"/>
      <c r="G28"/>
      <c r="H28"/>
      <c r="I28" s="905">
        <f t="shared" si="1"/>
        <v>4.0299999999999998E-4</v>
      </c>
      <c r="K28" s="905"/>
      <c r="W28" s="906">
        <f t="shared" si="2"/>
        <v>4.0299999999999998E-4</v>
      </c>
    </row>
    <row r="29" spans="1:23" ht="11.25" customHeight="1" x14ac:dyDescent="0.2">
      <c r="A29" s="13"/>
      <c r="B29" s="13"/>
      <c r="C29" s="13"/>
      <c r="D29" s="13"/>
      <c r="E29" s="13"/>
      <c r="G29" s="1"/>
      <c r="H29" s="1"/>
      <c r="I29" s="905">
        <f t="shared" si="1"/>
        <v>4.0299999999999998E-4</v>
      </c>
      <c r="K29" s="905"/>
      <c r="W29" s="906">
        <f t="shared" si="2"/>
        <v>4.0299999999999998E-4</v>
      </c>
    </row>
    <row r="30" spans="1:23" ht="11.25" customHeight="1" x14ac:dyDescent="0.2">
      <c r="A30" s="13"/>
      <c r="B30" s="13"/>
      <c r="C30" s="13"/>
      <c r="D30" s="13"/>
      <c r="G30" s="13"/>
      <c r="H30" s="13"/>
      <c r="I30" s="905">
        <f t="shared" si="1"/>
        <v>4.0299999999999998E-4</v>
      </c>
      <c r="K30" s="905"/>
      <c r="W30" s="906">
        <f t="shared" si="2"/>
        <v>4.0299999999999998E-4</v>
      </c>
    </row>
    <row r="31" spans="1:23" ht="11.25" customHeight="1" x14ac:dyDescent="0.2">
      <c r="A31" s="13"/>
      <c r="B31" s="13"/>
      <c r="C31" s="13"/>
      <c r="D31" s="13"/>
      <c r="G31" s="13"/>
      <c r="H31" s="13"/>
      <c r="I31" s="971"/>
      <c r="K31" s="905"/>
      <c r="O31"/>
    </row>
    <row r="32" spans="1:23" ht="11.25" customHeight="1" x14ac:dyDescent="0.2">
      <c r="A32" s="13"/>
      <c r="B32" s="13"/>
      <c r="C32" s="13"/>
      <c r="D32" s="13"/>
      <c r="E32" s="13"/>
      <c r="F32" s="13"/>
      <c r="G32" s="13"/>
      <c r="H32" s="13"/>
      <c r="I32" s="971"/>
      <c r="K32" s="905"/>
      <c r="O32"/>
    </row>
    <row r="33" spans="1:15" ht="11.25" customHeight="1" x14ac:dyDescent="0.2">
      <c r="A33" s="13"/>
      <c r="B33" s="13"/>
      <c r="C33" s="13"/>
      <c r="D33" s="13"/>
      <c r="E33" s="13"/>
      <c r="F33" s="13"/>
      <c r="G33" s="13"/>
      <c r="H33" s="13"/>
      <c r="K33" s="905"/>
      <c r="O33"/>
    </row>
    <row r="34" spans="1:15" ht="11.25" customHeight="1" x14ac:dyDescent="0.2">
      <c r="A34" s="13"/>
      <c r="B34" s="13"/>
      <c r="C34" s="13"/>
      <c r="D34" s="13"/>
      <c r="E34" s="13"/>
      <c r="F34" s="13"/>
      <c r="G34" s="13"/>
      <c r="H34" s="13"/>
      <c r="K34" s="905"/>
    </row>
    <row r="35" spans="1:15" ht="11.25" customHeight="1" x14ac:dyDescent="0.2">
      <c r="A35" s="13"/>
      <c r="B35" s="13"/>
      <c r="C35" s="13"/>
      <c r="D35" s="13"/>
      <c r="E35" s="13"/>
      <c r="F35" s="13"/>
      <c r="G35" s="13"/>
      <c r="H35" s="13"/>
      <c r="K35" s="905"/>
    </row>
    <row r="36" spans="1:15" ht="11.25" customHeight="1" x14ac:dyDescent="0.2">
      <c r="K36" s="905"/>
    </row>
    <row r="37" spans="1:15" ht="11.25" customHeight="1" x14ac:dyDescent="0.2">
      <c r="K37" s="905"/>
    </row>
    <row r="38" spans="1:15" ht="11.25" customHeight="1" x14ac:dyDescent="0.2">
      <c r="K38" s="905"/>
    </row>
    <row r="39" spans="1:15" ht="11.25" customHeight="1" x14ac:dyDescent="0.2">
      <c r="K39" s="905"/>
    </row>
    <row r="40" spans="1:15" ht="11.25" customHeight="1" x14ac:dyDescent="0.2">
      <c r="K40" s="905"/>
    </row>
    <row r="41" spans="1:15" ht="11.25" customHeight="1" x14ac:dyDescent="0.2">
      <c r="K41" s="905"/>
    </row>
    <row r="42" spans="1:15" ht="11.25" customHeight="1" x14ac:dyDescent="0.2">
      <c r="K42" s="905"/>
    </row>
    <row r="43" spans="1:15" ht="11.25" customHeight="1" x14ac:dyDescent="0.2">
      <c r="K43" s="905"/>
    </row>
    <row r="44" spans="1:15" ht="11.25" customHeight="1" x14ac:dyDescent="0.2">
      <c r="K44" s="905"/>
    </row>
    <row r="45" spans="1:15" ht="11.25" customHeight="1" x14ac:dyDescent="0.2">
      <c r="K45" s="905"/>
    </row>
    <row r="46" spans="1:15" ht="11.25" customHeight="1" x14ac:dyDescent="0.2">
      <c r="K46" s="905"/>
    </row>
    <row r="47" spans="1:15" ht="11.25" customHeight="1" x14ac:dyDescent="0.2">
      <c r="K47" s="905"/>
    </row>
    <row r="52" spans="2:29" ht="11.25" customHeight="1" x14ac:dyDescent="0.2">
      <c r="F52" s="900"/>
      <c r="G52" s="972"/>
      <c r="J52" s="973"/>
    </row>
    <row r="53" spans="2:29" ht="11.25" customHeight="1" x14ac:dyDescent="0.2">
      <c r="B53" s="972"/>
      <c r="C53" s="972"/>
      <c r="D53" s="972"/>
      <c r="E53" s="974"/>
      <c r="F53" s="975"/>
      <c r="G53" s="972"/>
      <c r="I53" s="976"/>
      <c r="J53" s="973"/>
      <c r="K53" s="976"/>
      <c r="Z53" s="972"/>
      <c r="AA53" s="972"/>
      <c r="AC53" s="976"/>
    </row>
    <row r="54" spans="2:29" ht="11.25" customHeight="1" x14ac:dyDescent="0.2">
      <c r="B54" s="972"/>
      <c r="C54" s="972"/>
      <c r="D54" s="972"/>
      <c r="E54" s="972"/>
      <c r="G54" s="977"/>
      <c r="I54" s="903"/>
      <c r="J54" s="978"/>
      <c r="K54" s="903"/>
      <c r="AC54" s="903"/>
    </row>
    <row r="55" spans="2:29" ht="11.25" customHeight="1" x14ac:dyDescent="0.2">
      <c r="B55" s="972"/>
      <c r="C55" s="972"/>
      <c r="D55" s="972"/>
      <c r="E55" s="972"/>
      <c r="G55" s="977"/>
      <c r="I55" s="979"/>
      <c r="J55" s="978"/>
      <c r="K55" s="903"/>
      <c r="AC55" s="903"/>
    </row>
    <row r="56" spans="2:29" ht="11.25" customHeight="1" x14ac:dyDescent="0.2">
      <c r="B56" s="972"/>
      <c r="C56" s="972"/>
      <c r="D56" s="972"/>
      <c r="E56" s="971" t="s">
        <v>1131</v>
      </c>
      <c r="F56" s="10">
        <v>27</v>
      </c>
      <c r="G56" s="977"/>
      <c r="I56" s="3" t="s">
        <v>1132</v>
      </c>
      <c r="J56" s="10" t="b">
        <v>0</v>
      </c>
      <c r="K56" s="903"/>
      <c r="L56" s="3" t="s">
        <v>1133</v>
      </c>
      <c r="M56" s="10">
        <v>0.41598856449127197</v>
      </c>
      <c r="P56" s="1" t="s">
        <v>1134</v>
      </c>
      <c r="R56" s="1" t="s">
        <v>1135</v>
      </c>
      <c r="AC56" s="903"/>
    </row>
    <row r="57" spans="2:29" ht="11.25" customHeight="1" x14ac:dyDescent="0.2">
      <c r="B57" s="972"/>
      <c r="C57" s="972"/>
      <c r="D57" s="972"/>
      <c r="E57" s="971" t="s">
        <v>1136</v>
      </c>
      <c r="F57" s="10">
        <v>30</v>
      </c>
      <c r="G57" s="977"/>
      <c r="I57" s="1" t="e">
        <f>IF(AND(J56,mindist&gt;0),1,NA())</f>
        <v>#N/A</v>
      </c>
      <c r="J57" s="1">
        <v>1.0049999999999999</v>
      </c>
      <c r="K57" s="903"/>
      <c r="L57" s="3" t="s">
        <v>1137</v>
      </c>
      <c r="M57" s="1" t="b">
        <f>forLR&lt;0.5</f>
        <v>1</v>
      </c>
      <c r="N57" s="3" t="s">
        <v>1138</v>
      </c>
      <c r="O57" s="10">
        <f>MOD(nof,10)</f>
        <v>0</v>
      </c>
      <c r="P57" s="1" t="e">
        <f>IF(AND(M57,J56,mindist&gt;0),1,NA())</f>
        <v>#N/A</v>
      </c>
      <c r="Q57" s="1">
        <f>J57</f>
        <v>1.0049999999999999</v>
      </c>
      <c r="R57" s="1" t="e">
        <f>IF(AND(NOT(M57),J56,mindist&gt;0),1,NA())</f>
        <v>#N/A</v>
      </c>
      <c r="S57" s="1">
        <f>J57</f>
        <v>1.0049999999999999</v>
      </c>
      <c r="AC57" s="903"/>
    </row>
    <row r="58" spans="2:29" ht="11.25" customHeight="1" x14ac:dyDescent="0.2">
      <c r="B58" s="972"/>
      <c r="C58" s="972"/>
      <c r="D58" s="972"/>
      <c r="E58" s="980" t="s">
        <v>1139</v>
      </c>
      <c r="F58" s="47">
        <v>200</v>
      </c>
      <c r="G58" s="981"/>
      <c r="I58" s="1" t="e">
        <f>IF(AND(J56,mindist&gt;0),1+mindist/100,NA())</f>
        <v>#N/A</v>
      </c>
      <c r="J58" s="1">
        <f>J57</f>
        <v>1.0049999999999999</v>
      </c>
      <c r="K58" s="903"/>
      <c r="L58" s="779" t="s">
        <v>1140</v>
      </c>
      <c r="M58" s="779"/>
      <c r="N58" s="779"/>
      <c r="O58" s="779"/>
      <c r="P58" s="1" t="e">
        <f>IF(AND(M57,J56,mindist&gt;0),1+mindist/100,NA())</f>
        <v>#N/A</v>
      </c>
      <c r="Q58" s="1">
        <f>J58</f>
        <v>1.0049999999999999</v>
      </c>
      <c r="R58" s="1" t="e">
        <f>IF(AND(NOT(M57),J56,mindist&gt;0),1+mindist/100,NA())</f>
        <v>#N/A</v>
      </c>
      <c r="S58" s="1">
        <f>J58</f>
        <v>1.0049999999999999</v>
      </c>
      <c r="AC58" s="903"/>
    </row>
    <row r="59" spans="2:29" ht="11.25" customHeight="1" x14ac:dyDescent="0.2">
      <c r="B59" s="972"/>
      <c r="C59" s="972"/>
      <c r="D59" s="972"/>
      <c r="E59" s="972"/>
      <c r="F59" s="902"/>
      <c r="G59" s="977"/>
      <c r="H59" s="10" t="s">
        <v>1141</v>
      </c>
      <c r="I59" s="10" t="s">
        <v>1142</v>
      </c>
      <c r="J59" s="10" t="s">
        <v>1143</v>
      </c>
      <c r="K59" s="10" t="s">
        <v>1144</v>
      </c>
      <c r="L59" s="172" t="s">
        <v>1145</v>
      </c>
      <c r="M59" s="172" t="s">
        <v>1146</v>
      </c>
      <c r="N59" s="172" t="s">
        <v>1147</v>
      </c>
      <c r="O59" s="172" t="s">
        <v>1148</v>
      </c>
      <c r="AC59" s="903"/>
    </row>
    <row r="60" spans="2:29" ht="11.25" customHeight="1" x14ac:dyDescent="0.2">
      <c r="B60" s="972"/>
      <c r="C60" s="972"/>
      <c r="D60" s="972"/>
      <c r="E60" s="972"/>
      <c r="F60" s="902"/>
      <c r="G60" s="977"/>
      <c r="H60" s="10">
        <v>1.3654186725616455</v>
      </c>
      <c r="I60" s="10">
        <v>1.6310808658599854</v>
      </c>
      <c r="J60" s="10">
        <v>1.1797366142272949</v>
      </c>
      <c r="K60" s="10">
        <v>1.4343432188034058</v>
      </c>
      <c r="L60" s="1">
        <f t="shared" ref="L60:L123" si="3">IF($M$57,H60,J60)</f>
        <v>1.3654186725616455</v>
      </c>
      <c r="M60" s="1">
        <f t="shared" ref="M60:M123" si="4">IF($M$57,I60,K60)</f>
        <v>1.6310808658599854</v>
      </c>
      <c r="N60" s="1">
        <f t="shared" ref="N60:N123" si="5">IF($M$57,J60,H60)</f>
        <v>1.1797366142272949</v>
      </c>
      <c r="O60" s="1">
        <f t="shared" ref="O60:O123" si="6">IF($M$57,K60,I60)</f>
        <v>1.4343432188034058</v>
      </c>
      <c r="AC60" s="903"/>
    </row>
    <row r="61" spans="2:29" ht="11.25" customHeight="1" x14ac:dyDescent="0.2">
      <c r="B61" s="972"/>
      <c r="C61" s="972"/>
      <c r="D61" s="972"/>
      <c r="E61" s="972"/>
      <c r="F61" s="902"/>
      <c r="G61" s="977"/>
      <c r="H61" s="10">
        <v>1.1563020348548889</v>
      </c>
      <c r="I61" s="10">
        <v>1.9705891609191895</v>
      </c>
      <c r="J61" s="10">
        <v>1.2747371196746826</v>
      </c>
      <c r="K61" s="10">
        <v>1.0587655305862427</v>
      </c>
      <c r="L61" s="1">
        <f t="shared" si="3"/>
        <v>1.1563020348548889</v>
      </c>
      <c r="M61" s="1">
        <f t="shared" si="4"/>
        <v>1.9705891609191895</v>
      </c>
      <c r="N61" s="1">
        <f t="shared" si="5"/>
        <v>1.2747371196746826</v>
      </c>
      <c r="O61" s="1">
        <f t="shared" si="6"/>
        <v>1.0587655305862427</v>
      </c>
      <c r="AC61" s="903"/>
    </row>
    <row r="62" spans="2:29" ht="11.25" customHeight="1" x14ac:dyDescent="0.2">
      <c r="B62" s="972"/>
      <c r="C62" s="972"/>
      <c r="D62" s="972"/>
      <c r="E62" s="972"/>
      <c r="F62" s="902"/>
      <c r="G62" s="977"/>
      <c r="H62" s="10">
        <v>1.8047636151313782</v>
      </c>
      <c r="I62" s="10">
        <v>1.7100188732147217</v>
      </c>
      <c r="J62" s="10">
        <v>1.2520046234130859</v>
      </c>
      <c r="K62" s="10">
        <v>1.7902930974960327</v>
      </c>
      <c r="L62" s="1">
        <f t="shared" si="3"/>
        <v>1.8047636151313782</v>
      </c>
      <c r="M62" s="1">
        <f t="shared" si="4"/>
        <v>1.7100188732147217</v>
      </c>
      <c r="N62" s="1">
        <f t="shared" si="5"/>
        <v>1.2520046234130859</v>
      </c>
      <c r="O62" s="1">
        <f t="shared" si="6"/>
        <v>1.7902930974960327</v>
      </c>
      <c r="AC62" s="903"/>
    </row>
    <row r="63" spans="2:29" ht="11.25" customHeight="1" x14ac:dyDescent="0.2">
      <c r="B63" s="972"/>
      <c r="C63" s="972"/>
      <c r="D63" s="972"/>
      <c r="E63" s="972"/>
      <c r="F63" s="902"/>
      <c r="G63" s="977"/>
      <c r="H63" s="10">
        <v>1.8701906800270081</v>
      </c>
      <c r="I63" s="10">
        <v>1.983708381652832</v>
      </c>
      <c r="J63" s="10">
        <v>1.2710239887237549</v>
      </c>
      <c r="K63" s="10">
        <v>1.4629713296890259</v>
      </c>
      <c r="L63" s="1">
        <f t="shared" si="3"/>
        <v>1.8701906800270081</v>
      </c>
      <c r="M63" s="1">
        <f t="shared" si="4"/>
        <v>1.983708381652832</v>
      </c>
      <c r="N63" s="1">
        <f t="shared" si="5"/>
        <v>1.2710239887237549</v>
      </c>
      <c r="O63" s="1">
        <f t="shared" si="6"/>
        <v>1.4629713296890259</v>
      </c>
      <c r="AC63" s="903"/>
    </row>
    <row r="64" spans="2:29" ht="11.25" customHeight="1" x14ac:dyDescent="0.2">
      <c r="B64" s="972"/>
      <c r="C64" s="972"/>
      <c r="D64" s="972"/>
      <c r="E64" s="972"/>
      <c r="F64" s="902"/>
      <c r="G64" s="977"/>
      <c r="H64" s="10">
        <v>1.9129469990730286</v>
      </c>
      <c r="I64" s="10">
        <v>1.9230663776397705</v>
      </c>
      <c r="J64" s="10">
        <v>1.5000691413879395</v>
      </c>
      <c r="K64" s="10">
        <v>1.8844784498214722</v>
      </c>
      <c r="L64" s="1">
        <f t="shared" si="3"/>
        <v>1.9129469990730286</v>
      </c>
      <c r="M64" s="1">
        <f t="shared" si="4"/>
        <v>1.9230663776397705</v>
      </c>
      <c r="N64" s="1">
        <f t="shared" si="5"/>
        <v>1.5000691413879395</v>
      </c>
      <c r="O64" s="1">
        <f t="shared" si="6"/>
        <v>1.8844784498214722</v>
      </c>
      <c r="AC64" s="903"/>
    </row>
    <row r="65" spans="2:29" ht="11.25" customHeight="1" x14ac:dyDescent="0.2">
      <c r="B65" s="972"/>
      <c r="C65" s="972"/>
      <c r="D65" s="972"/>
      <c r="E65" s="972"/>
      <c r="F65" s="902"/>
      <c r="G65" s="977"/>
      <c r="H65" s="10">
        <v>1.5724979043006897</v>
      </c>
      <c r="I65" s="10">
        <v>1.4221968650817871</v>
      </c>
      <c r="J65" s="10">
        <v>1.8193280696868896</v>
      </c>
      <c r="K65" s="10">
        <v>1.7267504930496216</v>
      </c>
      <c r="L65" s="1">
        <f t="shared" si="3"/>
        <v>1.5724979043006897</v>
      </c>
      <c r="M65" s="1">
        <f t="shared" si="4"/>
        <v>1.4221968650817871</v>
      </c>
      <c r="N65" s="1">
        <f t="shared" si="5"/>
        <v>1.8193280696868896</v>
      </c>
      <c r="O65" s="1">
        <f t="shared" si="6"/>
        <v>1.7267504930496216</v>
      </c>
      <c r="AC65" s="903"/>
    </row>
    <row r="66" spans="2:29" ht="11.25" customHeight="1" x14ac:dyDescent="0.2">
      <c r="B66" s="972"/>
      <c r="C66" s="972"/>
      <c r="D66" s="972"/>
      <c r="E66" s="972"/>
      <c r="F66" s="902"/>
      <c r="G66" s="977"/>
      <c r="H66" s="10">
        <v>1.8955352902412415</v>
      </c>
      <c r="I66" s="10">
        <v>1.1535241603851318</v>
      </c>
      <c r="J66" s="10">
        <v>1.7740278244018555</v>
      </c>
      <c r="K66" s="10">
        <v>1.6666063070297241</v>
      </c>
      <c r="L66" s="1">
        <f t="shared" si="3"/>
        <v>1.8955352902412415</v>
      </c>
      <c r="M66" s="1">
        <f t="shared" si="4"/>
        <v>1.1535241603851318</v>
      </c>
      <c r="N66" s="1">
        <f t="shared" si="5"/>
        <v>1.7740278244018555</v>
      </c>
      <c r="O66" s="1">
        <f t="shared" si="6"/>
        <v>1.6666063070297241</v>
      </c>
      <c r="AC66" s="903"/>
    </row>
    <row r="67" spans="2:29" ht="11.25" customHeight="1" x14ac:dyDescent="0.2">
      <c r="B67" s="972"/>
      <c r="C67" s="972"/>
      <c r="D67" s="972"/>
      <c r="E67" s="972"/>
      <c r="F67" s="902"/>
      <c r="G67" s="977"/>
      <c r="H67" s="10">
        <v>1.9141026139259338</v>
      </c>
      <c r="I67" s="10">
        <v>1.8334178924560547</v>
      </c>
      <c r="J67" s="10">
        <v>1.7775595188140869</v>
      </c>
      <c r="K67" s="10">
        <v>1.7763725519180298</v>
      </c>
      <c r="L67" s="1">
        <f t="shared" si="3"/>
        <v>1.9141026139259338</v>
      </c>
      <c r="M67" s="1">
        <f t="shared" si="4"/>
        <v>1.8334178924560547</v>
      </c>
      <c r="N67" s="1">
        <f t="shared" si="5"/>
        <v>1.7775595188140869</v>
      </c>
      <c r="O67" s="1">
        <f t="shared" si="6"/>
        <v>1.7763725519180298</v>
      </c>
      <c r="AC67" s="903"/>
    </row>
    <row r="68" spans="2:29" ht="11.25" customHeight="1" x14ac:dyDescent="0.2">
      <c r="B68" s="972"/>
      <c r="C68" s="972"/>
      <c r="D68" s="972"/>
      <c r="E68" s="972"/>
      <c r="F68" s="902"/>
      <c r="G68" s="977"/>
      <c r="H68" s="10">
        <v>1.4737198948860168</v>
      </c>
      <c r="I68" s="10">
        <v>1.7378180027008057</v>
      </c>
      <c r="J68" s="10">
        <v>1.564603328704834</v>
      </c>
      <c r="K68" s="10">
        <v>1.1645087003707886</v>
      </c>
      <c r="L68" s="1">
        <f t="shared" si="3"/>
        <v>1.4737198948860168</v>
      </c>
      <c r="M68" s="1">
        <f t="shared" si="4"/>
        <v>1.7378180027008057</v>
      </c>
      <c r="N68" s="1">
        <f t="shared" si="5"/>
        <v>1.564603328704834</v>
      </c>
      <c r="O68" s="1">
        <f t="shared" si="6"/>
        <v>1.1645087003707886</v>
      </c>
      <c r="AC68" s="903"/>
    </row>
    <row r="69" spans="2:29" ht="11.25" customHeight="1" x14ac:dyDescent="0.2">
      <c r="B69" s="972"/>
      <c r="C69" s="972"/>
      <c r="D69" s="972"/>
      <c r="E69" s="972"/>
      <c r="F69" s="902"/>
      <c r="G69" s="977"/>
      <c r="H69" s="10">
        <v>1.3115087151527405</v>
      </c>
      <c r="I69" s="10">
        <v>1.4678597450256348</v>
      </c>
      <c r="J69" s="10">
        <v>1.8942534923553467</v>
      </c>
      <c r="K69" s="10">
        <v>1.8662320375442505</v>
      </c>
      <c r="L69" s="1">
        <f t="shared" si="3"/>
        <v>1.3115087151527405</v>
      </c>
      <c r="M69" s="1">
        <f t="shared" si="4"/>
        <v>1.4678597450256348</v>
      </c>
      <c r="N69" s="1">
        <f t="shared" si="5"/>
        <v>1.8942534923553467</v>
      </c>
      <c r="O69" s="1">
        <f t="shared" si="6"/>
        <v>1.8662320375442505</v>
      </c>
      <c r="AC69" s="903"/>
    </row>
    <row r="70" spans="2:29" ht="11.25" customHeight="1" x14ac:dyDescent="0.2">
      <c r="B70" s="972"/>
      <c r="C70" s="972"/>
      <c r="D70" s="972"/>
      <c r="E70" s="972"/>
      <c r="F70" s="902"/>
      <c r="G70" s="977"/>
      <c r="H70" s="10">
        <v>1.3843172192573547</v>
      </c>
      <c r="I70" s="10">
        <v>1.965498685836792</v>
      </c>
      <c r="J70" s="10">
        <v>1.503143310546875</v>
      </c>
      <c r="K70" s="10">
        <v>1.9841426610946655</v>
      </c>
      <c r="L70" s="1">
        <f t="shared" si="3"/>
        <v>1.3843172192573547</v>
      </c>
      <c r="M70" s="1">
        <f t="shared" si="4"/>
        <v>1.965498685836792</v>
      </c>
      <c r="N70" s="1">
        <f t="shared" si="5"/>
        <v>1.503143310546875</v>
      </c>
      <c r="O70" s="1">
        <f t="shared" si="6"/>
        <v>1.9841426610946655</v>
      </c>
      <c r="AC70" s="903"/>
    </row>
    <row r="71" spans="2:29" ht="11.25" customHeight="1" x14ac:dyDescent="0.2">
      <c r="B71" s="972"/>
      <c r="C71" s="972"/>
      <c r="D71" s="972"/>
      <c r="E71" s="972"/>
      <c r="F71" s="902"/>
      <c r="G71" s="977"/>
      <c r="H71" s="10">
        <v>1.4468451142311096</v>
      </c>
      <c r="I71" s="10">
        <v>1.7791357040405273</v>
      </c>
      <c r="J71" s="10">
        <v>1.3085701465606689</v>
      </c>
      <c r="K71" s="10">
        <v>1.0788484811782837</v>
      </c>
      <c r="L71" s="1">
        <f t="shared" si="3"/>
        <v>1.4468451142311096</v>
      </c>
      <c r="M71" s="1">
        <f t="shared" si="4"/>
        <v>1.7791357040405273</v>
      </c>
      <c r="N71" s="1">
        <f t="shared" si="5"/>
        <v>1.3085701465606689</v>
      </c>
      <c r="O71" s="1">
        <f t="shared" si="6"/>
        <v>1.0788484811782837</v>
      </c>
      <c r="AC71" s="903"/>
    </row>
    <row r="72" spans="2:29" ht="11.25" customHeight="1" x14ac:dyDescent="0.2">
      <c r="B72" s="972"/>
      <c r="C72" s="972"/>
      <c r="D72" s="972"/>
      <c r="E72" s="972"/>
      <c r="F72" s="902"/>
      <c r="G72" s="977"/>
      <c r="H72" s="10">
        <v>1.8797686696052551</v>
      </c>
      <c r="I72" s="10">
        <v>1.5792419910430908</v>
      </c>
      <c r="J72" s="10">
        <v>1.8616204261779785</v>
      </c>
      <c r="K72" s="10">
        <v>1.809590220451355</v>
      </c>
      <c r="L72" s="1">
        <f t="shared" si="3"/>
        <v>1.8797686696052551</v>
      </c>
      <c r="M72" s="1">
        <f t="shared" si="4"/>
        <v>1.5792419910430908</v>
      </c>
      <c r="N72" s="1">
        <f t="shared" si="5"/>
        <v>1.8616204261779785</v>
      </c>
      <c r="O72" s="1">
        <f t="shared" si="6"/>
        <v>1.809590220451355</v>
      </c>
      <c r="AC72" s="903"/>
    </row>
    <row r="73" spans="2:29" ht="11.25" customHeight="1" x14ac:dyDescent="0.2">
      <c r="B73" s="972"/>
      <c r="C73" s="972"/>
      <c r="D73" s="972"/>
      <c r="E73" s="972"/>
      <c r="F73" s="902"/>
      <c r="G73" s="977"/>
      <c r="H73" s="10">
        <v>1.7678657174110413</v>
      </c>
      <c r="I73" s="10">
        <v>1.9239840507507324</v>
      </c>
      <c r="J73" s="10">
        <v>1.0502946376800537</v>
      </c>
      <c r="K73" s="10">
        <v>1.8248664140701294</v>
      </c>
      <c r="L73" s="1">
        <f t="shared" si="3"/>
        <v>1.7678657174110413</v>
      </c>
      <c r="M73" s="1">
        <f t="shared" si="4"/>
        <v>1.9239840507507324</v>
      </c>
      <c r="N73" s="1">
        <f t="shared" si="5"/>
        <v>1.0502946376800537</v>
      </c>
      <c r="O73" s="1">
        <f t="shared" si="6"/>
        <v>1.8248664140701294</v>
      </c>
      <c r="AC73" s="903"/>
    </row>
    <row r="74" spans="2:29" ht="11.25" customHeight="1" x14ac:dyDescent="0.2">
      <c r="B74" s="972"/>
      <c r="C74" s="972"/>
      <c r="D74" s="972"/>
      <c r="E74" s="972"/>
      <c r="F74" s="902"/>
      <c r="G74" s="977"/>
      <c r="H74" s="10">
        <v>1.228140652179718</v>
      </c>
      <c r="I74" s="10">
        <v>1.2748486995697021</v>
      </c>
      <c r="J74" s="10">
        <v>1.0526323318481445</v>
      </c>
      <c r="K74" s="10">
        <v>1.9030584096908569</v>
      </c>
      <c r="L74" s="1">
        <f t="shared" si="3"/>
        <v>1.228140652179718</v>
      </c>
      <c r="M74" s="1">
        <f t="shared" si="4"/>
        <v>1.2748486995697021</v>
      </c>
      <c r="N74" s="1">
        <f t="shared" si="5"/>
        <v>1.0526323318481445</v>
      </c>
      <c r="O74" s="1">
        <f t="shared" si="6"/>
        <v>1.9030584096908569</v>
      </c>
      <c r="AC74" s="903"/>
    </row>
    <row r="75" spans="2:29" ht="11.25" customHeight="1" x14ac:dyDescent="0.2">
      <c r="B75" s="972"/>
      <c r="C75" s="972"/>
      <c r="D75" s="972"/>
      <c r="E75" s="972"/>
      <c r="F75" s="902"/>
      <c r="G75" s="977"/>
      <c r="H75" s="10">
        <v>1.9879494309425354</v>
      </c>
      <c r="I75" s="10">
        <v>1.26226806640625</v>
      </c>
      <c r="J75" s="10">
        <v>1.539837121963501</v>
      </c>
      <c r="K75" s="10">
        <v>1.3430553674697876</v>
      </c>
      <c r="L75" s="1">
        <f t="shared" si="3"/>
        <v>1.9879494309425354</v>
      </c>
      <c r="M75" s="1">
        <f t="shared" si="4"/>
        <v>1.26226806640625</v>
      </c>
      <c r="N75" s="1">
        <f t="shared" si="5"/>
        <v>1.539837121963501</v>
      </c>
      <c r="O75" s="1">
        <f t="shared" si="6"/>
        <v>1.3430553674697876</v>
      </c>
      <c r="AC75" s="903"/>
    </row>
    <row r="76" spans="2:29" ht="11.25" customHeight="1" x14ac:dyDescent="0.2">
      <c r="B76" s="972"/>
      <c r="C76" s="972"/>
      <c r="D76" s="972"/>
      <c r="E76" s="972"/>
      <c r="F76" s="902"/>
      <c r="G76" s="977"/>
      <c r="H76" s="10">
        <v>1.2131245732307434</v>
      </c>
      <c r="I76" s="10">
        <v>1.201244592666626</v>
      </c>
      <c r="J76" s="10">
        <v>1.129401683807373</v>
      </c>
      <c r="K76" s="10">
        <v>1.6048792600631714</v>
      </c>
      <c r="L76" s="1">
        <f t="shared" si="3"/>
        <v>1.2131245732307434</v>
      </c>
      <c r="M76" s="1">
        <f t="shared" si="4"/>
        <v>1.201244592666626</v>
      </c>
      <c r="N76" s="1">
        <f t="shared" si="5"/>
        <v>1.129401683807373</v>
      </c>
      <c r="O76" s="1">
        <f t="shared" si="6"/>
        <v>1.6048792600631714</v>
      </c>
      <c r="AC76" s="903"/>
    </row>
    <row r="77" spans="2:29" ht="11.25" customHeight="1" x14ac:dyDescent="0.2">
      <c r="B77" s="972"/>
      <c r="C77" s="972"/>
      <c r="D77" s="972"/>
      <c r="E77" s="972"/>
      <c r="F77" s="902"/>
      <c r="G77" s="977"/>
      <c r="H77" s="10">
        <v>1.586100161075592</v>
      </c>
      <c r="I77" s="10">
        <v>1.8569760322570801</v>
      </c>
      <c r="J77" s="10">
        <v>1.0882327556610107</v>
      </c>
      <c r="K77" s="10">
        <v>1.2003098726272583</v>
      </c>
      <c r="L77" s="1">
        <f t="shared" si="3"/>
        <v>1.586100161075592</v>
      </c>
      <c r="M77" s="1">
        <f t="shared" si="4"/>
        <v>1.8569760322570801</v>
      </c>
      <c r="N77" s="1">
        <f t="shared" si="5"/>
        <v>1.0882327556610107</v>
      </c>
      <c r="O77" s="1">
        <f t="shared" si="6"/>
        <v>1.2003098726272583</v>
      </c>
      <c r="AC77" s="903"/>
    </row>
    <row r="78" spans="2:29" ht="11.25" customHeight="1" x14ac:dyDescent="0.2">
      <c r="B78" s="972"/>
      <c r="C78" s="972"/>
      <c r="D78" s="972"/>
      <c r="E78" s="972"/>
      <c r="F78" s="902"/>
      <c r="G78" s="977"/>
      <c r="H78" s="10">
        <v>1.6340368390083313</v>
      </c>
      <c r="I78" s="10">
        <v>1.4604804515838623</v>
      </c>
      <c r="J78" s="10">
        <v>1.2857761383056641</v>
      </c>
      <c r="K78" s="10">
        <v>1.8335098028182983</v>
      </c>
      <c r="L78" s="1">
        <f t="shared" si="3"/>
        <v>1.6340368390083313</v>
      </c>
      <c r="M78" s="1">
        <f t="shared" si="4"/>
        <v>1.4604804515838623</v>
      </c>
      <c r="N78" s="1">
        <f t="shared" si="5"/>
        <v>1.2857761383056641</v>
      </c>
      <c r="O78" s="1">
        <f t="shared" si="6"/>
        <v>1.8335098028182983</v>
      </c>
      <c r="AC78" s="903"/>
    </row>
    <row r="79" spans="2:29" ht="11.25" customHeight="1" x14ac:dyDescent="0.2">
      <c r="B79" s="972"/>
      <c r="C79" s="972"/>
      <c r="D79" s="972"/>
      <c r="E79" s="972"/>
      <c r="F79" s="902"/>
      <c r="G79" s="977"/>
      <c r="H79" s="10">
        <v>1.3069468140602112</v>
      </c>
      <c r="I79" s="10">
        <v>1.9742212295532227</v>
      </c>
      <c r="J79" s="10">
        <v>1.397141695022583</v>
      </c>
      <c r="K79" s="10">
        <v>1.7916494607925415</v>
      </c>
      <c r="L79" s="1">
        <f t="shared" si="3"/>
        <v>1.3069468140602112</v>
      </c>
      <c r="M79" s="1">
        <f t="shared" si="4"/>
        <v>1.9742212295532227</v>
      </c>
      <c r="N79" s="1">
        <f t="shared" si="5"/>
        <v>1.397141695022583</v>
      </c>
      <c r="O79" s="1">
        <f t="shared" si="6"/>
        <v>1.7916494607925415</v>
      </c>
      <c r="AC79" s="903"/>
    </row>
    <row r="80" spans="2:29" ht="11.25" customHeight="1" x14ac:dyDescent="0.2">
      <c r="B80" s="972"/>
      <c r="C80" s="972"/>
      <c r="D80" s="972"/>
      <c r="E80" s="972"/>
      <c r="F80" s="902"/>
      <c r="G80" s="977"/>
      <c r="H80" s="10">
        <v>1.8058188557624817</v>
      </c>
      <c r="I80" s="10">
        <v>1.6077320575714111</v>
      </c>
      <c r="J80" s="10">
        <v>1.3562283515930176</v>
      </c>
      <c r="K80" s="10">
        <v>1.5855320692062378</v>
      </c>
      <c r="L80" s="1">
        <f t="shared" si="3"/>
        <v>1.8058188557624817</v>
      </c>
      <c r="M80" s="1">
        <f t="shared" si="4"/>
        <v>1.6077320575714111</v>
      </c>
      <c r="N80" s="1">
        <f t="shared" si="5"/>
        <v>1.3562283515930176</v>
      </c>
      <c r="O80" s="1">
        <f t="shared" si="6"/>
        <v>1.5855320692062378</v>
      </c>
      <c r="AC80" s="903"/>
    </row>
    <row r="81" spans="2:29" ht="11.25" customHeight="1" x14ac:dyDescent="0.2">
      <c r="B81" s="972"/>
      <c r="C81" s="972"/>
      <c r="D81" s="972"/>
      <c r="E81" s="972"/>
      <c r="F81" s="902"/>
      <c r="G81" s="977"/>
      <c r="H81" s="10">
        <v>1.6607432961463928</v>
      </c>
      <c r="I81" s="10">
        <v>1.5832419395446777</v>
      </c>
      <c r="J81" s="10">
        <v>1.0588490962982178</v>
      </c>
      <c r="K81" s="10">
        <v>1.8402186632156372</v>
      </c>
      <c r="L81" s="1">
        <f t="shared" si="3"/>
        <v>1.6607432961463928</v>
      </c>
      <c r="M81" s="1">
        <f t="shared" si="4"/>
        <v>1.5832419395446777</v>
      </c>
      <c r="N81" s="1">
        <f t="shared" si="5"/>
        <v>1.0588490962982178</v>
      </c>
      <c r="O81" s="1">
        <f t="shared" si="6"/>
        <v>1.8402186632156372</v>
      </c>
      <c r="AC81" s="903"/>
    </row>
    <row r="82" spans="2:29" ht="11.25" customHeight="1" x14ac:dyDescent="0.2">
      <c r="B82" s="972"/>
      <c r="C82" s="972"/>
      <c r="D82" s="972"/>
      <c r="E82" s="972"/>
      <c r="F82" s="902"/>
      <c r="G82" s="977"/>
      <c r="H82" s="10">
        <v>1.0590370297431946</v>
      </c>
      <c r="I82" s="10">
        <v>1.1513001918792725</v>
      </c>
      <c r="J82" s="10">
        <v>1.3158559799194336</v>
      </c>
      <c r="K82" s="10">
        <v>1.4356530904769897</v>
      </c>
      <c r="L82" s="1">
        <f t="shared" si="3"/>
        <v>1.0590370297431946</v>
      </c>
      <c r="M82" s="1">
        <f t="shared" si="4"/>
        <v>1.1513001918792725</v>
      </c>
      <c r="N82" s="1">
        <f t="shared" si="5"/>
        <v>1.3158559799194336</v>
      </c>
      <c r="O82" s="1">
        <f t="shared" si="6"/>
        <v>1.4356530904769897</v>
      </c>
      <c r="AC82" s="903"/>
    </row>
    <row r="83" spans="2:29" ht="11.25" customHeight="1" x14ac:dyDescent="0.2">
      <c r="B83" s="972"/>
      <c r="C83" s="972"/>
      <c r="D83" s="972"/>
      <c r="E83" s="972"/>
      <c r="F83" s="902"/>
      <c r="G83" s="977"/>
      <c r="H83" s="10">
        <v>1.423368513584137</v>
      </c>
      <c r="I83" s="10">
        <v>1.8564014434814453</v>
      </c>
      <c r="J83" s="10">
        <v>1.056265115737915</v>
      </c>
      <c r="K83" s="10">
        <v>1.8972870111465454</v>
      </c>
      <c r="L83" s="1">
        <f t="shared" si="3"/>
        <v>1.423368513584137</v>
      </c>
      <c r="M83" s="1">
        <f t="shared" si="4"/>
        <v>1.8564014434814453</v>
      </c>
      <c r="N83" s="1">
        <f t="shared" si="5"/>
        <v>1.056265115737915</v>
      </c>
      <c r="O83" s="1">
        <f t="shared" si="6"/>
        <v>1.8972870111465454</v>
      </c>
      <c r="AC83" s="903"/>
    </row>
    <row r="84" spans="2:29" ht="11.25" customHeight="1" x14ac:dyDescent="0.2">
      <c r="B84" s="972"/>
      <c r="C84" s="972"/>
      <c r="D84" s="972"/>
      <c r="E84" s="972"/>
      <c r="F84" s="902"/>
      <c r="G84" s="977"/>
      <c r="H84" s="10">
        <v>1.23988276720047</v>
      </c>
      <c r="I84" s="10">
        <v>1.0526106357574463</v>
      </c>
      <c r="J84" s="10">
        <v>1.7803816795349121</v>
      </c>
      <c r="K84" s="10">
        <v>1.0367048978805542</v>
      </c>
      <c r="L84" s="1">
        <f t="shared" si="3"/>
        <v>1.23988276720047</v>
      </c>
      <c r="M84" s="1">
        <f t="shared" si="4"/>
        <v>1.0526106357574463</v>
      </c>
      <c r="N84" s="1">
        <f t="shared" si="5"/>
        <v>1.7803816795349121</v>
      </c>
      <c r="O84" s="1">
        <f t="shared" si="6"/>
        <v>1.0367048978805542</v>
      </c>
      <c r="AC84" s="903"/>
    </row>
    <row r="85" spans="2:29" ht="11.25" customHeight="1" x14ac:dyDescent="0.2">
      <c r="B85" s="972"/>
      <c r="C85" s="972"/>
      <c r="D85" s="972"/>
      <c r="E85" s="972"/>
      <c r="F85" s="902"/>
      <c r="G85" s="977"/>
      <c r="H85" s="10">
        <v>1.1363263726234436</v>
      </c>
      <c r="I85" s="10">
        <v>1.6691880226135254</v>
      </c>
      <c r="J85" s="10">
        <v>1.2629249095916748</v>
      </c>
      <c r="K85" s="10">
        <v>1.8422490358352661</v>
      </c>
      <c r="L85" s="1">
        <f t="shared" si="3"/>
        <v>1.1363263726234436</v>
      </c>
      <c r="M85" s="1">
        <f t="shared" si="4"/>
        <v>1.6691880226135254</v>
      </c>
      <c r="N85" s="1">
        <f t="shared" si="5"/>
        <v>1.2629249095916748</v>
      </c>
      <c r="O85" s="1">
        <f t="shared" si="6"/>
        <v>1.8422490358352661</v>
      </c>
      <c r="AC85" s="903"/>
    </row>
    <row r="86" spans="2:29" ht="11.25" customHeight="1" x14ac:dyDescent="0.2">
      <c r="B86" s="972"/>
      <c r="C86" s="972"/>
      <c r="D86" s="972"/>
      <c r="E86" s="972"/>
      <c r="F86" s="902"/>
      <c r="G86" s="977"/>
      <c r="H86" s="10">
        <v>1.5061530470848083</v>
      </c>
      <c r="I86" s="10">
        <v>1.6196445226669312</v>
      </c>
      <c r="J86" s="10">
        <v>1.606745719909668</v>
      </c>
      <c r="K86" s="10">
        <v>1.100214958190918</v>
      </c>
      <c r="L86" s="1">
        <f t="shared" si="3"/>
        <v>1.5061530470848083</v>
      </c>
      <c r="M86" s="1">
        <f t="shared" si="4"/>
        <v>1.6196445226669312</v>
      </c>
      <c r="N86" s="1">
        <f t="shared" si="5"/>
        <v>1.606745719909668</v>
      </c>
      <c r="O86" s="1">
        <f t="shared" si="6"/>
        <v>1.100214958190918</v>
      </c>
      <c r="AC86" s="903"/>
    </row>
    <row r="87" spans="2:29" ht="11.25" customHeight="1" x14ac:dyDescent="0.2">
      <c r="B87" s="972"/>
      <c r="C87" s="972"/>
      <c r="D87" s="972"/>
      <c r="E87" s="972"/>
      <c r="F87" s="902"/>
      <c r="G87" s="977"/>
      <c r="H87" s="10">
        <v>1.9429885745048523</v>
      </c>
      <c r="I87" s="10">
        <v>1.3826242685317993</v>
      </c>
      <c r="J87" s="10">
        <v>1.3473474979400635</v>
      </c>
      <c r="K87" s="10">
        <v>1.0397865772247314</v>
      </c>
      <c r="L87" s="1">
        <f t="shared" si="3"/>
        <v>1.9429885745048523</v>
      </c>
      <c r="M87" s="1">
        <f t="shared" si="4"/>
        <v>1.3826242685317993</v>
      </c>
      <c r="N87" s="1">
        <f t="shared" si="5"/>
        <v>1.3473474979400635</v>
      </c>
      <c r="O87" s="1">
        <f t="shared" si="6"/>
        <v>1.0397865772247314</v>
      </c>
      <c r="AC87" s="903"/>
    </row>
    <row r="88" spans="2:29" ht="11.25" customHeight="1" x14ac:dyDescent="0.2">
      <c r="B88" s="972"/>
      <c r="C88" s="972"/>
      <c r="D88" s="972"/>
      <c r="E88" s="972"/>
      <c r="F88" s="902"/>
      <c r="G88" s="977"/>
      <c r="H88" s="10">
        <v>1.8901428580284119</v>
      </c>
      <c r="I88" s="10">
        <v>1.4935539960861206</v>
      </c>
      <c r="J88" s="10">
        <v>1.4073805809020996</v>
      </c>
      <c r="K88" s="10">
        <v>1.931220531463623</v>
      </c>
      <c r="L88" s="1">
        <f t="shared" si="3"/>
        <v>1.8901428580284119</v>
      </c>
      <c r="M88" s="1">
        <f t="shared" si="4"/>
        <v>1.4935539960861206</v>
      </c>
      <c r="N88" s="1">
        <f t="shared" si="5"/>
        <v>1.4073805809020996</v>
      </c>
      <c r="O88" s="1">
        <f t="shared" si="6"/>
        <v>1.931220531463623</v>
      </c>
      <c r="AC88" s="903"/>
    </row>
    <row r="89" spans="2:29" ht="11.25" customHeight="1" x14ac:dyDescent="0.2">
      <c r="B89" s="972"/>
      <c r="C89" s="972"/>
      <c r="D89" s="972"/>
      <c r="E89" s="972"/>
      <c r="F89" s="902"/>
      <c r="G89" s="977"/>
      <c r="H89" s="10">
        <v>1.2512413859367371</v>
      </c>
      <c r="I89" s="10">
        <v>1.554057240486145</v>
      </c>
      <c r="J89" s="10">
        <v>1.0444743633270264</v>
      </c>
      <c r="K89" s="10">
        <v>1.8141286373138428</v>
      </c>
      <c r="L89" s="1">
        <f t="shared" si="3"/>
        <v>1.2512413859367371</v>
      </c>
      <c r="M89" s="1">
        <f t="shared" si="4"/>
        <v>1.554057240486145</v>
      </c>
      <c r="N89" s="1">
        <f t="shared" si="5"/>
        <v>1.0444743633270264</v>
      </c>
      <c r="O89" s="1">
        <f t="shared" si="6"/>
        <v>1.8141286373138428</v>
      </c>
      <c r="AC89" s="903"/>
    </row>
    <row r="90" spans="2:29" ht="11.25" customHeight="1" x14ac:dyDescent="0.2">
      <c r="B90" s="972"/>
      <c r="C90" s="972"/>
      <c r="D90" s="972"/>
      <c r="E90" s="972"/>
      <c r="F90" s="902"/>
      <c r="G90" s="977"/>
      <c r="H90" s="10">
        <v>1.4699487090110779</v>
      </c>
      <c r="I90" s="10">
        <v>1.5456403493881226</v>
      </c>
      <c r="J90" s="10">
        <v>1.3766098022460938</v>
      </c>
      <c r="K90" s="10">
        <v>1.1470680236816406</v>
      </c>
      <c r="L90" s="1">
        <f t="shared" si="3"/>
        <v>1.4699487090110779</v>
      </c>
      <c r="M90" s="1">
        <f t="shared" si="4"/>
        <v>1.5456403493881226</v>
      </c>
      <c r="N90" s="1">
        <f t="shared" si="5"/>
        <v>1.3766098022460938</v>
      </c>
      <c r="O90" s="1">
        <f t="shared" si="6"/>
        <v>1.1470680236816406</v>
      </c>
      <c r="AC90" s="903"/>
    </row>
    <row r="91" spans="2:29" ht="11.25" customHeight="1" x14ac:dyDescent="0.2">
      <c r="B91" s="972"/>
      <c r="C91" s="972"/>
      <c r="D91" s="972"/>
      <c r="E91" s="972"/>
      <c r="F91" s="902"/>
      <c r="G91" s="977"/>
      <c r="H91" s="10">
        <v>1.7330934405326843</v>
      </c>
      <c r="I91" s="10">
        <v>1.2203174829483032</v>
      </c>
      <c r="J91" s="10">
        <v>1.2102444171905518</v>
      </c>
      <c r="K91" s="10">
        <v>1.3231661319732666</v>
      </c>
      <c r="L91" s="1">
        <f t="shared" si="3"/>
        <v>1.7330934405326843</v>
      </c>
      <c r="M91" s="1">
        <f t="shared" si="4"/>
        <v>1.2203174829483032</v>
      </c>
      <c r="N91" s="1">
        <f t="shared" si="5"/>
        <v>1.2102444171905518</v>
      </c>
      <c r="O91" s="1">
        <f t="shared" si="6"/>
        <v>1.3231661319732666</v>
      </c>
      <c r="AC91" s="903"/>
    </row>
    <row r="92" spans="2:29" ht="11.25" customHeight="1" x14ac:dyDescent="0.2">
      <c r="B92" s="972"/>
      <c r="C92" s="972"/>
      <c r="D92" s="972"/>
      <c r="E92" s="972"/>
      <c r="F92" s="902"/>
      <c r="G92" s="977"/>
      <c r="H92" s="10">
        <v>1.4237932562828064</v>
      </c>
      <c r="I92" s="10">
        <v>1.741235613822937</v>
      </c>
      <c r="J92" s="10">
        <v>1.1184372901916504</v>
      </c>
      <c r="K92" s="10">
        <v>1.4357457160949707</v>
      </c>
      <c r="L92" s="1">
        <f t="shared" si="3"/>
        <v>1.4237932562828064</v>
      </c>
      <c r="M92" s="1">
        <f t="shared" si="4"/>
        <v>1.741235613822937</v>
      </c>
      <c r="N92" s="1">
        <f t="shared" si="5"/>
        <v>1.1184372901916504</v>
      </c>
      <c r="O92" s="1">
        <f t="shared" si="6"/>
        <v>1.4357457160949707</v>
      </c>
      <c r="AC92" s="903"/>
    </row>
    <row r="93" spans="2:29" ht="11.25" customHeight="1" x14ac:dyDescent="0.2">
      <c r="B93" s="972"/>
      <c r="C93" s="972"/>
      <c r="D93" s="972"/>
      <c r="E93" s="972"/>
      <c r="F93" s="902"/>
      <c r="G93" s="977"/>
      <c r="H93" s="10">
        <v>1.8245798945426941</v>
      </c>
      <c r="I93" s="10">
        <v>1.5732995271682739</v>
      </c>
      <c r="J93" s="10">
        <v>1.7689740657806396</v>
      </c>
      <c r="K93" s="10">
        <v>1.2939498424530029</v>
      </c>
      <c r="L93" s="1">
        <f t="shared" si="3"/>
        <v>1.8245798945426941</v>
      </c>
      <c r="M93" s="1">
        <f t="shared" si="4"/>
        <v>1.5732995271682739</v>
      </c>
      <c r="N93" s="1">
        <f t="shared" si="5"/>
        <v>1.7689740657806396</v>
      </c>
      <c r="O93" s="1">
        <f t="shared" si="6"/>
        <v>1.2939498424530029</v>
      </c>
      <c r="AC93" s="903"/>
    </row>
    <row r="94" spans="2:29" ht="11.25" customHeight="1" x14ac:dyDescent="0.2">
      <c r="B94" s="972"/>
      <c r="C94" s="972"/>
      <c r="D94" s="972"/>
      <c r="E94" s="972"/>
      <c r="F94" s="902"/>
      <c r="G94" s="977"/>
      <c r="H94" s="10">
        <v>1.0705241560935974</v>
      </c>
      <c r="I94" s="10">
        <v>1.623796820640564</v>
      </c>
      <c r="J94" s="10">
        <v>1.5024919509887695</v>
      </c>
      <c r="K94" s="10">
        <v>1.6883668899536133</v>
      </c>
      <c r="L94" s="1">
        <f t="shared" si="3"/>
        <v>1.0705241560935974</v>
      </c>
      <c r="M94" s="1">
        <f t="shared" si="4"/>
        <v>1.623796820640564</v>
      </c>
      <c r="N94" s="1">
        <f t="shared" si="5"/>
        <v>1.5024919509887695</v>
      </c>
      <c r="O94" s="1">
        <f t="shared" si="6"/>
        <v>1.6883668899536133</v>
      </c>
      <c r="AC94" s="903"/>
    </row>
    <row r="95" spans="2:29" ht="11.25" customHeight="1" x14ac:dyDescent="0.2">
      <c r="B95" s="972"/>
      <c r="C95" s="972"/>
      <c r="D95" s="972"/>
      <c r="E95" s="972"/>
      <c r="F95" s="902"/>
      <c r="G95" s="977"/>
      <c r="H95" s="10">
        <v>1.1606047749519348</v>
      </c>
      <c r="I95" s="10">
        <v>1.9066555500030518</v>
      </c>
      <c r="J95" s="10">
        <v>1.3696141242980957</v>
      </c>
      <c r="K95" s="10">
        <v>1.8149060010910034</v>
      </c>
      <c r="L95" s="1">
        <f t="shared" si="3"/>
        <v>1.1606047749519348</v>
      </c>
      <c r="M95" s="1">
        <f t="shared" si="4"/>
        <v>1.9066555500030518</v>
      </c>
      <c r="N95" s="1">
        <f t="shared" si="5"/>
        <v>1.3696141242980957</v>
      </c>
      <c r="O95" s="1">
        <f t="shared" si="6"/>
        <v>1.8149060010910034</v>
      </c>
      <c r="AC95" s="903"/>
    </row>
    <row r="96" spans="2:29" ht="11.25" customHeight="1" x14ac:dyDescent="0.2">
      <c r="B96" s="972"/>
      <c r="C96" s="972"/>
      <c r="D96" s="972"/>
      <c r="E96" s="972"/>
      <c r="F96" s="902"/>
      <c r="G96" s="977"/>
      <c r="H96" s="10">
        <v>1.1640277504920959</v>
      </c>
      <c r="I96" s="10">
        <v>1.4991698265075684</v>
      </c>
      <c r="J96" s="10">
        <v>1.0337216854095459</v>
      </c>
      <c r="K96" s="10">
        <v>1.7476321458816528</v>
      </c>
      <c r="L96" s="1">
        <f t="shared" si="3"/>
        <v>1.1640277504920959</v>
      </c>
      <c r="M96" s="1">
        <f t="shared" si="4"/>
        <v>1.4991698265075684</v>
      </c>
      <c r="N96" s="1">
        <f t="shared" si="5"/>
        <v>1.0337216854095459</v>
      </c>
      <c r="O96" s="1">
        <f t="shared" si="6"/>
        <v>1.7476321458816528</v>
      </c>
      <c r="AC96" s="903"/>
    </row>
    <row r="97" spans="2:29" ht="11.25" customHeight="1" x14ac:dyDescent="0.2">
      <c r="B97" s="972"/>
      <c r="C97" s="972"/>
      <c r="D97" s="972"/>
      <c r="E97" s="972"/>
      <c r="F97" s="902"/>
      <c r="G97" s="977"/>
      <c r="H97" s="10">
        <v>1.8407028317451477</v>
      </c>
      <c r="I97" s="10">
        <v>1.2945840358734131</v>
      </c>
      <c r="J97" s="10">
        <v>1.4211606979370117</v>
      </c>
      <c r="K97" s="10">
        <v>1.5142701864242554</v>
      </c>
      <c r="L97" s="1">
        <f t="shared" si="3"/>
        <v>1.8407028317451477</v>
      </c>
      <c r="M97" s="1">
        <f t="shared" si="4"/>
        <v>1.2945840358734131</v>
      </c>
      <c r="N97" s="1">
        <f t="shared" si="5"/>
        <v>1.4211606979370117</v>
      </c>
      <c r="O97" s="1">
        <f t="shared" si="6"/>
        <v>1.5142701864242554</v>
      </c>
      <c r="AC97" s="903"/>
    </row>
    <row r="98" spans="2:29" ht="11.25" customHeight="1" x14ac:dyDescent="0.2">
      <c r="B98" s="972"/>
      <c r="C98" s="972"/>
      <c r="D98" s="972"/>
      <c r="E98" s="972"/>
      <c r="F98" s="902"/>
      <c r="G98" s="977"/>
      <c r="H98" s="10">
        <v>1.0039234757423401</v>
      </c>
      <c r="I98" s="10">
        <v>1.6655178070068359</v>
      </c>
      <c r="J98" s="10">
        <v>1.9765722751617432</v>
      </c>
      <c r="K98" s="10">
        <v>1.093396782875061</v>
      </c>
      <c r="L98" s="1">
        <f t="shared" si="3"/>
        <v>1.0039234757423401</v>
      </c>
      <c r="M98" s="1">
        <f t="shared" si="4"/>
        <v>1.6655178070068359</v>
      </c>
      <c r="N98" s="1">
        <f t="shared" si="5"/>
        <v>1.9765722751617432</v>
      </c>
      <c r="O98" s="1">
        <f t="shared" si="6"/>
        <v>1.093396782875061</v>
      </c>
      <c r="AC98" s="903"/>
    </row>
    <row r="99" spans="2:29" ht="11.25" customHeight="1" x14ac:dyDescent="0.2">
      <c r="B99" s="972"/>
      <c r="C99" s="972"/>
      <c r="D99" s="972"/>
      <c r="E99" s="972"/>
      <c r="F99" s="902"/>
      <c r="G99" s="977"/>
      <c r="H99" s="10">
        <v>1.7804597020149231</v>
      </c>
      <c r="I99" s="10">
        <v>1.0441610813140869</v>
      </c>
      <c r="J99" s="10">
        <v>1.9658865928649902</v>
      </c>
      <c r="K99" s="10">
        <v>1.9997214078903198</v>
      </c>
      <c r="L99" s="1">
        <f t="shared" si="3"/>
        <v>1.7804597020149231</v>
      </c>
      <c r="M99" s="1">
        <f t="shared" si="4"/>
        <v>1.0441610813140869</v>
      </c>
      <c r="N99" s="1">
        <f t="shared" si="5"/>
        <v>1.9658865928649902</v>
      </c>
      <c r="O99" s="1">
        <f t="shared" si="6"/>
        <v>1.9997214078903198</v>
      </c>
      <c r="AC99" s="903"/>
    </row>
    <row r="100" spans="2:29" ht="11.25" customHeight="1" x14ac:dyDescent="0.2">
      <c r="B100" s="972"/>
      <c r="C100" s="972"/>
      <c r="D100" s="972"/>
      <c r="E100" s="972"/>
      <c r="F100" s="902"/>
      <c r="G100" s="977"/>
      <c r="H100" s="10">
        <v>1.6886830925941467</v>
      </c>
      <c r="I100" s="10">
        <v>1.687899112701416</v>
      </c>
      <c r="J100" s="10">
        <v>1.1794478893280029</v>
      </c>
      <c r="K100" s="10">
        <v>1.1747113466262817</v>
      </c>
      <c r="L100" s="1">
        <f t="shared" si="3"/>
        <v>1.6886830925941467</v>
      </c>
      <c r="M100" s="1">
        <f t="shared" si="4"/>
        <v>1.687899112701416</v>
      </c>
      <c r="N100" s="1">
        <f t="shared" si="5"/>
        <v>1.1794478893280029</v>
      </c>
      <c r="O100" s="1">
        <f t="shared" si="6"/>
        <v>1.1747113466262817</v>
      </c>
      <c r="AC100" s="903"/>
    </row>
    <row r="101" spans="2:29" ht="11.25" customHeight="1" x14ac:dyDescent="0.2">
      <c r="B101" s="972"/>
      <c r="C101" s="972"/>
      <c r="D101" s="972"/>
      <c r="E101" s="972"/>
      <c r="F101" s="902"/>
      <c r="G101" s="977"/>
      <c r="H101" s="10">
        <v>1.966691792011261</v>
      </c>
      <c r="I101" s="10">
        <v>1.6949374675750732</v>
      </c>
      <c r="J101" s="10">
        <v>1.8851394653320313</v>
      </c>
      <c r="K101" s="10">
        <v>1.1272166967391968</v>
      </c>
      <c r="L101" s="1">
        <f t="shared" si="3"/>
        <v>1.966691792011261</v>
      </c>
      <c r="M101" s="1">
        <f t="shared" si="4"/>
        <v>1.6949374675750732</v>
      </c>
      <c r="N101" s="1">
        <f t="shared" si="5"/>
        <v>1.8851394653320313</v>
      </c>
      <c r="O101" s="1">
        <f t="shared" si="6"/>
        <v>1.1272166967391968</v>
      </c>
      <c r="AC101" s="903"/>
    </row>
    <row r="102" spans="2:29" ht="11.25" customHeight="1" x14ac:dyDescent="0.2">
      <c r="B102" s="972"/>
      <c r="C102" s="972"/>
      <c r="D102" s="972"/>
      <c r="E102" s="972"/>
      <c r="F102" s="902"/>
      <c r="G102" s="977"/>
      <c r="H102" s="10">
        <v>1.1504355072975159</v>
      </c>
      <c r="I102" s="10">
        <v>1.2699270248413086</v>
      </c>
      <c r="J102" s="10">
        <v>1.0315086841583252</v>
      </c>
      <c r="K102" s="10">
        <v>1.3240953683853149</v>
      </c>
      <c r="L102" s="1">
        <f t="shared" si="3"/>
        <v>1.1504355072975159</v>
      </c>
      <c r="M102" s="1">
        <f t="shared" si="4"/>
        <v>1.2699270248413086</v>
      </c>
      <c r="N102" s="1">
        <f t="shared" si="5"/>
        <v>1.0315086841583252</v>
      </c>
      <c r="O102" s="1">
        <f t="shared" si="6"/>
        <v>1.3240953683853149</v>
      </c>
      <c r="AC102" s="903"/>
    </row>
    <row r="103" spans="2:29" ht="11.25" customHeight="1" x14ac:dyDescent="0.2">
      <c r="B103" s="972"/>
      <c r="C103" s="972"/>
      <c r="D103" s="972"/>
      <c r="E103" s="972"/>
      <c r="F103" s="902"/>
      <c r="G103" s="977"/>
      <c r="H103" s="10">
        <v>1.9018405079841614</v>
      </c>
      <c r="I103" s="10">
        <v>1.2395889759063721</v>
      </c>
      <c r="J103" s="10">
        <v>1.7008919715881348</v>
      </c>
      <c r="K103" s="10">
        <v>1.8308380842208862</v>
      </c>
      <c r="L103" s="1">
        <f t="shared" si="3"/>
        <v>1.9018405079841614</v>
      </c>
      <c r="M103" s="1">
        <f t="shared" si="4"/>
        <v>1.2395889759063721</v>
      </c>
      <c r="N103" s="1">
        <f t="shared" si="5"/>
        <v>1.7008919715881348</v>
      </c>
      <c r="O103" s="1">
        <f t="shared" si="6"/>
        <v>1.8308380842208862</v>
      </c>
      <c r="AC103" s="903"/>
    </row>
    <row r="104" spans="2:29" ht="11.25" customHeight="1" x14ac:dyDescent="0.2">
      <c r="B104" s="972"/>
      <c r="C104" s="972"/>
      <c r="D104" s="972"/>
      <c r="E104" s="972"/>
      <c r="F104" s="902"/>
      <c r="G104" s="977"/>
      <c r="H104" s="10">
        <v>1.0869346261024475</v>
      </c>
      <c r="I104" s="10">
        <v>1.8183398246765137</v>
      </c>
      <c r="J104" s="10">
        <v>1.81253981590271</v>
      </c>
      <c r="K104" s="10">
        <v>1.2021933794021606</v>
      </c>
      <c r="L104" s="1">
        <f t="shared" si="3"/>
        <v>1.0869346261024475</v>
      </c>
      <c r="M104" s="1">
        <f t="shared" si="4"/>
        <v>1.8183398246765137</v>
      </c>
      <c r="N104" s="1">
        <f t="shared" si="5"/>
        <v>1.81253981590271</v>
      </c>
      <c r="O104" s="1">
        <f t="shared" si="6"/>
        <v>1.2021933794021606</v>
      </c>
      <c r="AC104" s="903"/>
    </row>
    <row r="105" spans="2:29" ht="11.25" customHeight="1" x14ac:dyDescent="0.2">
      <c r="B105" s="972"/>
      <c r="C105" s="972"/>
      <c r="D105" s="972"/>
      <c r="E105" s="972"/>
      <c r="F105" s="902"/>
      <c r="G105" s="977"/>
      <c r="H105" s="10">
        <v>1.1039722561836243</v>
      </c>
      <c r="I105" s="10">
        <v>1.6239163875579834</v>
      </c>
      <c r="J105" s="10">
        <v>1.0757417678833008</v>
      </c>
      <c r="K105" s="10">
        <v>1.6227926015853882</v>
      </c>
      <c r="L105" s="1">
        <f t="shared" si="3"/>
        <v>1.1039722561836243</v>
      </c>
      <c r="M105" s="1">
        <f t="shared" si="4"/>
        <v>1.6239163875579834</v>
      </c>
      <c r="N105" s="1">
        <f t="shared" si="5"/>
        <v>1.0757417678833008</v>
      </c>
      <c r="O105" s="1">
        <f t="shared" si="6"/>
        <v>1.6227926015853882</v>
      </c>
      <c r="AC105" s="903"/>
    </row>
    <row r="106" spans="2:29" ht="11.25" customHeight="1" x14ac:dyDescent="0.2">
      <c r="B106" s="972"/>
      <c r="C106" s="972"/>
      <c r="D106" s="972"/>
      <c r="E106" s="972"/>
      <c r="F106" s="902"/>
      <c r="G106" s="977"/>
      <c r="H106" s="10">
        <v>1.4615593552589417</v>
      </c>
      <c r="I106" s="10">
        <v>1.9430007934570313</v>
      </c>
      <c r="J106" s="10">
        <v>1.1929514408111572</v>
      </c>
      <c r="K106" s="10">
        <v>1.2977749109268188</v>
      </c>
      <c r="L106" s="1">
        <f t="shared" si="3"/>
        <v>1.4615593552589417</v>
      </c>
      <c r="M106" s="1">
        <f t="shared" si="4"/>
        <v>1.9430007934570313</v>
      </c>
      <c r="N106" s="1">
        <f t="shared" si="5"/>
        <v>1.1929514408111572</v>
      </c>
      <c r="O106" s="1">
        <f t="shared" si="6"/>
        <v>1.2977749109268188</v>
      </c>
      <c r="AC106" s="903"/>
    </row>
    <row r="107" spans="2:29" ht="11.25" customHeight="1" x14ac:dyDescent="0.2">
      <c r="B107" s="972"/>
      <c r="C107" s="972"/>
      <c r="D107" s="972"/>
      <c r="E107" s="972"/>
      <c r="F107" s="902"/>
      <c r="G107" s="977"/>
      <c r="H107" s="10">
        <v>1.6067784428596497</v>
      </c>
      <c r="I107" s="10">
        <v>1.2468454837799072</v>
      </c>
      <c r="J107" s="10">
        <v>1.3129115104675293</v>
      </c>
      <c r="K107" s="10">
        <v>1.0934122800827026</v>
      </c>
      <c r="L107" s="1">
        <f t="shared" si="3"/>
        <v>1.6067784428596497</v>
      </c>
      <c r="M107" s="1">
        <f t="shared" si="4"/>
        <v>1.2468454837799072</v>
      </c>
      <c r="N107" s="1">
        <f t="shared" si="5"/>
        <v>1.3129115104675293</v>
      </c>
      <c r="O107" s="1">
        <f t="shared" si="6"/>
        <v>1.0934122800827026</v>
      </c>
      <c r="AC107" s="903"/>
    </row>
    <row r="108" spans="2:29" ht="11.25" customHeight="1" x14ac:dyDescent="0.2">
      <c r="B108" s="972"/>
      <c r="C108" s="972"/>
      <c r="D108" s="972"/>
      <c r="E108" s="972"/>
      <c r="F108" s="902"/>
      <c r="G108" s="977"/>
      <c r="H108" s="10">
        <v>1.0033136010169983</v>
      </c>
      <c r="I108" s="10">
        <v>1.9568982124328613</v>
      </c>
      <c r="J108" s="10">
        <v>1.733778715133667</v>
      </c>
      <c r="K108" s="10">
        <v>1.4277344942092896</v>
      </c>
      <c r="L108" s="1">
        <f t="shared" si="3"/>
        <v>1.0033136010169983</v>
      </c>
      <c r="M108" s="1">
        <f t="shared" si="4"/>
        <v>1.9568982124328613</v>
      </c>
      <c r="N108" s="1">
        <f t="shared" si="5"/>
        <v>1.733778715133667</v>
      </c>
      <c r="O108" s="1">
        <f t="shared" si="6"/>
        <v>1.4277344942092896</v>
      </c>
      <c r="AC108" s="903"/>
    </row>
    <row r="109" spans="2:29" ht="11.25" customHeight="1" x14ac:dyDescent="0.2">
      <c r="B109" s="972"/>
      <c r="C109" s="972"/>
      <c r="D109" s="972"/>
      <c r="E109" s="972"/>
      <c r="F109" s="902"/>
      <c r="G109" s="977"/>
      <c r="H109" s="10">
        <v>1.4595754742622375</v>
      </c>
      <c r="I109" s="10">
        <v>1.4604270458221436</v>
      </c>
      <c r="J109" s="10">
        <v>1.8562488555908203</v>
      </c>
      <c r="K109" s="10">
        <v>1.4111541509628296</v>
      </c>
      <c r="L109" s="1">
        <f t="shared" si="3"/>
        <v>1.4595754742622375</v>
      </c>
      <c r="M109" s="1">
        <f t="shared" si="4"/>
        <v>1.4604270458221436</v>
      </c>
      <c r="N109" s="1">
        <f t="shared" si="5"/>
        <v>1.8562488555908203</v>
      </c>
      <c r="O109" s="1">
        <f t="shared" si="6"/>
        <v>1.4111541509628296</v>
      </c>
      <c r="AC109" s="903"/>
    </row>
    <row r="110" spans="2:29" ht="11.25" customHeight="1" x14ac:dyDescent="0.2">
      <c r="B110" s="972"/>
      <c r="C110" s="972"/>
      <c r="D110" s="972"/>
      <c r="E110" s="972"/>
      <c r="F110" s="902"/>
      <c r="G110" s="977"/>
      <c r="H110" s="10">
        <v>1.7068262696266174</v>
      </c>
      <c r="I110" s="10">
        <v>1.3761453628540039</v>
      </c>
      <c r="J110" s="10">
        <v>1.3866817951202393</v>
      </c>
      <c r="K110" s="10">
        <v>1.2370916604995728</v>
      </c>
      <c r="L110" s="1">
        <f t="shared" si="3"/>
        <v>1.7068262696266174</v>
      </c>
      <c r="M110" s="1">
        <f t="shared" si="4"/>
        <v>1.3761453628540039</v>
      </c>
      <c r="N110" s="1">
        <f t="shared" si="5"/>
        <v>1.3866817951202393</v>
      </c>
      <c r="O110" s="1">
        <f t="shared" si="6"/>
        <v>1.2370916604995728</v>
      </c>
      <c r="AC110" s="903"/>
    </row>
    <row r="111" spans="2:29" ht="11.25" customHeight="1" x14ac:dyDescent="0.2">
      <c r="B111" s="972"/>
      <c r="C111" s="972"/>
      <c r="D111" s="972"/>
      <c r="E111" s="972"/>
      <c r="F111" s="902"/>
      <c r="G111" s="977"/>
      <c r="H111" s="10">
        <v>1.7902263998985291</v>
      </c>
      <c r="I111" s="10">
        <v>1.822600245475769</v>
      </c>
      <c r="J111" s="10">
        <v>1.3323512077331543</v>
      </c>
      <c r="K111" s="10">
        <v>1.419980525970459</v>
      </c>
      <c r="L111" s="1">
        <f t="shared" si="3"/>
        <v>1.7902263998985291</v>
      </c>
      <c r="M111" s="1">
        <f t="shared" si="4"/>
        <v>1.822600245475769</v>
      </c>
      <c r="N111" s="1">
        <f t="shared" si="5"/>
        <v>1.3323512077331543</v>
      </c>
      <c r="O111" s="1">
        <f t="shared" si="6"/>
        <v>1.419980525970459</v>
      </c>
      <c r="AC111" s="903"/>
    </row>
    <row r="112" spans="2:29" ht="11.25" customHeight="1" x14ac:dyDescent="0.2">
      <c r="B112" s="972"/>
      <c r="C112" s="972"/>
      <c r="D112" s="972"/>
      <c r="E112" s="972"/>
      <c r="F112" s="902"/>
      <c r="G112" s="977"/>
      <c r="H112" s="10">
        <v>1.4905326962471008</v>
      </c>
      <c r="I112" s="10">
        <v>1.8333756923675537</v>
      </c>
      <c r="J112" s="10">
        <v>1.3399419784545898</v>
      </c>
      <c r="K112" s="10">
        <v>1.152457594871521</v>
      </c>
      <c r="L112" s="1">
        <f t="shared" si="3"/>
        <v>1.4905326962471008</v>
      </c>
      <c r="M112" s="1">
        <f t="shared" si="4"/>
        <v>1.8333756923675537</v>
      </c>
      <c r="N112" s="1">
        <f t="shared" si="5"/>
        <v>1.3399419784545898</v>
      </c>
      <c r="O112" s="1">
        <f t="shared" si="6"/>
        <v>1.152457594871521</v>
      </c>
      <c r="AC112" s="903"/>
    </row>
    <row r="113" spans="2:29" ht="11.25" customHeight="1" x14ac:dyDescent="0.2">
      <c r="B113" s="972"/>
      <c r="C113" s="972"/>
      <c r="D113" s="972"/>
      <c r="E113" s="972"/>
      <c r="F113" s="902"/>
      <c r="G113" s="977"/>
      <c r="H113" s="10">
        <v>1.3454506993293762</v>
      </c>
      <c r="I113" s="10">
        <v>1.9624693393707275</v>
      </c>
      <c r="J113" s="10">
        <v>1.3711180686950684</v>
      </c>
      <c r="K113" s="10">
        <v>1.3035582304000854</v>
      </c>
      <c r="L113" s="1">
        <f t="shared" si="3"/>
        <v>1.3454506993293762</v>
      </c>
      <c r="M113" s="1">
        <f t="shared" si="4"/>
        <v>1.9624693393707275</v>
      </c>
      <c r="N113" s="1">
        <f t="shared" si="5"/>
        <v>1.3711180686950684</v>
      </c>
      <c r="O113" s="1">
        <f t="shared" si="6"/>
        <v>1.3035582304000854</v>
      </c>
      <c r="AC113" s="903"/>
    </row>
    <row r="114" spans="2:29" ht="11.25" customHeight="1" x14ac:dyDescent="0.2">
      <c r="B114" s="972"/>
      <c r="C114" s="972"/>
      <c r="D114" s="972"/>
      <c r="E114" s="972"/>
      <c r="F114" s="902"/>
      <c r="G114" s="977"/>
      <c r="H114" s="10">
        <v>1.2185788750648499</v>
      </c>
      <c r="I114" s="10">
        <v>1.7739930152893066</v>
      </c>
      <c r="J114" s="10">
        <v>1.8938224315643311</v>
      </c>
      <c r="K114" s="10">
        <v>1.1136189699172974</v>
      </c>
      <c r="L114" s="1">
        <f t="shared" si="3"/>
        <v>1.2185788750648499</v>
      </c>
      <c r="M114" s="1">
        <f t="shared" si="4"/>
        <v>1.7739930152893066</v>
      </c>
      <c r="N114" s="1">
        <f t="shared" si="5"/>
        <v>1.8938224315643311</v>
      </c>
      <c r="O114" s="1">
        <f t="shared" si="6"/>
        <v>1.1136189699172974</v>
      </c>
      <c r="AC114" s="903"/>
    </row>
    <row r="115" spans="2:29" ht="11.25" customHeight="1" x14ac:dyDescent="0.2">
      <c r="B115" s="972"/>
      <c r="C115" s="972"/>
      <c r="D115" s="972"/>
      <c r="E115" s="972"/>
      <c r="F115" s="902"/>
      <c r="G115" s="977"/>
      <c r="H115" s="10">
        <v>1.9038751721382141</v>
      </c>
      <c r="I115" s="10">
        <v>1.6216685771942139</v>
      </c>
      <c r="J115" s="10">
        <v>1.8901023864746094</v>
      </c>
      <c r="K115" s="10">
        <v>1.7568591833114624</v>
      </c>
      <c r="L115" s="1">
        <f t="shared" si="3"/>
        <v>1.9038751721382141</v>
      </c>
      <c r="M115" s="1">
        <f t="shared" si="4"/>
        <v>1.6216685771942139</v>
      </c>
      <c r="N115" s="1">
        <f t="shared" si="5"/>
        <v>1.8901023864746094</v>
      </c>
      <c r="O115" s="1">
        <f t="shared" si="6"/>
        <v>1.7568591833114624</v>
      </c>
      <c r="AC115" s="903"/>
    </row>
    <row r="116" spans="2:29" ht="11.25" customHeight="1" x14ac:dyDescent="0.2">
      <c r="B116" s="972"/>
      <c r="C116" s="972"/>
      <c r="D116" s="972"/>
      <c r="E116" s="972"/>
      <c r="F116" s="902"/>
      <c r="G116" s="977"/>
      <c r="H116" s="10">
        <v>1.327914297580719</v>
      </c>
      <c r="I116" s="10">
        <v>1.5382719039916992</v>
      </c>
      <c r="J116" s="10">
        <v>1.8241302967071533</v>
      </c>
      <c r="K116" s="10">
        <v>1.1532617807388306</v>
      </c>
      <c r="L116" s="1">
        <f t="shared" si="3"/>
        <v>1.327914297580719</v>
      </c>
      <c r="M116" s="1">
        <f t="shared" si="4"/>
        <v>1.5382719039916992</v>
      </c>
      <c r="N116" s="1">
        <f t="shared" si="5"/>
        <v>1.8241302967071533</v>
      </c>
      <c r="O116" s="1">
        <f t="shared" si="6"/>
        <v>1.1532617807388306</v>
      </c>
      <c r="AC116" s="903"/>
    </row>
    <row r="117" spans="2:29" ht="11.25" customHeight="1" x14ac:dyDescent="0.2">
      <c r="B117" s="972"/>
      <c r="C117" s="972"/>
      <c r="D117" s="972"/>
      <c r="E117" s="972"/>
      <c r="F117" s="902"/>
      <c r="G117" s="977"/>
      <c r="H117" s="10">
        <v>1.7932475209236145</v>
      </c>
      <c r="I117" s="10">
        <v>1.4286491870880127</v>
      </c>
      <c r="J117" s="10">
        <v>1.5438675880432129</v>
      </c>
      <c r="K117" s="10">
        <v>1.0714424848556519</v>
      </c>
      <c r="L117" s="1">
        <f t="shared" si="3"/>
        <v>1.7932475209236145</v>
      </c>
      <c r="M117" s="1">
        <f t="shared" si="4"/>
        <v>1.4286491870880127</v>
      </c>
      <c r="N117" s="1">
        <f t="shared" si="5"/>
        <v>1.5438675880432129</v>
      </c>
      <c r="O117" s="1">
        <f t="shared" si="6"/>
        <v>1.0714424848556519</v>
      </c>
      <c r="AC117" s="903"/>
    </row>
    <row r="118" spans="2:29" ht="11.25" customHeight="1" x14ac:dyDescent="0.2">
      <c r="B118" s="972"/>
      <c r="C118" s="972"/>
      <c r="D118" s="972"/>
      <c r="E118" s="972"/>
      <c r="F118" s="902"/>
      <c r="G118" s="977"/>
      <c r="H118" s="10">
        <v>1.0565276741981506</v>
      </c>
      <c r="I118" s="10">
        <v>1.8353419303894043</v>
      </c>
      <c r="J118" s="10">
        <v>1.9841897487640381</v>
      </c>
      <c r="K118" s="10">
        <v>1.0192748308181763</v>
      </c>
      <c r="L118" s="1">
        <f t="shared" si="3"/>
        <v>1.0565276741981506</v>
      </c>
      <c r="M118" s="1">
        <f t="shared" si="4"/>
        <v>1.8353419303894043</v>
      </c>
      <c r="N118" s="1">
        <f t="shared" si="5"/>
        <v>1.9841897487640381</v>
      </c>
      <c r="O118" s="1">
        <f t="shared" si="6"/>
        <v>1.0192748308181763</v>
      </c>
      <c r="AC118" s="903"/>
    </row>
    <row r="119" spans="2:29" ht="11.25" customHeight="1" x14ac:dyDescent="0.2">
      <c r="B119" s="972"/>
      <c r="C119" s="972"/>
      <c r="D119" s="972"/>
      <c r="E119" s="972"/>
      <c r="F119" s="902"/>
      <c r="G119" s="977"/>
      <c r="H119" s="10">
        <v>1.6566341519355774</v>
      </c>
      <c r="I119" s="10">
        <v>1.954211950302124</v>
      </c>
      <c r="J119" s="10">
        <v>1.1200113296508789</v>
      </c>
      <c r="K119" s="10">
        <v>1.3845151662826538</v>
      </c>
      <c r="L119" s="1">
        <f t="shared" si="3"/>
        <v>1.6566341519355774</v>
      </c>
      <c r="M119" s="1">
        <f t="shared" si="4"/>
        <v>1.954211950302124</v>
      </c>
      <c r="N119" s="1">
        <f t="shared" si="5"/>
        <v>1.1200113296508789</v>
      </c>
      <c r="O119" s="1">
        <f t="shared" si="6"/>
        <v>1.3845151662826538</v>
      </c>
      <c r="AC119" s="903"/>
    </row>
    <row r="120" spans="2:29" ht="11.25" customHeight="1" x14ac:dyDescent="0.2">
      <c r="B120" s="972"/>
      <c r="C120" s="972"/>
      <c r="D120" s="972"/>
      <c r="E120" s="972"/>
      <c r="F120" s="902"/>
      <c r="G120" s="977"/>
      <c r="H120" s="10">
        <v>1.4927979111671448</v>
      </c>
      <c r="I120" s="10">
        <v>1.9000663757324219</v>
      </c>
      <c r="J120" s="10">
        <v>1.1694109439849854</v>
      </c>
      <c r="K120" s="10">
        <v>1.8254276514053345</v>
      </c>
      <c r="L120" s="1">
        <f t="shared" si="3"/>
        <v>1.4927979111671448</v>
      </c>
      <c r="M120" s="1">
        <f t="shared" si="4"/>
        <v>1.9000663757324219</v>
      </c>
      <c r="N120" s="1">
        <f t="shared" si="5"/>
        <v>1.1694109439849854</v>
      </c>
      <c r="O120" s="1">
        <f t="shared" si="6"/>
        <v>1.8254276514053345</v>
      </c>
      <c r="AC120" s="903"/>
    </row>
    <row r="121" spans="2:29" ht="11.25" customHeight="1" x14ac:dyDescent="0.2">
      <c r="B121" s="972"/>
      <c r="C121" s="972"/>
      <c r="D121" s="972"/>
      <c r="E121" s="972"/>
      <c r="F121" s="902"/>
      <c r="G121" s="977"/>
      <c r="H121" s="10">
        <v>1.6527264714241028</v>
      </c>
      <c r="I121" s="10">
        <v>1.2222826480865479</v>
      </c>
      <c r="J121" s="10">
        <v>1.0467562675476074</v>
      </c>
      <c r="K121" s="10">
        <v>1.9114092588424683</v>
      </c>
      <c r="L121" s="1">
        <f t="shared" si="3"/>
        <v>1.6527264714241028</v>
      </c>
      <c r="M121" s="1">
        <f t="shared" si="4"/>
        <v>1.2222826480865479</v>
      </c>
      <c r="N121" s="1">
        <f t="shared" si="5"/>
        <v>1.0467562675476074</v>
      </c>
      <c r="O121" s="1">
        <f t="shared" si="6"/>
        <v>1.9114092588424683</v>
      </c>
      <c r="AC121" s="903"/>
    </row>
    <row r="122" spans="2:29" ht="11.25" customHeight="1" x14ac:dyDescent="0.2">
      <c r="B122" s="972"/>
      <c r="C122" s="972"/>
      <c r="D122" s="972"/>
      <c r="E122" s="972"/>
      <c r="F122" s="902"/>
      <c r="G122" s="977"/>
      <c r="H122" s="10">
        <v>1.4907289147377014</v>
      </c>
      <c r="I122" s="10">
        <v>1.670433521270752</v>
      </c>
      <c r="J122" s="10">
        <v>1.0658290386199951</v>
      </c>
      <c r="K122" s="10">
        <v>1.0136147737503052</v>
      </c>
      <c r="L122" s="1">
        <f t="shared" si="3"/>
        <v>1.4907289147377014</v>
      </c>
      <c r="M122" s="1">
        <f t="shared" si="4"/>
        <v>1.670433521270752</v>
      </c>
      <c r="N122" s="1">
        <f t="shared" si="5"/>
        <v>1.0658290386199951</v>
      </c>
      <c r="O122" s="1">
        <f t="shared" si="6"/>
        <v>1.0136147737503052</v>
      </c>
      <c r="AC122" s="903"/>
    </row>
    <row r="123" spans="2:29" ht="11.25" customHeight="1" x14ac:dyDescent="0.2">
      <c r="B123" s="972"/>
      <c r="C123" s="972"/>
      <c r="D123" s="972"/>
      <c r="E123" s="972"/>
      <c r="F123" s="902"/>
      <c r="G123" s="977"/>
      <c r="H123" s="10">
        <v>1.9558408856391907</v>
      </c>
      <c r="I123" s="10">
        <v>1.2099120616912842</v>
      </c>
      <c r="J123" s="10">
        <v>1.8929500579833984</v>
      </c>
      <c r="K123" s="10">
        <v>1.4455817937850952</v>
      </c>
      <c r="L123" s="1">
        <f t="shared" si="3"/>
        <v>1.9558408856391907</v>
      </c>
      <c r="M123" s="1">
        <f t="shared" si="4"/>
        <v>1.2099120616912842</v>
      </c>
      <c r="N123" s="1">
        <f t="shared" si="5"/>
        <v>1.8929500579833984</v>
      </c>
      <c r="O123" s="1">
        <f t="shared" si="6"/>
        <v>1.4455817937850952</v>
      </c>
      <c r="AC123" s="903"/>
    </row>
    <row r="124" spans="2:29" ht="11.25" customHeight="1" x14ac:dyDescent="0.2">
      <c r="B124" s="972"/>
      <c r="C124" s="972"/>
      <c r="D124" s="972"/>
      <c r="E124" s="972"/>
      <c r="F124" s="902"/>
      <c r="G124" s="977"/>
      <c r="H124" s="10">
        <v>1.7501041293144226</v>
      </c>
      <c r="I124" s="10">
        <v>1.8538557291030884</v>
      </c>
      <c r="J124" s="10">
        <v>1.2559187412261963</v>
      </c>
      <c r="K124" s="10">
        <v>1.347275972366333</v>
      </c>
      <c r="L124" s="1">
        <f t="shared" ref="L124:L187" si="7">IF($M$57,H124,J124)</f>
        <v>1.7501041293144226</v>
      </c>
      <c r="M124" s="1">
        <f t="shared" ref="M124:M187" si="8">IF($M$57,I124,K124)</f>
        <v>1.8538557291030884</v>
      </c>
      <c r="N124" s="1">
        <f t="shared" ref="N124:N187" si="9">IF($M$57,J124,H124)</f>
        <v>1.2559187412261963</v>
      </c>
      <c r="O124" s="1">
        <f t="shared" ref="O124:O187" si="10">IF($M$57,K124,I124)</f>
        <v>1.347275972366333</v>
      </c>
      <c r="AC124" s="903"/>
    </row>
    <row r="125" spans="2:29" ht="11.25" customHeight="1" x14ac:dyDescent="0.2">
      <c r="B125" s="972"/>
      <c r="C125" s="972"/>
      <c r="D125" s="972"/>
      <c r="E125" s="972"/>
      <c r="F125" s="902"/>
      <c r="G125" s="977"/>
      <c r="H125" s="10">
        <v>1.8680652976036072</v>
      </c>
      <c r="I125" s="10">
        <v>1.8586148023605347</v>
      </c>
      <c r="J125" s="10">
        <v>1.4157137870788574</v>
      </c>
      <c r="K125" s="10">
        <v>1.5956740379333496</v>
      </c>
      <c r="L125" s="1">
        <f t="shared" si="7"/>
        <v>1.8680652976036072</v>
      </c>
      <c r="M125" s="1">
        <f t="shared" si="8"/>
        <v>1.8586148023605347</v>
      </c>
      <c r="N125" s="1">
        <f t="shared" si="9"/>
        <v>1.4157137870788574</v>
      </c>
      <c r="O125" s="1">
        <f t="shared" si="10"/>
        <v>1.5956740379333496</v>
      </c>
      <c r="AC125" s="903"/>
    </row>
    <row r="126" spans="2:29" ht="11.25" customHeight="1" x14ac:dyDescent="0.2">
      <c r="B126" s="972"/>
      <c r="C126" s="972"/>
      <c r="D126" s="972"/>
      <c r="E126" s="972"/>
      <c r="F126" s="902"/>
      <c r="G126" s="977"/>
      <c r="H126" s="10">
        <v>1.1895214915275574</v>
      </c>
      <c r="I126" s="10">
        <v>1.9442950487136841</v>
      </c>
      <c r="J126" s="10">
        <v>1.2585265636444092</v>
      </c>
      <c r="K126" s="10">
        <v>1.0176751613616943</v>
      </c>
      <c r="L126" s="1">
        <f t="shared" si="7"/>
        <v>1.1895214915275574</v>
      </c>
      <c r="M126" s="1">
        <f t="shared" si="8"/>
        <v>1.9442950487136841</v>
      </c>
      <c r="N126" s="1">
        <f t="shared" si="9"/>
        <v>1.2585265636444092</v>
      </c>
      <c r="O126" s="1">
        <f t="shared" si="10"/>
        <v>1.0176751613616943</v>
      </c>
      <c r="AC126" s="903"/>
    </row>
    <row r="127" spans="2:29" ht="11.25" customHeight="1" x14ac:dyDescent="0.2">
      <c r="B127" s="972"/>
      <c r="C127" s="972"/>
      <c r="D127" s="972"/>
      <c r="E127" s="972"/>
      <c r="F127" s="902"/>
      <c r="G127" s="977"/>
      <c r="H127" s="10">
        <v>1.3221997618675232</v>
      </c>
      <c r="I127" s="10">
        <v>1.6002153158187866</v>
      </c>
      <c r="J127" s="10">
        <v>1.3789005279541016</v>
      </c>
      <c r="K127" s="10">
        <v>1.6421489715576172</v>
      </c>
      <c r="L127" s="1">
        <f t="shared" si="7"/>
        <v>1.3221997618675232</v>
      </c>
      <c r="M127" s="1">
        <f t="shared" si="8"/>
        <v>1.6002153158187866</v>
      </c>
      <c r="N127" s="1">
        <f t="shared" si="9"/>
        <v>1.3789005279541016</v>
      </c>
      <c r="O127" s="1">
        <f t="shared" si="10"/>
        <v>1.6421489715576172</v>
      </c>
      <c r="AC127" s="903"/>
    </row>
    <row r="128" spans="2:29" ht="11.25" customHeight="1" x14ac:dyDescent="0.2">
      <c r="B128" s="972"/>
      <c r="C128" s="972"/>
      <c r="D128" s="972"/>
      <c r="E128" s="972"/>
      <c r="F128" s="902"/>
      <c r="G128" s="977"/>
      <c r="H128" s="10">
        <v>1.7419912219047546</v>
      </c>
      <c r="I128" s="10">
        <v>1.7112022638320923</v>
      </c>
      <c r="J128" s="10">
        <v>1.1848556995391846</v>
      </c>
      <c r="K128" s="10">
        <v>1.0575354099273682</v>
      </c>
      <c r="L128" s="1">
        <f t="shared" si="7"/>
        <v>1.7419912219047546</v>
      </c>
      <c r="M128" s="1">
        <f t="shared" si="8"/>
        <v>1.7112022638320923</v>
      </c>
      <c r="N128" s="1">
        <f t="shared" si="9"/>
        <v>1.1848556995391846</v>
      </c>
      <c r="O128" s="1">
        <f t="shared" si="10"/>
        <v>1.0575354099273682</v>
      </c>
      <c r="AC128" s="903"/>
    </row>
    <row r="129" spans="2:29" ht="11.25" customHeight="1" x14ac:dyDescent="0.2">
      <c r="B129" s="972"/>
      <c r="C129" s="972"/>
      <c r="D129" s="972"/>
      <c r="E129" s="972"/>
      <c r="F129" s="902"/>
      <c r="G129" s="977"/>
      <c r="H129" s="10">
        <v>1.2460760474205017</v>
      </c>
      <c r="I129" s="10">
        <v>1.1982153654098511</v>
      </c>
      <c r="J129" s="10">
        <v>1.9760136604309082</v>
      </c>
      <c r="K129" s="10">
        <v>1.1774697303771973</v>
      </c>
      <c r="L129" s="1">
        <f t="shared" si="7"/>
        <v>1.2460760474205017</v>
      </c>
      <c r="M129" s="1">
        <f t="shared" si="8"/>
        <v>1.1982153654098511</v>
      </c>
      <c r="N129" s="1">
        <f t="shared" si="9"/>
        <v>1.9760136604309082</v>
      </c>
      <c r="O129" s="1">
        <f t="shared" si="10"/>
        <v>1.1774697303771973</v>
      </c>
      <c r="AC129" s="903"/>
    </row>
    <row r="130" spans="2:29" ht="11.25" customHeight="1" x14ac:dyDescent="0.2">
      <c r="B130" s="972"/>
      <c r="C130" s="972"/>
      <c r="D130" s="972"/>
      <c r="E130" s="972"/>
      <c r="F130" s="902"/>
      <c r="G130" s="977"/>
      <c r="H130" s="10">
        <v>1.6560484766960144</v>
      </c>
      <c r="I130" s="10">
        <v>1.908971905708313</v>
      </c>
      <c r="J130" s="10">
        <v>1.2717225551605225</v>
      </c>
      <c r="K130" s="10">
        <v>1.2564074993133545</v>
      </c>
      <c r="L130" s="1">
        <f t="shared" si="7"/>
        <v>1.6560484766960144</v>
      </c>
      <c r="M130" s="1">
        <f t="shared" si="8"/>
        <v>1.908971905708313</v>
      </c>
      <c r="N130" s="1">
        <f t="shared" si="9"/>
        <v>1.2717225551605225</v>
      </c>
      <c r="O130" s="1">
        <f t="shared" si="10"/>
        <v>1.2564074993133545</v>
      </c>
      <c r="AC130" s="903"/>
    </row>
    <row r="131" spans="2:29" ht="11.25" customHeight="1" x14ac:dyDescent="0.2">
      <c r="B131" s="972"/>
      <c r="C131" s="972"/>
      <c r="D131" s="972"/>
      <c r="E131" s="972"/>
      <c r="F131" s="902"/>
      <c r="G131" s="977"/>
      <c r="H131" s="10">
        <v>1.7710418105125427</v>
      </c>
      <c r="I131" s="10">
        <v>1.758571982383728</v>
      </c>
      <c r="J131" s="10">
        <v>1.3891820907592773</v>
      </c>
      <c r="K131" s="10">
        <v>1.1552495956420898</v>
      </c>
      <c r="L131" s="1">
        <f t="shared" si="7"/>
        <v>1.7710418105125427</v>
      </c>
      <c r="M131" s="1">
        <f t="shared" si="8"/>
        <v>1.758571982383728</v>
      </c>
      <c r="N131" s="1">
        <f t="shared" si="9"/>
        <v>1.3891820907592773</v>
      </c>
      <c r="O131" s="1">
        <f t="shared" si="10"/>
        <v>1.1552495956420898</v>
      </c>
      <c r="AC131" s="903"/>
    </row>
    <row r="132" spans="2:29" ht="11.25" customHeight="1" x14ac:dyDescent="0.2">
      <c r="B132" s="972"/>
      <c r="C132" s="972"/>
      <c r="D132" s="972"/>
      <c r="E132" s="972"/>
      <c r="F132" s="902"/>
      <c r="G132" s="977"/>
      <c r="H132" s="10">
        <v>1.5708534121513367</v>
      </c>
      <c r="I132" s="10">
        <v>1.1201235055923462</v>
      </c>
      <c r="J132" s="10">
        <v>1.2715685367584229</v>
      </c>
      <c r="K132" s="10">
        <v>1.8569672107696533</v>
      </c>
      <c r="L132" s="1">
        <f t="shared" si="7"/>
        <v>1.5708534121513367</v>
      </c>
      <c r="M132" s="1">
        <f t="shared" si="8"/>
        <v>1.1201235055923462</v>
      </c>
      <c r="N132" s="1">
        <f t="shared" si="9"/>
        <v>1.2715685367584229</v>
      </c>
      <c r="O132" s="1">
        <f t="shared" si="10"/>
        <v>1.8569672107696533</v>
      </c>
      <c r="AC132" s="903"/>
    </row>
    <row r="133" spans="2:29" ht="11.25" customHeight="1" x14ac:dyDescent="0.2">
      <c r="B133" s="972"/>
      <c r="C133" s="972"/>
      <c r="D133" s="972"/>
      <c r="E133" s="972"/>
      <c r="F133" s="902"/>
      <c r="G133" s="977"/>
      <c r="H133" s="10">
        <v>1.6690697073936462</v>
      </c>
      <c r="I133" s="10">
        <v>1.4653671979904175</v>
      </c>
      <c r="J133" s="10">
        <v>1.566159725189209</v>
      </c>
      <c r="K133" s="10">
        <v>1.2322268486022949</v>
      </c>
      <c r="L133" s="1">
        <f t="shared" si="7"/>
        <v>1.6690697073936462</v>
      </c>
      <c r="M133" s="1">
        <f t="shared" si="8"/>
        <v>1.4653671979904175</v>
      </c>
      <c r="N133" s="1">
        <f t="shared" si="9"/>
        <v>1.566159725189209</v>
      </c>
      <c r="O133" s="1">
        <f t="shared" si="10"/>
        <v>1.2322268486022949</v>
      </c>
      <c r="AC133" s="903"/>
    </row>
    <row r="134" spans="2:29" ht="11.25" customHeight="1" x14ac:dyDescent="0.2">
      <c r="B134" s="972"/>
      <c r="C134" s="972"/>
      <c r="D134" s="972"/>
      <c r="E134" s="972"/>
      <c r="F134" s="902"/>
      <c r="G134" s="977"/>
      <c r="H134" s="10">
        <v>1.0161911845207214</v>
      </c>
      <c r="I134" s="10">
        <v>1.2553015947341919</v>
      </c>
      <c r="J134" s="10">
        <v>1.9524600505828857</v>
      </c>
      <c r="K134" s="10">
        <v>1.0550153255462646</v>
      </c>
      <c r="L134" s="1">
        <f t="shared" si="7"/>
        <v>1.0161911845207214</v>
      </c>
      <c r="M134" s="1">
        <f t="shared" si="8"/>
        <v>1.2553015947341919</v>
      </c>
      <c r="N134" s="1">
        <f t="shared" si="9"/>
        <v>1.9524600505828857</v>
      </c>
      <c r="O134" s="1">
        <f t="shared" si="10"/>
        <v>1.0550153255462646</v>
      </c>
      <c r="AC134" s="903"/>
    </row>
    <row r="135" spans="2:29" ht="11.25" customHeight="1" x14ac:dyDescent="0.2">
      <c r="B135" s="972"/>
      <c r="C135" s="972"/>
      <c r="D135" s="972"/>
      <c r="E135" s="972"/>
      <c r="F135" s="902"/>
      <c r="G135" s="977"/>
      <c r="H135" s="10">
        <v>1.8527573943138123</v>
      </c>
      <c r="I135" s="10">
        <v>1.0808080434799194</v>
      </c>
      <c r="J135" s="10">
        <v>1.7203254699707031</v>
      </c>
      <c r="K135" s="10">
        <v>1.2682647705078125</v>
      </c>
      <c r="L135" s="1">
        <f t="shared" si="7"/>
        <v>1.8527573943138123</v>
      </c>
      <c r="M135" s="1">
        <f t="shared" si="8"/>
        <v>1.0808080434799194</v>
      </c>
      <c r="N135" s="1">
        <f t="shared" si="9"/>
        <v>1.7203254699707031</v>
      </c>
      <c r="O135" s="1">
        <f t="shared" si="10"/>
        <v>1.2682647705078125</v>
      </c>
      <c r="AC135" s="903"/>
    </row>
    <row r="136" spans="2:29" ht="11.25" customHeight="1" x14ac:dyDescent="0.2">
      <c r="B136" s="972"/>
      <c r="C136" s="972"/>
      <c r="D136" s="972"/>
      <c r="E136" s="972"/>
      <c r="F136" s="902"/>
      <c r="G136" s="977"/>
      <c r="H136" s="10">
        <v>1.9124719500541687</v>
      </c>
      <c r="I136" s="10">
        <v>1.0532757043838501</v>
      </c>
      <c r="J136" s="10">
        <v>1.5980885028839111</v>
      </c>
      <c r="K136" s="10">
        <v>1.4994776248931885</v>
      </c>
      <c r="L136" s="1">
        <f t="shared" si="7"/>
        <v>1.9124719500541687</v>
      </c>
      <c r="M136" s="1">
        <f t="shared" si="8"/>
        <v>1.0532757043838501</v>
      </c>
      <c r="N136" s="1">
        <f t="shared" si="9"/>
        <v>1.5980885028839111</v>
      </c>
      <c r="O136" s="1">
        <f t="shared" si="10"/>
        <v>1.4994776248931885</v>
      </c>
      <c r="AC136" s="903"/>
    </row>
    <row r="137" spans="2:29" ht="11.25" customHeight="1" x14ac:dyDescent="0.2">
      <c r="B137" s="972"/>
      <c r="C137" s="972"/>
      <c r="D137" s="972"/>
      <c r="E137" s="972"/>
      <c r="F137" s="902"/>
      <c r="G137" s="977"/>
      <c r="H137" s="10">
        <v>1.8753275275230408</v>
      </c>
      <c r="I137" s="10">
        <v>1.4452265501022339</v>
      </c>
      <c r="J137" s="10">
        <v>1.8306832313537598</v>
      </c>
      <c r="K137" s="10">
        <v>1.8263516426086426</v>
      </c>
      <c r="L137" s="1">
        <f t="shared" si="7"/>
        <v>1.8753275275230408</v>
      </c>
      <c r="M137" s="1">
        <f t="shared" si="8"/>
        <v>1.4452265501022339</v>
      </c>
      <c r="N137" s="1">
        <f t="shared" si="9"/>
        <v>1.8306832313537598</v>
      </c>
      <c r="O137" s="1">
        <f t="shared" si="10"/>
        <v>1.8263516426086426</v>
      </c>
      <c r="AC137" s="903"/>
    </row>
    <row r="138" spans="2:29" ht="11.25" customHeight="1" x14ac:dyDescent="0.2">
      <c r="B138" s="972"/>
      <c r="C138" s="972"/>
      <c r="D138" s="972"/>
      <c r="E138" s="972"/>
      <c r="F138" s="902"/>
      <c r="G138" s="977"/>
      <c r="H138" s="10">
        <v>1.0707308650016785</v>
      </c>
      <c r="I138" s="10">
        <v>1.5809403657913208</v>
      </c>
      <c r="J138" s="10">
        <v>1.507770299911499</v>
      </c>
      <c r="K138" s="10">
        <v>1.7924048900604248</v>
      </c>
      <c r="L138" s="1">
        <f t="shared" si="7"/>
        <v>1.0707308650016785</v>
      </c>
      <c r="M138" s="1">
        <f t="shared" si="8"/>
        <v>1.5809403657913208</v>
      </c>
      <c r="N138" s="1">
        <f t="shared" si="9"/>
        <v>1.507770299911499</v>
      </c>
      <c r="O138" s="1">
        <f t="shared" si="10"/>
        <v>1.7924048900604248</v>
      </c>
      <c r="AC138" s="903"/>
    </row>
    <row r="139" spans="2:29" ht="11.25" customHeight="1" x14ac:dyDescent="0.2">
      <c r="B139" s="972"/>
      <c r="C139" s="972"/>
      <c r="D139" s="972"/>
      <c r="E139" s="972"/>
      <c r="F139" s="902"/>
      <c r="G139" s="977"/>
      <c r="H139" s="10">
        <v>1.4306277632713318</v>
      </c>
      <c r="I139" s="10">
        <v>1.9770797491073608</v>
      </c>
      <c r="J139" s="10">
        <v>1.1418619155883789</v>
      </c>
      <c r="K139" s="10">
        <v>1.6726007461547852</v>
      </c>
      <c r="L139" s="1">
        <f t="shared" si="7"/>
        <v>1.4306277632713318</v>
      </c>
      <c r="M139" s="1">
        <f t="shared" si="8"/>
        <v>1.9770797491073608</v>
      </c>
      <c r="N139" s="1">
        <f t="shared" si="9"/>
        <v>1.1418619155883789</v>
      </c>
      <c r="O139" s="1">
        <f t="shared" si="10"/>
        <v>1.6726007461547852</v>
      </c>
      <c r="AC139" s="903"/>
    </row>
    <row r="140" spans="2:29" ht="11.25" customHeight="1" x14ac:dyDescent="0.2">
      <c r="B140" s="972"/>
      <c r="C140" s="972"/>
      <c r="D140" s="972"/>
      <c r="E140" s="972"/>
      <c r="F140" s="902"/>
      <c r="G140" s="977"/>
      <c r="H140" s="10">
        <v>1.6926280856132507</v>
      </c>
      <c r="I140" s="10">
        <v>1.733315110206604</v>
      </c>
      <c r="J140" s="10">
        <v>1.4964468479156494</v>
      </c>
      <c r="K140" s="10">
        <v>1.9889729022979736</v>
      </c>
      <c r="L140" s="1">
        <f t="shared" si="7"/>
        <v>1.6926280856132507</v>
      </c>
      <c r="M140" s="1">
        <f t="shared" si="8"/>
        <v>1.733315110206604</v>
      </c>
      <c r="N140" s="1">
        <f t="shared" si="9"/>
        <v>1.4964468479156494</v>
      </c>
      <c r="O140" s="1">
        <f t="shared" si="10"/>
        <v>1.9889729022979736</v>
      </c>
    </row>
    <row r="141" spans="2:29" ht="11.25" customHeight="1" x14ac:dyDescent="0.2">
      <c r="B141" s="972"/>
      <c r="C141" s="972"/>
      <c r="D141" s="972"/>
      <c r="E141" s="972"/>
      <c r="F141" s="902"/>
      <c r="G141" s="977"/>
      <c r="H141" s="10">
        <v>1.8531307578086853</v>
      </c>
      <c r="I141" s="10">
        <v>1.1729496717453003</v>
      </c>
      <c r="J141" s="10">
        <v>1.6641154289245605</v>
      </c>
      <c r="K141" s="10">
        <v>1.2762503623962402</v>
      </c>
      <c r="L141" s="1">
        <f t="shared" si="7"/>
        <v>1.8531307578086853</v>
      </c>
      <c r="M141" s="1">
        <f t="shared" si="8"/>
        <v>1.1729496717453003</v>
      </c>
      <c r="N141" s="1">
        <f t="shared" si="9"/>
        <v>1.6641154289245605</v>
      </c>
      <c r="O141" s="1">
        <f t="shared" si="10"/>
        <v>1.2762503623962402</v>
      </c>
    </row>
    <row r="142" spans="2:29" ht="11.25" customHeight="1" x14ac:dyDescent="0.2">
      <c r="B142" s="972"/>
      <c r="C142" s="972"/>
      <c r="D142" s="972"/>
      <c r="E142" s="972"/>
      <c r="F142" s="902"/>
      <c r="G142" s="977"/>
      <c r="H142" s="10">
        <v>1.8704487681388855</v>
      </c>
      <c r="I142" s="10">
        <v>1.7335444688796997</v>
      </c>
      <c r="J142" s="10">
        <v>1.3946845531463623</v>
      </c>
      <c r="K142" s="10">
        <v>1.097482442855835</v>
      </c>
      <c r="L142" s="1">
        <f t="shared" si="7"/>
        <v>1.8704487681388855</v>
      </c>
      <c r="M142" s="1">
        <f t="shared" si="8"/>
        <v>1.7335444688796997</v>
      </c>
      <c r="N142" s="1">
        <f t="shared" si="9"/>
        <v>1.3946845531463623</v>
      </c>
      <c r="O142" s="1">
        <f t="shared" si="10"/>
        <v>1.097482442855835</v>
      </c>
    </row>
    <row r="143" spans="2:29" ht="11.25" customHeight="1" x14ac:dyDescent="0.2">
      <c r="B143" s="972"/>
      <c r="C143" s="972"/>
      <c r="D143" s="972"/>
      <c r="E143" s="972"/>
      <c r="F143" s="902"/>
      <c r="G143" s="977"/>
      <c r="H143" s="10">
        <v>1.6179341673851013</v>
      </c>
      <c r="I143" s="10">
        <v>1.1075433492660522</v>
      </c>
      <c r="J143" s="10">
        <v>1.6733226776123047</v>
      </c>
      <c r="K143" s="10">
        <v>1.3096637725830078</v>
      </c>
      <c r="L143" s="1">
        <f t="shared" si="7"/>
        <v>1.6179341673851013</v>
      </c>
      <c r="M143" s="1">
        <f t="shared" si="8"/>
        <v>1.1075433492660522</v>
      </c>
      <c r="N143" s="1">
        <f t="shared" si="9"/>
        <v>1.6733226776123047</v>
      </c>
      <c r="O143" s="1">
        <f t="shared" si="10"/>
        <v>1.3096637725830078</v>
      </c>
    </row>
    <row r="144" spans="2:29" ht="11.25" customHeight="1" x14ac:dyDescent="0.2">
      <c r="B144" s="972"/>
      <c r="C144" s="972"/>
      <c r="D144" s="972"/>
      <c r="E144" s="972"/>
      <c r="F144" s="902"/>
      <c r="G144" s="977"/>
      <c r="H144" s="10">
        <v>1.5486748814582825</v>
      </c>
      <c r="I144" s="10">
        <v>1.5793592929840088</v>
      </c>
      <c r="J144" s="10">
        <v>1.8407607078552246</v>
      </c>
      <c r="K144" s="10">
        <v>1.9336928129196167</v>
      </c>
      <c r="L144" s="1">
        <f t="shared" si="7"/>
        <v>1.5486748814582825</v>
      </c>
      <c r="M144" s="1">
        <f t="shared" si="8"/>
        <v>1.5793592929840088</v>
      </c>
      <c r="N144" s="1">
        <f t="shared" si="9"/>
        <v>1.8407607078552246</v>
      </c>
      <c r="O144" s="1">
        <f t="shared" si="10"/>
        <v>1.9336928129196167</v>
      </c>
    </row>
    <row r="145" spans="2:15" ht="11.25" customHeight="1" x14ac:dyDescent="0.2">
      <c r="B145" s="972"/>
      <c r="C145" s="972"/>
      <c r="D145" s="972"/>
      <c r="E145" s="972"/>
      <c r="F145" s="902"/>
      <c r="G145" s="977"/>
      <c r="H145" s="10">
        <v>1.2109876275062561</v>
      </c>
      <c r="I145" s="10">
        <v>1.1483292579650879</v>
      </c>
      <c r="J145" s="10">
        <v>1.7161262035369873</v>
      </c>
      <c r="K145" s="10">
        <v>1.8107701539993286</v>
      </c>
      <c r="L145" s="1">
        <f t="shared" si="7"/>
        <v>1.2109876275062561</v>
      </c>
      <c r="M145" s="1">
        <f t="shared" si="8"/>
        <v>1.1483292579650879</v>
      </c>
      <c r="N145" s="1">
        <f t="shared" si="9"/>
        <v>1.7161262035369873</v>
      </c>
      <c r="O145" s="1">
        <f t="shared" si="10"/>
        <v>1.8107701539993286</v>
      </c>
    </row>
    <row r="146" spans="2:15" ht="11.25" customHeight="1" x14ac:dyDescent="0.2">
      <c r="B146" s="972"/>
      <c r="C146" s="972"/>
      <c r="D146" s="972"/>
      <c r="E146" s="972"/>
      <c r="F146" s="902"/>
      <c r="G146" s="977"/>
      <c r="H146" s="10">
        <v>1.3202341198921204</v>
      </c>
      <c r="I146" s="10">
        <v>1.8491542339324951</v>
      </c>
      <c r="J146" s="10">
        <v>1.7779579162597656</v>
      </c>
      <c r="K146" s="10">
        <v>1.3823550939559937</v>
      </c>
      <c r="L146" s="1">
        <f t="shared" si="7"/>
        <v>1.3202341198921204</v>
      </c>
      <c r="M146" s="1">
        <f t="shared" si="8"/>
        <v>1.8491542339324951</v>
      </c>
      <c r="N146" s="1">
        <f t="shared" si="9"/>
        <v>1.7779579162597656</v>
      </c>
      <c r="O146" s="1">
        <f t="shared" si="10"/>
        <v>1.3823550939559937</v>
      </c>
    </row>
    <row r="147" spans="2:15" ht="11.25" customHeight="1" x14ac:dyDescent="0.2">
      <c r="B147" s="972"/>
      <c r="C147" s="972"/>
      <c r="D147" s="972"/>
      <c r="E147" s="972"/>
      <c r="F147" s="902"/>
      <c r="G147" s="977"/>
      <c r="H147" s="10">
        <v>1.5842390656471252</v>
      </c>
      <c r="I147" s="10">
        <v>1.3708600997924805</v>
      </c>
      <c r="J147" s="10">
        <v>1.5216782093048096</v>
      </c>
      <c r="K147" s="10">
        <v>1.4746805429458618</v>
      </c>
      <c r="L147" s="1">
        <f t="shared" si="7"/>
        <v>1.5842390656471252</v>
      </c>
      <c r="M147" s="1">
        <f t="shared" si="8"/>
        <v>1.3708600997924805</v>
      </c>
      <c r="N147" s="1">
        <f t="shared" si="9"/>
        <v>1.5216782093048096</v>
      </c>
      <c r="O147" s="1">
        <f t="shared" si="10"/>
        <v>1.4746805429458618</v>
      </c>
    </row>
    <row r="148" spans="2:15" ht="11.25" customHeight="1" x14ac:dyDescent="0.2">
      <c r="B148" s="972"/>
      <c r="C148" s="972"/>
      <c r="D148" s="972"/>
      <c r="E148" s="972"/>
      <c r="F148" s="902"/>
      <c r="G148" s="977"/>
      <c r="H148" s="10">
        <v>1.5868037343025208</v>
      </c>
      <c r="I148" s="10">
        <v>1.7745430469512939</v>
      </c>
      <c r="J148" s="10">
        <v>1.3264985084533691</v>
      </c>
      <c r="K148" s="10">
        <v>1.2626122236251831</v>
      </c>
      <c r="L148" s="1">
        <f t="shared" si="7"/>
        <v>1.5868037343025208</v>
      </c>
      <c r="M148" s="1">
        <f t="shared" si="8"/>
        <v>1.7745430469512939</v>
      </c>
      <c r="N148" s="1">
        <f t="shared" si="9"/>
        <v>1.3264985084533691</v>
      </c>
      <c r="O148" s="1">
        <f t="shared" si="10"/>
        <v>1.2626122236251831</v>
      </c>
    </row>
    <row r="149" spans="2:15" ht="11.25" customHeight="1" x14ac:dyDescent="0.2">
      <c r="B149" s="972"/>
      <c r="C149" s="972"/>
      <c r="D149" s="972"/>
      <c r="E149" s="972"/>
      <c r="F149" s="902"/>
      <c r="G149" s="977"/>
      <c r="H149" s="10">
        <v>1.8658309578895569</v>
      </c>
      <c r="I149" s="10">
        <v>1.2589945793151855</v>
      </c>
      <c r="J149" s="10">
        <v>1.1585443019866943</v>
      </c>
      <c r="K149" s="10">
        <v>1.1602736711502075</v>
      </c>
      <c r="L149" s="1">
        <f t="shared" si="7"/>
        <v>1.8658309578895569</v>
      </c>
      <c r="M149" s="1">
        <f t="shared" si="8"/>
        <v>1.2589945793151855</v>
      </c>
      <c r="N149" s="1">
        <f t="shared" si="9"/>
        <v>1.1585443019866943</v>
      </c>
      <c r="O149" s="1">
        <f t="shared" si="10"/>
        <v>1.1602736711502075</v>
      </c>
    </row>
    <row r="150" spans="2:15" ht="11.25" customHeight="1" x14ac:dyDescent="0.2">
      <c r="B150" s="972"/>
      <c r="C150" s="972"/>
      <c r="D150" s="972"/>
      <c r="E150" s="972"/>
      <c r="F150" s="902"/>
      <c r="G150" s="977"/>
      <c r="H150" s="10">
        <v>1.5239800810813904</v>
      </c>
      <c r="I150" s="10">
        <v>1.9616712331771851</v>
      </c>
      <c r="J150" s="10">
        <v>1.3941421508789063</v>
      </c>
      <c r="K150" s="10">
        <v>1.2975959777832031</v>
      </c>
      <c r="L150" s="1">
        <f t="shared" si="7"/>
        <v>1.5239800810813904</v>
      </c>
      <c r="M150" s="1">
        <f t="shared" si="8"/>
        <v>1.9616712331771851</v>
      </c>
      <c r="N150" s="1">
        <f t="shared" si="9"/>
        <v>1.3941421508789063</v>
      </c>
      <c r="O150" s="1">
        <f t="shared" si="10"/>
        <v>1.2975959777832031</v>
      </c>
    </row>
    <row r="151" spans="2:15" ht="11.25" customHeight="1" x14ac:dyDescent="0.2">
      <c r="B151" s="972"/>
      <c r="C151" s="972"/>
      <c r="D151" s="972"/>
      <c r="E151" s="972"/>
      <c r="F151" s="902"/>
      <c r="G151" s="977"/>
      <c r="H151" s="10">
        <v>1.692864716053009</v>
      </c>
      <c r="I151" s="10">
        <v>1.3284304141998291</v>
      </c>
      <c r="J151" s="10">
        <v>1.0486254692077637</v>
      </c>
      <c r="K151" s="10">
        <v>1.9448641538619995</v>
      </c>
      <c r="L151" s="1">
        <f t="shared" si="7"/>
        <v>1.692864716053009</v>
      </c>
      <c r="M151" s="1">
        <f t="shared" si="8"/>
        <v>1.3284304141998291</v>
      </c>
      <c r="N151" s="1">
        <f t="shared" si="9"/>
        <v>1.0486254692077637</v>
      </c>
      <c r="O151" s="1">
        <f t="shared" si="10"/>
        <v>1.9448641538619995</v>
      </c>
    </row>
    <row r="152" spans="2:15" ht="11.25" customHeight="1" x14ac:dyDescent="0.2">
      <c r="B152" s="972"/>
      <c r="C152" s="972"/>
      <c r="D152" s="972"/>
      <c r="E152" s="972"/>
      <c r="F152" s="902"/>
      <c r="G152" s="977"/>
      <c r="H152" s="10">
        <v>1.2731767296791077</v>
      </c>
      <c r="I152" s="10">
        <v>1.6746525764465332</v>
      </c>
      <c r="J152" s="10">
        <v>1.9984843730926514</v>
      </c>
      <c r="K152" s="10">
        <v>1.3797112703323364</v>
      </c>
      <c r="L152" s="1">
        <f t="shared" si="7"/>
        <v>1.2731767296791077</v>
      </c>
      <c r="M152" s="1">
        <f t="shared" si="8"/>
        <v>1.6746525764465332</v>
      </c>
      <c r="N152" s="1">
        <f t="shared" si="9"/>
        <v>1.9984843730926514</v>
      </c>
      <c r="O152" s="1">
        <f t="shared" si="10"/>
        <v>1.3797112703323364</v>
      </c>
    </row>
    <row r="153" spans="2:15" ht="11.25" customHeight="1" x14ac:dyDescent="0.2">
      <c r="B153" s="972"/>
      <c r="C153" s="972"/>
      <c r="D153" s="972"/>
      <c r="E153" s="972"/>
      <c r="F153" s="902"/>
      <c r="G153" s="977"/>
      <c r="H153" s="10">
        <v>1.3653638958930969</v>
      </c>
      <c r="I153" s="10">
        <v>1.4579055309295654</v>
      </c>
      <c r="J153" s="10">
        <v>1.7192821502685547</v>
      </c>
      <c r="K153" s="10">
        <v>1.2556480169296265</v>
      </c>
      <c r="L153" s="1">
        <f t="shared" si="7"/>
        <v>1.3653638958930969</v>
      </c>
      <c r="M153" s="1">
        <f t="shared" si="8"/>
        <v>1.4579055309295654</v>
      </c>
      <c r="N153" s="1">
        <f t="shared" si="9"/>
        <v>1.7192821502685547</v>
      </c>
      <c r="O153" s="1">
        <f t="shared" si="10"/>
        <v>1.2556480169296265</v>
      </c>
    </row>
    <row r="154" spans="2:15" ht="11.25" customHeight="1" x14ac:dyDescent="0.2">
      <c r="B154" s="972"/>
      <c r="C154" s="972"/>
      <c r="D154" s="972"/>
      <c r="E154" s="972"/>
      <c r="F154" s="902"/>
      <c r="G154" s="977"/>
      <c r="H154" s="10">
        <v>1.8725634217262268</v>
      </c>
      <c r="I154" s="10">
        <v>1.7812776565551758</v>
      </c>
      <c r="J154" s="10">
        <v>1.4642536640167236</v>
      </c>
      <c r="K154" s="10">
        <v>1.1254698038101196</v>
      </c>
      <c r="L154" s="1">
        <f t="shared" si="7"/>
        <v>1.8725634217262268</v>
      </c>
      <c r="M154" s="1">
        <f t="shared" si="8"/>
        <v>1.7812776565551758</v>
      </c>
      <c r="N154" s="1">
        <f t="shared" si="9"/>
        <v>1.4642536640167236</v>
      </c>
      <c r="O154" s="1">
        <f t="shared" si="10"/>
        <v>1.1254698038101196</v>
      </c>
    </row>
    <row r="155" spans="2:15" ht="11.25" customHeight="1" x14ac:dyDescent="0.2">
      <c r="B155" s="972"/>
      <c r="C155" s="972"/>
      <c r="D155" s="972"/>
      <c r="E155" s="972"/>
      <c r="F155" s="902"/>
      <c r="G155" s="977"/>
      <c r="H155" s="10">
        <v>1.1988890767097473</v>
      </c>
      <c r="I155" s="10">
        <v>1.2449276447296143</v>
      </c>
      <c r="J155" s="10">
        <v>1.9954228401184082</v>
      </c>
      <c r="K155" s="10">
        <v>1.0156048536300659</v>
      </c>
      <c r="L155" s="1">
        <f t="shared" si="7"/>
        <v>1.1988890767097473</v>
      </c>
      <c r="M155" s="1">
        <f t="shared" si="8"/>
        <v>1.2449276447296143</v>
      </c>
      <c r="N155" s="1">
        <f t="shared" si="9"/>
        <v>1.9954228401184082</v>
      </c>
      <c r="O155" s="1">
        <f t="shared" si="10"/>
        <v>1.0156048536300659</v>
      </c>
    </row>
    <row r="156" spans="2:15" ht="11.25" customHeight="1" x14ac:dyDescent="0.2">
      <c r="B156" s="972"/>
      <c r="C156" s="972"/>
      <c r="D156" s="972"/>
      <c r="E156" s="972"/>
      <c r="F156" s="902"/>
      <c r="G156" s="977"/>
      <c r="H156" s="10">
        <v>1.3275561928749084</v>
      </c>
      <c r="I156" s="10">
        <v>1.7117094993591309</v>
      </c>
      <c r="J156" s="10">
        <v>1.2867276668548584</v>
      </c>
      <c r="K156" s="10">
        <v>1.3167392015457153</v>
      </c>
      <c r="L156" s="1">
        <f t="shared" si="7"/>
        <v>1.3275561928749084</v>
      </c>
      <c r="M156" s="1">
        <f t="shared" si="8"/>
        <v>1.7117094993591309</v>
      </c>
      <c r="N156" s="1">
        <f t="shared" si="9"/>
        <v>1.2867276668548584</v>
      </c>
      <c r="O156" s="1">
        <f t="shared" si="10"/>
        <v>1.3167392015457153</v>
      </c>
    </row>
    <row r="157" spans="2:15" ht="11.25" customHeight="1" x14ac:dyDescent="0.2">
      <c r="B157" s="972"/>
      <c r="C157" s="972"/>
      <c r="D157" s="972"/>
      <c r="E157" s="972"/>
      <c r="F157" s="902"/>
      <c r="G157" s="977"/>
      <c r="H157" s="10">
        <v>1.1490066647529602</v>
      </c>
      <c r="I157" s="10">
        <v>1.3227975368499756</v>
      </c>
      <c r="J157" s="10">
        <v>1.4771451950073242</v>
      </c>
      <c r="K157" s="10">
        <v>1.9244416952133179</v>
      </c>
      <c r="L157" s="1">
        <f t="shared" si="7"/>
        <v>1.1490066647529602</v>
      </c>
      <c r="M157" s="1">
        <f t="shared" si="8"/>
        <v>1.3227975368499756</v>
      </c>
      <c r="N157" s="1">
        <f t="shared" si="9"/>
        <v>1.4771451950073242</v>
      </c>
      <c r="O157" s="1">
        <f t="shared" si="10"/>
        <v>1.9244416952133179</v>
      </c>
    </row>
    <row r="158" spans="2:15" ht="11.25" customHeight="1" x14ac:dyDescent="0.2">
      <c r="B158" s="972"/>
      <c r="C158" s="972"/>
      <c r="D158" s="972"/>
      <c r="E158" s="972"/>
      <c r="F158" s="902"/>
      <c r="G158" s="977"/>
      <c r="H158" s="10">
        <v>1.0390339493751526</v>
      </c>
      <c r="I158" s="10">
        <v>1.7633113861083984</v>
      </c>
      <c r="J158" s="10">
        <v>1.0738165378570557</v>
      </c>
      <c r="K158" s="10">
        <v>1.6297889947891235</v>
      </c>
      <c r="L158" s="1">
        <f t="shared" si="7"/>
        <v>1.0390339493751526</v>
      </c>
      <c r="M158" s="1">
        <f t="shared" si="8"/>
        <v>1.7633113861083984</v>
      </c>
      <c r="N158" s="1">
        <f t="shared" si="9"/>
        <v>1.0738165378570557</v>
      </c>
      <c r="O158" s="1">
        <f t="shared" si="10"/>
        <v>1.6297889947891235</v>
      </c>
    </row>
    <row r="159" spans="2:15" ht="11.25" customHeight="1" x14ac:dyDescent="0.2">
      <c r="B159" s="972"/>
      <c r="C159" s="972"/>
      <c r="D159" s="972"/>
      <c r="E159" s="972"/>
      <c r="F159" s="902"/>
      <c r="G159" s="977"/>
      <c r="H159" s="10">
        <v>1.6869080662727356</v>
      </c>
      <c r="I159" s="10">
        <v>1.7779409885406494</v>
      </c>
      <c r="J159" s="10">
        <v>1.4051718711853027</v>
      </c>
      <c r="K159" s="10">
        <v>1.7599905729293823</v>
      </c>
      <c r="L159" s="1">
        <f t="shared" si="7"/>
        <v>1.6869080662727356</v>
      </c>
      <c r="M159" s="1">
        <f t="shared" si="8"/>
        <v>1.7779409885406494</v>
      </c>
      <c r="N159" s="1">
        <f t="shared" si="9"/>
        <v>1.4051718711853027</v>
      </c>
      <c r="O159" s="1">
        <f t="shared" si="10"/>
        <v>1.7599905729293823</v>
      </c>
    </row>
    <row r="160" spans="2:15" ht="11.25" customHeight="1" x14ac:dyDescent="0.2">
      <c r="B160" s="972"/>
      <c r="C160" s="972"/>
      <c r="D160" s="972"/>
      <c r="E160" s="972"/>
      <c r="F160" s="902"/>
      <c r="G160" s="977"/>
      <c r="H160" s="10">
        <v>1.3240553736686707</v>
      </c>
      <c r="I160" s="10">
        <v>1.0690137147903442</v>
      </c>
      <c r="J160" s="10">
        <v>1.2994096279144287</v>
      </c>
      <c r="K160" s="10">
        <v>1.6499087810516357</v>
      </c>
      <c r="L160" s="1">
        <f t="shared" si="7"/>
        <v>1.3240553736686707</v>
      </c>
      <c r="M160" s="1">
        <f t="shared" si="8"/>
        <v>1.0690137147903442</v>
      </c>
      <c r="N160" s="1">
        <f t="shared" si="9"/>
        <v>1.2994096279144287</v>
      </c>
      <c r="O160" s="1">
        <f t="shared" si="10"/>
        <v>1.6499087810516357</v>
      </c>
    </row>
    <row r="161" spans="2:15" ht="11.25" customHeight="1" x14ac:dyDescent="0.2">
      <c r="B161" s="972"/>
      <c r="C161" s="972"/>
      <c r="D161" s="972"/>
      <c r="E161" s="972"/>
      <c r="F161" s="902"/>
      <c r="G161" s="977"/>
      <c r="H161" s="10">
        <v>1.1630850434303284</v>
      </c>
      <c r="I161" s="10">
        <v>1.4351034164428711</v>
      </c>
      <c r="J161" s="10">
        <v>1.9266045093536377</v>
      </c>
      <c r="K161" s="10">
        <v>1.4669328927993774</v>
      </c>
      <c r="L161" s="1">
        <f t="shared" si="7"/>
        <v>1.1630850434303284</v>
      </c>
      <c r="M161" s="1">
        <f t="shared" si="8"/>
        <v>1.4351034164428711</v>
      </c>
      <c r="N161" s="1">
        <f t="shared" si="9"/>
        <v>1.9266045093536377</v>
      </c>
      <c r="O161" s="1">
        <f t="shared" si="10"/>
        <v>1.4669328927993774</v>
      </c>
    </row>
    <row r="162" spans="2:15" ht="11.25" customHeight="1" x14ac:dyDescent="0.2">
      <c r="B162" s="972"/>
      <c r="C162" s="972"/>
      <c r="D162" s="972"/>
      <c r="E162" s="972"/>
      <c r="F162" s="902"/>
      <c r="G162" s="977"/>
      <c r="H162" s="10">
        <v>1.9889529347419739</v>
      </c>
      <c r="I162" s="10">
        <v>1.4313766956329346</v>
      </c>
      <c r="J162" s="10">
        <v>1.7661538124084473</v>
      </c>
      <c r="K162" s="10">
        <v>1.7131775617599487</v>
      </c>
      <c r="L162" s="1">
        <f t="shared" si="7"/>
        <v>1.9889529347419739</v>
      </c>
      <c r="M162" s="1">
        <f t="shared" si="8"/>
        <v>1.4313766956329346</v>
      </c>
      <c r="N162" s="1">
        <f t="shared" si="9"/>
        <v>1.7661538124084473</v>
      </c>
      <c r="O162" s="1">
        <f t="shared" si="10"/>
        <v>1.7131775617599487</v>
      </c>
    </row>
    <row r="163" spans="2:15" ht="11.25" customHeight="1" x14ac:dyDescent="0.2">
      <c r="B163" s="972"/>
      <c r="C163" s="972"/>
      <c r="D163" s="972"/>
      <c r="E163" s="972"/>
      <c r="F163" s="902"/>
      <c r="G163" s="977"/>
      <c r="H163" s="10">
        <v>1.6612488627433777</v>
      </c>
      <c r="I163" s="10">
        <v>1.9841910600662231</v>
      </c>
      <c r="J163" s="10">
        <v>1.773604154586792</v>
      </c>
      <c r="K163" s="10">
        <v>1.5681455135345459</v>
      </c>
      <c r="L163" s="1">
        <f t="shared" si="7"/>
        <v>1.6612488627433777</v>
      </c>
      <c r="M163" s="1">
        <f t="shared" si="8"/>
        <v>1.9841910600662231</v>
      </c>
      <c r="N163" s="1">
        <f t="shared" si="9"/>
        <v>1.773604154586792</v>
      </c>
      <c r="O163" s="1">
        <f t="shared" si="10"/>
        <v>1.5681455135345459</v>
      </c>
    </row>
    <row r="164" spans="2:15" ht="11.25" customHeight="1" x14ac:dyDescent="0.2">
      <c r="B164" s="972"/>
      <c r="C164" s="972"/>
      <c r="D164" s="972"/>
      <c r="E164" s="972"/>
      <c r="F164" s="902"/>
      <c r="G164" s="977"/>
      <c r="H164" s="10">
        <v>1.3836793303489685</v>
      </c>
      <c r="I164" s="10">
        <v>1.2771047353744507</v>
      </c>
      <c r="J164" s="10">
        <v>1.7642478942871094</v>
      </c>
      <c r="K164" s="10">
        <v>1.2380599975585938</v>
      </c>
      <c r="L164" s="1">
        <f t="shared" si="7"/>
        <v>1.3836793303489685</v>
      </c>
      <c r="M164" s="1">
        <f t="shared" si="8"/>
        <v>1.2771047353744507</v>
      </c>
      <c r="N164" s="1">
        <f t="shared" si="9"/>
        <v>1.7642478942871094</v>
      </c>
      <c r="O164" s="1">
        <f t="shared" si="10"/>
        <v>1.2380599975585938</v>
      </c>
    </row>
    <row r="165" spans="2:15" ht="11.25" customHeight="1" x14ac:dyDescent="0.2">
      <c r="B165" s="972"/>
      <c r="C165" s="972"/>
      <c r="D165" s="972"/>
      <c r="E165" s="972"/>
      <c r="F165" s="902"/>
      <c r="G165" s="977"/>
      <c r="H165" s="10">
        <v>1.698398768901825</v>
      </c>
      <c r="I165" s="10">
        <v>1.6095577478408813</v>
      </c>
      <c r="J165" s="10">
        <v>1.1870548725128174</v>
      </c>
      <c r="K165" s="10">
        <v>1.9591410160064697</v>
      </c>
      <c r="L165" s="1">
        <f t="shared" si="7"/>
        <v>1.698398768901825</v>
      </c>
      <c r="M165" s="1">
        <f t="shared" si="8"/>
        <v>1.6095577478408813</v>
      </c>
      <c r="N165" s="1">
        <f t="shared" si="9"/>
        <v>1.1870548725128174</v>
      </c>
      <c r="O165" s="1">
        <f t="shared" si="10"/>
        <v>1.9591410160064697</v>
      </c>
    </row>
    <row r="166" spans="2:15" ht="11.25" customHeight="1" x14ac:dyDescent="0.2">
      <c r="B166" s="972"/>
      <c r="C166" s="972"/>
      <c r="D166" s="972"/>
      <c r="E166" s="972"/>
      <c r="F166" s="902"/>
      <c r="G166" s="977"/>
      <c r="H166" s="10">
        <v>1.816649854183197</v>
      </c>
      <c r="I166" s="10">
        <v>1.6603220701217651</v>
      </c>
      <c r="J166" s="10">
        <v>1.068209171295166</v>
      </c>
      <c r="K166" s="10">
        <v>1.4653363227844238</v>
      </c>
      <c r="L166" s="1">
        <f t="shared" si="7"/>
        <v>1.816649854183197</v>
      </c>
      <c r="M166" s="1">
        <f t="shared" si="8"/>
        <v>1.6603220701217651</v>
      </c>
      <c r="N166" s="1">
        <f t="shared" si="9"/>
        <v>1.068209171295166</v>
      </c>
      <c r="O166" s="1">
        <f t="shared" si="10"/>
        <v>1.4653363227844238</v>
      </c>
    </row>
    <row r="167" spans="2:15" ht="11.25" customHeight="1" x14ac:dyDescent="0.2">
      <c r="B167" s="972"/>
      <c r="C167" s="972"/>
      <c r="D167" s="972"/>
      <c r="E167" s="972"/>
      <c r="F167" s="902"/>
      <c r="G167" s="977"/>
      <c r="H167" s="10">
        <v>1.0990893244743347</v>
      </c>
      <c r="I167" s="10">
        <v>1.6599274873733521</v>
      </c>
      <c r="J167" s="10">
        <v>1.7786214351654053</v>
      </c>
      <c r="K167" s="10">
        <v>1.4564139842987061</v>
      </c>
      <c r="L167" s="1">
        <f t="shared" si="7"/>
        <v>1.0990893244743347</v>
      </c>
      <c r="M167" s="1">
        <f t="shared" si="8"/>
        <v>1.6599274873733521</v>
      </c>
      <c r="N167" s="1">
        <f t="shared" si="9"/>
        <v>1.7786214351654053</v>
      </c>
      <c r="O167" s="1">
        <f t="shared" si="10"/>
        <v>1.4564139842987061</v>
      </c>
    </row>
    <row r="168" spans="2:15" ht="11.25" customHeight="1" x14ac:dyDescent="0.2">
      <c r="B168" s="972"/>
      <c r="C168" s="972"/>
      <c r="D168" s="972"/>
      <c r="E168" s="972"/>
      <c r="F168" s="902"/>
      <c r="G168" s="977"/>
      <c r="H168" s="10">
        <v>1.008912980556488</v>
      </c>
      <c r="I168" s="10">
        <v>1.5312865972518921</v>
      </c>
      <c r="J168" s="10">
        <v>1.6120538711547852</v>
      </c>
      <c r="K168" s="10">
        <v>1.8635873794555664</v>
      </c>
      <c r="L168" s="1">
        <f t="shared" si="7"/>
        <v>1.008912980556488</v>
      </c>
      <c r="M168" s="1">
        <f t="shared" si="8"/>
        <v>1.5312865972518921</v>
      </c>
      <c r="N168" s="1">
        <f t="shared" si="9"/>
        <v>1.6120538711547852</v>
      </c>
      <c r="O168" s="1">
        <f t="shared" si="10"/>
        <v>1.8635873794555664</v>
      </c>
    </row>
    <row r="169" spans="2:15" ht="11.25" customHeight="1" x14ac:dyDescent="0.2">
      <c r="B169" s="972"/>
      <c r="C169" s="972"/>
      <c r="D169" s="972"/>
      <c r="E169" s="972"/>
      <c r="F169" s="902"/>
      <c r="G169" s="977"/>
      <c r="H169" s="10">
        <v>1.314980685710907</v>
      </c>
      <c r="I169" s="10">
        <v>1.2803198099136353</v>
      </c>
      <c r="J169" s="10">
        <v>1.6132452487945557</v>
      </c>
      <c r="K169" s="10">
        <v>1.3651401996612549</v>
      </c>
      <c r="L169" s="1">
        <f t="shared" si="7"/>
        <v>1.314980685710907</v>
      </c>
      <c r="M169" s="1">
        <f t="shared" si="8"/>
        <v>1.2803198099136353</v>
      </c>
      <c r="N169" s="1">
        <f t="shared" si="9"/>
        <v>1.6132452487945557</v>
      </c>
      <c r="O169" s="1">
        <f t="shared" si="10"/>
        <v>1.3651401996612549</v>
      </c>
    </row>
    <row r="170" spans="2:15" ht="11.25" customHeight="1" x14ac:dyDescent="0.2">
      <c r="B170" s="972"/>
      <c r="C170" s="972"/>
      <c r="D170" s="972"/>
      <c r="E170" s="972"/>
      <c r="F170" s="902"/>
      <c r="G170" s="977"/>
      <c r="H170" s="10">
        <v>1.5449413657188416</v>
      </c>
      <c r="I170" s="10">
        <v>1.6365803480148315</v>
      </c>
      <c r="J170" s="10">
        <v>1.6560359001159668</v>
      </c>
      <c r="K170" s="10">
        <v>1.1520514488220215</v>
      </c>
      <c r="L170" s="1">
        <f t="shared" si="7"/>
        <v>1.5449413657188416</v>
      </c>
      <c r="M170" s="1">
        <f t="shared" si="8"/>
        <v>1.6365803480148315</v>
      </c>
      <c r="N170" s="1">
        <f t="shared" si="9"/>
        <v>1.6560359001159668</v>
      </c>
      <c r="O170" s="1">
        <f t="shared" si="10"/>
        <v>1.1520514488220215</v>
      </c>
    </row>
    <row r="171" spans="2:15" ht="11.25" customHeight="1" x14ac:dyDescent="0.2">
      <c r="B171" s="972"/>
      <c r="C171" s="972"/>
      <c r="D171" s="972"/>
      <c r="E171" s="972"/>
      <c r="F171" s="902"/>
      <c r="G171" s="977"/>
      <c r="H171" s="10">
        <v>1.6883580088615417</v>
      </c>
      <c r="I171" s="10">
        <v>1.943879246711731</v>
      </c>
      <c r="J171" s="10">
        <v>1.7714927196502686</v>
      </c>
      <c r="K171" s="10">
        <v>1.9436204433441162</v>
      </c>
      <c r="L171" s="1">
        <f t="shared" si="7"/>
        <v>1.6883580088615417</v>
      </c>
      <c r="M171" s="1">
        <f t="shared" si="8"/>
        <v>1.943879246711731</v>
      </c>
      <c r="N171" s="1">
        <f t="shared" si="9"/>
        <v>1.7714927196502686</v>
      </c>
      <c r="O171" s="1">
        <f t="shared" si="10"/>
        <v>1.9436204433441162</v>
      </c>
    </row>
    <row r="172" spans="2:15" ht="11.25" customHeight="1" x14ac:dyDescent="0.2">
      <c r="B172" s="972"/>
      <c r="C172" s="972"/>
      <c r="D172" s="972"/>
      <c r="E172" s="972"/>
      <c r="F172" s="902"/>
      <c r="G172" s="977"/>
      <c r="H172" s="10">
        <v>1.7260342240333557</v>
      </c>
      <c r="I172" s="10">
        <v>1.2530918121337891</v>
      </c>
      <c r="J172" s="10">
        <v>1.9521315097808838</v>
      </c>
      <c r="K172" s="10">
        <v>1.9518753290176392</v>
      </c>
      <c r="L172" s="1">
        <f t="shared" si="7"/>
        <v>1.7260342240333557</v>
      </c>
      <c r="M172" s="1">
        <f t="shared" si="8"/>
        <v>1.2530918121337891</v>
      </c>
      <c r="N172" s="1">
        <f t="shared" si="9"/>
        <v>1.9521315097808838</v>
      </c>
      <c r="O172" s="1">
        <f t="shared" si="10"/>
        <v>1.9518753290176392</v>
      </c>
    </row>
    <row r="173" spans="2:15" ht="11.25" customHeight="1" x14ac:dyDescent="0.2">
      <c r="B173" s="972"/>
      <c r="C173" s="972"/>
      <c r="D173" s="972"/>
      <c r="E173" s="972"/>
      <c r="F173" s="902"/>
      <c r="G173" s="977"/>
      <c r="H173" s="10">
        <v>1.8495553135871887</v>
      </c>
      <c r="I173" s="10">
        <v>1.90328049659729</v>
      </c>
      <c r="J173" s="10">
        <v>1.1893095970153809</v>
      </c>
      <c r="K173" s="10">
        <v>1.9271086454391479</v>
      </c>
      <c r="L173" s="1">
        <f t="shared" si="7"/>
        <v>1.8495553135871887</v>
      </c>
      <c r="M173" s="1">
        <f t="shared" si="8"/>
        <v>1.90328049659729</v>
      </c>
      <c r="N173" s="1">
        <f t="shared" si="9"/>
        <v>1.1893095970153809</v>
      </c>
      <c r="O173" s="1">
        <f t="shared" si="10"/>
        <v>1.9271086454391479</v>
      </c>
    </row>
    <row r="174" spans="2:15" ht="11.25" customHeight="1" x14ac:dyDescent="0.2">
      <c r="B174" s="972"/>
      <c r="C174" s="972"/>
      <c r="D174" s="972"/>
      <c r="E174" s="972"/>
      <c r="F174" s="902"/>
      <c r="G174" s="977"/>
      <c r="H174" s="10">
        <v>1.1135526299476624</v>
      </c>
      <c r="I174" s="10">
        <v>1.7921967506408691</v>
      </c>
      <c r="J174" s="10">
        <v>1.7298362255096436</v>
      </c>
      <c r="K174" s="10">
        <v>1.9337025880813599</v>
      </c>
      <c r="L174" s="1">
        <f t="shared" si="7"/>
        <v>1.1135526299476624</v>
      </c>
      <c r="M174" s="1">
        <f t="shared" si="8"/>
        <v>1.7921967506408691</v>
      </c>
      <c r="N174" s="1">
        <f t="shared" si="9"/>
        <v>1.7298362255096436</v>
      </c>
      <c r="O174" s="1">
        <f t="shared" si="10"/>
        <v>1.9337025880813599</v>
      </c>
    </row>
    <row r="175" spans="2:15" ht="11.25" customHeight="1" x14ac:dyDescent="0.2">
      <c r="B175" s="972"/>
      <c r="C175" s="972"/>
      <c r="D175" s="972"/>
      <c r="E175" s="972"/>
      <c r="F175" s="902"/>
      <c r="G175" s="977"/>
      <c r="H175" s="10">
        <v>1.4592493176460266</v>
      </c>
      <c r="I175" s="10">
        <v>1.9086711406707764</v>
      </c>
      <c r="J175" s="10">
        <v>1.1697196960449219</v>
      </c>
      <c r="K175" s="10">
        <v>1.4961322546005249</v>
      </c>
      <c r="L175" s="1">
        <f t="shared" si="7"/>
        <v>1.4592493176460266</v>
      </c>
      <c r="M175" s="1">
        <f t="shared" si="8"/>
        <v>1.9086711406707764</v>
      </c>
      <c r="N175" s="1">
        <f t="shared" si="9"/>
        <v>1.1697196960449219</v>
      </c>
      <c r="O175" s="1">
        <f t="shared" si="10"/>
        <v>1.4961322546005249</v>
      </c>
    </row>
    <row r="176" spans="2:15" ht="11.25" customHeight="1" x14ac:dyDescent="0.2">
      <c r="B176" s="972"/>
      <c r="C176" s="972"/>
      <c r="D176" s="972"/>
      <c r="E176" s="972"/>
      <c r="F176" s="902"/>
      <c r="G176" s="977"/>
      <c r="H176" s="10">
        <v>1.3757200837135315</v>
      </c>
      <c r="I176" s="10">
        <v>1.5979795455932617</v>
      </c>
      <c r="J176" s="10">
        <v>1.0356323719024658</v>
      </c>
      <c r="K176" s="10">
        <v>1.3468805551528931</v>
      </c>
      <c r="L176" s="1">
        <f t="shared" si="7"/>
        <v>1.3757200837135315</v>
      </c>
      <c r="M176" s="1">
        <f t="shared" si="8"/>
        <v>1.5979795455932617</v>
      </c>
      <c r="N176" s="1">
        <f t="shared" si="9"/>
        <v>1.0356323719024658</v>
      </c>
      <c r="O176" s="1">
        <f t="shared" si="10"/>
        <v>1.3468805551528931</v>
      </c>
    </row>
    <row r="177" spans="2:15" ht="11.25" customHeight="1" x14ac:dyDescent="0.2">
      <c r="B177" s="972"/>
      <c r="C177" s="972"/>
      <c r="D177" s="972"/>
      <c r="E177" s="972"/>
      <c r="F177" s="902"/>
      <c r="G177" s="977"/>
      <c r="H177" s="10">
        <v>1.728016197681427</v>
      </c>
      <c r="I177" s="10">
        <v>1.0774681568145752</v>
      </c>
      <c r="J177" s="10">
        <v>1.2380356788635254</v>
      </c>
      <c r="K177" s="10">
        <v>1.0670632123947144</v>
      </c>
      <c r="L177" s="1">
        <f t="shared" si="7"/>
        <v>1.728016197681427</v>
      </c>
      <c r="M177" s="1">
        <f t="shared" si="8"/>
        <v>1.0774681568145752</v>
      </c>
      <c r="N177" s="1">
        <f t="shared" si="9"/>
        <v>1.2380356788635254</v>
      </c>
      <c r="O177" s="1">
        <f t="shared" si="10"/>
        <v>1.0670632123947144</v>
      </c>
    </row>
    <row r="178" spans="2:15" ht="11.25" customHeight="1" x14ac:dyDescent="0.2">
      <c r="B178" s="972"/>
      <c r="C178" s="972"/>
      <c r="D178" s="972"/>
      <c r="E178" s="972"/>
      <c r="F178" s="902"/>
      <c r="G178" s="977"/>
      <c r="H178" s="10">
        <v>1.8352904915809631</v>
      </c>
      <c r="I178" s="10">
        <v>1.2021784782409668</v>
      </c>
      <c r="J178" s="10">
        <v>1.7743051052093506</v>
      </c>
      <c r="K178" s="10">
        <v>1.9770537614822388</v>
      </c>
      <c r="L178" s="1">
        <f t="shared" si="7"/>
        <v>1.8352904915809631</v>
      </c>
      <c r="M178" s="1">
        <f t="shared" si="8"/>
        <v>1.2021784782409668</v>
      </c>
      <c r="N178" s="1">
        <f t="shared" si="9"/>
        <v>1.7743051052093506</v>
      </c>
      <c r="O178" s="1">
        <f t="shared" si="10"/>
        <v>1.9770537614822388</v>
      </c>
    </row>
    <row r="179" spans="2:15" ht="11.25" customHeight="1" x14ac:dyDescent="0.2">
      <c r="B179" s="972"/>
      <c r="C179" s="972"/>
      <c r="D179" s="972"/>
      <c r="E179" s="972"/>
      <c r="F179" s="902"/>
      <c r="G179" s="977"/>
      <c r="H179" s="10">
        <v>1.7989223599433899</v>
      </c>
      <c r="I179" s="10">
        <v>1.4804723262786865</v>
      </c>
      <c r="J179" s="10">
        <v>1.6818552017211914</v>
      </c>
      <c r="K179" s="10">
        <v>1.2771085500717163</v>
      </c>
      <c r="L179" s="1">
        <f t="shared" si="7"/>
        <v>1.7989223599433899</v>
      </c>
      <c r="M179" s="1">
        <f t="shared" si="8"/>
        <v>1.4804723262786865</v>
      </c>
      <c r="N179" s="1">
        <f t="shared" si="9"/>
        <v>1.6818552017211914</v>
      </c>
      <c r="O179" s="1">
        <f t="shared" si="10"/>
        <v>1.2771085500717163</v>
      </c>
    </row>
    <row r="180" spans="2:15" ht="11.25" customHeight="1" x14ac:dyDescent="0.2">
      <c r="B180" s="972"/>
      <c r="C180" s="972"/>
      <c r="D180" s="972"/>
      <c r="E180" s="972"/>
      <c r="F180" s="902"/>
      <c r="G180" s="977"/>
      <c r="H180" s="10">
        <v>1.0806427597999573</v>
      </c>
      <c r="I180" s="10">
        <v>1.3396568298339844</v>
      </c>
      <c r="J180" s="10">
        <v>1.2412645816802979</v>
      </c>
      <c r="K180" s="10">
        <v>1.437991738319397</v>
      </c>
      <c r="L180" s="1">
        <f t="shared" si="7"/>
        <v>1.0806427597999573</v>
      </c>
      <c r="M180" s="1">
        <f t="shared" si="8"/>
        <v>1.3396568298339844</v>
      </c>
      <c r="N180" s="1">
        <f t="shared" si="9"/>
        <v>1.2412645816802979</v>
      </c>
      <c r="O180" s="1">
        <f t="shared" si="10"/>
        <v>1.437991738319397</v>
      </c>
    </row>
    <row r="181" spans="2:15" ht="11.25" customHeight="1" x14ac:dyDescent="0.2">
      <c r="B181" s="972"/>
      <c r="C181" s="972"/>
      <c r="D181" s="972"/>
      <c r="E181" s="972"/>
      <c r="F181" s="902"/>
      <c r="G181" s="977"/>
      <c r="H181" s="10">
        <v>1.3306592106819153</v>
      </c>
      <c r="I181" s="10">
        <v>1.6416094303131104</v>
      </c>
      <c r="J181" s="10">
        <v>1.4294009208679199</v>
      </c>
      <c r="K181" s="10">
        <v>1.8416002988815308</v>
      </c>
      <c r="L181" s="1">
        <f t="shared" si="7"/>
        <v>1.3306592106819153</v>
      </c>
      <c r="M181" s="1">
        <f t="shared" si="8"/>
        <v>1.6416094303131104</v>
      </c>
      <c r="N181" s="1">
        <f t="shared" si="9"/>
        <v>1.4294009208679199</v>
      </c>
      <c r="O181" s="1">
        <f t="shared" si="10"/>
        <v>1.8416002988815308</v>
      </c>
    </row>
    <row r="182" spans="2:15" ht="11.25" customHeight="1" x14ac:dyDescent="0.2">
      <c r="B182" s="972"/>
      <c r="C182" s="972"/>
      <c r="D182" s="972"/>
      <c r="E182" s="972"/>
      <c r="F182" s="902"/>
      <c r="G182" s="977"/>
      <c r="H182" s="10">
        <v>1.6225458979606628</v>
      </c>
      <c r="I182" s="10">
        <v>1.6715890169143677</v>
      </c>
      <c r="J182" s="10">
        <v>1.9975430965423584</v>
      </c>
      <c r="K182" s="10">
        <v>1.0379302501678467</v>
      </c>
      <c r="L182" s="1">
        <f t="shared" si="7"/>
        <v>1.6225458979606628</v>
      </c>
      <c r="M182" s="1">
        <f t="shared" si="8"/>
        <v>1.6715890169143677</v>
      </c>
      <c r="N182" s="1">
        <f t="shared" si="9"/>
        <v>1.9975430965423584</v>
      </c>
      <c r="O182" s="1">
        <f t="shared" si="10"/>
        <v>1.0379302501678467</v>
      </c>
    </row>
    <row r="183" spans="2:15" ht="11.25" customHeight="1" x14ac:dyDescent="0.2">
      <c r="B183" s="972"/>
      <c r="C183" s="972"/>
      <c r="D183" s="972"/>
      <c r="E183" s="972"/>
      <c r="F183" s="902"/>
      <c r="G183" s="977"/>
      <c r="H183" s="10">
        <v>1.5495204329490662</v>
      </c>
      <c r="I183" s="10">
        <v>1.0539954900741577</v>
      </c>
      <c r="J183" s="10">
        <v>1.6103334426879883</v>
      </c>
      <c r="K183" s="10">
        <v>1.169529914855957</v>
      </c>
      <c r="L183" s="1">
        <f t="shared" si="7"/>
        <v>1.5495204329490662</v>
      </c>
      <c r="M183" s="1">
        <f t="shared" si="8"/>
        <v>1.0539954900741577</v>
      </c>
      <c r="N183" s="1">
        <f t="shared" si="9"/>
        <v>1.6103334426879883</v>
      </c>
      <c r="O183" s="1">
        <f t="shared" si="10"/>
        <v>1.169529914855957</v>
      </c>
    </row>
    <row r="184" spans="2:15" ht="11.25" customHeight="1" x14ac:dyDescent="0.2">
      <c r="B184" s="972"/>
      <c r="C184" s="972"/>
      <c r="D184" s="972"/>
      <c r="E184" s="972"/>
      <c r="F184" s="902"/>
      <c r="G184" s="977"/>
      <c r="H184" s="10">
        <v>1.4948093295097351</v>
      </c>
      <c r="I184" s="10">
        <v>1.4478651285171509</v>
      </c>
      <c r="J184" s="10">
        <v>1.9895155429840088</v>
      </c>
      <c r="K184" s="10">
        <v>1.5996105670928955</v>
      </c>
      <c r="L184" s="1">
        <f t="shared" si="7"/>
        <v>1.4948093295097351</v>
      </c>
      <c r="M184" s="1">
        <f t="shared" si="8"/>
        <v>1.4478651285171509</v>
      </c>
      <c r="N184" s="1">
        <f t="shared" si="9"/>
        <v>1.9895155429840088</v>
      </c>
      <c r="O184" s="1">
        <f t="shared" si="10"/>
        <v>1.5996105670928955</v>
      </c>
    </row>
    <row r="185" spans="2:15" ht="11.25" customHeight="1" x14ac:dyDescent="0.2">
      <c r="B185" s="972"/>
      <c r="C185" s="972"/>
      <c r="D185" s="972"/>
      <c r="E185" s="972"/>
      <c r="F185" s="902"/>
      <c r="G185" s="977"/>
      <c r="H185" s="10">
        <v>1.7516865134239197</v>
      </c>
      <c r="I185" s="10">
        <v>1.2858761548995972</v>
      </c>
      <c r="J185" s="10">
        <v>1.8995547294616699</v>
      </c>
      <c r="K185" s="10">
        <v>1.8472762107849121</v>
      </c>
      <c r="L185" s="1">
        <f t="shared" si="7"/>
        <v>1.7516865134239197</v>
      </c>
      <c r="M185" s="1">
        <f t="shared" si="8"/>
        <v>1.2858761548995972</v>
      </c>
      <c r="N185" s="1">
        <f t="shared" si="9"/>
        <v>1.8995547294616699</v>
      </c>
      <c r="O185" s="1">
        <f t="shared" si="10"/>
        <v>1.8472762107849121</v>
      </c>
    </row>
    <row r="186" spans="2:15" ht="11.25" customHeight="1" x14ac:dyDescent="0.2">
      <c r="B186" s="972"/>
      <c r="C186" s="972"/>
      <c r="D186" s="972"/>
      <c r="E186" s="972"/>
      <c r="F186" s="902"/>
      <c r="G186" s="977"/>
      <c r="H186" s="10">
        <v>1.5121429562568665</v>
      </c>
      <c r="I186" s="10">
        <v>1.2099511623382568</v>
      </c>
      <c r="J186" s="10">
        <v>1.8859968185424805</v>
      </c>
      <c r="K186" s="10">
        <v>1.4869493246078491</v>
      </c>
      <c r="L186" s="1">
        <f t="shared" si="7"/>
        <v>1.5121429562568665</v>
      </c>
      <c r="M186" s="1">
        <f t="shared" si="8"/>
        <v>1.2099511623382568</v>
      </c>
      <c r="N186" s="1">
        <f t="shared" si="9"/>
        <v>1.8859968185424805</v>
      </c>
      <c r="O186" s="1">
        <f t="shared" si="10"/>
        <v>1.4869493246078491</v>
      </c>
    </row>
    <row r="187" spans="2:15" ht="11.25" customHeight="1" x14ac:dyDescent="0.2">
      <c r="B187" s="972"/>
      <c r="C187" s="972"/>
      <c r="D187" s="972"/>
      <c r="E187" s="972"/>
      <c r="F187" s="902"/>
      <c r="G187" s="977"/>
      <c r="H187" s="10">
        <v>1.9843235611915588</v>
      </c>
      <c r="I187" s="10">
        <v>1.0290050506591797</v>
      </c>
      <c r="J187" s="10">
        <v>1.9720480442047119</v>
      </c>
      <c r="K187" s="10">
        <v>1.8491569757461548</v>
      </c>
      <c r="L187" s="1">
        <f t="shared" si="7"/>
        <v>1.9843235611915588</v>
      </c>
      <c r="M187" s="1">
        <f t="shared" si="8"/>
        <v>1.0290050506591797</v>
      </c>
      <c r="N187" s="1">
        <f t="shared" si="9"/>
        <v>1.9720480442047119</v>
      </c>
      <c r="O187" s="1">
        <f t="shared" si="10"/>
        <v>1.8491569757461548</v>
      </c>
    </row>
    <row r="188" spans="2:15" ht="11.25" customHeight="1" x14ac:dyDescent="0.2">
      <c r="B188" s="972"/>
      <c r="C188" s="972"/>
      <c r="D188" s="972"/>
      <c r="E188" s="972"/>
      <c r="F188" s="902"/>
      <c r="G188" s="977"/>
      <c r="H188" s="10">
        <v>1.2866166234016418</v>
      </c>
      <c r="I188" s="10">
        <v>1.2053778171539307</v>
      </c>
      <c r="J188" s="10">
        <v>1.443173885345459</v>
      </c>
      <c r="K188" s="10">
        <v>1.6850470304489136</v>
      </c>
      <c r="L188" s="1">
        <f t="shared" ref="L188:L251" si="11">IF($M$57,H188,J188)</f>
        <v>1.2866166234016418</v>
      </c>
      <c r="M188" s="1">
        <f t="shared" ref="M188:M251" si="12">IF($M$57,I188,K188)</f>
        <v>1.2053778171539307</v>
      </c>
      <c r="N188" s="1">
        <f t="shared" ref="N188:N251" si="13">IF($M$57,J188,H188)</f>
        <v>1.443173885345459</v>
      </c>
      <c r="O188" s="1">
        <f t="shared" ref="O188:O251" si="14">IF($M$57,K188,I188)</f>
        <v>1.6850470304489136</v>
      </c>
    </row>
    <row r="189" spans="2:15" ht="11.25" customHeight="1" x14ac:dyDescent="0.2">
      <c r="B189" s="972"/>
      <c r="C189" s="972"/>
      <c r="D189" s="972"/>
      <c r="E189" s="972"/>
      <c r="F189" s="902"/>
      <c r="G189" s="977"/>
      <c r="H189" s="10">
        <v>1.1834685206413269</v>
      </c>
      <c r="I189" s="10">
        <v>1.6548367738723755</v>
      </c>
      <c r="J189" s="10">
        <v>1.049752950668335</v>
      </c>
      <c r="K189" s="10">
        <v>1.875441312789917</v>
      </c>
      <c r="L189" s="1">
        <f t="shared" si="11"/>
        <v>1.1834685206413269</v>
      </c>
      <c r="M189" s="1">
        <f t="shared" si="12"/>
        <v>1.6548367738723755</v>
      </c>
      <c r="N189" s="1">
        <f t="shared" si="13"/>
        <v>1.049752950668335</v>
      </c>
      <c r="O189" s="1">
        <f t="shared" si="14"/>
        <v>1.875441312789917</v>
      </c>
    </row>
    <row r="190" spans="2:15" ht="11.25" customHeight="1" x14ac:dyDescent="0.2">
      <c r="G190" s="977"/>
      <c r="H190" s="10">
        <v>1.0545653700828552</v>
      </c>
      <c r="I190" s="10">
        <v>1.4861263036727905</v>
      </c>
      <c r="J190" s="10">
        <v>1.4721441268920898</v>
      </c>
      <c r="K190" s="10">
        <v>1.1094884872436523</v>
      </c>
      <c r="L190" s="1">
        <f t="shared" si="11"/>
        <v>1.0545653700828552</v>
      </c>
      <c r="M190" s="1">
        <f t="shared" si="12"/>
        <v>1.4861263036727905</v>
      </c>
      <c r="N190" s="1">
        <f t="shared" si="13"/>
        <v>1.4721441268920898</v>
      </c>
      <c r="O190" s="1">
        <f t="shared" si="14"/>
        <v>1.1094884872436523</v>
      </c>
    </row>
    <row r="191" spans="2:15" ht="11.25" customHeight="1" x14ac:dyDescent="0.2">
      <c r="G191" s="977"/>
      <c r="H191" s="10">
        <v>1.0987617373466492</v>
      </c>
      <c r="I191" s="10">
        <v>1.3645235300064087</v>
      </c>
      <c r="J191" s="10">
        <v>1.0539934635162354</v>
      </c>
      <c r="K191" s="10">
        <v>1.9628174304962158</v>
      </c>
      <c r="L191" s="1">
        <f t="shared" si="11"/>
        <v>1.0987617373466492</v>
      </c>
      <c r="M191" s="1">
        <f t="shared" si="12"/>
        <v>1.3645235300064087</v>
      </c>
      <c r="N191" s="1">
        <f t="shared" si="13"/>
        <v>1.0539934635162354</v>
      </c>
      <c r="O191" s="1">
        <f t="shared" si="14"/>
        <v>1.9628174304962158</v>
      </c>
    </row>
    <row r="192" spans="2:15" ht="11.25" customHeight="1" x14ac:dyDescent="0.2">
      <c r="G192" s="977"/>
      <c r="H192" s="10">
        <v>1.9921440482139587</v>
      </c>
      <c r="I192" s="10">
        <v>1.57426917552948</v>
      </c>
      <c r="J192" s="10">
        <v>1.0050787925720215</v>
      </c>
      <c r="K192" s="10">
        <v>1.6185946464538574</v>
      </c>
      <c r="L192" s="1">
        <f t="shared" si="11"/>
        <v>1.9921440482139587</v>
      </c>
      <c r="M192" s="1">
        <f t="shared" si="12"/>
        <v>1.57426917552948</v>
      </c>
      <c r="N192" s="1">
        <f t="shared" si="13"/>
        <v>1.0050787925720215</v>
      </c>
      <c r="O192" s="1">
        <f t="shared" si="14"/>
        <v>1.6185946464538574</v>
      </c>
    </row>
    <row r="193" spans="7:15" ht="11.25" customHeight="1" x14ac:dyDescent="0.2">
      <c r="G193" s="977"/>
      <c r="H193" s="10">
        <v>1.7477127909660339</v>
      </c>
      <c r="I193" s="10">
        <v>1.3888617753982544</v>
      </c>
      <c r="J193" s="10">
        <v>1.5674045085906982</v>
      </c>
      <c r="K193" s="10">
        <v>1.1633069515228271</v>
      </c>
      <c r="L193" s="1">
        <f t="shared" si="11"/>
        <v>1.7477127909660339</v>
      </c>
      <c r="M193" s="1">
        <f t="shared" si="12"/>
        <v>1.3888617753982544</v>
      </c>
      <c r="N193" s="1">
        <f t="shared" si="13"/>
        <v>1.5674045085906982</v>
      </c>
      <c r="O193" s="1">
        <f t="shared" si="14"/>
        <v>1.1633069515228271</v>
      </c>
    </row>
    <row r="194" spans="7:15" ht="11.25" customHeight="1" x14ac:dyDescent="0.2">
      <c r="G194" s="977"/>
      <c r="H194" s="10">
        <v>1.1368784308433533</v>
      </c>
      <c r="I194" s="10">
        <v>1.7386988401412964</v>
      </c>
      <c r="J194" s="10">
        <v>1.7158913612365723</v>
      </c>
      <c r="K194" s="10">
        <v>1.8738522529602051</v>
      </c>
      <c r="L194" s="1">
        <f t="shared" si="11"/>
        <v>1.1368784308433533</v>
      </c>
      <c r="M194" s="1">
        <f t="shared" si="12"/>
        <v>1.7386988401412964</v>
      </c>
      <c r="N194" s="1">
        <f t="shared" si="13"/>
        <v>1.7158913612365723</v>
      </c>
      <c r="O194" s="1">
        <f t="shared" si="14"/>
        <v>1.8738522529602051</v>
      </c>
    </row>
    <row r="195" spans="7:15" ht="11.25" customHeight="1" x14ac:dyDescent="0.2">
      <c r="G195" s="977"/>
      <c r="H195" s="10">
        <v>1.2721288800239563</v>
      </c>
      <c r="I195" s="10">
        <v>1.4524543285369873</v>
      </c>
      <c r="J195" s="10">
        <v>1.5911045074462891</v>
      </c>
      <c r="K195" s="10">
        <v>1.0737746953964233</v>
      </c>
      <c r="L195" s="1">
        <f t="shared" si="11"/>
        <v>1.2721288800239563</v>
      </c>
      <c r="M195" s="1">
        <f t="shared" si="12"/>
        <v>1.4524543285369873</v>
      </c>
      <c r="N195" s="1">
        <f t="shared" si="13"/>
        <v>1.5911045074462891</v>
      </c>
      <c r="O195" s="1">
        <f t="shared" si="14"/>
        <v>1.0737746953964233</v>
      </c>
    </row>
    <row r="196" spans="7:15" ht="11.25" customHeight="1" x14ac:dyDescent="0.2">
      <c r="G196" s="977"/>
      <c r="H196" s="10">
        <v>1.1174021363258362</v>
      </c>
      <c r="I196" s="10">
        <v>1.9491052627563477</v>
      </c>
      <c r="J196" s="10">
        <v>1.253739595413208</v>
      </c>
      <c r="K196" s="10">
        <v>1.8781057596206665</v>
      </c>
      <c r="L196" s="1">
        <f t="shared" si="11"/>
        <v>1.1174021363258362</v>
      </c>
      <c r="M196" s="1">
        <f t="shared" si="12"/>
        <v>1.9491052627563477</v>
      </c>
      <c r="N196" s="1">
        <f t="shared" si="13"/>
        <v>1.253739595413208</v>
      </c>
      <c r="O196" s="1">
        <f t="shared" si="14"/>
        <v>1.8781057596206665</v>
      </c>
    </row>
    <row r="197" spans="7:15" ht="11.25" customHeight="1" x14ac:dyDescent="0.2">
      <c r="G197" s="977"/>
      <c r="H197" s="10">
        <v>1.5776999592781067</v>
      </c>
      <c r="I197" s="10">
        <v>1.1983387470245361</v>
      </c>
      <c r="J197" s="10">
        <v>1.8656582832336426</v>
      </c>
      <c r="K197" s="10">
        <v>1.2134922742843628</v>
      </c>
      <c r="L197" s="1">
        <f t="shared" si="11"/>
        <v>1.5776999592781067</v>
      </c>
      <c r="M197" s="1">
        <f t="shared" si="12"/>
        <v>1.1983387470245361</v>
      </c>
      <c r="N197" s="1">
        <f t="shared" si="13"/>
        <v>1.8656582832336426</v>
      </c>
      <c r="O197" s="1">
        <f t="shared" si="14"/>
        <v>1.2134922742843628</v>
      </c>
    </row>
    <row r="198" spans="7:15" ht="11.25" customHeight="1" x14ac:dyDescent="0.2">
      <c r="G198" s="977"/>
      <c r="H198" s="10">
        <v>1.447673499584198</v>
      </c>
      <c r="I198" s="10">
        <v>1.3299952745437622</v>
      </c>
      <c r="J198" s="10">
        <v>1.6209571361541748</v>
      </c>
      <c r="K198" s="10">
        <v>1.3717896938323975</v>
      </c>
      <c r="L198" s="1">
        <f t="shared" si="11"/>
        <v>1.447673499584198</v>
      </c>
      <c r="M198" s="1">
        <f t="shared" si="12"/>
        <v>1.3299952745437622</v>
      </c>
      <c r="N198" s="1">
        <f t="shared" si="13"/>
        <v>1.6209571361541748</v>
      </c>
      <c r="O198" s="1">
        <f t="shared" si="14"/>
        <v>1.3717896938323975</v>
      </c>
    </row>
    <row r="199" spans="7:15" ht="11.25" customHeight="1" x14ac:dyDescent="0.2">
      <c r="G199" s="977"/>
      <c r="H199" s="10">
        <v>1.9356374144554138</v>
      </c>
      <c r="I199" s="10">
        <v>1.7325586080551147</v>
      </c>
      <c r="J199" s="10">
        <v>1.0639019012451172</v>
      </c>
      <c r="K199" s="10">
        <v>1.3410511016845703</v>
      </c>
      <c r="L199" s="1">
        <f t="shared" si="11"/>
        <v>1.9356374144554138</v>
      </c>
      <c r="M199" s="1">
        <f t="shared" si="12"/>
        <v>1.7325586080551147</v>
      </c>
      <c r="N199" s="1">
        <f t="shared" si="13"/>
        <v>1.0639019012451172</v>
      </c>
      <c r="O199" s="1">
        <f t="shared" si="14"/>
        <v>1.3410511016845703</v>
      </c>
    </row>
    <row r="200" spans="7:15" ht="11.25" customHeight="1" x14ac:dyDescent="0.2">
      <c r="G200" s="977"/>
      <c r="H200" s="10">
        <v>1.248091995716095</v>
      </c>
      <c r="I200" s="10">
        <v>1.9342329502105713</v>
      </c>
      <c r="J200" s="10">
        <v>1.4167647361755371</v>
      </c>
      <c r="K200" s="10">
        <v>1.2838057279586792</v>
      </c>
      <c r="L200" s="1">
        <f t="shared" si="11"/>
        <v>1.248091995716095</v>
      </c>
      <c r="M200" s="1">
        <f t="shared" si="12"/>
        <v>1.9342329502105713</v>
      </c>
      <c r="N200" s="1">
        <f t="shared" si="13"/>
        <v>1.4167647361755371</v>
      </c>
      <c r="O200" s="1">
        <f t="shared" si="14"/>
        <v>1.2838057279586792</v>
      </c>
    </row>
    <row r="201" spans="7:15" ht="11.25" customHeight="1" x14ac:dyDescent="0.2">
      <c r="G201" s="977"/>
      <c r="H201" s="10">
        <v>1.934952437877655</v>
      </c>
      <c r="I201" s="10">
        <v>1.4824162721633911</v>
      </c>
      <c r="J201" s="10">
        <v>1.3209207057952881</v>
      </c>
      <c r="K201" s="10">
        <v>1.8002192974090576</v>
      </c>
      <c r="L201" s="1">
        <f t="shared" si="11"/>
        <v>1.934952437877655</v>
      </c>
      <c r="M201" s="1">
        <f t="shared" si="12"/>
        <v>1.4824162721633911</v>
      </c>
      <c r="N201" s="1">
        <f t="shared" si="13"/>
        <v>1.3209207057952881</v>
      </c>
      <c r="O201" s="1">
        <f t="shared" si="14"/>
        <v>1.8002192974090576</v>
      </c>
    </row>
    <row r="202" spans="7:15" ht="11.25" customHeight="1" x14ac:dyDescent="0.2">
      <c r="G202" s="977"/>
      <c r="H202" s="10">
        <v>1.0653876662254333</v>
      </c>
      <c r="I202" s="10">
        <v>1.0981906652450562</v>
      </c>
      <c r="J202" s="10">
        <v>1.702357292175293</v>
      </c>
      <c r="K202" s="10">
        <v>1.219630241394043</v>
      </c>
      <c r="L202" s="1">
        <f t="shared" si="11"/>
        <v>1.0653876662254333</v>
      </c>
      <c r="M202" s="1">
        <f t="shared" si="12"/>
        <v>1.0981906652450562</v>
      </c>
      <c r="N202" s="1">
        <f t="shared" si="13"/>
        <v>1.702357292175293</v>
      </c>
      <c r="O202" s="1">
        <f t="shared" si="14"/>
        <v>1.219630241394043</v>
      </c>
    </row>
    <row r="203" spans="7:15" ht="11.25" customHeight="1" x14ac:dyDescent="0.2">
      <c r="G203" s="977"/>
      <c r="H203" s="10">
        <v>1.3659927248954773</v>
      </c>
      <c r="I203" s="10">
        <v>1.7698618173599243</v>
      </c>
      <c r="J203" s="10">
        <v>1.2168848514556885</v>
      </c>
      <c r="K203" s="10">
        <v>1.3374245166778564</v>
      </c>
      <c r="L203" s="1">
        <f t="shared" si="11"/>
        <v>1.3659927248954773</v>
      </c>
      <c r="M203" s="1">
        <f t="shared" si="12"/>
        <v>1.7698618173599243</v>
      </c>
      <c r="N203" s="1">
        <f t="shared" si="13"/>
        <v>1.2168848514556885</v>
      </c>
      <c r="O203" s="1">
        <f t="shared" si="14"/>
        <v>1.3374245166778564</v>
      </c>
    </row>
    <row r="204" spans="7:15" ht="11.25" customHeight="1" x14ac:dyDescent="0.2">
      <c r="G204" s="977"/>
      <c r="H204" s="10">
        <v>1.2784790396690369</v>
      </c>
      <c r="I204" s="10">
        <v>1.4847954511642456</v>
      </c>
      <c r="J204" s="10">
        <v>1.9649062156677246</v>
      </c>
      <c r="K204" s="10">
        <v>1.664893627166748</v>
      </c>
      <c r="L204" s="1">
        <f t="shared" si="11"/>
        <v>1.2784790396690369</v>
      </c>
      <c r="M204" s="1">
        <f t="shared" si="12"/>
        <v>1.4847954511642456</v>
      </c>
      <c r="N204" s="1">
        <f t="shared" si="13"/>
        <v>1.9649062156677246</v>
      </c>
      <c r="O204" s="1">
        <f t="shared" si="14"/>
        <v>1.664893627166748</v>
      </c>
    </row>
    <row r="205" spans="7:15" ht="11.25" customHeight="1" x14ac:dyDescent="0.2">
      <c r="G205" s="977"/>
      <c r="H205" s="10">
        <v>1.8314720988273621</v>
      </c>
      <c r="I205" s="10">
        <v>1.46961510181427</v>
      </c>
      <c r="J205" s="10">
        <v>1.3290507793426514</v>
      </c>
      <c r="K205" s="10">
        <v>1.8666493892669678</v>
      </c>
      <c r="L205" s="1">
        <f t="shared" si="11"/>
        <v>1.8314720988273621</v>
      </c>
      <c r="M205" s="1">
        <f t="shared" si="12"/>
        <v>1.46961510181427</v>
      </c>
      <c r="N205" s="1">
        <f t="shared" si="13"/>
        <v>1.3290507793426514</v>
      </c>
      <c r="O205" s="1">
        <f t="shared" si="14"/>
        <v>1.8666493892669678</v>
      </c>
    </row>
    <row r="206" spans="7:15" ht="11.25" customHeight="1" x14ac:dyDescent="0.2">
      <c r="G206" s="977"/>
      <c r="H206" s="10">
        <v>1.5936364531517029</v>
      </c>
      <c r="I206" s="10">
        <v>1.3308271169662476</v>
      </c>
      <c r="J206" s="10">
        <v>1.5522994995117188</v>
      </c>
      <c r="K206" s="10">
        <v>1.0262489318847656</v>
      </c>
      <c r="L206" s="1">
        <f t="shared" si="11"/>
        <v>1.5936364531517029</v>
      </c>
      <c r="M206" s="1">
        <f t="shared" si="12"/>
        <v>1.3308271169662476</v>
      </c>
      <c r="N206" s="1">
        <f t="shared" si="13"/>
        <v>1.5522994995117188</v>
      </c>
      <c r="O206" s="1">
        <f t="shared" si="14"/>
        <v>1.0262489318847656</v>
      </c>
    </row>
    <row r="207" spans="7:15" ht="11.25" customHeight="1" x14ac:dyDescent="0.2">
      <c r="G207" s="977"/>
      <c r="H207" s="10">
        <v>1.5661099553108215</v>
      </c>
      <c r="I207" s="10">
        <v>1.1618196964263916</v>
      </c>
      <c r="J207" s="10">
        <v>1.1890826225280762</v>
      </c>
      <c r="K207" s="10">
        <v>1.601617693901062</v>
      </c>
      <c r="L207" s="1">
        <f t="shared" si="11"/>
        <v>1.5661099553108215</v>
      </c>
      <c r="M207" s="1">
        <f t="shared" si="12"/>
        <v>1.1618196964263916</v>
      </c>
      <c r="N207" s="1">
        <f t="shared" si="13"/>
        <v>1.1890826225280762</v>
      </c>
      <c r="O207" s="1">
        <f t="shared" si="14"/>
        <v>1.601617693901062</v>
      </c>
    </row>
    <row r="208" spans="7:15" ht="11.25" customHeight="1" x14ac:dyDescent="0.2">
      <c r="G208" s="977"/>
      <c r="H208" s="10">
        <v>1.0685411095619202</v>
      </c>
      <c r="I208" s="10">
        <v>1.9916844367980957</v>
      </c>
      <c r="J208" s="10">
        <v>1.9380137920379639</v>
      </c>
      <c r="K208" s="10">
        <v>1.8892480134963989</v>
      </c>
      <c r="L208" s="1">
        <f t="shared" si="11"/>
        <v>1.0685411095619202</v>
      </c>
      <c r="M208" s="1">
        <f t="shared" si="12"/>
        <v>1.9916844367980957</v>
      </c>
      <c r="N208" s="1">
        <f t="shared" si="13"/>
        <v>1.9380137920379639</v>
      </c>
      <c r="O208" s="1">
        <f t="shared" si="14"/>
        <v>1.8892480134963989</v>
      </c>
    </row>
    <row r="209" spans="7:15" ht="11.25" customHeight="1" x14ac:dyDescent="0.2">
      <c r="G209" s="977"/>
      <c r="H209" s="10">
        <v>1.8523786664009094</v>
      </c>
      <c r="I209" s="10">
        <v>1.9499862194061279</v>
      </c>
      <c r="J209" s="10">
        <v>1.3836650848388672</v>
      </c>
      <c r="K209" s="10">
        <v>1.840624213218689</v>
      </c>
      <c r="L209" s="1">
        <f t="shared" si="11"/>
        <v>1.8523786664009094</v>
      </c>
      <c r="M209" s="1">
        <f t="shared" si="12"/>
        <v>1.9499862194061279</v>
      </c>
      <c r="N209" s="1">
        <f t="shared" si="13"/>
        <v>1.3836650848388672</v>
      </c>
      <c r="O209" s="1">
        <f t="shared" si="14"/>
        <v>1.840624213218689</v>
      </c>
    </row>
    <row r="210" spans="7:15" ht="11.25" customHeight="1" x14ac:dyDescent="0.2">
      <c r="G210" s="977"/>
      <c r="H210" s="10">
        <v>1.8417713046073914</v>
      </c>
      <c r="I210" s="10">
        <v>1.8210417032241821</v>
      </c>
      <c r="J210" s="10">
        <v>1.627798318862915</v>
      </c>
      <c r="K210" s="10">
        <v>1.4113247394561768</v>
      </c>
      <c r="L210" s="1">
        <f t="shared" si="11"/>
        <v>1.8417713046073914</v>
      </c>
      <c r="M210" s="1">
        <f t="shared" si="12"/>
        <v>1.8210417032241821</v>
      </c>
      <c r="N210" s="1">
        <f t="shared" si="13"/>
        <v>1.627798318862915</v>
      </c>
      <c r="O210" s="1">
        <f t="shared" si="14"/>
        <v>1.4113247394561768</v>
      </c>
    </row>
    <row r="211" spans="7:15" ht="11.25" customHeight="1" x14ac:dyDescent="0.2">
      <c r="G211" s="977"/>
      <c r="H211" s="10">
        <v>1.1317096352577209</v>
      </c>
      <c r="I211" s="10">
        <v>1.0023741722106934</v>
      </c>
      <c r="J211" s="10">
        <v>1.3053586483001709</v>
      </c>
      <c r="K211" s="10">
        <v>1.5889712572097778</v>
      </c>
      <c r="L211" s="1">
        <f t="shared" si="11"/>
        <v>1.1317096352577209</v>
      </c>
      <c r="M211" s="1">
        <f t="shared" si="12"/>
        <v>1.0023741722106934</v>
      </c>
      <c r="N211" s="1">
        <f t="shared" si="13"/>
        <v>1.3053586483001709</v>
      </c>
      <c r="O211" s="1">
        <f t="shared" si="14"/>
        <v>1.5889712572097778</v>
      </c>
    </row>
    <row r="212" spans="7:15" ht="11.25" customHeight="1" x14ac:dyDescent="0.2">
      <c r="G212" s="977"/>
      <c r="H212" s="10">
        <v>1.3479354977607727</v>
      </c>
      <c r="I212" s="10">
        <v>1.6791360378265381</v>
      </c>
      <c r="J212" s="10">
        <v>1.5487546920776367</v>
      </c>
      <c r="K212" s="10">
        <v>1.2877382040023804</v>
      </c>
      <c r="L212" s="1">
        <f t="shared" si="11"/>
        <v>1.3479354977607727</v>
      </c>
      <c r="M212" s="1">
        <f t="shared" si="12"/>
        <v>1.6791360378265381</v>
      </c>
      <c r="N212" s="1">
        <f t="shared" si="13"/>
        <v>1.5487546920776367</v>
      </c>
      <c r="O212" s="1">
        <f t="shared" si="14"/>
        <v>1.2877382040023804</v>
      </c>
    </row>
    <row r="213" spans="7:15" ht="11.25" customHeight="1" x14ac:dyDescent="0.2">
      <c r="G213" s="977"/>
      <c r="H213" s="10">
        <v>1.2147694230079651</v>
      </c>
      <c r="I213" s="10">
        <v>1.4392299652099609</v>
      </c>
      <c r="J213" s="10">
        <v>1.4366858005523682</v>
      </c>
      <c r="K213" s="10">
        <v>1.369306206703186</v>
      </c>
      <c r="L213" s="1">
        <f t="shared" si="11"/>
        <v>1.2147694230079651</v>
      </c>
      <c r="M213" s="1">
        <f t="shared" si="12"/>
        <v>1.4392299652099609</v>
      </c>
      <c r="N213" s="1">
        <f t="shared" si="13"/>
        <v>1.4366858005523682</v>
      </c>
      <c r="O213" s="1">
        <f t="shared" si="14"/>
        <v>1.369306206703186</v>
      </c>
    </row>
    <row r="214" spans="7:15" ht="11.25" customHeight="1" x14ac:dyDescent="0.2">
      <c r="G214" s="977"/>
      <c r="H214" s="10">
        <v>1.9839814305305481</v>
      </c>
      <c r="I214" s="10">
        <v>1.3398458957672119</v>
      </c>
      <c r="J214" s="10">
        <v>1.3600821495056152</v>
      </c>
      <c r="K214" s="10">
        <v>1.9733847379684448</v>
      </c>
      <c r="L214" s="1">
        <f t="shared" si="11"/>
        <v>1.9839814305305481</v>
      </c>
      <c r="M214" s="1">
        <f t="shared" si="12"/>
        <v>1.3398458957672119</v>
      </c>
      <c r="N214" s="1">
        <f t="shared" si="13"/>
        <v>1.3600821495056152</v>
      </c>
      <c r="O214" s="1">
        <f t="shared" si="14"/>
        <v>1.9733847379684448</v>
      </c>
    </row>
    <row r="215" spans="7:15" ht="11.25" customHeight="1" x14ac:dyDescent="0.2">
      <c r="G215" s="977"/>
      <c r="H215" s="10">
        <v>1.2342879176139832</v>
      </c>
      <c r="I215" s="10">
        <v>1.6664410829544067</v>
      </c>
      <c r="J215" s="10">
        <v>1.5227525234222412</v>
      </c>
      <c r="K215" s="10">
        <v>1.9330050945281982</v>
      </c>
      <c r="L215" s="1">
        <f t="shared" si="11"/>
        <v>1.2342879176139832</v>
      </c>
      <c r="M215" s="1">
        <f t="shared" si="12"/>
        <v>1.6664410829544067</v>
      </c>
      <c r="N215" s="1">
        <f t="shared" si="13"/>
        <v>1.5227525234222412</v>
      </c>
      <c r="O215" s="1">
        <f t="shared" si="14"/>
        <v>1.9330050945281982</v>
      </c>
    </row>
    <row r="216" spans="7:15" ht="11.25" customHeight="1" x14ac:dyDescent="0.2">
      <c r="G216" s="977"/>
      <c r="H216" s="10">
        <v>1.4521865248680115</v>
      </c>
      <c r="I216" s="10">
        <v>1.5823253393173218</v>
      </c>
      <c r="J216" s="10">
        <v>1.3163595199584961</v>
      </c>
      <c r="K216" s="10">
        <v>1.1784048080444336</v>
      </c>
      <c r="L216" s="1">
        <f t="shared" si="11"/>
        <v>1.4521865248680115</v>
      </c>
      <c r="M216" s="1">
        <f t="shared" si="12"/>
        <v>1.5823253393173218</v>
      </c>
      <c r="N216" s="1">
        <f t="shared" si="13"/>
        <v>1.3163595199584961</v>
      </c>
      <c r="O216" s="1">
        <f t="shared" si="14"/>
        <v>1.1784048080444336</v>
      </c>
    </row>
    <row r="217" spans="7:15" ht="11.25" customHeight="1" x14ac:dyDescent="0.2">
      <c r="G217" s="977"/>
      <c r="H217" s="10">
        <v>1.347040593624115</v>
      </c>
      <c r="I217" s="10">
        <v>1.0486420392990112</v>
      </c>
      <c r="J217" s="10">
        <v>1.9647727012634277</v>
      </c>
      <c r="K217" s="10">
        <v>1.5910754203796387</v>
      </c>
      <c r="L217" s="1">
        <f t="shared" si="11"/>
        <v>1.347040593624115</v>
      </c>
      <c r="M217" s="1">
        <f t="shared" si="12"/>
        <v>1.0486420392990112</v>
      </c>
      <c r="N217" s="1">
        <f t="shared" si="13"/>
        <v>1.9647727012634277</v>
      </c>
      <c r="O217" s="1">
        <f t="shared" si="14"/>
        <v>1.5910754203796387</v>
      </c>
    </row>
    <row r="218" spans="7:15" ht="11.25" customHeight="1" x14ac:dyDescent="0.2">
      <c r="G218" s="977"/>
      <c r="H218" s="10">
        <v>1.707241952419281</v>
      </c>
      <c r="I218" s="10">
        <v>1.8845418691635132</v>
      </c>
      <c r="J218" s="10">
        <v>1.2075614929199219</v>
      </c>
      <c r="K218" s="10">
        <v>1.1112442016601563</v>
      </c>
      <c r="L218" s="1">
        <f t="shared" si="11"/>
        <v>1.707241952419281</v>
      </c>
      <c r="M218" s="1">
        <f t="shared" si="12"/>
        <v>1.8845418691635132</v>
      </c>
      <c r="N218" s="1">
        <f t="shared" si="13"/>
        <v>1.2075614929199219</v>
      </c>
      <c r="O218" s="1">
        <f t="shared" si="14"/>
        <v>1.1112442016601563</v>
      </c>
    </row>
    <row r="219" spans="7:15" ht="11.25" customHeight="1" x14ac:dyDescent="0.2">
      <c r="H219" s="10">
        <v>1.4694711565971375</v>
      </c>
      <c r="I219" s="10">
        <v>1.1244655847549438</v>
      </c>
      <c r="J219" s="10">
        <v>1.1579563617706299</v>
      </c>
      <c r="K219" s="10">
        <v>1.4995615482330322</v>
      </c>
      <c r="L219" s="1">
        <f t="shared" si="11"/>
        <v>1.4694711565971375</v>
      </c>
      <c r="M219" s="1">
        <f t="shared" si="12"/>
        <v>1.1244655847549438</v>
      </c>
      <c r="N219" s="1">
        <f t="shared" si="13"/>
        <v>1.1579563617706299</v>
      </c>
      <c r="O219" s="1">
        <f t="shared" si="14"/>
        <v>1.4995615482330322</v>
      </c>
    </row>
    <row r="220" spans="7:15" ht="11.25" customHeight="1" x14ac:dyDescent="0.2">
      <c r="H220" s="10">
        <v>1.2300249934196472</v>
      </c>
      <c r="I220" s="10">
        <v>1.5952454805374146</v>
      </c>
      <c r="J220" s="10">
        <v>1.9882924556732178</v>
      </c>
      <c r="K220" s="10">
        <v>1.7805259227752686</v>
      </c>
      <c r="L220" s="1">
        <f t="shared" si="11"/>
        <v>1.2300249934196472</v>
      </c>
      <c r="M220" s="1">
        <f t="shared" si="12"/>
        <v>1.5952454805374146</v>
      </c>
      <c r="N220" s="1">
        <f t="shared" si="13"/>
        <v>1.9882924556732178</v>
      </c>
      <c r="O220" s="1">
        <f t="shared" si="14"/>
        <v>1.7805259227752686</v>
      </c>
    </row>
    <row r="221" spans="7:15" ht="11.25" customHeight="1" x14ac:dyDescent="0.2">
      <c r="H221" s="10">
        <v>1.1772021651268005</v>
      </c>
      <c r="I221" s="10">
        <v>1.6045440435409546</v>
      </c>
      <c r="J221" s="10">
        <v>1.6579065322875977</v>
      </c>
      <c r="K221" s="10">
        <v>1.9291543960571289</v>
      </c>
      <c r="L221" s="1">
        <f t="shared" si="11"/>
        <v>1.1772021651268005</v>
      </c>
      <c r="M221" s="1">
        <f t="shared" si="12"/>
        <v>1.6045440435409546</v>
      </c>
      <c r="N221" s="1">
        <f t="shared" si="13"/>
        <v>1.6579065322875977</v>
      </c>
      <c r="O221" s="1">
        <f t="shared" si="14"/>
        <v>1.9291543960571289</v>
      </c>
    </row>
    <row r="222" spans="7:15" ht="11.25" customHeight="1" x14ac:dyDescent="0.2">
      <c r="H222" s="10">
        <v>1.5089046359062195</v>
      </c>
      <c r="I222" s="10">
        <v>1.5266729593276978</v>
      </c>
      <c r="J222" s="10">
        <v>1.3898108005523682</v>
      </c>
      <c r="K222" s="10">
        <v>1.4885685443878174</v>
      </c>
      <c r="L222" s="1">
        <f t="shared" si="11"/>
        <v>1.5089046359062195</v>
      </c>
      <c r="M222" s="1">
        <f t="shared" si="12"/>
        <v>1.5266729593276978</v>
      </c>
      <c r="N222" s="1">
        <f t="shared" si="13"/>
        <v>1.3898108005523682</v>
      </c>
      <c r="O222" s="1">
        <f t="shared" si="14"/>
        <v>1.4885685443878174</v>
      </c>
    </row>
    <row r="223" spans="7:15" ht="11.25" customHeight="1" x14ac:dyDescent="0.2">
      <c r="H223" s="10">
        <v>1.8152813315391541</v>
      </c>
      <c r="I223" s="10">
        <v>1.903685450553894</v>
      </c>
      <c r="J223" s="10">
        <v>1.6203455924987793</v>
      </c>
      <c r="K223" s="10">
        <v>1.962247371673584</v>
      </c>
      <c r="L223" s="1">
        <f t="shared" si="11"/>
        <v>1.8152813315391541</v>
      </c>
      <c r="M223" s="1">
        <f t="shared" si="12"/>
        <v>1.903685450553894</v>
      </c>
      <c r="N223" s="1">
        <f t="shared" si="13"/>
        <v>1.6203455924987793</v>
      </c>
      <c r="O223" s="1">
        <f t="shared" si="14"/>
        <v>1.962247371673584</v>
      </c>
    </row>
    <row r="224" spans="7:15" ht="11.25" customHeight="1" x14ac:dyDescent="0.2">
      <c r="H224" s="10">
        <v>1.9753484129905701</v>
      </c>
      <c r="I224" s="10">
        <v>1.402488112449646</v>
      </c>
      <c r="J224" s="10">
        <v>1.6869258880615234</v>
      </c>
      <c r="K224" s="10">
        <v>1.5735416412353516</v>
      </c>
      <c r="L224" s="1">
        <f t="shared" si="11"/>
        <v>1.9753484129905701</v>
      </c>
      <c r="M224" s="1">
        <f t="shared" si="12"/>
        <v>1.402488112449646</v>
      </c>
      <c r="N224" s="1">
        <f t="shared" si="13"/>
        <v>1.6869258880615234</v>
      </c>
      <c r="O224" s="1">
        <f t="shared" si="14"/>
        <v>1.5735416412353516</v>
      </c>
    </row>
    <row r="225" spans="8:15" ht="11.25" customHeight="1" x14ac:dyDescent="0.2">
      <c r="H225" s="10">
        <v>1.3814069628715515</v>
      </c>
      <c r="I225" s="10">
        <v>1.4921737909317017</v>
      </c>
      <c r="J225" s="10">
        <v>1.7442848682403564</v>
      </c>
      <c r="K225" s="10">
        <v>1.6722166538238525</v>
      </c>
      <c r="L225" s="1">
        <f t="shared" si="11"/>
        <v>1.3814069628715515</v>
      </c>
      <c r="M225" s="1">
        <f t="shared" si="12"/>
        <v>1.4921737909317017</v>
      </c>
      <c r="N225" s="1">
        <f t="shared" si="13"/>
        <v>1.7442848682403564</v>
      </c>
      <c r="O225" s="1">
        <f t="shared" si="14"/>
        <v>1.6722166538238525</v>
      </c>
    </row>
    <row r="226" spans="8:15" ht="11.25" customHeight="1" x14ac:dyDescent="0.2">
      <c r="H226" s="10">
        <v>1.5231260657310486</v>
      </c>
      <c r="I226" s="10">
        <v>1.0037840604782104</v>
      </c>
      <c r="J226" s="10">
        <v>1.6491513252258301</v>
      </c>
      <c r="K226" s="10">
        <v>1.8885254859924316</v>
      </c>
      <c r="L226" s="1">
        <f t="shared" si="11"/>
        <v>1.5231260657310486</v>
      </c>
      <c r="M226" s="1">
        <f t="shared" si="12"/>
        <v>1.0037840604782104</v>
      </c>
      <c r="N226" s="1">
        <f t="shared" si="13"/>
        <v>1.6491513252258301</v>
      </c>
      <c r="O226" s="1">
        <f t="shared" si="14"/>
        <v>1.8885254859924316</v>
      </c>
    </row>
    <row r="227" spans="8:15" ht="11.25" customHeight="1" x14ac:dyDescent="0.2">
      <c r="H227" s="10">
        <v>1.9052484631538391</v>
      </c>
      <c r="I227" s="10">
        <v>1.5237987041473389</v>
      </c>
      <c r="J227" s="10">
        <v>1.4649620056152344</v>
      </c>
      <c r="K227" s="10">
        <v>1.1885303258895874</v>
      </c>
      <c r="L227" s="1">
        <f t="shared" si="11"/>
        <v>1.9052484631538391</v>
      </c>
      <c r="M227" s="1">
        <f t="shared" si="12"/>
        <v>1.5237987041473389</v>
      </c>
      <c r="N227" s="1">
        <f t="shared" si="13"/>
        <v>1.4649620056152344</v>
      </c>
      <c r="O227" s="1">
        <f t="shared" si="14"/>
        <v>1.1885303258895874</v>
      </c>
    </row>
    <row r="228" spans="8:15" ht="11.25" customHeight="1" x14ac:dyDescent="0.2">
      <c r="H228" s="10">
        <v>1.564150869846344</v>
      </c>
      <c r="I228" s="10">
        <v>1.2358121871948242</v>
      </c>
      <c r="J228" s="10">
        <v>1.5127594470977783</v>
      </c>
      <c r="K228" s="10">
        <v>1.7436243295669556</v>
      </c>
      <c r="L228" s="1">
        <f t="shared" si="11"/>
        <v>1.564150869846344</v>
      </c>
      <c r="M228" s="1">
        <f t="shared" si="12"/>
        <v>1.2358121871948242</v>
      </c>
      <c r="N228" s="1">
        <f t="shared" si="13"/>
        <v>1.5127594470977783</v>
      </c>
      <c r="O228" s="1">
        <f t="shared" si="14"/>
        <v>1.7436243295669556</v>
      </c>
    </row>
    <row r="229" spans="8:15" ht="11.25" customHeight="1" x14ac:dyDescent="0.2">
      <c r="H229" s="10">
        <v>1.0534098744392395</v>
      </c>
      <c r="I229" s="10">
        <v>1.5544121265411377</v>
      </c>
      <c r="J229" s="10">
        <v>1.4478287696838379</v>
      </c>
      <c r="K229" s="10">
        <v>1.5158089399337769</v>
      </c>
      <c r="L229" s="1">
        <f t="shared" si="11"/>
        <v>1.0534098744392395</v>
      </c>
      <c r="M229" s="1">
        <f t="shared" si="12"/>
        <v>1.5544121265411377</v>
      </c>
      <c r="N229" s="1">
        <f t="shared" si="13"/>
        <v>1.4478287696838379</v>
      </c>
      <c r="O229" s="1">
        <f t="shared" si="14"/>
        <v>1.5158089399337769</v>
      </c>
    </row>
    <row r="230" spans="8:15" ht="11.25" customHeight="1" x14ac:dyDescent="0.2">
      <c r="H230" s="10">
        <v>1.8318355679512024</v>
      </c>
      <c r="I230" s="10">
        <v>1.334857702255249</v>
      </c>
      <c r="J230" s="10">
        <v>1.2593240737915039</v>
      </c>
      <c r="K230" s="10">
        <v>1.1228269338607788</v>
      </c>
      <c r="L230" s="1">
        <f t="shared" si="11"/>
        <v>1.8318355679512024</v>
      </c>
      <c r="M230" s="1">
        <f t="shared" si="12"/>
        <v>1.334857702255249</v>
      </c>
      <c r="N230" s="1">
        <f t="shared" si="13"/>
        <v>1.2593240737915039</v>
      </c>
      <c r="O230" s="1">
        <f t="shared" si="14"/>
        <v>1.1228269338607788</v>
      </c>
    </row>
    <row r="231" spans="8:15" ht="11.25" customHeight="1" x14ac:dyDescent="0.2">
      <c r="H231" s="10">
        <v>1.8091126084327698</v>
      </c>
      <c r="I231" s="10">
        <v>1.3573722839355469</v>
      </c>
      <c r="J231" s="10">
        <v>1.5787432193756104</v>
      </c>
      <c r="K231" s="10">
        <v>1.2536808252334595</v>
      </c>
      <c r="L231" s="1">
        <f t="shared" si="11"/>
        <v>1.8091126084327698</v>
      </c>
      <c r="M231" s="1">
        <f t="shared" si="12"/>
        <v>1.3573722839355469</v>
      </c>
      <c r="N231" s="1">
        <f t="shared" si="13"/>
        <v>1.5787432193756104</v>
      </c>
      <c r="O231" s="1">
        <f t="shared" si="14"/>
        <v>1.2536808252334595</v>
      </c>
    </row>
    <row r="232" spans="8:15" ht="11.25" customHeight="1" x14ac:dyDescent="0.2">
      <c r="H232" s="10">
        <v>1.3992169499397278</v>
      </c>
      <c r="I232" s="10">
        <v>1.8890612125396729</v>
      </c>
      <c r="J232" s="10">
        <v>1.3276705741882324</v>
      </c>
      <c r="K232" s="10">
        <v>1.2249163389205933</v>
      </c>
      <c r="L232" s="1">
        <f t="shared" si="11"/>
        <v>1.3992169499397278</v>
      </c>
      <c r="M232" s="1">
        <f t="shared" si="12"/>
        <v>1.8890612125396729</v>
      </c>
      <c r="N232" s="1">
        <f t="shared" si="13"/>
        <v>1.3276705741882324</v>
      </c>
      <c r="O232" s="1">
        <f t="shared" si="14"/>
        <v>1.2249163389205933</v>
      </c>
    </row>
    <row r="233" spans="8:15" ht="11.25" customHeight="1" x14ac:dyDescent="0.2">
      <c r="H233" s="10">
        <v>1.0814576745033264</v>
      </c>
      <c r="I233" s="10">
        <v>1.304497241973877</v>
      </c>
      <c r="J233" s="10">
        <v>1.9448878765106201</v>
      </c>
      <c r="K233" s="10">
        <v>1.0326882600784302</v>
      </c>
      <c r="L233" s="1">
        <f t="shared" si="11"/>
        <v>1.0814576745033264</v>
      </c>
      <c r="M233" s="1">
        <f t="shared" si="12"/>
        <v>1.304497241973877</v>
      </c>
      <c r="N233" s="1">
        <f t="shared" si="13"/>
        <v>1.9448878765106201</v>
      </c>
      <c r="O233" s="1">
        <f t="shared" si="14"/>
        <v>1.0326882600784302</v>
      </c>
    </row>
    <row r="234" spans="8:15" ht="11.25" customHeight="1" x14ac:dyDescent="0.2">
      <c r="H234" s="10">
        <v>1.9298704266548157</v>
      </c>
      <c r="I234" s="10">
        <v>1.1940734386444092</v>
      </c>
      <c r="J234" s="10">
        <v>1.2217159271240234</v>
      </c>
      <c r="K234" s="10">
        <v>1.6155341863632202</v>
      </c>
      <c r="L234" s="1">
        <f t="shared" si="11"/>
        <v>1.9298704266548157</v>
      </c>
      <c r="M234" s="1">
        <f t="shared" si="12"/>
        <v>1.1940734386444092</v>
      </c>
      <c r="N234" s="1">
        <f t="shared" si="13"/>
        <v>1.2217159271240234</v>
      </c>
      <c r="O234" s="1">
        <f t="shared" si="14"/>
        <v>1.6155341863632202</v>
      </c>
    </row>
    <row r="235" spans="8:15" ht="11.25" customHeight="1" x14ac:dyDescent="0.2">
      <c r="H235" s="10">
        <v>1.5051395297050476</v>
      </c>
      <c r="I235" s="10">
        <v>1.2449995279312134</v>
      </c>
      <c r="J235" s="10">
        <v>1.1137373447418213</v>
      </c>
      <c r="K235" s="10">
        <v>1.680070161819458</v>
      </c>
      <c r="L235" s="1">
        <f t="shared" si="11"/>
        <v>1.5051395297050476</v>
      </c>
      <c r="M235" s="1">
        <f t="shared" si="12"/>
        <v>1.2449995279312134</v>
      </c>
      <c r="N235" s="1">
        <f t="shared" si="13"/>
        <v>1.1137373447418213</v>
      </c>
      <c r="O235" s="1">
        <f t="shared" si="14"/>
        <v>1.680070161819458</v>
      </c>
    </row>
    <row r="236" spans="8:15" ht="11.25" customHeight="1" x14ac:dyDescent="0.2">
      <c r="H236" s="10">
        <v>1.1509327292442322</v>
      </c>
      <c r="I236" s="10">
        <v>1.1662625074386597</v>
      </c>
      <c r="J236" s="10">
        <v>1.0240206718444824</v>
      </c>
      <c r="K236" s="10">
        <v>1.1770033836364746</v>
      </c>
      <c r="L236" s="1">
        <f t="shared" si="11"/>
        <v>1.1509327292442322</v>
      </c>
      <c r="M236" s="1">
        <f t="shared" si="12"/>
        <v>1.1662625074386597</v>
      </c>
      <c r="N236" s="1">
        <f t="shared" si="13"/>
        <v>1.0240206718444824</v>
      </c>
      <c r="O236" s="1">
        <f t="shared" si="14"/>
        <v>1.1770033836364746</v>
      </c>
    </row>
    <row r="237" spans="8:15" ht="11.25" customHeight="1" x14ac:dyDescent="0.2">
      <c r="H237" s="10">
        <v>1.2267834544181824</v>
      </c>
      <c r="I237" s="10">
        <v>1.4887591600418091</v>
      </c>
      <c r="J237" s="10">
        <v>1.6563842296600342</v>
      </c>
      <c r="K237" s="10">
        <v>1.7303521633148193</v>
      </c>
      <c r="L237" s="1">
        <f t="shared" si="11"/>
        <v>1.2267834544181824</v>
      </c>
      <c r="M237" s="1">
        <f t="shared" si="12"/>
        <v>1.4887591600418091</v>
      </c>
      <c r="N237" s="1">
        <f t="shared" si="13"/>
        <v>1.6563842296600342</v>
      </c>
      <c r="O237" s="1">
        <f t="shared" si="14"/>
        <v>1.7303521633148193</v>
      </c>
    </row>
    <row r="238" spans="8:15" ht="11.25" customHeight="1" x14ac:dyDescent="0.2">
      <c r="H238" s="10">
        <v>1.7303715348243713</v>
      </c>
      <c r="I238" s="10">
        <v>1.9939861297607422</v>
      </c>
      <c r="J238" s="10">
        <v>1.4677298069000244</v>
      </c>
      <c r="K238" s="10">
        <v>1.1902366876602173</v>
      </c>
      <c r="L238" s="1">
        <f t="shared" si="11"/>
        <v>1.7303715348243713</v>
      </c>
      <c r="M238" s="1">
        <f t="shared" si="12"/>
        <v>1.9939861297607422</v>
      </c>
      <c r="N238" s="1">
        <f t="shared" si="13"/>
        <v>1.4677298069000244</v>
      </c>
      <c r="O238" s="1">
        <f t="shared" si="14"/>
        <v>1.1902366876602173</v>
      </c>
    </row>
    <row r="239" spans="8:15" ht="11.25" customHeight="1" x14ac:dyDescent="0.2">
      <c r="H239" s="10">
        <v>1.7790024876594543</v>
      </c>
      <c r="I239" s="10">
        <v>1.1813452243804932</v>
      </c>
      <c r="J239" s="10">
        <v>1.1558966636657715</v>
      </c>
      <c r="K239" s="10">
        <v>1.6250036954879761</v>
      </c>
      <c r="L239" s="1">
        <f t="shared" si="11"/>
        <v>1.7790024876594543</v>
      </c>
      <c r="M239" s="1">
        <f t="shared" si="12"/>
        <v>1.1813452243804932</v>
      </c>
      <c r="N239" s="1">
        <f t="shared" si="13"/>
        <v>1.1558966636657715</v>
      </c>
      <c r="O239" s="1">
        <f t="shared" si="14"/>
        <v>1.6250036954879761</v>
      </c>
    </row>
    <row r="240" spans="8:15" ht="11.25" customHeight="1" x14ac:dyDescent="0.2">
      <c r="H240" s="10">
        <v>1.226898729801178</v>
      </c>
      <c r="I240" s="10">
        <v>1.8310647010803223</v>
      </c>
      <c r="J240" s="10">
        <v>1.4765136241912842</v>
      </c>
      <c r="K240" s="10">
        <v>1.103826642036438</v>
      </c>
      <c r="L240" s="1">
        <f t="shared" si="11"/>
        <v>1.226898729801178</v>
      </c>
      <c r="M240" s="1">
        <f t="shared" si="12"/>
        <v>1.8310647010803223</v>
      </c>
      <c r="N240" s="1">
        <f t="shared" si="13"/>
        <v>1.4765136241912842</v>
      </c>
      <c r="O240" s="1">
        <f t="shared" si="14"/>
        <v>1.103826642036438</v>
      </c>
    </row>
    <row r="241" spans="8:15" ht="11.25" customHeight="1" x14ac:dyDescent="0.2">
      <c r="H241" s="10">
        <v>1.7184084057807922</v>
      </c>
      <c r="I241" s="10">
        <v>1.8226001262664795</v>
      </c>
      <c r="J241" s="10">
        <v>1.3537139892578125</v>
      </c>
      <c r="K241" s="10">
        <v>1.166805624961853</v>
      </c>
      <c r="L241" s="1">
        <f t="shared" si="11"/>
        <v>1.7184084057807922</v>
      </c>
      <c r="M241" s="1">
        <f t="shared" si="12"/>
        <v>1.8226001262664795</v>
      </c>
      <c r="N241" s="1">
        <f t="shared" si="13"/>
        <v>1.3537139892578125</v>
      </c>
      <c r="O241" s="1">
        <f t="shared" si="14"/>
        <v>1.166805624961853</v>
      </c>
    </row>
    <row r="242" spans="8:15" ht="11.25" customHeight="1" x14ac:dyDescent="0.2">
      <c r="H242" s="10">
        <v>1.6957312226295471</v>
      </c>
      <c r="I242" s="10">
        <v>1.6418523788452148</v>
      </c>
      <c r="J242" s="10">
        <v>1.8922951221466064</v>
      </c>
      <c r="K242" s="10">
        <v>1.8120485544204712</v>
      </c>
      <c r="L242" s="1">
        <f t="shared" si="11"/>
        <v>1.6957312226295471</v>
      </c>
      <c r="M242" s="1">
        <f t="shared" si="12"/>
        <v>1.6418523788452148</v>
      </c>
      <c r="N242" s="1">
        <f t="shared" si="13"/>
        <v>1.8922951221466064</v>
      </c>
      <c r="O242" s="1">
        <f t="shared" si="14"/>
        <v>1.8120485544204712</v>
      </c>
    </row>
    <row r="243" spans="8:15" ht="11.25" customHeight="1" x14ac:dyDescent="0.2">
      <c r="H243" s="10">
        <v>1.2270434498786926</v>
      </c>
      <c r="I243" s="10">
        <v>1.8967926502227783</v>
      </c>
      <c r="J243" s="10">
        <v>1.830843448638916</v>
      </c>
      <c r="K243" s="10">
        <v>1.1362961530685425</v>
      </c>
      <c r="L243" s="1">
        <f t="shared" si="11"/>
        <v>1.2270434498786926</v>
      </c>
      <c r="M243" s="1">
        <f t="shared" si="12"/>
        <v>1.8967926502227783</v>
      </c>
      <c r="N243" s="1">
        <f t="shared" si="13"/>
        <v>1.830843448638916</v>
      </c>
      <c r="O243" s="1">
        <f t="shared" si="14"/>
        <v>1.1362961530685425</v>
      </c>
    </row>
    <row r="244" spans="8:15" ht="11.25" customHeight="1" x14ac:dyDescent="0.2">
      <c r="H244" s="10">
        <v>1.4998826384544373</v>
      </c>
      <c r="I244" s="10">
        <v>1.2956823110580444</v>
      </c>
      <c r="J244" s="10">
        <v>1.6069526672363281</v>
      </c>
      <c r="K244" s="10">
        <v>1.0146331787109375</v>
      </c>
      <c r="L244" s="1">
        <f t="shared" si="11"/>
        <v>1.4998826384544373</v>
      </c>
      <c r="M244" s="1">
        <f t="shared" si="12"/>
        <v>1.2956823110580444</v>
      </c>
      <c r="N244" s="1">
        <f t="shared" si="13"/>
        <v>1.6069526672363281</v>
      </c>
      <c r="O244" s="1">
        <f t="shared" si="14"/>
        <v>1.0146331787109375</v>
      </c>
    </row>
    <row r="245" spans="8:15" ht="11.25" customHeight="1" x14ac:dyDescent="0.2">
      <c r="H245" s="10">
        <v>1.4546167254447937</v>
      </c>
      <c r="I245" s="10">
        <v>1.0830913782119751</v>
      </c>
      <c r="J245" s="10">
        <v>1.5398914813995361</v>
      </c>
      <c r="K245" s="10">
        <v>1.5803186893463135</v>
      </c>
      <c r="L245" s="1">
        <f t="shared" si="11"/>
        <v>1.4546167254447937</v>
      </c>
      <c r="M245" s="1">
        <f t="shared" si="12"/>
        <v>1.0830913782119751</v>
      </c>
      <c r="N245" s="1">
        <f t="shared" si="13"/>
        <v>1.5398914813995361</v>
      </c>
      <c r="O245" s="1">
        <f t="shared" si="14"/>
        <v>1.5803186893463135</v>
      </c>
    </row>
    <row r="246" spans="8:15" ht="11.25" customHeight="1" x14ac:dyDescent="0.2">
      <c r="H246" s="10">
        <v>1.2417245507240295</v>
      </c>
      <c r="I246" s="10">
        <v>1.9994778633117676</v>
      </c>
      <c r="J246" s="10">
        <v>1.3326022624969482</v>
      </c>
      <c r="K246" s="10">
        <v>1.4515763521194458</v>
      </c>
      <c r="L246" s="1">
        <f t="shared" si="11"/>
        <v>1.2417245507240295</v>
      </c>
      <c r="M246" s="1">
        <f t="shared" si="12"/>
        <v>1.9994778633117676</v>
      </c>
      <c r="N246" s="1">
        <f t="shared" si="13"/>
        <v>1.3326022624969482</v>
      </c>
      <c r="O246" s="1">
        <f t="shared" si="14"/>
        <v>1.4515763521194458</v>
      </c>
    </row>
    <row r="247" spans="8:15" ht="11.25" customHeight="1" x14ac:dyDescent="0.2">
      <c r="H247" s="10">
        <v>1.9271124005317688</v>
      </c>
      <c r="I247" s="10">
        <v>1.4406287670135498</v>
      </c>
      <c r="J247" s="10">
        <v>1.7672061920166016</v>
      </c>
      <c r="K247" s="10">
        <v>1.1235946416854858</v>
      </c>
      <c r="L247" s="1">
        <f t="shared" si="11"/>
        <v>1.9271124005317688</v>
      </c>
      <c r="M247" s="1">
        <f t="shared" si="12"/>
        <v>1.4406287670135498</v>
      </c>
      <c r="N247" s="1">
        <f t="shared" si="13"/>
        <v>1.7672061920166016</v>
      </c>
      <c r="O247" s="1">
        <f t="shared" si="14"/>
        <v>1.1235946416854858</v>
      </c>
    </row>
    <row r="248" spans="8:15" ht="11.25" customHeight="1" x14ac:dyDescent="0.2">
      <c r="H248" s="10">
        <v>1.0804759860038757</v>
      </c>
      <c r="I248" s="10">
        <v>1.226021409034729</v>
      </c>
      <c r="J248" s="10">
        <v>1.0495779514312744</v>
      </c>
      <c r="K248" s="10">
        <v>1.2358295917510986</v>
      </c>
      <c r="L248" s="1">
        <f t="shared" si="11"/>
        <v>1.0804759860038757</v>
      </c>
      <c r="M248" s="1">
        <f t="shared" si="12"/>
        <v>1.226021409034729</v>
      </c>
      <c r="N248" s="1">
        <f t="shared" si="13"/>
        <v>1.0495779514312744</v>
      </c>
      <c r="O248" s="1">
        <f t="shared" si="14"/>
        <v>1.2358295917510986</v>
      </c>
    </row>
    <row r="249" spans="8:15" ht="11.25" customHeight="1" x14ac:dyDescent="0.2">
      <c r="H249" s="10">
        <v>1.3938106894493103</v>
      </c>
      <c r="I249" s="10">
        <v>1.7071598768234253</v>
      </c>
      <c r="J249" s="10">
        <v>1.5927348136901855</v>
      </c>
      <c r="K249" s="10">
        <v>1.8966422080993652</v>
      </c>
      <c r="L249" s="1">
        <f t="shared" si="11"/>
        <v>1.3938106894493103</v>
      </c>
      <c r="M249" s="1">
        <f t="shared" si="12"/>
        <v>1.7071598768234253</v>
      </c>
      <c r="N249" s="1">
        <f t="shared" si="13"/>
        <v>1.5927348136901855</v>
      </c>
      <c r="O249" s="1">
        <f t="shared" si="14"/>
        <v>1.8966422080993652</v>
      </c>
    </row>
    <row r="250" spans="8:15" ht="11.25" customHeight="1" x14ac:dyDescent="0.2">
      <c r="H250" s="10">
        <v>1.2689656615257263</v>
      </c>
      <c r="I250" s="10">
        <v>1.3106988668441772</v>
      </c>
      <c r="J250" s="10">
        <v>1.5951061248779297</v>
      </c>
      <c r="K250" s="10">
        <v>1.9505634307861328</v>
      </c>
      <c r="L250" s="1">
        <f t="shared" si="11"/>
        <v>1.2689656615257263</v>
      </c>
      <c r="M250" s="1">
        <f t="shared" si="12"/>
        <v>1.3106988668441772</v>
      </c>
      <c r="N250" s="1">
        <f t="shared" si="13"/>
        <v>1.5951061248779297</v>
      </c>
      <c r="O250" s="1">
        <f t="shared" si="14"/>
        <v>1.9505634307861328</v>
      </c>
    </row>
    <row r="251" spans="8:15" ht="11.25" customHeight="1" x14ac:dyDescent="0.2">
      <c r="H251" s="10">
        <v>1.3381341099739075</v>
      </c>
      <c r="I251" s="10">
        <v>1.1172316074371338</v>
      </c>
      <c r="J251" s="10">
        <v>1.5083937644958496</v>
      </c>
      <c r="K251" s="10">
        <v>1.0870436429977417</v>
      </c>
      <c r="L251" s="1">
        <f t="shared" si="11"/>
        <v>1.3381341099739075</v>
      </c>
      <c r="M251" s="1">
        <f t="shared" si="12"/>
        <v>1.1172316074371338</v>
      </c>
      <c r="N251" s="1">
        <f t="shared" si="13"/>
        <v>1.5083937644958496</v>
      </c>
      <c r="O251" s="1">
        <f t="shared" si="14"/>
        <v>1.0870436429977417</v>
      </c>
    </row>
    <row r="252" spans="8:15" ht="11.25" customHeight="1" x14ac:dyDescent="0.2">
      <c r="H252" s="10">
        <v>1.2821851372718811</v>
      </c>
      <c r="I252" s="10">
        <v>1.3409867286682129</v>
      </c>
      <c r="J252" s="10">
        <v>1.9194037914276123</v>
      </c>
      <c r="K252" s="10">
        <v>1.8571873903274536</v>
      </c>
      <c r="L252" s="1">
        <f t="shared" ref="L252:L315" si="15">IF($M$57,H252,J252)</f>
        <v>1.2821851372718811</v>
      </c>
      <c r="M252" s="1">
        <f t="shared" ref="M252:M315" si="16">IF($M$57,I252,K252)</f>
        <v>1.3409867286682129</v>
      </c>
      <c r="N252" s="1">
        <f t="shared" ref="N252:N315" si="17">IF($M$57,J252,H252)</f>
        <v>1.9194037914276123</v>
      </c>
      <c r="O252" s="1">
        <f t="shared" ref="O252:O315" si="18">IF($M$57,K252,I252)</f>
        <v>1.8571873903274536</v>
      </c>
    </row>
    <row r="253" spans="8:15" ht="11.25" customHeight="1" x14ac:dyDescent="0.2">
      <c r="H253" s="10">
        <v>1.2122324109077454</v>
      </c>
      <c r="I253" s="10">
        <v>1.0794093608856201</v>
      </c>
      <c r="J253" s="10">
        <v>1.3684425354003906</v>
      </c>
      <c r="K253" s="10">
        <v>1.7671512365341187</v>
      </c>
      <c r="L253" s="1">
        <f t="shared" si="15"/>
        <v>1.2122324109077454</v>
      </c>
      <c r="M253" s="1">
        <f t="shared" si="16"/>
        <v>1.0794093608856201</v>
      </c>
      <c r="N253" s="1">
        <f t="shared" si="17"/>
        <v>1.3684425354003906</v>
      </c>
      <c r="O253" s="1">
        <f t="shared" si="18"/>
        <v>1.7671512365341187</v>
      </c>
    </row>
    <row r="254" spans="8:15" ht="11.25" customHeight="1" x14ac:dyDescent="0.2">
      <c r="H254" s="10">
        <v>1.9611006379127502</v>
      </c>
      <c r="I254" s="10">
        <v>1.6465253829956055</v>
      </c>
      <c r="J254" s="10">
        <v>1.4759323596954346</v>
      </c>
      <c r="K254" s="10">
        <v>1.2681680917739868</v>
      </c>
      <c r="L254" s="1">
        <f t="shared" si="15"/>
        <v>1.9611006379127502</v>
      </c>
      <c r="M254" s="1">
        <f t="shared" si="16"/>
        <v>1.6465253829956055</v>
      </c>
      <c r="N254" s="1">
        <f t="shared" si="17"/>
        <v>1.4759323596954346</v>
      </c>
      <c r="O254" s="1">
        <f t="shared" si="18"/>
        <v>1.2681680917739868</v>
      </c>
    </row>
    <row r="255" spans="8:15" ht="11.25" customHeight="1" x14ac:dyDescent="0.2">
      <c r="H255" s="10">
        <v>1.2375910878181458</v>
      </c>
      <c r="I255" s="10">
        <v>1.7284309864044189</v>
      </c>
      <c r="J255" s="10">
        <v>1.7460846900939941</v>
      </c>
      <c r="K255" s="10">
        <v>1.1601036787033081</v>
      </c>
      <c r="L255" s="1">
        <f t="shared" si="15"/>
        <v>1.2375910878181458</v>
      </c>
      <c r="M255" s="1">
        <f t="shared" si="16"/>
        <v>1.7284309864044189</v>
      </c>
      <c r="N255" s="1">
        <f t="shared" si="17"/>
        <v>1.7460846900939941</v>
      </c>
      <c r="O255" s="1">
        <f t="shared" si="18"/>
        <v>1.1601036787033081</v>
      </c>
    </row>
    <row r="256" spans="8:15" ht="11.25" customHeight="1" x14ac:dyDescent="0.2">
      <c r="H256" s="10">
        <v>1.7046065926551819</v>
      </c>
      <c r="I256" s="10">
        <v>1.1489176750183105</v>
      </c>
      <c r="J256" s="10">
        <v>1.2700250148773193</v>
      </c>
      <c r="K256" s="10">
        <v>1.4820815324783325</v>
      </c>
      <c r="L256" s="1">
        <f t="shared" si="15"/>
        <v>1.7046065926551819</v>
      </c>
      <c r="M256" s="1">
        <f t="shared" si="16"/>
        <v>1.1489176750183105</v>
      </c>
      <c r="N256" s="1">
        <f t="shared" si="17"/>
        <v>1.2700250148773193</v>
      </c>
      <c r="O256" s="1">
        <f t="shared" si="18"/>
        <v>1.4820815324783325</v>
      </c>
    </row>
    <row r="257" spans="8:15" ht="11.25" customHeight="1" x14ac:dyDescent="0.2">
      <c r="H257" s="10">
        <v>1.3072765469551086</v>
      </c>
      <c r="I257" s="10">
        <v>1.8850972652435303</v>
      </c>
      <c r="J257" s="10">
        <v>1.6789178848266602</v>
      </c>
      <c r="K257" s="10">
        <v>1.6531080007553101</v>
      </c>
      <c r="L257" s="1">
        <f t="shared" si="15"/>
        <v>1.3072765469551086</v>
      </c>
      <c r="M257" s="1">
        <f t="shared" si="16"/>
        <v>1.8850972652435303</v>
      </c>
      <c r="N257" s="1">
        <f t="shared" si="17"/>
        <v>1.6789178848266602</v>
      </c>
      <c r="O257" s="1">
        <f t="shared" si="18"/>
        <v>1.6531080007553101</v>
      </c>
    </row>
    <row r="258" spans="8:15" ht="11.25" customHeight="1" x14ac:dyDescent="0.2">
      <c r="H258" s="10">
        <v>1.3470918536186218</v>
      </c>
      <c r="I258" s="10">
        <v>1.8626972436904907</v>
      </c>
      <c r="J258" s="10">
        <v>1.8299801349639893</v>
      </c>
      <c r="K258" s="10">
        <v>1.8233339786529541</v>
      </c>
      <c r="L258" s="1">
        <f t="shared" si="15"/>
        <v>1.3470918536186218</v>
      </c>
      <c r="M258" s="1">
        <f t="shared" si="16"/>
        <v>1.8626972436904907</v>
      </c>
      <c r="N258" s="1">
        <f t="shared" si="17"/>
        <v>1.8299801349639893</v>
      </c>
      <c r="O258" s="1">
        <f t="shared" si="18"/>
        <v>1.8233339786529541</v>
      </c>
    </row>
    <row r="259" spans="8:15" ht="11.25" customHeight="1" x14ac:dyDescent="0.2">
      <c r="H259" s="10">
        <v>1.8451647162437439</v>
      </c>
      <c r="I259" s="10">
        <v>1.7114962339401245</v>
      </c>
      <c r="J259" s="10">
        <v>1.5045304298400879</v>
      </c>
      <c r="K259" s="10">
        <v>1.3868412971496582</v>
      </c>
      <c r="L259" s="1">
        <f t="shared" si="15"/>
        <v>1.8451647162437439</v>
      </c>
      <c r="M259" s="1">
        <f t="shared" si="16"/>
        <v>1.7114962339401245</v>
      </c>
      <c r="N259" s="1">
        <f t="shared" si="17"/>
        <v>1.5045304298400879</v>
      </c>
      <c r="O259" s="1">
        <f t="shared" si="18"/>
        <v>1.3868412971496582</v>
      </c>
    </row>
    <row r="260" spans="8:15" ht="11.25" customHeight="1" x14ac:dyDescent="0.2">
      <c r="H260" s="10"/>
      <c r="I260" s="10"/>
      <c r="J260" s="10"/>
      <c r="K260" s="10"/>
      <c r="L260" s="1">
        <f t="shared" si="15"/>
        <v>0</v>
      </c>
      <c r="M260" s="1">
        <f t="shared" si="16"/>
        <v>0</v>
      </c>
      <c r="N260" s="1">
        <f t="shared" si="17"/>
        <v>0</v>
      </c>
      <c r="O260" s="1">
        <f t="shared" si="18"/>
        <v>0</v>
      </c>
    </row>
    <row r="261" spans="8:15" ht="11.25" customHeight="1" x14ac:dyDescent="0.2">
      <c r="H261" s="10"/>
      <c r="I261" s="10"/>
      <c r="J261" s="10"/>
      <c r="K261" s="10"/>
      <c r="L261" s="1">
        <f t="shared" si="15"/>
        <v>0</v>
      </c>
      <c r="M261" s="1">
        <f t="shared" si="16"/>
        <v>0</v>
      </c>
      <c r="N261" s="1">
        <f t="shared" si="17"/>
        <v>0</v>
      </c>
      <c r="O261" s="1">
        <f t="shared" si="18"/>
        <v>0</v>
      </c>
    </row>
    <row r="262" spans="8:15" ht="11.25" customHeight="1" x14ac:dyDescent="0.2">
      <c r="H262" s="10"/>
      <c r="I262" s="10"/>
      <c r="J262" s="10"/>
      <c r="K262" s="10"/>
      <c r="L262" s="1">
        <f t="shared" si="15"/>
        <v>0</v>
      </c>
      <c r="M262" s="1">
        <f t="shared" si="16"/>
        <v>0</v>
      </c>
      <c r="N262" s="1">
        <f t="shared" si="17"/>
        <v>0</v>
      </c>
      <c r="O262" s="1">
        <f t="shared" si="18"/>
        <v>0</v>
      </c>
    </row>
    <row r="263" spans="8:15" ht="11.25" customHeight="1" x14ac:dyDescent="0.2">
      <c r="H263" s="10"/>
      <c r="I263" s="10"/>
      <c r="J263" s="10"/>
      <c r="K263" s="10"/>
      <c r="L263" s="1">
        <f t="shared" si="15"/>
        <v>0</v>
      </c>
      <c r="M263" s="1">
        <f t="shared" si="16"/>
        <v>0</v>
      </c>
      <c r="N263" s="1">
        <f t="shared" si="17"/>
        <v>0</v>
      </c>
      <c r="O263" s="1">
        <f t="shared" si="18"/>
        <v>0</v>
      </c>
    </row>
    <row r="264" spans="8:15" ht="11.25" customHeight="1" x14ac:dyDescent="0.2">
      <c r="H264" s="10"/>
      <c r="I264" s="10"/>
      <c r="J264" s="10"/>
      <c r="K264" s="10"/>
      <c r="L264" s="1">
        <f t="shared" si="15"/>
        <v>0</v>
      </c>
      <c r="M264" s="1">
        <f t="shared" si="16"/>
        <v>0</v>
      </c>
      <c r="N264" s="1">
        <f t="shared" si="17"/>
        <v>0</v>
      </c>
      <c r="O264" s="1">
        <f t="shared" si="18"/>
        <v>0</v>
      </c>
    </row>
    <row r="265" spans="8:15" ht="11.25" customHeight="1" x14ac:dyDescent="0.2">
      <c r="H265" s="10"/>
      <c r="I265" s="10"/>
      <c r="J265" s="10"/>
      <c r="K265" s="10"/>
      <c r="L265" s="1">
        <f t="shared" si="15"/>
        <v>0</v>
      </c>
      <c r="M265" s="1">
        <f t="shared" si="16"/>
        <v>0</v>
      </c>
      <c r="N265" s="1">
        <f t="shared" si="17"/>
        <v>0</v>
      </c>
      <c r="O265" s="1">
        <f t="shared" si="18"/>
        <v>0</v>
      </c>
    </row>
    <row r="266" spans="8:15" ht="11.25" customHeight="1" x14ac:dyDescent="0.2">
      <c r="H266" s="10"/>
      <c r="I266" s="10"/>
      <c r="J266" s="10"/>
      <c r="K266" s="10"/>
      <c r="L266" s="1">
        <f t="shared" si="15"/>
        <v>0</v>
      </c>
      <c r="M266" s="1">
        <f t="shared" si="16"/>
        <v>0</v>
      </c>
      <c r="N266" s="1">
        <f t="shared" si="17"/>
        <v>0</v>
      </c>
      <c r="O266" s="1">
        <f t="shared" si="18"/>
        <v>0</v>
      </c>
    </row>
    <row r="267" spans="8:15" ht="11.25" customHeight="1" x14ac:dyDescent="0.2">
      <c r="H267" s="10"/>
      <c r="I267" s="10"/>
      <c r="J267" s="10"/>
      <c r="K267" s="10"/>
      <c r="L267" s="1">
        <f t="shared" si="15"/>
        <v>0</v>
      </c>
      <c r="M267" s="1">
        <f t="shared" si="16"/>
        <v>0</v>
      </c>
      <c r="N267" s="1">
        <f t="shared" si="17"/>
        <v>0</v>
      </c>
      <c r="O267" s="1">
        <f t="shared" si="18"/>
        <v>0</v>
      </c>
    </row>
    <row r="268" spans="8:15" ht="11.25" customHeight="1" x14ac:dyDescent="0.2">
      <c r="H268" s="10"/>
      <c r="I268" s="10"/>
      <c r="J268" s="10"/>
      <c r="K268" s="10"/>
      <c r="L268" s="1">
        <f t="shared" si="15"/>
        <v>0</v>
      </c>
      <c r="M268" s="1">
        <f t="shared" si="16"/>
        <v>0</v>
      </c>
      <c r="N268" s="1">
        <f t="shared" si="17"/>
        <v>0</v>
      </c>
      <c r="O268" s="1">
        <f t="shared" si="18"/>
        <v>0</v>
      </c>
    </row>
    <row r="269" spans="8:15" ht="11.25" customHeight="1" x14ac:dyDescent="0.2">
      <c r="H269" s="10"/>
      <c r="I269" s="10"/>
      <c r="J269" s="10"/>
      <c r="K269" s="10"/>
      <c r="L269" s="1">
        <f t="shared" si="15"/>
        <v>0</v>
      </c>
      <c r="M269" s="1">
        <f t="shared" si="16"/>
        <v>0</v>
      </c>
      <c r="N269" s="1">
        <f t="shared" si="17"/>
        <v>0</v>
      </c>
      <c r="O269" s="1">
        <f t="shared" si="18"/>
        <v>0</v>
      </c>
    </row>
    <row r="270" spans="8:15" ht="11.25" customHeight="1" x14ac:dyDescent="0.2">
      <c r="H270" s="10"/>
      <c r="I270" s="10"/>
      <c r="J270" s="10"/>
      <c r="K270" s="10"/>
      <c r="L270" s="1">
        <f t="shared" si="15"/>
        <v>0</v>
      </c>
      <c r="M270" s="1">
        <f t="shared" si="16"/>
        <v>0</v>
      </c>
      <c r="N270" s="1">
        <f t="shared" si="17"/>
        <v>0</v>
      </c>
      <c r="O270" s="1">
        <f t="shared" si="18"/>
        <v>0</v>
      </c>
    </row>
    <row r="271" spans="8:15" ht="11.25" customHeight="1" x14ac:dyDescent="0.2">
      <c r="H271" s="10"/>
      <c r="I271" s="10"/>
      <c r="J271" s="10"/>
      <c r="K271" s="10"/>
      <c r="L271" s="1">
        <f t="shared" si="15"/>
        <v>0</v>
      </c>
      <c r="M271" s="1">
        <f t="shared" si="16"/>
        <v>0</v>
      </c>
      <c r="N271" s="1">
        <f t="shared" si="17"/>
        <v>0</v>
      </c>
      <c r="O271" s="1">
        <f t="shared" si="18"/>
        <v>0</v>
      </c>
    </row>
    <row r="272" spans="8:15" ht="11.25" customHeight="1" x14ac:dyDescent="0.2">
      <c r="H272" s="10"/>
      <c r="I272" s="10"/>
      <c r="J272" s="10"/>
      <c r="K272" s="10"/>
      <c r="L272" s="1">
        <f t="shared" si="15"/>
        <v>0</v>
      </c>
      <c r="M272" s="1">
        <f t="shared" si="16"/>
        <v>0</v>
      </c>
      <c r="N272" s="1">
        <f t="shared" si="17"/>
        <v>0</v>
      </c>
      <c r="O272" s="1">
        <f t="shared" si="18"/>
        <v>0</v>
      </c>
    </row>
    <row r="273" spans="8:15" ht="11.25" customHeight="1" x14ac:dyDescent="0.2">
      <c r="H273" s="10"/>
      <c r="I273" s="10"/>
      <c r="J273" s="10"/>
      <c r="K273" s="10"/>
      <c r="L273" s="1">
        <f t="shared" si="15"/>
        <v>0</v>
      </c>
      <c r="M273" s="1">
        <f t="shared" si="16"/>
        <v>0</v>
      </c>
      <c r="N273" s="1">
        <f t="shared" si="17"/>
        <v>0</v>
      </c>
      <c r="O273" s="1">
        <f t="shared" si="18"/>
        <v>0</v>
      </c>
    </row>
    <row r="274" spans="8:15" ht="11.25" customHeight="1" x14ac:dyDescent="0.2">
      <c r="H274" s="10"/>
      <c r="I274" s="10"/>
      <c r="J274" s="10"/>
      <c r="K274" s="10"/>
      <c r="L274" s="1">
        <f t="shared" si="15"/>
        <v>0</v>
      </c>
      <c r="M274" s="1">
        <f t="shared" si="16"/>
        <v>0</v>
      </c>
      <c r="N274" s="1">
        <f t="shared" si="17"/>
        <v>0</v>
      </c>
      <c r="O274" s="1">
        <f t="shared" si="18"/>
        <v>0</v>
      </c>
    </row>
    <row r="275" spans="8:15" ht="11.25" customHeight="1" x14ac:dyDescent="0.2">
      <c r="H275" s="10"/>
      <c r="I275" s="10"/>
      <c r="J275" s="10"/>
      <c r="K275" s="10"/>
      <c r="L275" s="1">
        <f t="shared" si="15"/>
        <v>0</v>
      </c>
      <c r="M275" s="1">
        <f t="shared" si="16"/>
        <v>0</v>
      </c>
      <c r="N275" s="1">
        <f t="shared" si="17"/>
        <v>0</v>
      </c>
      <c r="O275" s="1">
        <f t="shared" si="18"/>
        <v>0</v>
      </c>
    </row>
    <row r="276" spans="8:15" ht="11.25" customHeight="1" x14ac:dyDescent="0.2">
      <c r="H276" s="10"/>
      <c r="I276" s="10"/>
      <c r="J276" s="10"/>
      <c r="K276" s="10"/>
      <c r="L276" s="1">
        <f t="shared" si="15"/>
        <v>0</v>
      </c>
      <c r="M276" s="1">
        <f t="shared" si="16"/>
        <v>0</v>
      </c>
      <c r="N276" s="1">
        <f t="shared" si="17"/>
        <v>0</v>
      </c>
      <c r="O276" s="1">
        <f t="shared" si="18"/>
        <v>0</v>
      </c>
    </row>
    <row r="277" spans="8:15" ht="11.25" customHeight="1" x14ac:dyDescent="0.2">
      <c r="H277" s="10"/>
      <c r="I277" s="10"/>
      <c r="J277" s="10"/>
      <c r="K277" s="10"/>
      <c r="L277" s="1">
        <f t="shared" si="15"/>
        <v>0</v>
      </c>
      <c r="M277" s="1">
        <f t="shared" si="16"/>
        <v>0</v>
      </c>
      <c r="N277" s="1">
        <f t="shared" si="17"/>
        <v>0</v>
      </c>
      <c r="O277" s="1">
        <f t="shared" si="18"/>
        <v>0</v>
      </c>
    </row>
    <row r="278" spans="8:15" ht="11.25" customHeight="1" x14ac:dyDescent="0.2">
      <c r="H278" s="10"/>
      <c r="I278" s="10"/>
      <c r="J278" s="10"/>
      <c r="K278" s="10"/>
      <c r="L278" s="1">
        <f t="shared" si="15"/>
        <v>0</v>
      </c>
      <c r="M278" s="1">
        <f t="shared" si="16"/>
        <v>0</v>
      </c>
      <c r="N278" s="1">
        <f t="shared" si="17"/>
        <v>0</v>
      </c>
      <c r="O278" s="1">
        <f t="shared" si="18"/>
        <v>0</v>
      </c>
    </row>
    <row r="279" spans="8:15" ht="11.25" customHeight="1" x14ac:dyDescent="0.2">
      <c r="H279" s="10"/>
      <c r="I279" s="10"/>
      <c r="J279" s="10"/>
      <c r="K279" s="10"/>
      <c r="L279" s="1">
        <f t="shared" si="15"/>
        <v>0</v>
      </c>
      <c r="M279" s="1">
        <f t="shared" si="16"/>
        <v>0</v>
      </c>
      <c r="N279" s="1">
        <f t="shared" si="17"/>
        <v>0</v>
      </c>
      <c r="O279" s="1">
        <f t="shared" si="18"/>
        <v>0</v>
      </c>
    </row>
    <row r="280" spans="8:15" ht="11.25" customHeight="1" x14ac:dyDescent="0.2">
      <c r="H280" s="10"/>
      <c r="I280" s="10"/>
      <c r="J280" s="10"/>
      <c r="K280" s="10"/>
      <c r="L280" s="1">
        <f t="shared" si="15"/>
        <v>0</v>
      </c>
      <c r="M280" s="1">
        <f t="shared" si="16"/>
        <v>0</v>
      </c>
      <c r="N280" s="1">
        <f t="shared" si="17"/>
        <v>0</v>
      </c>
      <c r="O280" s="1">
        <f t="shared" si="18"/>
        <v>0</v>
      </c>
    </row>
    <row r="281" spans="8:15" ht="11.25" customHeight="1" x14ac:dyDescent="0.2">
      <c r="H281" s="10"/>
      <c r="I281" s="10"/>
      <c r="J281" s="10"/>
      <c r="K281" s="10"/>
      <c r="L281" s="1">
        <f t="shared" si="15"/>
        <v>0</v>
      </c>
      <c r="M281" s="1">
        <f t="shared" si="16"/>
        <v>0</v>
      </c>
      <c r="N281" s="1">
        <f t="shared" si="17"/>
        <v>0</v>
      </c>
      <c r="O281" s="1">
        <f t="shared" si="18"/>
        <v>0</v>
      </c>
    </row>
    <row r="282" spans="8:15" ht="11.25" customHeight="1" x14ac:dyDescent="0.2">
      <c r="H282" s="10"/>
      <c r="I282" s="10"/>
      <c r="J282" s="10"/>
      <c r="K282" s="10"/>
      <c r="L282" s="1">
        <f t="shared" si="15"/>
        <v>0</v>
      </c>
      <c r="M282" s="1">
        <f t="shared" si="16"/>
        <v>0</v>
      </c>
      <c r="N282" s="1">
        <f t="shared" si="17"/>
        <v>0</v>
      </c>
      <c r="O282" s="1">
        <f t="shared" si="18"/>
        <v>0</v>
      </c>
    </row>
    <row r="283" spans="8:15" ht="11.25" customHeight="1" x14ac:dyDescent="0.2">
      <c r="H283" s="10"/>
      <c r="I283" s="10"/>
      <c r="J283" s="10"/>
      <c r="K283" s="10"/>
      <c r="L283" s="1">
        <f t="shared" si="15"/>
        <v>0</v>
      </c>
      <c r="M283" s="1">
        <f t="shared" si="16"/>
        <v>0</v>
      </c>
      <c r="N283" s="1">
        <f t="shared" si="17"/>
        <v>0</v>
      </c>
      <c r="O283" s="1">
        <f t="shared" si="18"/>
        <v>0</v>
      </c>
    </row>
    <row r="284" spans="8:15" ht="11.25" customHeight="1" x14ac:dyDescent="0.2">
      <c r="H284" s="10"/>
      <c r="I284" s="10"/>
      <c r="J284" s="10"/>
      <c r="K284" s="10"/>
      <c r="L284" s="1">
        <f t="shared" si="15"/>
        <v>0</v>
      </c>
      <c r="M284" s="1">
        <f t="shared" si="16"/>
        <v>0</v>
      </c>
      <c r="N284" s="1">
        <f t="shared" si="17"/>
        <v>0</v>
      </c>
      <c r="O284" s="1">
        <f t="shared" si="18"/>
        <v>0</v>
      </c>
    </row>
    <row r="285" spans="8:15" ht="11.25" customHeight="1" x14ac:dyDescent="0.2">
      <c r="H285" s="10"/>
      <c r="I285" s="10"/>
      <c r="J285" s="10"/>
      <c r="K285" s="10"/>
      <c r="L285" s="1">
        <f t="shared" si="15"/>
        <v>0</v>
      </c>
      <c r="M285" s="1">
        <f t="shared" si="16"/>
        <v>0</v>
      </c>
      <c r="N285" s="1">
        <f t="shared" si="17"/>
        <v>0</v>
      </c>
      <c r="O285" s="1">
        <f t="shared" si="18"/>
        <v>0</v>
      </c>
    </row>
    <row r="286" spans="8:15" ht="11.25" customHeight="1" x14ac:dyDescent="0.2">
      <c r="H286" s="10"/>
      <c r="I286" s="10"/>
      <c r="J286" s="10"/>
      <c r="K286" s="10"/>
      <c r="L286" s="1">
        <f t="shared" si="15"/>
        <v>0</v>
      </c>
      <c r="M286" s="1">
        <f t="shared" si="16"/>
        <v>0</v>
      </c>
      <c r="N286" s="1">
        <f t="shared" si="17"/>
        <v>0</v>
      </c>
      <c r="O286" s="1">
        <f t="shared" si="18"/>
        <v>0</v>
      </c>
    </row>
    <row r="287" spans="8:15" ht="11.25" customHeight="1" x14ac:dyDescent="0.2">
      <c r="H287" s="10"/>
      <c r="I287" s="10"/>
      <c r="J287" s="10"/>
      <c r="K287" s="10"/>
      <c r="L287" s="1">
        <f t="shared" si="15"/>
        <v>0</v>
      </c>
      <c r="M287" s="1">
        <f t="shared" si="16"/>
        <v>0</v>
      </c>
      <c r="N287" s="1">
        <f t="shared" si="17"/>
        <v>0</v>
      </c>
      <c r="O287" s="1">
        <f t="shared" si="18"/>
        <v>0</v>
      </c>
    </row>
    <row r="288" spans="8:15" ht="11.25" customHeight="1" x14ac:dyDescent="0.2">
      <c r="H288" s="10"/>
      <c r="I288" s="10"/>
      <c r="J288" s="10"/>
      <c r="K288" s="10"/>
      <c r="L288" s="1">
        <f t="shared" si="15"/>
        <v>0</v>
      </c>
      <c r="M288" s="1">
        <f t="shared" si="16"/>
        <v>0</v>
      </c>
      <c r="N288" s="1">
        <f t="shared" si="17"/>
        <v>0</v>
      </c>
      <c r="O288" s="1">
        <f t="shared" si="18"/>
        <v>0</v>
      </c>
    </row>
    <row r="289" spans="8:15" ht="11.25" customHeight="1" x14ac:dyDescent="0.2">
      <c r="H289" s="10"/>
      <c r="I289" s="10"/>
      <c r="J289" s="10"/>
      <c r="K289" s="10"/>
      <c r="L289" s="1">
        <f t="shared" si="15"/>
        <v>0</v>
      </c>
      <c r="M289" s="1">
        <f t="shared" si="16"/>
        <v>0</v>
      </c>
      <c r="N289" s="1">
        <f t="shared" si="17"/>
        <v>0</v>
      </c>
      <c r="O289" s="1">
        <f t="shared" si="18"/>
        <v>0</v>
      </c>
    </row>
    <row r="290" spans="8:15" ht="11.25" customHeight="1" x14ac:dyDescent="0.2">
      <c r="H290" s="10"/>
      <c r="I290" s="10"/>
      <c r="J290" s="10"/>
      <c r="K290" s="10"/>
      <c r="L290" s="1">
        <f t="shared" si="15"/>
        <v>0</v>
      </c>
      <c r="M290" s="1">
        <f t="shared" si="16"/>
        <v>0</v>
      </c>
      <c r="N290" s="1">
        <f t="shared" si="17"/>
        <v>0</v>
      </c>
      <c r="O290" s="1">
        <f t="shared" si="18"/>
        <v>0</v>
      </c>
    </row>
    <row r="291" spans="8:15" ht="11.25" customHeight="1" x14ac:dyDescent="0.2">
      <c r="H291" s="10"/>
      <c r="I291" s="10"/>
      <c r="J291" s="10"/>
      <c r="K291" s="10"/>
      <c r="L291" s="1">
        <f t="shared" si="15"/>
        <v>0</v>
      </c>
      <c r="M291" s="1">
        <f t="shared" si="16"/>
        <v>0</v>
      </c>
      <c r="N291" s="1">
        <f t="shared" si="17"/>
        <v>0</v>
      </c>
      <c r="O291" s="1">
        <f t="shared" si="18"/>
        <v>0</v>
      </c>
    </row>
    <row r="292" spans="8:15" ht="11.25" customHeight="1" x14ac:dyDescent="0.2">
      <c r="H292" s="10"/>
      <c r="I292" s="10"/>
      <c r="J292" s="10"/>
      <c r="K292" s="10"/>
      <c r="L292" s="1">
        <f t="shared" si="15"/>
        <v>0</v>
      </c>
      <c r="M292" s="1">
        <f t="shared" si="16"/>
        <v>0</v>
      </c>
      <c r="N292" s="1">
        <f t="shared" si="17"/>
        <v>0</v>
      </c>
      <c r="O292" s="1">
        <f t="shared" si="18"/>
        <v>0</v>
      </c>
    </row>
    <row r="293" spans="8:15" ht="11.25" customHeight="1" x14ac:dyDescent="0.2">
      <c r="H293" s="10"/>
      <c r="I293" s="10"/>
      <c r="J293" s="10"/>
      <c r="K293" s="10"/>
      <c r="L293" s="1">
        <f t="shared" si="15"/>
        <v>0</v>
      </c>
      <c r="M293" s="1">
        <f t="shared" si="16"/>
        <v>0</v>
      </c>
      <c r="N293" s="1">
        <f t="shared" si="17"/>
        <v>0</v>
      </c>
      <c r="O293" s="1">
        <f t="shared" si="18"/>
        <v>0</v>
      </c>
    </row>
    <row r="294" spans="8:15" ht="11.25" customHeight="1" x14ac:dyDescent="0.2">
      <c r="H294" s="10"/>
      <c r="I294" s="10"/>
      <c r="J294" s="10"/>
      <c r="K294" s="10"/>
      <c r="L294" s="1">
        <f t="shared" si="15"/>
        <v>0</v>
      </c>
      <c r="M294" s="1">
        <f t="shared" si="16"/>
        <v>0</v>
      </c>
      <c r="N294" s="1">
        <f t="shared" si="17"/>
        <v>0</v>
      </c>
      <c r="O294" s="1">
        <f t="shared" si="18"/>
        <v>0</v>
      </c>
    </row>
    <row r="295" spans="8:15" ht="11.25" customHeight="1" x14ac:dyDescent="0.2">
      <c r="H295" s="10"/>
      <c r="I295" s="10"/>
      <c r="J295" s="10"/>
      <c r="K295" s="10"/>
      <c r="L295" s="1">
        <f t="shared" si="15"/>
        <v>0</v>
      </c>
      <c r="M295" s="1">
        <f t="shared" si="16"/>
        <v>0</v>
      </c>
      <c r="N295" s="1">
        <f t="shared" si="17"/>
        <v>0</v>
      </c>
      <c r="O295" s="1">
        <f t="shared" si="18"/>
        <v>0</v>
      </c>
    </row>
    <row r="296" spans="8:15" ht="11.25" customHeight="1" x14ac:dyDescent="0.2">
      <c r="H296" s="10"/>
      <c r="I296" s="10"/>
      <c r="J296" s="10"/>
      <c r="K296" s="10"/>
      <c r="L296" s="1">
        <f t="shared" si="15"/>
        <v>0</v>
      </c>
      <c r="M296" s="1">
        <f t="shared" si="16"/>
        <v>0</v>
      </c>
      <c r="N296" s="1">
        <f t="shared" si="17"/>
        <v>0</v>
      </c>
      <c r="O296" s="1">
        <f t="shared" si="18"/>
        <v>0</v>
      </c>
    </row>
    <row r="297" spans="8:15" ht="11.25" customHeight="1" x14ac:dyDescent="0.2">
      <c r="H297" s="10"/>
      <c r="I297" s="10"/>
      <c r="J297" s="10"/>
      <c r="K297" s="10"/>
      <c r="L297" s="1">
        <f t="shared" si="15"/>
        <v>0</v>
      </c>
      <c r="M297" s="1">
        <f t="shared" si="16"/>
        <v>0</v>
      </c>
      <c r="N297" s="1">
        <f t="shared" si="17"/>
        <v>0</v>
      </c>
      <c r="O297" s="1">
        <f t="shared" si="18"/>
        <v>0</v>
      </c>
    </row>
    <row r="298" spans="8:15" ht="11.25" customHeight="1" x14ac:dyDescent="0.2">
      <c r="H298" s="10"/>
      <c r="I298" s="10"/>
      <c r="J298" s="10"/>
      <c r="K298" s="10"/>
      <c r="L298" s="1">
        <f t="shared" si="15"/>
        <v>0</v>
      </c>
      <c r="M298" s="1">
        <f t="shared" si="16"/>
        <v>0</v>
      </c>
      <c r="N298" s="1">
        <f t="shared" si="17"/>
        <v>0</v>
      </c>
      <c r="O298" s="1">
        <f t="shared" si="18"/>
        <v>0</v>
      </c>
    </row>
    <row r="299" spans="8:15" ht="11.25" customHeight="1" x14ac:dyDescent="0.2">
      <c r="H299" s="10"/>
      <c r="I299" s="10"/>
      <c r="J299" s="10"/>
      <c r="K299" s="10"/>
      <c r="L299" s="1">
        <f t="shared" si="15"/>
        <v>0</v>
      </c>
      <c r="M299" s="1">
        <f t="shared" si="16"/>
        <v>0</v>
      </c>
      <c r="N299" s="1">
        <f t="shared" si="17"/>
        <v>0</v>
      </c>
      <c r="O299" s="1">
        <f t="shared" si="18"/>
        <v>0</v>
      </c>
    </row>
    <row r="300" spans="8:15" ht="11.25" customHeight="1" x14ac:dyDescent="0.2">
      <c r="H300" s="10"/>
      <c r="I300" s="10"/>
      <c r="J300" s="10"/>
      <c r="K300" s="10"/>
      <c r="L300" s="1">
        <f t="shared" si="15"/>
        <v>0</v>
      </c>
      <c r="M300" s="1">
        <f t="shared" si="16"/>
        <v>0</v>
      </c>
      <c r="N300" s="1">
        <f t="shared" si="17"/>
        <v>0</v>
      </c>
      <c r="O300" s="1">
        <f t="shared" si="18"/>
        <v>0</v>
      </c>
    </row>
    <row r="301" spans="8:15" ht="11.25" customHeight="1" x14ac:dyDescent="0.2">
      <c r="H301" s="10"/>
      <c r="I301" s="10"/>
      <c r="J301" s="10"/>
      <c r="K301" s="10"/>
      <c r="L301" s="1">
        <f t="shared" si="15"/>
        <v>0</v>
      </c>
      <c r="M301" s="1">
        <f t="shared" si="16"/>
        <v>0</v>
      </c>
      <c r="N301" s="1">
        <f t="shared" si="17"/>
        <v>0</v>
      </c>
      <c r="O301" s="1">
        <f t="shared" si="18"/>
        <v>0</v>
      </c>
    </row>
    <row r="302" spans="8:15" ht="11.25" customHeight="1" x14ac:dyDescent="0.2">
      <c r="H302" s="10"/>
      <c r="I302" s="10"/>
      <c r="J302" s="10"/>
      <c r="K302" s="10"/>
      <c r="L302" s="1">
        <f t="shared" si="15"/>
        <v>0</v>
      </c>
      <c r="M302" s="1">
        <f t="shared" si="16"/>
        <v>0</v>
      </c>
      <c r="N302" s="1">
        <f t="shared" si="17"/>
        <v>0</v>
      </c>
      <c r="O302" s="1">
        <f t="shared" si="18"/>
        <v>0</v>
      </c>
    </row>
    <row r="303" spans="8:15" ht="11.25" customHeight="1" x14ac:dyDescent="0.2">
      <c r="H303" s="10"/>
      <c r="I303" s="10"/>
      <c r="J303" s="10"/>
      <c r="K303" s="10"/>
      <c r="L303" s="1">
        <f t="shared" si="15"/>
        <v>0</v>
      </c>
      <c r="M303" s="1">
        <f t="shared" si="16"/>
        <v>0</v>
      </c>
      <c r="N303" s="1">
        <f t="shared" si="17"/>
        <v>0</v>
      </c>
      <c r="O303" s="1">
        <f t="shared" si="18"/>
        <v>0</v>
      </c>
    </row>
    <row r="304" spans="8:15" ht="11.25" customHeight="1" x14ac:dyDescent="0.2">
      <c r="H304" s="10"/>
      <c r="I304" s="10"/>
      <c r="J304" s="10"/>
      <c r="K304" s="10"/>
      <c r="L304" s="1">
        <f t="shared" si="15"/>
        <v>0</v>
      </c>
      <c r="M304" s="1">
        <f t="shared" si="16"/>
        <v>0</v>
      </c>
      <c r="N304" s="1">
        <f t="shared" si="17"/>
        <v>0</v>
      </c>
      <c r="O304" s="1">
        <f t="shared" si="18"/>
        <v>0</v>
      </c>
    </row>
    <row r="305" spans="8:15" ht="11.25" customHeight="1" x14ac:dyDescent="0.2">
      <c r="H305" s="10"/>
      <c r="I305" s="10"/>
      <c r="J305" s="10"/>
      <c r="K305" s="10"/>
      <c r="L305" s="1">
        <f t="shared" si="15"/>
        <v>0</v>
      </c>
      <c r="M305" s="1">
        <f t="shared" si="16"/>
        <v>0</v>
      </c>
      <c r="N305" s="1">
        <f t="shared" si="17"/>
        <v>0</v>
      </c>
      <c r="O305" s="1">
        <f t="shared" si="18"/>
        <v>0</v>
      </c>
    </row>
    <row r="306" spans="8:15" ht="11.25" customHeight="1" x14ac:dyDescent="0.2">
      <c r="H306" s="10"/>
      <c r="I306" s="10"/>
      <c r="J306" s="10"/>
      <c r="K306" s="10"/>
      <c r="L306" s="1">
        <f t="shared" si="15"/>
        <v>0</v>
      </c>
      <c r="M306" s="1">
        <f t="shared" si="16"/>
        <v>0</v>
      </c>
      <c r="N306" s="1">
        <f t="shared" si="17"/>
        <v>0</v>
      </c>
      <c r="O306" s="1">
        <f t="shared" si="18"/>
        <v>0</v>
      </c>
    </row>
    <row r="307" spans="8:15" ht="11.25" customHeight="1" x14ac:dyDescent="0.2">
      <c r="H307" s="10"/>
      <c r="I307" s="10"/>
      <c r="J307" s="10"/>
      <c r="K307" s="10"/>
      <c r="L307" s="1">
        <f t="shared" si="15"/>
        <v>0</v>
      </c>
      <c r="M307" s="1">
        <f t="shared" si="16"/>
        <v>0</v>
      </c>
      <c r="N307" s="1">
        <f t="shared" si="17"/>
        <v>0</v>
      </c>
      <c r="O307" s="1">
        <f t="shared" si="18"/>
        <v>0</v>
      </c>
    </row>
    <row r="308" spans="8:15" ht="11.25" customHeight="1" x14ac:dyDescent="0.2">
      <c r="H308" s="10"/>
      <c r="I308" s="10"/>
      <c r="J308" s="10"/>
      <c r="K308" s="10"/>
      <c r="L308" s="1">
        <f t="shared" si="15"/>
        <v>0</v>
      </c>
      <c r="M308" s="1">
        <f t="shared" si="16"/>
        <v>0</v>
      </c>
      <c r="N308" s="1">
        <f t="shared" si="17"/>
        <v>0</v>
      </c>
      <c r="O308" s="1">
        <f t="shared" si="18"/>
        <v>0</v>
      </c>
    </row>
    <row r="309" spans="8:15" ht="11.25" customHeight="1" x14ac:dyDescent="0.2">
      <c r="H309" s="10"/>
      <c r="I309" s="10"/>
      <c r="J309" s="10"/>
      <c r="K309" s="10"/>
      <c r="L309" s="1">
        <f t="shared" si="15"/>
        <v>0</v>
      </c>
      <c r="M309" s="1">
        <f t="shared" si="16"/>
        <v>0</v>
      </c>
      <c r="N309" s="1">
        <f t="shared" si="17"/>
        <v>0</v>
      </c>
      <c r="O309" s="1">
        <f t="shared" si="18"/>
        <v>0</v>
      </c>
    </row>
    <row r="310" spans="8:15" ht="11.25" customHeight="1" x14ac:dyDescent="0.2">
      <c r="H310" s="10"/>
      <c r="I310" s="10"/>
      <c r="J310" s="10"/>
      <c r="K310" s="10"/>
      <c r="L310" s="1">
        <f t="shared" si="15"/>
        <v>0</v>
      </c>
      <c r="M310" s="1">
        <f t="shared" si="16"/>
        <v>0</v>
      </c>
      <c r="N310" s="1">
        <f t="shared" si="17"/>
        <v>0</v>
      </c>
      <c r="O310" s="1">
        <f t="shared" si="18"/>
        <v>0</v>
      </c>
    </row>
    <row r="311" spans="8:15" ht="11.25" customHeight="1" x14ac:dyDescent="0.2">
      <c r="H311" s="10"/>
      <c r="I311" s="10"/>
      <c r="J311" s="10"/>
      <c r="K311" s="10"/>
      <c r="L311" s="1">
        <f t="shared" si="15"/>
        <v>0</v>
      </c>
      <c r="M311" s="1">
        <f t="shared" si="16"/>
        <v>0</v>
      </c>
      <c r="N311" s="1">
        <f t="shared" si="17"/>
        <v>0</v>
      </c>
      <c r="O311" s="1">
        <f t="shared" si="18"/>
        <v>0</v>
      </c>
    </row>
    <row r="312" spans="8:15" ht="11.25" customHeight="1" x14ac:dyDescent="0.2">
      <c r="H312" s="10"/>
      <c r="I312" s="10"/>
      <c r="J312" s="10"/>
      <c r="K312" s="10"/>
      <c r="L312" s="1">
        <f t="shared" si="15"/>
        <v>0</v>
      </c>
      <c r="M312" s="1">
        <f t="shared" si="16"/>
        <v>0</v>
      </c>
      <c r="N312" s="1">
        <f t="shared" si="17"/>
        <v>0</v>
      </c>
      <c r="O312" s="1">
        <f t="shared" si="18"/>
        <v>0</v>
      </c>
    </row>
    <row r="313" spans="8:15" ht="11.25" customHeight="1" x14ac:dyDescent="0.2">
      <c r="H313" s="10"/>
      <c r="I313" s="10"/>
      <c r="J313" s="10"/>
      <c r="K313" s="10"/>
      <c r="L313" s="1">
        <f t="shared" si="15"/>
        <v>0</v>
      </c>
      <c r="M313" s="1">
        <f t="shared" si="16"/>
        <v>0</v>
      </c>
      <c r="N313" s="1">
        <f t="shared" si="17"/>
        <v>0</v>
      </c>
      <c r="O313" s="1">
        <f t="shared" si="18"/>
        <v>0</v>
      </c>
    </row>
    <row r="314" spans="8:15" ht="11.25" customHeight="1" x14ac:dyDescent="0.2">
      <c r="H314" s="10"/>
      <c r="I314" s="10"/>
      <c r="J314" s="10"/>
      <c r="K314" s="10"/>
      <c r="L314" s="1">
        <f t="shared" si="15"/>
        <v>0</v>
      </c>
      <c r="M314" s="1">
        <f t="shared" si="16"/>
        <v>0</v>
      </c>
      <c r="N314" s="1">
        <f t="shared" si="17"/>
        <v>0</v>
      </c>
      <c r="O314" s="1">
        <f t="shared" si="18"/>
        <v>0</v>
      </c>
    </row>
    <row r="315" spans="8:15" ht="11.25" customHeight="1" x14ac:dyDescent="0.2">
      <c r="H315" s="10"/>
      <c r="I315" s="10"/>
      <c r="J315" s="10"/>
      <c r="K315" s="10"/>
      <c r="L315" s="1">
        <f t="shared" si="15"/>
        <v>0</v>
      </c>
      <c r="M315" s="1">
        <f t="shared" si="16"/>
        <v>0</v>
      </c>
      <c r="N315" s="1">
        <f t="shared" si="17"/>
        <v>0</v>
      </c>
      <c r="O315" s="1">
        <f t="shared" si="18"/>
        <v>0</v>
      </c>
    </row>
    <row r="316" spans="8:15" ht="11.25" customHeight="1" x14ac:dyDescent="0.2">
      <c r="H316" s="10"/>
      <c r="I316" s="10"/>
      <c r="J316" s="10"/>
      <c r="K316" s="10"/>
      <c r="L316" s="1">
        <f t="shared" ref="L316:L379" si="19">IF($M$57,H316,J316)</f>
        <v>0</v>
      </c>
      <c r="M316" s="1">
        <f t="shared" ref="M316:M379" si="20">IF($M$57,I316,K316)</f>
        <v>0</v>
      </c>
      <c r="N316" s="1">
        <f t="shared" ref="N316:N379" si="21">IF($M$57,J316,H316)</f>
        <v>0</v>
      </c>
      <c r="O316" s="1">
        <f t="shared" ref="O316:O379" si="22">IF($M$57,K316,I316)</f>
        <v>0</v>
      </c>
    </row>
    <row r="317" spans="8:15" ht="11.25" customHeight="1" x14ac:dyDescent="0.2">
      <c r="H317" s="10"/>
      <c r="I317" s="10"/>
      <c r="J317" s="10"/>
      <c r="K317" s="10"/>
      <c r="L317" s="1">
        <f t="shared" si="19"/>
        <v>0</v>
      </c>
      <c r="M317" s="1">
        <f t="shared" si="20"/>
        <v>0</v>
      </c>
      <c r="N317" s="1">
        <f t="shared" si="21"/>
        <v>0</v>
      </c>
      <c r="O317" s="1">
        <f t="shared" si="22"/>
        <v>0</v>
      </c>
    </row>
    <row r="318" spans="8:15" ht="11.25" customHeight="1" x14ac:dyDescent="0.2">
      <c r="H318" s="10"/>
      <c r="I318" s="10"/>
      <c r="J318" s="10"/>
      <c r="K318" s="10"/>
      <c r="L318" s="1">
        <f t="shared" si="19"/>
        <v>0</v>
      </c>
      <c r="M318" s="1">
        <f t="shared" si="20"/>
        <v>0</v>
      </c>
      <c r="N318" s="1">
        <f t="shared" si="21"/>
        <v>0</v>
      </c>
      <c r="O318" s="1">
        <f t="shared" si="22"/>
        <v>0</v>
      </c>
    </row>
    <row r="319" spans="8:15" ht="11.25" customHeight="1" x14ac:dyDescent="0.2">
      <c r="H319" s="10"/>
      <c r="I319" s="10"/>
      <c r="J319" s="10"/>
      <c r="K319" s="10"/>
      <c r="L319" s="1">
        <f t="shared" si="19"/>
        <v>0</v>
      </c>
      <c r="M319" s="1">
        <f t="shared" si="20"/>
        <v>0</v>
      </c>
      <c r="N319" s="1">
        <f t="shared" si="21"/>
        <v>0</v>
      </c>
      <c r="O319" s="1">
        <f t="shared" si="22"/>
        <v>0</v>
      </c>
    </row>
    <row r="320" spans="8:15" ht="11.25" customHeight="1" x14ac:dyDescent="0.2">
      <c r="H320" s="10"/>
      <c r="I320" s="10"/>
      <c r="J320" s="10"/>
      <c r="K320" s="10"/>
      <c r="L320" s="1">
        <f t="shared" si="19"/>
        <v>0</v>
      </c>
      <c r="M320" s="1">
        <f t="shared" si="20"/>
        <v>0</v>
      </c>
      <c r="N320" s="1">
        <f t="shared" si="21"/>
        <v>0</v>
      </c>
      <c r="O320" s="1">
        <f t="shared" si="22"/>
        <v>0</v>
      </c>
    </row>
    <row r="321" spans="8:15" ht="11.25" customHeight="1" x14ac:dyDescent="0.2">
      <c r="H321" s="10"/>
      <c r="I321" s="10"/>
      <c r="J321" s="10"/>
      <c r="K321" s="10"/>
      <c r="L321" s="1">
        <f t="shared" si="19"/>
        <v>0</v>
      </c>
      <c r="M321" s="1">
        <f t="shared" si="20"/>
        <v>0</v>
      </c>
      <c r="N321" s="1">
        <f t="shared" si="21"/>
        <v>0</v>
      </c>
      <c r="O321" s="1">
        <f t="shared" si="22"/>
        <v>0</v>
      </c>
    </row>
    <row r="322" spans="8:15" ht="11.25" customHeight="1" x14ac:dyDescent="0.2">
      <c r="H322" s="10"/>
      <c r="I322" s="10"/>
      <c r="J322" s="10"/>
      <c r="K322" s="10"/>
      <c r="L322" s="1">
        <f t="shared" si="19"/>
        <v>0</v>
      </c>
      <c r="M322" s="1">
        <f t="shared" si="20"/>
        <v>0</v>
      </c>
      <c r="N322" s="1">
        <f t="shared" si="21"/>
        <v>0</v>
      </c>
      <c r="O322" s="1">
        <f t="shared" si="22"/>
        <v>0</v>
      </c>
    </row>
    <row r="323" spans="8:15" ht="11.25" customHeight="1" x14ac:dyDescent="0.2">
      <c r="H323" s="10"/>
      <c r="I323" s="10"/>
      <c r="J323" s="10"/>
      <c r="K323" s="10"/>
      <c r="L323" s="1">
        <f t="shared" si="19"/>
        <v>0</v>
      </c>
      <c r="M323" s="1">
        <f t="shared" si="20"/>
        <v>0</v>
      </c>
      <c r="N323" s="1">
        <f t="shared" si="21"/>
        <v>0</v>
      </c>
      <c r="O323" s="1">
        <f t="shared" si="22"/>
        <v>0</v>
      </c>
    </row>
    <row r="324" spans="8:15" ht="11.25" customHeight="1" x14ac:dyDescent="0.2">
      <c r="H324" s="10"/>
      <c r="I324" s="10"/>
      <c r="J324" s="10"/>
      <c r="K324" s="10"/>
      <c r="L324" s="1">
        <f t="shared" si="19"/>
        <v>0</v>
      </c>
      <c r="M324" s="1">
        <f t="shared" si="20"/>
        <v>0</v>
      </c>
      <c r="N324" s="1">
        <f t="shared" si="21"/>
        <v>0</v>
      </c>
      <c r="O324" s="1">
        <f t="shared" si="22"/>
        <v>0</v>
      </c>
    </row>
    <row r="325" spans="8:15" ht="11.25" customHeight="1" x14ac:dyDescent="0.2">
      <c r="H325" s="10"/>
      <c r="I325" s="10"/>
      <c r="J325" s="10"/>
      <c r="K325" s="10"/>
      <c r="L325" s="1">
        <f t="shared" si="19"/>
        <v>0</v>
      </c>
      <c r="M325" s="1">
        <f t="shared" si="20"/>
        <v>0</v>
      </c>
      <c r="N325" s="1">
        <f t="shared" si="21"/>
        <v>0</v>
      </c>
      <c r="O325" s="1">
        <f t="shared" si="22"/>
        <v>0</v>
      </c>
    </row>
    <row r="326" spans="8:15" ht="11.25" customHeight="1" x14ac:dyDescent="0.2">
      <c r="H326" s="10"/>
      <c r="I326" s="10"/>
      <c r="J326" s="10"/>
      <c r="K326" s="10"/>
      <c r="L326" s="1">
        <f t="shared" si="19"/>
        <v>0</v>
      </c>
      <c r="M326" s="1">
        <f t="shared" si="20"/>
        <v>0</v>
      </c>
      <c r="N326" s="1">
        <f t="shared" si="21"/>
        <v>0</v>
      </c>
      <c r="O326" s="1">
        <f t="shared" si="22"/>
        <v>0</v>
      </c>
    </row>
    <row r="327" spans="8:15" ht="11.25" customHeight="1" x14ac:dyDescent="0.2">
      <c r="H327" s="10"/>
      <c r="I327" s="10"/>
      <c r="J327" s="10"/>
      <c r="K327" s="10"/>
      <c r="L327" s="1">
        <f t="shared" si="19"/>
        <v>0</v>
      </c>
      <c r="M327" s="1">
        <f t="shared" si="20"/>
        <v>0</v>
      </c>
      <c r="N327" s="1">
        <f t="shared" si="21"/>
        <v>0</v>
      </c>
      <c r="O327" s="1">
        <f t="shared" si="22"/>
        <v>0</v>
      </c>
    </row>
    <row r="328" spans="8:15" ht="11.25" customHeight="1" x14ac:dyDescent="0.2">
      <c r="H328" s="10"/>
      <c r="I328" s="10"/>
      <c r="J328" s="10"/>
      <c r="K328" s="10"/>
      <c r="L328" s="1">
        <f t="shared" si="19"/>
        <v>0</v>
      </c>
      <c r="M328" s="1">
        <f t="shared" si="20"/>
        <v>0</v>
      </c>
      <c r="N328" s="1">
        <f t="shared" si="21"/>
        <v>0</v>
      </c>
      <c r="O328" s="1">
        <f t="shared" si="22"/>
        <v>0</v>
      </c>
    </row>
    <row r="329" spans="8:15" ht="11.25" customHeight="1" x14ac:dyDescent="0.2">
      <c r="H329" s="10"/>
      <c r="I329" s="10"/>
      <c r="J329" s="10"/>
      <c r="K329" s="10"/>
      <c r="L329" s="1">
        <f t="shared" si="19"/>
        <v>0</v>
      </c>
      <c r="M329" s="1">
        <f t="shared" si="20"/>
        <v>0</v>
      </c>
      <c r="N329" s="1">
        <f t="shared" si="21"/>
        <v>0</v>
      </c>
      <c r="O329" s="1">
        <f t="shared" si="22"/>
        <v>0</v>
      </c>
    </row>
    <row r="330" spans="8:15" ht="11.25" customHeight="1" x14ac:dyDescent="0.2">
      <c r="H330" s="10"/>
      <c r="I330" s="10"/>
      <c r="J330" s="10"/>
      <c r="K330" s="10"/>
      <c r="L330" s="1">
        <f t="shared" si="19"/>
        <v>0</v>
      </c>
      <c r="M330" s="1">
        <f t="shared" si="20"/>
        <v>0</v>
      </c>
      <c r="N330" s="1">
        <f t="shared" si="21"/>
        <v>0</v>
      </c>
      <c r="O330" s="1">
        <f t="shared" si="22"/>
        <v>0</v>
      </c>
    </row>
    <row r="331" spans="8:15" ht="11.25" customHeight="1" x14ac:dyDescent="0.2">
      <c r="H331" s="10"/>
      <c r="I331" s="10"/>
      <c r="J331" s="10"/>
      <c r="K331" s="10"/>
      <c r="L331" s="1">
        <f t="shared" si="19"/>
        <v>0</v>
      </c>
      <c r="M331" s="1">
        <f t="shared" si="20"/>
        <v>0</v>
      </c>
      <c r="N331" s="1">
        <f t="shared" si="21"/>
        <v>0</v>
      </c>
      <c r="O331" s="1">
        <f t="shared" si="22"/>
        <v>0</v>
      </c>
    </row>
    <row r="332" spans="8:15" ht="11.25" customHeight="1" x14ac:dyDescent="0.2">
      <c r="H332" s="10"/>
      <c r="I332" s="10"/>
      <c r="J332" s="10"/>
      <c r="K332" s="10"/>
      <c r="L332" s="1">
        <f t="shared" si="19"/>
        <v>0</v>
      </c>
      <c r="M332" s="1">
        <f t="shared" si="20"/>
        <v>0</v>
      </c>
      <c r="N332" s="1">
        <f t="shared" si="21"/>
        <v>0</v>
      </c>
      <c r="O332" s="1">
        <f t="shared" si="22"/>
        <v>0</v>
      </c>
    </row>
    <row r="333" spans="8:15" ht="11.25" customHeight="1" x14ac:dyDescent="0.2">
      <c r="H333" s="10"/>
      <c r="I333" s="10"/>
      <c r="J333" s="10"/>
      <c r="K333" s="10"/>
      <c r="L333" s="1">
        <f t="shared" si="19"/>
        <v>0</v>
      </c>
      <c r="M333" s="1">
        <f t="shared" si="20"/>
        <v>0</v>
      </c>
      <c r="N333" s="1">
        <f t="shared" si="21"/>
        <v>0</v>
      </c>
      <c r="O333" s="1">
        <f t="shared" si="22"/>
        <v>0</v>
      </c>
    </row>
    <row r="334" spans="8:15" ht="11.25" customHeight="1" x14ac:dyDescent="0.2">
      <c r="H334" s="10"/>
      <c r="I334" s="10"/>
      <c r="J334" s="10"/>
      <c r="K334" s="10"/>
      <c r="L334" s="1">
        <f t="shared" si="19"/>
        <v>0</v>
      </c>
      <c r="M334" s="1">
        <f t="shared" si="20"/>
        <v>0</v>
      </c>
      <c r="N334" s="1">
        <f t="shared" si="21"/>
        <v>0</v>
      </c>
      <c r="O334" s="1">
        <f t="shared" si="22"/>
        <v>0</v>
      </c>
    </row>
    <row r="335" spans="8:15" ht="11.25" customHeight="1" x14ac:dyDescent="0.2">
      <c r="H335" s="10"/>
      <c r="I335" s="10"/>
      <c r="J335" s="10"/>
      <c r="K335" s="10"/>
      <c r="L335" s="1">
        <f t="shared" si="19"/>
        <v>0</v>
      </c>
      <c r="M335" s="1">
        <f t="shared" si="20"/>
        <v>0</v>
      </c>
      <c r="N335" s="1">
        <f t="shared" si="21"/>
        <v>0</v>
      </c>
      <c r="O335" s="1">
        <f t="shared" si="22"/>
        <v>0</v>
      </c>
    </row>
    <row r="336" spans="8:15" ht="11.25" customHeight="1" x14ac:dyDescent="0.2">
      <c r="H336" s="10"/>
      <c r="I336" s="10"/>
      <c r="J336" s="10"/>
      <c r="K336" s="10"/>
      <c r="L336" s="1">
        <f t="shared" si="19"/>
        <v>0</v>
      </c>
      <c r="M336" s="1">
        <f t="shared" si="20"/>
        <v>0</v>
      </c>
      <c r="N336" s="1">
        <f t="shared" si="21"/>
        <v>0</v>
      </c>
      <c r="O336" s="1">
        <f t="shared" si="22"/>
        <v>0</v>
      </c>
    </row>
    <row r="337" spans="8:15" ht="11.25" customHeight="1" x14ac:dyDescent="0.2">
      <c r="H337" s="10"/>
      <c r="I337" s="10"/>
      <c r="J337" s="10"/>
      <c r="K337" s="10"/>
      <c r="L337" s="1">
        <f t="shared" si="19"/>
        <v>0</v>
      </c>
      <c r="M337" s="1">
        <f t="shared" si="20"/>
        <v>0</v>
      </c>
      <c r="N337" s="1">
        <f t="shared" si="21"/>
        <v>0</v>
      </c>
      <c r="O337" s="1">
        <f t="shared" si="22"/>
        <v>0</v>
      </c>
    </row>
    <row r="338" spans="8:15" ht="11.25" customHeight="1" x14ac:dyDescent="0.2">
      <c r="H338" s="10"/>
      <c r="I338" s="10"/>
      <c r="J338" s="10"/>
      <c r="K338" s="10"/>
      <c r="L338" s="1">
        <f t="shared" si="19"/>
        <v>0</v>
      </c>
      <c r="M338" s="1">
        <f t="shared" si="20"/>
        <v>0</v>
      </c>
      <c r="N338" s="1">
        <f t="shared" si="21"/>
        <v>0</v>
      </c>
      <c r="O338" s="1">
        <f t="shared" si="22"/>
        <v>0</v>
      </c>
    </row>
    <row r="339" spans="8:15" ht="11.25" customHeight="1" x14ac:dyDescent="0.2">
      <c r="H339" s="10"/>
      <c r="I339" s="10"/>
      <c r="J339" s="10"/>
      <c r="K339" s="10"/>
      <c r="L339" s="1">
        <f t="shared" si="19"/>
        <v>0</v>
      </c>
      <c r="M339" s="1">
        <f t="shared" si="20"/>
        <v>0</v>
      </c>
      <c r="N339" s="1">
        <f t="shared" si="21"/>
        <v>0</v>
      </c>
      <c r="O339" s="1">
        <f t="shared" si="22"/>
        <v>0</v>
      </c>
    </row>
    <row r="340" spans="8:15" ht="11.25" customHeight="1" x14ac:dyDescent="0.2">
      <c r="H340" s="10"/>
      <c r="I340" s="10"/>
      <c r="J340" s="10"/>
      <c r="K340" s="10"/>
      <c r="L340" s="1">
        <f t="shared" si="19"/>
        <v>0</v>
      </c>
      <c r="M340" s="1">
        <f t="shared" si="20"/>
        <v>0</v>
      </c>
      <c r="N340" s="1">
        <f t="shared" si="21"/>
        <v>0</v>
      </c>
      <c r="O340" s="1">
        <f t="shared" si="22"/>
        <v>0</v>
      </c>
    </row>
    <row r="341" spans="8:15" ht="11.25" customHeight="1" x14ac:dyDescent="0.2">
      <c r="H341" s="10"/>
      <c r="I341" s="10"/>
      <c r="J341" s="10"/>
      <c r="K341" s="10"/>
      <c r="L341" s="1">
        <f t="shared" si="19"/>
        <v>0</v>
      </c>
      <c r="M341" s="1">
        <f t="shared" si="20"/>
        <v>0</v>
      </c>
      <c r="N341" s="1">
        <f t="shared" si="21"/>
        <v>0</v>
      </c>
      <c r="O341" s="1">
        <f t="shared" si="22"/>
        <v>0</v>
      </c>
    </row>
    <row r="342" spans="8:15" ht="11.25" customHeight="1" x14ac:dyDescent="0.2">
      <c r="H342" s="10"/>
      <c r="I342" s="10"/>
      <c r="J342" s="10"/>
      <c r="K342" s="10"/>
      <c r="L342" s="1">
        <f t="shared" si="19"/>
        <v>0</v>
      </c>
      <c r="M342" s="1">
        <f t="shared" si="20"/>
        <v>0</v>
      </c>
      <c r="N342" s="1">
        <f t="shared" si="21"/>
        <v>0</v>
      </c>
      <c r="O342" s="1">
        <f t="shared" si="22"/>
        <v>0</v>
      </c>
    </row>
    <row r="343" spans="8:15" ht="11.25" customHeight="1" x14ac:dyDescent="0.2">
      <c r="H343" s="10"/>
      <c r="I343" s="10"/>
      <c r="J343" s="10"/>
      <c r="K343" s="10"/>
      <c r="L343" s="1">
        <f t="shared" si="19"/>
        <v>0</v>
      </c>
      <c r="M343" s="1">
        <f t="shared" si="20"/>
        <v>0</v>
      </c>
      <c r="N343" s="1">
        <f t="shared" si="21"/>
        <v>0</v>
      </c>
      <c r="O343" s="1">
        <f t="shared" si="22"/>
        <v>0</v>
      </c>
    </row>
    <row r="344" spans="8:15" ht="11.25" customHeight="1" x14ac:dyDescent="0.2">
      <c r="H344" s="10"/>
      <c r="I344" s="10"/>
      <c r="J344" s="10"/>
      <c r="K344" s="10"/>
      <c r="L344" s="1">
        <f t="shared" si="19"/>
        <v>0</v>
      </c>
      <c r="M344" s="1">
        <f t="shared" si="20"/>
        <v>0</v>
      </c>
      <c r="N344" s="1">
        <f t="shared" si="21"/>
        <v>0</v>
      </c>
      <c r="O344" s="1">
        <f t="shared" si="22"/>
        <v>0</v>
      </c>
    </row>
    <row r="345" spans="8:15" ht="11.25" customHeight="1" x14ac:dyDescent="0.2">
      <c r="H345" s="10"/>
      <c r="I345" s="10"/>
      <c r="J345" s="10"/>
      <c r="K345" s="10"/>
      <c r="L345" s="1">
        <f t="shared" si="19"/>
        <v>0</v>
      </c>
      <c r="M345" s="1">
        <f t="shared" si="20"/>
        <v>0</v>
      </c>
      <c r="N345" s="1">
        <f t="shared" si="21"/>
        <v>0</v>
      </c>
      <c r="O345" s="1">
        <f t="shared" si="22"/>
        <v>0</v>
      </c>
    </row>
    <row r="346" spans="8:15" ht="11.25" customHeight="1" x14ac:dyDescent="0.2">
      <c r="H346" s="10"/>
      <c r="I346" s="10"/>
      <c r="J346" s="10"/>
      <c r="K346" s="10"/>
      <c r="L346" s="1">
        <f t="shared" si="19"/>
        <v>0</v>
      </c>
      <c r="M346" s="1">
        <f t="shared" si="20"/>
        <v>0</v>
      </c>
      <c r="N346" s="1">
        <f t="shared" si="21"/>
        <v>0</v>
      </c>
      <c r="O346" s="1">
        <f t="shared" si="22"/>
        <v>0</v>
      </c>
    </row>
    <row r="347" spans="8:15" ht="11.25" customHeight="1" x14ac:dyDescent="0.2">
      <c r="H347" s="10"/>
      <c r="I347" s="10"/>
      <c r="J347" s="10"/>
      <c r="K347" s="10"/>
      <c r="L347" s="1">
        <f t="shared" si="19"/>
        <v>0</v>
      </c>
      <c r="M347" s="1">
        <f t="shared" si="20"/>
        <v>0</v>
      </c>
      <c r="N347" s="1">
        <f t="shared" si="21"/>
        <v>0</v>
      </c>
      <c r="O347" s="1">
        <f t="shared" si="22"/>
        <v>0</v>
      </c>
    </row>
    <row r="348" spans="8:15" ht="11.25" customHeight="1" x14ac:dyDescent="0.2">
      <c r="H348" s="10"/>
      <c r="I348" s="10"/>
      <c r="J348" s="10"/>
      <c r="K348" s="10"/>
      <c r="L348" s="1">
        <f t="shared" si="19"/>
        <v>0</v>
      </c>
      <c r="M348" s="1">
        <f t="shared" si="20"/>
        <v>0</v>
      </c>
      <c r="N348" s="1">
        <f t="shared" si="21"/>
        <v>0</v>
      </c>
      <c r="O348" s="1">
        <f t="shared" si="22"/>
        <v>0</v>
      </c>
    </row>
    <row r="349" spans="8:15" ht="11.25" customHeight="1" x14ac:dyDescent="0.2">
      <c r="H349" s="10"/>
      <c r="I349" s="10"/>
      <c r="J349" s="10"/>
      <c r="K349" s="10"/>
      <c r="L349" s="1">
        <f t="shared" si="19"/>
        <v>0</v>
      </c>
      <c r="M349" s="1">
        <f t="shared" si="20"/>
        <v>0</v>
      </c>
      <c r="N349" s="1">
        <f t="shared" si="21"/>
        <v>0</v>
      </c>
      <c r="O349" s="1">
        <f t="shared" si="22"/>
        <v>0</v>
      </c>
    </row>
    <row r="350" spans="8:15" ht="11.25" customHeight="1" x14ac:dyDescent="0.2">
      <c r="H350" s="10"/>
      <c r="I350" s="10"/>
      <c r="J350" s="10"/>
      <c r="K350" s="10"/>
      <c r="L350" s="1">
        <f t="shared" si="19"/>
        <v>0</v>
      </c>
      <c r="M350" s="1">
        <f t="shared" si="20"/>
        <v>0</v>
      </c>
      <c r="N350" s="1">
        <f t="shared" si="21"/>
        <v>0</v>
      </c>
      <c r="O350" s="1">
        <f t="shared" si="22"/>
        <v>0</v>
      </c>
    </row>
    <row r="351" spans="8:15" ht="11.25" customHeight="1" x14ac:dyDescent="0.2">
      <c r="H351" s="10"/>
      <c r="I351" s="10"/>
      <c r="J351" s="10"/>
      <c r="K351" s="10"/>
      <c r="L351" s="1">
        <f t="shared" si="19"/>
        <v>0</v>
      </c>
      <c r="M351" s="1">
        <f t="shared" si="20"/>
        <v>0</v>
      </c>
      <c r="N351" s="1">
        <f t="shared" si="21"/>
        <v>0</v>
      </c>
      <c r="O351" s="1">
        <f t="shared" si="22"/>
        <v>0</v>
      </c>
    </row>
    <row r="352" spans="8:15" ht="11.25" customHeight="1" x14ac:dyDescent="0.2">
      <c r="H352" s="10"/>
      <c r="I352" s="10"/>
      <c r="J352" s="10"/>
      <c r="K352" s="10"/>
      <c r="L352" s="1">
        <f t="shared" si="19"/>
        <v>0</v>
      </c>
      <c r="M352" s="1">
        <f t="shared" si="20"/>
        <v>0</v>
      </c>
      <c r="N352" s="1">
        <f t="shared" si="21"/>
        <v>0</v>
      </c>
      <c r="O352" s="1">
        <f t="shared" si="22"/>
        <v>0</v>
      </c>
    </row>
    <row r="353" spans="8:15" ht="11.25" customHeight="1" x14ac:dyDescent="0.2">
      <c r="H353" s="10"/>
      <c r="I353" s="10"/>
      <c r="J353" s="10"/>
      <c r="K353" s="10"/>
      <c r="L353" s="1">
        <f t="shared" si="19"/>
        <v>0</v>
      </c>
      <c r="M353" s="1">
        <f t="shared" si="20"/>
        <v>0</v>
      </c>
      <c r="N353" s="1">
        <f t="shared" si="21"/>
        <v>0</v>
      </c>
      <c r="O353" s="1">
        <f t="shared" si="22"/>
        <v>0</v>
      </c>
    </row>
    <row r="354" spans="8:15" ht="11.25" customHeight="1" x14ac:dyDescent="0.2">
      <c r="H354" s="10"/>
      <c r="I354" s="10"/>
      <c r="J354" s="10"/>
      <c r="K354" s="10"/>
      <c r="L354" s="1">
        <f t="shared" si="19"/>
        <v>0</v>
      </c>
      <c r="M354" s="1">
        <f t="shared" si="20"/>
        <v>0</v>
      </c>
      <c r="N354" s="1">
        <f t="shared" si="21"/>
        <v>0</v>
      </c>
      <c r="O354" s="1">
        <f t="shared" si="22"/>
        <v>0</v>
      </c>
    </row>
    <row r="355" spans="8:15" ht="11.25" customHeight="1" x14ac:dyDescent="0.2">
      <c r="H355" s="10"/>
      <c r="I355" s="10"/>
      <c r="J355" s="10"/>
      <c r="K355" s="10"/>
      <c r="L355" s="1">
        <f t="shared" si="19"/>
        <v>0</v>
      </c>
      <c r="M355" s="1">
        <f t="shared" si="20"/>
        <v>0</v>
      </c>
      <c r="N355" s="1">
        <f t="shared" si="21"/>
        <v>0</v>
      </c>
      <c r="O355" s="1">
        <f t="shared" si="22"/>
        <v>0</v>
      </c>
    </row>
    <row r="356" spans="8:15" ht="11.25" customHeight="1" x14ac:dyDescent="0.2">
      <c r="H356" s="10"/>
      <c r="I356" s="10"/>
      <c r="J356" s="10"/>
      <c r="K356" s="10"/>
      <c r="L356" s="1">
        <f t="shared" si="19"/>
        <v>0</v>
      </c>
      <c r="M356" s="1">
        <f t="shared" si="20"/>
        <v>0</v>
      </c>
      <c r="N356" s="1">
        <f t="shared" si="21"/>
        <v>0</v>
      </c>
      <c r="O356" s="1">
        <f t="shared" si="22"/>
        <v>0</v>
      </c>
    </row>
    <row r="357" spans="8:15" ht="11.25" customHeight="1" x14ac:dyDescent="0.2">
      <c r="H357" s="10"/>
      <c r="I357" s="10"/>
      <c r="J357" s="10"/>
      <c r="K357" s="10"/>
      <c r="L357" s="1">
        <f t="shared" si="19"/>
        <v>0</v>
      </c>
      <c r="M357" s="1">
        <f t="shared" si="20"/>
        <v>0</v>
      </c>
      <c r="N357" s="1">
        <f t="shared" si="21"/>
        <v>0</v>
      </c>
      <c r="O357" s="1">
        <f t="shared" si="22"/>
        <v>0</v>
      </c>
    </row>
    <row r="358" spans="8:15" ht="11.25" customHeight="1" x14ac:dyDescent="0.2">
      <c r="H358" s="10"/>
      <c r="I358" s="10"/>
      <c r="J358" s="10"/>
      <c r="K358" s="10"/>
      <c r="L358" s="1">
        <f t="shared" si="19"/>
        <v>0</v>
      </c>
      <c r="M358" s="1">
        <f t="shared" si="20"/>
        <v>0</v>
      </c>
      <c r="N358" s="1">
        <f t="shared" si="21"/>
        <v>0</v>
      </c>
      <c r="O358" s="1">
        <f t="shared" si="22"/>
        <v>0</v>
      </c>
    </row>
    <row r="359" spans="8:15" ht="11.25" customHeight="1" x14ac:dyDescent="0.2">
      <c r="H359" s="10"/>
      <c r="I359" s="10"/>
      <c r="J359" s="10"/>
      <c r="K359" s="10"/>
      <c r="L359" s="1">
        <f t="shared" si="19"/>
        <v>0</v>
      </c>
      <c r="M359" s="1">
        <f t="shared" si="20"/>
        <v>0</v>
      </c>
      <c r="N359" s="1">
        <f t="shared" si="21"/>
        <v>0</v>
      </c>
      <c r="O359" s="1">
        <f t="shared" si="22"/>
        <v>0</v>
      </c>
    </row>
    <row r="360" spans="8:15" ht="11.25" customHeight="1" x14ac:dyDescent="0.2">
      <c r="H360" s="10"/>
      <c r="I360" s="10"/>
      <c r="J360" s="10"/>
      <c r="K360" s="10"/>
      <c r="L360" s="1">
        <f t="shared" si="19"/>
        <v>0</v>
      </c>
      <c r="M360" s="1">
        <f t="shared" si="20"/>
        <v>0</v>
      </c>
      <c r="N360" s="1">
        <f t="shared" si="21"/>
        <v>0</v>
      </c>
      <c r="O360" s="1">
        <f t="shared" si="22"/>
        <v>0</v>
      </c>
    </row>
    <row r="361" spans="8:15" ht="11.25" customHeight="1" x14ac:dyDescent="0.2">
      <c r="H361" s="10"/>
      <c r="I361" s="10"/>
      <c r="J361" s="10"/>
      <c r="K361" s="10"/>
      <c r="L361" s="1">
        <f t="shared" si="19"/>
        <v>0</v>
      </c>
      <c r="M361" s="1">
        <f t="shared" si="20"/>
        <v>0</v>
      </c>
      <c r="N361" s="1">
        <f t="shared" si="21"/>
        <v>0</v>
      </c>
      <c r="O361" s="1">
        <f t="shared" si="22"/>
        <v>0</v>
      </c>
    </row>
    <row r="362" spans="8:15" ht="11.25" customHeight="1" x14ac:dyDescent="0.2">
      <c r="H362" s="10"/>
      <c r="I362" s="10"/>
      <c r="J362" s="10"/>
      <c r="K362" s="10"/>
      <c r="L362" s="1">
        <f t="shared" si="19"/>
        <v>0</v>
      </c>
      <c r="M362" s="1">
        <f t="shared" si="20"/>
        <v>0</v>
      </c>
      <c r="N362" s="1">
        <f t="shared" si="21"/>
        <v>0</v>
      </c>
      <c r="O362" s="1">
        <f t="shared" si="22"/>
        <v>0</v>
      </c>
    </row>
    <row r="363" spans="8:15" ht="11.25" customHeight="1" x14ac:dyDescent="0.2">
      <c r="H363" s="10"/>
      <c r="I363" s="10"/>
      <c r="J363" s="10"/>
      <c r="K363" s="10"/>
      <c r="L363" s="1">
        <f t="shared" si="19"/>
        <v>0</v>
      </c>
      <c r="M363" s="1">
        <f t="shared" si="20"/>
        <v>0</v>
      </c>
      <c r="N363" s="1">
        <f t="shared" si="21"/>
        <v>0</v>
      </c>
      <c r="O363" s="1">
        <f t="shared" si="22"/>
        <v>0</v>
      </c>
    </row>
    <row r="364" spans="8:15" ht="11.25" customHeight="1" x14ac:dyDescent="0.2">
      <c r="H364" s="10"/>
      <c r="I364" s="10"/>
      <c r="J364" s="10"/>
      <c r="K364" s="10"/>
      <c r="L364" s="1">
        <f t="shared" si="19"/>
        <v>0</v>
      </c>
      <c r="M364" s="1">
        <f t="shared" si="20"/>
        <v>0</v>
      </c>
      <c r="N364" s="1">
        <f t="shared" si="21"/>
        <v>0</v>
      </c>
      <c r="O364" s="1">
        <f t="shared" si="22"/>
        <v>0</v>
      </c>
    </row>
    <row r="365" spans="8:15" ht="11.25" customHeight="1" x14ac:dyDescent="0.2">
      <c r="H365" s="10"/>
      <c r="I365" s="10"/>
      <c r="J365" s="10"/>
      <c r="K365" s="10"/>
      <c r="L365" s="1">
        <f t="shared" si="19"/>
        <v>0</v>
      </c>
      <c r="M365" s="1">
        <f t="shared" si="20"/>
        <v>0</v>
      </c>
      <c r="N365" s="1">
        <f t="shared" si="21"/>
        <v>0</v>
      </c>
      <c r="O365" s="1">
        <f t="shared" si="22"/>
        <v>0</v>
      </c>
    </row>
    <row r="366" spans="8:15" ht="11.25" customHeight="1" x14ac:dyDescent="0.2">
      <c r="H366" s="10"/>
      <c r="I366" s="10"/>
      <c r="J366" s="10"/>
      <c r="K366" s="10"/>
      <c r="L366" s="1">
        <f t="shared" si="19"/>
        <v>0</v>
      </c>
      <c r="M366" s="1">
        <f t="shared" si="20"/>
        <v>0</v>
      </c>
      <c r="N366" s="1">
        <f t="shared" si="21"/>
        <v>0</v>
      </c>
      <c r="O366" s="1">
        <f t="shared" si="22"/>
        <v>0</v>
      </c>
    </row>
    <row r="367" spans="8:15" ht="11.25" customHeight="1" x14ac:dyDescent="0.2">
      <c r="H367" s="10"/>
      <c r="I367" s="10"/>
      <c r="J367" s="10"/>
      <c r="K367" s="10"/>
      <c r="L367" s="1">
        <f t="shared" si="19"/>
        <v>0</v>
      </c>
      <c r="M367" s="1">
        <f t="shared" si="20"/>
        <v>0</v>
      </c>
      <c r="N367" s="1">
        <f t="shared" si="21"/>
        <v>0</v>
      </c>
      <c r="O367" s="1">
        <f t="shared" si="22"/>
        <v>0</v>
      </c>
    </row>
    <row r="368" spans="8:15" ht="11.25" customHeight="1" x14ac:dyDescent="0.2">
      <c r="H368" s="10"/>
      <c r="I368" s="10"/>
      <c r="J368" s="10"/>
      <c r="K368" s="10"/>
      <c r="L368" s="1">
        <f t="shared" si="19"/>
        <v>0</v>
      </c>
      <c r="M368" s="1">
        <f t="shared" si="20"/>
        <v>0</v>
      </c>
      <c r="N368" s="1">
        <f t="shared" si="21"/>
        <v>0</v>
      </c>
      <c r="O368" s="1">
        <f t="shared" si="22"/>
        <v>0</v>
      </c>
    </row>
    <row r="369" spans="8:15" ht="11.25" customHeight="1" x14ac:dyDescent="0.2">
      <c r="H369" s="10"/>
      <c r="I369" s="10"/>
      <c r="J369" s="10"/>
      <c r="K369" s="10"/>
      <c r="L369" s="1">
        <f t="shared" si="19"/>
        <v>0</v>
      </c>
      <c r="M369" s="1">
        <f t="shared" si="20"/>
        <v>0</v>
      </c>
      <c r="N369" s="1">
        <f t="shared" si="21"/>
        <v>0</v>
      </c>
      <c r="O369" s="1">
        <f t="shared" si="22"/>
        <v>0</v>
      </c>
    </row>
    <row r="370" spans="8:15" ht="11.25" customHeight="1" x14ac:dyDescent="0.2">
      <c r="H370" s="10"/>
      <c r="I370" s="10"/>
      <c r="J370" s="10"/>
      <c r="K370" s="10"/>
      <c r="L370" s="1">
        <f t="shared" si="19"/>
        <v>0</v>
      </c>
      <c r="M370" s="1">
        <f t="shared" si="20"/>
        <v>0</v>
      </c>
      <c r="N370" s="1">
        <f t="shared" si="21"/>
        <v>0</v>
      </c>
      <c r="O370" s="1">
        <f t="shared" si="22"/>
        <v>0</v>
      </c>
    </row>
    <row r="371" spans="8:15" ht="11.25" customHeight="1" x14ac:dyDescent="0.2">
      <c r="H371" s="10"/>
      <c r="I371" s="10"/>
      <c r="J371" s="10"/>
      <c r="K371" s="10"/>
      <c r="L371" s="1">
        <f t="shared" si="19"/>
        <v>0</v>
      </c>
      <c r="M371" s="1">
        <f t="shared" si="20"/>
        <v>0</v>
      </c>
      <c r="N371" s="1">
        <f t="shared" si="21"/>
        <v>0</v>
      </c>
      <c r="O371" s="1">
        <f t="shared" si="22"/>
        <v>0</v>
      </c>
    </row>
    <row r="372" spans="8:15" ht="11.25" customHeight="1" x14ac:dyDescent="0.2">
      <c r="H372" s="10"/>
      <c r="I372" s="10"/>
      <c r="J372" s="10"/>
      <c r="K372" s="10"/>
      <c r="L372" s="1">
        <f t="shared" si="19"/>
        <v>0</v>
      </c>
      <c r="M372" s="1">
        <f t="shared" si="20"/>
        <v>0</v>
      </c>
      <c r="N372" s="1">
        <f t="shared" si="21"/>
        <v>0</v>
      </c>
      <c r="O372" s="1">
        <f t="shared" si="22"/>
        <v>0</v>
      </c>
    </row>
    <row r="373" spans="8:15" ht="11.25" customHeight="1" x14ac:dyDescent="0.2">
      <c r="H373" s="10"/>
      <c r="I373" s="10"/>
      <c r="J373" s="10"/>
      <c r="K373" s="10"/>
      <c r="L373" s="1">
        <f t="shared" si="19"/>
        <v>0</v>
      </c>
      <c r="M373" s="1">
        <f t="shared" si="20"/>
        <v>0</v>
      </c>
      <c r="N373" s="1">
        <f t="shared" si="21"/>
        <v>0</v>
      </c>
      <c r="O373" s="1">
        <f t="shared" si="22"/>
        <v>0</v>
      </c>
    </row>
    <row r="374" spans="8:15" ht="11.25" customHeight="1" x14ac:dyDescent="0.2">
      <c r="H374" s="10"/>
      <c r="I374" s="10"/>
      <c r="J374" s="10"/>
      <c r="K374" s="10"/>
      <c r="L374" s="1">
        <f t="shared" si="19"/>
        <v>0</v>
      </c>
      <c r="M374" s="1">
        <f t="shared" si="20"/>
        <v>0</v>
      </c>
      <c r="N374" s="1">
        <f t="shared" si="21"/>
        <v>0</v>
      </c>
      <c r="O374" s="1">
        <f t="shared" si="22"/>
        <v>0</v>
      </c>
    </row>
    <row r="375" spans="8:15" ht="11.25" customHeight="1" x14ac:dyDescent="0.2">
      <c r="H375" s="10"/>
      <c r="I375" s="10"/>
      <c r="J375" s="10"/>
      <c r="K375" s="10"/>
      <c r="L375" s="1">
        <f t="shared" si="19"/>
        <v>0</v>
      </c>
      <c r="M375" s="1">
        <f t="shared" si="20"/>
        <v>0</v>
      </c>
      <c r="N375" s="1">
        <f t="shared" si="21"/>
        <v>0</v>
      </c>
      <c r="O375" s="1">
        <f t="shared" si="22"/>
        <v>0</v>
      </c>
    </row>
    <row r="376" spans="8:15" ht="11.25" customHeight="1" x14ac:dyDescent="0.2">
      <c r="H376" s="10"/>
      <c r="I376" s="10"/>
      <c r="J376" s="10"/>
      <c r="K376" s="10"/>
      <c r="L376" s="1">
        <f t="shared" si="19"/>
        <v>0</v>
      </c>
      <c r="M376" s="1">
        <f t="shared" si="20"/>
        <v>0</v>
      </c>
      <c r="N376" s="1">
        <f t="shared" si="21"/>
        <v>0</v>
      </c>
      <c r="O376" s="1">
        <f t="shared" si="22"/>
        <v>0</v>
      </c>
    </row>
    <row r="377" spans="8:15" ht="11.25" customHeight="1" x14ac:dyDescent="0.2">
      <c r="H377" s="10"/>
      <c r="I377" s="10"/>
      <c r="J377" s="10"/>
      <c r="K377" s="10"/>
      <c r="L377" s="1">
        <f t="shared" si="19"/>
        <v>0</v>
      </c>
      <c r="M377" s="1">
        <f t="shared" si="20"/>
        <v>0</v>
      </c>
      <c r="N377" s="1">
        <f t="shared" si="21"/>
        <v>0</v>
      </c>
      <c r="O377" s="1">
        <f t="shared" si="22"/>
        <v>0</v>
      </c>
    </row>
    <row r="378" spans="8:15" ht="11.25" customHeight="1" x14ac:dyDescent="0.2">
      <c r="H378" s="10"/>
      <c r="I378" s="10"/>
      <c r="J378" s="10"/>
      <c r="K378" s="10"/>
      <c r="L378" s="1">
        <f t="shared" si="19"/>
        <v>0</v>
      </c>
      <c r="M378" s="1">
        <f t="shared" si="20"/>
        <v>0</v>
      </c>
      <c r="N378" s="1">
        <f t="shared" si="21"/>
        <v>0</v>
      </c>
      <c r="O378" s="1">
        <f t="shared" si="22"/>
        <v>0</v>
      </c>
    </row>
    <row r="379" spans="8:15" ht="11.25" customHeight="1" x14ac:dyDescent="0.2">
      <c r="H379" s="10"/>
      <c r="I379" s="10"/>
      <c r="J379" s="10"/>
      <c r="K379" s="10"/>
      <c r="L379" s="1">
        <f t="shared" si="19"/>
        <v>0</v>
      </c>
      <c r="M379" s="1">
        <f t="shared" si="20"/>
        <v>0</v>
      </c>
      <c r="N379" s="1">
        <f t="shared" si="21"/>
        <v>0</v>
      </c>
      <c r="O379" s="1">
        <f t="shared" si="22"/>
        <v>0</v>
      </c>
    </row>
    <row r="380" spans="8:15" ht="11.25" customHeight="1" x14ac:dyDescent="0.2">
      <c r="H380" s="10"/>
      <c r="I380" s="10"/>
      <c r="J380" s="10"/>
      <c r="K380" s="10"/>
      <c r="L380" s="1">
        <f t="shared" ref="L380:L443" si="23">IF($M$57,H380,J380)</f>
        <v>0</v>
      </c>
      <c r="M380" s="1">
        <f t="shared" ref="M380:M443" si="24">IF($M$57,I380,K380)</f>
        <v>0</v>
      </c>
      <c r="N380" s="1">
        <f t="shared" ref="N380:N443" si="25">IF($M$57,J380,H380)</f>
        <v>0</v>
      </c>
      <c r="O380" s="1">
        <f t="shared" ref="O380:O443" si="26">IF($M$57,K380,I380)</f>
        <v>0</v>
      </c>
    </row>
    <row r="381" spans="8:15" ht="11.25" customHeight="1" x14ac:dyDescent="0.2">
      <c r="H381" s="10"/>
      <c r="I381" s="10"/>
      <c r="J381" s="10"/>
      <c r="K381" s="10"/>
      <c r="L381" s="1">
        <f t="shared" si="23"/>
        <v>0</v>
      </c>
      <c r="M381" s="1">
        <f t="shared" si="24"/>
        <v>0</v>
      </c>
      <c r="N381" s="1">
        <f t="shared" si="25"/>
        <v>0</v>
      </c>
      <c r="O381" s="1">
        <f t="shared" si="26"/>
        <v>0</v>
      </c>
    </row>
    <row r="382" spans="8:15" ht="11.25" customHeight="1" x14ac:dyDescent="0.2">
      <c r="H382" s="10"/>
      <c r="I382" s="10"/>
      <c r="J382" s="10"/>
      <c r="K382" s="10"/>
      <c r="L382" s="1">
        <f t="shared" si="23"/>
        <v>0</v>
      </c>
      <c r="M382" s="1">
        <f t="shared" si="24"/>
        <v>0</v>
      </c>
      <c r="N382" s="1">
        <f t="shared" si="25"/>
        <v>0</v>
      </c>
      <c r="O382" s="1">
        <f t="shared" si="26"/>
        <v>0</v>
      </c>
    </row>
    <row r="383" spans="8:15" ht="11.25" customHeight="1" x14ac:dyDescent="0.2">
      <c r="H383" s="10"/>
      <c r="I383" s="10"/>
      <c r="J383" s="10"/>
      <c r="K383" s="10"/>
      <c r="L383" s="1">
        <f t="shared" si="23"/>
        <v>0</v>
      </c>
      <c r="M383" s="1">
        <f t="shared" si="24"/>
        <v>0</v>
      </c>
      <c r="N383" s="1">
        <f t="shared" si="25"/>
        <v>0</v>
      </c>
      <c r="O383" s="1">
        <f t="shared" si="26"/>
        <v>0</v>
      </c>
    </row>
    <row r="384" spans="8:15" ht="11.25" customHeight="1" x14ac:dyDescent="0.2">
      <c r="H384" s="10"/>
      <c r="I384" s="10"/>
      <c r="J384" s="10"/>
      <c r="K384" s="10"/>
      <c r="L384" s="1">
        <f t="shared" si="23"/>
        <v>0</v>
      </c>
      <c r="M384" s="1">
        <f t="shared" si="24"/>
        <v>0</v>
      </c>
      <c r="N384" s="1">
        <f t="shared" si="25"/>
        <v>0</v>
      </c>
      <c r="O384" s="1">
        <f t="shared" si="26"/>
        <v>0</v>
      </c>
    </row>
    <row r="385" spans="8:15" ht="11.25" customHeight="1" x14ac:dyDescent="0.2">
      <c r="H385" s="10"/>
      <c r="I385" s="10"/>
      <c r="J385" s="10"/>
      <c r="K385" s="10"/>
      <c r="L385" s="1">
        <f t="shared" si="23"/>
        <v>0</v>
      </c>
      <c r="M385" s="1">
        <f t="shared" si="24"/>
        <v>0</v>
      </c>
      <c r="N385" s="1">
        <f t="shared" si="25"/>
        <v>0</v>
      </c>
      <c r="O385" s="1">
        <f t="shared" si="26"/>
        <v>0</v>
      </c>
    </row>
    <row r="386" spans="8:15" ht="11.25" customHeight="1" x14ac:dyDescent="0.2">
      <c r="H386" s="10"/>
      <c r="I386" s="10"/>
      <c r="J386" s="10"/>
      <c r="K386" s="10"/>
      <c r="L386" s="1">
        <f t="shared" si="23"/>
        <v>0</v>
      </c>
      <c r="M386" s="1">
        <f t="shared" si="24"/>
        <v>0</v>
      </c>
      <c r="N386" s="1">
        <f t="shared" si="25"/>
        <v>0</v>
      </c>
      <c r="O386" s="1">
        <f t="shared" si="26"/>
        <v>0</v>
      </c>
    </row>
    <row r="387" spans="8:15" ht="11.25" customHeight="1" x14ac:dyDescent="0.2">
      <c r="H387" s="10"/>
      <c r="I387" s="10"/>
      <c r="J387" s="10"/>
      <c r="K387" s="10"/>
      <c r="L387" s="1">
        <f t="shared" si="23"/>
        <v>0</v>
      </c>
      <c r="M387" s="1">
        <f t="shared" si="24"/>
        <v>0</v>
      </c>
      <c r="N387" s="1">
        <f t="shared" si="25"/>
        <v>0</v>
      </c>
      <c r="O387" s="1">
        <f t="shared" si="26"/>
        <v>0</v>
      </c>
    </row>
    <row r="388" spans="8:15" ht="11.25" customHeight="1" x14ac:dyDescent="0.2">
      <c r="H388" s="10"/>
      <c r="I388" s="10"/>
      <c r="J388" s="10"/>
      <c r="K388" s="10"/>
      <c r="L388" s="1">
        <f t="shared" si="23"/>
        <v>0</v>
      </c>
      <c r="M388" s="1">
        <f t="shared" si="24"/>
        <v>0</v>
      </c>
      <c r="N388" s="1">
        <f t="shared" si="25"/>
        <v>0</v>
      </c>
      <c r="O388" s="1">
        <f t="shared" si="26"/>
        <v>0</v>
      </c>
    </row>
    <row r="389" spans="8:15" ht="11.25" customHeight="1" x14ac:dyDescent="0.2">
      <c r="H389" s="10"/>
      <c r="I389" s="10"/>
      <c r="J389" s="10"/>
      <c r="K389" s="10"/>
      <c r="L389" s="1">
        <f t="shared" si="23"/>
        <v>0</v>
      </c>
      <c r="M389" s="1">
        <f t="shared" si="24"/>
        <v>0</v>
      </c>
      <c r="N389" s="1">
        <f t="shared" si="25"/>
        <v>0</v>
      </c>
      <c r="O389" s="1">
        <f t="shared" si="26"/>
        <v>0</v>
      </c>
    </row>
    <row r="390" spans="8:15" ht="11.25" customHeight="1" x14ac:dyDescent="0.2">
      <c r="H390" s="10"/>
      <c r="I390" s="10"/>
      <c r="J390" s="10"/>
      <c r="K390" s="10"/>
      <c r="L390" s="1">
        <f t="shared" si="23"/>
        <v>0</v>
      </c>
      <c r="M390" s="1">
        <f t="shared" si="24"/>
        <v>0</v>
      </c>
      <c r="N390" s="1">
        <f t="shared" si="25"/>
        <v>0</v>
      </c>
      <c r="O390" s="1">
        <f t="shared" si="26"/>
        <v>0</v>
      </c>
    </row>
    <row r="391" spans="8:15" ht="11.25" customHeight="1" x14ac:dyDescent="0.2">
      <c r="H391" s="10"/>
      <c r="I391" s="10"/>
      <c r="J391" s="10"/>
      <c r="K391" s="10"/>
      <c r="L391" s="1">
        <f t="shared" si="23"/>
        <v>0</v>
      </c>
      <c r="M391" s="1">
        <f t="shared" si="24"/>
        <v>0</v>
      </c>
      <c r="N391" s="1">
        <f t="shared" si="25"/>
        <v>0</v>
      </c>
      <c r="O391" s="1">
        <f t="shared" si="26"/>
        <v>0</v>
      </c>
    </row>
    <row r="392" spans="8:15" ht="11.25" customHeight="1" x14ac:dyDescent="0.2">
      <c r="H392" s="10"/>
      <c r="I392" s="10"/>
      <c r="J392" s="10"/>
      <c r="K392" s="10"/>
      <c r="L392" s="1">
        <f t="shared" si="23"/>
        <v>0</v>
      </c>
      <c r="M392" s="1">
        <f t="shared" si="24"/>
        <v>0</v>
      </c>
      <c r="N392" s="1">
        <f t="shared" si="25"/>
        <v>0</v>
      </c>
      <c r="O392" s="1">
        <f t="shared" si="26"/>
        <v>0</v>
      </c>
    </row>
    <row r="393" spans="8:15" ht="11.25" customHeight="1" x14ac:dyDescent="0.2">
      <c r="H393" s="10"/>
      <c r="I393" s="10"/>
      <c r="J393" s="10"/>
      <c r="K393" s="10"/>
      <c r="L393" s="1">
        <f t="shared" si="23"/>
        <v>0</v>
      </c>
      <c r="M393" s="1">
        <f t="shared" si="24"/>
        <v>0</v>
      </c>
      <c r="N393" s="1">
        <f t="shared" si="25"/>
        <v>0</v>
      </c>
      <c r="O393" s="1">
        <f t="shared" si="26"/>
        <v>0</v>
      </c>
    </row>
    <row r="394" spans="8:15" ht="11.25" customHeight="1" x14ac:dyDescent="0.2">
      <c r="H394" s="10"/>
      <c r="I394" s="10"/>
      <c r="J394" s="10"/>
      <c r="K394" s="10"/>
      <c r="L394" s="1">
        <f t="shared" si="23"/>
        <v>0</v>
      </c>
      <c r="M394" s="1">
        <f t="shared" si="24"/>
        <v>0</v>
      </c>
      <c r="N394" s="1">
        <f t="shared" si="25"/>
        <v>0</v>
      </c>
      <c r="O394" s="1">
        <f t="shared" si="26"/>
        <v>0</v>
      </c>
    </row>
    <row r="395" spans="8:15" ht="11.25" customHeight="1" x14ac:dyDescent="0.2">
      <c r="H395" s="10"/>
      <c r="I395" s="10"/>
      <c r="J395" s="10"/>
      <c r="K395" s="10"/>
      <c r="L395" s="1">
        <f t="shared" si="23"/>
        <v>0</v>
      </c>
      <c r="M395" s="1">
        <f t="shared" si="24"/>
        <v>0</v>
      </c>
      <c r="N395" s="1">
        <f t="shared" si="25"/>
        <v>0</v>
      </c>
      <c r="O395" s="1">
        <f t="shared" si="26"/>
        <v>0</v>
      </c>
    </row>
    <row r="396" spans="8:15" ht="11.25" customHeight="1" x14ac:dyDescent="0.2">
      <c r="H396" s="10"/>
      <c r="I396" s="10"/>
      <c r="J396" s="10"/>
      <c r="K396" s="10"/>
      <c r="L396" s="1">
        <f t="shared" si="23"/>
        <v>0</v>
      </c>
      <c r="M396" s="1">
        <f t="shared" si="24"/>
        <v>0</v>
      </c>
      <c r="N396" s="1">
        <f t="shared" si="25"/>
        <v>0</v>
      </c>
      <c r="O396" s="1">
        <f t="shared" si="26"/>
        <v>0</v>
      </c>
    </row>
    <row r="397" spans="8:15" ht="11.25" customHeight="1" x14ac:dyDescent="0.2">
      <c r="H397" s="10"/>
      <c r="I397" s="10"/>
      <c r="J397" s="10"/>
      <c r="K397" s="10"/>
      <c r="L397" s="1">
        <f t="shared" si="23"/>
        <v>0</v>
      </c>
      <c r="M397" s="1">
        <f t="shared" si="24"/>
        <v>0</v>
      </c>
      <c r="N397" s="1">
        <f t="shared" si="25"/>
        <v>0</v>
      </c>
      <c r="O397" s="1">
        <f t="shared" si="26"/>
        <v>0</v>
      </c>
    </row>
    <row r="398" spans="8:15" ht="11.25" customHeight="1" x14ac:dyDescent="0.2">
      <c r="H398" s="10"/>
      <c r="I398" s="10"/>
      <c r="J398" s="10"/>
      <c r="K398" s="10"/>
      <c r="L398" s="1">
        <f t="shared" si="23"/>
        <v>0</v>
      </c>
      <c r="M398" s="1">
        <f t="shared" si="24"/>
        <v>0</v>
      </c>
      <c r="N398" s="1">
        <f t="shared" si="25"/>
        <v>0</v>
      </c>
      <c r="O398" s="1">
        <f t="shared" si="26"/>
        <v>0</v>
      </c>
    </row>
    <row r="399" spans="8:15" ht="11.25" customHeight="1" x14ac:dyDescent="0.2">
      <c r="H399" s="10"/>
      <c r="I399" s="10"/>
      <c r="J399" s="10"/>
      <c r="K399" s="10"/>
      <c r="L399" s="1">
        <f t="shared" si="23"/>
        <v>0</v>
      </c>
      <c r="M399" s="1">
        <f t="shared" si="24"/>
        <v>0</v>
      </c>
      <c r="N399" s="1">
        <f t="shared" si="25"/>
        <v>0</v>
      </c>
      <c r="O399" s="1">
        <f t="shared" si="26"/>
        <v>0</v>
      </c>
    </row>
    <row r="400" spans="8:15" ht="11.25" customHeight="1" x14ac:dyDescent="0.2">
      <c r="H400" s="10"/>
      <c r="I400" s="10"/>
      <c r="J400" s="10"/>
      <c r="K400" s="10"/>
      <c r="L400" s="1">
        <f t="shared" si="23"/>
        <v>0</v>
      </c>
      <c r="M400" s="1">
        <f t="shared" si="24"/>
        <v>0</v>
      </c>
      <c r="N400" s="1">
        <f t="shared" si="25"/>
        <v>0</v>
      </c>
      <c r="O400" s="1">
        <f t="shared" si="26"/>
        <v>0</v>
      </c>
    </row>
    <row r="401" spans="8:15" ht="11.25" customHeight="1" x14ac:dyDescent="0.2">
      <c r="H401" s="10"/>
      <c r="I401" s="10"/>
      <c r="J401" s="10"/>
      <c r="K401" s="10"/>
      <c r="L401" s="1">
        <f t="shared" si="23"/>
        <v>0</v>
      </c>
      <c r="M401" s="1">
        <f t="shared" si="24"/>
        <v>0</v>
      </c>
      <c r="N401" s="1">
        <f t="shared" si="25"/>
        <v>0</v>
      </c>
      <c r="O401" s="1">
        <f t="shared" si="26"/>
        <v>0</v>
      </c>
    </row>
    <row r="402" spans="8:15" ht="11.25" customHeight="1" x14ac:dyDescent="0.2">
      <c r="H402" s="10"/>
      <c r="I402" s="10"/>
      <c r="J402" s="10"/>
      <c r="K402" s="10"/>
      <c r="L402" s="1">
        <f t="shared" si="23"/>
        <v>0</v>
      </c>
      <c r="M402" s="1">
        <f t="shared" si="24"/>
        <v>0</v>
      </c>
      <c r="N402" s="1">
        <f t="shared" si="25"/>
        <v>0</v>
      </c>
      <c r="O402" s="1">
        <f t="shared" si="26"/>
        <v>0</v>
      </c>
    </row>
    <row r="403" spans="8:15" ht="11.25" customHeight="1" x14ac:dyDescent="0.2">
      <c r="H403" s="10"/>
      <c r="I403" s="10"/>
      <c r="J403" s="10"/>
      <c r="K403" s="10"/>
      <c r="L403" s="1">
        <f t="shared" si="23"/>
        <v>0</v>
      </c>
      <c r="M403" s="1">
        <f t="shared" si="24"/>
        <v>0</v>
      </c>
      <c r="N403" s="1">
        <f t="shared" si="25"/>
        <v>0</v>
      </c>
      <c r="O403" s="1">
        <f t="shared" si="26"/>
        <v>0</v>
      </c>
    </row>
    <row r="404" spans="8:15" ht="11.25" customHeight="1" x14ac:dyDescent="0.2">
      <c r="H404" s="10"/>
      <c r="I404" s="10"/>
      <c r="J404" s="10"/>
      <c r="K404" s="10"/>
      <c r="L404" s="1">
        <f t="shared" si="23"/>
        <v>0</v>
      </c>
      <c r="M404" s="1">
        <f t="shared" si="24"/>
        <v>0</v>
      </c>
      <c r="N404" s="1">
        <f t="shared" si="25"/>
        <v>0</v>
      </c>
      <c r="O404" s="1">
        <f t="shared" si="26"/>
        <v>0</v>
      </c>
    </row>
    <row r="405" spans="8:15" ht="11.25" customHeight="1" x14ac:dyDescent="0.2">
      <c r="H405" s="10"/>
      <c r="I405" s="10"/>
      <c r="J405" s="10"/>
      <c r="K405" s="10"/>
      <c r="L405" s="1">
        <f t="shared" si="23"/>
        <v>0</v>
      </c>
      <c r="M405" s="1">
        <f t="shared" si="24"/>
        <v>0</v>
      </c>
      <c r="N405" s="1">
        <f t="shared" si="25"/>
        <v>0</v>
      </c>
      <c r="O405" s="1">
        <f t="shared" si="26"/>
        <v>0</v>
      </c>
    </row>
    <row r="406" spans="8:15" ht="11.25" customHeight="1" x14ac:dyDescent="0.2">
      <c r="H406" s="10"/>
      <c r="I406" s="10"/>
      <c r="J406" s="10"/>
      <c r="K406" s="10"/>
      <c r="L406" s="1">
        <f t="shared" si="23"/>
        <v>0</v>
      </c>
      <c r="M406" s="1">
        <f t="shared" si="24"/>
        <v>0</v>
      </c>
      <c r="N406" s="1">
        <f t="shared" si="25"/>
        <v>0</v>
      </c>
      <c r="O406" s="1">
        <f t="shared" si="26"/>
        <v>0</v>
      </c>
    </row>
    <row r="407" spans="8:15" ht="11.25" customHeight="1" x14ac:dyDescent="0.2">
      <c r="H407" s="10"/>
      <c r="I407" s="10"/>
      <c r="J407" s="10"/>
      <c r="K407" s="10"/>
      <c r="L407" s="1">
        <f t="shared" si="23"/>
        <v>0</v>
      </c>
      <c r="M407" s="1">
        <f t="shared" si="24"/>
        <v>0</v>
      </c>
      <c r="N407" s="1">
        <f t="shared" si="25"/>
        <v>0</v>
      </c>
      <c r="O407" s="1">
        <f t="shared" si="26"/>
        <v>0</v>
      </c>
    </row>
    <row r="408" spans="8:15" ht="11.25" customHeight="1" x14ac:dyDescent="0.2">
      <c r="H408" s="10"/>
      <c r="I408" s="10"/>
      <c r="J408" s="10"/>
      <c r="K408" s="10"/>
      <c r="L408" s="1">
        <f t="shared" si="23"/>
        <v>0</v>
      </c>
      <c r="M408" s="1">
        <f t="shared" si="24"/>
        <v>0</v>
      </c>
      <c r="N408" s="1">
        <f t="shared" si="25"/>
        <v>0</v>
      </c>
      <c r="O408" s="1">
        <f t="shared" si="26"/>
        <v>0</v>
      </c>
    </row>
    <row r="409" spans="8:15" ht="11.25" customHeight="1" x14ac:dyDescent="0.2">
      <c r="H409" s="10"/>
      <c r="I409" s="10"/>
      <c r="J409" s="10"/>
      <c r="K409" s="10"/>
      <c r="L409" s="1">
        <f t="shared" si="23"/>
        <v>0</v>
      </c>
      <c r="M409" s="1">
        <f t="shared" si="24"/>
        <v>0</v>
      </c>
      <c r="N409" s="1">
        <f t="shared" si="25"/>
        <v>0</v>
      </c>
      <c r="O409" s="1">
        <f t="shared" si="26"/>
        <v>0</v>
      </c>
    </row>
    <row r="410" spans="8:15" ht="11.25" customHeight="1" x14ac:dyDescent="0.2">
      <c r="H410" s="10"/>
      <c r="I410" s="10"/>
      <c r="J410" s="10"/>
      <c r="K410" s="10"/>
      <c r="L410" s="1">
        <f t="shared" si="23"/>
        <v>0</v>
      </c>
      <c r="M410" s="1">
        <f t="shared" si="24"/>
        <v>0</v>
      </c>
      <c r="N410" s="1">
        <f t="shared" si="25"/>
        <v>0</v>
      </c>
      <c r="O410" s="1">
        <f t="shared" si="26"/>
        <v>0</v>
      </c>
    </row>
    <row r="411" spans="8:15" ht="11.25" customHeight="1" x14ac:dyDescent="0.2">
      <c r="H411" s="10"/>
      <c r="I411" s="10"/>
      <c r="J411" s="10"/>
      <c r="K411" s="10"/>
      <c r="L411" s="1">
        <f t="shared" si="23"/>
        <v>0</v>
      </c>
      <c r="M411" s="1">
        <f t="shared" si="24"/>
        <v>0</v>
      </c>
      <c r="N411" s="1">
        <f t="shared" si="25"/>
        <v>0</v>
      </c>
      <c r="O411" s="1">
        <f t="shared" si="26"/>
        <v>0</v>
      </c>
    </row>
    <row r="412" spans="8:15" ht="11.25" customHeight="1" x14ac:dyDescent="0.2">
      <c r="H412" s="10"/>
      <c r="I412" s="10"/>
      <c r="J412" s="10"/>
      <c r="K412" s="10"/>
      <c r="L412" s="1">
        <f t="shared" si="23"/>
        <v>0</v>
      </c>
      <c r="M412" s="1">
        <f t="shared" si="24"/>
        <v>0</v>
      </c>
      <c r="N412" s="1">
        <f t="shared" si="25"/>
        <v>0</v>
      </c>
      <c r="O412" s="1">
        <f t="shared" si="26"/>
        <v>0</v>
      </c>
    </row>
    <row r="413" spans="8:15" ht="11.25" customHeight="1" x14ac:dyDescent="0.2">
      <c r="H413" s="10"/>
      <c r="I413" s="10"/>
      <c r="J413" s="10"/>
      <c r="K413" s="10"/>
      <c r="L413" s="1">
        <f t="shared" si="23"/>
        <v>0</v>
      </c>
      <c r="M413" s="1">
        <f t="shared" si="24"/>
        <v>0</v>
      </c>
      <c r="N413" s="1">
        <f t="shared" si="25"/>
        <v>0</v>
      </c>
      <c r="O413" s="1">
        <f t="shared" si="26"/>
        <v>0</v>
      </c>
    </row>
    <row r="414" spans="8:15" ht="11.25" customHeight="1" x14ac:dyDescent="0.2">
      <c r="H414" s="10"/>
      <c r="I414" s="10"/>
      <c r="J414" s="10"/>
      <c r="K414" s="10"/>
      <c r="L414" s="1">
        <f t="shared" si="23"/>
        <v>0</v>
      </c>
      <c r="M414" s="1">
        <f t="shared" si="24"/>
        <v>0</v>
      </c>
      <c r="N414" s="1">
        <f t="shared" si="25"/>
        <v>0</v>
      </c>
      <c r="O414" s="1">
        <f t="shared" si="26"/>
        <v>0</v>
      </c>
    </row>
    <row r="415" spans="8:15" ht="11.25" customHeight="1" x14ac:dyDescent="0.2">
      <c r="H415" s="10"/>
      <c r="I415" s="10"/>
      <c r="J415" s="10"/>
      <c r="K415" s="10"/>
      <c r="L415" s="1">
        <f t="shared" si="23"/>
        <v>0</v>
      </c>
      <c r="M415" s="1">
        <f t="shared" si="24"/>
        <v>0</v>
      </c>
      <c r="N415" s="1">
        <f t="shared" si="25"/>
        <v>0</v>
      </c>
      <c r="O415" s="1">
        <f t="shared" si="26"/>
        <v>0</v>
      </c>
    </row>
    <row r="416" spans="8:15" ht="11.25" customHeight="1" x14ac:dyDescent="0.2">
      <c r="H416" s="10"/>
      <c r="I416" s="10"/>
      <c r="J416" s="10"/>
      <c r="K416" s="10"/>
      <c r="L416" s="1">
        <f t="shared" si="23"/>
        <v>0</v>
      </c>
      <c r="M416" s="1">
        <f t="shared" si="24"/>
        <v>0</v>
      </c>
      <c r="N416" s="1">
        <f t="shared" si="25"/>
        <v>0</v>
      </c>
      <c r="O416" s="1">
        <f t="shared" si="26"/>
        <v>0</v>
      </c>
    </row>
    <row r="417" spans="8:15" ht="11.25" customHeight="1" x14ac:dyDescent="0.2">
      <c r="H417" s="10"/>
      <c r="I417" s="10"/>
      <c r="J417" s="10"/>
      <c r="K417" s="10"/>
      <c r="L417" s="1">
        <f t="shared" si="23"/>
        <v>0</v>
      </c>
      <c r="M417" s="1">
        <f t="shared" si="24"/>
        <v>0</v>
      </c>
      <c r="N417" s="1">
        <f t="shared" si="25"/>
        <v>0</v>
      </c>
      <c r="O417" s="1">
        <f t="shared" si="26"/>
        <v>0</v>
      </c>
    </row>
    <row r="418" spans="8:15" ht="11.25" customHeight="1" x14ac:dyDescent="0.2">
      <c r="H418" s="10"/>
      <c r="I418" s="10"/>
      <c r="J418" s="10"/>
      <c r="K418" s="10"/>
      <c r="L418" s="1">
        <f t="shared" si="23"/>
        <v>0</v>
      </c>
      <c r="M418" s="1">
        <f t="shared" si="24"/>
        <v>0</v>
      </c>
      <c r="N418" s="1">
        <f t="shared" si="25"/>
        <v>0</v>
      </c>
      <c r="O418" s="1">
        <f t="shared" si="26"/>
        <v>0</v>
      </c>
    </row>
    <row r="419" spans="8:15" ht="11.25" customHeight="1" x14ac:dyDescent="0.2">
      <c r="H419" s="10"/>
      <c r="I419" s="10"/>
      <c r="J419" s="10"/>
      <c r="K419" s="10"/>
      <c r="L419" s="1">
        <f t="shared" si="23"/>
        <v>0</v>
      </c>
      <c r="M419" s="1">
        <f t="shared" si="24"/>
        <v>0</v>
      </c>
      <c r="N419" s="1">
        <f t="shared" si="25"/>
        <v>0</v>
      </c>
      <c r="O419" s="1">
        <f t="shared" si="26"/>
        <v>0</v>
      </c>
    </row>
    <row r="420" spans="8:15" ht="11.25" customHeight="1" x14ac:dyDescent="0.2">
      <c r="H420" s="10"/>
      <c r="I420" s="10"/>
      <c r="J420" s="10"/>
      <c r="K420" s="10"/>
      <c r="L420" s="1">
        <f t="shared" si="23"/>
        <v>0</v>
      </c>
      <c r="M420" s="1">
        <f t="shared" si="24"/>
        <v>0</v>
      </c>
      <c r="N420" s="1">
        <f t="shared" si="25"/>
        <v>0</v>
      </c>
      <c r="O420" s="1">
        <f t="shared" si="26"/>
        <v>0</v>
      </c>
    </row>
    <row r="421" spans="8:15" ht="11.25" customHeight="1" x14ac:dyDescent="0.2">
      <c r="H421" s="10"/>
      <c r="I421" s="10"/>
      <c r="J421" s="10"/>
      <c r="K421" s="10"/>
      <c r="L421" s="1">
        <f t="shared" si="23"/>
        <v>0</v>
      </c>
      <c r="M421" s="1">
        <f t="shared" si="24"/>
        <v>0</v>
      </c>
      <c r="N421" s="1">
        <f t="shared" si="25"/>
        <v>0</v>
      </c>
      <c r="O421" s="1">
        <f t="shared" si="26"/>
        <v>0</v>
      </c>
    </row>
    <row r="422" spans="8:15" ht="11.25" customHeight="1" x14ac:dyDescent="0.2">
      <c r="H422" s="10"/>
      <c r="I422" s="10"/>
      <c r="J422" s="10"/>
      <c r="K422" s="10"/>
      <c r="L422" s="1">
        <f t="shared" si="23"/>
        <v>0</v>
      </c>
      <c r="M422" s="1">
        <f t="shared" si="24"/>
        <v>0</v>
      </c>
      <c r="N422" s="1">
        <f t="shared" si="25"/>
        <v>0</v>
      </c>
      <c r="O422" s="1">
        <f t="shared" si="26"/>
        <v>0</v>
      </c>
    </row>
    <row r="423" spans="8:15" ht="11.25" customHeight="1" x14ac:dyDescent="0.2">
      <c r="H423" s="10"/>
      <c r="I423" s="10"/>
      <c r="J423" s="10"/>
      <c r="K423" s="10"/>
      <c r="L423" s="1">
        <f t="shared" si="23"/>
        <v>0</v>
      </c>
      <c r="M423" s="1">
        <f t="shared" si="24"/>
        <v>0</v>
      </c>
      <c r="N423" s="1">
        <f t="shared" si="25"/>
        <v>0</v>
      </c>
      <c r="O423" s="1">
        <f t="shared" si="26"/>
        <v>0</v>
      </c>
    </row>
    <row r="424" spans="8:15" ht="11.25" customHeight="1" x14ac:dyDescent="0.2">
      <c r="H424" s="10"/>
      <c r="I424" s="10"/>
      <c r="J424" s="10"/>
      <c r="K424" s="10"/>
      <c r="L424" s="1">
        <f t="shared" si="23"/>
        <v>0</v>
      </c>
      <c r="M424" s="1">
        <f t="shared" si="24"/>
        <v>0</v>
      </c>
      <c r="N424" s="1">
        <f t="shared" si="25"/>
        <v>0</v>
      </c>
      <c r="O424" s="1">
        <f t="shared" si="26"/>
        <v>0</v>
      </c>
    </row>
    <row r="425" spans="8:15" ht="11.25" customHeight="1" x14ac:dyDescent="0.2">
      <c r="H425" s="10"/>
      <c r="I425" s="10"/>
      <c r="J425" s="10"/>
      <c r="K425" s="10"/>
      <c r="L425" s="1">
        <f t="shared" si="23"/>
        <v>0</v>
      </c>
      <c r="M425" s="1">
        <f t="shared" si="24"/>
        <v>0</v>
      </c>
      <c r="N425" s="1">
        <f t="shared" si="25"/>
        <v>0</v>
      </c>
      <c r="O425" s="1">
        <f t="shared" si="26"/>
        <v>0</v>
      </c>
    </row>
    <row r="426" spans="8:15" ht="11.25" customHeight="1" x14ac:dyDescent="0.2">
      <c r="H426" s="10"/>
      <c r="I426" s="10"/>
      <c r="J426" s="10"/>
      <c r="K426" s="10"/>
      <c r="L426" s="1">
        <f t="shared" si="23"/>
        <v>0</v>
      </c>
      <c r="M426" s="1">
        <f t="shared" si="24"/>
        <v>0</v>
      </c>
      <c r="N426" s="1">
        <f t="shared" si="25"/>
        <v>0</v>
      </c>
      <c r="O426" s="1">
        <f t="shared" si="26"/>
        <v>0</v>
      </c>
    </row>
    <row r="427" spans="8:15" ht="11.25" customHeight="1" x14ac:dyDescent="0.2">
      <c r="H427" s="10"/>
      <c r="I427" s="10"/>
      <c r="J427" s="10"/>
      <c r="K427" s="10"/>
      <c r="L427" s="1">
        <f t="shared" si="23"/>
        <v>0</v>
      </c>
      <c r="M427" s="1">
        <f t="shared" si="24"/>
        <v>0</v>
      </c>
      <c r="N427" s="1">
        <f t="shared" si="25"/>
        <v>0</v>
      </c>
      <c r="O427" s="1">
        <f t="shared" si="26"/>
        <v>0</v>
      </c>
    </row>
    <row r="428" spans="8:15" ht="11.25" customHeight="1" x14ac:dyDescent="0.2">
      <c r="H428" s="10"/>
      <c r="I428" s="10"/>
      <c r="J428" s="10"/>
      <c r="K428" s="10"/>
      <c r="L428" s="1">
        <f t="shared" si="23"/>
        <v>0</v>
      </c>
      <c r="M428" s="1">
        <f t="shared" si="24"/>
        <v>0</v>
      </c>
      <c r="N428" s="1">
        <f t="shared" si="25"/>
        <v>0</v>
      </c>
      <c r="O428" s="1">
        <f t="shared" si="26"/>
        <v>0</v>
      </c>
    </row>
    <row r="429" spans="8:15" ht="11.25" customHeight="1" x14ac:dyDescent="0.2">
      <c r="H429" s="10"/>
      <c r="I429" s="10"/>
      <c r="J429" s="10"/>
      <c r="K429" s="10"/>
      <c r="L429" s="1">
        <f t="shared" si="23"/>
        <v>0</v>
      </c>
      <c r="M429" s="1">
        <f t="shared" si="24"/>
        <v>0</v>
      </c>
      <c r="N429" s="1">
        <f t="shared" si="25"/>
        <v>0</v>
      </c>
      <c r="O429" s="1">
        <f t="shared" si="26"/>
        <v>0</v>
      </c>
    </row>
    <row r="430" spans="8:15" ht="11.25" customHeight="1" x14ac:dyDescent="0.2">
      <c r="H430" s="10"/>
      <c r="I430" s="10"/>
      <c r="J430" s="10"/>
      <c r="K430" s="10"/>
      <c r="L430" s="1">
        <f t="shared" si="23"/>
        <v>0</v>
      </c>
      <c r="M430" s="1">
        <f t="shared" si="24"/>
        <v>0</v>
      </c>
      <c r="N430" s="1">
        <f t="shared" si="25"/>
        <v>0</v>
      </c>
      <c r="O430" s="1">
        <f t="shared" si="26"/>
        <v>0</v>
      </c>
    </row>
    <row r="431" spans="8:15" ht="11.25" customHeight="1" x14ac:dyDescent="0.2">
      <c r="H431" s="10"/>
      <c r="I431" s="10"/>
      <c r="J431" s="10"/>
      <c r="K431" s="10"/>
      <c r="L431" s="1">
        <f t="shared" si="23"/>
        <v>0</v>
      </c>
      <c r="M431" s="1">
        <f t="shared" si="24"/>
        <v>0</v>
      </c>
      <c r="N431" s="1">
        <f t="shared" si="25"/>
        <v>0</v>
      </c>
      <c r="O431" s="1">
        <f t="shared" si="26"/>
        <v>0</v>
      </c>
    </row>
    <row r="432" spans="8:15" ht="11.25" customHeight="1" x14ac:dyDescent="0.2">
      <c r="H432" s="10"/>
      <c r="I432" s="10"/>
      <c r="J432" s="10"/>
      <c r="K432" s="10"/>
      <c r="L432" s="1">
        <f t="shared" si="23"/>
        <v>0</v>
      </c>
      <c r="M432" s="1">
        <f t="shared" si="24"/>
        <v>0</v>
      </c>
      <c r="N432" s="1">
        <f t="shared" si="25"/>
        <v>0</v>
      </c>
      <c r="O432" s="1">
        <f t="shared" si="26"/>
        <v>0</v>
      </c>
    </row>
    <row r="433" spans="8:15" ht="11.25" customHeight="1" x14ac:dyDescent="0.2">
      <c r="H433" s="10"/>
      <c r="I433" s="10"/>
      <c r="J433" s="10"/>
      <c r="K433" s="10"/>
      <c r="L433" s="1">
        <f t="shared" si="23"/>
        <v>0</v>
      </c>
      <c r="M433" s="1">
        <f t="shared" si="24"/>
        <v>0</v>
      </c>
      <c r="N433" s="1">
        <f t="shared" si="25"/>
        <v>0</v>
      </c>
      <c r="O433" s="1">
        <f t="shared" si="26"/>
        <v>0</v>
      </c>
    </row>
    <row r="434" spans="8:15" ht="11.25" customHeight="1" x14ac:dyDescent="0.2">
      <c r="H434" s="10"/>
      <c r="I434" s="10"/>
      <c r="J434" s="10"/>
      <c r="K434" s="10"/>
      <c r="L434" s="1">
        <f t="shared" si="23"/>
        <v>0</v>
      </c>
      <c r="M434" s="1">
        <f t="shared" si="24"/>
        <v>0</v>
      </c>
      <c r="N434" s="1">
        <f t="shared" si="25"/>
        <v>0</v>
      </c>
      <c r="O434" s="1">
        <f t="shared" si="26"/>
        <v>0</v>
      </c>
    </row>
    <row r="435" spans="8:15" ht="11.25" customHeight="1" x14ac:dyDescent="0.2">
      <c r="H435" s="10"/>
      <c r="I435" s="10"/>
      <c r="J435" s="10"/>
      <c r="K435" s="10"/>
      <c r="L435" s="1">
        <f t="shared" si="23"/>
        <v>0</v>
      </c>
      <c r="M435" s="1">
        <f t="shared" si="24"/>
        <v>0</v>
      </c>
      <c r="N435" s="1">
        <f t="shared" si="25"/>
        <v>0</v>
      </c>
      <c r="O435" s="1">
        <f t="shared" si="26"/>
        <v>0</v>
      </c>
    </row>
    <row r="436" spans="8:15" ht="11.25" customHeight="1" x14ac:dyDescent="0.2">
      <c r="H436" s="10"/>
      <c r="I436" s="10"/>
      <c r="J436" s="10"/>
      <c r="K436" s="10"/>
      <c r="L436" s="1">
        <f t="shared" si="23"/>
        <v>0</v>
      </c>
      <c r="M436" s="1">
        <f t="shared" si="24"/>
        <v>0</v>
      </c>
      <c r="N436" s="1">
        <f t="shared" si="25"/>
        <v>0</v>
      </c>
      <c r="O436" s="1">
        <f t="shared" si="26"/>
        <v>0</v>
      </c>
    </row>
    <row r="437" spans="8:15" ht="11.25" customHeight="1" x14ac:dyDescent="0.2">
      <c r="H437" s="10"/>
      <c r="I437" s="10"/>
      <c r="J437" s="10"/>
      <c r="K437" s="10"/>
      <c r="L437" s="1">
        <f t="shared" si="23"/>
        <v>0</v>
      </c>
      <c r="M437" s="1">
        <f t="shared" si="24"/>
        <v>0</v>
      </c>
      <c r="N437" s="1">
        <f t="shared" si="25"/>
        <v>0</v>
      </c>
      <c r="O437" s="1">
        <f t="shared" si="26"/>
        <v>0</v>
      </c>
    </row>
    <row r="438" spans="8:15" ht="11.25" customHeight="1" x14ac:dyDescent="0.2">
      <c r="H438" s="10"/>
      <c r="I438" s="10"/>
      <c r="J438" s="10"/>
      <c r="K438" s="10"/>
      <c r="L438" s="1">
        <f t="shared" si="23"/>
        <v>0</v>
      </c>
      <c r="M438" s="1">
        <f t="shared" si="24"/>
        <v>0</v>
      </c>
      <c r="N438" s="1">
        <f t="shared" si="25"/>
        <v>0</v>
      </c>
      <c r="O438" s="1">
        <f t="shared" si="26"/>
        <v>0</v>
      </c>
    </row>
    <row r="439" spans="8:15" ht="11.25" customHeight="1" x14ac:dyDescent="0.2">
      <c r="H439" s="10"/>
      <c r="I439" s="10"/>
      <c r="J439" s="10"/>
      <c r="K439" s="10"/>
      <c r="L439" s="1">
        <f t="shared" si="23"/>
        <v>0</v>
      </c>
      <c r="M439" s="1">
        <f t="shared" si="24"/>
        <v>0</v>
      </c>
      <c r="N439" s="1">
        <f t="shared" si="25"/>
        <v>0</v>
      </c>
      <c r="O439" s="1">
        <f t="shared" si="26"/>
        <v>0</v>
      </c>
    </row>
    <row r="440" spans="8:15" ht="11.25" customHeight="1" x14ac:dyDescent="0.2">
      <c r="H440" s="10"/>
      <c r="I440" s="10"/>
      <c r="J440" s="10"/>
      <c r="K440" s="10"/>
      <c r="L440" s="1">
        <f t="shared" si="23"/>
        <v>0</v>
      </c>
      <c r="M440" s="1">
        <f t="shared" si="24"/>
        <v>0</v>
      </c>
      <c r="N440" s="1">
        <f t="shared" si="25"/>
        <v>0</v>
      </c>
      <c r="O440" s="1">
        <f t="shared" si="26"/>
        <v>0</v>
      </c>
    </row>
    <row r="441" spans="8:15" ht="11.25" customHeight="1" x14ac:dyDescent="0.2">
      <c r="H441" s="10"/>
      <c r="I441" s="10"/>
      <c r="J441" s="10"/>
      <c r="K441" s="10"/>
      <c r="L441" s="1">
        <f t="shared" si="23"/>
        <v>0</v>
      </c>
      <c r="M441" s="1">
        <f t="shared" si="24"/>
        <v>0</v>
      </c>
      <c r="N441" s="1">
        <f t="shared" si="25"/>
        <v>0</v>
      </c>
      <c r="O441" s="1">
        <f t="shared" si="26"/>
        <v>0</v>
      </c>
    </row>
    <row r="442" spans="8:15" ht="11.25" customHeight="1" x14ac:dyDescent="0.2">
      <c r="H442" s="10"/>
      <c r="I442" s="10"/>
      <c r="J442" s="10"/>
      <c r="K442" s="10"/>
      <c r="L442" s="1">
        <f t="shared" si="23"/>
        <v>0</v>
      </c>
      <c r="M442" s="1">
        <f t="shared" si="24"/>
        <v>0</v>
      </c>
      <c r="N442" s="1">
        <f t="shared" si="25"/>
        <v>0</v>
      </c>
      <c r="O442" s="1">
        <f t="shared" si="26"/>
        <v>0</v>
      </c>
    </row>
    <row r="443" spans="8:15" ht="11.25" customHeight="1" x14ac:dyDescent="0.2">
      <c r="H443" s="10"/>
      <c r="I443" s="10"/>
      <c r="J443" s="10"/>
      <c r="K443" s="10"/>
      <c r="L443" s="1">
        <f t="shared" si="23"/>
        <v>0</v>
      </c>
      <c r="M443" s="1">
        <f t="shared" si="24"/>
        <v>0</v>
      </c>
      <c r="N443" s="1">
        <f t="shared" si="25"/>
        <v>0</v>
      </c>
      <c r="O443" s="1">
        <f t="shared" si="26"/>
        <v>0</v>
      </c>
    </row>
    <row r="444" spans="8:15" ht="11.25" customHeight="1" x14ac:dyDescent="0.2">
      <c r="H444" s="10"/>
      <c r="I444" s="10"/>
      <c r="J444" s="10"/>
      <c r="K444" s="10"/>
      <c r="L444" s="1">
        <f t="shared" ref="L444:L507" si="27">IF($M$57,H444,J444)</f>
        <v>0</v>
      </c>
      <c r="M444" s="1">
        <f t="shared" ref="M444:M507" si="28">IF($M$57,I444,K444)</f>
        <v>0</v>
      </c>
      <c r="N444" s="1">
        <f t="shared" ref="N444:N507" si="29">IF($M$57,J444,H444)</f>
        <v>0</v>
      </c>
      <c r="O444" s="1">
        <f t="shared" ref="O444:O507" si="30">IF($M$57,K444,I444)</f>
        <v>0</v>
      </c>
    </row>
    <row r="445" spans="8:15" ht="11.25" customHeight="1" x14ac:dyDescent="0.2">
      <c r="H445" s="10"/>
      <c r="I445" s="10"/>
      <c r="J445" s="10"/>
      <c r="K445" s="10"/>
      <c r="L445" s="1">
        <f t="shared" si="27"/>
        <v>0</v>
      </c>
      <c r="M445" s="1">
        <f t="shared" si="28"/>
        <v>0</v>
      </c>
      <c r="N445" s="1">
        <f t="shared" si="29"/>
        <v>0</v>
      </c>
      <c r="O445" s="1">
        <f t="shared" si="30"/>
        <v>0</v>
      </c>
    </row>
    <row r="446" spans="8:15" ht="11.25" customHeight="1" x14ac:dyDescent="0.2">
      <c r="H446" s="10"/>
      <c r="I446" s="10"/>
      <c r="J446" s="10"/>
      <c r="K446" s="10"/>
      <c r="L446" s="1">
        <f t="shared" si="27"/>
        <v>0</v>
      </c>
      <c r="M446" s="1">
        <f t="shared" si="28"/>
        <v>0</v>
      </c>
      <c r="N446" s="1">
        <f t="shared" si="29"/>
        <v>0</v>
      </c>
      <c r="O446" s="1">
        <f t="shared" si="30"/>
        <v>0</v>
      </c>
    </row>
    <row r="447" spans="8:15" ht="11.25" customHeight="1" x14ac:dyDescent="0.2">
      <c r="H447" s="10"/>
      <c r="I447" s="10"/>
      <c r="J447" s="10"/>
      <c r="K447" s="10"/>
      <c r="L447" s="1">
        <f t="shared" si="27"/>
        <v>0</v>
      </c>
      <c r="M447" s="1">
        <f t="shared" si="28"/>
        <v>0</v>
      </c>
      <c r="N447" s="1">
        <f t="shared" si="29"/>
        <v>0</v>
      </c>
      <c r="O447" s="1">
        <f t="shared" si="30"/>
        <v>0</v>
      </c>
    </row>
    <row r="448" spans="8:15" ht="11.25" customHeight="1" x14ac:dyDescent="0.2">
      <c r="H448" s="10"/>
      <c r="I448" s="10"/>
      <c r="J448" s="10"/>
      <c r="K448" s="10"/>
      <c r="L448" s="1">
        <f t="shared" si="27"/>
        <v>0</v>
      </c>
      <c r="M448" s="1">
        <f t="shared" si="28"/>
        <v>0</v>
      </c>
      <c r="N448" s="1">
        <f t="shared" si="29"/>
        <v>0</v>
      </c>
      <c r="O448" s="1">
        <f t="shared" si="30"/>
        <v>0</v>
      </c>
    </row>
    <row r="449" spans="8:15" ht="11.25" customHeight="1" x14ac:dyDescent="0.2">
      <c r="H449" s="10"/>
      <c r="I449" s="10"/>
      <c r="J449" s="10"/>
      <c r="K449" s="10"/>
      <c r="L449" s="1">
        <f t="shared" si="27"/>
        <v>0</v>
      </c>
      <c r="M449" s="1">
        <f t="shared" si="28"/>
        <v>0</v>
      </c>
      <c r="N449" s="1">
        <f t="shared" si="29"/>
        <v>0</v>
      </c>
      <c r="O449" s="1">
        <f t="shared" si="30"/>
        <v>0</v>
      </c>
    </row>
    <row r="450" spans="8:15" ht="11.25" customHeight="1" x14ac:dyDescent="0.2">
      <c r="H450" s="10"/>
      <c r="I450" s="10"/>
      <c r="J450" s="10"/>
      <c r="K450" s="10"/>
      <c r="L450" s="1">
        <f t="shared" si="27"/>
        <v>0</v>
      </c>
      <c r="M450" s="1">
        <f t="shared" si="28"/>
        <v>0</v>
      </c>
      <c r="N450" s="1">
        <f t="shared" si="29"/>
        <v>0</v>
      </c>
      <c r="O450" s="1">
        <f t="shared" si="30"/>
        <v>0</v>
      </c>
    </row>
    <row r="451" spans="8:15" ht="11.25" customHeight="1" x14ac:dyDescent="0.2">
      <c r="H451" s="10"/>
      <c r="I451" s="10"/>
      <c r="J451" s="10"/>
      <c r="K451" s="10"/>
      <c r="L451" s="1">
        <f t="shared" si="27"/>
        <v>0</v>
      </c>
      <c r="M451" s="1">
        <f t="shared" si="28"/>
        <v>0</v>
      </c>
      <c r="N451" s="1">
        <f t="shared" si="29"/>
        <v>0</v>
      </c>
      <c r="O451" s="1">
        <f t="shared" si="30"/>
        <v>0</v>
      </c>
    </row>
    <row r="452" spans="8:15" ht="11.25" customHeight="1" x14ac:dyDescent="0.2">
      <c r="H452" s="10"/>
      <c r="I452" s="10"/>
      <c r="J452" s="10"/>
      <c r="K452" s="10"/>
      <c r="L452" s="1">
        <f t="shared" si="27"/>
        <v>0</v>
      </c>
      <c r="M452" s="1">
        <f t="shared" si="28"/>
        <v>0</v>
      </c>
      <c r="N452" s="1">
        <f t="shared" si="29"/>
        <v>0</v>
      </c>
      <c r="O452" s="1">
        <f t="shared" si="30"/>
        <v>0</v>
      </c>
    </row>
    <row r="453" spans="8:15" ht="11.25" customHeight="1" x14ac:dyDescent="0.2">
      <c r="H453" s="10"/>
      <c r="I453" s="10"/>
      <c r="J453" s="10"/>
      <c r="K453" s="10"/>
      <c r="L453" s="1">
        <f t="shared" si="27"/>
        <v>0</v>
      </c>
      <c r="M453" s="1">
        <f t="shared" si="28"/>
        <v>0</v>
      </c>
      <c r="N453" s="1">
        <f t="shared" si="29"/>
        <v>0</v>
      </c>
      <c r="O453" s="1">
        <f t="shared" si="30"/>
        <v>0</v>
      </c>
    </row>
    <row r="454" spans="8:15" ht="11.25" customHeight="1" x14ac:dyDescent="0.2">
      <c r="H454" s="10"/>
      <c r="I454" s="10"/>
      <c r="J454" s="10"/>
      <c r="K454" s="10"/>
      <c r="L454" s="1">
        <f t="shared" si="27"/>
        <v>0</v>
      </c>
      <c r="M454" s="1">
        <f t="shared" si="28"/>
        <v>0</v>
      </c>
      <c r="N454" s="1">
        <f t="shared" si="29"/>
        <v>0</v>
      </c>
      <c r="O454" s="1">
        <f t="shared" si="30"/>
        <v>0</v>
      </c>
    </row>
    <row r="455" spans="8:15" ht="11.25" customHeight="1" x14ac:dyDescent="0.2">
      <c r="H455" s="10"/>
      <c r="I455" s="10"/>
      <c r="J455" s="10"/>
      <c r="K455" s="10"/>
      <c r="L455" s="1">
        <f t="shared" si="27"/>
        <v>0</v>
      </c>
      <c r="M455" s="1">
        <f t="shared" si="28"/>
        <v>0</v>
      </c>
      <c r="N455" s="1">
        <f t="shared" si="29"/>
        <v>0</v>
      </c>
      <c r="O455" s="1">
        <f t="shared" si="30"/>
        <v>0</v>
      </c>
    </row>
    <row r="456" spans="8:15" ht="11.25" customHeight="1" x14ac:dyDescent="0.2">
      <c r="H456" s="10"/>
      <c r="I456" s="10"/>
      <c r="J456" s="10"/>
      <c r="K456" s="10"/>
      <c r="L456" s="1">
        <f t="shared" si="27"/>
        <v>0</v>
      </c>
      <c r="M456" s="1">
        <f t="shared" si="28"/>
        <v>0</v>
      </c>
      <c r="N456" s="1">
        <f t="shared" si="29"/>
        <v>0</v>
      </c>
      <c r="O456" s="1">
        <f t="shared" si="30"/>
        <v>0</v>
      </c>
    </row>
    <row r="457" spans="8:15" ht="11.25" customHeight="1" x14ac:dyDescent="0.2">
      <c r="H457" s="10"/>
      <c r="I457" s="10"/>
      <c r="J457" s="10"/>
      <c r="K457" s="10"/>
      <c r="L457" s="1">
        <f t="shared" si="27"/>
        <v>0</v>
      </c>
      <c r="M457" s="1">
        <f t="shared" si="28"/>
        <v>0</v>
      </c>
      <c r="N457" s="1">
        <f t="shared" si="29"/>
        <v>0</v>
      </c>
      <c r="O457" s="1">
        <f t="shared" si="30"/>
        <v>0</v>
      </c>
    </row>
    <row r="458" spans="8:15" ht="11.25" customHeight="1" x14ac:dyDescent="0.2">
      <c r="H458" s="10"/>
      <c r="I458" s="10"/>
      <c r="J458" s="10"/>
      <c r="K458" s="10"/>
      <c r="L458" s="1">
        <f t="shared" si="27"/>
        <v>0</v>
      </c>
      <c r="M458" s="1">
        <f t="shared" si="28"/>
        <v>0</v>
      </c>
      <c r="N458" s="1">
        <f t="shared" si="29"/>
        <v>0</v>
      </c>
      <c r="O458" s="1">
        <f t="shared" si="30"/>
        <v>0</v>
      </c>
    </row>
    <row r="459" spans="8:15" ht="11.25" customHeight="1" x14ac:dyDescent="0.2">
      <c r="H459" s="10"/>
      <c r="I459" s="10"/>
      <c r="J459" s="10"/>
      <c r="K459" s="10"/>
      <c r="L459" s="1">
        <f t="shared" si="27"/>
        <v>0</v>
      </c>
      <c r="M459" s="1">
        <f t="shared" si="28"/>
        <v>0</v>
      </c>
      <c r="N459" s="1">
        <f t="shared" si="29"/>
        <v>0</v>
      </c>
      <c r="O459" s="1">
        <f t="shared" si="30"/>
        <v>0</v>
      </c>
    </row>
    <row r="460" spans="8:15" ht="11.25" customHeight="1" x14ac:dyDescent="0.2">
      <c r="H460" s="10"/>
      <c r="I460" s="10"/>
      <c r="J460" s="10"/>
      <c r="K460" s="10"/>
      <c r="L460" s="1">
        <f t="shared" si="27"/>
        <v>0</v>
      </c>
      <c r="M460" s="1">
        <f t="shared" si="28"/>
        <v>0</v>
      </c>
      <c r="N460" s="1">
        <f t="shared" si="29"/>
        <v>0</v>
      </c>
      <c r="O460" s="1">
        <f t="shared" si="30"/>
        <v>0</v>
      </c>
    </row>
    <row r="461" spans="8:15" ht="11.25" customHeight="1" x14ac:dyDescent="0.2">
      <c r="H461" s="10"/>
      <c r="I461" s="10"/>
      <c r="J461" s="10"/>
      <c r="K461" s="10"/>
      <c r="L461" s="1">
        <f t="shared" si="27"/>
        <v>0</v>
      </c>
      <c r="M461" s="1">
        <f t="shared" si="28"/>
        <v>0</v>
      </c>
      <c r="N461" s="1">
        <f t="shared" si="29"/>
        <v>0</v>
      </c>
      <c r="O461" s="1">
        <f t="shared" si="30"/>
        <v>0</v>
      </c>
    </row>
    <row r="462" spans="8:15" ht="11.25" customHeight="1" x14ac:dyDescent="0.2">
      <c r="H462" s="10"/>
      <c r="I462" s="10"/>
      <c r="J462" s="10"/>
      <c r="K462" s="10"/>
      <c r="L462" s="1">
        <f t="shared" si="27"/>
        <v>0</v>
      </c>
      <c r="M462" s="1">
        <f t="shared" si="28"/>
        <v>0</v>
      </c>
      <c r="N462" s="1">
        <f t="shared" si="29"/>
        <v>0</v>
      </c>
      <c r="O462" s="1">
        <f t="shared" si="30"/>
        <v>0</v>
      </c>
    </row>
    <row r="463" spans="8:15" ht="11.25" customHeight="1" x14ac:dyDescent="0.2">
      <c r="H463" s="10"/>
      <c r="I463" s="10"/>
      <c r="J463" s="10"/>
      <c r="K463" s="10"/>
      <c r="L463" s="1">
        <f t="shared" si="27"/>
        <v>0</v>
      </c>
      <c r="M463" s="1">
        <f t="shared" si="28"/>
        <v>0</v>
      </c>
      <c r="N463" s="1">
        <f t="shared" si="29"/>
        <v>0</v>
      </c>
      <c r="O463" s="1">
        <f t="shared" si="30"/>
        <v>0</v>
      </c>
    </row>
    <row r="464" spans="8:15" ht="11.25" customHeight="1" x14ac:dyDescent="0.2">
      <c r="H464" s="10"/>
      <c r="I464" s="10"/>
      <c r="J464" s="10"/>
      <c r="K464" s="10"/>
      <c r="L464" s="1">
        <f t="shared" si="27"/>
        <v>0</v>
      </c>
      <c r="M464" s="1">
        <f t="shared" si="28"/>
        <v>0</v>
      </c>
      <c r="N464" s="1">
        <f t="shared" si="29"/>
        <v>0</v>
      </c>
      <c r="O464" s="1">
        <f t="shared" si="30"/>
        <v>0</v>
      </c>
    </row>
    <row r="465" spans="8:15" ht="11.25" customHeight="1" x14ac:dyDescent="0.2">
      <c r="H465" s="10"/>
      <c r="I465" s="10"/>
      <c r="J465" s="10"/>
      <c r="K465" s="10"/>
      <c r="L465" s="1">
        <f t="shared" si="27"/>
        <v>0</v>
      </c>
      <c r="M465" s="1">
        <f t="shared" si="28"/>
        <v>0</v>
      </c>
      <c r="N465" s="1">
        <f t="shared" si="29"/>
        <v>0</v>
      </c>
      <c r="O465" s="1">
        <f t="shared" si="30"/>
        <v>0</v>
      </c>
    </row>
    <row r="466" spans="8:15" ht="11.25" customHeight="1" x14ac:dyDescent="0.2">
      <c r="H466" s="10"/>
      <c r="I466" s="10"/>
      <c r="J466" s="10"/>
      <c r="K466" s="10"/>
      <c r="L466" s="1">
        <f t="shared" si="27"/>
        <v>0</v>
      </c>
      <c r="M466" s="1">
        <f t="shared" si="28"/>
        <v>0</v>
      </c>
      <c r="N466" s="1">
        <f t="shared" si="29"/>
        <v>0</v>
      </c>
      <c r="O466" s="1">
        <f t="shared" si="30"/>
        <v>0</v>
      </c>
    </row>
    <row r="467" spans="8:15" ht="11.25" customHeight="1" x14ac:dyDescent="0.2">
      <c r="H467" s="10"/>
      <c r="I467" s="10"/>
      <c r="J467" s="10"/>
      <c r="K467" s="10"/>
      <c r="L467" s="1">
        <f t="shared" si="27"/>
        <v>0</v>
      </c>
      <c r="M467" s="1">
        <f t="shared" si="28"/>
        <v>0</v>
      </c>
      <c r="N467" s="1">
        <f t="shared" si="29"/>
        <v>0</v>
      </c>
      <c r="O467" s="1">
        <f t="shared" si="30"/>
        <v>0</v>
      </c>
    </row>
    <row r="468" spans="8:15" ht="11.25" customHeight="1" x14ac:dyDescent="0.2">
      <c r="H468" s="10"/>
      <c r="I468" s="10"/>
      <c r="J468" s="10"/>
      <c r="K468" s="10"/>
      <c r="L468" s="1">
        <f t="shared" si="27"/>
        <v>0</v>
      </c>
      <c r="M468" s="1">
        <f t="shared" si="28"/>
        <v>0</v>
      </c>
      <c r="N468" s="1">
        <f t="shared" si="29"/>
        <v>0</v>
      </c>
      <c r="O468" s="1">
        <f t="shared" si="30"/>
        <v>0</v>
      </c>
    </row>
    <row r="469" spans="8:15" ht="11.25" customHeight="1" x14ac:dyDescent="0.2">
      <c r="H469" s="10"/>
      <c r="I469" s="10"/>
      <c r="J469" s="10"/>
      <c r="K469" s="10"/>
      <c r="L469" s="1">
        <f t="shared" si="27"/>
        <v>0</v>
      </c>
      <c r="M469" s="1">
        <f t="shared" si="28"/>
        <v>0</v>
      </c>
      <c r="N469" s="1">
        <f t="shared" si="29"/>
        <v>0</v>
      </c>
      <c r="O469" s="1">
        <f t="shared" si="30"/>
        <v>0</v>
      </c>
    </row>
    <row r="470" spans="8:15" ht="11.25" customHeight="1" x14ac:dyDescent="0.2">
      <c r="H470" s="10"/>
      <c r="I470" s="10"/>
      <c r="J470" s="10"/>
      <c r="K470" s="10"/>
      <c r="L470" s="1">
        <f t="shared" si="27"/>
        <v>0</v>
      </c>
      <c r="M470" s="1">
        <f t="shared" si="28"/>
        <v>0</v>
      </c>
      <c r="N470" s="1">
        <f t="shared" si="29"/>
        <v>0</v>
      </c>
      <c r="O470" s="1">
        <f t="shared" si="30"/>
        <v>0</v>
      </c>
    </row>
    <row r="471" spans="8:15" ht="11.25" customHeight="1" x14ac:dyDescent="0.2">
      <c r="H471" s="10"/>
      <c r="I471" s="10"/>
      <c r="J471" s="10"/>
      <c r="K471" s="10"/>
      <c r="L471" s="1">
        <f t="shared" si="27"/>
        <v>0</v>
      </c>
      <c r="M471" s="1">
        <f t="shared" si="28"/>
        <v>0</v>
      </c>
      <c r="N471" s="1">
        <f t="shared" si="29"/>
        <v>0</v>
      </c>
      <c r="O471" s="1">
        <f t="shared" si="30"/>
        <v>0</v>
      </c>
    </row>
    <row r="472" spans="8:15" ht="11.25" customHeight="1" x14ac:dyDescent="0.2">
      <c r="H472" s="10"/>
      <c r="I472" s="10"/>
      <c r="J472" s="10"/>
      <c r="K472" s="10"/>
      <c r="L472" s="1">
        <f t="shared" si="27"/>
        <v>0</v>
      </c>
      <c r="M472" s="1">
        <f t="shared" si="28"/>
        <v>0</v>
      </c>
      <c r="N472" s="1">
        <f t="shared" si="29"/>
        <v>0</v>
      </c>
      <c r="O472" s="1">
        <f t="shared" si="30"/>
        <v>0</v>
      </c>
    </row>
    <row r="473" spans="8:15" ht="11.25" customHeight="1" x14ac:dyDescent="0.2">
      <c r="H473" s="10"/>
      <c r="I473" s="10"/>
      <c r="J473" s="10"/>
      <c r="K473" s="10"/>
      <c r="L473" s="1">
        <f t="shared" si="27"/>
        <v>0</v>
      </c>
      <c r="M473" s="1">
        <f t="shared" si="28"/>
        <v>0</v>
      </c>
      <c r="N473" s="1">
        <f t="shared" si="29"/>
        <v>0</v>
      </c>
      <c r="O473" s="1">
        <f t="shared" si="30"/>
        <v>0</v>
      </c>
    </row>
    <row r="474" spans="8:15" ht="11.25" customHeight="1" x14ac:dyDescent="0.2">
      <c r="H474" s="10"/>
      <c r="I474" s="10"/>
      <c r="J474" s="10"/>
      <c r="K474" s="10"/>
      <c r="L474" s="1">
        <f t="shared" si="27"/>
        <v>0</v>
      </c>
      <c r="M474" s="1">
        <f t="shared" si="28"/>
        <v>0</v>
      </c>
      <c r="N474" s="1">
        <f t="shared" si="29"/>
        <v>0</v>
      </c>
      <c r="O474" s="1">
        <f t="shared" si="30"/>
        <v>0</v>
      </c>
    </row>
    <row r="475" spans="8:15" ht="11.25" customHeight="1" x14ac:dyDescent="0.2">
      <c r="H475" s="10"/>
      <c r="I475" s="10"/>
      <c r="J475" s="10"/>
      <c r="K475" s="10"/>
      <c r="L475" s="1">
        <f t="shared" si="27"/>
        <v>0</v>
      </c>
      <c r="M475" s="1">
        <f t="shared" si="28"/>
        <v>0</v>
      </c>
      <c r="N475" s="1">
        <f t="shared" si="29"/>
        <v>0</v>
      </c>
      <c r="O475" s="1">
        <f t="shared" si="30"/>
        <v>0</v>
      </c>
    </row>
    <row r="476" spans="8:15" ht="11.25" customHeight="1" x14ac:dyDescent="0.2">
      <c r="H476" s="10"/>
      <c r="I476" s="10"/>
      <c r="J476" s="10"/>
      <c r="K476" s="10"/>
      <c r="L476" s="1">
        <f t="shared" si="27"/>
        <v>0</v>
      </c>
      <c r="M476" s="1">
        <f t="shared" si="28"/>
        <v>0</v>
      </c>
      <c r="N476" s="1">
        <f t="shared" si="29"/>
        <v>0</v>
      </c>
      <c r="O476" s="1">
        <f t="shared" si="30"/>
        <v>0</v>
      </c>
    </row>
    <row r="477" spans="8:15" ht="11.25" customHeight="1" x14ac:dyDescent="0.2">
      <c r="H477" s="10"/>
      <c r="I477" s="10"/>
      <c r="J477" s="10"/>
      <c r="K477" s="10"/>
      <c r="L477" s="1">
        <f t="shared" si="27"/>
        <v>0</v>
      </c>
      <c r="M477" s="1">
        <f t="shared" si="28"/>
        <v>0</v>
      </c>
      <c r="N477" s="1">
        <f t="shared" si="29"/>
        <v>0</v>
      </c>
      <c r="O477" s="1">
        <f t="shared" si="30"/>
        <v>0</v>
      </c>
    </row>
    <row r="478" spans="8:15" ht="11.25" customHeight="1" x14ac:dyDescent="0.2">
      <c r="H478" s="10"/>
      <c r="I478" s="10"/>
      <c r="J478" s="10"/>
      <c r="K478" s="10"/>
      <c r="L478" s="1">
        <f t="shared" si="27"/>
        <v>0</v>
      </c>
      <c r="M478" s="1">
        <f t="shared" si="28"/>
        <v>0</v>
      </c>
      <c r="N478" s="1">
        <f t="shared" si="29"/>
        <v>0</v>
      </c>
      <c r="O478" s="1">
        <f t="shared" si="30"/>
        <v>0</v>
      </c>
    </row>
    <row r="479" spans="8:15" ht="11.25" customHeight="1" x14ac:dyDescent="0.2">
      <c r="H479" s="10"/>
      <c r="I479" s="10"/>
      <c r="J479" s="10"/>
      <c r="K479" s="10"/>
      <c r="L479" s="1">
        <f t="shared" si="27"/>
        <v>0</v>
      </c>
      <c r="M479" s="1">
        <f t="shared" si="28"/>
        <v>0</v>
      </c>
      <c r="N479" s="1">
        <f t="shared" si="29"/>
        <v>0</v>
      </c>
      <c r="O479" s="1">
        <f t="shared" si="30"/>
        <v>0</v>
      </c>
    </row>
    <row r="480" spans="8:15" ht="11.25" customHeight="1" x14ac:dyDescent="0.2">
      <c r="H480" s="10"/>
      <c r="I480" s="10"/>
      <c r="J480" s="10"/>
      <c r="K480" s="10"/>
      <c r="L480" s="1">
        <f t="shared" si="27"/>
        <v>0</v>
      </c>
      <c r="M480" s="1">
        <f t="shared" si="28"/>
        <v>0</v>
      </c>
      <c r="N480" s="1">
        <f t="shared" si="29"/>
        <v>0</v>
      </c>
      <c r="O480" s="1">
        <f t="shared" si="30"/>
        <v>0</v>
      </c>
    </row>
    <row r="481" spans="8:15" ht="11.25" customHeight="1" x14ac:dyDescent="0.2">
      <c r="H481" s="10"/>
      <c r="I481" s="10"/>
      <c r="J481" s="10"/>
      <c r="K481" s="10"/>
      <c r="L481" s="1">
        <f t="shared" si="27"/>
        <v>0</v>
      </c>
      <c r="M481" s="1">
        <f t="shared" si="28"/>
        <v>0</v>
      </c>
      <c r="N481" s="1">
        <f t="shared" si="29"/>
        <v>0</v>
      </c>
      <c r="O481" s="1">
        <f t="shared" si="30"/>
        <v>0</v>
      </c>
    </row>
    <row r="482" spans="8:15" ht="11.25" customHeight="1" x14ac:dyDescent="0.2">
      <c r="H482" s="10"/>
      <c r="I482" s="10"/>
      <c r="J482" s="10"/>
      <c r="K482" s="10"/>
      <c r="L482" s="1">
        <f t="shared" si="27"/>
        <v>0</v>
      </c>
      <c r="M482" s="1">
        <f t="shared" si="28"/>
        <v>0</v>
      </c>
      <c r="N482" s="1">
        <f t="shared" si="29"/>
        <v>0</v>
      </c>
      <c r="O482" s="1">
        <f t="shared" si="30"/>
        <v>0</v>
      </c>
    </row>
    <row r="483" spans="8:15" ht="11.25" customHeight="1" x14ac:dyDescent="0.2">
      <c r="H483" s="10"/>
      <c r="I483" s="10"/>
      <c r="J483" s="10"/>
      <c r="K483" s="10"/>
      <c r="L483" s="1">
        <f t="shared" si="27"/>
        <v>0</v>
      </c>
      <c r="M483" s="1">
        <f t="shared" si="28"/>
        <v>0</v>
      </c>
      <c r="N483" s="1">
        <f t="shared" si="29"/>
        <v>0</v>
      </c>
      <c r="O483" s="1">
        <f t="shared" si="30"/>
        <v>0</v>
      </c>
    </row>
    <row r="484" spans="8:15" ht="11.25" customHeight="1" x14ac:dyDescent="0.2">
      <c r="H484" s="10"/>
      <c r="I484" s="10"/>
      <c r="J484" s="10"/>
      <c r="K484" s="10"/>
      <c r="L484" s="1">
        <f t="shared" si="27"/>
        <v>0</v>
      </c>
      <c r="M484" s="1">
        <f t="shared" si="28"/>
        <v>0</v>
      </c>
      <c r="N484" s="1">
        <f t="shared" si="29"/>
        <v>0</v>
      </c>
      <c r="O484" s="1">
        <f t="shared" si="30"/>
        <v>0</v>
      </c>
    </row>
    <row r="485" spans="8:15" ht="11.25" customHeight="1" x14ac:dyDescent="0.2">
      <c r="H485" s="10"/>
      <c r="I485" s="10"/>
      <c r="J485" s="10"/>
      <c r="K485" s="10"/>
      <c r="L485" s="1">
        <f t="shared" si="27"/>
        <v>0</v>
      </c>
      <c r="M485" s="1">
        <f t="shared" si="28"/>
        <v>0</v>
      </c>
      <c r="N485" s="1">
        <f t="shared" si="29"/>
        <v>0</v>
      </c>
      <c r="O485" s="1">
        <f t="shared" si="30"/>
        <v>0</v>
      </c>
    </row>
    <row r="486" spans="8:15" ht="11.25" customHeight="1" x14ac:dyDescent="0.2">
      <c r="H486" s="10"/>
      <c r="I486" s="10"/>
      <c r="J486" s="10"/>
      <c r="K486" s="10"/>
      <c r="L486" s="1">
        <f t="shared" si="27"/>
        <v>0</v>
      </c>
      <c r="M486" s="1">
        <f t="shared" si="28"/>
        <v>0</v>
      </c>
      <c r="N486" s="1">
        <f t="shared" si="29"/>
        <v>0</v>
      </c>
      <c r="O486" s="1">
        <f t="shared" si="30"/>
        <v>0</v>
      </c>
    </row>
    <row r="487" spans="8:15" ht="11.25" customHeight="1" x14ac:dyDescent="0.2">
      <c r="H487" s="10"/>
      <c r="I487" s="10"/>
      <c r="J487" s="10"/>
      <c r="K487" s="10"/>
      <c r="L487" s="1">
        <f t="shared" si="27"/>
        <v>0</v>
      </c>
      <c r="M487" s="1">
        <f t="shared" si="28"/>
        <v>0</v>
      </c>
      <c r="N487" s="1">
        <f t="shared" si="29"/>
        <v>0</v>
      </c>
      <c r="O487" s="1">
        <f t="shared" si="30"/>
        <v>0</v>
      </c>
    </row>
    <row r="488" spans="8:15" ht="11.25" customHeight="1" x14ac:dyDescent="0.2">
      <c r="H488" s="10"/>
      <c r="I488" s="10"/>
      <c r="J488" s="10"/>
      <c r="K488" s="10"/>
      <c r="L488" s="1">
        <f t="shared" si="27"/>
        <v>0</v>
      </c>
      <c r="M488" s="1">
        <f t="shared" si="28"/>
        <v>0</v>
      </c>
      <c r="N488" s="1">
        <f t="shared" si="29"/>
        <v>0</v>
      </c>
      <c r="O488" s="1">
        <f t="shared" si="30"/>
        <v>0</v>
      </c>
    </row>
    <row r="489" spans="8:15" ht="11.25" customHeight="1" x14ac:dyDescent="0.2">
      <c r="H489" s="10"/>
      <c r="I489" s="10"/>
      <c r="J489" s="10"/>
      <c r="K489" s="10"/>
      <c r="L489" s="1">
        <f t="shared" si="27"/>
        <v>0</v>
      </c>
      <c r="M489" s="1">
        <f t="shared" si="28"/>
        <v>0</v>
      </c>
      <c r="N489" s="1">
        <f t="shared" si="29"/>
        <v>0</v>
      </c>
      <c r="O489" s="1">
        <f t="shared" si="30"/>
        <v>0</v>
      </c>
    </row>
    <row r="490" spans="8:15" ht="11.25" customHeight="1" x14ac:dyDescent="0.2">
      <c r="H490" s="10"/>
      <c r="I490" s="10"/>
      <c r="J490" s="10"/>
      <c r="K490" s="10"/>
      <c r="L490" s="1">
        <f t="shared" si="27"/>
        <v>0</v>
      </c>
      <c r="M490" s="1">
        <f t="shared" si="28"/>
        <v>0</v>
      </c>
      <c r="N490" s="1">
        <f t="shared" si="29"/>
        <v>0</v>
      </c>
      <c r="O490" s="1">
        <f t="shared" si="30"/>
        <v>0</v>
      </c>
    </row>
    <row r="491" spans="8:15" ht="11.25" customHeight="1" x14ac:dyDescent="0.2">
      <c r="H491" s="10"/>
      <c r="I491" s="10"/>
      <c r="J491" s="10"/>
      <c r="K491" s="10"/>
      <c r="L491" s="1">
        <f t="shared" si="27"/>
        <v>0</v>
      </c>
      <c r="M491" s="1">
        <f t="shared" si="28"/>
        <v>0</v>
      </c>
      <c r="N491" s="1">
        <f t="shared" si="29"/>
        <v>0</v>
      </c>
      <c r="O491" s="1">
        <f t="shared" si="30"/>
        <v>0</v>
      </c>
    </row>
    <row r="492" spans="8:15" ht="11.25" customHeight="1" x14ac:dyDescent="0.2">
      <c r="H492" s="10"/>
      <c r="I492" s="10"/>
      <c r="J492" s="10"/>
      <c r="K492" s="10"/>
      <c r="L492" s="1">
        <f t="shared" si="27"/>
        <v>0</v>
      </c>
      <c r="M492" s="1">
        <f t="shared" si="28"/>
        <v>0</v>
      </c>
      <c r="N492" s="1">
        <f t="shared" si="29"/>
        <v>0</v>
      </c>
      <c r="O492" s="1">
        <f t="shared" si="30"/>
        <v>0</v>
      </c>
    </row>
    <row r="493" spans="8:15" ht="11.25" customHeight="1" x14ac:dyDescent="0.2">
      <c r="H493" s="10"/>
      <c r="I493" s="10"/>
      <c r="J493" s="10"/>
      <c r="K493" s="10"/>
      <c r="L493" s="1">
        <f t="shared" si="27"/>
        <v>0</v>
      </c>
      <c r="M493" s="1">
        <f t="shared" si="28"/>
        <v>0</v>
      </c>
      <c r="N493" s="1">
        <f t="shared" si="29"/>
        <v>0</v>
      </c>
      <c r="O493" s="1">
        <f t="shared" si="30"/>
        <v>0</v>
      </c>
    </row>
    <row r="494" spans="8:15" ht="11.25" customHeight="1" x14ac:dyDescent="0.2">
      <c r="H494" s="10"/>
      <c r="I494" s="10"/>
      <c r="J494" s="10"/>
      <c r="K494" s="10"/>
      <c r="L494" s="1">
        <f t="shared" si="27"/>
        <v>0</v>
      </c>
      <c r="M494" s="1">
        <f t="shared" si="28"/>
        <v>0</v>
      </c>
      <c r="N494" s="1">
        <f t="shared" si="29"/>
        <v>0</v>
      </c>
      <c r="O494" s="1">
        <f t="shared" si="30"/>
        <v>0</v>
      </c>
    </row>
    <row r="495" spans="8:15" ht="11.25" customHeight="1" x14ac:dyDescent="0.2">
      <c r="H495" s="10"/>
      <c r="I495" s="10"/>
      <c r="J495" s="10"/>
      <c r="K495" s="10"/>
      <c r="L495" s="1">
        <f t="shared" si="27"/>
        <v>0</v>
      </c>
      <c r="M495" s="1">
        <f t="shared" si="28"/>
        <v>0</v>
      </c>
      <c r="N495" s="1">
        <f t="shared" si="29"/>
        <v>0</v>
      </c>
      <c r="O495" s="1">
        <f t="shared" si="30"/>
        <v>0</v>
      </c>
    </row>
    <row r="496" spans="8:15" ht="11.25" customHeight="1" x14ac:dyDescent="0.2">
      <c r="H496" s="10"/>
      <c r="I496" s="10"/>
      <c r="J496" s="10"/>
      <c r="K496" s="10"/>
      <c r="L496" s="1">
        <f t="shared" si="27"/>
        <v>0</v>
      </c>
      <c r="M496" s="1">
        <f t="shared" si="28"/>
        <v>0</v>
      </c>
      <c r="N496" s="1">
        <f t="shared" si="29"/>
        <v>0</v>
      </c>
      <c r="O496" s="1">
        <f t="shared" si="30"/>
        <v>0</v>
      </c>
    </row>
    <row r="497" spans="8:15" ht="11.25" customHeight="1" x14ac:dyDescent="0.2">
      <c r="H497" s="10"/>
      <c r="I497" s="10"/>
      <c r="J497" s="10"/>
      <c r="K497" s="10"/>
      <c r="L497" s="1">
        <f t="shared" si="27"/>
        <v>0</v>
      </c>
      <c r="M497" s="1">
        <f t="shared" si="28"/>
        <v>0</v>
      </c>
      <c r="N497" s="1">
        <f t="shared" si="29"/>
        <v>0</v>
      </c>
      <c r="O497" s="1">
        <f t="shared" si="30"/>
        <v>0</v>
      </c>
    </row>
    <row r="498" spans="8:15" ht="11.25" customHeight="1" x14ac:dyDescent="0.2">
      <c r="H498" s="10"/>
      <c r="I498" s="10"/>
      <c r="J498" s="10"/>
      <c r="K498" s="10"/>
      <c r="L498" s="1">
        <f t="shared" si="27"/>
        <v>0</v>
      </c>
      <c r="M498" s="1">
        <f t="shared" si="28"/>
        <v>0</v>
      </c>
      <c r="N498" s="1">
        <f t="shared" si="29"/>
        <v>0</v>
      </c>
      <c r="O498" s="1">
        <f t="shared" si="30"/>
        <v>0</v>
      </c>
    </row>
    <row r="499" spans="8:15" ht="11.25" customHeight="1" x14ac:dyDescent="0.2">
      <c r="H499" s="10"/>
      <c r="I499" s="10"/>
      <c r="J499" s="10"/>
      <c r="K499" s="10"/>
      <c r="L499" s="1">
        <f t="shared" si="27"/>
        <v>0</v>
      </c>
      <c r="M499" s="1">
        <f t="shared" si="28"/>
        <v>0</v>
      </c>
      <c r="N499" s="1">
        <f t="shared" si="29"/>
        <v>0</v>
      </c>
      <c r="O499" s="1">
        <f t="shared" si="30"/>
        <v>0</v>
      </c>
    </row>
    <row r="500" spans="8:15" ht="11.25" customHeight="1" x14ac:dyDescent="0.2">
      <c r="H500" s="10"/>
      <c r="I500" s="10"/>
      <c r="J500" s="10"/>
      <c r="K500" s="10"/>
      <c r="L500" s="1">
        <f t="shared" si="27"/>
        <v>0</v>
      </c>
      <c r="M500" s="1">
        <f t="shared" si="28"/>
        <v>0</v>
      </c>
      <c r="N500" s="1">
        <f t="shared" si="29"/>
        <v>0</v>
      </c>
      <c r="O500" s="1">
        <f t="shared" si="30"/>
        <v>0</v>
      </c>
    </row>
    <row r="501" spans="8:15" ht="11.25" customHeight="1" x14ac:dyDescent="0.2">
      <c r="H501" s="10"/>
      <c r="I501" s="10"/>
      <c r="J501" s="10"/>
      <c r="K501" s="10"/>
      <c r="L501" s="1">
        <f t="shared" si="27"/>
        <v>0</v>
      </c>
      <c r="M501" s="1">
        <f t="shared" si="28"/>
        <v>0</v>
      </c>
      <c r="N501" s="1">
        <f t="shared" si="29"/>
        <v>0</v>
      </c>
      <c r="O501" s="1">
        <f t="shared" si="30"/>
        <v>0</v>
      </c>
    </row>
    <row r="502" spans="8:15" ht="11.25" customHeight="1" x14ac:dyDescent="0.2">
      <c r="H502" s="10"/>
      <c r="I502" s="10"/>
      <c r="J502" s="10"/>
      <c r="K502" s="10"/>
      <c r="L502" s="1">
        <f t="shared" si="27"/>
        <v>0</v>
      </c>
      <c r="M502" s="1">
        <f t="shared" si="28"/>
        <v>0</v>
      </c>
      <c r="N502" s="1">
        <f t="shared" si="29"/>
        <v>0</v>
      </c>
      <c r="O502" s="1">
        <f t="shared" si="30"/>
        <v>0</v>
      </c>
    </row>
    <row r="503" spans="8:15" ht="11.25" customHeight="1" x14ac:dyDescent="0.2">
      <c r="H503" s="10"/>
      <c r="I503" s="10"/>
      <c r="J503" s="10"/>
      <c r="K503" s="10"/>
      <c r="L503" s="1">
        <f t="shared" si="27"/>
        <v>0</v>
      </c>
      <c r="M503" s="1">
        <f t="shared" si="28"/>
        <v>0</v>
      </c>
      <c r="N503" s="1">
        <f t="shared" si="29"/>
        <v>0</v>
      </c>
      <c r="O503" s="1">
        <f t="shared" si="30"/>
        <v>0</v>
      </c>
    </row>
    <row r="504" spans="8:15" ht="11.25" customHeight="1" x14ac:dyDescent="0.2">
      <c r="H504" s="10"/>
      <c r="I504" s="10"/>
      <c r="J504" s="10"/>
      <c r="K504" s="10"/>
      <c r="L504" s="1">
        <f t="shared" si="27"/>
        <v>0</v>
      </c>
      <c r="M504" s="1">
        <f t="shared" si="28"/>
        <v>0</v>
      </c>
      <c r="N504" s="1">
        <f t="shared" si="29"/>
        <v>0</v>
      </c>
      <c r="O504" s="1">
        <f t="shared" si="30"/>
        <v>0</v>
      </c>
    </row>
    <row r="505" spans="8:15" ht="11.25" customHeight="1" x14ac:dyDescent="0.2">
      <c r="H505" s="10"/>
      <c r="I505" s="10"/>
      <c r="J505" s="10"/>
      <c r="K505" s="10"/>
      <c r="L505" s="1">
        <f t="shared" si="27"/>
        <v>0</v>
      </c>
      <c r="M505" s="1">
        <f t="shared" si="28"/>
        <v>0</v>
      </c>
      <c r="N505" s="1">
        <f t="shared" si="29"/>
        <v>0</v>
      </c>
      <c r="O505" s="1">
        <f t="shared" si="30"/>
        <v>0</v>
      </c>
    </row>
    <row r="506" spans="8:15" ht="11.25" customHeight="1" x14ac:dyDescent="0.2">
      <c r="H506" s="10"/>
      <c r="I506" s="10"/>
      <c r="J506" s="10"/>
      <c r="K506" s="10"/>
      <c r="L506" s="1">
        <f t="shared" si="27"/>
        <v>0</v>
      </c>
      <c r="M506" s="1">
        <f t="shared" si="28"/>
        <v>0</v>
      </c>
      <c r="N506" s="1">
        <f t="shared" si="29"/>
        <v>0</v>
      </c>
      <c r="O506" s="1">
        <f t="shared" si="30"/>
        <v>0</v>
      </c>
    </row>
    <row r="507" spans="8:15" ht="11.25" customHeight="1" x14ac:dyDescent="0.2">
      <c r="H507" s="10"/>
      <c r="I507" s="10"/>
      <c r="J507" s="10"/>
      <c r="K507" s="10"/>
      <c r="L507" s="1">
        <f t="shared" si="27"/>
        <v>0</v>
      </c>
      <c r="M507" s="1">
        <f t="shared" si="28"/>
        <v>0</v>
      </c>
      <c r="N507" s="1">
        <f t="shared" si="29"/>
        <v>0</v>
      </c>
      <c r="O507" s="1">
        <f t="shared" si="30"/>
        <v>0</v>
      </c>
    </row>
    <row r="508" spans="8:15" ht="11.25" customHeight="1" x14ac:dyDescent="0.2">
      <c r="H508" s="10"/>
      <c r="I508" s="10"/>
      <c r="J508" s="10"/>
      <c r="K508" s="10"/>
      <c r="L508" s="1">
        <f t="shared" ref="L508:L571" si="31">IF($M$57,H508,J508)</f>
        <v>0</v>
      </c>
      <c r="M508" s="1">
        <f t="shared" ref="M508:M571" si="32">IF($M$57,I508,K508)</f>
        <v>0</v>
      </c>
      <c r="N508" s="1">
        <f t="shared" ref="N508:N571" si="33">IF($M$57,J508,H508)</f>
        <v>0</v>
      </c>
      <c r="O508" s="1">
        <f t="shared" ref="O508:O571" si="34">IF($M$57,K508,I508)</f>
        <v>0</v>
      </c>
    </row>
    <row r="509" spans="8:15" ht="11.25" customHeight="1" x14ac:dyDescent="0.2">
      <c r="H509" s="10"/>
      <c r="I509" s="10"/>
      <c r="J509" s="10"/>
      <c r="K509" s="10"/>
      <c r="L509" s="1">
        <f t="shared" si="31"/>
        <v>0</v>
      </c>
      <c r="M509" s="1">
        <f t="shared" si="32"/>
        <v>0</v>
      </c>
      <c r="N509" s="1">
        <f t="shared" si="33"/>
        <v>0</v>
      </c>
      <c r="O509" s="1">
        <f t="shared" si="34"/>
        <v>0</v>
      </c>
    </row>
    <row r="510" spans="8:15" ht="11.25" customHeight="1" x14ac:dyDescent="0.2">
      <c r="H510" s="10"/>
      <c r="I510" s="10"/>
      <c r="J510" s="10"/>
      <c r="K510" s="10"/>
      <c r="L510" s="1">
        <f t="shared" si="31"/>
        <v>0</v>
      </c>
      <c r="M510" s="1">
        <f t="shared" si="32"/>
        <v>0</v>
      </c>
      <c r="N510" s="1">
        <f t="shared" si="33"/>
        <v>0</v>
      </c>
      <c r="O510" s="1">
        <f t="shared" si="34"/>
        <v>0</v>
      </c>
    </row>
    <row r="511" spans="8:15" ht="11.25" customHeight="1" x14ac:dyDescent="0.2">
      <c r="H511" s="10"/>
      <c r="I511" s="10"/>
      <c r="J511" s="10"/>
      <c r="K511" s="10"/>
      <c r="L511" s="1">
        <f t="shared" si="31"/>
        <v>0</v>
      </c>
      <c r="M511" s="1">
        <f t="shared" si="32"/>
        <v>0</v>
      </c>
      <c r="N511" s="1">
        <f t="shared" si="33"/>
        <v>0</v>
      </c>
      <c r="O511" s="1">
        <f t="shared" si="34"/>
        <v>0</v>
      </c>
    </row>
    <row r="512" spans="8:15" ht="11.25" customHeight="1" x14ac:dyDescent="0.2">
      <c r="H512" s="10"/>
      <c r="I512" s="10"/>
      <c r="J512" s="10"/>
      <c r="K512" s="10"/>
      <c r="L512" s="1">
        <f t="shared" si="31"/>
        <v>0</v>
      </c>
      <c r="M512" s="1">
        <f t="shared" si="32"/>
        <v>0</v>
      </c>
      <c r="N512" s="1">
        <f t="shared" si="33"/>
        <v>0</v>
      </c>
      <c r="O512" s="1">
        <f t="shared" si="34"/>
        <v>0</v>
      </c>
    </row>
    <row r="513" spans="8:15" ht="11.25" customHeight="1" x14ac:dyDescent="0.2">
      <c r="H513" s="10"/>
      <c r="I513" s="10"/>
      <c r="J513" s="10"/>
      <c r="K513" s="10"/>
      <c r="L513" s="1">
        <f t="shared" si="31"/>
        <v>0</v>
      </c>
      <c r="M513" s="1">
        <f t="shared" si="32"/>
        <v>0</v>
      </c>
      <c r="N513" s="1">
        <f t="shared" si="33"/>
        <v>0</v>
      </c>
      <c r="O513" s="1">
        <f t="shared" si="34"/>
        <v>0</v>
      </c>
    </row>
    <row r="514" spans="8:15" ht="11.25" customHeight="1" x14ac:dyDescent="0.2">
      <c r="H514" s="10"/>
      <c r="I514" s="10"/>
      <c r="J514" s="10"/>
      <c r="K514" s="10"/>
      <c r="L514" s="1">
        <f t="shared" si="31"/>
        <v>0</v>
      </c>
      <c r="M514" s="1">
        <f t="shared" si="32"/>
        <v>0</v>
      </c>
      <c r="N514" s="1">
        <f t="shared" si="33"/>
        <v>0</v>
      </c>
      <c r="O514" s="1">
        <f t="shared" si="34"/>
        <v>0</v>
      </c>
    </row>
    <row r="515" spans="8:15" ht="11.25" customHeight="1" x14ac:dyDescent="0.2">
      <c r="H515" s="10"/>
      <c r="I515" s="10"/>
      <c r="J515" s="10"/>
      <c r="K515" s="10"/>
      <c r="L515" s="1">
        <f t="shared" si="31"/>
        <v>0</v>
      </c>
      <c r="M515" s="1">
        <f t="shared" si="32"/>
        <v>0</v>
      </c>
      <c r="N515" s="1">
        <f t="shared" si="33"/>
        <v>0</v>
      </c>
      <c r="O515" s="1">
        <f t="shared" si="34"/>
        <v>0</v>
      </c>
    </row>
    <row r="516" spans="8:15" ht="11.25" customHeight="1" x14ac:dyDescent="0.2">
      <c r="H516" s="10"/>
      <c r="I516" s="10"/>
      <c r="J516" s="10"/>
      <c r="K516" s="10"/>
      <c r="L516" s="1">
        <f t="shared" si="31"/>
        <v>0</v>
      </c>
      <c r="M516" s="1">
        <f t="shared" si="32"/>
        <v>0</v>
      </c>
      <c r="N516" s="1">
        <f t="shared" si="33"/>
        <v>0</v>
      </c>
      <c r="O516" s="1">
        <f t="shared" si="34"/>
        <v>0</v>
      </c>
    </row>
    <row r="517" spans="8:15" ht="11.25" customHeight="1" x14ac:dyDescent="0.2">
      <c r="H517" s="10"/>
      <c r="I517" s="10"/>
      <c r="J517" s="10"/>
      <c r="K517" s="10"/>
      <c r="L517" s="1">
        <f t="shared" si="31"/>
        <v>0</v>
      </c>
      <c r="M517" s="1">
        <f t="shared" si="32"/>
        <v>0</v>
      </c>
      <c r="N517" s="1">
        <f t="shared" si="33"/>
        <v>0</v>
      </c>
      <c r="O517" s="1">
        <f t="shared" si="34"/>
        <v>0</v>
      </c>
    </row>
    <row r="518" spans="8:15" ht="11.25" customHeight="1" x14ac:dyDescent="0.2">
      <c r="H518" s="10"/>
      <c r="I518" s="10"/>
      <c r="J518" s="10"/>
      <c r="K518" s="10"/>
      <c r="L518" s="1">
        <f t="shared" si="31"/>
        <v>0</v>
      </c>
      <c r="M518" s="1">
        <f t="shared" si="32"/>
        <v>0</v>
      </c>
      <c r="N518" s="1">
        <f t="shared" si="33"/>
        <v>0</v>
      </c>
      <c r="O518" s="1">
        <f t="shared" si="34"/>
        <v>0</v>
      </c>
    </row>
    <row r="519" spans="8:15" ht="11.25" customHeight="1" x14ac:dyDescent="0.2">
      <c r="H519" s="10"/>
      <c r="I519" s="10"/>
      <c r="J519" s="10"/>
      <c r="K519" s="10"/>
      <c r="L519" s="1">
        <f t="shared" si="31"/>
        <v>0</v>
      </c>
      <c r="M519" s="1">
        <f t="shared" si="32"/>
        <v>0</v>
      </c>
      <c r="N519" s="1">
        <f t="shared" si="33"/>
        <v>0</v>
      </c>
      <c r="O519" s="1">
        <f t="shared" si="34"/>
        <v>0</v>
      </c>
    </row>
    <row r="520" spans="8:15" ht="11.25" customHeight="1" x14ac:dyDescent="0.2">
      <c r="H520" s="10"/>
      <c r="I520" s="10"/>
      <c r="J520" s="10"/>
      <c r="K520" s="10"/>
      <c r="L520" s="1">
        <f t="shared" si="31"/>
        <v>0</v>
      </c>
      <c r="M520" s="1">
        <f t="shared" si="32"/>
        <v>0</v>
      </c>
      <c r="N520" s="1">
        <f t="shared" si="33"/>
        <v>0</v>
      </c>
      <c r="O520" s="1">
        <f t="shared" si="34"/>
        <v>0</v>
      </c>
    </row>
    <row r="521" spans="8:15" ht="11.25" customHeight="1" x14ac:dyDescent="0.2">
      <c r="H521" s="10"/>
      <c r="I521" s="10"/>
      <c r="J521" s="10"/>
      <c r="K521" s="10"/>
      <c r="L521" s="1">
        <f t="shared" si="31"/>
        <v>0</v>
      </c>
      <c r="M521" s="1">
        <f t="shared" si="32"/>
        <v>0</v>
      </c>
      <c r="N521" s="1">
        <f t="shared" si="33"/>
        <v>0</v>
      </c>
      <c r="O521" s="1">
        <f t="shared" si="34"/>
        <v>0</v>
      </c>
    </row>
    <row r="522" spans="8:15" ht="11.25" customHeight="1" x14ac:dyDescent="0.2">
      <c r="H522" s="10"/>
      <c r="I522" s="10"/>
      <c r="J522" s="10"/>
      <c r="K522" s="10"/>
      <c r="L522" s="1">
        <f t="shared" si="31"/>
        <v>0</v>
      </c>
      <c r="M522" s="1">
        <f t="shared" si="32"/>
        <v>0</v>
      </c>
      <c r="N522" s="1">
        <f t="shared" si="33"/>
        <v>0</v>
      </c>
      <c r="O522" s="1">
        <f t="shared" si="34"/>
        <v>0</v>
      </c>
    </row>
    <row r="523" spans="8:15" ht="11.25" customHeight="1" x14ac:dyDescent="0.2">
      <c r="H523" s="10"/>
      <c r="I523" s="10"/>
      <c r="J523" s="10"/>
      <c r="K523" s="10"/>
      <c r="L523" s="1">
        <f t="shared" si="31"/>
        <v>0</v>
      </c>
      <c r="M523" s="1">
        <f t="shared" si="32"/>
        <v>0</v>
      </c>
      <c r="N523" s="1">
        <f t="shared" si="33"/>
        <v>0</v>
      </c>
      <c r="O523" s="1">
        <f t="shared" si="34"/>
        <v>0</v>
      </c>
    </row>
    <row r="524" spans="8:15" ht="11.25" customHeight="1" x14ac:dyDescent="0.2">
      <c r="H524" s="10"/>
      <c r="I524" s="10"/>
      <c r="J524" s="10"/>
      <c r="K524" s="10"/>
      <c r="L524" s="1">
        <f t="shared" si="31"/>
        <v>0</v>
      </c>
      <c r="M524" s="1">
        <f t="shared" si="32"/>
        <v>0</v>
      </c>
      <c r="N524" s="1">
        <f t="shared" si="33"/>
        <v>0</v>
      </c>
      <c r="O524" s="1">
        <f t="shared" si="34"/>
        <v>0</v>
      </c>
    </row>
    <row r="525" spans="8:15" ht="11.25" customHeight="1" x14ac:dyDescent="0.2">
      <c r="H525" s="10"/>
      <c r="I525" s="10"/>
      <c r="J525" s="10"/>
      <c r="K525" s="10"/>
      <c r="L525" s="1">
        <f t="shared" si="31"/>
        <v>0</v>
      </c>
      <c r="M525" s="1">
        <f t="shared" si="32"/>
        <v>0</v>
      </c>
      <c r="N525" s="1">
        <f t="shared" si="33"/>
        <v>0</v>
      </c>
      <c r="O525" s="1">
        <f t="shared" si="34"/>
        <v>0</v>
      </c>
    </row>
    <row r="526" spans="8:15" ht="11.25" customHeight="1" x14ac:dyDescent="0.2">
      <c r="H526" s="10"/>
      <c r="I526" s="10"/>
      <c r="J526" s="10"/>
      <c r="K526" s="10"/>
      <c r="L526" s="1">
        <f t="shared" si="31"/>
        <v>0</v>
      </c>
      <c r="M526" s="1">
        <f t="shared" si="32"/>
        <v>0</v>
      </c>
      <c r="N526" s="1">
        <f t="shared" si="33"/>
        <v>0</v>
      </c>
      <c r="O526" s="1">
        <f t="shared" si="34"/>
        <v>0</v>
      </c>
    </row>
    <row r="527" spans="8:15" ht="11.25" customHeight="1" x14ac:dyDescent="0.2">
      <c r="H527" s="10"/>
      <c r="I527" s="10"/>
      <c r="J527" s="10"/>
      <c r="K527" s="10"/>
      <c r="L527" s="1">
        <f t="shared" si="31"/>
        <v>0</v>
      </c>
      <c r="M527" s="1">
        <f t="shared" si="32"/>
        <v>0</v>
      </c>
      <c r="N527" s="1">
        <f t="shared" si="33"/>
        <v>0</v>
      </c>
      <c r="O527" s="1">
        <f t="shared" si="34"/>
        <v>0</v>
      </c>
    </row>
    <row r="528" spans="8:15" ht="11.25" customHeight="1" x14ac:dyDescent="0.2">
      <c r="H528" s="10"/>
      <c r="I528" s="10"/>
      <c r="J528" s="10"/>
      <c r="K528" s="10"/>
      <c r="L528" s="1">
        <f t="shared" si="31"/>
        <v>0</v>
      </c>
      <c r="M528" s="1">
        <f t="shared" si="32"/>
        <v>0</v>
      </c>
      <c r="N528" s="1">
        <f t="shared" si="33"/>
        <v>0</v>
      </c>
      <c r="O528" s="1">
        <f t="shared" si="34"/>
        <v>0</v>
      </c>
    </row>
    <row r="529" spans="8:15" ht="11.25" customHeight="1" x14ac:dyDescent="0.2">
      <c r="H529" s="10"/>
      <c r="I529" s="10"/>
      <c r="J529" s="10"/>
      <c r="K529" s="10"/>
      <c r="L529" s="1">
        <f t="shared" si="31"/>
        <v>0</v>
      </c>
      <c r="M529" s="1">
        <f t="shared" si="32"/>
        <v>0</v>
      </c>
      <c r="N529" s="1">
        <f t="shared" si="33"/>
        <v>0</v>
      </c>
      <c r="O529" s="1">
        <f t="shared" si="34"/>
        <v>0</v>
      </c>
    </row>
    <row r="530" spans="8:15" ht="11.25" customHeight="1" x14ac:dyDescent="0.2">
      <c r="H530" s="10"/>
      <c r="I530" s="10"/>
      <c r="J530" s="10"/>
      <c r="K530" s="10"/>
      <c r="L530" s="1">
        <f t="shared" si="31"/>
        <v>0</v>
      </c>
      <c r="M530" s="1">
        <f t="shared" si="32"/>
        <v>0</v>
      </c>
      <c r="N530" s="1">
        <f t="shared" si="33"/>
        <v>0</v>
      </c>
      <c r="O530" s="1">
        <f t="shared" si="34"/>
        <v>0</v>
      </c>
    </row>
    <row r="531" spans="8:15" ht="11.25" customHeight="1" x14ac:dyDescent="0.2">
      <c r="H531" s="10"/>
      <c r="I531" s="10"/>
      <c r="J531" s="10"/>
      <c r="K531" s="10"/>
      <c r="L531" s="1">
        <f t="shared" si="31"/>
        <v>0</v>
      </c>
      <c r="M531" s="1">
        <f t="shared" si="32"/>
        <v>0</v>
      </c>
      <c r="N531" s="1">
        <f t="shared" si="33"/>
        <v>0</v>
      </c>
      <c r="O531" s="1">
        <f t="shared" si="34"/>
        <v>0</v>
      </c>
    </row>
    <row r="532" spans="8:15" ht="11.25" customHeight="1" x14ac:dyDescent="0.2">
      <c r="H532" s="10"/>
      <c r="I532" s="10"/>
      <c r="J532" s="10"/>
      <c r="K532" s="10"/>
      <c r="L532" s="1">
        <f t="shared" si="31"/>
        <v>0</v>
      </c>
      <c r="M532" s="1">
        <f t="shared" si="32"/>
        <v>0</v>
      </c>
      <c r="N532" s="1">
        <f t="shared" si="33"/>
        <v>0</v>
      </c>
      <c r="O532" s="1">
        <f t="shared" si="34"/>
        <v>0</v>
      </c>
    </row>
    <row r="533" spans="8:15" ht="11.25" customHeight="1" x14ac:dyDescent="0.2">
      <c r="H533" s="10"/>
      <c r="I533" s="10"/>
      <c r="J533" s="10"/>
      <c r="K533" s="10"/>
      <c r="L533" s="1">
        <f t="shared" si="31"/>
        <v>0</v>
      </c>
      <c r="M533" s="1">
        <f t="shared" si="32"/>
        <v>0</v>
      </c>
      <c r="N533" s="1">
        <f t="shared" si="33"/>
        <v>0</v>
      </c>
      <c r="O533" s="1">
        <f t="shared" si="34"/>
        <v>0</v>
      </c>
    </row>
    <row r="534" spans="8:15" ht="11.25" customHeight="1" x14ac:dyDescent="0.2">
      <c r="H534" s="10"/>
      <c r="I534" s="10"/>
      <c r="J534" s="10"/>
      <c r="K534" s="10"/>
      <c r="L534" s="1">
        <f t="shared" si="31"/>
        <v>0</v>
      </c>
      <c r="M534" s="1">
        <f t="shared" si="32"/>
        <v>0</v>
      </c>
      <c r="N534" s="1">
        <f t="shared" si="33"/>
        <v>0</v>
      </c>
      <c r="O534" s="1">
        <f t="shared" si="34"/>
        <v>0</v>
      </c>
    </row>
    <row r="535" spans="8:15" ht="11.25" customHeight="1" x14ac:dyDescent="0.2">
      <c r="H535" s="10"/>
      <c r="I535" s="10"/>
      <c r="J535" s="10"/>
      <c r="K535" s="10"/>
      <c r="L535" s="1">
        <f t="shared" si="31"/>
        <v>0</v>
      </c>
      <c r="M535" s="1">
        <f t="shared" si="32"/>
        <v>0</v>
      </c>
      <c r="N535" s="1">
        <f t="shared" si="33"/>
        <v>0</v>
      </c>
      <c r="O535" s="1">
        <f t="shared" si="34"/>
        <v>0</v>
      </c>
    </row>
    <row r="536" spans="8:15" ht="11.25" customHeight="1" x14ac:dyDescent="0.2">
      <c r="H536" s="10"/>
      <c r="I536" s="10"/>
      <c r="J536" s="10"/>
      <c r="K536" s="10"/>
      <c r="L536" s="1">
        <f t="shared" si="31"/>
        <v>0</v>
      </c>
      <c r="M536" s="1">
        <f t="shared" si="32"/>
        <v>0</v>
      </c>
      <c r="N536" s="1">
        <f t="shared" si="33"/>
        <v>0</v>
      </c>
      <c r="O536" s="1">
        <f t="shared" si="34"/>
        <v>0</v>
      </c>
    </row>
    <row r="537" spans="8:15" ht="11.25" customHeight="1" x14ac:dyDescent="0.2">
      <c r="H537" s="10"/>
      <c r="I537" s="10"/>
      <c r="J537" s="10"/>
      <c r="K537" s="10"/>
      <c r="L537" s="1">
        <f t="shared" si="31"/>
        <v>0</v>
      </c>
      <c r="M537" s="1">
        <f t="shared" si="32"/>
        <v>0</v>
      </c>
      <c r="N537" s="1">
        <f t="shared" si="33"/>
        <v>0</v>
      </c>
      <c r="O537" s="1">
        <f t="shared" si="34"/>
        <v>0</v>
      </c>
    </row>
    <row r="538" spans="8:15" ht="11.25" customHeight="1" x14ac:dyDescent="0.2">
      <c r="H538" s="10"/>
      <c r="I538" s="10"/>
      <c r="J538" s="10"/>
      <c r="K538" s="10"/>
      <c r="L538" s="1">
        <f t="shared" si="31"/>
        <v>0</v>
      </c>
      <c r="M538" s="1">
        <f t="shared" si="32"/>
        <v>0</v>
      </c>
      <c r="N538" s="1">
        <f t="shared" si="33"/>
        <v>0</v>
      </c>
      <c r="O538" s="1">
        <f t="shared" si="34"/>
        <v>0</v>
      </c>
    </row>
    <row r="539" spans="8:15" ht="11.25" customHeight="1" x14ac:dyDescent="0.2">
      <c r="H539" s="10"/>
      <c r="I539" s="10"/>
      <c r="J539" s="10"/>
      <c r="K539" s="10"/>
      <c r="L539" s="1">
        <f t="shared" si="31"/>
        <v>0</v>
      </c>
      <c r="M539" s="1">
        <f t="shared" si="32"/>
        <v>0</v>
      </c>
      <c r="N539" s="1">
        <f t="shared" si="33"/>
        <v>0</v>
      </c>
      <c r="O539" s="1">
        <f t="shared" si="34"/>
        <v>0</v>
      </c>
    </row>
    <row r="540" spans="8:15" ht="11.25" customHeight="1" x14ac:dyDescent="0.2">
      <c r="H540" s="10"/>
      <c r="I540" s="10"/>
      <c r="J540" s="10"/>
      <c r="K540" s="10"/>
      <c r="L540" s="1">
        <f t="shared" si="31"/>
        <v>0</v>
      </c>
      <c r="M540" s="1">
        <f t="shared" si="32"/>
        <v>0</v>
      </c>
      <c r="N540" s="1">
        <f t="shared" si="33"/>
        <v>0</v>
      </c>
      <c r="O540" s="1">
        <f t="shared" si="34"/>
        <v>0</v>
      </c>
    </row>
    <row r="541" spans="8:15" ht="11.25" customHeight="1" x14ac:dyDescent="0.2">
      <c r="H541" s="10"/>
      <c r="I541" s="10"/>
      <c r="J541" s="10"/>
      <c r="K541" s="10"/>
      <c r="L541" s="1">
        <f t="shared" si="31"/>
        <v>0</v>
      </c>
      <c r="M541" s="1">
        <f t="shared" si="32"/>
        <v>0</v>
      </c>
      <c r="N541" s="1">
        <f t="shared" si="33"/>
        <v>0</v>
      </c>
      <c r="O541" s="1">
        <f t="shared" si="34"/>
        <v>0</v>
      </c>
    </row>
    <row r="542" spans="8:15" ht="11.25" customHeight="1" x14ac:dyDescent="0.2">
      <c r="H542" s="10"/>
      <c r="I542" s="10"/>
      <c r="J542" s="10"/>
      <c r="K542" s="10"/>
      <c r="L542" s="1">
        <f t="shared" si="31"/>
        <v>0</v>
      </c>
      <c r="M542" s="1">
        <f t="shared" si="32"/>
        <v>0</v>
      </c>
      <c r="N542" s="1">
        <f t="shared" si="33"/>
        <v>0</v>
      </c>
      <c r="O542" s="1">
        <f t="shared" si="34"/>
        <v>0</v>
      </c>
    </row>
    <row r="543" spans="8:15" ht="11.25" customHeight="1" x14ac:dyDescent="0.2">
      <c r="H543" s="10"/>
      <c r="I543" s="10"/>
      <c r="J543" s="10"/>
      <c r="K543" s="10"/>
      <c r="L543" s="1">
        <f t="shared" si="31"/>
        <v>0</v>
      </c>
      <c r="M543" s="1">
        <f t="shared" si="32"/>
        <v>0</v>
      </c>
      <c r="N543" s="1">
        <f t="shared" si="33"/>
        <v>0</v>
      </c>
      <c r="O543" s="1">
        <f t="shared" si="34"/>
        <v>0</v>
      </c>
    </row>
    <row r="544" spans="8:15" ht="11.25" customHeight="1" x14ac:dyDescent="0.2">
      <c r="H544" s="10"/>
      <c r="I544" s="10"/>
      <c r="J544" s="10"/>
      <c r="K544" s="10"/>
      <c r="L544" s="1">
        <f t="shared" si="31"/>
        <v>0</v>
      </c>
      <c r="M544" s="1">
        <f t="shared" si="32"/>
        <v>0</v>
      </c>
      <c r="N544" s="1">
        <f t="shared" si="33"/>
        <v>0</v>
      </c>
      <c r="O544" s="1">
        <f t="shared" si="34"/>
        <v>0</v>
      </c>
    </row>
    <row r="545" spans="8:15" ht="11.25" customHeight="1" x14ac:dyDescent="0.2">
      <c r="H545" s="10"/>
      <c r="I545" s="10"/>
      <c r="J545" s="10"/>
      <c r="K545" s="10"/>
      <c r="L545" s="1">
        <f t="shared" si="31"/>
        <v>0</v>
      </c>
      <c r="M545" s="1">
        <f t="shared" si="32"/>
        <v>0</v>
      </c>
      <c r="N545" s="1">
        <f t="shared" si="33"/>
        <v>0</v>
      </c>
      <c r="O545" s="1">
        <f t="shared" si="34"/>
        <v>0</v>
      </c>
    </row>
    <row r="546" spans="8:15" ht="11.25" customHeight="1" x14ac:dyDescent="0.2">
      <c r="H546" s="10"/>
      <c r="I546" s="10"/>
      <c r="J546" s="10"/>
      <c r="K546" s="10"/>
      <c r="L546" s="1">
        <f t="shared" si="31"/>
        <v>0</v>
      </c>
      <c r="M546" s="1">
        <f t="shared" si="32"/>
        <v>0</v>
      </c>
      <c r="N546" s="1">
        <f t="shared" si="33"/>
        <v>0</v>
      </c>
      <c r="O546" s="1">
        <f t="shared" si="34"/>
        <v>0</v>
      </c>
    </row>
    <row r="547" spans="8:15" ht="11.25" customHeight="1" x14ac:dyDescent="0.2">
      <c r="H547" s="10"/>
      <c r="I547" s="10"/>
      <c r="J547" s="10"/>
      <c r="K547" s="10"/>
      <c r="L547" s="1">
        <f t="shared" si="31"/>
        <v>0</v>
      </c>
      <c r="M547" s="1">
        <f t="shared" si="32"/>
        <v>0</v>
      </c>
      <c r="N547" s="1">
        <f t="shared" si="33"/>
        <v>0</v>
      </c>
      <c r="O547" s="1">
        <f t="shared" si="34"/>
        <v>0</v>
      </c>
    </row>
    <row r="548" spans="8:15" ht="11.25" customHeight="1" x14ac:dyDescent="0.2">
      <c r="H548" s="10"/>
      <c r="I548" s="10"/>
      <c r="J548" s="10"/>
      <c r="K548" s="10"/>
      <c r="L548" s="1">
        <f t="shared" si="31"/>
        <v>0</v>
      </c>
      <c r="M548" s="1">
        <f t="shared" si="32"/>
        <v>0</v>
      </c>
      <c r="N548" s="1">
        <f t="shared" si="33"/>
        <v>0</v>
      </c>
      <c r="O548" s="1">
        <f t="shared" si="34"/>
        <v>0</v>
      </c>
    </row>
    <row r="549" spans="8:15" ht="11.25" customHeight="1" x14ac:dyDescent="0.2">
      <c r="H549" s="10"/>
      <c r="I549" s="10"/>
      <c r="J549" s="10"/>
      <c r="K549" s="10"/>
      <c r="L549" s="1">
        <f t="shared" si="31"/>
        <v>0</v>
      </c>
      <c r="M549" s="1">
        <f t="shared" si="32"/>
        <v>0</v>
      </c>
      <c r="N549" s="1">
        <f t="shared" si="33"/>
        <v>0</v>
      </c>
      <c r="O549" s="1">
        <f t="shared" si="34"/>
        <v>0</v>
      </c>
    </row>
    <row r="550" spans="8:15" ht="11.25" customHeight="1" x14ac:dyDescent="0.2">
      <c r="H550" s="10"/>
      <c r="I550" s="10"/>
      <c r="J550" s="10"/>
      <c r="K550" s="10"/>
      <c r="L550" s="1">
        <f t="shared" si="31"/>
        <v>0</v>
      </c>
      <c r="M550" s="1">
        <f t="shared" si="32"/>
        <v>0</v>
      </c>
      <c r="N550" s="1">
        <f t="shared" si="33"/>
        <v>0</v>
      </c>
      <c r="O550" s="1">
        <f t="shared" si="34"/>
        <v>0</v>
      </c>
    </row>
    <row r="551" spans="8:15" ht="11.25" customHeight="1" x14ac:dyDescent="0.2">
      <c r="H551" s="10"/>
      <c r="I551" s="10"/>
      <c r="J551" s="10"/>
      <c r="K551" s="10"/>
      <c r="L551" s="1">
        <f t="shared" si="31"/>
        <v>0</v>
      </c>
      <c r="M551" s="1">
        <f t="shared" si="32"/>
        <v>0</v>
      </c>
      <c r="N551" s="1">
        <f t="shared" si="33"/>
        <v>0</v>
      </c>
      <c r="O551" s="1">
        <f t="shared" si="34"/>
        <v>0</v>
      </c>
    </row>
    <row r="552" spans="8:15" ht="11.25" customHeight="1" x14ac:dyDescent="0.2">
      <c r="H552" s="10"/>
      <c r="I552" s="10"/>
      <c r="J552" s="10"/>
      <c r="K552" s="10"/>
      <c r="L552" s="1">
        <f t="shared" si="31"/>
        <v>0</v>
      </c>
      <c r="M552" s="1">
        <f t="shared" si="32"/>
        <v>0</v>
      </c>
      <c r="N552" s="1">
        <f t="shared" si="33"/>
        <v>0</v>
      </c>
      <c r="O552" s="1">
        <f t="shared" si="34"/>
        <v>0</v>
      </c>
    </row>
    <row r="553" spans="8:15" ht="11.25" customHeight="1" x14ac:dyDescent="0.2">
      <c r="H553" s="10"/>
      <c r="I553" s="10"/>
      <c r="J553" s="10"/>
      <c r="K553" s="10"/>
      <c r="L553" s="1">
        <f t="shared" si="31"/>
        <v>0</v>
      </c>
      <c r="M553" s="1">
        <f t="shared" si="32"/>
        <v>0</v>
      </c>
      <c r="N553" s="1">
        <f t="shared" si="33"/>
        <v>0</v>
      </c>
      <c r="O553" s="1">
        <f t="shared" si="34"/>
        <v>0</v>
      </c>
    </row>
    <row r="554" spans="8:15" ht="11.25" customHeight="1" x14ac:dyDescent="0.2">
      <c r="H554" s="10"/>
      <c r="I554" s="10"/>
      <c r="J554" s="10"/>
      <c r="K554" s="10"/>
      <c r="L554" s="1">
        <f t="shared" si="31"/>
        <v>0</v>
      </c>
      <c r="M554" s="1">
        <f t="shared" si="32"/>
        <v>0</v>
      </c>
      <c r="N554" s="1">
        <f t="shared" si="33"/>
        <v>0</v>
      </c>
      <c r="O554" s="1">
        <f t="shared" si="34"/>
        <v>0</v>
      </c>
    </row>
    <row r="555" spans="8:15" ht="11.25" customHeight="1" x14ac:dyDescent="0.2">
      <c r="H555" s="10"/>
      <c r="I555" s="10"/>
      <c r="J555" s="10"/>
      <c r="K555" s="10"/>
      <c r="L555" s="1">
        <f t="shared" si="31"/>
        <v>0</v>
      </c>
      <c r="M555" s="1">
        <f t="shared" si="32"/>
        <v>0</v>
      </c>
      <c r="N555" s="1">
        <f t="shared" si="33"/>
        <v>0</v>
      </c>
      <c r="O555" s="1">
        <f t="shared" si="34"/>
        <v>0</v>
      </c>
    </row>
    <row r="556" spans="8:15" ht="11.25" customHeight="1" x14ac:dyDescent="0.2">
      <c r="H556" s="10"/>
      <c r="I556" s="10"/>
      <c r="J556" s="10"/>
      <c r="K556" s="10"/>
      <c r="L556" s="1">
        <f t="shared" si="31"/>
        <v>0</v>
      </c>
      <c r="M556" s="1">
        <f t="shared" si="32"/>
        <v>0</v>
      </c>
      <c r="N556" s="1">
        <f t="shared" si="33"/>
        <v>0</v>
      </c>
      <c r="O556" s="1">
        <f t="shared" si="34"/>
        <v>0</v>
      </c>
    </row>
    <row r="557" spans="8:15" ht="11.25" customHeight="1" x14ac:dyDescent="0.2">
      <c r="H557" s="10"/>
      <c r="I557" s="10"/>
      <c r="J557" s="10"/>
      <c r="K557" s="10"/>
      <c r="L557" s="1">
        <f t="shared" si="31"/>
        <v>0</v>
      </c>
      <c r="M557" s="1">
        <f t="shared" si="32"/>
        <v>0</v>
      </c>
      <c r="N557" s="1">
        <f t="shared" si="33"/>
        <v>0</v>
      </c>
      <c r="O557" s="1">
        <f t="shared" si="34"/>
        <v>0</v>
      </c>
    </row>
    <row r="558" spans="8:15" ht="11.25" customHeight="1" x14ac:dyDescent="0.2">
      <c r="H558" s="10"/>
      <c r="I558" s="10"/>
      <c r="J558" s="10"/>
      <c r="K558" s="10"/>
      <c r="L558" s="1">
        <f t="shared" si="31"/>
        <v>0</v>
      </c>
      <c r="M558" s="1">
        <f t="shared" si="32"/>
        <v>0</v>
      </c>
      <c r="N558" s="1">
        <f t="shared" si="33"/>
        <v>0</v>
      </c>
      <c r="O558" s="1">
        <f t="shared" si="34"/>
        <v>0</v>
      </c>
    </row>
    <row r="559" spans="8:15" ht="11.25" customHeight="1" x14ac:dyDescent="0.2">
      <c r="H559" s="10"/>
      <c r="I559" s="10"/>
      <c r="J559" s="10"/>
      <c r="K559" s="10"/>
      <c r="L559" s="1">
        <f t="shared" si="31"/>
        <v>0</v>
      </c>
      <c r="M559" s="1">
        <f t="shared" si="32"/>
        <v>0</v>
      </c>
      <c r="N559" s="1">
        <f t="shared" si="33"/>
        <v>0</v>
      </c>
      <c r="O559" s="1">
        <f t="shared" si="34"/>
        <v>0</v>
      </c>
    </row>
    <row r="560" spans="8:15" ht="11.25" customHeight="1" x14ac:dyDescent="0.2">
      <c r="H560" s="10"/>
      <c r="I560" s="10"/>
      <c r="J560" s="10"/>
      <c r="K560" s="10"/>
      <c r="L560" s="1">
        <f t="shared" si="31"/>
        <v>0</v>
      </c>
      <c r="M560" s="1">
        <f t="shared" si="32"/>
        <v>0</v>
      </c>
      <c r="N560" s="1">
        <f t="shared" si="33"/>
        <v>0</v>
      </c>
      <c r="O560" s="1">
        <f t="shared" si="34"/>
        <v>0</v>
      </c>
    </row>
    <row r="561" spans="8:15" ht="11.25" customHeight="1" x14ac:dyDescent="0.2">
      <c r="H561" s="10"/>
      <c r="I561" s="10"/>
      <c r="J561" s="10"/>
      <c r="K561" s="10"/>
      <c r="L561" s="1">
        <f t="shared" si="31"/>
        <v>0</v>
      </c>
      <c r="M561" s="1">
        <f t="shared" si="32"/>
        <v>0</v>
      </c>
      <c r="N561" s="1">
        <f t="shared" si="33"/>
        <v>0</v>
      </c>
      <c r="O561" s="1">
        <f t="shared" si="34"/>
        <v>0</v>
      </c>
    </row>
    <row r="562" spans="8:15" ht="11.25" customHeight="1" x14ac:dyDescent="0.2">
      <c r="H562" s="10"/>
      <c r="I562" s="10"/>
      <c r="J562" s="10"/>
      <c r="K562" s="10"/>
      <c r="L562" s="1">
        <f t="shared" si="31"/>
        <v>0</v>
      </c>
      <c r="M562" s="1">
        <f t="shared" si="32"/>
        <v>0</v>
      </c>
      <c r="N562" s="1">
        <f t="shared" si="33"/>
        <v>0</v>
      </c>
      <c r="O562" s="1">
        <f t="shared" si="34"/>
        <v>0</v>
      </c>
    </row>
    <row r="563" spans="8:15" ht="11.25" customHeight="1" x14ac:dyDescent="0.2">
      <c r="H563" s="10"/>
      <c r="I563" s="10"/>
      <c r="J563" s="10"/>
      <c r="K563" s="10"/>
      <c r="L563" s="1">
        <f t="shared" si="31"/>
        <v>0</v>
      </c>
      <c r="M563" s="1">
        <f t="shared" si="32"/>
        <v>0</v>
      </c>
      <c r="N563" s="1">
        <f t="shared" si="33"/>
        <v>0</v>
      </c>
      <c r="O563" s="1">
        <f t="shared" si="34"/>
        <v>0</v>
      </c>
    </row>
    <row r="564" spans="8:15" ht="11.25" customHeight="1" x14ac:dyDescent="0.2">
      <c r="H564" s="10"/>
      <c r="I564" s="10"/>
      <c r="J564" s="10"/>
      <c r="K564" s="10"/>
      <c r="L564" s="1">
        <f t="shared" si="31"/>
        <v>0</v>
      </c>
      <c r="M564" s="1">
        <f t="shared" si="32"/>
        <v>0</v>
      </c>
      <c r="N564" s="1">
        <f t="shared" si="33"/>
        <v>0</v>
      </c>
      <c r="O564" s="1">
        <f t="shared" si="34"/>
        <v>0</v>
      </c>
    </row>
    <row r="565" spans="8:15" ht="11.25" customHeight="1" x14ac:dyDescent="0.2">
      <c r="H565" s="10"/>
      <c r="I565" s="10"/>
      <c r="J565" s="10"/>
      <c r="K565" s="10"/>
      <c r="L565" s="1">
        <f t="shared" si="31"/>
        <v>0</v>
      </c>
      <c r="M565" s="1">
        <f t="shared" si="32"/>
        <v>0</v>
      </c>
      <c r="N565" s="1">
        <f t="shared" si="33"/>
        <v>0</v>
      </c>
      <c r="O565" s="1">
        <f t="shared" si="34"/>
        <v>0</v>
      </c>
    </row>
    <row r="566" spans="8:15" ht="11.25" customHeight="1" x14ac:dyDescent="0.2">
      <c r="H566" s="10"/>
      <c r="I566" s="10"/>
      <c r="J566" s="10"/>
      <c r="K566" s="10"/>
      <c r="L566" s="1">
        <f t="shared" si="31"/>
        <v>0</v>
      </c>
      <c r="M566" s="1">
        <f t="shared" si="32"/>
        <v>0</v>
      </c>
      <c r="N566" s="1">
        <f t="shared" si="33"/>
        <v>0</v>
      </c>
      <c r="O566" s="1">
        <f t="shared" si="34"/>
        <v>0</v>
      </c>
    </row>
    <row r="567" spans="8:15" ht="11.25" customHeight="1" x14ac:dyDescent="0.2">
      <c r="H567" s="10"/>
      <c r="I567" s="10"/>
      <c r="J567" s="10"/>
      <c r="K567" s="10"/>
      <c r="L567" s="1">
        <f t="shared" si="31"/>
        <v>0</v>
      </c>
      <c r="M567" s="1">
        <f t="shared" si="32"/>
        <v>0</v>
      </c>
      <c r="N567" s="1">
        <f t="shared" si="33"/>
        <v>0</v>
      </c>
      <c r="O567" s="1">
        <f t="shared" si="34"/>
        <v>0</v>
      </c>
    </row>
    <row r="568" spans="8:15" ht="11.25" customHeight="1" x14ac:dyDescent="0.2">
      <c r="H568" s="10"/>
      <c r="I568" s="10"/>
      <c r="J568" s="10"/>
      <c r="K568" s="10"/>
      <c r="L568" s="1">
        <f t="shared" si="31"/>
        <v>0</v>
      </c>
      <c r="M568" s="1">
        <f t="shared" si="32"/>
        <v>0</v>
      </c>
      <c r="N568" s="1">
        <f t="shared" si="33"/>
        <v>0</v>
      </c>
      <c r="O568" s="1">
        <f t="shared" si="34"/>
        <v>0</v>
      </c>
    </row>
    <row r="569" spans="8:15" ht="11.25" customHeight="1" x14ac:dyDescent="0.2">
      <c r="H569" s="10"/>
      <c r="I569" s="10"/>
      <c r="J569" s="10"/>
      <c r="K569" s="10"/>
      <c r="L569" s="1">
        <f t="shared" si="31"/>
        <v>0</v>
      </c>
      <c r="M569" s="1">
        <f t="shared" si="32"/>
        <v>0</v>
      </c>
      <c r="N569" s="1">
        <f t="shared" si="33"/>
        <v>0</v>
      </c>
      <c r="O569" s="1">
        <f t="shared" si="34"/>
        <v>0</v>
      </c>
    </row>
    <row r="570" spans="8:15" ht="11.25" customHeight="1" x14ac:dyDescent="0.2">
      <c r="H570" s="10"/>
      <c r="I570" s="10"/>
      <c r="J570" s="10"/>
      <c r="K570" s="10"/>
      <c r="L570" s="1">
        <f t="shared" si="31"/>
        <v>0</v>
      </c>
      <c r="M570" s="1">
        <f t="shared" si="32"/>
        <v>0</v>
      </c>
      <c r="N570" s="1">
        <f t="shared" si="33"/>
        <v>0</v>
      </c>
      <c r="O570" s="1">
        <f t="shared" si="34"/>
        <v>0</v>
      </c>
    </row>
    <row r="571" spans="8:15" ht="11.25" customHeight="1" x14ac:dyDescent="0.2">
      <c r="H571" s="10"/>
      <c r="I571" s="10"/>
      <c r="J571" s="10"/>
      <c r="K571" s="10"/>
      <c r="L571" s="1">
        <f t="shared" si="31"/>
        <v>0</v>
      </c>
      <c r="M571" s="1">
        <f t="shared" si="32"/>
        <v>0</v>
      </c>
      <c r="N571" s="1">
        <f t="shared" si="33"/>
        <v>0</v>
      </c>
      <c r="O571" s="1">
        <f t="shared" si="34"/>
        <v>0</v>
      </c>
    </row>
    <row r="572" spans="8:15" ht="11.25" customHeight="1" x14ac:dyDescent="0.2">
      <c r="H572" s="10"/>
      <c r="I572" s="10"/>
      <c r="J572" s="10"/>
      <c r="K572" s="10"/>
      <c r="L572" s="1">
        <f t="shared" ref="L572:L635" si="35">IF($M$57,H572,J572)</f>
        <v>0</v>
      </c>
      <c r="M572" s="1">
        <f t="shared" ref="M572:M635" si="36">IF($M$57,I572,K572)</f>
        <v>0</v>
      </c>
      <c r="N572" s="1">
        <f t="shared" ref="N572:N635" si="37">IF($M$57,J572,H572)</f>
        <v>0</v>
      </c>
      <c r="O572" s="1">
        <f t="shared" ref="O572:O635" si="38">IF($M$57,K572,I572)</f>
        <v>0</v>
      </c>
    </row>
    <row r="573" spans="8:15" ht="11.25" customHeight="1" x14ac:dyDescent="0.2">
      <c r="H573" s="10"/>
      <c r="I573" s="10"/>
      <c r="J573" s="10"/>
      <c r="K573" s="10"/>
      <c r="L573" s="1">
        <f t="shared" si="35"/>
        <v>0</v>
      </c>
      <c r="M573" s="1">
        <f t="shared" si="36"/>
        <v>0</v>
      </c>
      <c r="N573" s="1">
        <f t="shared" si="37"/>
        <v>0</v>
      </c>
      <c r="O573" s="1">
        <f t="shared" si="38"/>
        <v>0</v>
      </c>
    </row>
    <row r="574" spans="8:15" ht="11.25" customHeight="1" x14ac:dyDescent="0.2">
      <c r="H574" s="10"/>
      <c r="I574" s="10"/>
      <c r="J574" s="10"/>
      <c r="K574" s="10"/>
      <c r="L574" s="1">
        <f t="shared" si="35"/>
        <v>0</v>
      </c>
      <c r="M574" s="1">
        <f t="shared" si="36"/>
        <v>0</v>
      </c>
      <c r="N574" s="1">
        <f t="shared" si="37"/>
        <v>0</v>
      </c>
      <c r="O574" s="1">
        <f t="shared" si="38"/>
        <v>0</v>
      </c>
    </row>
    <row r="575" spans="8:15" ht="11.25" customHeight="1" x14ac:dyDescent="0.2">
      <c r="H575" s="10"/>
      <c r="I575" s="10"/>
      <c r="J575" s="10"/>
      <c r="K575" s="10"/>
      <c r="L575" s="1">
        <f t="shared" si="35"/>
        <v>0</v>
      </c>
      <c r="M575" s="1">
        <f t="shared" si="36"/>
        <v>0</v>
      </c>
      <c r="N575" s="1">
        <f t="shared" si="37"/>
        <v>0</v>
      </c>
      <c r="O575" s="1">
        <f t="shared" si="38"/>
        <v>0</v>
      </c>
    </row>
    <row r="576" spans="8:15" ht="11.25" customHeight="1" x14ac:dyDescent="0.2">
      <c r="H576" s="10"/>
      <c r="I576" s="10"/>
      <c r="J576" s="10"/>
      <c r="K576" s="10"/>
      <c r="L576" s="1">
        <f t="shared" si="35"/>
        <v>0</v>
      </c>
      <c r="M576" s="1">
        <f t="shared" si="36"/>
        <v>0</v>
      </c>
      <c r="N576" s="1">
        <f t="shared" si="37"/>
        <v>0</v>
      </c>
      <c r="O576" s="1">
        <f t="shared" si="38"/>
        <v>0</v>
      </c>
    </row>
    <row r="577" spans="8:15" ht="11.25" customHeight="1" x14ac:dyDescent="0.2">
      <c r="H577" s="10"/>
      <c r="I577" s="10"/>
      <c r="J577" s="10"/>
      <c r="K577" s="10"/>
      <c r="L577" s="1">
        <f t="shared" si="35"/>
        <v>0</v>
      </c>
      <c r="M577" s="1">
        <f t="shared" si="36"/>
        <v>0</v>
      </c>
      <c r="N577" s="1">
        <f t="shared" si="37"/>
        <v>0</v>
      </c>
      <c r="O577" s="1">
        <f t="shared" si="38"/>
        <v>0</v>
      </c>
    </row>
    <row r="578" spans="8:15" ht="11.25" customHeight="1" x14ac:dyDescent="0.2">
      <c r="H578" s="10"/>
      <c r="I578" s="10"/>
      <c r="J578" s="10"/>
      <c r="K578" s="10"/>
      <c r="L578" s="1">
        <f t="shared" si="35"/>
        <v>0</v>
      </c>
      <c r="M578" s="1">
        <f t="shared" si="36"/>
        <v>0</v>
      </c>
      <c r="N578" s="1">
        <f t="shared" si="37"/>
        <v>0</v>
      </c>
      <c r="O578" s="1">
        <f t="shared" si="38"/>
        <v>0</v>
      </c>
    </row>
    <row r="579" spans="8:15" ht="11.25" customHeight="1" x14ac:dyDescent="0.2">
      <c r="H579" s="10"/>
      <c r="I579" s="10"/>
      <c r="J579" s="10"/>
      <c r="K579" s="10"/>
      <c r="L579" s="1">
        <f t="shared" si="35"/>
        <v>0</v>
      </c>
      <c r="M579" s="1">
        <f t="shared" si="36"/>
        <v>0</v>
      </c>
      <c r="N579" s="1">
        <f t="shared" si="37"/>
        <v>0</v>
      </c>
      <c r="O579" s="1">
        <f t="shared" si="38"/>
        <v>0</v>
      </c>
    </row>
    <row r="580" spans="8:15" ht="11.25" customHeight="1" x14ac:dyDescent="0.2">
      <c r="H580" s="10"/>
      <c r="I580" s="10"/>
      <c r="J580" s="10"/>
      <c r="K580" s="10"/>
      <c r="L580" s="1">
        <f t="shared" si="35"/>
        <v>0</v>
      </c>
      <c r="M580" s="1">
        <f t="shared" si="36"/>
        <v>0</v>
      </c>
      <c r="N580" s="1">
        <f t="shared" si="37"/>
        <v>0</v>
      </c>
      <c r="O580" s="1">
        <f t="shared" si="38"/>
        <v>0</v>
      </c>
    </row>
    <row r="581" spans="8:15" ht="11.25" customHeight="1" x14ac:dyDescent="0.2">
      <c r="H581" s="10"/>
      <c r="I581" s="10"/>
      <c r="J581" s="10"/>
      <c r="K581" s="10"/>
      <c r="L581" s="1">
        <f t="shared" si="35"/>
        <v>0</v>
      </c>
      <c r="M581" s="1">
        <f t="shared" si="36"/>
        <v>0</v>
      </c>
      <c r="N581" s="1">
        <f t="shared" si="37"/>
        <v>0</v>
      </c>
      <c r="O581" s="1">
        <f t="shared" si="38"/>
        <v>0</v>
      </c>
    </row>
    <row r="582" spans="8:15" ht="11.25" customHeight="1" x14ac:dyDescent="0.2">
      <c r="H582" s="10"/>
      <c r="I582" s="10"/>
      <c r="J582" s="10"/>
      <c r="K582" s="10"/>
      <c r="L582" s="1">
        <f t="shared" si="35"/>
        <v>0</v>
      </c>
      <c r="M582" s="1">
        <f t="shared" si="36"/>
        <v>0</v>
      </c>
      <c r="N582" s="1">
        <f t="shared" si="37"/>
        <v>0</v>
      </c>
      <c r="O582" s="1">
        <f t="shared" si="38"/>
        <v>0</v>
      </c>
    </row>
    <row r="583" spans="8:15" ht="11.25" customHeight="1" x14ac:dyDescent="0.2">
      <c r="H583" s="10"/>
      <c r="I583" s="10"/>
      <c r="J583" s="10"/>
      <c r="K583" s="10"/>
      <c r="L583" s="1">
        <f t="shared" si="35"/>
        <v>0</v>
      </c>
      <c r="M583" s="1">
        <f t="shared" si="36"/>
        <v>0</v>
      </c>
      <c r="N583" s="1">
        <f t="shared" si="37"/>
        <v>0</v>
      </c>
      <c r="O583" s="1">
        <f t="shared" si="38"/>
        <v>0</v>
      </c>
    </row>
    <row r="584" spans="8:15" ht="11.25" customHeight="1" x14ac:dyDescent="0.2">
      <c r="H584" s="10"/>
      <c r="I584" s="10"/>
      <c r="J584" s="10"/>
      <c r="K584" s="10"/>
      <c r="L584" s="1">
        <f t="shared" si="35"/>
        <v>0</v>
      </c>
      <c r="M584" s="1">
        <f t="shared" si="36"/>
        <v>0</v>
      </c>
      <c r="N584" s="1">
        <f t="shared" si="37"/>
        <v>0</v>
      </c>
      <c r="O584" s="1">
        <f t="shared" si="38"/>
        <v>0</v>
      </c>
    </row>
    <row r="585" spans="8:15" ht="11.25" customHeight="1" x14ac:dyDescent="0.2">
      <c r="H585" s="10"/>
      <c r="I585" s="10"/>
      <c r="J585" s="10"/>
      <c r="K585" s="10"/>
      <c r="L585" s="1">
        <f t="shared" si="35"/>
        <v>0</v>
      </c>
      <c r="M585" s="1">
        <f t="shared" si="36"/>
        <v>0</v>
      </c>
      <c r="N585" s="1">
        <f t="shared" si="37"/>
        <v>0</v>
      </c>
      <c r="O585" s="1">
        <f t="shared" si="38"/>
        <v>0</v>
      </c>
    </row>
    <row r="586" spans="8:15" ht="11.25" customHeight="1" x14ac:dyDescent="0.2">
      <c r="H586" s="10"/>
      <c r="I586" s="10"/>
      <c r="J586" s="10"/>
      <c r="K586" s="10"/>
      <c r="L586" s="1">
        <f t="shared" si="35"/>
        <v>0</v>
      </c>
      <c r="M586" s="1">
        <f t="shared" si="36"/>
        <v>0</v>
      </c>
      <c r="N586" s="1">
        <f t="shared" si="37"/>
        <v>0</v>
      </c>
      <c r="O586" s="1">
        <f t="shared" si="38"/>
        <v>0</v>
      </c>
    </row>
    <row r="587" spans="8:15" ht="11.25" customHeight="1" x14ac:dyDescent="0.2">
      <c r="H587" s="10"/>
      <c r="I587" s="10"/>
      <c r="J587" s="10"/>
      <c r="K587" s="10"/>
      <c r="L587" s="1">
        <f t="shared" si="35"/>
        <v>0</v>
      </c>
      <c r="M587" s="1">
        <f t="shared" si="36"/>
        <v>0</v>
      </c>
      <c r="N587" s="1">
        <f t="shared" si="37"/>
        <v>0</v>
      </c>
      <c r="O587" s="1">
        <f t="shared" si="38"/>
        <v>0</v>
      </c>
    </row>
    <row r="588" spans="8:15" ht="11.25" customHeight="1" x14ac:dyDescent="0.2">
      <c r="H588" s="10"/>
      <c r="I588" s="10"/>
      <c r="J588" s="10"/>
      <c r="K588" s="10"/>
      <c r="L588" s="1">
        <f t="shared" si="35"/>
        <v>0</v>
      </c>
      <c r="M588" s="1">
        <f t="shared" si="36"/>
        <v>0</v>
      </c>
      <c r="N588" s="1">
        <f t="shared" si="37"/>
        <v>0</v>
      </c>
      <c r="O588" s="1">
        <f t="shared" si="38"/>
        <v>0</v>
      </c>
    </row>
    <row r="589" spans="8:15" ht="11.25" customHeight="1" x14ac:dyDescent="0.2">
      <c r="H589" s="10"/>
      <c r="I589" s="10"/>
      <c r="J589" s="10"/>
      <c r="K589" s="10"/>
      <c r="L589" s="1">
        <f t="shared" si="35"/>
        <v>0</v>
      </c>
      <c r="M589" s="1">
        <f t="shared" si="36"/>
        <v>0</v>
      </c>
      <c r="N589" s="1">
        <f t="shared" si="37"/>
        <v>0</v>
      </c>
      <c r="O589" s="1">
        <f t="shared" si="38"/>
        <v>0</v>
      </c>
    </row>
    <row r="590" spans="8:15" ht="11.25" customHeight="1" x14ac:dyDescent="0.2">
      <c r="H590" s="10"/>
      <c r="I590" s="10"/>
      <c r="J590" s="10"/>
      <c r="K590" s="10"/>
      <c r="L590" s="1">
        <f t="shared" si="35"/>
        <v>0</v>
      </c>
      <c r="M590" s="1">
        <f t="shared" si="36"/>
        <v>0</v>
      </c>
      <c r="N590" s="1">
        <f t="shared" si="37"/>
        <v>0</v>
      </c>
      <c r="O590" s="1">
        <f t="shared" si="38"/>
        <v>0</v>
      </c>
    </row>
    <row r="591" spans="8:15" ht="11.25" customHeight="1" x14ac:dyDescent="0.2">
      <c r="H591" s="10"/>
      <c r="I591" s="10"/>
      <c r="J591" s="10"/>
      <c r="K591" s="10"/>
      <c r="L591" s="1">
        <f t="shared" si="35"/>
        <v>0</v>
      </c>
      <c r="M591" s="1">
        <f t="shared" si="36"/>
        <v>0</v>
      </c>
      <c r="N591" s="1">
        <f t="shared" si="37"/>
        <v>0</v>
      </c>
      <c r="O591" s="1">
        <f t="shared" si="38"/>
        <v>0</v>
      </c>
    </row>
    <row r="592" spans="8:15" ht="11.25" customHeight="1" x14ac:dyDescent="0.2">
      <c r="H592" s="10"/>
      <c r="I592" s="10"/>
      <c r="J592" s="10"/>
      <c r="K592" s="10"/>
      <c r="L592" s="1">
        <f t="shared" si="35"/>
        <v>0</v>
      </c>
      <c r="M592" s="1">
        <f t="shared" si="36"/>
        <v>0</v>
      </c>
      <c r="N592" s="1">
        <f t="shared" si="37"/>
        <v>0</v>
      </c>
      <c r="O592" s="1">
        <f t="shared" si="38"/>
        <v>0</v>
      </c>
    </row>
    <row r="593" spans="8:15" ht="11.25" customHeight="1" x14ac:dyDescent="0.2">
      <c r="H593" s="10"/>
      <c r="I593" s="10"/>
      <c r="J593" s="10"/>
      <c r="K593" s="10"/>
      <c r="L593" s="1">
        <f t="shared" si="35"/>
        <v>0</v>
      </c>
      <c r="M593" s="1">
        <f t="shared" si="36"/>
        <v>0</v>
      </c>
      <c r="N593" s="1">
        <f t="shared" si="37"/>
        <v>0</v>
      </c>
      <c r="O593" s="1">
        <f t="shared" si="38"/>
        <v>0</v>
      </c>
    </row>
    <row r="594" spans="8:15" ht="11.25" customHeight="1" x14ac:dyDescent="0.2">
      <c r="H594" s="10"/>
      <c r="I594" s="10"/>
      <c r="J594" s="10"/>
      <c r="K594" s="10"/>
      <c r="L594" s="1">
        <f t="shared" si="35"/>
        <v>0</v>
      </c>
      <c r="M594" s="1">
        <f t="shared" si="36"/>
        <v>0</v>
      </c>
      <c r="N594" s="1">
        <f t="shared" si="37"/>
        <v>0</v>
      </c>
      <c r="O594" s="1">
        <f t="shared" si="38"/>
        <v>0</v>
      </c>
    </row>
    <row r="595" spans="8:15" ht="11.25" customHeight="1" x14ac:dyDescent="0.2">
      <c r="H595" s="10"/>
      <c r="I595" s="10"/>
      <c r="J595" s="10"/>
      <c r="K595" s="10"/>
      <c r="L595" s="1">
        <f t="shared" si="35"/>
        <v>0</v>
      </c>
      <c r="M595" s="1">
        <f t="shared" si="36"/>
        <v>0</v>
      </c>
      <c r="N595" s="1">
        <f t="shared" si="37"/>
        <v>0</v>
      </c>
      <c r="O595" s="1">
        <f t="shared" si="38"/>
        <v>0</v>
      </c>
    </row>
    <row r="596" spans="8:15" ht="11.25" customHeight="1" x14ac:dyDescent="0.2">
      <c r="H596" s="10"/>
      <c r="I596" s="10"/>
      <c r="J596" s="10"/>
      <c r="K596" s="10"/>
      <c r="L596" s="1">
        <f t="shared" si="35"/>
        <v>0</v>
      </c>
      <c r="M596" s="1">
        <f t="shared" si="36"/>
        <v>0</v>
      </c>
      <c r="N596" s="1">
        <f t="shared" si="37"/>
        <v>0</v>
      </c>
      <c r="O596" s="1">
        <f t="shared" si="38"/>
        <v>0</v>
      </c>
    </row>
    <row r="597" spans="8:15" ht="11.25" customHeight="1" x14ac:dyDescent="0.2">
      <c r="H597" s="10"/>
      <c r="I597" s="10"/>
      <c r="J597" s="10"/>
      <c r="K597" s="10"/>
      <c r="L597" s="1">
        <f t="shared" si="35"/>
        <v>0</v>
      </c>
      <c r="M597" s="1">
        <f t="shared" si="36"/>
        <v>0</v>
      </c>
      <c r="N597" s="1">
        <f t="shared" si="37"/>
        <v>0</v>
      </c>
      <c r="O597" s="1">
        <f t="shared" si="38"/>
        <v>0</v>
      </c>
    </row>
    <row r="598" spans="8:15" ht="11.25" customHeight="1" x14ac:dyDescent="0.2">
      <c r="H598" s="10"/>
      <c r="I598" s="10"/>
      <c r="J598" s="10"/>
      <c r="K598" s="10"/>
      <c r="L598" s="1">
        <f t="shared" si="35"/>
        <v>0</v>
      </c>
      <c r="M598" s="1">
        <f t="shared" si="36"/>
        <v>0</v>
      </c>
      <c r="N598" s="1">
        <f t="shared" si="37"/>
        <v>0</v>
      </c>
      <c r="O598" s="1">
        <f t="shared" si="38"/>
        <v>0</v>
      </c>
    </row>
    <row r="599" spans="8:15" ht="11.25" customHeight="1" x14ac:dyDescent="0.2">
      <c r="H599" s="10"/>
      <c r="I599" s="10"/>
      <c r="J599" s="10"/>
      <c r="K599" s="10"/>
      <c r="L599" s="1">
        <f t="shared" si="35"/>
        <v>0</v>
      </c>
      <c r="M599" s="1">
        <f t="shared" si="36"/>
        <v>0</v>
      </c>
      <c r="N599" s="1">
        <f t="shared" si="37"/>
        <v>0</v>
      </c>
      <c r="O599" s="1">
        <f t="shared" si="38"/>
        <v>0</v>
      </c>
    </row>
    <row r="600" spans="8:15" ht="11.25" customHeight="1" x14ac:dyDescent="0.2">
      <c r="H600" s="10"/>
      <c r="I600" s="10"/>
      <c r="J600" s="10"/>
      <c r="K600" s="10"/>
      <c r="L600" s="1">
        <f t="shared" si="35"/>
        <v>0</v>
      </c>
      <c r="M600" s="1">
        <f t="shared" si="36"/>
        <v>0</v>
      </c>
      <c r="N600" s="1">
        <f t="shared" si="37"/>
        <v>0</v>
      </c>
      <c r="O600" s="1">
        <f t="shared" si="38"/>
        <v>0</v>
      </c>
    </row>
    <row r="601" spans="8:15" ht="11.25" customHeight="1" x14ac:dyDescent="0.2">
      <c r="H601" s="10"/>
      <c r="I601" s="10"/>
      <c r="J601" s="10"/>
      <c r="K601" s="10"/>
      <c r="L601" s="1">
        <f t="shared" si="35"/>
        <v>0</v>
      </c>
      <c r="M601" s="1">
        <f t="shared" si="36"/>
        <v>0</v>
      </c>
      <c r="N601" s="1">
        <f t="shared" si="37"/>
        <v>0</v>
      </c>
      <c r="O601" s="1">
        <f t="shared" si="38"/>
        <v>0</v>
      </c>
    </row>
    <row r="602" spans="8:15" ht="11.25" customHeight="1" x14ac:dyDescent="0.2">
      <c r="H602" s="10"/>
      <c r="I602" s="10"/>
      <c r="J602" s="10"/>
      <c r="K602" s="10"/>
      <c r="L602" s="1">
        <f t="shared" si="35"/>
        <v>0</v>
      </c>
      <c r="M602" s="1">
        <f t="shared" si="36"/>
        <v>0</v>
      </c>
      <c r="N602" s="1">
        <f t="shared" si="37"/>
        <v>0</v>
      </c>
      <c r="O602" s="1">
        <f t="shared" si="38"/>
        <v>0</v>
      </c>
    </row>
    <row r="603" spans="8:15" ht="11.25" customHeight="1" x14ac:dyDescent="0.2">
      <c r="H603" s="10"/>
      <c r="I603" s="10"/>
      <c r="J603" s="10"/>
      <c r="K603" s="10"/>
      <c r="L603" s="1">
        <f t="shared" si="35"/>
        <v>0</v>
      </c>
      <c r="M603" s="1">
        <f t="shared" si="36"/>
        <v>0</v>
      </c>
      <c r="N603" s="1">
        <f t="shared" si="37"/>
        <v>0</v>
      </c>
      <c r="O603" s="1">
        <f t="shared" si="38"/>
        <v>0</v>
      </c>
    </row>
    <row r="604" spans="8:15" ht="11.25" customHeight="1" x14ac:dyDescent="0.2">
      <c r="H604" s="10"/>
      <c r="I604" s="10"/>
      <c r="J604" s="10"/>
      <c r="K604" s="10"/>
      <c r="L604" s="1">
        <f t="shared" si="35"/>
        <v>0</v>
      </c>
      <c r="M604" s="1">
        <f t="shared" si="36"/>
        <v>0</v>
      </c>
      <c r="N604" s="1">
        <f t="shared" si="37"/>
        <v>0</v>
      </c>
      <c r="O604" s="1">
        <f t="shared" si="38"/>
        <v>0</v>
      </c>
    </row>
    <row r="605" spans="8:15" ht="11.25" customHeight="1" x14ac:dyDescent="0.2">
      <c r="H605" s="10"/>
      <c r="I605" s="10"/>
      <c r="J605" s="10"/>
      <c r="K605" s="10"/>
      <c r="L605" s="1">
        <f t="shared" si="35"/>
        <v>0</v>
      </c>
      <c r="M605" s="1">
        <f t="shared" si="36"/>
        <v>0</v>
      </c>
      <c r="N605" s="1">
        <f t="shared" si="37"/>
        <v>0</v>
      </c>
      <c r="O605" s="1">
        <f t="shared" si="38"/>
        <v>0</v>
      </c>
    </row>
    <row r="606" spans="8:15" ht="11.25" customHeight="1" x14ac:dyDescent="0.2">
      <c r="H606" s="10"/>
      <c r="I606" s="10"/>
      <c r="J606" s="10"/>
      <c r="K606" s="10"/>
      <c r="L606" s="1">
        <f t="shared" si="35"/>
        <v>0</v>
      </c>
      <c r="M606" s="1">
        <f t="shared" si="36"/>
        <v>0</v>
      </c>
      <c r="N606" s="1">
        <f t="shared" si="37"/>
        <v>0</v>
      </c>
      <c r="O606" s="1">
        <f t="shared" si="38"/>
        <v>0</v>
      </c>
    </row>
    <row r="607" spans="8:15" ht="11.25" customHeight="1" x14ac:dyDescent="0.2">
      <c r="H607" s="10"/>
      <c r="I607" s="10"/>
      <c r="J607" s="10"/>
      <c r="K607" s="10"/>
      <c r="L607" s="1">
        <f t="shared" si="35"/>
        <v>0</v>
      </c>
      <c r="M607" s="1">
        <f t="shared" si="36"/>
        <v>0</v>
      </c>
      <c r="N607" s="1">
        <f t="shared" si="37"/>
        <v>0</v>
      </c>
      <c r="O607" s="1">
        <f t="shared" si="38"/>
        <v>0</v>
      </c>
    </row>
    <row r="608" spans="8:15" ht="11.25" customHeight="1" x14ac:dyDescent="0.2">
      <c r="H608" s="10"/>
      <c r="I608" s="10"/>
      <c r="J608" s="10"/>
      <c r="K608" s="10"/>
      <c r="L608" s="1">
        <f t="shared" si="35"/>
        <v>0</v>
      </c>
      <c r="M608" s="1">
        <f t="shared" si="36"/>
        <v>0</v>
      </c>
      <c r="N608" s="1">
        <f t="shared" si="37"/>
        <v>0</v>
      </c>
      <c r="O608" s="1">
        <f t="shared" si="38"/>
        <v>0</v>
      </c>
    </row>
    <row r="609" spans="8:15" ht="11.25" customHeight="1" x14ac:dyDescent="0.2">
      <c r="H609" s="10"/>
      <c r="I609" s="10"/>
      <c r="J609" s="10"/>
      <c r="K609" s="10"/>
      <c r="L609" s="1">
        <f t="shared" si="35"/>
        <v>0</v>
      </c>
      <c r="M609" s="1">
        <f t="shared" si="36"/>
        <v>0</v>
      </c>
      <c r="N609" s="1">
        <f t="shared" si="37"/>
        <v>0</v>
      </c>
      <c r="O609" s="1">
        <f t="shared" si="38"/>
        <v>0</v>
      </c>
    </row>
    <row r="610" spans="8:15" ht="11.25" customHeight="1" x14ac:dyDescent="0.2">
      <c r="H610" s="10"/>
      <c r="I610" s="10"/>
      <c r="J610" s="10"/>
      <c r="K610" s="10"/>
      <c r="L610" s="1">
        <f t="shared" si="35"/>
        <v>0</v>
      </c>
      <c r="M610" s="1">
        <f t="shared" si="36"/>
        <v>0</v>
      </c>
      <c r="N610" s="1">
        <f t="shared" si="37"/>
        <v>0</v>
      </c>
      <c r="O610" s="1">
        <f t="shared" si="38"/>
        <v>0</v>
      </c>
    </row>
    <row r="611" spans="8:15" ht="11.25" customHeight="1" x14ac:dyDescent="0.2">
      <c r="H611" s="10"/>
      <c r="I611" s="10"/>
      <c r="J611" s="10"/>
      <c r="K611" s="10"/>
      <c r="L611" s="1">
        <f t="shared" si="35"/>
        <v>0</v>
      </c>
      <c r="M611" s="1">
        <f t="shared" si="36"/>
        <v>0</v>
      </c>
      <c r="N611" s="1">
        <f t="shared" si="37"/>
        <v>0</v>
      </c>
      <c r="O611" s="1">
        <f t="shared" si="38"/>
        <v>0</v>
      </c>
    </row>
    <row r="612" spans="8:15" ht="11.25" customHeight="1" x14ac:dyDescent="0.2">
      <c r="H612" s="10"/>
      <c r="I612" s="10"/>
      <c r="J612" s="10"/>
      <c r="K612" s="10"/>
      <c r="L612" s="1">
        <f t="shared" si="35"/>
        <v>0</v>
      </c>
      <c r="M612" s="1">
        <f t="shared" si="36"/>
        <v>0</v>
      </c>
      <c r="N612" s="1">
        <f t="shared" si="37"/>
        <v>0</v>
      </c>
      <c r="O612" s="1">
        <f t="shared" si="38"/>
        <v>0</v>
      </c>
    </row>
    <row r="613" spans="8:15" ht="11.25" customHeight="1" x14ac:dyDescent="0.2">
      <c r="H613" s="10"/>
      <c r="I613" s="10"/>
      <c r="J613" s="10"/>
      <c r="K613" s="10"/>
      <c r="L613" s="1">
        <f t="shared" si="35"/>
        <v>0</v>
      </c>
      <c r="M613" s="1">
        <f t="shared" si="36"/>
        <v>0</v>
      </c>
      <c r="N613" s="1">
        <f t="shared" si="37"/>
        <v>0</v>
      </c>
      <c r="O613" s="1">
        <f t="shared" si="38"/>
        <v>0</v>
      </c>
    </row>
    <row r="614" spans="8:15" ht="11.25" customHeight="1" x14ac:dyDescent="0.2">
      <c r="H614" s="10"/>
      <c r="I614" s="10"/>
      <c r="J614" s="10"/>
      <c r="K614" s="10"/>
      <c r="L614" s="1">
        <f t="shared" si="35"/>
        <v>0</v>
      </c>
      <c r="M614" s="1">
        <f t="shared" si="36"/>
        <v>0</v>
      </c>
      <c r="N614" s="1">
        <f t="shared" si="37"/>
        <v>0</v>
      </c>
      <c r="O614" s="1">
        <f t="shared" si="38"/>
        <v>0</v>
      </c>
    </row>
    <row r="615" spans="8:15" ht="11.25" customHeight="1" x14ac:dyDescent="0.2">
      <c r="H615" s="10"/>
      <c r="I615" s="10"/>
      <c r="J615" s="10"/>
      <c r="K615" s="10"/>
      <c r="L615" s="1">
        <f t="shared" si="35"/>
        <v>0</v>
      </c>
      <c r="M615" s="1">
        <f t="shared" si="36"/>
        <v>0</v>
      </c>
      <c r="N615" s="1">
        <f t="shared" si="37"/>
        <v>0</v>
      </c>
      <c r="O615" s="1">
        <f t="shared" si="38"/>
        <v>0</v>
      </c>
    </row>
    <row r="616" spans="8:15" ht="11.25" customHeight="1" x14ac:dyDescent="0.2">
      <c r="H616" s="10"/>
      <c r="I616" s="10"/>
      <c r="J616" s="10"/>
      <c r="K616" s="10"/>
      <c r="L616" s="1">
        <f t="shared" si="35"/>
        <v>0</v>
      </c>
      <c r="M616" s="1">
        <f t="shared" si="36"/>
        <v>0</v>
      </c>
      <c r="N616" s="1">
        <f t="shared" si="37"/>
        <v>0</v>
      </c>
      <c r="O616" s="1">
        <f t="shared" si="38"/>
        <v>0</v>
      </c>
    </row>
    <row r="617" spans="8:15" ht="11.25" customHeight="1" x14ac:dyDescent="0.2">
      <c r="H617" s="10"/>
      <c r="I617" s="10"/>
      <c r="J617" s="10"/>
      <c r="K617" s="10"/>
      <c r="L617" s="1">
        <f t="shared" si="35"/>
        <v>0</v>
      </c>
      <c r="M617" s="1">
        <f t="shared" si="36"/>
        <v>0</v>
      </c>
      <c r="N617" s="1">
        <f t="shared" si="37"/>
        <v>0</v>
      </c>
      <c r="O617" s="1">
        <f t="shared" si="38"/>
        <v>0</v>
      </c>
    </row>
    <row r="618" spans="8:15" ht="11.25" customHeight="1" x14ac:dyDescent="0.2">
      <c r="H618" s="10"/>
      <c r="I618" s="10"/>
      <c r="J618" s="10"/>
      <c r="K618" s="10"/>
      <c r="L618" s="1">
        <f t="shared" si="35"/>
        <v>0</v>
      </c>
      <c r="M618" s="1">
        <f t="shared" si="36"/>
        <v>0</v>
      </c>
      <c r="N618" s="1">
        <f t="shared" si="37"/>
        <v>0</v>
      </c>
      <c r="O618" s="1">
        <f t="shared" si="38"/>
        <v>0</v>
      </c>
    </row>
    <row r="619" spans="8:15" ht="11.25" customHeight="1" x14ac:dyDescent="0.2">
      <c r="H619" s="10"/>
      <c r="I619" s="10"/>
      <c r="J619" s="10"/>
      <c r="K619" s="10"/>
      <c r="L619" s="1">
        <f t="shared" si="35"/>
        <v>0</v>
      </c>
      <c r="M619" s="1">
        <f t="shared" si="36"/>
        <v>0</v>
      </c>
      <c r="N619" s="1">
        <f t="shared" si="37"/>
        <v>0</v>
      </c>
      <c r="O619" s="1">
        <f t="shared" si="38"/>
        <v>0</v>
      </c>
    </row>
    <row r="620" spans="8:15" ht="11.25" customHeight="1" x14ac:dyDescent="0.2">
      <c r="H620" s="10"/>
      <c r="I620" s="10"/>
      <c r="J620" s="10"/>
      <c r="K620" s="10"/>
      <c r="L620" s="1">
        <f t="shared" si="35"/>
        <v>0</v>
      </c>
      <c r="M620" s="1">
        <f t="shared" si="36"/>
        <v>0</v>
      </c>
      <c r="N620" s="1">
        <f t="shared" si="37"/>
        <v>0</v>
      </c>
      <c r="O620" s="1">
        <f t="shared" si="38"/>
        <v>0</v>
      </c>
    </row>
    <row r="621" spans="8:15" ht="11.25" customHeight="1" x14ac:dyDescent="0.2">
      <c r="H621" s="10"/>
      <c r="I621" s="10"/>
      <c r="J621" s="10"/>
      <c r="K621" s="10"/>
      <c r="L621" s="1">
        <f t="shared" si="35"/>
        <v>0</v>
      </c>
      <c r="M621" s="1">
        <f t="shared" si="36"/>
        <v>0</v>
      </c>
      <c r="N621" s="1">
        <f t="shared" si="37"/>
        <v>0</v>
      </c>
      <c r="O621" s="1">
        <f t="shared" si="38"/>
        <v>0</v>
      </c>
    </row>
    <row r="622" spans="8:15" ht="11.25" customHeight="1" x14ac:dyDescent="0.2">
      <c r="H622" s="10"/>
      <c r="I622" s="10"/>
      <c r="J622" s="10"/>
      <c r="K622" s="10"/>
      <c r="L622" s="1">
        <f t="shared" si="35"/>
        <v>0</v>
      </c>
      <c r="M622" s="1">
        <f t="shared" si="36"/>
        <v>0</v>
      </c>
      <c r="N622" s="1">
        <f t="shared" si="37"/>
        <v>0</v>
      </c>
      <c r="O622" s="1">
        <f t="shared" si="38"/>
        <v>0</v>
      </c>
    </row>
    <row r="623" spans="8:15" ht="11.25" customHeight="1" x14ac:dyDescent="0.2">
      <c r="H623" s="10"/>
      <c r="I623" s="10"/>
      <c r="J623" s="10"/>
      <c r="K623" s="10"/>
      <c r="L623" s="1">
        <f t="shared" si="35"/>
        <v>0</v>
      </c>
      <c r="M623" s="1">
        <f t="shared" si="36"/>
        <v>0</v>
      </c>
      <c r="N623" s="1">
        <f t="shared" si="37"/>
        <v>0</v>
      </c>
      <c r="O623" s="1">
        <f t="shared" si="38"/>
        <v>0</v>
      </c>
    </row>
    <row r="624" spans="8:15" ht="11.25" customHeight="1" x14ac:dyDescent="0.2">
      <c r="H624" s="10"/>
      <c r="I624" s="10"/>
      <c r="J624" s="10"/>
      <c r="K624" s="10"/>
      <c r="L624" s="1">
        <f t="shared" si="35"/>
        <v>0</v>
      </c>
      <c r="M624" s="1">
        <f t="shared" si="36"/>
        <v>0</v>
      </c>
      <c r="N624" s="1">
        <f t="shared" si="37"/>
        <v>0</v>
      </c>
      <c r="O624" s="1">
        <f t="shared" si="38"/>
        <v>0</v>
      </c>
    </row>
    <row r="625" spans="8:15" ht="11.25" customHeight="1" x14ac:dyDescent="0.2">
      <c r="H625" s="10"/>
      <c r="I625" s="10"/>
      <c r="J625" s="10"/>
      <c r="K625" s="10"/>
      <c r="L625" s="1">
        <f t="shared" si="35"/>
        <v>0</v>
      </c>
      <c r="M625" s="1">
        <f t="shared" si="36"/>
        <v>0</v>
      </c>
      <c r="N625" s="1">
        <f t="shared" si="37"/>
        <v>0</v>
      </c>
      <c r="O625" s="1">
        <f t="shared" si="38"/>
        <v>0</v>
      </c>
    </row>
    <row r="626" spans="8:15" ht="11.25" customHeight="1" x14ac:dyDescent="0.2">
      <c r="H626" s="10"/>
      <c r="I626" s="10"/>
      <c r="J626" s="10"/>
      <c r="K626" s="10"/>
      <c r="L626" s="1">
        <f t="shared" si="35"/>
        <v>0</v>
      </c>
      <c r="M626" s="1">
        <f t="shared" si="36"/>
        <v>0</v>
      </c>
      <c r="N626" s="1">
        <f t="shared" si="37"/>
        <v>0</v>
      </c>
      <c r="O626" s="1">
        <f t="shared" si="38"/>
        <v>0</v>
      </c>
    </row>
    <row r="627" spans="8:15" ht="11.25" customHeight="1" x14ac:dyDescent="0.2">
      <c r="H627" s="10"/>
      <c r="I627" s="10"/>
      <c r="J627" s="10"/>
      <c r="K627" s="10"/>
      <c r="L627" s="1">
        <f t="shared" si="35"/>
        <v>0</v>
      </c>
      <c r="M627" s="1">
        <f t="shared" si="36"/>
        <v>0</v>
      </c>
      <c r="N627" s="1">
        <f t="shared" si="37"/>
        <v>0</v>
      </c>
      <c r="O627" s="1">
        <f t="shared" si="38"/>
        <v>0</v>
      </c>
    </row>
    <row r="628" spans="8:15" ht="11.25" customHeight="1" x14ac:dyDescent="0.2">
      <c r="H628" s="10"/>
      <c r="I628" s="10"/>
      <c r="J628" s="10"/>
      <c r="K628" s="10"/>
      <c r="L628" s="1">
        <f t="shared" si="35"/>
        <v>0</v>
      </c>
      <c r="M628" s="1">
        <f t="shared" si="36"/>
        <v>0</v>
      </c>
      <c r="N628" s="1">
        <f t="shared" si="37"/>
        <v>0</v>
      </c>
      <c r="O628" s="1">
        <f t="shared" si="38"/>
        <v>0</v>
      </c>
    </row>
    <row r="629" spans="8:15" ht="11.25" customHeight="1" x14ac:dyDescent="0.2">
      <c r="H629" s="10"/>
      <c r="I629" s="10"/>
      <c r="J629" s="10"/>
      <c r="K629" s="10"/>
      <c r="L629" s="1">
        <f t="shared" si="35"/>
        <v>0</v>
      </c>
      <c r="M629" s="1">
        <f t="shared" si="36"/>
        <v>0</v>
      </c>
      <c r="N629" s="1">
        <f t="shared" si="37"/>
        <v>0</v>
      </c>
      <c r="O629" s="1">
        <f t="shared" si="38"/>
        <v>0</v>
      </c>
    </row>
    <row r="630" spans="8:15" ht="11.25" customHeight="1" x14ac:dyDescent="0.2">
      <c r="H630" s="10"/>
      <c r="I630" s="10"/>
      <c r="J630" s="10"/>
      <c r="K630" s="10"/>
      <c r="L630" s="1">
        <f t="shared" si="35"/>
        <v>0</v>
      </c>
      <c r="M630" s="1">
        <f t="shared" si="36"/>
        <v>0</v>
      </c>
      <c r="N630" s="1">
        <f t="shared" si="37"/>
        <v>0</v>
      </c>
      <c r="O630" s="1">
        <f t="shared" si="38"/>
        <v>0</v>
      </c>
    </row>
    <row r="631" spans="8:15" ht="11.25" customHeight="1" x14ac:dyDescent="0.2">
      <c r="H631" s="10"/>
      <c r="I631" s="10"/>
      <c r="J631" s="10"/>
      <c r="K631" s="10"/>
      <c r="L631" s="1">
        <f t="shared" si="35"/>
        <v>0</v>
      </c>
      <c r="M631" s="1">
        <f t="shared" si="36"/>
        <v>0</v>
      </c>
      <c r="N631" s="1">
        <f t="shared" si="37"/>
        <v>0</v>
      </c>
      <c r="O631" s="1">
        <f t="shared" si="38"/>
        <v>0</v>
      </c>
    </row>
    <row r="632" spans="8:15" ht="11.25" customHeight="1" x14ac:dyDescent="0.2">
      <c r="H632" s="10"/>
      <c r="I632" s="10"/>
      <c r="J632" s="10"/>
      <c r="K632" s="10"/>
      <c r="L632" s="1">
        <f t="shared" si="35"/>
        <v>0</v>
      </c>
      <c r="M632" s="1">
        <f t="shared" si="36"/>
        <v>0</v>
      </c>
      <c r="N632" s="1">
        <f t="shared" si="37"/>
        <v>0</v>
      </c>
      <c r="O632" s="1">
        <f t="shared" si="38"/>
        <v>0</v>
      </c>
    </row>
    <row r="633" spans="8:15" ht="11.25" customHeight="1" x14ac:dyDescent="0.2">
      <c r="H633" s="10"/>
      <c r="I633" s="10"/>
      <c r="J633" s="10"/>
      <c r="K633" s="10"/>
      <c r="L633" s="1">
        <f t="shared" si="35"/>
        <v>0</v>
      </c>
      <c r="M633" s="1">
        <f t="shared" si="36"/>
        <v>0</v>
      </c>
      <c r="N633" s="1">
        <f t="shared" si="37"/>
        <v>0</v>
      </c>
      <c r="O633" s="1">
        <f t="shared" si="38"/>
        <v>0</v>
      </c>
    </row>
    <row r="634" spans="8:15" ht="11.25" customHeight="1" x14ac:dyDescent="0.2">
      <c r="H634" s="10"/>
      <c r="I634" s="10"/>
      <c r="J634" s="10"/>
      <c r="K634" s="10"/>
      <c r="L634" s="1">
        <f t="shared" si="35"/>
        <v>0</v>
      </c>
      <c r="M634" s="1">
        <f t="shared" si="36"/>
        <v>0</v>
      </c>
      <c r="N634" s="1">
        <f t="shared" si="37"/>
        <v>0</v>
      </c>
      <c r="O634" s="1">
        <f t="shared" si="38"/>
        <v>0</v>
      </c>
    </row>
    <row r="635" spans="8:15" ht="11.25" customHeight="1" x14ac:dyDescent="0.2">
      <c r="H635" s="10"/>
      <c r="I635" s="10"/>
      <c r="J635" s="10"/>
      <c r="K635" s="10"/>
      <c r="L635" s="1">
        <f t="shared" si="35"/>
        <v>0</v>
      </c>
      <c r="M635" s="1">
        <f t="shared" si="36"/>
        <v>0</v>
      </c>
      <c r="N635" s="1">
        <f t="shared" si="37"/>
        <v>0</v>
      </c>
      <c r="O635" s="1">
        <f t="shared" si="38"/>
        <v>0</v>
      </c>
    </row>
    <row r="636" spans="8:15" ht="11.25" customHeight="1" x14ac:dyDescent="0.2">
      <c r="H636" s="10"/>
      <c r="I636" s="10"/>
      <c r="J636" s="10"/>
      <c r="K636" s="10"/>
      <c r="L636" s="1">
        <f t="shared" ref="L636:L699" si="39">IF($M$57,H636,J636)</f>
        <v>0</v>
      </c>
      <c r="M636" s="1">
        <f t="shared" ref="M636:M699" si="40">IF($M$57,I636,K636)</f>
        <v>0</v>
      </c>
      <c r="N636" s="1">
        <f t="shared" ref="N636:N699" si="41">IF($M$57,J636,H636)</f>
        <v>0</v>
      </c>
      <c r="O636" s="1">
        <f t="shared" ref="O636:O699" si="42">IF($M$57,K636,I636)</f>
        <v>0</v>
      </c>
    </row>
    <row r="637" spans="8:15" ht="11.25" customHeight="1" x14ac:dyDescent="0.2">
      <c r="H637" s="10"/>
      <c r="I637" s="10"/>
      <c r="J637" s="10"/>
      <c r="K637" s="10"/>
      <c r="L637" s="1">
        <f t="shared" si="39"/>
        <v>0</v>
      </c>
      <c r="M637" s="1">
        <f t="shared" si="40"/>
        <v>0</v>
      </c>
      <c r="N637" s="1">
        <f t="shared" si="41"/>
        <v>0</v>
      </c>
      <c r="O637" s="1">
        <f t="shared" si="42"/>
        <v>0</v>
      </c>
    </row>
    <row r="638" spans="8:15" ht="11.25" customHeight="1" x14ac:dyDescent="0.2">
      <c r="H638" s="10"/>
      <c r="I638" s="10"/>
      <c r="J638" s="10"/>
      <c r="K638" s="10"/>
      <c r="L638" s="1">
        <f t="shared" si="39"/>
        <v>0</v>
      </c>
      <c r="M638" s="1">
        <f t="shared" si="40"/>
        <v>0</v>
      </c>
      <c r="N638" s="1">
        <f t="shared" si="41"/>
        <v>0</v>
      </c>
      <c r="O638" s="1">
        <f t="shared" si="42"/>
        <v>0</v>
      </c>
    </row>
    <row r="639" spans="8:15" ht="11.25" customHeight="1" x14ac:dyDescent="0.2">
      <c r="H639" s="10"/>
      <c r="I639" s="10"/>
      <c r="J639" s="10"/>
      <c r="K639" s="10"/>
      <c r="L639" s="1">
        <f t="shared" si="39"/>
        <v>0</v>
      </c>
      <c r="M639" s="1">
        <f t="shared" si="40"/>
        <v>0</v>
      </c>
      <c r="N639" s="1">
        <f t="shared" si="41"/>
        <v>0</v>
      </c>
      <c r="O639" s="1">
        <f t="shared" si="42"/>
        <v>0</v>
      </c>
    </row>
    <row r="640" spans="8:15" ht="11.25" customHeight="1" x14ac:dyDescent="0.2">
      <c r="H640" s="10"/>
      <c r="I640" s="10"/>
      <c r="J640" s="10"/>
      <c r="K640" s="10"/>
      <c r="L640" s="1">
        <f t="shared" si="39"/>
        <v>0</v>
      </c>
      <c r="M640" s="1">
        <f t="shared" si="40"/>
        <v>0</v>
      </c>
      <c r="N640" s="1">
        <f t="shared" si="41"/>
        <v>0</v>
      </c>
      <c r="O640" s="1">
        <f t="shared" si="42"/>
        <v>0</v>
      </c>
    </row>
    <row r="641" spans="8:15" ht="11.25" customHeight="1" x14ac:dyDescent="0.2">
      <c r="H641" s="10"/>
      <c r="I641" s="10"/>
      <c r="J641" s="10"/>
      <c r="K641" s="10"/>
      <c r="L641" s="1">
        <f t="shared" si="39"/>
        <v>0</v>
      </c>
      <c r="M641" s="1">
        <f t="shared" si="40"/>
        <v>0</v>
      </c>
      <c r="N641" s="1">
        <f t="shared" si="41"/>
        <v>0</v>
      </c>
      <c r="O641" s="1">
        <f t="shared" si="42"/>
        <v>0</v>
      </c>
    </row>
    <row r="642" spans="8:15" ht="11.25" customHeight="1" x14ac:dyDescent="0.2">
      <c r="H642" s="10"/>
      <c r="I642" s="10"/>
      <c r="J642" s="10"/>
      <c r="K642" s="10"/>
      <c r="L642" s="1">
        <f t="shared" si="39"/>
        <v>0</v>
      </c>
      <c r="M642" s="1">
        <f t="shared" si="40"/>
        <v>0</v>
      </c>
      <c r="N642" s="1">
        <f t="shared" si="41"/>
        <v>0</v>
      </c>
      <c r="O642" s="1">
        <f t="shared" si="42"/>
        <v>0</v>
      </c>
    </row>
    <row r="643" spans="8:15" ht="11.25" customHeight="1" x14ac:dyDescent="0.2">
      <c r="H643" s="10"/>
      <c r="I643" s="10"/>
      <c r="J643" s="10"/>
      <c r="K643" s="10"/>
      <c r="L643" s="1">
        <f t="shared" si="39"/>
        <v>0</v>
      </c>
      <c r="M643" s="1">
        <f t="shared" si="40"/>
        <v>0</v>
      </c>
      <c r="N643" s="1">
        <f t="shared" si="41"/>
        <v>0</v>
      </c>
      <c r="O643" s="1">
        <f t="shared" si="42"/>
        <v>0</v>
      </c>
    </row>
    <row r="644" spans="8:15" ht="11.25" customHeight="1" x14ac:dyDescent="0.2">
      <c r="H644" s="10"/>
      <c r="I644" s="10"/>
      <c r="J644" s="10"/>
      <c r="K644" s="10"/>
      <c r="L644" s="1">
        <f t="shared" si="39"/>
        <v>0</v>
      </c>
      <c r="M644" s="1">
        <f t="shared" si="40"/>
        <v>0</v>
      </c>
      <c r="N644" s="1">
        <f t="shared" si="41"/>
        <v>0</v>
      </c>
      <c r="O644" s="1">
        <f t="shared" si="42"/>
        <v>0</v>
      </c>
    </row>
    <row r="645" spans="8:15" ht="11.25" customHeight="1" x14ac:dyDescent="0.2">
      <c r="H645" s="10"/>
      <c r="I645" s="10"/>
      <c r="J645" s="10"/>
      <c r="K645" s="10"/>
      <c r="L645" s="1">
        <f t="shared" si="39"/>
        <v>0</v>
      </c>
      <c r="M645" s="1">
        <f t="shared" si="40"/>
        <v>0</v>
      </c>
      <c r="N645" s="1">
        <f t="shared" si="41"/>
        <v>0</v>
      </c>
      <c r="O645" s="1">
        <f t="shared" si="42"/>
        <v>0</v>
      </c>
    </row>
    <row r="646" spans="8:15" ht="11.25" customHeight="1" x14ac:dyDescent="0.2">
      <c r="H646" s="10"/>
      <c r="I646" s="10"/>
      <c r="J646" s="10"/>
      <c r="K646" s="10"/>
      <c r="L646" s="1">
        <f t="shared" si="39"/>
        <v>0</v>
      </c>
      <c r="M646" s="1">
        <f t="shared" si="40"/>
        <v>0</v>
      </c>
      <c r="N646" s="1">
        <f t="shared" si="41"/>
        <v>0</v>
      </c>
      <c r="O646" s="1">
        <f t="shared" si="42"/>
        <v>0</v>
      </c>
    </row>
    <row r="647" spans="8:15" ht="11.25" customHeight="1" x14ac:dyDescent="0.2">
      <c r="H647" s="10"/>
      <c r="I647" s="10"/>
      <c r="J647" s="10"/>
      <c r="K647" s="10"/>
      <c r="L647" s="1">
        <f t="shared" si="39"/>
        <v>0</v>
      </c>
      <c r="M647" s="1">
        <f t="shared" si="40"/>
        <v>0</v>
      </c>
      <c r="N647" s="1">
        <f t="shared" si="41"/>
        <v>0</v>
      </c>
      <c r="O647" s="1">
        <f t="shared" si="42"/>
        <v>0</v>
      </c>
    </row>
    <row r="648" spans="8:15" ht="11.25" customHeight="1" x14ac:dyDescent="0.2">
      <c r="H648" s="10"/>
      <c r="I648" s="10"/>
      <c r="J648" s="10"/>
      <c r="K648" s="10"/>
      <c r="L648" s="1">
        <f t="shared" si="39"/>
        <v>0</v>
      </c>
      <c r="M648" s="1">
        <f t="shared" si="40"/>
        <v>0</v>
      </c>
      <c r="N648" s="1">
        <f t="shared" si="41"/>
        <v>0</v>
      </c>
      <c r="O648" s="1">
        <f t="shared" si="42"/>
        <v>0</v>
      </c>
    </row>
    <row r="649" spans="8:15" ht="11.25" customHeight="1" x14ac:dyDescent="0.2">
      <c r="H649" s="10"/>
      <c r="I649" s="10"/>
      <c r="J649" s="10"/>
      <c r="K649" s="10"/>
      <c r="L649" s="1">
        <f t="shared" si="39"/>
        <v>0</v>
      </c>
      <c r="M649" s="1">
        <f t="shared" si="40"/>
        <v>0</v>
      </c>
      <c r="N649" s="1">
        <f t="shared" si="41"/>
        <v>0</v>
      </c>
      <c r="O649" s="1">
        <f t="shared" si="42"/>
        <v>0</v>
      </c>
    </row>
    <row r="650" spans="8:15" ht="11.25" customHeight="1" x14ac:dyDescent="0.2">
      <c r="H650" s="10"/>
      <c r="I650" s="10"/>
      <c r="J650" s="10"/>
      <c r="K650" s="10"/>
      <c r="L650" s="1">
        <f t="shared" si="39"/>
        <v>0</v>
      </c>
      <c r="M650" s="1">
        <f t="shared" si="40"/>
        <v>0</v>
      </c>
      <c r="N650" s="1">
        <f t="shared" si="41"/>
        <v>0</v>
      </c>
      <c r="O650" s="1">
        <f t="shared" si="42"/>
        <v>0</v>
      </c>
    </row>
    <row r="651" spans="8:15" ht="11.25" customHeight="1" x14ac:dyDescent="0.2">
      <c r="H651" s="10"/>
      <c r="I651" s="10"/>
      <c r="J651" s="10"/>
      <c r="K651" s="10"/>
      <c r="L651" s="1">
        <f t="shared" si="39"/>
        <v>0</v>
      </c>
      <c r="M651" s="1">
        <f t="shared" si="40"/>
        <v>0</v>
      </c>
      <c r="N651" s="1">
        <f t="shared" si="41"/>
        <v>0</v>
      </c>
      <c r="O651" s="1">
        <f t="shared" si="42"/>
        <v>0</v>
      </c>
    </row>
    <row r="652" spans="8:15" ht="11.25" customHeight="1" x14ac:dyDescent="0.2">
      <c r="H652" s="10"/>
      <c r="I652" s="10"/>
      <c r="J652" s="10"/>
      <c r="K652" s="10"/>
      <c r="L652" s="1">
        <f t="shared" si="39"/>
        <v>0</v>
      </c>
      <c r="M652" s="1">
        <f t="shared" si="40"/>
        <v>0</v>
      </c>
      <c r="N652" s="1">
        <f t="shared" si="41"/>
        <v>0</v>
      </c>
      <c r="O652" s="1">
        <f t="shared" si="42"/>
        <v>0</v>
      </c>
    </row>
    <row r="653" spans="8:15" ht="11.25" customHeight="1" x14ac:dyDescent="0.2">
      <c r="H653" s="10"/>
      <c r="I653" s="10"/>
      <c r="J653" s="10"/>
      <c r="K653" s="10"/>
      <c r="L653" s="1">
        <f t="shared" si="39"/>
        <v>0</v>
      </c>
      <c r="M653" s="1">
        <f t="shared" si="40"/>
        <v>0</v>
      </c>
      <c r="N653" s="1">
        <f t="shared" si="41"/>
        <v>0</v>
      </c>
      <c r="O653" s="1">
        <f t="shared" si="42"/>
        <v>0</v>
      </c>
    </row>
    <row r="654" spans="8:15" ht="11.25" customHeight="1" x14ac:dyDescent="0.2">
      <c r="H654" s="10"/>
      <c r="I654" s="10"/>
      <c r="J654" s="10"/>
      <c r="K654" s="10"/>
      <c r="L654" s="1">
        <f t="shared" si="39"/>
        <v>0</v>
      </c>
      <c r="M654" s="1">
        <f t="shared" si="40"/>
        <v>0</v>
      </c>
      <c r="N654" s="1">
        <f t="shared" si="41"/>
        <v>0</v>
      </c>
      <c r="O654" s="1">
        <f t="shared" si="42"/>
        <v>0</v>
      </c>
    </row>
    <row r="655" spans="8:15" ht="11.25" customHeight="1" x14ac:dyDescent="0.2">
      <c r="H655" s="10"/>
      <c r="I655" s="10"/>
      <c r="J655" s="10"/>
      <c r="K655" s="10"/>
      <c r="L655" s="1">
        <f t="shared" si="39"/>
        <v>0</v>
      </c>
      <c r="M655" s="1">
        <f t="shared" si="40"/>
        <v>0</v>
      </c>
      <c r="N655" s="1">
        <f t="shared" si="41"/>
        <v>0</v>
      </c>
      <c r="O655" s="1">
        <f t="shared" si="42"/>
        <v>0</v>
      </c>
    </row>
    <row r="656" spans="8:15" ht="11.25" customHeight="1" x14ac:dyDescent="0.2">
      <c r="H656" s="10"/>
      <c r="I656" s="10"/>
      <c r="J656" s="10"/>
      <c r="K656" s="10"/>
      <c r="L656" s="1">
        <f t="shared" si="39"/>
        <v>0</v>
      </c>
      <c r="M656" s="1">
        <f t="shared" si="40"/>
        <v>0</v>
      </c>
      <c r="N656" s="1">
        <f t="shared" si="41"/>
        <v>0</v>
      </c>
      <c r="O656" s="1">
        <f t="shared" si="42"/>
        <v>0</v>
      </c>
    </row>
    <row r="657" spans="8:15" ht="11.25" customHeight="1" x14ac:dyDescent="0.2">
      <c r="H657" s="10"/>
      <c r="I657" s="10"/>
      <c r="J657" s="10"/>
      <c r="K657" s="10"/>
      <c r="L657" s="1">
        <f t="shared" si="39"/>
        <v>0</v>
      </c>
      <c r="M657" s="1">
        <f t="shared" si="40"/>
        <v>0</v>
      </c>
      <c r="N657" s="1">
        <f t="shared" si="41"/>
        <v>0</v>
      </c>
      <c r="O657" s="1">
        <f t="shared" si="42"/>
        <v>0</v>
      </c>
    </row>
    <row r="658" spans="8:15" ht="11.25" customHeight="1" x14ac:dyDescent="0.2">
      <c r="H658" s="10"/>
      <c r="I658" s="10"/>
      <c r="J658" s="10"/>
      <c r="K658" s="10"/>
      <c r="L658" s="1">
        <f t="shared" si="39"/>
        <v>0</v>
      </c>
      <c r="M658" s="1">
        <f t="shared" si="40"/>
        <v>0</v>
      </c>
      <c r="N658" s="1">
        <f t="shared" si="41"/>
        <v>0</v>
      </c>
      <c r="O658" s="1">
        <f t="shared" si="42"/>
        <v>0</v>
      </c>
    </row>
    <row r="659" spans="8:15" ht="11.25" customHeight="1" x14ac:dyDescent="0.2">
      <c r="H659" s="10"/>
      <c r="I659" s="10"/>
      <c r="J659" s="10"/>
      <c r="K659" s="10"/>
      <c r="L659" s="1">
        <f t="shared" si="39"/>
        <v>0</v>
      </c>
      <c r="M659" s="1">
        <f t="shared" si="40"/>
        <v>0</v>
      </c>
      <c r="N659" s="1">
        <f t="shared" si="41"/>
        <v>0</v>
      </c>
      <c r="O659" s="1">
        <f t="shared" si="42"/>
        <v>0</v>
      </c>
    </row>
    <row r="660" spans="8:15" ht="11.25" customHeight="1" x14ac:dyDescent="0.2">
      <c r="H660" s="10"/>
      <c r="I660" s="10"/>
      <c r="J660" s="10"/>
      <c r="K660" s="10"/>
      <c r="L660" s="1">
        <f t="shared" si="39"/>
        <v>0</v>
      </c>
      <c r="M660" s="1">
        <f t="shared" si="40"/>
        <v>0</v>
      </c>
      <c r="N660" s="1">
        <f t="shared" si="41"/>
        <v>0</v>
      </c>
      <c r="O660" s="1">
        <f t="shared" si="42"/>
        <v>0</v>
      </c>
    </row>
    <row r="661" spans="8:15" ht="11.25" customHeight="1" x14ac:dyDescent="0.2">
      <c r="H661" s="10"/>
      <c r="I661" s="10"/>
      <c r="J661" s="10"/>
      <c r="K661" s="10"/>
      <c r="L661" s="1">
        <f t="shared" si="39"/>
        <v>0</v>
      </c>
      <c r="M661" s="1">
        <f t="shared" si="40"/>
        <v>0</v>
      </c>
      <c r="N661" s="1">
        <f t="shared" si="41"/>
        <v>0</v>
      </c>
      <c r="O661" s="1">
        <f t="shared" si="42"/>
        <v>0</v>
      </c>
    </row>
    <row r="662" spans="8:15" ht="11.25" customHeight="1" x14ac:dyDescent="0.2">
      <c r="H662" s="10"/>
      <c r="I662" s="10"/>
      <c r="J662" s="10"/>
      <c r="K662" s="10"/>
      <c r="L662" s="1">
        <f t="shared" si="39"/>
        <v>0</v>
      </c>
      <c r="M662" s="1">
        <f t="shared" si="40"/>
        <v>0</v>
      </c>
      <c r="N662" s="1">
        <f t="shared" si="41"/>
        <v>0</v>
      </c>
      <c r="O662" s="1">
        <f t="shared" si="42"/>
        <v>0</v>
      </c>
    </row>
    <row r="663" spans="8:15" ht="11.25" customHeight="1" x14ac:dyDescent="0.2">
      <c r="H663" s="10"/>
      <c r="I663" s="10"/>
      <c r="J663" s="10"/>
      <c r="K663" s="10"/>
      <c r="L663" s="1">
        <f t="shared" si="39"/>
        <v>0</v>
      </c>
      <c r="M663" s="1">
        <f t="shared" si="40"/>
        <v>0</v>
      </c>
      <c r="N663" s="1">
        <f t="shared" si="41"/>
        <v>0</v>
      </c>
      <c r="O663" s="1">
        <f t="shared" si="42"/>
        <v>0</v>
      </c>
    </row>
    <row r="664" spans="8:15" ht="11.25" customHeight="1" x14ac:dyDescent="0.2">
      <c r="H664" s="10"/>
      <c r="I664" s="10"/>
      <c r="J664" s="10"/>
      <c r="K664" s="10"/>
      <c r="L664" s="1">
        <f t="shared" si="39"/>
        <v>0</v>
      </c>
      <c r="M664" s="1">
        <f t="shared" si="40"/>
        <v>0</v>
      </c>
      <c r="N664" s="1">
        <f t="shared" si="41"/>
        <v>0</v>
      </c>
      <c r="O664" s="1">
        <f t="shared" si="42"/>
        <v>0</v>
      </c>
    </row>
    <row r="665" spans="8:15" ht="11.25" customHeight="1" x14ac:dyDescent="0.2">
      <c r="H665" s="10"/>
      <c r="I665" s="10"/>
      <c r="J665" s="10"/>
      <c r="K665" s="10"/>
      <c r="L665" s="1">
        <f t="shared" si="39"/>
        <v>0</v>
      </c>
      <c r="M665" s="1">
        <f t="shared" si="40"/>
        <v>0</v>
      </c>
      <c r="N665" s="1">
        <f t="shared" si="41"/>
        <v>0</v>
      </c>
      <c r="O665" s="1">
        <f t="shared" si="42"/>
        <v>0</v>
      </c>
    </row>
    <row r="666" spans="8:15" ht="11.25" customHeight="1" x14ac:dyDescent="0.2">
      <c r="H666" s="10"/>
      <c r="I666" s="10"/>
      <c r="J666" s="10"/>
      <c r="K666" s="10"/>
      <c r="L666" s="1">
        <f t="shared" si="39"/>
        <v>0</v>
      </c>
      <c r="M666" s="1">
        <f t="shared" si="40"/>
        <v>0</v>
      </c>
      <c r="N666" s="1">
        <f t="shared" si="41"/>
        <v>0</v>
      </c>
      <c r="O666" s="1">
        <f t="shared" si="42"/>
        <v>0</v>
      </c>
    </row>
    <row r="667" spans="8:15" ht="11.25" customHeight="1" x14ac:dyDescent="0.2">
      <c r="H667" s="10"/>
      <c r="I667" s="10"/>
      <c r="J667" s="10"/>
      <c r="K667" s="10"/>
      <c r="L667" s="1">
        <f t="shared" si="39"/>
        <v>0</v>
      </c>
      <c r="M667" s="1">
        <f t="shared" si="40"/>
        <v>0</v>
      </c>
      <c r="N667" s="1">
        <f t="shared" si="41"/>
        <v>0</v>
      </c>
      <c r="O667" s="1">
        <f t="shared" si="42"/>
        <v>0</v>
      </c>
    </row>
    <row r="668" spans="8:15" ht="11.25" customHeight="1" x14ac:dyDescent="0.2">
      <c r="H668" s="10"/>
      <c r="I668" s="10"/>
      <c r="J668" s="10"/>
      <c r="K668" s="10"/>
      <c r="L668" s="1">
        <f t="shared" si="39"/>
        <v>0</v>
      </c>
      <c r="M668" s="1">
        <f t="shared" si="40"/>
        <v>0</v>
      </c>
      <c r="N668" s="1">
        <f t="shared" si="41"/>
        <v>0</v>
      </c>
      <c r="O668" s="1">
        <f t="shared" si="42"/>
        <v>0</v>
      </c>
    </row>
    <row r="669" spans="8:15" ht="11.25" customHeight="1" x14ac:dyDescent="0.2">
      <c r="H669" s="10"/>
      <c r="I669" s="10"/>
      <c r="J669" s="10"/>
      <c r="K669" s="10"/>
      <c r="L669" s="1">
        <f t="shared" si="39"/>
        <v>0</v>
      </c>
      <c r="M669" s="1">
        <f t="shared" si="40"/>
        <v>0</v>
      </c>
      <c r="N669" s="1">
        <f t="shared" si="41"/>
        <v>0</v>
      </c>
      <c r="O669" s="1">
        <f t="shared" si="42"/>
        <v>0</v>
      </c>
    </row>
    <row r="670" spans="8:15" ht="11.25" customHeight="1" x14ac:dyDescent="0.2">
      <c r="H670" s="10"/>
      <c r="I670" s="10"/>
      <c r="J670" s="10"/>
      <c r="K670" s="10"/>
      <c r="L670" s="1">
        <f t="shared" si="39"/>
        <v>0</v>
      </c>
      <c r="M670" s="1">
        <f t="shared" si="40"/>
        <v>0</v>
      </c>
      <c r="N670" s="1">
        <f t="shared" si="41"/>
        <v>0</v>
      </c>
      <c r="O670" s="1">
        <f t="shared" si="42"/>
        <v>0</v>
      </c>
    </row>
    <row r="671" spans="8:15" ht="11.25" customHeight="1" x14ac:dyDescent="0.2">
      <c r="H671" s="10"/>
      <c r="I671" s="10"/>
      <c r="J671" s="10"/>
      <c r="K671" s="10"/>
      <c r="L671" s="1">
        <f t="shared" si="39"/>
        <v>0</v>
      </c>
      <c r="M671" s="1">
        <f t="shared" si="40"/>
        <v>0</v>
      </c>
      <c r="N671" s="1">
        <f t="shared" si="41"/>
        <v>0</v>
      </c>
      <c r="O671" s="1">
        <f t="shared" si="42"/>
        <v>0</v>
      </c>
    </row>
    <row r="672" spans="8:15" ht="11.25" customHeight="1" x14ac:dyDescent="0.2">
      <c r="H672" s="10"/>
      <c r="I672" s="10"/>
      <c r="J672" s="10"/>
      <c r="K672" s="10"/>
      <c r="L672" s="1">
        <f t="shared" si="39"/>
        <v>0</v>
      </c>
      <c r="M672" s="1">
        <f t="shared" si="40"/>
        <v>0</v>
      </c>
      <c r="N672" s="1">
        <f t="shared" si="41"/>
        <v>0</v>
      </c>
      <c r="O672" s="1">
        <f t="shared" si="42"/>
        <v>0</v>
      </c>
    </row>
    <row r="673" spans="8:15" ht="11.25" customHeight="1" x14ac:dyDescent="0.2">
      <c r="H673" s="10"/>
      <c r="I673" s="10"/>
      <c r="J673" s="10"/>
      <c r="K673" s="10"/>
      <c r="L673" s="1">
        <f t="shared" si="39"/>
        <v>0</v>
      </c>
      <c r="M673" s="1">
        <f t="shared" si="40"/>
        <v>0</v>
      </c>
      <c r="N673" s="1">
        <f t="shared" si="41"/>
        <v>0</v>
      </c>
      <c r="O673" s="1">
        <f t="shared" si="42"/>
        <v>0</v>
      </c>
    </row>
    <row r="674" spans="8:15" ht="11.25" customHeight="1" x14ac:dyDescent="0.2">
      <c r="H674" s="10"/>
      <c r="I674" s="10"/>
      <c r="J674" s="10"/>
      <c r="K674" s="10"/>
      <c r="L674" s="1">
        <f t="shared" si="39"/>
        <v>0</v>
      </c>
      <c r="M674" s="1">
        <f t="shared" si="40"/>
        <v>0</v>
      </c>
      <c r="N674" s="1">
        <f t="shared" si="41"/>
        <v>0</v>
      </c>
      <c r="O674" s="1">
        <f t="shared" si="42"/>
        <v>0</v>
      </c>
    </row>
    <row r="675" spans="8:15" ht="11.25" customHeight="1" x14ac:dyDescent="0.2">
      <c r="H675" s="10"/>
      <c r="I675" s="10"/>
      <c r="J675" s="10"/>
      <c r="K675" s="10"/>
      <c r="L675" s="1">
        <f t="shared" si="39"/>
        <v>0</v>
      </c>
      <c r="M675" s="1">
        <f t="shared" si="40"/>
        <v>0</v>
      </c>
      <c r="N675" s="1">
        <f t="shared" si="41"/>
        <v>0</v>
      </c>
      <c r="O675" s="1">
        <f t="shared" si="42"/>
        <v>0</v>
      </c>
    </row>
    <row r="676" spans="8:15" ht="11.25" customHeight="1" x14ac:dyDescent="0.2">
      <c r="H676" s="10"/>
      <c r="I676" s="10"/>
      <c r="J676" s="10"/>
      <c r="K676" s="10"/>
      <c r="L676" s="1">
        <f t="shared" si="39"/>
        <v>0</v>
      </c>
      <c r="M676" s="1">
        <f t="shared" si="40"/>
        <v>0</v>
      </c>
      <c r="N676" s="1">
        <f t="shared" si="41"/>
        <v>0</v>
      </c>
      <c r="O676" s="1">
        <f t="shared" si="42"/>
        <v>0</v>
      </c>
    </row>
    <row r="677" spans="8:15" ht="11.25" customHeight="1" x14ac:dyDescent="0.2">
      <c r="H677" s="10"/>
      <c r="I677" s="10"/>
      <c r="J677" s="10"/>
      <c r="K677" s="10"/>
      <c r="L677" s="1">
        <f t="shared" si="39"/>
        <v>0</v>
      </c>
      <c r="M677" s="1">
        <f t="shared" si="40"/>
        <v>0</v>
      </c>
      <c r="N677" s="1">
        <f t="shared" si="41"/>
        <v>0</v>
      </c>
      <c r="O677" s="1">
        <f t="shared" si="42"/>
        <v>0</v>
      </c>
    </row>
    <row r="678" spans="8:15" ht="11.25" customHeight="1" x14ac:dyDescent="0.2">
      <c r="H678" s="10"/>
      <c r="I678" s="10"/>
      <c r="J678" s="10"/>
      <c r="K678" s="10"/>
      <c r="L678" s="1">
        <f t="shared" si="39"/>
        <v>0</v>
      </c>
      <c r="M678" s="1">
        <f t="shared" si="40"/>
        <v>0</v>
      </c>
      <c r="N678" s="1">
        <f t="shared" si="41"/>
        <v>0</v>
      </c>
      <c r="O678" s="1">
        <f t="shared" si="42"/>
        <v>0</v>
      </c>
    </row>
    <row r="679" spans="8:15" ht="11.25" customHeight="1" x14ac:dyDescent="0.2">
      <c r="H679" s="10"/>
      <c r="I679" s="10"/>
      <c r="J679" s="10"/>
      <c r="K679" s="10"/>
      <c r="L679" s="1">
        <f t="shared" si="39"/>
        <v>0</v>
      </c>
      <c r="M679" s="1">
        <f t="shared" si="40"/>
        <v>0</v>
      </c>
      <c r="N679" s="1">
        <f t="shared" si="41"/>
        <v>0</v>
      </c>
      <c r="O679" s="1">
        <f t="shared" si="42"/>
        <v>0</v>
      </c>
    </row>
    <row r="680" spans="8:15" ht="11.25" customHeight="1" x14ac:dyDescent="0.2">
      <c r="H680" s="10"/>
      <c r="I680" s="10"/>
      <c r="J680" s="10"/>
      <c r="K680" s="10"/>
      <c r="L680" s="1">
        <f t="shared" si="39"/>
        <v>0</v>
      </c>
      <c r="M680" s="1">
        <f t="shared" si="40"/>
        <v>0</v>
      </c>
      <c r="N680" s="1">
        <f t="shared" si="41"/>
        <v>0</v>
      </c>
      <c r="O680" s="1">
        <f t="shared" si="42"/>
        <v>0</v>
      </c>
    </row>
    <row r="681" spans="8:15" ht="11.25" customHeight="1" x14ac:dyDescent="0.2">
      <c r="H681" s="10"/>
      <c r="I681" s="10"/>
      <c r="J681" s="10"/>
      <c r="K681" s="10"/>
      <c r="L681" s="1">
        <f t="shared" si="39"/>
        <v>0</v>
      </c>
      <c r="M681" s="1">
        <f t="shared" si="40"/>
        <v>0</v>
      </c>
      <c r="N681" s="1">
        <f t="shared" si="41"/>
        <v>0</v>
      </c>
      <c r="O681" s="1">
        <f t="shared" si="42"/>
        <v>0</v>
      </c>
    </row>
    <row r="682" spans="8:15" ht="11.25" customHeight="1" x14ac:dyDescent="0.2">
      <c r="H682" s="10"/>
      <c r="I682" s="10"/>
      <c r="J682" s="10"/>
      <c r="K682" s="10"/>
      <c r="L682" s="1">
        <f t="shared" si="39"/>
        <v>0</v>
      </c>
      <c r="M682" s="1">
        <f t="shared" si="40"/>
        <v>0</v>
      </c>
      <c r="N682" s="1">
        <f t="shared" si="41"/>
        <v>0</v>
      </c>
      <c r="O682" s="1">
        <f t="shared" si="42"/>
        <v>0</v>
      </c>
    </row>
    <row r="683" spans="8:15" ht="11.25" customHeight="1" x14ac:dyDescent="0.2">
      <c r="H683" s="10"/>
      <c r="I683" s="10"/>
      <c r="J683" s="10"/>
      <c r="K683" s="10"/>
      <c r="L683" s="1">
        <f t="shared" si="39"/>
        <v>0</v>
      </c>
      <c r="M683" s="1">
        <f t="shared" si="40"/>
        <v>0</v>
      </c>
      <c r="N683" s="1">
        <f t="shared" si="41"/>
        <v>0</v>
      </c>
      <c r="O683" s="1">
        <f t="shared" si="42"/>
        <v>0</v>
      </c>
    </row>
    <row r="684" spans="8:15" ht="11.25" customHeight="1" x14ac:dyDescent="0.2">
      <c r="H684" s="10"/>
      <c r="I684" s="10"/>
      <c r="J684" s="10"/>
      <c r="K684" s="10"/>
      <c r="L684" s="1">
        <f t="shared" si="39"/>
        <v>0</v>
      </c>
      <c r="M684" s="1">
        <f t="shared" si="40"/>
        <v>0</v>
      </c>
      <c r="N684" s="1">
        <f t="shared" si="41"/>
        <v>0</v>
      </c>
      <c r="O684" s="1">
        <f t="shared" si="42"/>
        <v>0</v>
      </c>
    </row>
    <row r="685" spans="8:15" ht="11.25" customHeight="1" x14ac:dyDescent="0.2">
      <c r="H685" s="10"/>
      <c r="I685" s="10"/>
      <c r="J685" s="10"/>
      <c r="K685" s="10"/>
      <c r="L685" s="1">
        <f t="shared" si="39"/>
        <v>0</v>
      </c>
      <c r="M685" s="1">
        <f t="shared" si="40"/>
        <v>0</v>
      </c>
      <c r="N685" s="1">
        <f t="shared" si="41"/>
        <v>0</v>
      </c>
      <c r="O685" s="1">
        <f t="shared" si="42"/>
        <v>0</v>
      </c>
    </row>
    <row r="686" spans="8:15" ht="11.25" customHeight="1" x14ac:dyDescent="0.2">
      <c r="H686" s="10"/>
      <c r="I686" s="10"/>
      <c r="J686" s="10"/>
      <c r="K686" s="10"/>
      <c r="L686" s="1">
        <f t="shared" si="39"/>
        <v>0</v>
      </c>
      <c r="M686" s="1">
        <f t="shared" si="40"/>
        <v>0</v>
      </c>
      <c r="N686" s="1">
        <f t="shared" si="41"/>
        <v>0</v>
      </c>
      <c r="O686" s="1">
        <f t="shared" si="42"/>
        <v>0</v>
      </c>
    </row>
    <row r="687" spans="8:15" ht="11.25" customHeight="1" x14ac:dyDescent="0.2">
      <c r="H687" s="10"/>
      <c r="I687" s="10"/>
      <c r="J687" s="10"/>
      <c r="K687" s="10"/>
      <c r="L687" s="1">
        <f t="shared" si="39"/>
        <v>0</v>
      </c>
      <c r="M687" s="1">
        <f t="shared" si="40"/>
        <v>0</v>
      </c>
      <c r="N687" s="1">
        <f t="shared" si="41"/>
        <v>0</v>
      </c>
      <c r="O687" s="1">
        <f t="shared" si="42"/>
        <v>0</v>
      </c>
    </row>
    <row r="688" spans="8:15" ht="11.25" customHeight="1" x14ac:dyDescent="0.2">
      <c r="H688" s="10"/>
      <c r="I688" s="10"/>
      <c r="J688" s="10"/>
      <c r="K688" s="10"/>
      <c r="L688" s="1">
        <f t="shared" si="39"/>
        <v>0</v>
      </c>
      <c r="M688" s="1">
        <f t="shared" si="40"/>
        <v>0</v>
      </c>
      <c r="N688" s="1">
        <f t="shared" si="41"/>
        <v>0</v>
      </c>
      <c r="O688" s="1">
        <f t="shared" si="42"/>
        <v>0</v>
      </c>
    </row>
    <row r="689" spans="8:15" ht="11.25" customHeight="1" x14ac:dyDescent="0.2">
      <c r="H689" s="10"/>
      <c r="I689" s="10"/>
      <c r="J689" s="10"/>
      <c r="K689" s="10"/>
      <c r="L689" s="1">
        <f t="shared" si="39"/>
        <v>0</v>
      </c>
      <c r="M689" s="1">
        <f t="shared" si="40"/>
        <v>0</v>
      </c>
      <c r="N689" s="1">
        <f t="shared" si="41"/>
        <v>0</v>
      </c>
      <c r="O689" s="1">
        <f t="shared" si="42"/>
        <v>0</v>
      </c>
    </row>
    <row r="690" spans="8:15" ht="11.25" customHeight="1" x14ac:dyDescent="0.2">
      <c r="H690" s="10"/>
      <c r="I690" s="10"/>
      <c r="J690" s="10"/>
      <c r="K690" s="10"/>
      <c r="L690" s="1">
        <f t="shared" si="39"/>
        <v>0</v>
      </c>
      <c r="M690" s="1">
        <f t="shared" si="40"/>
        <v>0</v>
      </c>
      <c r="N690" s="1">
        <f t="shared" si="41"/>
        <v>0</v>
      </c>
      <c r="O690" s="1">
        <f t="shared" si="42"/>
        <v>0</v>
      </c>
    </row>
    <row r="691" spans="8:15" ht="11.25" customHeight="1" x14ac:dyDescent="0.2">
      <c r="H691" s="10"/>
      <c r="I691" s="10"/>
      <c r="J691" s="10"/>
      <c r="K691" s="10"/>
      <c r="L691" s="1">
        <f t="shared" si="39"/>
        <v>0</v>
      </c>
      <c r="M691" s="1">
        <f t="shared" si="40"/>
        <v>0</v>
      </c>
      <c r="N691" s="1">
        <f t="shared" si="41"/>
        <v>0</v>
      </c>
      <c r="O691" s="1">
        <f t="shared" si="42"/>
        <v>0</v>
      </c>
    </row>
    <row r="692" spans="8:15" ht="11.25" customHeight="1" x14ac:dyDescent="0.2">
      <c r="H692" s="10"/>
      <c r="I692" s="10"/>
      <c r="J692" s="10"/>
      <c r="K692" s="10"/>
      <c r="L692" s="1">
        <f t="shared" si="39"/>
        <v>0</v>
      </c>
      <c r="M692" s="1">
        <f t="shared" si="40"/>
        <v>0</v>
      </c>
      <c r="N692" s="1">
        <f t="shared" si="41"/>
        <v>0</v>
      </c>
      <c r="O692" s="1">
        <f t="shared" si="42"/>
        <v>0</v>
      </c>
    </row>
    <row r="693" spans="8:15" ht="11.25" customHeight="1" x14ac:dyDescent="0.2">
      <c r="H693" s="10"/>
      <c r="I693" s="10"/>
      <c r="J693" s="10"/>
      <c r="K693" s="10"/>
      <c r="L693" s="1">
        <f t="shared" si="39"/>
        <v>0</v>
      </c>
      <c r="M693" s="1">
        <f t="shared" si="40"/>
        <v>0</v>
      </c>
      <c r="N693" s="1">
        <f t="shared" si="41"/>
        <v>0</v>
      </c>
      <c r="O693" s="1">
        <f t="shared" si="42"/>
        <v>0</v>
      </c>
    </row>
    <row r="694" spans="8:15" ht="11.25" customHeight="1" x14ac:dyDescent="0.2">
      <c r="H694" s="10"/>
      <c r="I694" s="10"/>
      <c r="J694" s="10"/>
      <c r="K694" s="10"/>
      <c r="L694" s="1">
        <f t="shared" si="39"/>
        <v>0</v>
      </c>
      <c r="M694" s="1">
        <f t="shared" si="40"/>
        <v>0</v>
      </c>
      <c r="N694" s="1">
        <f t="shared" si="41"/>
        <v>0</v>
      </c>
      <c r="O694" s="1">
        <f t="shared" si="42"/>
        <v>0</v>
      </c>
    </row>
    <row r="695" spans="8:15" ht="11.25" customHeight="1" x14ac:dyDescent="0.2">
      <c r="H695" s="10"/>
      <c r="I695" s="10"/>
      <c r="J695" s="10"/>
      <c r="K695" s="10"/>
      <c r="L695" s="1">
        <f t="shared" si="39"/>
        <v>0</v>
      </c>
      <c r="M695" s="1">
        <f t="shared" si="40"/>
        <v>0</v>
      </c>
      <c r="N695" s="1">
        <f t="shared" si="41"/>
        <v>0</v>
      </c>
      <c r="O695" s="1">
        <f t="shared" si="42"/>
        <v>0</v>
      </c>
    </row>
    <row r="696" spans="8:15" ht="11.25" customHeight="1" x14ac:dyDescent="0.2">
      <c r="H696" s="10"/>
      <c r="I696" s="10"/>
      <c r="J696" s="10"/>
      <c r="K696" s="10"/>
      <c r="L696" s="1">
        <f t="shared" si="39"/>
        <v>0</v>
      </c>
      <c r="M696" s="1">
        <f t="shared" si="40"/>
        <v>0</v>
      </c>
      <c r="N696" s="1">
        <f t="shared" si="41"/>
        <v>0</v>
      </c>
      <c r="O696" s="1">
        <f t="shared" si="42"/>
        <v>0</v>
      </c>
    </row>
    <row r="697" spans="8:15" ht="11.25" customHeight="1" x14ac:dyDescent="0.2">
      <c r="H697" s="10"/>
      <c r="I697" s="10"/>
      <c r="J697" s="10"/>
      <c r="K697" s="10"/>
      <c r="L697" s="1">
        <f t="shared" si="39"/>
        <v>0</v>
      </c>
      <c r="M697" s="1">
        <f t="shared" si="40"/>
        <v>0</v>
      </c>
      <c r="N697" s="1">
        <f t="shared" si="41"/>
        <v>0</v>
      </c>
      <c r="O697" s="1">
        <f t="shared" si="42"/>
        <v>0</v>
      </c>
    </row>
    <row r="698" spans="8:15" ht="11.25" customHeight="1" x14ac:dyDescent="0.2">
      <c r="H698" s="10"/>
      <c r="I698" s="10"/>
      <c r="J698" s="10"/>
      <c r="K698" s="10"/>
      <c r="L698" s="1">
        <f t="shared" si="39"/>
        <v>0</v>
      </c>
      <c r="M698" s="1">
        <f t="shared" si="40"/>
        <v>0</v>
      </c>
      <c r="N698" s="1">
        <f t="shared" si="41"/>
        <v>0</v>
      </c>
      <c r="O698" s="1">
        <f t="shared" si="42"/>
        <v>0</v>
      </c>
    </row>
    <row r="699" spans="8:15" ht="11.25" customHeight="1" x14ac:dyDescent="0.2">
      <c r="H699" s="10"/>
      <c r="I699" s="10"/>
      <c r="J699" s="10"/>
      <c r="K699" s="10"/>
      <c r="L699" s="1">
        <f t="shared" si="39"/>
        <v>0</v>
      </c>
      <c r="M699" s="1">
        <f t="shared" si="40"/>
        <v>0</v>
      </c>
      <c r="N699" s="1">
        <f t="shared" si="41"/>
        <v>0</v>
      </c>
      <c r="O699" s="1">
        <f t="shared" si="42"/>
        <v>0</v>
      </c>
    </row>
    <row r="700" spans="8:15" ht="11.25" customHeight="1" x14ac:dyDescent="0.2">
      <c r="H700" s="10"/>
      <c r="I700" s="10"/>
      <c r="J700" s="10"/>
      <c r="K700" s="10"/>
      <c r="L700" s="1">
        <f t="shared" ref="L700:L763" si="43">IF($M$57,H700,J700)</f>
        <v>0</v>
      </c>
      <c r="M700" s="1">
        <f t="shared" ref="M700:M763" si="44">IF($M$57,I700,K700)</f>
        <v>0</v>
      </c>
      <c r="N700" s="1">
        <f t="shared" ref="N700:N763" si="45">IF($M$57,J700,H700)</f>
        <v>0</v>
      </c>
      <c r="O700" s="1">
        <f t="shared" ref="O700:O763" si="46">IF($M$57,K700,I700)</f>
        <v>0</v>
      </c>
    </row>
    <row r="701" spans="8:15" ht="11.25" customHeight="1" x14ac:dyDescent="0.2">
      <c r="H701" s="10"/>
      <c r="I701" s="10"/>
      <c r="J701" s="10"/>
      <c r="K701" s="10"/>
      <c r="L701" s="1">
        <f t="shared" si="43"/>
        <v>0</v>
      </c>
      <c r="M701" s="1">
        <f t="shared" si="44"/>
        <v>0</v>
      </c>
      <c r="N701" s="1">
        <f t="shared" si="45"/>
        <v>0</v>
      </c>
      <c r="O701" s="1">
        <f t="shared" si="46"/>
        <v>0</v>
      </c>
    </row>
    <row r="702" spans="8:15" ht="11.25" customHeight="1" x14ac:dyDescent="0.2">
      <c r="H702" s="10"/>
      <c r="I702" s="10"/>
      <c r="J702" s="10"/>
      <c r="K702" s="10"/>
      <c r="L702" s="1">
        <f t="shared" si="43"/>
        <v>0</v>
      </c>
      <c r="M702" s="1">
        <f t="shared" si="44"/>
        <v>0</v>
      </c>
      <c r="N702" s="1">
        <f t="shared" si="45"/>
        <v>0</v>
      </c>
      <c r="O702" s="1">
        <f t="shared" si="46"/>
        <v>0</v>
      </c>
    </row>
    <row r="703" spans="8:15" ht="11.25" customHeight="1" x14ac:dyDescent="0.2">
      <c r="H703" s="10"/>
      <c r="I703" s="10"/>
      <c r="J703" s="10"/>
      <c r="K703" s="10"/>
      <c r="L703" s="1">
        <f t="shared" si="43"/>
        <v>0</v>
      </c>
      <c r="M703" s="1">
        <f t="shared" si="44"/>
        <v>0</v>
      </c>
      <c r="N703" s="1">
        <f t="shared" si="45"/>
        <v>0</v>
      </c>
      <c r="O703" s="1">
        <f t="shared" si="46"/>
        <v>0</v>
      </c>
    </row>
    <row r="704" spans="8:15" ht="11.25" customHeight="1" x14ac:dyDescent="0.2">
      <c r="H704" s="10"/>
      <c r="I704" s="10"/>
      <c r="J704" s="10"/>
      <c r="K704" s="10"/>
      <c r="L704" s="1">
        <f t="shared" si="43"/>
        <v>0</v>
      </c>
      <c r="M704" s="1">
        <f t="shared" si="44"/>
        <v>0</v>
      </c>
      <c r="N704" s="1">
        <f t="shared" si="45"/>
        <v>0</v>
      </c>
      <c r="O704" s="1">
        <f t="shared" si="46"/>
        <v>0</v>
      </c>
    </row>
    <row r="705" spans="8:15" ht="11.25" customHeight="1" x14ac:dyDescent="0.2">
      <c r="H705" s="10"/>
      <c r="I705" s="10"/>
      <c r="J705" s="10"/>
      <c r="K705" s="10"/>
      <c r="L705" s="1">
        <f t="shared" si="43"/>
        <v>0</v>
      </c>
      <c r="M705" s="1">
        <f t="shared" si="44"/>
        <v>0</v>
      </c>
      <c r="N705" s="1">
        <f t="shared" si="45"/>
        <v>0</v>
      </c>
      <c r="O705" s="1">
        <f t="shared" si="46"/>
        <v>0</v>
      </c>
    </row>
    <row r="706" spans="8:15" ht="11.25" customHeight="1" x14ac:dyDescent="0.2">
      <c r="H706" s="10"/>
      <c r="I706" s="10"/>
      <c r="J706" s="10"/>
      <c r="K706" s="10"/>
      <c r="L706" s="1">
        <f t="shared" si="43"/>
        <v>0</v>
      </c>
      <c r="M706" s="1">
        <f t="shared" si="44"/>
        <v>0</v>
      </c>
      <c r="N706" s="1">
        <f t="shared" si="45"/>
        <v>0</v>
      </c>
      <c r="O706" s="1">
        <f t="shared" si="46"/>
        <v>0</v>
      </c>
    </row>
    <row r="707" spans="8:15" ht="11.25" customHeight="1" x14ac:dyDescent="0.2">
      <c r="H707" s="10"/>
      <c r="I707" s="10"/>
      <c r="J707" s="10"/>
      <c r="K707" s="10"/>
      <c r="L707" s="1">
        <f t="shared" si="43"/>
        <v>0</v>
      </c>
      <c r="M707" s="1">
        <f t="shared" si="44"/>
        <v>0</v>
      </c>
      <c r="N707" s="1">
        <f t="shared" si="45"/>
        <v>0</v>
      </c>
      <c r="O707" s="1">
        <f t="shared" si="46"/>
        <v>0</v>
      </c>
    </row>
    <row r="708" spans="8:15" ht="11.25" customHeight="1" x14ac:dyDescent="0.2">
      <c r="H708" s="10"/>
      <c r="I708" s="10"/>
      <c r="J708" s="10"/>
      <c r="K708" s="10"/>
      <c r="L708" s="1">
        <f t="shared" si="43"/>
        <v>0</v>
      </c>
      <c r="M708" s="1">
        <f t="shared" si="44"/>
        <v>0</v>
      </c>
      <c r="N708" s="1">
        <f t="shared" si="45"/>
        <v>0</v>
      </c>
      <c r="O708" s="1">
        <f t="shared" si="46"/>
        <v>0</v>
      </c>
    </row>
    <row r="709" spans="8:15" ht="11.25" customHeight="1" x14ac:dyDescent="0.2">
      <c r="H709" s="10"/>
      <c r="I709" s="10"/>
      <c r="J709" s="10"/>
      <c r="K709" s="10"/>
      <c r="L709" s="1">
        <f t="shared" si="43"/>
        <v>0</v>
      </c>
      <c r="M709" s="1">
        <f t="shared" si="44"/>
        <v>0</v>
      </c>
      <c r="N709" s="1">
        <f t="shared" si="45"/>
        <v>0</v>
      </c>
      <c r="O709" s="1">
        <f t="shared" si="46"/>
        <v>0</v>
      </c>
    </row>
    <row r="710" spans="8:15" ht="11.25" customHeight="1" x14ac:dyDescent="0.2">
      <c r="H710" s="10"/>
      <c r="I710" s="10"/>
      <c r="J710" s="10"/>
      <c r="K710" s="10"/>
      <c r="L710" s="1">
        <f t="shared" si="43"/>
        <v>0</v>
      </c>
      <c r="M710" s="1">
        <f t="shared" si="44"/>
        <v>0</v>
      </c>
      <c r="N710" s="1">
        <f t="shared" si="45"/>
        <v>0</v>
      </c>
      <c r="O710" s="1">
        <f t="shared" si="46"/>
        <v>0</v>
      </c>
    </row>
    <row r="711" spans="8:15" ht="11.25" customHeight="1" x14ac:dyDescent="0.2">
      <c r="H711" s="10"/>
      <c r="I711" s="10"/>
      <c r="J711" s="10"/>
      <c r="K711" s="10"/>
      <c r="L711" s="1">
        <f t="shared" si="43"/>
        <v>0</v>
      </c>
      <c r="M711" s="1">
        <f t="shared" si="44"/>
        <v>0</v>
      </c>
      <c r="N711" s="1">
        <f t="shared" si="45"/>
        <v>0</v>
      </c>
      <c r="O711" s="1">
        <f t="shared" si="46"/>
        <v>0</v>
      </c>
    </row>
    <row r="712" spans="8:15" ht="11.25" customHeight="1" x14ac:dyDescent="0.2">
      <c r="H712" s="10"/>
      <c r="I712" s="10"/>
      <c r="J712" s="10"/>
      <c r="K712" s="10"/>
      <c r="L712" s="1">
        <f t="shared" si="43"/>
        <v>0</v>
      </c>
      <c r="M712" s="1">
        <f t="shared" si="44"/>
        <v>0</v>
      </c>
      <c r="N712" s="1">
        <f t="shared" si="45"/>
        <v>0</v>
      </c>
      <c r="O712" s="1">
        <f t="shared" si="46"/>
        <v>0</v>
      </c>
    </row>
    <row r="713" spans="8:15" ht="11.25" customHeight="1" x14ac:dyDescent="0.2">
      <c r="H713" s="10"/>
      <c r="I713" s="10"/>
      <c r="J713" s="10"/>
      <c r="K713" s="10"/>
      <c r="L713" s="1">
        <f t="shared" si="43"/>
        <v>0</v>
      </c>
      <c r="M713" s="1">
        <f t="shared" si="44"/>
        <v>0</v>
      </c>
      <c r="N713" s="1">
        <f t="shared" si="45"/>
        <v>0</v>
      </c>
      <c r="O713" s="1">
        <f t="shared" si="46"/>
        <v>0</v>
      </c>
    </row>
    <row r="714" spans="8:15" ht="11.25" customHeight="1" x14ac:dyDescent="0.2">
      <c r="H714" s="10"/>
      <c r="I714" s="10"/>
      <c r="J714" s="10"/>
      <c r="K714" s="10"/>
      <c r="L714" s="1">
        <f t="shared" si="43"/>
        <v>0</v>
      </c>
      <c r="M714" s="1">
        <f t="shared" si="44"/>
        <v>0</v>
      </c>
      <c r="N714" s="1">
        <f t="shared" si="45"/>
        <v>0</v>
      </c>
      <c r="O714" s="1">
        <f t="shared" si="46"/>
        <v>0</v>
      </c>
    </row>
    <row r="715" spans="8:15" ht="11.25" customHeight="1" x14ac:dyDescent="0.2">
      <c r="H715" s="10"/>
      <c r="I715" s="10"/>
      <c r="J715" s="10"/>
      <c r="K715" s="10"/>
      <c r="L715" s="1">
        <f t="shared" si="43"/>
        <v>0</v>
      </c>
      <c r="M715" s="1">
        <f t="shared" si="44"/>
        <v>0</v>
      </c>
      <c r="N715" s="1">
        <f t="shared" si="45"/>
        <v>0</v>
      </c>
      <c r="O715" s="1">
        <f t="shared" si="46"/>
        <v>0</v>
      </c>
    </row>
    <row r="716" spans="8:15" ht="11.25" customHeight="1" x14ac:dyDescent="0.2">
      <c r="H716" s="10"/>
      <c r="I716" s="10"/>
      <c r="J716" s="10"/>
      <c r="K716" s="10"/>
      <c r="L716" s="1">
        <f t="shared" si="43"/>
        <v>0</v>
      </c>
      <c r="M716" s="1">
        <f t="shared" si="44"/>
        <v>0</v>
      </c>
      <c r="N716" s="1">
        <f t="shared" si="45"/>
        <v>0</v>
      </c>
      <c r="O716" s="1">
        <f t="shared" si="46"/>
        <v>0</v>
      </c>
    </row>
    <row r="717" spans="8:15" ht="11.25" customHeight="1" x14ac:dyDescent="0.2">
      <c r="H717" s="10"/>
      <c r="I717" s="10"/>
      <c r="J717" s="10"/>
      <c r="K717" s="10"/>
      <c r="L717" s="1">
        <f t="shared" si="43"/>
        <v>0</v>
      </c>
      <c r="M717" s="1">
        <f t="shared" si="44"/>
        <v>0</v>
      </c>
      <c r="N717" s="1">
        <f t="shared" si="45"/>
        <v>0</v>
      </c>
      <c r="O717" s="1">
        <f t="shared" si="46"/>
        <v>0</v>
      </c>
    </row>
    <row r="718" spans="8:15" ht="11.25" customHeight="1" x14ac:dyDescent="0.2">
      <c r="H718" s="10"/>
      <c r="I718" s="10"/>
      <c r="J718" s="10"/>
      <c r="K718" s="10"/>
      <c r="L718" s="1">
        <f t="shared" si="43"/>
        <v>0</v>
      </c>
      <c r="M718" s="1">
        <f t="shared" si="44"/>
        <v>0</v>
      </c>
      <c r="N718" s="1">
        <f t="shared" si="45"/>
        <v>0</v>
      </c>
      <c r="O718" s="1">
        <f t="shared" si="46"/>
        <v>0</v>
      </c>
    </row>
    <row r="719" spans="8:15" ht="11.25" customHeight="1" x14ac:dyDescent="0.2">
      <c r="H719" s="10"/>
      <c r="I719" s="10"/>
      <c r="J719" s="10"/>
      <c r="K719" s="10"/>
      <c r="L719" s="1">
        <f t="shared" si="43"/>
        <v>0</v>
      </c>
      <c r="M719" s="1">
        <f t="shared" si="44"/>
        <v>0</v>
      </c>
      <c r="N719" s="1">
        <f t="shared" si="45"/>
        <v>0</v>
      </c>
      <c r="O719" s="1">
        <f t="shared" si="46"/>
        <v>0</v>
      </c>
    </row>
    <row r="720" spans="8:15" ht="11.25" customHeight="1" x14ac:dyDescent="0.2">
      <c r="H720" s="10"/>
      <c r="I720" s="10"/>
      <c r="J720" s="10"/>
      <c r="K720" s="10"/>
      <c r="L720" s="1">
        <f t="shared" si="43"/>
        <v>0</v>
      </c>
      <c r="M720" s="1">
        <f t="shared" si="44"/>
        <v>0</v>
      </c>
      <c r="N720" s="1">
        <f t="shared" si="45"/>
        <v>0</v>
      </c>
      <c r="O720" s="1">
        <f t="shared" si="46"/>
        <v>0</v>
      </c>
    </row>
    <row r="721" spans="8:15" ht="11.25" customHeight="1" x14ac:dyDescent="0.2">
      <c r="H721" s="10"/>
      <c r="I721" s="10"/>
      <c r="J721" s="10"/>
      <c r="K721" s="10"/>
      <c r="L721" s="1">
        <f t="shared" si="43"/>
        <v>0</v>
      </c>
      <c r="M721" s="1">
        <f t="shared" si="44"/>
        <v>0</v>
      </c>
      <c r="N721" s="1">
        <f t="shared" si="45"/>
        <v>0</v>
      </c>
      <c r="O721" s="1">
        <f t="shared" si="46"/>
        <v>0</v>
      </c>
    </row>
    <row r="722" spans="8:15" ht="11.25" customHeight="1" x14ac:dyDescent="0.2">
      <c r="H722" s="10"/>
      <c r="I722" s="10"/>
      <c r="J722" s="10"/>
      <c r="K722" s="10"/>
      <c r="L722" s="1">
        <f t="shared" si="43"/>
        <v>0</v>
      </c>
      <c r="M722" s="1">
        <f t="shared" si="44"/>
        <v>0</v>
      </c>
      <c r="N722" s="1">
        <f t="shared" si="45"/>
        <v>0</v>
      </c>
      <c r="O722" s="1">
        <f t="shared" si="46"/>
        <v>0</v>
      </c>
    </row>
    <row r="723" spans="8:15" ht="11.25" customHeight="1" x14ac:dyDescent="0.2">
      <c r="H723" s="10"/>
      <c r="I723" s="10"/>
      <c r="J723" s="10"/>
      <c r="K723" s="10"/>
      <c r="L723" s="1">
        <f t="shared" si="43"/>
        <v>0</v>
      </c>
      <c r="M723" s="1">
        <f t="shared" si="44"/>
        <v>0</v>
      </c>
      <c r="N723" s="1">
        <f t="shared" si="45"/>
        <v>0</v>
      </c>
      <c r="O723" s="1">
        <f t="shared" si="46"/>
        <v>0</v>
      </c>
    </row>
    <row r="724" spans="8:15" ht="11.25" customHeight="1" x14ac:dyDescent="0.2">
      <c r="H724" s="10"/>
      <c r="I724" s="10"/>
      <c r="J724" s="10"/>
      <c r="K724" s="10"/>
      <c r="L724" s="1">
        <f t="shared" si="43"/>
        <v>0</v>
      </c>
      <c r="M724" s="1">
        <f t="shared" si="44"/>
        <v>0</v>
      </c>
      <c r="N724" s="1">
        <f t="shared" si="45"/>
        <v>0</v>
      </c>
      <c r="O724" s="1">
        <f t="shared" si="46"/>
        <v>0</v>
      </c>
    </row>
    <row r="725" spans="8:15" ht="11.25" customHeight="1" x14ac:dyDescent="0.2">
      <c r="H725" s="10"/>
      <c r="I725" s="10"/>
      <c r="J725" s="10"/>
      <c r="K725" s="10"/>
      <c r="L725" s="1">
        <f t="shared" si="43"/>
        <v>0</v>
      </c>
      <c r="M725" s="1">
        <f t="shared" si="44"/>
        <v>0</v>
      </c>
      <c r="N725" s="1">
        <f t="shared" si="45"/>
        <v>0</v>
      </c>
      <c r="O725" s="1">
        <f t="shared" si="46"/>
        <v>0</v>
      </c>
    </row>
    <row r="726" spans="8:15" ht="11.25" customHeight="1" x14ac:dyDescent="0.2">
      <c r="H726" s="10"/>
      <c r="I726" s="10"/>
      <c r="J726" s="10"/>
      <c r="K726" s="10"/>
      <c r="L726" s="1">
        <f t="shared" si="43"/>
        <v>0</v>
      </c>
      <c r="M726" s="1">
        <f t="shared" si="44"/>
        <v>0</v>
      </c>
      <c r="N726" s="1">
        <f t="shared" si="45"/>
        <v>0</v>
      </c>
      <c r="O726" s="1">
        <f t="shared" si="46"/>
        <v>0</v>
      </c>
    </row>
    <row r="727" spans="8:15" ht="11.25" customHeight="1" x14ac:dyDescent="0.2">
      <c r="H727" s="10"/>
      <c r="I727" s="10"/>
      <c r="J727" s="10"/>
      <c r="K727" s="10"/>
      <c r="L727" s="1">
        <f t="shared" si="43"/>
        <v>0</v>
      </c>
      <c r="M727" s="1">
        <f t="shared" si="44"/>
        <v>0</v>
      </c>
      <c r="N727" s="1">
        <f t="shared" si="45"/>
        <v>0</v>
      </c>
      <c r="O727" s="1">
        <f t="shared" si="46"/>
        <v>0</v>
      </c>
    </row>
    <row r="728" spans="8:15" ht="11.25" customHeight="1" x14ac:dyDescent="0.2">
      <c r="H728" s="10"/>
      <c r="I728" s="10"/>
      <c r="J728" s="10"/>
      <c r="K728" s="10"/>
      <c r="L728" s="1">
        <f t="shared" si="43"/>
        <v>0</v>
      </c>
      <c r="M728" s="1">
        <f t="shared" si="44"/>
        <v>0</v>
      </c>
      <c r="N728" s="1">
        <f t="shared" si="45"/>
        <v>0</v>
      </c>
      <c r="O728" s="1">
        <f t="shared" si="46"/>
        <v>0</v>
      </c>
    </row>
    <row r="729" spans="8:15" ht="11.25" customHeight="1" x14ac:dyDescent="0.2">
      <c r="H729" s="10"/>
      <c r="I729" s="10"/>
      <c r="J729" s="10"/>
      <c r="K729" s="10"/>
      <c r="L729" s="1">
        <f t="shared" si="43"/>
        <v>0</v>
      </c>
      <c r="M729" s="1">
        <f t="shared" si="44"/>
        <v>0</v>
      </c>
      <c r="N729" s="1">
        <f t="shared" si="45"/>
        <v>0</v>
      </c>
      <c r="O729" s="1">
        <f t="shared" si="46"/>
        <v>0</v>
      </c>
    </row>
    <row r="730" spans="8:15" ht="11.25" customHeight="1" x14ac:dyDescent="0.2">
      <c r="H730" s="10"/>
      <c r="I730" s="10"/>
      <c r="J730" s="10"/>
      <c r="K730" s="10"/>
      <c r="L730" s="1">
        <f t="shared" si="43"/>
        <v>0</v>
      </c>
      <c r="M730" s="1">
        <f t="shared" si="44"/>
        <v>0</v>
      </c>
      <c r="N730" s="1">
        <f t="shared" si="45"/>
        <v>0</v>
      </c>
      <c r="O730" s="1">
        <f t="shared" si="46"/>
        <v>0</v>
      </c>
    </row>
    <row r="731" spans="8:15" ht="11.25" customHeight="1" x14ac:dyDescent="0.2">
      <c r="H731" s="10"/>
      <c r="I731" s="10"/>
      <c r="J731" s="10"/>
      <c r="K731" s="10"/>
      <c r="L731" s="1">
        <f t="shared" si="43"/>
        <v>0</v>
      </c>
      <c r="M731" s="1">
        <f t="shared" si="44"/>
        <v>0</v>
      </c>
      <c r="N731" s="1">
        <f t="shared" si="45"/>
        <v>0</v>
      </c>
      <c r="O731" s="1">
        <f t="shared" si="46"/>
        <v>0</v>
      </c>
    </row>
    <row r="732" spans="8:15" ht="11.25" customHeight="1" x14ac:dyDescent="0.2">
      <c r="H732" s="10"/>
      <c r="I732" s="10"/>
      <c r="J732" s="10"/>
      <c r="K732" s="10"/>
      <c r="L732" s="1">
        <f t="shared" si="43"/>
        <v>0</v>
      </c>
      <c r="M732" s="1">
        <f t="shared" si="44"/>
        <v>0</v>
      </c>
      <c r="N732" s="1">
        <f t="shared" si="45"/>
        <v>0</v>
      </c>
      <c r="O732" s="1">
        <f t="shared" si="46"/>
        <v>0</v>
      </c>
    </row>
    <row r="733" spans="8:15" ht="11.25" customHeight="1" x14ac:dyDescent="0.2">
      <c r="H733" s="10"/>
      <c r="I733" s="10"/>
      <c r="J733" s="10"/>
      <c r="K733" s="10"/>
      <c r="L733" s="1">
        <f t="shared" si="43"/>
        <v>0</v>
      </c>
      <c r="M733" s="1">
        <f t="shared" si="44"/>
        <v>0</v>
      </c>
      <c r="N733" s="1">
        <f t="shared" si="45"/>
        <v>0</v>
      </c>
      <c r="O733" s="1">
        <f t="shared" si="46"/>
        <v>0</v>
      </c>
    </row>
    <row r="734" spans="8:15" ht="11.25" customHeight="1" x14ac:dyDescent="0.2">
      <c r="H734" s="10"/>
      <c r="I734" s="10"/>
      <c r="J734" s="10"/>
      <c r="K734" s="10"/>
      <c r="L734" s="1">
        <f t="shared" si="43"/>
        <v>0</v>
      </c>
      <c r="M734" s="1">
        <f t="shared" si="44"/>
        <v>0</v>
      </c>
      <c r="N734" s="1">
        <f t="shared" si="45"/>
        <v>0</v>
      </c>
      <c r="O734" s="1">
        <f t="shared" si="46"/>
        <v>0</v>
      </c>
    </row>
    <row r="735" spans="8:15" ht="11.25" customHeight="1" x14ac:dyDescent="0.2">
      <c r="H735" s="10"/>
      <c r="I735" s="10"/>
      <c r="J735" s="10"/>
      <c r="K735" s="10"/>
      <c r="L735" s="1">
        <f t="shared" si="43"/>
        <v>0</v>
      </c>
      <c r="M735" s="1">
        <f t="shared" si="44"/>
        <v>0</v>
      </c>
      <c r="N735" s="1">
        <f t="shared" si="45"/>
        <v>0</v>
      </c>
      <c r="O735" s="1">
        <f t="shared" si="46"/>
        <v>0</v>
      </c>
    </row>
    <row r="736" spans="8:15" ht="11.25" customHeight="1" x14ac:dyDescent="0.2">
      <c r="H736" s="10"/>
      <c r="I736" s="10"/>
      <c r="J736" s="10"/>
      <c r="K736" s="10"/>
      <c r="L736" s="1">
        <f t="shared" si="43"/>
        <v>0</v>
      </c>
      <c r="M736" s="1">
        <f t="shared" si="44"/>
        <v>0</v>
      </c>
      <c r="N736" s="1">
        <f t="shared" si="45"/>
        <v>0</v>
      </c>
      <c r="O736" s="1">
        <f t="shared" si="46"/>
        <v>0</v>
      </c>
    </row>
    <row r="737" spans="8:15" ht="11.25" customHeight="1" x14ac:dyDescent="0.2">
      <c r="H737" s="10"/>
      <c r="I737" s="10"/>
      <c r="J737" s="10"/>
      <c r="K737" s="10"/>
      <c r="L737" s="1">
        <f t="shared" si="43"/>
        <v>0</v>
      </c>
      <c r="M737" s="1">
        <f t="shared" si="44"/>
        <v>0</v>
      </c>
      <c r="N737" s="1">
        <f t="shared" si="45"/>
        <v>0</v>
      </c>
      <c r="O737" s="1">
        <f t="shared" si="46"/>
        <v>0</v>
      </c>
    </row>
    <row r="738" spans="8:15" ht="11.25" customHeight="1" x14ac:dyDescent="0.2">
      <c r="H738" s="10"/>
      <c r="I738" s="10"/>
      <c r="J738" s="10"/>
      <c r="K738" s="10"/>
      <c r="L738" s="1">
        <f t="shared" si="43"/>
        <v>0</v>
      </c>
      <c r="M738" s="1">
        <f t="shared" si="44"/>
        <v>0</v>
      </c>
      <c r="N738" s="1">
        <f t="shared" si="45"/>
        <v>0</v>
      </c>
      <c r="O738" s="1">
        <f t="shared" si="46"/>
        <v>0</v>
      </c>
    </row>
    <row r="739" spans="8:15" ht="11.25" customHeight="1" x14ac:dyDescent="0.2">
      <c r="H739" s="10"/>
      <c r="I739" s="10"/>
      <c r="J739" s="10"/>
      <c r="K739" s="10"/>
      <c r="L739" s="1">
        <f t="shared" si="43"/>
        <v>0</v>
      </c>
      <c r="M739" s="1">
        <f t="shared" si="44"/>
        <v>0</v>
      </c>
      <c r="N739" s="1">
        <f t="shared" si="45"/>
        <v>0</v>
      </c>
      <c r="O739" s="1">
        <f t="shared" si="46"/>
        <v>0</v>
      </c>
    </row>
    <row r="740" spans="8:15" ht="11.25" customHeight="1" x14ac:dyDescent="0.2">
      <c r="H740" s="10"/>
      <c r="I740" s="10"/>
      <c r="J740" s="10"/>
      <c r="K740" s="10"/>
      <c r="L740" s="1">
        <f t="shared" si="43"/>
        <v>0</v>
      </c>
      <c r="M740" s="1">
        <f t="shared" si="44"/>
        <v>0</v>
      </c>
      <c r="N740" s="1">
        <f t="shared" si="45"/>
        <v>0</v>
      </c>
      <c r="O740" s="1">
        <f t="shared" si="46"/>
        <v>0</v>
      </c>
    </row>
    <row r="741" spans="8:15" ht="11.25" customHeight="1" x14ac:dyDescent="0.2">
      <c r="H741" s="10"/>
      <c r="I741" s="10"/>
      <c r="J741" s="10"/>
      <c r="K741" s="10"/>
      <c r="L741" s="1">
        <f t="shared" si="43"/>
        <v>0</v>
      </c>
      <c r="M741" s="1">
        <f t="shared" si="44"/>
        <v>0</v>
      </c>
      <c r="N741" s="1">
        <f t="shared" si="45"/>
        <v>0</v>
      </c>
      <c r="O741" s="1">
        <f t="shared" si="46"/>
        <v>0</v>
      </c>
    </row>
    <row r="742" spans="8:15" ht="11.25" customHeight="1" x14ac:dyDescent="0.2">
      <c r="H742" s="10"/>
      <c r="I742" s="10"/>
      <c r="J742" s="10"/>
      <c r="K742" s="10"/>
      <c r="L742" s="1">
        <f t="shared" si="43"/>
        <v>0</v>
      </c>
      <c r="M742" s="1">
        <f t="shared" si="44"/>
        <v>0</v>
      </c>
      <c r="N742" s="1">
        <f t="shared" si="45"/>
        <v>0</v>
      </c>
      <c r="O742" s="1">
        <f t="shared" si="46"/>
        <v>0</v>
      </c>
    </row>
    <row r="743" spans="8:15" ht="11.25" customHeight="1" x14ac:dyDescent="0.2">
      <c r="H743" s="10"/>
      <c r="I743" s="10"/>
      <c r="J743" s="10"/>
      <c r="K743" s="10"/>
      <c r="L743" s="1">
        <f t="shared" si="43"/>
        <v>0</v>
      </c>
      <c r="M743" s="1">
        <f t="shared" si="44"/>
        <v>0</v>
      </c>
      <c r="N743" s="1">
        <f t="shared" si="45"/>
        <v>0</v>
      </c>
      <c r="O743" s="1">
        <f t="shared" si="46"/>
        <v>0</v>
      </c>
    </row>
    <row r="744" spans="8:15" ht="11.25" customHeight="1" x14ac:dyDescent="0.2">
      <c r="H744" s="10"/>
      <c r="I744" s="10"/>
      <c r="J744" s="10"/>
      <c r="K744" s="10"/>
      <c r="L744" s="1">
        <f t="shared" si="43"/>
        <v>0</v>
      </c>
      <c r="M744" s="1">
        <f t="shared" si="44"/>
        <v>0</v>
      </c>
      <c r="N744" s="1">
        <f t="shared" si="45"/>
        <v>0</v>
      </c>
      <c r="O744" s="1">
        <f t="shared" si="46"/>
        <v>0</v>
      </c>
    </row>
    <row r="745" spans="8:15" ht="11.25" customHeight="1" x14ac:dyDescent="0.2">
      <c r="H745" s="10"/>
      <c r="I745" s="10"/>
      <c r="J745" s="10"/>
      <c r="K745" s="10"/>
      <c r="L745" s="1">
        <f t="shared" si="43"/>
        <v>0</v>
      </c>
      <c r="M745" s="1">
        <f t="shared" si="44"/>
        <v>0</v>
      </c>
      <c r="N745" s="1">
        <f t="shared" si="45"/>
        <v>0</v>
      </c>
      <c r="O745" s="1">
        <f t="shared" si="46"/>
        <v>0</v>
      </c>
    </row>
    <row r="746" spans="8:15" ht="11.25" customHeight="1" x14ac:dyDescent="0.2">
      <c r="H746" s="10"/>
      <c r="I746" s="10"/>
      <c r="J746" s="10"/>
      <c r="K746" s="10"/>
      <c r="L746" s="1">
        <f t="shared" si="43"/>
        <v>0</v>
      </c>
      <c r="M746" s="1">
        <f t="shared" si="44"/>
        <v>0</v>
      </c>
      <c r="N746" s="1">
        <f t="shared" si="45"/>
        <v>0</v>
      </c>
      <c r="O746" s="1">
        <f t="shared" si="46"/>
        <v>0</v>
      </c>
    </row>
    <row r="747" spans="8:15" ht="11.25" customHeight="1" x14ac:dyDescent="0.2">
      <c r="H747" s="10"/>
      <c r="I747" s="10"/>
      <c r="J747" s="10"/>
      <c r="K747" s="10"/>
      <c r="L747" s="1">
        <f t="shared" si="43"/>
        <v>0</v>
      </c>
      <c r="M747" s="1">
        <f t="shared" si="44"/>
        <v>0</v>
      </c>
      <c r="N747" s="1">
        <f t="shared" si="45"/>
        <v>0</v>
      </c>
      <c r="O747" s="1">
        <f t="shared" si="46"/>
        <v>0</v>
      </c>
    </row>
    <row r="748" spans="8:15" ht="11.25" customHeight="1" x14ac:dyDescent="0.2">
      <c r="H748" s="10"/>
      <c r="I748" s="10"/>
      <c r="J748" s="10"/>
      <c r="K748" s="10"/>
      <c r="L748" s="1">
        <f t="shared" si="43"/>
        <v>0</v>
      </c>
      <c r="M748" s="1">
        <f t="shared" si="44"/>
        <v>0</v>
      </c>
      <c r="N748" s="1">
        <f t="shared" si="45"/>
        <v>0</v>
      </c>
      <c r="O748" s="1">
        <f t="shared" si="46"/>
        <v>0</v>
      </c>
    </row>
    <row r="749" spans="8:15" ht="11.25" customHeight="1" x14ac:dyDescent="0.2">
      <c r="H749" s="10"/>
      <c r="I749" s="10"/>
      <c r="J749" s="10"/>
      <c r="K749" s="10"/>
      <c r="L749" s="1">
        <f t="shared" si="43"/>
        <v>0</v>
      </c>
      <c r="M749" s="1">
        <f t="shared" si="44"/>
        <v>0</v>
      </c>
      <c r="N749" s="1">
        <f t="shared" si="45"/>
        <v>0</v>
      </c>
      <c r="O749" s="1">
        <f t="shared" si="46"/>
        <v>0</v>
      </c>
    </row>
    <row r="750" spans="8:15" ht="11.25" customHeight="1" x14ac:dyDescent="0.2">
      <c r="H750" s="10"/>
      <c r="I750" s="10"/>
      <c r="J750" s="10"/>
      <c r="K750" s="10"/>
      <c r="L750" s="1">
        <f t="shared" si="43"/>
        <v>0</v>
      </c>
      <c r="M750" s="1">
        <f t="shared" si="44"/>
        <v>0</v>
      </c>
      <c r="N750" s="1">
        <f t="shared" si="45"/>
        <v>0</v>
      </c>
      <c r="O750" s="1">
        <f t="shared" si="46"/>
        <v>0</v>
      </c>
    </row>
    <row r="751" spans="8:15" ht="11.25" customHeight="1" x14ac:dyDescent="0.2">
      <c r="H751" s="10"/>
      <c r="I751" s="10"/>
      <c r="J751" s="10"/>
      <c r="K751" s="10"/>
      <c r="L751" s="1">
        <f t="shared" si="43"/>
        <v>0</v>
      </c>
      <c r="M751" s="1">
        <f t="shared" si="44"/>
        <v>0</v>
      </c>
      <c r="N751" s="1">
        <f t="shared" si="45"/>
        <v>0</v>
      </c>
      <c r="O751" s="1">
        <f t="shared" si="46"/>
        <v>0</v>
      </c>
    </row>
    <row r="752" spans="8:15" ht="11.25" customHeight="1" x14ac:dyDescent="0.2">
      <c r="H752" s="10"/>
      <c r="I752" s="10"/>
      <c r="J752" s="10"/>
      <c r="K752" s="10"/>
      <c r="L752" s="1">
        <f t="shared" si="43"/>
        <v>0</v>
      </c>
      <c r="M752" s="1">
        <f t="shared" si="44"/>
        <v>0</v>
      </c>
      <c r="N752" s="1">
        <f t="shared" si="45"/>
        <v>0</v>
      </c>
      <c r="O752" s="1">
        <f t="shared" si="46"/>
        <v>0</v>
      </c>
    </row>
    <row r="753" spans="8:15" ht="11.25" customHeight="1" x14ac:dyDescent="0.2">
      <c r="H753" s="10"/>
      <c r="I753" s="10"/>
      <c r="J753" s="10"/>
      <c r="K753" s="10"/>
      <c r="L753" s="1">
        <f t="shared" si="43"/>
        <v>0</v>
      </c>
      <c r="M753" s="1">
        <f t="shared" si="44"/>
        <v>0</v>
      </c>
      <c r="N753" s="1">
        <f t="shared" si="45"/>
        <v>0</v>
      </c>
      <c r="O753" s="1">
        <f t="shared" si="46"/>
        <v>0</v>
      </c>
    </row>
    <row r="754" spans="8:15" ht="11.25" customHeight="1" x14ac:dyDescent="0.2">
      <c r="H754" s="10"/>
      <c r="I754" s="10"/>
      <c r="J754" s="10"/>
      <c r="K754" s="10"/>
      <c r="L754" s="1">
        <f t="shared" si="43"/>
        <v>0</v>
      </c>
      <c r="M754" s="1">
        <f t="shared" si="44"/>
        <v>0</v>
      </c>
      <c r="N754" s="1">
        <f t="shared" si="45"/>
        <v>0</v>
      </c>
      <c r="O754" s="1">
        <f t="shared" si="46"/>
        <v>0</v>
      </c>
    </row>
    <row r="755" spans="8:15" ht="11.25" customHeight="1" x14ac:dyDescent="0.2">
      <c r="H755" s="10"/>
      <c r="I755" s="10"/>
      <c r="J755" s="10"/>
      <c r="K755" s="10"/>
      <c r="L755" s="1">
        <f t="shared" si="43"/>
        <v>0</v>
      </c>
      <c r="M755" s="1">
        <f t="shared" si="44"/>
        <v>0</v>
      </c>
      <c r="N755" s="1">
        <f t="shared" si="45"/>
        <v>0</v>
      </c>
      <c r="O755" s="1">
        <f t="shared" si="46"/>
        <v>0</v>
      </c>
    </row>
    <row r="756" spans="8:15" ht="11.25" customHeight="1" x14ac:dyDescent="0.2">
      <c r="H756" s="10"/>
      <c r="I756" s="10"/>
      <c r="J756" s="10"/>
      <c r="K756" s="10"/>
      <c r="L756" s="1">
        <f t="shared" si="43"/>
        <v>0</v>
      </c>
      <c r="M756" s="1">
        <f t="shared" si="44"/>
        <v>0</v>
      </c>
      <c r="N756" s="1">
        <f t="shared" si="45"/>
        <v>0</v>
      </c>
      <c r="O756" s="1">
        <f t="shared" si="46"/>
        <v>0</v>
      </c>
    </row>
    <row r="757" spans="8:15" ht="11.25" customHeight="1" x14ac:dyDescent="0.2">
      <c r="H757" s="10"/>
      <c r="I757" s="10"/>
      <c r="J757" s="10"/>
      <c r="K757" s="10"/>
      <c r="L757" s="1">
        <f t="shared" si="43"/>
        <v>0</v>
      </c>
      <c r="M757" s="1">
        <f t="shared" si="44"/>
        <v>0</v>
      </c>
      <c r="N757" s="1">
        <f t="shared" si="45"/>
        <v>0</v>
      </c>
      <c r="O757" s="1">
        <f t="shared" si="46"/>
        <v>0</v>
      </c>
    </row>
    <row r="758" spans="8:15" ht="11.25" customHeight="1" x14ac:dyDescent="0.2">
      <c r="H758" s="10"/>
      <c r="I758" s="10"/>
      <c r="J758" s="10"/>
      <c r="K758" s="10"/>
      <c r="L758" s="1">
        <f t="shared" si="43"/>
        <v>0</v>
      </c>
      <c r="M758" s="1">
        <f t="shared" si="44"/>
        <v>0</v>
      </c>
      <c r="N758" s="1">
        <f t="shared" si="45"/>
        <v>0</v>
      </c>
      <c r="O758" s="1">
        <f t="shared" si="46"/>
        <v>0</v>
      </c>
    </row>
    <row r="759" spans="8:15" ht="11.25" customHeight="1" x14ac:dyDescent="0.2">
      <c r="H759" s="10"/>
      <c r="I759" s="10"/>
      <c r="J759" s="10"/>
      <c r="K759" s="10"/>
      <c r="L759" s="1">
        <f t="shared" si="43"/>
        <v>0</v>
      </c>
      <c r="M759" s="1">
        <f t="shared" si="44"/>
        <v>0</v>
      </c>
      <c r="N759" s="1">
        <f t="shared" si="45"/>
        <v>0</v>
      </c>
      <c r="O759" s="1">
        <f t="shared" si="46"/>
        <v>0</v>
      </c>
    </row>
    <row r="760" spans="8:15" ht="11.25" customHeight="1" x14ac:dyDescent="0.2">
      <c r="H760" s="10"/>
      <c r="I760" s="10"/>
      <c r="J760" s="10"/>
      <c r="K760" s="10"/>
      <c r="L760" s="1">
        <f t="shared" si="43"/>
        <v>0</v>
      </c>
      <c r="M760" s="1">
        <f t="shared" si="44"/>
        <v>0</v>
      </c>
      <c r="N760" s="1">
        <f t="shared" si="45"/>
        <v>0</v>
      </c>
      <c r="O760" s="1">
        <f t="shared" si="46"/>
        <v>0</v>
      </c>
    </row>
    <row r="761" spans="8:15" ht="11.25" customHeight="1" x14ac:dyDescent="0.2">
      <c r="H761" s="10"/>
      <c r="I761" s="10"/>
      <c r="J761" s="10"/>
      <c r="K761" s="10"/>
      <c r="L761" s="1">
        <f t="shared" si="43"/>
        <v>0</v>
      </c>
      <c r="M761" s="1">
        <f t="shared" si="44"/>
        <v>0</v>
      </c>
      <c r="N761" s="1">
        <f t="shared" si="45"/>
        <v>0</v>
      </c>
      <c r="O761" s="1">
        <f t="shared" si="46"/>
        <v>0</v>
      </c>
    </row>
    <row r="762" spans="8:15" ht="11.25" customHeight="1" x14ac:dyDescent="0.2">
      <c r="H762" s="10"/>
      <c r="I762" s="10"/>
      <c r="J762" s="10"/>
      <c r="K762" s="10"/>
      <c r="L762" s="1">
        <f t="shared" si="43"/>
        <v>0</v>
      </c>
      <c r="M762" s="1">
        <f t="shared" si="44"/>
        <v>0</v>
      </c>
      <c r="N762" s="1">
        <f t="shared" si="45"/>
        <v>0</v>
      </c>
      <c r="O762" s="1">
        <f t="shared" si="46"/>
        <v>0</v>
      </c>
    </row>
    <row r="763" spans="8:15" ht="11.25" customHeight="1" x14ac:dyDescent="0.2">
      <c r="H763" s="10"/>
      <c r="I763" s="10"/>
      <c r="J763" s="10"/>
      <c r="K763" s="10"/>
      <c r="L763" s="1">
        <f t="shared" si="43"/>
        <v>0</v>
      </c>
      <c r="M763" s="1">
        <f t="shared" si="44"/>
        <v>0</v>
      </c>
      <c r="N763" s="1">
        <f t="shared" si="45"/>
        <v>0</v>
      </c>
      <c r="O763" s="1">
        <f t="shared" si="46"/>
        <v>0</v>
      </c>
    </row>
    <row r="764" spans="8:15" ht="11.25" customHeight="1" x14ac:dyDescent="0.2">
      <c r="H764" s="10"/>
      <c r="I764" s="10"/>
      <c r="J764" s="10"/>
      <c r="K764" s="10"/>
      <c r="L764" s="1">
        <f t="shared" ref="L764:L827" si="47">IF($M$57,H764,J764)</f>
        <v>0</v>
      </c>
      <c r="M764" s="1">
        <f t="shared" ref="M764:M827" si="48">IF($M$57,I764,K764)</f>
        <v>0</v>
      </c>
      <c r="N764" s="1">
        <f t="shared" ref="N764:N827" si="49">IF($M$57,J764,H764)</f>
        <v>0</v>
      </c>
      <c r="O764" s="1">
        <f t="shared" ref="O764:O827" si="50">IF($M$57,K764,I764)</f>
        <v>0</v>
      </c>
    </row>
    <row r="765" spans="8:15" ht="11.25" customHeight="1" x14ac:dyDescent="0.2">
      <c r="H765" s="10"/>
      <c r="I765" s="10"/>
      <c r="J765" s="10"/>
      <c r="K765" s="10"/>
      <c r="L765" s="1">
        <f t="shared" si="47"/>
        <v>0</v>
      </c>
      <c r="M765" s="1">
        <f t="shared" si="48"/>
        <v>0</v>
      </c>
      <c r="N765" s="1">
        <f t="shared" si="49"/>
        <v>0</v>
      </c>
      <c r="O765" s="1">
        <f t="shared" si="50"/>
        <v>0</v>
      </c>
    </row>
    <row r="766" spans="8:15" ht="11.25" customHeight="1" x14ac:dyDescent="0.2">
      <c r="H766" s="10"/>
      <c r="I766" s="10"/>
      <c r="J766" s="10"/>
      <c r="K766" s="10"/>
      <c r="L766" s="1">
        <f t="shared" si="47"/>
        <v>0</v>
      </c>
      <c r="M766" s="1">
        <f t="shared" si="48"/>
        <v>0</v>
      </c>
      <c r="N766" s="1">
        <f t="shared" si="49"/>
        <v>0</v>
      </c>
      <c r="O766" s="1">
        <f t="shared" si="50"/>
        <v>0</v>
      </c>
    </row>
    <row r="767" spans="8:15" ht="11.25" customHeight="1" x14ac:dyDescent="0.2">
      <c r="H767" s="10"/>
      <c r="I767" s="10"/>
      <c r="J767" s="10"/>
      <c r="K767" s="10"/>
      <c r="L767" s="1">
        <f t="shared" si="47"/>
        <v>0</v>
      </c>
      <c r="M767" s="1">
        <f t="shared" si="48"/>
        <v>0</v>
      </c>
      <c r="N767" s="1">
        <f t="shared" si="49"/>
        <v>0</v>
      </c>
      <c r="O767" s="1">
        <f t="shared" si="50"/>
        <v>0</v>
      </c>
    </row>
    <row r="768" spans="8:15" ht="11.25" customHeight="1" x14ac:dyDescent="0.2">
      <c r="H768" s="10"/>
      <c r="I768" s="10"/>
      <c r="J768" s="10"/>
      <c r="K768" s="10"/>
      <c r="L768" s="1">
        <f t="shared" si="47"/>
        <v>0</v>
      </c>
      <c r="M768" s="1">
        <f t="shared" si="48"/>
        <v>0</v>
      </c>
      <c r="N768" s="1">
        <f t="shared" si="49"/>
        <v>0</v>
      </c>
      <c r="O768" s="1">
        <f t="shared" si="50"/>
        <v>0</v>
      </c>
    </row>
    <row r="769" spans="8:15" ht="11.25" customHeight="1" x14ac:dyDescent="0.2">
      <c r="H769" s="10"/>
      <c r="I769" s="10"/>
      <c r="J769" s="10"/>
      <c r="K769" s="10"/>
      <c r="L769" s="1">
        <f t="shared" si="47"/>
        <v>0</v>
      </c>
      <c r="M769" s="1">
        <f t="shared" si="48"/>
        <v>0</v>
      </c>
      <c r="N769" s="1">
        <f t="shared" si="49"/>
        <v>0</v>
      </c>
      <c r="O769" s="1">
        <f t="shared" si="50"/>
        <v>0</v>
      </c>
    </row>
    <row r="770" spans="8:15" ht="11.25" customHeight="1" x14ac:dyDescent="0.2">
      <c r="H770" s="10"/>
      <c r="I770" s="10"/>
      <c r="J770" s="10"/>
      <c r="K770" s="10"/>
      <c r="L770" s="1">
        <f t="shared" si="47"/>
        <v>0</v>
      </c>
      <c r="M770" s="1">
        <f t="shared" si="48"/>
        <v>0</v>
      </c>
      <c r="N770" s="1">
        <f t="shared" si="49"/>
        <v>0</v>
      </c>
      <c r="O770" s="1">
        <f t="shared" si="50"/>
        <v>0</v>
      </c>
    </row>
    <row r="771" spans="8:15" ht="11.25" customHeight="1" x14ac:dyDescent="0.2">
      <c r="H771" s="10"/>
      <c r="I771" s="10"/>
      <c r="J771" s="10"/>
      <c r="K771" s="10"/>
      <c r="L771" s="1">
        <f t="shared" si="47"/>
        <v>0</v>
      </c>
      <c r="M771" s="1">
        <f t="shared" si="48"/>
        <v>0</v>
      </c>
      <c r="N771" s="1">
        <f t="shared" si="49"/>
        <v>0</v>
      </c>
      <c r="O771" s="1">
        <f t="shared" si="50"/>
        <v>0</v>
      </c>
    </row>
    <row r="772" spans="8:15" ht="11.25" customHeight="1" x14ac:dyDescent="0.2">
      <c r="H772" s="10"/>
      <c r="I772" s="10"/>
      <c r="J772" s="10"/>
      <c r="K772" s="10"/>
      <c r="L772" s="1">
        <f t="shared" si="47"/>
        <v>0</v>
      </c>
      <c r="M772" s="1">
        <f t="shared" si="48"/>
        <v>0</v>
      </c>
      <c r="N772" s="1">
        <f t="shared" si="49"/>
        <v>0</v>
      </c>
      <c r="O772" s="1">
        <f t="shared" si="50"/>
        <v>0</v>
      </c>
    </row>
    <row r="773" spans="8:15" ht="11.25" customHeight="1" x14ac:dyDescent="0.2">
      <c r="H773" s="10"/>
      <c r="I773" s="10"/>
      <c r="J773" s="10"/>
      <c r="K773" s="10"/>
      <c r="L773" s="1">
        <f t="shared" si="47"/>
        <v>0</v>
      </c>
      <c r="M773" s="1">
        <f t="shared" si="48"/>
        <v>0</v>
      </c>
      <c r="N773" s="1">
        <f t="shared" si="49"/>
        <v>0</v>
      </c>
      <c r="O773" s="1">
        <f t="shared" si="50"/>
        <v>0</v>
      </c>
    </row>
    <row r="774" spans="8:15" ht="11.25" customHeight="1" x14ac:dyDescent="0.2">
      <c r="H774" s="10"/>
      <c r="I774" s="10"/>
      <c r="J774" s="10"/>
      <c r="K774" s="10"/>
      <c r="L774" s="1">
        <f t="shared" si="47"/>
        <v>0</v>
      </c>
      <c r="M774" s="1">
        <f t="shared" si="48"/>
        <v>0</v>
      </c>
      <c r="N774" s="1">
        <f t="shared" si="49"/>
        <v>0</v>
      </c>
      <c r="O774" s="1">
        <f t="shared" si="50"/>
        <v>0</v>
      </c>
    </row>
    <row r="775" spans="8:15" ht="11.25" customHeight="1" x14ac:dyDescent="0.2">
      <c r="H775" s="10"/>
      <c r="I775" s="10"/>
      <c r="J775" s="10"/>
      <c r="K775" s="10"/>
      <c r="L775" s="1">
        <f t="shared" si="47"/>
        <v>0</v>
      </c>
      <c r="M775" s="1">
        <f t="shared" si="48"/>
        <v>0</v>
      </c>
      <c r="N775" s="1">
        <f t="shared" si="49"/>
        <v>0</v>
      </c>
      <c r="O775" s="1">
        <f t="shared" si="50"/>
        <v>0</v>
      </c>
    </row>
    <row r="776" spans="8:15" ht="11.25" customHeight="1" x14ac:dyDescent="0.2">
      <c r="H776" s="10"/>
      <c r="I776" s="10"/>
      <c r="J776" s="10"/>
      <c r="K776" s="10"/>
      <c r="L776" s="1">
        <f t="shared" si="47"/>
        <v>0</v>
      </c>
      <c r="M776" s="1">
        <f t="shared" si="48"/>
        <v>0</v>
      </c>
      <c r="N776" s="1">
        <f t="shared" si="49"/>
        <v>0</v>
      </c>
      <c r="O776" s="1">
        <f t="shared" si="50"/>
        <v>0</v>
      </c>
    </row>
    <row r="777" spans="8:15" ht="11.25" customHeight="1" x14ac:dyDescent="0.2">
      <c r="H777" s="10"/>
      <c r="I777" s="10"/>
      <c r="J777" s="10"/>
      <c r="K777" s="10"/>
      <c r="L777" s="1">
        <f t="shared" si="47"/>
        <v>0</v>
      </c>
      <c r="M777" s="1">
        <f t="shared" si="48"/>
        <v>0</v>
      </c>
      <c r="N777" s="1">
        <f t="shared" si="49"/>
        <v>0</v>
      </c>
      <c r="O777" s="1">
        <f t="shared" si="50"/>
        <v>0</v>
      </c>
    </row>
    <row r="778" spans="8:15" ht="11.25" customHeight="1" x14ac:dyDescent="0.2">
      <c r="H778" s="10"/>
      <c r="I778" s="10"/>
      <c r="J778" s="10"/>
      <c r="K778" s="10"/>
      <c r="L778" s="1">
        <f t="shared" si="47"/>
        <v>0</v>
      </c>
      <c r="M778" s="1">
        <f t="shared" si="48"/>
        <v>0</v>
      </c>
      <c r="N778" s="1">
        <f t="shared" si="49"/>
        <v>0</v>
      </c>
      <c r="O778" s="1">
        <f t="shared" si="50"/>
        <v>0</v>
      </c>
    </row>
    <row r="779" spans="8:15" ht="11.25" customHeight="1" x14ac:dyDescent="0.2">
      <c r="H779" s="10"/>
      <c r="I779" s="10"/>
      <c r="J779" s="10"/>
      <c r="K779" s="10"/>
      <c r="L779" s="1">
        <f t="shared" si="47"/>
        <v>0</v>
      </c>
      <c r="M779" s="1">
        <f t="shared" si="48"/>
        <v>0</v>
      </c>
      <c r="N779" s="1">
        <f t="shared" si="49"/>
        <v>0</v>
      </c>
      <c r="O779" s="1">
        <f t="shared" si="50"/>
        <v>0</v>
      </c>
    </row>
    <row r="780" spans="8:15" ht="11.25" customHeight="1" x14ac:dyDescent="0.2">
      <c r="H780" s="10"/>
      <c r="I780" s="10"/>
      <c r="J780" s="10"/>
      <c r="K780" s="10"/>
      <c r="L780" s="1">
        <f t="shared" si="47"/>
        <v>0</v>
      </c>
      <c r="M780" s="1">
        <f t="shared" si="48"/>
        <v>0</v>
      </c>
      <c r="N780" s="1">
        <f t="shared" si="49"/>
        <v>0</v>
      </c>
      <c r="O780" s="1">
        <f t="shared" si="50"/>
        <v>0</v>
      </c>
    </row>
    <row r="781" spans="8:15" ht="11.25" customHeight="1" x14ac:dyDescent="0.2">
      <c r="H781" s="10"/>
      <c r="I781" s="10"/>
      <c r="J781" s="10"/>
      <c r="K781" s="10"/>
      <c r="L781" s="1">
        <f t="shared" si="47"/>
        <v>0</v>
      </c>
      <c r="M781" s="1">
        <f t="shared" si="48"/>
        <v>0</v>
      </c>
      <c r="N781" s="1">
        <f t="shared" si="49"/>
        <v>0</v>
      </c>
      <c r="O781" s="1">
        <f t="shared" si="50"/>
        <v>0</v>
      </c>
    </row>
    <row r="782" spans="8:15" ht="11.25" customHeight="1" x14ac:dyDescent="0.2">
      <c r="H782" s="10"/>
      <c r="I782" s="10"/>
      <c r="J782" s="10"/>
      <c r="K782" s="10"/>
      <c r="L782" s="1">
        <f t="shared" si="47"/>
        <v>0</v>
      </c>
      <c r="M782" s="1">
        <f t="shared" si="48"/>
        <v>0</v>
      </c>
      <c r="N782" s="1">
        <f t="shared" si="49"/>
        <v>0</v>
      </c>
      <c r="O782" s="1">
        <f t="shared" si="50"/>
        <v>0</v>
      </c>
    </row>
    <row r="783" spans="8:15" ht="11.25" customHeight="1" x14ac:dyDescent="0.2">
      <c r="H783" s="10"/>
      <c r="I783" s="10"/>
      <c r="J783" s="10"/>
      <c r="K783" s="10"/>
      <c r="L783" s="1">
        <f t="shared" si="47"/>
        <v>0</v>
      </c>
      <c r="M783" s="1">
        <f t="shared" si="48"/>
        <v>0</v>
      </c>
      <c r="N783" s="1">
        <f t="shared" si="49"/>
        <v>0</v>
      </c>
      <c r="O783" s="1">
        <f t="shared" si="50"/>
        <v>0</v>
      </c>
    </row>
    <row r="784" spans="8:15" ht="11.25" customHeight="1" x14ac:dyDescent="0.2">
      <c r="H784" s="10"/>
      <c r="I784" s="10"/>
      <c r="J784" s="10"/>
      <c r="K784" s="10"/>
      <c r="L784" s="1">
        <f t="shared" si="47"/>
        <v>0</v>
      </c>
      <c r="M784" s="1">
        <f t="shared" si="48"/>
        <v>0</v>
      </c>
      <c r="N784" s="1">
        <f t="shared" si="49"/>
        <v>0</v>
      </c>
      <c r="O784" s="1">
        <f t="shared" si="50"/>
        <v>0</v>
      </c>
    </row>
    <row r="785" spans="8:15" ht="11.25" customHeight="1" x14ac:dyDescent="0.2">
      <c r="H785" s="10"/>
      <c r="I785" s="10"/>
      <c r="J785" s="10"/>
      <c r="K785" s="10"/>
      <c r="L785" s="1">
        <f t="shared" si="47"/>
        <v>0</v>
      </c>
      <c r="M785" s="1">
        <f t="shared" si="48"/>
        <v>0</v>
      </c>
      <c r="N785" s="1">
        <f t="shared" si="49"/>
        <v>0</v>
      </c>
      <c r="O785" s="1">
        <f t="shared" si="50"/>
        <v>0</v>
      </c>
    </row>
    <row r="786" spans="8:15" ht="11.25" customHeight="1" x14ac:dyDescent="0.2">
      <c r="H786" s="10"/>
      <c r="I786" s="10"/>
      <c r="J786" s="10"/>
      <c r="K786" s="10"/>
      <c r="L786" s="1">
        <f t="shared" si="47"/>
        <v>0</v>
      </c>
      <c r="M786" s="1">
        <f t="shared" si="48"/>
        <v>0</v>
      </c>
      <c r="N786" s="1">
        <f t="shared" si="49"/>
        <v>0</v>
      </c>
      <c r="O786" s="1">
        <f t="shared" si="50"/>
        <v>0</v>
      </c>
    </row>
    <row r="787" spans="8:15" ht="11.25" customHeight="1" x14ac:dyDescent="0.2">
      <c r="H787" s="10"/>
      <c r="I787" s="10"/>
      <c r="J787" s="10"/>
      <c r="K787" s="10"/>
      <c r="L787" s="1">
        <f t="shared" si="47"/>
        <v>0</v>
      </c>
      <c r="M787" s="1">
        <f t="shared" si="48"/>
        <v>0</v>
      </c>
      <c r="N787" s="1">
        <f t="shared" si="49"/>
        <v>0</v>
      </c>
      <c r="O787" s="1">
        <f t="shared" si="50"/>
        <v>0</v>
      </c>
    </row>
    <row r="788" spans="8:15" ht="11.25" customHeight="1" x14ac:dyDescent="0.2">
      <c r="H788" s="10"/>
      <c r="I788" s="10"/>
      <c r="J788" s="10"/>
      <c r="K788" s="10"/>
      <c r="L788" s="1">
        <f t="shared" si="47"/>
        <v>0</v>
      </c>
      <c r="M788" s="1">
        <f t="shared" si="48"/>
        <v>0</v>
      </c>
      <c r="N788" s="1">
        <f t="shared" si="49"/>
        <v>0</v>
      </c>
      <c r="O788" s="1">
        <f t="shared" si="50"/>
        <v>0</v>
      </c>
    </row>
    <row r="789" spans="8:15" ht="11.25" customHeight="1" x14ac:dyDescent="0.2">
      <c r="H789" s="10"/>
      <c r="I789" s="10"/>
      <c r="J789" s="10"/>
      <c r="K789" s="10"/>
      <c r="L789" s="1">
        <f t="shared" si="47"/>
        <v>0</v>
      </c>
      <c r="M789" s="1">
        <f t="shared" si="48"/>
        <v>0</v>
      </c>
      <c r="N789" s="1">
        <f t="shared" si="49"/>
        <v>0</v>
      </c>
      <c r="O789" s="1">
        <f t="shared" si="50"/>
        <v>0</v>
      </c>
    </row>
    <row r="790" spans="8:15" ht="11.25" customHeight="1" x14ac:dyDescent="0.2">
      <c r="H790" s="10"/>
      <c r="I790" s="10"/>
      <c r="J790" s="10"/>
      <c r="K790" s="10"/>
      <c r="L790" s="1">
        <f t="shared" si="47"/>
        <v>0</v>
      </c>
      <c r="M790" s="1">
        <f t="shared" si="48"/>
        <v>0</v>
      </c>
      <c r="N790" s="1">
        <f t="shared" si="49"/>
        <v>0</v>
      </c>
      <c r="O790" s="1">
        <f t="shared" si="50"/>
        <v>0</v>
      </c>
    </row>
    <row r="791" spans="8:15" ht="11.25" customHeight="1" x14ac:dyDescent="0.2">
      <c r="H791" s="10"/>
      <c r="I791" s="10"/>
      <c r="J791" s="10"/>
      <c r="K791" s="10"/>
      <c r="L791" s="1">
        <f t="shared" si="47"/>
        <v>0</v>
      </c>
      <c r="M791" s="1">
        <f t="shared" si="48"/>
        <v>0</v>
      </c>
      <c r="N791" s="1">
        <f t="shared" si="49"/>
        <v>0</v>
      </c>
      <c r="O791" s="1">
        <f t="shared" si="50"/>
        <v>0</v>
      </c>
    </row>
    <row r="792" spans="8:15" ht="11.25" customHeight="1" x14ac:dyDescent="0.2">
      <c r="H792" s="10"/>
      <c r="I792" s="10"/>
      <c r="J792" s="10"/>
      <c r="K792" s="10"/>
      <c r="L792" s="1">
        <f t="shared" si="47"/>
        <v>0</v>
      </c>
      <c r="M792" s="1">
        <f t="shared" si="48"/>
        <v>0</v>
      </c>
      <c r="N792" s="1">
        <f t="shared" si="49"/>
        <v>0</v>
      </c>
      <c r="O792" s="1">
        <f t="shared" si="50"/>
        <v>0</v>
      </c>
    </row>
    <row r="793" spans="8:15" ht="11.25" customHeight="1" x14ac:dyDescent="0.2">
      <c r="H793" s="10"/>
      <c r="I793" s="10"/>
      <c r="J793" s="10"/>
      <c r="K793" s="10"/>
      <c r="L793" s="1">
        <f t="shared" si="47"/>
        <v>0</v>
      </c>
      <c r="M793" s="1">
        <f t="shared" si="48"/>
        <v>0</v>
      </c>
      <c r="N793" s="1">
        <f t="shared" si="49"/>
        <v>0</v>
      </c>
      <c r="O793" s="1">
        <f t="shared" si="50"/>
        <v>0</v>
      </c>
    </row>
    <row r="794" spans="8:15" ht="11.25" customHeight="1" x14ac:dyDescent="0.2">
      <c r="H794" s="10"/>
      <c r="I794" s="10"/>
      <c r="J794" s="10"/>
      <c r="K794" s="10"/>
      <c r="L794" s="1">
        <f t="shared" si="47"/>
        <v>0</v>
      </c>
      <c r="M794" s="1">
        <f t="shared" si="48"/>
        <v>0</v>
      </c>
      <c r="N794" s="1">
        <f t="shared" si="49"/>
        <v>0</v>
      </c>
      <c r="O794" s="1">
        <f t="shared" si="50"/>
        <v>0</v>
      </c>
    </row>
    <row r="795" spans="8:15" ht="11.25" customHeight="1" x14ac:dyDescent="0.2">
      <c r="H795" s="10"/>
      <c r="I795" s="10"/>
      <c r="J795" s="10"/>
      <c r="K795" s="10"/>
      <c r="L795" s="1">
        <f t="shared" si="47"/>
        <v>0</v>
      </c>
      <c r="M795" s="1">
        <f t="shared" si="48"/>
        <v>0</v>
      </c>
      <c r="N795" s="1">
        <f t="shared" si="49"/>
        <v>0</v>
      </c>
      <c r="O795" s="1">
        <f t="shared" si="50"/>
        <v>0</v>
      </c>
    </row>
    <row r="796" spans="8:15" ht="11.25" customHeight="1" x14ac:dyDescent="0.2">
      <c r="H796" s="10"/>
      <c r="I796" s="10"/>
      <c r="J796" s="10"/>
      <c r="K796" s="10"/>
      <c r="L796" s="1">
        <f t="shared" si="47"/>
        <v>0</v>
      </c>
      <c r="M796" s="1">
        <f t="shared" si="48"/>
        <v>0</v>
      </c>
      <c r="N796" s="1">
        <f t="shared" si="49"/>
        <v>0</v>
      </c>
      <c r="O796" s="1">
        <f t="shared" si="50"/>
        <v>0</v>
      </c>
    </row>
    <row r="797" spans="8:15" ht="11.25" customHeight="1" x14ac:dyDescent="0.2">
      <c r="H797" s="10"/>
      <c r="I797" s="10"/>
      <c r="J797" s="10"/>
      <c r="K797" s="10"/>
      <c r="L797" s="1">
        <f t="shared" si="47"/>
        <v>0</v>
      </c>
      <c r="M797" s="1">
        <f t="shared" si="48"/>
        <v>0</v>
      </c>
      <c r="N797" s="1">
        <f t="shared" si="49"/>
        <v>0</v>
      </c>
      <c r="O797" s="1">
        <f t="shared" si="50"/>
        <v>0</v>
      </c>
    </row>
    <row r="798" spans="8:15" ht="11.25" customHeight="1" x14ac:dyDescent="0.2">
      <c r="H798" s="10"/>
      <c r="I798" s="10"/>
      <c r="J798" s="10"/>
      <c r="K798" s="10"/>
      <c r="L798" s="1">
        <f t="shared" si="47"/>
        <v>0</v>
      </c>
      <c r="M798" s="1">
        <f t="shared" si="48"/>
        <v>0</v>
      </c>
      <c r="N798" s="1">
        <f t="shared" si="49"/>
        <v>0</v>
      </c>
      <c r="O798" s="1">
        <f t="shared" si="50"/>
        <v>0</v>
      </c>
    </row>
    <row r="799" spans="8:15" ht="11.25" customHeight="1" x14ac:dyDescent="0.2">
      <c r="H799" s="10"/>
      <c r="I799" s="10"/>
      <c r="J799" s="10"/>
      <c r="K799" s="10"/>
      <c r="L799" s="1">
        <f t="shared" si="47"/>
        <v>0</v>
      </c>
      <c r="M799" s="1">
        <f t="shared" si="48"/>
        <v>0</v>
      </c>
      <c r="N799" s="1">
        <f t="shared" si="49"/>
        <v>0</v>
      </c>
      <c r="O799" s="1">
        <f t="shared" si="50"/>
        <v>0</v>
      </c>
    </row>
    <row r="800" spans="8:15" ht="11.25" customHeight="1" x14ac:dyDescent="0.2">
      <c r="H800" s="10"/>
      <c r="I800" s="10"/>
      <c r="J800" s="10"/>
      <c r="K800" s="10"/>
      <c r="L800" s="1">
        <f t="shared" si="47"/>
        <v>0</v>
      </c>
      <c r="M800" s="1">
        <f t="shared" si="48"/>
        <v>0</v>
      </c>
      <c r="N800" s="1">
        <f t="shared" si="49"/>
        <v>0</v>
      </c>
      <c r="O800" s="1">
        <f t="shared" si="50"/>
        <v>0</v>
      </c>
    </row>
    <row r="801" spans="8:15" ht="11.25" customHeight="1" x14ac:dyDescent="0.2">
      <c r="H801" s="10"/>
      <c r="I801" s="10"/>
      <c r="J801" s="10"/>
      <c r="K801" s="10"/>
      <c r="L801" s="1">
        <f t="shared" si="47"/>
        <v>0</v>
      </c>
      <c r="M801" s="1">
        <f t="shared" si="48"/>
        <v>0</v>
      </c>
      <c r="N801" s="1">
        <f t="shared" si="49"/>
        <v>0</v>
      </c>
      <c r="O801" s="1">
        <f t="shared" si="50"/>
        <v>0</v>
      </c>
    </row>
    <row r="802" spans="8:15" ht="11.25" customHeight="1" x14ac:dyDescent="0.2">
      <c r="H802" s="10"/>
      <c r="I802" s="10"/>
      <c r="J802" s="10"/>
      <c r="K802" s="10"/>
      <c r="L802" s="1">
        <f t="shared" si="47"/>
        <v>0</v>
      </c>
      <c r="M802" s="1">
        <f t="shared" si="48"/>
        <v>0</v>
      </c>
      <c r="N802" s="1">
        <f t="shared" si="49"/>
        <v>0</v>
      </c>
      <c r="O802" s="1">
        <f t="shared" si="50"/>
        <v>0</v>
      </c>
    </row>
    <row r="803" spans="8:15" ht="11.25" customHeight="1" x14ac:dyDescent="0.2">
      <c r="H803" s="10"/>
      <c r="I803" s="10"/>
      <c r="J803" s="10"/>
      <c r="K803" s="10"/>
      <c r="L803" s="1">
        <f t="shared" si="47"/>
        <v>0</v>
      </c>
      <c r="M803" s="1">
        <f t="shared" si="48"/>
        <v>0</v>
      </c>
      <c r="N803" s="1">
        <f t="shared" si="49"/>
        <v>0</v>
      </c>
      <c r="O803" s="1">
        <f t="shared" si="50"/>
        <v>0</v>
      </c>
    </row>
    <row r="804" spans="8:15" ht="11.25" customHeight="1" x14ac:dyDescent="0.2">
      <c r="H804" s="10"/>
      <c r="I804" s="10"/>
      <c r="J804" s="10"/>
      <c r="K804" s="10"/>
      <c r="L804" s="1">
        <f t="shared" si="47"/>
        <v>0</v>
      </c>
      <c r="M804" s="1">
        <f t="shared" si="48"/>
        <v>0</v>
      </c>
      <c r="N804" s="1">
        <f t="shared" si="49"/>
        <v>0</v>
      </c>
      <c r="O804" s="1">
        <f t="shared" si="50"/>
        <v>0</v>
      </c>
    </row>
    <row r="805" spans="8:15" ht="11.25" customHeight="1" x14ac:dyDescent="0.2">
      <c r="H805" s="10"/>
      <c r="I805" s="10"/>
      <c r="J805" s="10"/>
      <c r="K805" s="10"/>
      <c r="L805" s="1">
        <f t="shared" si="47"/>
        <v>0</v>
      </c>
      <c r="M805" s="1">
        <f t="shared" si="48"/>
        <v>0</v>
      </c>
      <c r="N805" s="1">
        <f t="shared" si="49"/>
        <v>0</v>
      </c>
      <c r="O805" s="1">
        <f t="shared" si="50"/>
        <v>0</v>
      </c>
    </row>
    <row r="806" spans="8:15" ht="11.25" customHeight="1" x14ac:dyDescent="0.2">
      <c r="H806" s="10"/>
      <c r="I806" s="10"/>
      <c r="J806" s="10"/>
      <c r="K806" s="10"/>
      <c r="L806" s="1">
        <f t="shared" si="47"/>
        <v>0</v>
      </c>
      <c r="M806" s="1">
        <f t="shared" si="48"/>
        <v>0</v>
      </c>
      <c r="N806" s="1">
        <f t="shared" si="49"/>
        <v>0</v>
      </c>
      <c r="O806" s="1">
        <f t="shared" si="50"/>
        <v>0</v>
      </c>
    </row>
    <row r="807" spans="8:15" ht="11.25" customHeight="1" x14ac:dyDescent="0.2">
      <c r="H807" s="10"/>
      <c r="I807" s="10"/>
      <c r="J807" s="10"/>
      <c r="K807" s="10"/>
      <c r="L807" s="1">
        <f t="shared" si="47"/>
        <v>0</v>
      </c>
      <c r="M807" s="1">
        <f t="shared" si="48"/>
        <v>0</v>
      </c>
      <c r="N807" s="1">
        <f t="shared" si="49"/>
        <v>0</v>
      </c>
      <c r="O807" s="1">
        <f t="shared" si="50"/>
        <v>0</v>
      </c>
    </row>
    <row r="808" spans="8:15" ht="11.25" customHeight="1" x14ac:dyDescent="0.2">
      <c r="H808" s="10"/>
      <c r="I808" s="10"/>
      <c r="J808" s="10"/>
      <c r="K808" s="10"/>
      <c r="L808" s="1">
        <f t="shared" si="47"/>
        <v>0</v>
      </c>
      <c r="M808" s="1">
        <f t="shared" si="48"/>
        <v>0</v>
      </c>
      <c r="N808" s="1">
        <f t="shared" si="49"/>
        <v>0</v>
      </c>
      <c r="O808" s="1">
        <f t="shared" si="50"/>
        <v>0</v>
      </c>
    </row>
    <row r="809" spans="8:15" ht="11.25" customHeight="1" x14ac:dyDescent="0.2">
      <c r="H809" s="10"/>
      <c r="I809" s="10"/>
      <c r="J809" s="10"/>
      <c r="K809" s="10"/>
      <c r="L809" s="1">
        <f t="shared" si="47"/>
        <v>0</v>
      </c>
      <c r="M809" s="1">
        <f t="shared" si="48"/>
        <v>0</v>
      </c>
      <c r="N809" s="1">
        <f t="shared" si="49"/>
        <v>0</v>
      </c>
      <c r="O809" s="1">
        <f t="shared" si="50"/>
        <v>0</v>
      </c>
    </row>
    <row r="810" spans="8:15" ht="11.25" customHeight="1" x14ac:dyDescent="0.2">
      <c r="H810" s="10"/>
      <c r="I810" s="10"/>
      <c r="J810" s="10"/>
      <c r="K810" s="10"/>
      <c r="L810" s="1">
        <f t="shared" si="47"/>
        <v>0</v>
      </c>
      <c r="M810" s="1">
        <f t="shared" si="48"/>
        <v>0</v>
      </c>
      <c r="N810" s="1">
        <f t="shared" si="49"/>
        <v>0</v>
      </c>
      <c r="O810" s="1">
        <f t="shared" si="50"/>
        <v>0</v>
      </c>
    </row>
    <row r="811" spans="8:15" ht="11.25" customHeight="1" x14ac:dyDescent="0.2">
      <c r="H811" s="10"/>
      <c r="I811" s="10"/>
      <c r="J811" s="10"/>
      <c r="K811" s="10"/>
      <c r="L811" s="1">
        <f t="shared" si="47"/>
        <v>0</v>
      </c>
      <c r="M811" s="1">
        <f t="shared" si="48"/>
        <v>0</v>
      </c>
      <c r="N811" s="1">
        <f t="shared" si="49"/>
        <v>0</v>
      </c>
      <c r="O811" s="1">
        <f t="shared" si="50"/>
        <v>0</v>
      </c>
    </row>
    <row r="812" spans="8:15" ht="11.25" customHeight="1" x14ac:dyDescent="0.2">
      <c r="H812" s="10"/>
      <c r="I812" s="10"/>
      <c r="J812" s="10"/>
      <c r="K812" s="10"/>
      <c r="L812" s="1">
        <f t="shared" si="47"/>
        <v>0</v>
      </c>
      <c r="M812" s="1">
        <f t="shared" si="48"/>
        <v>0</v>
      </c>
      <c r="N812" s="1">
        <f t="shared" si="49"/>
        <v>0</v>
      </c>
      <c r="O812" s="1">
        <f t="shared" si="50"/>
        <v>0</v>
      </c>
    </row>
    <row r="813" spans="8:15" ht="11.25" customHeight="1" x14ac:dyDescent="0.2">
      <c r="H813" s="10"/>
      <c r="I813" s="10"/>
      <c r="J813" s="10"/>
      <c r="K813" s="10"/>
      <c r="L813" s="1">
        <f t="shared" si="47"/>
        <v>0</v>
      </c>
      <c r="M813" s="1">
        <f t="shared" si="48"/>
        <v>0</v>
      </c>
      <c r="N813" s="1">
        <f t="shared" si="49"/>
        <v>0</v>
      </c>
      <c r="O813" s="1">
        <f t="shared" si="50"/>
        <v>0</v>
      </c>
    </row>
    <row r="814" spans="8:15" ht="11.25" customHeight="1" x14ac:dyDescent="0.2">
      <c r="H814" s="10"/>
      <c r="I814" s="10"/>
      <c r="J814" s="10"/>
      <c r="K814" s="10"/>
      <c r="L814" s="1">
        <f t="shared" si="47"/>
        <v>0</v>
      </c>
      <c r="M814" s="1">
        <f t="shared" si="48"/>
        <v>0</v>
      </c>
      <c r="N814" s="1">
        <f t="shared" si="49"/>
        <v>0</v>
      </c>
      <c r="O814" s="1">
        <f t="shared" si="50"/>
        <v>0</v>
      </c>
    </row>
    <row r="815" spans="8:15" ht="11.25" customHeight="1" x14ac:dyDescent="0.2">
      <c r="H815" s="10"/>
      <c r="I815" s="10"/>
      <c r="J815" s="10"/>
      <c r="K815" s="10"/>
      <c r="L815" s="1">
        <f t="shared" si="47"/>
        <v>0</v>
      </c>
      <c r="M815" s="1">
        <f t="shared" si="48"/>
        <v>0</v>
      </c>
      <c r="N815" s="1">
        <f t="shared" si="49"/>
        <v>0</v>
      </c>
      <c r="O815" s="1">
        <f t="shared" si="50"/>
        <v>0</v>
      </c>
    </row>
    <row r="816" spans="8:15" ht="11.25" customHeight="1" x14ac:dyDescent="0.2">
      <c r="H816" s="10"/>
      <c r="I816" s="10"/>
      <c r="J816" s="10"/>
      <c r="K816" s="10"/>
      <c r="L816" s="1">
        <f t="shared" si="47"/>
        <v>0</v>
      </c>
      <c r="M816" s="1">
        <f t="shared" si="48"/>
        <v>0</v>
      </c>
      <c r="N816" s="1">
        <f t="shared" si="49"/>
        <v>0</v>
      </c>
      <c r="O816" s="1">
        <f t="shared" si="50"/>
        <v>0</v>
      </c>
    </row>
    <row r="817" spans="8:15" ht="11.25" customHeight="1" x14ac:dyDescent="0.2">
      <c r="H817" s="10"/>
      <c r="I817" s="10"/>
      <c r="J817" s="10"/>
      <c r="K817" s="10"/>
      <c r="L817" s="1">
        <f t="shared" si="47"/>
        <v>0</v>
      </c>
      <c r="M817" s="1">
        <f t="shared" si="48"/>
        <v>0</v>
      </c>
      <c r="N817" s="1">
        <f t="shared" si="49"/>
        <v>0</v>
      </c>
      <c r="O817" s="1">
        <f t="shared" si="50"/>
        <v>0</v>
      </c>
    </row>
    <row r="818" spans="8:15" ht="11.25" customHeight="1" x14ac:dyDescent="0.2">
      <c r="H818" s="10"/>
      <c r="I818" s="10"/>
      <c r="J818" s="10"/>
      <c r="K818" s="10"/>
      <c r="L818" s="1">
        <f t="shared" si="47"/>
        <v>0</v>
      </c>
      <c r="M818" s="1">
        <f t="shared" si="48"/>
        <v>0</v>
      </c>
      <c r="N818" s="1">
        <f t="shared" si="49"/>
        <v>0</v>
      </c>
      <c r="O818" s="1">
        <f t="shared" si="50"/>
        <v>0</v>
      </c>
    </row>
    <row r="819" spans="8:15" ht="11.25" customHeight="1" x14ac:dyDescent="0.2">
      <c r="H819" s="10"/>
      <c r="I819" s="10"/>
      <c r="J819" s="10"/>
      <c r="K819" s="10"/>
      <c r="L819" s="1">
        <f t="shared" si="47"/>
        <v>0</v>
      </c>
      <c r="M819" s="1">
        <f t="shared" si="48"/>
        <v>0</v>
      </c>
      <c r="N819" s="1">
        <f t="shared" si="49"/>
        <v>0</v>
      </c>
      <c r="O819" s="1">
        <f t="shared" si="50"/>
        <v>0</v>
      </c>
    </row>
    <row r="820" spans="8:15" ht="11.25" customHeight="1" x14ac:dyDescent="0.2">
      <c r="H820" s="10"/>
      <c r="I820" s="10"/>
      <c r="J820" s="10"/>
      <c r="K820" s="10"/>
      <c r="L820" s="1">
        <f t="shared" si="47"/>
        <v>0</v>
      </c>
      <c r="M820" s="1">
        <f t="shared" si="48"/>
        <v>0</v>
      </c>
      <c r="N820" s="1">
        <f t="shared" si="49"/>
        <v>0</v>
      </c>
      <c r="O820" s="1">
        <f t="shared" si="50"/>
        <v>0</v>
      </c>
    </row>
    <row r="821" spans="8:15" ht="11.25" customHeight="1" x14ac:dyDescent="0.2">
      <c r="H821" s="10"/>
      <c r="I821" s="10"/>
      <c r="J821" s="10"/>
      <c r="K821" s="10"/>
      <c r="L821" s="1">
        <f t="shared" si="47"/>
        <v>0</v>
      </c>
      <c r="M821" s="1">
        <f t="shared" si="48"/>
        <v>0</v>
      </c>
      <c r="N821" s="1">
        <f t="shared" si="49"/>
        <v>0</v>
      </c>
      <c r="O821" s="1">
        <f t="shared" si="50"/>
        <v>0</v>
      </c>
    </row>
    <row r="822" spans="8:15" ht="11.25" customHeight="1" x14ac:dyDescent="0.2">
      <c r="H822" s="10"/>
      <c r="I822" s="10"/>
      <c r="J822" s="10"/>
      <c r="K822" s="10"/>
      <c r="L822" s="1">
        <f t="shared" si="47"/>
        <v>0</v>
      </c>
      <c r="M822" s="1">
        <f t="shared" si="48"/>
        <v>0</v>
      </c>
      <c r="N822" s="1">
        <f t="shared" si="49"/>
        <v>0</v>
      </c>
      <c r="O822" s="1">
        <f t="shared" si="50"/>
        <v>0</v>
      </c>
    </row>
    <row r="823" spans="8:15" ht="11.25" customHeight="1" x14ac:dyDescent="0.2">
      <c r="H823" s="10"/>
      <c r="I823" s="10"/>
      <c r="J823" s="10"/>
      <c r="K823" s="10"/>
      <c r="L823" s="1">
        <f t="shared" si="47"/>
        <v>0</v>
      </c>
      <c r="M823" s="1">
        <f t="shared" si="48"/>
        <v>0</v>
      </c>
      <c r="N823" s="1">
        <f t="shared" si="49"/>
        <v>0</v>
      </c>
      <c r="O823" s="1">
        <f t="shared" si="50"/>
        <v>0</v>
      </c>
    </row>
    <row r="824" spans="8:15" ht="11.25" customHeight="1" x14ac:dyDescent="0.2">
      <c r="H824" s="10"/>
      <c r="I824" s="10"/>
      <c r="J824" s="10"/>
      <c r="K824" s="10"/>
      <c r="L824" s="1">
        <f t="shared" si="47"/>
        <v>0</v>
      </c>
      <c r="M824" s="1">
        <f t="shared" si="48"/>
        <v>0</v>
      </c>
      <c r="N824" s="1">
        <f t="shared" si="49"/>
        <v>0</v>
      </c>
      <c r="O824" s="1">
        <f t="shared" si="50"/>
        <v>0</v>
      </c>
    </row>
    <row r="825" spans="8:15" ht="11.25" customHeight="1" x14ac:dyDescent="0.2">
      <c r="H825" s="10"/>
      <c r="I825" s="10"/>
      <c r="J825" s="10"/>
      <c r="K825" s="10"/>
      <c r="L825" s="1">
        <f t="shared" si="47"/>
        <v>0</v>
      </c>
      <c r="M825" s="1">
        <f t="shared" si="48"/>
        <v>0</v>
      </c>
      <c r="N825" s="1">
        <f t="shared" si="49"/>
        <v>0</v>
      </c>
      <c r="O825" s="1">
        <f t="shared" si="50"/>
        <v>0</v>
      </c>
    </row>
    <row r="826" spans="8:15" ht="11.25" customHeight="1" x14ac:dyDescent="0.2">
      <c r="H826" s="10"/>
      <c r="I826" s="10"/>
      <c r="J826" s="10"/>
      <c r="K826" s="10"/>
      <c r="L826" s="1">
        <f t="shared" si="47"/>
        <v>0</v>
      </c>
      <c r="M826" s="1">
        <f t="shared" si="48"/>
        <v>0</v>
      </c>
      <c r="N826" s="1">
        <f t="shared" si="49"/>
        <v>0</v>
      </c>
      <c r="O826" s="1">
        <f t="shared" si="50"/>
        <v>0</v>
      </c>
    </row>
    <row r="827" spans="8:15" ht="11.25" customHeight="1" x14ac:dyDescent="0.2">
      <c r="H827" s="10"/>
      <c r="I827" s="10"/>
      <c r="J827" s="10"/>
      <c r="K827" s="10"/>
      <c r="L827" s="1">
        <f t="shared" si="47"/>
        <v>0</v>
      </c>
      <c r="M827" s="1">
        <f t="shared" si="48"/>
        <v>0</v>
      </c>
      <c r="N827" s="1">
        <f t="shared" si="49"/>
        <v>0</v>
      </c>
      <c r="O827" s="1">
        <f t="shared" si="50"/>
        <v>0</v>
      </c>
    </row>
    <row r="828" spans="8:15" ht="11.25" customHeight="1" x14ac:dyDescent="0.2">
      <c r="H828" s="10"/>
      <c r="I828" s="10"/>
      <c r="J828" s="10"/>
      <c r="K828" s="10"/>
      <c r="L828" s="1">
        <f t="shared" ref="L828:L891" si="51">IF($M$57,H828,J828)</f>
        <v>0</v>
      </c>
      <c r="M828" s="1">
        <f t="shared" ref="M828:M891" si="52">IF($M$57,I828,K828)</f>
        <v>0</v>
      </c>
      <c r="N828" s="1">
        <f t="shared" ref="N828:N891" si="53">IF($M$57,J828,H828)</f>
        <v>0</v>
      </c>
      <c r="O828" s="1">
        <f t="shared" ref="O828:O891" si="54">IF($M$57,K828,I828)</f>
        <v>0</v>
      </c>
    </row>
    <row r="829" spans="8:15" ht="11.25" customHeight="1" x14ac:dyDescent="0.2">
      <c r="H829" s="10"/>
      <c r="I829" s="10"/>
      <c r="J829" s="10"/>
      <c r="K829" s="10"/>
      <c r="L829" s="1">
        <f t="shared" si="51"/>
        <v>0</v>
      </c>
      <c r="M829" s="1">
        <f t="shared" si="52"/>
        <v>0</v>
      </c>
      <c r="N829" s="1">
        <f t="shared" si="53"/>
        <v>0</v>
      </c>
      <c r="O829" s="1">
        <f t="shared" si="54"/>
        <v>0</v>
      </c>
    </row>
    <row r="830" spans="8:15" ht="11.25" customHeight="1" x14ac:dyDescent="0.2">
      <c r="H830" s="10"/>
      <c r="I830" s="10"/>
      <c r="J830" s="10"/>
      <c r="K830" s="10"/>
      <c r="L830" s="1">
        <f t="shared" si="51"/>
        <v>0</v>
      </c>
      <c r="M830" s="1">
        <f t="shared" si="52"/>
        <v>0</v>
      </c>
      <c r="N830" s="1">
        <f t="shared" si="53"/>
        <v>0</v>
      </c>
      <c r="O830" s="1">
        <f t="shared" si="54"/>
        <v>0</v>
      </c>
    </row>
    <row r="831" spans="8:15" ht="11.25" customHeight="1" x14ac:dyDescent="0.2">
      <c r="H831" s="10"/>
      <c r="I831" s="10"/>
      <c r="J831" s="10"/>
      <c r="K831" s="10"/>
      <c r="L831" s="1">
        <f t="shared" si="51"/>
        <v>0</v>
      </c>
      <c r="M831" s="1">
        <f t="shared" si="52"/>
        <v>0</v>
      </c>
      <c r="N831" s="1">
        <f t="shared" si="53"/>
        <v>0</v>
      </c>
      <c r="O831" s="1">
        <f t="shared" si="54"/>
        <v>0</v>
      </c>
    </row>
    <row r="832" spans="8:15" ht="11.25" customHeight="1" x14ac:dyDescent="0.2">
      <c r="H832" s="10"/>
      <c r="I832" s="10"/>
      <c r="J832" s="10"/>
      <c r="K832" s="10"/>
      <c r="L832" s="1">
        <f t="shared" si="51"/>
        <v>0</v>
      </c>
      <c r="M832" s="1">
        <f t="shared" si="52"/>
        <v>0</v>
      </c>
      <c r="N832" s="1">
        <f t="shared" si="53"/>
        <v>0</v>
      </c>
      <c r="O832" s="1">
        <f t="shared" si="54"/>
        <v>0</v>
      </c>
    </row>
    <row r="833" spans="8:15" ht="11.25" customHeight="1" x14ac:dyDescent="0.2">
      <c r="H833" s="10"/>
      <c r="I833" s="10"/>
      <c r="J833" s="10"/>
      <c r="K833" s="10"/>
      <c r="L833" s="1">
        <f t="shared" si="51"/>
        <v>0</v>
      </c>
      <c r="M833" s="1">
        <f t="shared" si="52"/>
        <v>0</v>
      </c>
      <c r="N833" s="1">
        <f t="shared" si="53"/>
        <v>0</v>
      </c>
      <c r="O833" s="1">
        <f t="shared" si="54"/>
        <v>0</v>
      </c>
    </row>
    <row r="834" spans="8:15" ht="11.25" customHeight="1" x14ac:dyDescent="0.2">
      <c r="H834" s="10"/>
      <c r="I834" s="10"/>
      <c r="J834" s="10"/>
      <c r="K834" s="10"/>
      <c r="L834" s="1">
        <f t="shared" si="51"/>
        <v>0</v>
      </c>
      <c r="M834" s="1">
        <f t="shared" si="52"/>
        <v>0</v>
      </c>
      <c r="N834" s="1">
        <f t="shared" si="53"/>
        <v>0</v>
      </c>
      <c r="O834" s="1">
        <f t="shared" si="54"/>
        <v>0</v>
      </c>
    </row>
    <row r="835" spans="8:15" ht="11.25" customHeight="1" x14ac:dyDescent="0.2">
      <c r="H835" s="10"/>
      <c r="I835" s="10"/>
      <c r="J835" s="10"/>
      <c r="K835" s="10"/>
      <c r="L835" s="1">
        <f t="shared" si="51"/>
        <v>0</v>
      </c>
      <c r="M835" s="1">
        <f t="shared" si="52"/>
        <v>0</v>
      </c>
      <c r="N835" s="1">
        <f t="shared" si="53"/>
        <v>0</v>
      </c>
      <c r="O835" s="1">
        <f t="shared" si="54"/>
        <v>0</v>
      </c>
    </row>
    <row r="836" spans="8:15" ht="11.25" customHeight="1" x14ac:dyDescent="0.2">
      <c r="H836" s="10"/>
      <c r="I836" s="10"/>
      <c r="J836" s="10"/>
      <c r="K836" s="10"/>
      <c r="L836" s="1">
        <f t="shared" si="51"/>
        <v>0</v>
      </c>
      <c r="M836" s="1">
        <f t="shared" si="52"/>
        <v>0</v>
      </c>
      <c r="N836" s="1">
        <f t="shared" si="53"/>
        <v>0</v>
      </c>
      <c r="O836" s="1">
        <f t="shared" si="54"/>
        <v>0</v>
      </c>
    </row>
    <row r="837" spans="8:15" ht="11.25" customHeight="1" x14ac:dyDescent="0.2">
      <c r="H837" s="10"/>
      <c r="I837" s="10"/>
      <c r="J837" s="10"/>
      <c r="K837" s="10"/>
      <c r="L837" s="1">
        <f t="shared" si="51"/>
        <v>0</v>
      </c>
      <c r="M837" s="1">
        <f t="shared" si="52"/>
        <v>0</v>
      </c>
      <c r="N837" s="1">
        <f t="shared" si="53"/>
        <v>0</v>
      </c>
      <c r="O837" s="1">
        <f t="shared" si="54"/>
        <v>0</v>
      </c>
    </row>
    <row r="838" spans="8:15" ht="11.25" customHeight="1" x14ac:dyDescent="0.2">
      <c r="H838" s="10"/>
      <c r="I838" s="10"/>
      <c r="J838" s="10"/>
      <c r="K838" s="10"/>
      <c r="L838" s="1">
        <f t="shared" si="51"/>
        <v>0</v>
      </c>
      <c r="M838" s="1">
        <f t="shared" si="52"/>
        <v>0</v>
      </c>
      <c r="N838" s="1">
        <f t="shared" si="53"/>
        <v>0</v>
      </c>
      <c r="O838" s="1">
        <f t="shared" si="54"/>
        <v>0</v>
      </c>
    </row>
    <row r="839" spans="8:15" ht="11.25" customHeight="1" x14ac:dyDescent="0.2">
      <c r="H839" s="10"/>
      <c r="I839" s="10"/>
      <c r="J839" s="10"/>
      <c r="K839" s="10"/>
      <c r="L839" s="1">
        <f t="shared" si="51"/>
        <v>0</v>
      </c>
      <c r="M839" s="1">
        <f t="shared" si="52"/>
        <v>0</v>
      </c>
      <c r="N839" s="1">
        <f t="shared" si="53"/>
        <v>0</v>
      </c>
      <c r="O839" s="1">
        <f t="shared" si="54"/>
        <v>0</v>
      </c>
    </row>
    <row r="840" spans="8:15" ht="11.25" customHeight="1" x14ac:dyDescent="0.2">
      <c r="H840" s="10"/>
      <c r="I840" s="10"/>
      <c r="J840" s="10"/>
      <c r="K840" s="10"/>
      <c r="L840" s="1">
        <f t="shared" si="51"/>
        <v>0</v>
      </c>
      <c r="M840" s="1">
        <f t="shared" si="52"/>
        <v>0</v>
      </c>
      <c r="N840" s="1">
        <f t="shared" si="53"/>
        <v>0</v>
      </c>
      <c r="O840" s="1">
        <f t="shared" si="54"/>
        <v>0</v>
      </c>
    </row>
    <row r="841" spans="8:15" ht="11.25" customHeight="1" x14ac:dyDescent="0.2">
      <c r="H841" s="10"/>
      <c r="I841" s="10"/>
      <c r="J841" s="10"/>
      <c r="K841" s="10"/>
      <c r="L841" s="1">
        <f t="shared" si="51"/>
        <v>0</v>
      </c>
      <c r="M841" s="1">
        <f t="shared" si="52"/>
        <v>0</v>
      </c>
      <c r="N841" s="1">
        <f t="shared" si="53"/>
        <v>0</v>
      </c>
      <c r="O841" s="1">
        <f t="shared" si="54"/>
        <v>0</v>
      </c>
    </row>
    <row r="842" spans="8:15" ht="11.25" customHeight="1" x14ac:dyDescent="0.2">
      <c r="H842" s="10"/>
      <c r="I842" s="10"/>
      <c r="J842" s="10"/>
      <c r="K842" s="10"/>
      <c r="L842" s="1">
        <f t="shared" si="51"/>
        <v>0</v>
      </c>
      <c r="M842" s="1">
        <f t="shared" si="52"/>
        <v>0</v>
      </c>
      <c r="N842" s="1">
        <f t="shared" si="53"/>
        <v>0</v>
      </c>
      <c r="O842" s="1">
        <f t="shared" si="54"/>
        <v>0</v>
      </c>
    </row>
    <row r="843" spans="8:15" ht="11.25" customHeight="1" x14ac:dyDescent="0.2">
      <c r="H843" s="10"/>
      <c r="I843" s="10"/>
      <c r="J843" s="10"/>
      <c r="K843" s="10"/>
      <c r="L843" s="1">
        <f t="shared" si="51"/>
        <v>0</v>
      </c>
      <c r="M843" s="1">
        <f t="shared" si="52"/>
        <v>0</v>
      </c>
      <c r="N843" s="1">
        <f t="shared" si="53"/>
        <v>0</v>
      </c>
      <c r="O843" s="1">
        <f t="shared" si="54"/>
        <v>0</v>
      </c>
    </row>
    <row r="844" spans="8:15" ht="11.25" customHeight="1" x14ac:dyDescent="0.2">
      <c r="H844" s="10"/>
      <c r="I844" s="10"/>
      <c r="J844" s="10"/>
      <c r="K844" s="10"/>
      <c r="L844" s="1">
        <f t="shared" si="51"/>
        <v>0</v>
      </c>
      <c r="M844" s="1">
        <f t="shared" si="52"/>
        <v>0</v>
      </c>
      <c r="N844" s="1">
        <f t="shared" si="53"/>
        <v>0</v>
      </c>
      <c r="O844" s="1">
        <f t="shared" si="54"/>
        <v>0</v>
      </c>
    </row>
    <row r="845" spans="8:15" ht="11.25" customHeight="1" x14ac:dyDescent="0.2">
      <c r="H845" s="10"/>
      <c r="I845" s="10"/>
      <c r="J845" s="10"/>
      <c r="K845" s="10"/>
      <c r="L845" s="1">
        <f t="shared" si="51"/>
        <v>0</v>
      </c>
      <c r="M845" s="1">
        <f t="shared" si="52"/>
        <v>0</v>
      </c>
      <c r="N845" s="1">
        <f t="shared" si="53"/>
        <v>0</v>
      </c>
      <c r="O845" s="1">
        <f t="shared" si="54"/>
        <v>0</v>
      </c>
    </row>
    <row r="846" spans="8:15" ht="11.25" customHeight="1" x14ac:dyDescent="0.2">
      <c r="H846" s="10"/>
      <c r="I846" s="10"/>
      <c r="J846" s="10"/>
      <c r="K846" s="10"/>
      <c r="L846" s="1">
        <f t="shared" si="51"/>
        <v>0</v>
      </c>
      <c r="M846" s="1">
        <f t="shared" si="52"/>
        <v>0</v>
      </c>
      <c r="N846" s="1">
        <f t="shared" si="53"/>
        <v>0</v>
      </c>
      <c r="O846" s="1">
        <f t="shared" si="54"/>
        <v>0</v>
      </c>
    </row>
    <row r="847" spans="8:15" ht="11.25" customHeight="1" x14ac:dyDescent="0.2">
      <c r="H847" s="10"/>
      <c r="I847" s="10"/>
      <c r="J847" s="10"/>
      <c r="K847" s="10"/>
      <c r="L847" s="1">
        <f t="shared" si="51"/>
        <v>0</v>
      </c>
      <c r="M847" s="1">
        <f t="shared" si="52"/>
        <v>0</v>
      </c>
      <c r="N847" s="1">
        <f t="shared" si="53"/>
        <v>0</v>
      </c>
      <c r="O847" s="1">
        <f t="shared" si="54"/>
        <v>0</v>
      </c>
    </row>
    <row r="848" spans="8:15" ht="11.25" customHeight="1" x14ac:dyDescent="0.2">
      <c r="H848" s="10"/>
      <c r="I848" s="10"/>
      <c r="J848" s="10"/>
      <c r="K848" s="10"/>
      <c r="L848" s="1">
        <f t="shared" si="51"/>
        <v>0</v>
      </c>
      <c r="M848" s="1">
        <f t="shared" si="52"/>
        <v>0</v>
      </c>
      <c r="N848" s="1">
        <f t="shared" si="53"/>
        <v>0</v>
      </c>
      <c r="O848" s="1">
        <f t="shared" si="54"/>
        <v>0</v>
      </c>
    </row>
    <row r="849" spans="8:15" ht="11.25" customHeight="1" x14ac:dyDescent="0.2">
      <c r="H849" s="10"/>
      <c r="I849" s="10"/>
      <c r="J849" s="10"/>
      <c r="K849" s="10"/>
      <c r="L849" s="1">
        <f t="shared" si="51"/>
        <v>0</v>
      </c>
      <c r="M849" s="1">
        <f t="shared" si="52"/>
        <v>0</v>
      </c>
      <c r="N849" s="1">
        <f t="shared" si="53"/>
        <v>0</v>
      </c>
      <c r="O849" s="1">
        <f t="shared" si="54"/>
        <v>0</v>
      </c>
    </row>
    <row r="850" spans="8:15" ht="11.25" customHeight="1" x14ac:dyDescent="0.2">
      <c r="H850" s="10"/>
      <c r="I850" s="10"/>
      <c r="J850" s="10"/>
      <c r="K850" s="10"/>
      <c r="L850" s="1">
        <f t="shared" si="51"/>
        <v>0</v>
      </c>
      <c r="M850" s="1">
        <f t="shared" si="52"/>
        <v>0</v>
      </c>
      <c r="N850" s="1">
        <f t="shared" si="53"/>
        <v>0</v>
      </c>
      <c r="O850" s="1">
        <f t="shared" si="54"/>
        <v>0</v>
      </c>
    </row>
    <row r="851" spans="8:15" ht="11.25" customHeight="1" x14ac:dyDescent="0.2">
      <c r="H851" s="10"/>
      <c r="I851" s="10"/>
      <c r="J851" s="10"/>
      <c r="K851" s="10"/>
      <c r="L851" s="1">
        <f t="shared" si="51"/>
        <v>0</v>
      </c>
      <c r="M851" s="1">
        <f t="shared" si="52"/>
        <v>0</v>
      </c>
      <c r="N851" s="1">
        <f t="shared" si="53"/>
        <v>0</v>
      </c>
      <c r="O851" s="1">
        <f t="shared" si="54"/>
        <v>0</v>
      </c>
    </row>
    <row r="852" spans="8:15" ht="11.25" customHeight="1" x14ac:dyDescent="0.2">
      <c r="H852" s="10"/>
      <c r="I852" s="10"/>
      <c r="J852" s="10"/>
      <c r="K852" s="10"/>
      <c r="L852" s="1">
        <f t="shared" si="51"/>
        <v>0</v>
      </c>
      <c r="M852" s="1">
        <f t="shared" si="52"/>
        <v>0</v>
      </c>
      <c r="N852" s="1">
        <f t="shared" si="53"/>
        <v>0</v>
      </c>
      <c r="O852" s="1">
        <f t="shared" si="54"/>
        <v>0</v>
      </c>
    </row>
    <row r="853" spans="8:15" ht="11.25" customHeight="1" x14ac:dyDescent="0.2">
      <c r="H853" s="10"/>
      <c r="I853" s="10"/>
      <c r="J853" s="10"/>
      <c r="K853" s="10"/>
      <c r="L853" s="1">
        <f t="shared" si="51"/>
        <v>0</v>
      </c>
      <c r="M853" s="1">
        <f t="shared" si="52"/>
        <v>0</v>
      </c>
      <c r="N853" s="1">
        <f t="shared" si="53"/>
        <v>0</v>
      </c>
      <c r="O853" s="1">
        <f t="shared" si="54"/>
        <v>0</v>
      </c>
    </row>
    <row r="854" spans="8:15" ht="11.25" customHeight="1" x14ac:dyDescent="0.2">
      <c r="H854" s="10"/>
      <c r="I854" s="10"/>
      <c r="J854" s="10"/>
      <c r="K854" s="10"/>
      <c r="L854" s="1">
        <f t="shared" si="51"/>
        <v>0</v>
      </c>
      <c r="M854" s="1">
        <f t="shared" si="52"/>
        <v>0</v>
      </c>
      <c r="N854" s="1">
        <f t="shared" si="53"/>
        <v>0</v>
      </c>
      <c r="O854" s="1">
        <f t="shared" si="54"/>
        <v>0</v>
      </c>
    </row>
    <row r="855" spans="8:15" ht="11.25" customHeight="1" x14ac:dyDescent="0.2">
      <c r="H855" s="10"/>
      <c r="I855" s="10"/>
      <c r="J855" s="10"/>
      <c r="K855" s="10"/>
      <c r="L855" s="1">
        <f t="shared" si="51"/>
        <v>0</v>
      </c>
      <c r="M855" s="1">
        <f t="shared" si="52"/>
        <v>0</v>
      </c>
      <c r="N855" s="1">
        <f t="shared" si="53"/>
        <v>0</v>
      </c>
      <c r="O855" s="1">
        <f t="shared" si="54"/>
        <v>0</v>
      </c>
    </row>
    <row r="856" spans="8:15" ht="11.25" customHeight="1" x14ac:dyDescent="0.2">
      <c r="H856" s="10"/>
      <c r="I856" s="10"/>
      <c r="J856" s="10"/>
      <c r="K856" s="10"/>
      <c r="L856" s="1">
        <f t="shared" si="51"/>
        <v>0</v>
      </c>
      <c r="M856" s="1">
        <f t="shared" si="52"/>
        <v>0</v>
      </c>
      <c r="N856" s="1">
        <f t="shared" si="53"/>
        <v>0</v>
      </c>
      <c r="O856" s="1">
        <f t="shared" si="54"/>
        <v>0</v>
      </c>
    </row>
    <row r="857" spans="8:15" ht="11.25" customHeight="1" x14ac:dyDescent="0.2">
      <c r="H857" s="10"/>
      <c r="I857" s="10"/>
      <c r="J857" s="10"/>
      <c r="K857" s="10"/>
      <c r="L857" s="1">
        <f t="shared" si="51"/>
        <v>0</v>
      </c>
      <c r="M857" s="1">
        <f t="shared" si="52"/>
        <v>0</v>
      </c>
      <c r="N857" s="1">
        <f t="shared" si="53"/>
        <v>0</v>
      </c>
      <c r="O857" s="1">
        <f t="shared" si="54"/>
        <v>0</v>
      </c>
    </row>
    <row r="858" spans="8:15" ht="11.25" customHeight="1" x14ac:dyDescent="0.2">
      <c r="H858" s="10"/>
      <c r="I858" s="10"/>
      <c r="J858" s="10"/>
      <c r="K858" s="10"/>
      <c r="L858" s="1">
        <f t="shared" si="51"/>
        <v>0</v>
      </c>
      <c r="M858" s="1">
        <f t="shared" si="52"/>
        <v>0</v>
      </c>
      <c r="N858" s="1">
        <f t="shared" si="53"/>
        <v>0</v>
      </c>
      <c r="O858" s="1">
        <f t="shared" si="54"/>
        <v>0</v>
      </c>
    </row>
    <row r="859" spans="8:15" ht="11.25" customHeight="1" x14ac:dyDescent="0.2">
      <c r="H859" s="10"/>
      <c r="I859" s="10"/>
      <c r="J859" s="10"/>
      <c r="K859" s="10"/>
      <c r="L859" s="1">
        <f t="shared" si="51"/>
        <v>0</v>
      </c>
      <c r="M859" s="1">
        <f t="shared" si="52"/>
        <v>0</v>
      </c>
      <c r="N859" s="1">
        <f t="shared" si="53"/>
        <v>0</v>
      </c>
      <c r="O859" s="1">
        <f t="shared" si="54"/>
        <v>0</v>
      </c>
    </row>
    <row r="860" spans="8:15" ht="11.25" customHeight="1" x14ac:dyDescent="0.2">
      <c r="H860" s="10"/>
      <c r="I860" s="10"/>
      <c r="J860" s="10"/>
      <c r="K860" s="10"/>
      <c r="L860" s="1">
        <f t="shared" si="51"/>
        <v>0</v>
      </c>
      <c r="M860" s="1">
        <f t="shared" si="52"/>
        <v>0</v>
      </c>
      <c r="N860" s="1">
        <f t="shared" si="53"/>
        <v>0</v>
      </c>
      <c r="O860" s="1">
        <f t="shared" si="54"/>
        <v>0</v>
      </c>
    </row>
    <row r="861" spans="8:15" ht="11.25" customHeight="1" x14ac:dyDescent="0.2">
      <c r="H861" s="10"/>
      <c r="I861" s="10"/>
      <c r="J861" s="10"/>
      <c r="K861" s="10"/>
      <c r="L861" s="1">
        <f t="shared" si="51"/>
        <v>0</v>
      </c>
      <c r="M861" s="1">
        <f t="shared" si="52"/>
        <v>0</v>
      </c>
      <c r="N861" s="1">
        <f t="shared" si="53"/>
        <v>0</v>
      </c>
      <c r="O861" s="1">
        <f t="shared" si="54"/>
        <v>0</v>
      </c>
    </row>
    <row r="862" spans="8:15" ht="11.25" customHeight="1" x14ac:dyDescent="0.2">
      <c r="H862" s="10"/>
      <c r="I862" s="10"/>
      <c r="J862" s="10"/>
      <c r="K862" s="10"/>
      <c r="L862" s="1">
        <f t="shared" si="51"/>
        <v>0</v>
      </c>
      <c r="M862" s="1">
        <f t="shared" si="52"/>
        <v>0</v>
      </c>
      <c r="N862" s="1">
        <f t="shared" si="53"/>
        <v>0</v>
      </c>
      <c r="O862" s="1">
        <f t="shared" si="54"/>
        <v>0</v>
      </c>
    </row>
    <row r="863" spans="8:15" ht="11.25" customHeight="1" x14ac:dyDescent="0.2">
      <c r="H863" s="10"/>
      <c r="I863" s="10"/>
      <c r="J863" s="10"/>
      <c r="K863" s="10"/>
      <c r="L863" s="1">
        <f t="shared" si="51"/>
        <v>0</v>
      </c>
      <c r="M863" s="1">
        <f t="shared" si="52"/>
        <v>0</v>
      </c>
      <c r="N863" s="1">
        <f t="shared" si="53"/>
        <v>0</v>
      </c>
      <c r="O863" s="1">
        <f t="shared" si="54"/>
        <v>0</v>
      </c>
    </row>
    <row r="864" spans="8:15" ht="11.25" customHeight="1" x14ac:dyDescent="0.2">
      <c r="H864" s="10"/>
      <c r="I864" s="10"/>
      <c r="J864" s="10"/>
      <c r="K864" s="10"/>
      <c r="L864" s="1">
        <f t="shared" si="51"/>
        <v>0</v>
      </c>
      <c r="M864" s="1">
        <f t="shared" si="52"/>
        <v>0</v>
      </c>
      <c r="N864" s="1">
        <f t="shared" si="53"/>
        <v>0</v>
      </c>
      <c r="O864" s="1">
        <f t="shared" si="54"/>
        <v>0</v>
      </c>
    </row>
    <row r="865" spans="8:15" ht="11.25" customHeight="1" x14ac:dyDescent="0.2">
      <c r="H865" s="10"/>
      <c r="I865" s="10"/>
      <c r="J865" s="10"/>
      <c r="K865" s="10"/>
      <c r="L865" s="1">
        <f t="shared" si="51"/>
        <v>0</v>
      </c>
      <c r="M865" s="1">
        <f t="shared" si="52"/>
        <v>0</v>
      </c>
      <c r="N865" s="1">
        <f t="shared" si="53"/>
        <v>0</v>
      </c>
      <c r="O865" s="1">
        <f t="shared" si="54"/>
        <v>0</v>
      </c>
    </row>
    <row r="866" spans="8:15" ht="11.25" customHeight="1" x14ac:dyDescent="0.2">
      <c r="H866" s="10"/>
      <c r="I866" s="10"/>
      <c r="J866" s="10"/>
      <c r="K866" s="10"/>
      <c r="L866" s="1">
        <f t="shared" si="51"/>
        <v>0</v>
      </c>
      <c r="M866" s="1">
        <f t="shared" si="52"/>
        <v>0</v>
      </c>
      <c r="N866" s="1">
        <f t="shared" si="53"/>
        <v>0</v>
      </c>
      <c r="O866" s="1">
        <f t="shared" si="54"/>
        <v>0</v>
      </c>
    </row>
    <row r="867" spans="8:15" ht="11.25" customHeight="1" x14ac:dyDescent="0.2">
      <c r="H867" s="10"/>
      <c r="I867" s="10"/>
      <c r="J867" s="10"/>
      <c r="K867" s="10"/>
      <c r="L867" s="1">
        <f t="shared" si="51"/>
        <v>0</v>
      </c>
      <c r="M867" s="1">
        <f t="shared" si="52"/>
        <v>0</v>
      </c>
      <c r="N867" s="1">
        <f t="shared" si="53"/>
        <v>0</v>
      </c>
      <c r="O867" s="1">
        <f t="shared" si="54"/>
        <v>0</v>
      </c>
    </row>
    <row r="868" spans="8:15" ht="11.25" customHeight="1" x14ac:dyDescent="0.2">
      <c r="H868" s="10"/>
      <c r="I868" s="10"/>
      <c r="J868" s="10"/>
      <c r="K868" s="10"/>
      <c r="L868" s="1">
        <f t="shared" si="51"/>
        <v>0</v>
      </c>
      <c r="M868" s="1">
        <f t="shared" si="52"/>
        <v>0</v>
      </c>
      <c r="N868" s="1">
        <f t="shared" si="53"/>
        <v>0</v>
      </c>
      <c r="O868" s="1">
        <f t="shared" si="54"/>
        <v>0</v>
      </c>
    </row>
    <row r="869" spans="8:15" ht="11.25" customHeight="1" x14ac:dyDescent="0.2">
      <c r="H869" s="10"/>
      <c r="I869" s="10"/>
      <c r="J869" s="10"/>
      <c r="K869" s="10"/>
      <c r="L869" s="1">
        <f t="shared" si="51"/>
        <v>0</v>
      </c>
      <c r="M869" s="1">
        <f t="shared" si="52"/>
        <v>0</v>
      </c>
      <c r="N869" s="1">
        <f t="shared" si="53"/>
        <v>0</v>
      </c>
      <c r="O869" s="1">
        <f t="shared" si="54"/>
        <v>0</v>
      </c>
    </row>
    <row r="870" spans="8:15" ht="11.25" customHeight="1" x14ac:dyDescent="0.2">
      <c r="H870" s="10"/>
      <c r="I870" s="10"/>
      <c r="J870" s="10"/>
      <c r="K870" s="10"/>
      <c r="L870" s="1">
        <f t="shared" si="51"/>
        <v>0</v>
      </c>
      <c r="M870" s="1">
        <f t="shared" si="52"/>
        <v>0</v>
      </c>
      <c r="N870" s="1">
        <f t="shared" si="53"/>
        <v>0</v>
      </c>
      <c r="O870" s="1">
        <f t="shared" si="54"/>
        <v>0</v>
      </c>
    </row>
    <row r="871" spans="8:15" ht="11.25" customHeight="1" x14ac:dyDescent="0.2">
      <c r="H871" s="10"/>
      <c r="I871" s="10"/>
      <c r="J871" s="10"/>
      <c r="K871" s="10"/>
      <c r="L871" s="1">
        <f t="shared" si="51"/>
        <v>0</v>
      </c>
      <c r="M871" s="1">
        <f t="shared" si="52"/>
        <v>0</v>
      </c>
      <c r="N871" s="1">
        <f t="shared" si="53"/>
        <v>0</v>
      </c>
      <c r="O871" s="1">
        <f t="shared" si="54"/>
        <v>0</v>
      </c>
    </row>
    <row r="872" spans="8:15" ht="11.25" customHeight="1" x14ac:dyDescent="0.2">
      <c r="H872" s="10"/>
      <c r="I872" s="10"/>
      <c r="J872" s="10"/>
      <c r="K872" s="10"/>
      <c r="L872" s="1">
        <f t="shared" si="51"/>
        <v>0</v>
      </c>
      <c r="M872" s="1">
        <f t="shared" si="52"/>
        <v>0</v>
      </c>
      <c r="N872" s="1">
        <f t="shared" si="53"/>
        <v>0</v>
      </c>
      <c r="O872" s="1">
        <f t="shared" si="54"/>
        <v>0</v>
      </c>
    </row>
    <row r="873" spans="8:15" ht="11.25" customHeight="1" x14ac:dyDescent="0.2">
      <c r="H873" s="10"/>
      <c r="I873" s="10"/>
      <c r="J873" s="10"/>
      <c r="K873" s="10"/>
      <c r="L873" s="1">
        <f t="shared" si="51"/>
        <v>0</v>
      </c>
      <c r="M873" s="1">
        <f t="shared" si="52"/>
        <v>0</v>
      </c>
      <c r="N873" s="1">
        <f t="shared" si="53"/>
        <v>0</v>
      </c>
      <c r="O873" s="1">
        <f t="shared" si="54"/>
        <v>0</v>
      </c>
    </row>
    <row r="874" spans="8:15" ht="11.25" customHeight="1" x14ac:dyDescent="0.2">
      <c r="H874" s="10"/>
      <c r="I874" s="10"/>
      <c r="J874" s="10"/>
      <c r="K874" s="10"/>
      <c r="L874" s="1">
        <f t="shared" si="51"/>
        <v>0</v>
      </c>
      <c r="M874" s="1">
        <f t="shared" si="52"/>
        <v>0</v>
      </c>
      <c r="N874" s="1">
        <f t="shared" si="53"/>
        <v>0</v>
      </c>
      <c r="O874" s="1">
        <f t="shared" si="54"/>
        <v>0</v>
      </c>
    </row>
    <row r="875" spans="8:15" ht="11.25" customHeight="1" x14ac:dyDescent="0.2">
      <c r="H875" s="10"/>
      <c r="I875" s="10"/>
      <c r="J875" s="10"/>
      <c r="K875" s="10"/>
      <c r="L875" s="1">
        <f t="shared" si="51"/>
        <v>0</v>
      </c>
      <c r="M875" s="1">
        <f t="shared" si="52"/>
        <v>0</v>
      </c>
      <c r="N875" s="1">
        <f t="shared" si="53"/>
        <v>0</v>
      </c>
      <c r="O875" s="1">
        <f t="shared" si="54"/>
        <v>0</v>
      </c>
    </row>
    <row r="876" spans="8:15" ht="11.25" customHeight="1" x14ac:dyDescent="0.2">
      <c r="H876" s="10"/>
      <c r="I876" s="10"/>
      <c r="J876" s="10"/>
      <c r="K876" s="10"/>
      <c r="L876" s="1">
        <f t="shared" si="51"/>
        <v>0</v>
      </c>
      <c r="M876" s="1">
        <f t="shared" si="52"/>
        <v>0</v>
      </c>
      <c r="N876" s="1">
        <f t="shared" si="53"/>
        <v>0</v>
      </c>
      <c r="O876" s="1">
        <f t="shared" si="54"/>
        <v>0</v>
      </c>
    </row>
    <row r="877" spans="8:15" ht="11.25" customHeight="1" x14ac:dyDescent="0.2">
      <c r="H877" s="10"/>
      <c r="I877" s="10"/>
      <c r="J877" s="10"/>
      <c r="K877" s="10"/>
      <c r="L877" s="1">
        <f t="shared" si="51"/>
        <v>0</v>
      </c>
      <c r="M877" s="1">
        <f t="shared" si="52"/>
        <v>0</v>
      </c>
      <c r="N877" s="1">
        <f t="shared" si="53"/>
        <v>0</v>
      </c>
      <c r="O877" s="1">
        <f t="shared" si="54"/>
        <v>0</v>
      </c>
    </row>
    <row r="878" spans="8:15" ht="11.25" customHeight="1" x14ac:dyDescent="0.2">
      <c r="H878" s="10"/>
      <c r="I878" s="10"/>
      <c r="J878" s="10"/>
      <c r="K878" s="10"/>
      <c r="L878" s="1">
        <f t="shared" si="51"/>
        <v>0</v>
      </c>
      <c r="M878" s="1">
        <f t="shared" si="52"/>
        <v>0</v>
      </c>
      <c r="N878" s="1">
        <f t="shared" si="53"/>
        <v>0</v>
      </c>
      <c r="O878" s="1">
        <f t="shared" si="54"/>
        <v>0</v>
      </c>
    </row>
    <row r="879" spans="8:15" ht="11.25" customHeight="1" x14ac:dyDescent="0.2">
      <c r="H879" s="10"/>
      <c r="I879" s="10"/>
      <c r="J879" s="10"/>
      <c r="K879" s="10"/>
      <c r="L879" s="1">
        <f t="shared" si="51"/>
        <v>0</v>
      </c>
      <c r="M879" s="1">
        <f t="shared" si="52"/>
        <v>0</v>
      </c>
      <c r="N879" s="1">
        <f t="shared" si="53"/>
        <v>0</v>
      </c>
      <c r="O879" s="1">
        <f t="shared" si="54"/>
        <v>0</v>
      </c>
    </row>
    <row r="880" spans="8:15" ht="11.25" customHeight="1" x14ac:dyDescent="0.2">
      <c r="H880" s="10"/>
      <c r="I880" s="10"/>
      <c r="J880" s="10"/>
      <c r="K880" s="10"/>
      <c r="L880" s="1">
        <f t="shared" si="51"/>
        <v>0</v>
      </c>
      <c r="M880" s="1">
        <f t="shared" si="52"/>
        <v>0</v>
      </c>
      <c r="N880" s="1">
        <f t="shared" si="53"/>
        <v>0</v>
      </c>
      <c r="O880" s="1">
        <f t="shared" si="54"/>
        <v>0</v>
      </c>
    </row>
    <row r="881" spans="8:15" ht="11.25" customHeight="1" x14ac:dyDescent="0.2">
      <c r="H881" s="10"/>
      <c r="I881" s="10"/>
      <c r="J881" s="10"/>
      <c r="K881" s="10"/>
      <c r="L881" s="1">
        <f t="shared" si="51"/>
        <v>0</v>
      </c>
      <c r="M881" s="1">
        <f t="shared" si="52"/>
        <v>0</v>
      </c>
      <c r="N881" s="1">
        <f t="shared" si="53"/>
        <v>0</v>
      </c>
      <c r="O881" s="1">
        <f t="shared" si="54"/>
        <v>0</v>
      </c>
    </row>
    <row r="882" spans="8:15" ht="11.25" customHeight="1" x14ac:dyDescent="0.2">
      <c r="H882" s="10"/>
      <c r="I882" s="10"/>
      <c r="J882" s="10"/>
      <c r="K882" s="10"/>
      <c r="L882" s="1">
        <f t="shared" si="51"/>
        <v>0</v>
      </c>
      <c r="M882" s="1">
        <f t="shared" si="52"/>
        <v>0</v>
      </c>
      <c r="N882" s="1">
        <f t="shared" si="53"/>
        <v>0</v>
      </c>
      <c r="O882" s="1">
        <f t="shared" si="54"/>
        <v>0</v>
      </c>
    </row>
    <row r="883" spans="8:15" ht="11.25" customHeight="1" x14ac:dyDescent="0.2">
      <c r="H883" s="10"/>
      <c r="I883" s="10"/>
      <c r="J883" s="10"/>
      <c r="K883" s="10"/>
      <c r="L883" s="1">
        <f t="shared" si="51"/>
        <v>0</v>
      </c>
      <c r="M883" s="1">
        <f t="shared" si="52"/>
        <v>0</v>
      </c>
      <c r="N883" s="1">
        <f t="shared" si="53"/>
        <v>0</v>
      </c>
      <c r="O883" s="1">
        <f t="shared" si="54"/>
        <v>0</v>
      </c>
    </row>
    <row r="884" spans="8:15" ht="11.25" customHeight="1" x14ac:dyDescent="0.2">
      <c r="H884" s="10"/>
      <c r="I884" s="10"/>
      <c r="J884" s="10"/>
      <c r="K884" s="10"/>
      <c r="L884" s="1">
        <f t="shared" si="51"/>
        <v>0</v>
      </c>
      <c r="M884" s="1">
        <f t="shared" si="52"/>
        <v>0</v>
      </c>
      <c r="N884" s="1">
        <f t="shared" si="53"/>
        <v>0</v>
      </c>
      <c r="O884" s="1">
        <f t="shared" si="54"/>
        <v>0</v>
      </c>
    </row>
    <row r="885" spans="8:15" ht="11.25" customHeight="1" x14ac:dyDescent="0.2">
      <c r="H885" s="10"/>
      <c r="I885" s="10"/>
      <c r="J885" s="10"/>
      <c r="K885" s="10"/>
      <c r="L885" s="1">
        <f t="shared" si="51"/>
        <v>0</v>
      </c>
      <c r="M885" s="1">
        <f t="shared" si="52"/>
        <v>0</v>
      </c>
      <c r="N885" s="1">
        <f t="shared" si="53"/>
        <v>0</v>
      </c>
      <c r="O885" s="1">
        <f t="shared" si="54"/>
        <v>0</v>
      </c>
    </row>
    <row r="886" spans="8:15" ht="11.25" customHeight="1" x14ac:dyDescent="0.2">
      <c r="H886" s="10"/>
      <c r="I886" s="10"/>
      <c r="J886" s="10"/>
      <c r="K886" s="10"/>
      <c r="L886" s="1">
        <f t="shared" si="51"/>
        <v>0</v>
      </c>
      <c r="M886" s="1">
        <f t="shared" si="52"/>
        <v>0</v>
      </c>
      <c r="N886" s="1">
        <f t="shared" si="53"/>
        <v>0</v>
      </c>
      <c r="O886" s="1">
        <f t="shared" si="54"/>
        <v>0</v>
      </c>
    </row>
    <row r="887" spans="8:15" ht="11.25" customHeight="1" x14ac:dyDescent="0.2">
      <c r="H887" s="10"/>
      <c r="I887" s="10"/>
      <c r="J887" s="10"/>
      <c r="K887" s="10"/>
      <c r="L887" s="1">
        <f t="shared" si="51"/>
        <v>0</v>
      </c>
      <c r="M887" s="1">
        <f t="shared" si="52"/>
        <v>0</v>
      </c>
      <c r="N887" s="1">
        <f t="shared" si="53"/>
        <v>0</v>
      </c>
      <c r="O887" s="1">
        <f t="shared" si="54"/>
        <v>0</v>
      </c>
    </row>
    <row r="888" spans="8:15" ht="11.25" customHeight="1" x14ac:dyDescent="0.2">
      <c r="H888" s="10"/>
      <c r="I888" s="10"/>
      <c r="J888" s="10"/>
      <c r="K888" s="10"/>
      <c r="L888" s="1">
        <f t="shared" si="51"/>
        <v>0</v>
      </c>
      <c r="M888" s="1">
        <f t="shared" si="52"/>
        <v>0</v>
      </c>
      <c r="N888" s="1">
        <f t="shared" si="53"/>
        <v>0</v>
      </c>
      <c r="O888" s="1">
        <f t="shared" si="54"/>
        <v>0</v>
      </c>
    </row>
    <row r="889" spans="8:15" ht="11.25" customHeight="1" x14ac:dyDescent="0.2">
      <c r="H889" s="10"/>
      <c r="I889" s="10"/>
      <c r="J889" s="10"/>
      <c r="K889" s="10"/>
      <c r="L889" s="1">
        <f t="shared" si="51"/>
        <v>0</v>
      </c>
      <c r="M889" s="1">
        <f t="shared" si="52"/>
        <v>0</v>
      </c>
      <c r="N889" s="1">
        <f t="shared" si="53"/>
        <v>0</v>
      </c>
      <c r="O889" s="1">
        <f t="shared" si="54"/>
        <v>0</v>
      </c>
    </row>
    <row r="890" spans="8:15" ht="11.25" customHeight="1" x14ac:dyDescent="0.2">
      <c r="H890" s="10"/>
      <c r="I890" s="10"/>
      <c r="J890" s="10"/>
      <c r="K890" s="10"/>
      <c r="L890" s="1">
        <f t="shared" si="51"/>
        <v>0</v>
      </c>
      <c r="M890" s="1">
        <f t="shared" si="52"/>
        <v>0</v>
      </c>
      <c r="N890" s="1">
        <f t="shared" si="53"/>
        <v>0</v>
      </c>
      <c r="O890" s="1">
        <f t="shared" si="54"/>
        <v>0</v>
      </c>
    </row>
    <row r="891" spans="8:15" ht="11.25" customHeight="1" x14ac:dyDescent="0.2">
      <c r="H891" s="10"/>
      <c r="I891" s="10"/>
      <c r="J891" s="10"/>
      <c r="K891" s="10"/>
      <c r="L891" s="1">
        <f t="shared" si="51"/>
        <v>0</v>
      </c>
      <c r="M891" s="1">
        <f t="shared" si="52"/>
        <v>0</v>
      </c>
      <c r="N891" s="1">
        <f t="shared" si="53"/>
        <v>0</v>
      </c>
      <c r="O891" s="1">
        <f t="shared" si="54"/>
        <v>0</v>
      </c>
    </row>
    <row r="892" spans="8:15" ht="11.25" customHeight="1" x14ac:dyDescent="0.2">
      <c r="H892" s="10"/>
      <c r="I892" s="10"/>
      <c r="J892" s="10"/>
      <c r="K892" s="10"/>
      <c r="L892" s="1">
        <f t="shared" ref="L892:L955" si="55">IF($M$57,H892,J892)</f>
        <v>0</v>
      </c>
      <c r="M892" s="1">
        <f t="shared" ref="M892:M955" si="56">IF($M$57,I892,K892)</f>
        <v>0</v>
      </c>
      <c r="N892" s="1">
        <f t="shared" ref="N892:N955" si="57">IF($M$57,J892,H892)</f>
        <v>0</v>
      </c>
      <c r="O892" s="1">
        <f t="shared" ref="O892:O955" si="58">IF($M$57,K892,I892)</f>
        <v>0</v>
      </c>
    </row>
    <row r="893" spans="8:15" ht="11.25" customHeight="1" x14ac:dyDescent="0.2">
      <c r="H893" s="10"/>
      <c r="I893" s="10"/>
      <c r="J893" s="10"/>
      <c r="K893" s="10"/>
      <c r="L893" s="1">
        <f t="shared" si="55"/>
        <v>0</v>
      </c>
      <c r="M893" s="1">
        <f t="shared" si="56"/>
        <v>0</v>
      </c>
      <c r="N893" s="1">
        <f t="shared" si="57"/>
        <v>0</v>
      </c>
      <c r="O893" s="1">
        <f t="shared" si="58"/>
        <v>0</v>
      </c>
    </row>
    <row r="894" spans="8:15" ht="11.25" customHeight="1" x14ac:dyDescent="0.2">
      <c r="H894" s="10"/>
      <c r="I894" s="10"/>
      <c r="J894" s="10"/>
      <c r="K894" s="10"/>
      <c r="L894" s="1">
        <f t="shared" si="55"/>
        <v>0</v>
      </c>
      <c r="M894" s="1">
        <f t="shared" si="56"/>
        <v>0</v>
      </c>
      <c r="N894" s="1">
        <f t="shared" si="57"/>
        <v>0</v>
      </c>
      <c r="O894" s="1">
        <f t="shared" si="58"/>
        <v>0</v>
      </c>
    </row>
    <row r="895" spans="8:15" ht="11.25" customHeight="1" x14ac:dyDescent="0.2">
      <c r="H895" s="10"/>
      <c r="I895" s="10"/>
      <c r="J895" s="10"/>
      <c r="K895" s="10"/>
      <c r="L895" s="1">
        <f t="shared" si="55"/>
        <v>0</v>
      </c>
      <c r="M895" s="1">
        <f t="shared" si="56"/>
        <v>0</v>
      </c>
      <c r="N895" s="1">
        <f t="shared" si="57"/>
        <v>0</v>
      </c>
      <c r="O895" s="1">
        <f t="shared" si="58"/>
        <v>0</v>
      </c>
    </row>
    <row r="896" spans="8:15" ht="11.25" customHeight="1" x14ac:dyDescent="0.2">
      <c r="H896" s="10"/>
      <c r="I896" s="10"/>
      <c r="J896" s="10"/>
      <c r="K896" s="10"/>
      <c r="L896" s="1">
        <f t="shared" si="55"/>
        <v>0</v>
      </c>
      <c r="M896" s="1">
        <f t="shared" si="56"/>
        <v>0</v>
      </c>
      <c r="N896" s="1">
        <f t="shared" si="57"/>
        <v>0</v>
      </c>
      <c r="O896" s="1">
        <f t="shared" si="58"/>
        <v>0</v>
      </c>
    </row>
    <row r="897" spans="8:15" ht="11.25" customHeight="1" x14ac:dyDescent="0.2">
      <c r="H897" s="10"/>
      <c r="I897" s="10"/>
      <c r="J897" s="10"/>
      <c r="K897" s="10"/>
      <c r="L897" s="1">
        <f t="shared" si="55"/>
        <v>0</v>
      </c>
      <c r="M897" s="1">
        <f t="shared" si="56"/>
        <v>0</v>
      </c>
      <c r="N897" s="1">
        <f t="shared" si="57"/>
        <v>0</v>
      </c>
      <c r="O897" s="1">
        <f t="shared" si="58"/>
        <v>0</v>
      </c>
    </row>
    <row r="898" spans="8:15" ht="11.25" customHeight="1" x14ac:dyDescent="0.2">
      <c r="H898" s="10"/>
      <c r="I898" s="10"/>
      <c r="J898" s="10"/>
      <c r="K898" s="10"/>
      <c r="L898" s="1">
        <f t="shared" si="55"/>
        <v>0</v>
      </c>
      <c r="M898" s="1">
        <f t="shared" si="56"/>
        <v>0</v>
      </c>
      <c r="N898" s="1">
        <f t="shared" si="57"/>
        <v>0</v>
      </c>
      <c r="O898" s="1">
        <f t="shared" si="58"/>
        <v>0</v>
      </c>
    </row>
    <row r="899" spans="8:15" ht="11.25" customHeight="1" x14ac:dyDescent="0.2">
      <c r="H899" s="10"/>
      <c r="I899" s="10"/>
      <c r="J899" s="10"/>
      <c r="K899" s="10"/>
      <c r="L899" s="1">
        <f t="shared" si="55"/>
        <v>0</v>
      </c>
      <c r="M899" s="1">
        <f t="shared" si="56"/>
        <v>0</v>
      </c>
      <c r="N899" s="1">
        <f t="shared" si="57"/>
        <v>0</v>
      </c>
      <c r="O899" s="1">
        <f t="shared" si="58"/>
        <v>0</v>
      </c>
    </row>
    <row r="900" spans="8:15" ht="11.25" customHeight="1" x14ac:dyDescent="0.2">
      <c r="H900" s="10"/>
      <c r="I900" s="10"/>
      <c r="J900" s="10"/>
      <c r="K900" s="10"/>
      <c r="L900" s="1">
        <f t="shared" si="55"/>
        <v>0</v>
      </c>
      <c r="M900" s="1">
        <f t="shared" si="56"/>
        <v>0</v>
      </c>
      <c r="N900" s="1">
        <f t="shared" si="57"/>
        <v>0</v>
      </c>
      <c r="O900" s="1">
        <f t="shared" si="58"/>
        <v>0</v>
      </c>
    </row>
    <row r="901" spans="8:15" ht="11.25" customHeight="1" x14ac:dyDescent="0.2">
      <c r="H901" s="10"/>
      <c r="I901" s="10"/>
      <c r="J901" s="10"/>
      <c r="K901" s="10"/>
      <c r="L901" s="1">
        <f t="shared" si="55"/>
        <v>0</v>
      </c>
      <c r="M901" s="1">
        <f t="shared" si="56"/>
        <v>0</v>
      </c>
      <c r="N901" s="1">
        <f t="shared" si="57"/>
        <v>0</v>
      </c>
      <c r="O901" s="1">
        <f t="shared" si="58"/>
        <v>0</v>
      </c>
    </row>
    <row r="902" spans="8:15" ht="11.25" customHeight="1" x14ac:dyDescent="0.2">
      <c r="H902" s="10"/>
      <c r="I902" s="10"/>
      <c r="J902" s="10"/>
      <c r="K902" s="10"/>
      <c r="L902" s="1">
        <f t="shared" si="55"/>
        <v>0</v>
      </c>
      <c r="M902" s="1">
        <f t="shared" si="56"/>
        <v>0</v>
      </c>
      <c r="N902" s="1">
        <f t="shared" si="57"/>
        <v>0</v>
      </c>
      <c r="O902" s="1">
        <f t="shared" si="58"/>
        <v>0</v>
      </c>
    </row>
    <row r="903" spans="8:15" ht="11.25" customHeight="1" x14ac:dyDescent="0.2">
      <c r="H903" s="10"/>
      <c r="I903" s="10"/>
      <c r="J903" s="10"/>
      <c r="K903" s="10"/>
      <c r="L903" s="1">
        <f t="shared" si="55"/>
        <v>0</v>
      </c>
      <c r="M903" s="1">
        <f t="shared" si="56"/>
        <v>0</v>
      </c>
      <c r="N903" s="1">
        <f t="shared" si="57"/>
        <v>0</v>
      </c>
      <c r="O903" s="1">
        <f t="shared" si="58"/>
        <v>0</v>
      </c>
    </row>
    <row r="904" spans="8:15" ht="11.25" customHeight="1" x14ac:dyDescent="0.2">
      <c r="H904" s="10"/>
      <c r="I904" s="10"/>
      <c r="J904" s="10"/>
      <c r="K904" s="10"/>
      <c r="L904" s="1">
        <f t="shared" si="55"/>
        <v>0</v>
      </c>
      <c r="M904" s="1">
        <f t="shared" si="56"/>
        <v>0</v>
      </c>
      <c r="N904" s="1">
        <f t="shared" si="57"/>
        <v>0</v>
      </c>
      <c r="O904" s="1">
        <f t="shared" si="58"/>
        <v>0</v>
      </c>
    </row>
    <row r="905" spans="8:15" ht="11.25" customHeight="1" x14ac:dyDescent="0.2">
      <c r="H905" s="10"/>
      <c r="I905" s="10"/>
      <c r="J905" s="10"/>
      <c r="K905" s="10"/>
      <c r="L905" s="1">
        <f t="shared" si="55"/>
        <v>0</v>
      </c>
      <c r="M905" s="1">
        <f t="shared" si="56"/>
        <v>0</v>
      </c>
      <c r="N905" s="1">
        <f t="shared" si="57"/>
        <v>0</v>
      </c>
      <c r="O905" s="1">
        <f t="shared" si="58"/>
        <v>0</v>
      </c>
    </row>
    <row r="906" spans="8:15" ht="11.25" customHeight="1" x14ac:dyDescent="0.2">
      <c r="H906" s="10"/>
      <c r="I906" s="10"/>
      <c r="J906" s="10"/>
      <c r="K906" s="10"/>
      <c r="L906" s="1">
        <f t="shared" si="55"/>
        <v>0</v>
      </c>
      <c r="M906" s="1">
        <f t="shared" si="56"/>
        <v>0</v>
      </c>
      <c r="N906" s="1">
        <f t="shared" si="57"/>
        <v>0</v>
      </c>
      <c r="O906" s="1">
        <f t="shared" si="58"/>
        <v>0</v>
      </c>
    </row>
    <row r="907" spans="8:15" ht="11.25" customHeight="1" x14ac:dyDescent="0.2">
      <c r="H907" s="10"/>
      <c r="I907" s="10"/>
      <c r="J907" s="10"/>
      <c r="K907" s="10"/>
      <c r="L907" s="1">
        <f t="shared" si="55"/>
        <v>0</v>
      </c>
      <c r="M907" s="1">
        <f t="shared" si="56"/>
        <v>0</v>
      </c>
      <c r="N907" s="1">
        <f t="shared" si="57"/>
        <v>0</v>
      </c>
      <c r="O907" s="1">
        <f t="shared" si="58"/>
        <v>0</v>
      </c>
    </row>
    <row r="908" spans="8:15" ht="11.25" customHeight="1" x14ac:dyDescent="0.2">
      <c r="H908" s="10"/>
      <c r="I908" s="10"/>
      <c r="J908" s="10"/>
      <c r="K908" s="10"/>
      <c r="L908" s="1">
        <f t="shared" si="55"/>
        <v>0</v>
      </c>
      <c r="M908" s="1">
        <f t="shared" si="56"/>
        <v>0</v>
      </c>
      <c r="N908" s="1">
        <f t="shared" si="57"/>
        <v>0</v>
      </c>
      <c r="O908" s="1">
        <f t="shared" si="58"/>
        <v>0</v>
      </c>
    </row>
    <row r="909" spans="8:15" ht="11.25" customHeight="1" x14ac:dyDescent="0.2">
      <c r="H909" s="10"/>
      <c r="I909" s="10"/>
      <c r="J909" s="10"/>
      <c r="K909" s="10"/>
      <c r="L909" s="1">
        <f t="shared" si="55"/>
        <v>0</v>
      </c>
      <c r="M909" s="1">
        <f t="shared" si="56"/>
        <v>0</v>
      </c>
      <c r="N909" s="1">
        <f t="shared" si="57"/>
        <v>0</v>
      </c>
      <c r="O909" s="1">
        <f t="shared" si="58"/>
        <v>0</v>
      </c>
    </row>
    <row r="910" spans="8:15" ht="11.25" customHeight="1" x14ac:dyDescent="0.2">
      <c r="H910" s="10"/>
      <c r="I910" s="10"/>
      <c r="J910" s="10"/>
      <c r="K910" s="10"/>
      <c r="L910" s="1">
        <f t="shared" si="55"/>
        <v>0</v>
      </c>
      <c r="M910" s="1">
        <f t="shared" si="56"/>
        <v>0</v>
      </c>
      <c r="N910" s="1">
        <f t="shared" si="57"/>
        <v>0</v>
      </c>
      <c r="O910" s="1">
        <f t="shared" si="58"/>
        <v>0</v>
      </c>
    </row>
    <row r="911" spans="8:15" ht="11.25" customHeight="1" x14ac:dyDescent="0.2">
      <c r="H911" s="10"/>
      <c r="I911" s="10"/>
      <c r="J911" s="10"/>
      <c r="K911" s="10"/>
      <c r="L911" s="1">
        <f t="shared" si="55"/>
        <v>0</v>
      </c>
      <c r="M911" s="1">
        <f t="shared" si="56"/>
        <v>0</v>
      </c>
      <c r="N911" s="1">
        <f t="shared" si="57"/>
        <v>0</v>
      </c>
      <c r="O911" s="1">
        <f t="shared" si="58"/>
        <v>0</v>
      </c>
    </row>
    <row r="912" spans="8:15" ht="11.25" customHeight="1" x14ac:dyDescent="0.2">
      <c r="H912" s="10"/>
      <c r="I912" s="10"/>
      <c r="J912" s="10"/>
      <c r="K912" s="10"/>
      <c r="L912" s="1">
        <f t="shared" si="55"/>
        <v>0</v>
      </c>
      <c r="M912" s="1">
        <f t="shared" si="56"/>
        <v>0</v>
      </c>
      <c r="N912" s="1">
        <f t="shared" si="57"/>
        <v>0</v>
      </c>
      <c r="O912" s="1">
        <f t="shared" si="58"/>
        <v>0</v>
      </c>
    </row>
    <row r="913" spans="8:15" ht="11.25" customHeight="1" x14ac:dyDescent="0.2">
      <c r="H913" s="10"/>
      <c r="I913" s="10"/>
      <c r="J913" s="10"/>
      <c r="K913" s="10"/>
      <c r="L913" s="1">
        <f t="shared" si="55"/>
        <v>0</v>
      </c>
      <c r="M913" s="1">
        <f t="shared" si="56"/>
        <v>0</v>
      </c>
      <c r="N913" s="1">
        <f t="shared" si="57"/>
        <v>0</v>
      </c>
      <c r="O913" s="1">
        <f t="shared" si="58"/>
        <v>0</v>
      </c>
    </row>
    <row r="914" spans="8:15" ht="11.25" customHeight="1" x14ac:dyDescent="0.2">
      <c r="H914" s="10"/>
      <c r="I914" s="10"/>
      <c r="J914" s="10"/>
      <c r="K914" s="10"/>
      <c r="L914" s="1">
        <f t="shared" si="55"/>
        <v>0</v>
      </c>
      <c r="M914" s="1">
        <f t="shared" si="56"/>
        <v>0</v>
      </c>
      <c r="N914" s="1">
        <f t="shared" si="57"/>
        <v>0</v>
      </c>
      <c r="O914" s="1">
        <f t="shared" si="58"/>
        <v>0</v>
      </c>
    </row>
    <row r="915" spans="8:15" ht="11.25" customHeight="1" x14ac:dyDescent="0.2">
      <c r="H915" s="10"/>
      <c r="I915" s="10"/>
      <c r="J915" s="10"/>
      <c r="K915" s="10"/>
      <c r="L915" s="1">
        <f t="shared" si="55"/>
        <v>0</v>
      </c>
      <c r="M915" s="1">
        <f t="shared" si="56"/>
        <v>0</v>
      </c>
      <c r="N915" s="1">
        <f t="shared" si="57"/>
        <v>0</v>
      </c>
      <c r="O915" s="1">
        <f t="shared" si="58"/>
        <v>0</v>
      </c>
    </row>
    <row r="916" spans="8:15" ht="11.25" customHeight="1" x14ac:dyDescent="0.2">
      <c r="H916" s="10"/>
      <c r="I916" s="10"/>
      <c r="J916" s="10"/>
      <c r="K916" s="10"/>
      <c r="L916" s="1">
        <f t="shared" si="55"/>
        <v>0</v>
      </c>
      <c r="M916" s="1">
        <f t="shared" si="56"/>
        <v>0</v>
      </c>
      <c r="N916" s="1">
        <f t="shared" si="57"/>
        <v>0</v>
      </c>
      <c r="O916" s="1">
        <f t="shared" si="58"/>
        <v>0</v>
      </c>
    </row>
    <row r="917" spans="8:15" ht="11.25" customHeight="1" x14ac:dyDescent="0.2">
      <c r="H917" s="10"/>
      <c r="I917" s="10"/>
      <c r="J917" s="10"/>
      <c r="K917" s="10"/>
      <c r="L917" s="1">
        <f t="shared" si="55"/>
        <v>0</v>
      </c>
      <c r="M917" s="1">
        <f t="shared" si="56"/>
        <v>0</v>
      </c>
      <c r="N917" s="1">
        <f t="shared" si="57"/>
        <v>0</v>
      </c>
      <c r="O917" s="1">
        <f t="shared" si="58"/>
        <v>0</v>
      </c>
    </row>
    <row r="918" spans="8:15" ht="11.25" customHeight="1" x14ac:dyDescent="0.2">
      <c r="H918" s="10"/>
      <c r="I918" s="10"/>
      <c r="J918" s="10"/>
      <c r="K918" s="10"/>
      <c r="L918" s="1">
        <f t="shared" si="55"/>
        <v>0</v>
      </c>
      <c r="M918" s="1">
        <f t="shared" si="56"/>
        <v>0</v>
      </c>
      <c r="N918" s="1">
        <f t="shared" si="57"/>
        <v>0</v>
      </c>
      <c r="O918" s="1">
        <f t="shared" si="58"/>
        <v>0</v>
      </c>
    </row>
    <row r="919" spans="8:15" ht="11.25" customHeight="1" x14ac:dyDescent="0.2">
      <c r="H919" s="10"/>
      <c r="I919" s="10"/>
      <c r="J919" s="10"/>
      <c r="K919" s="10"/>
      <c r="L919" s="1">
        <f t="shared" si="55"/>
        <v>0</v>
      </c>
      <c r="M919" s="1">
        <f t="shared" si="56"/>
        <v>0</v>
      </c>
      <c r="N919" s="1">
        <f t="shared" si="57"/>
        <v>0</v>
      </c>
      <c r="O919" s="1">
        <f t="shared" si="58"/>
        <v>0</v>
      </c>
    </row>
    <row r="920" spans="8:15" ht="11.25" customHeight="1" x14ac:dyDescent="0.2">
      <c r="H920" s="10"/>
      <c r="I920" s="10"/>
      <c r="J920" s="10"/>
      <c r="K920" s="10"/>
      <c r="L920" s="1">
        <f t="shared" si="55"/>
        <v>0</v>
      </c>
      <c r="M920" s="1">
        <f t="shared" si="56"/>
        <v>0</v>
      </c>
      <c r="N920" s="1">
        <f t="shared" si="57"/>
        <v>0</v>
      </c>
      <c r="O920" s="1">
        <f t="shared" si="58"/>
        <v>0</v>
      </c>
    </row>
    <row r="921" spans="8:15" ht="11.25" customHeight="1" x14ac:dyDescent="0.2">
      <c r="H921" s="10"/>
      <c r="I921" s="10"/>
      <c r="J921" s="10"/>
      <c r="K921" s="10"/>
      <c r="L921" s="1">
        <f t="shared" si="55"/>
        <v>0</v>
      </c>
      <c r="M921" s="1">
        <f t="shared" si="56"/>
        <v>0</v>
      </c>
      <c r="N921" s="1">
        <f t="shared" si="57"/>
        <v>0</v>
      </c>
      <c r="O921" s="1">
        <f t="shared" si="58"/>
        <v>0</v>
      </c>
    </row>
    <row r="922" spans="8:15" ht="11.25" customHeight="1" x14ac:dyDescent="0.2">
      <c r="H922" s="10"/>
      <c r="I922" s="10"/>
      <c r="J922" s="10"/>
      <c r="K922" s="10"/>
      <c r="L922" s="1">
        <f t="shared" si="55"/>
        <v>0</v>
      </c>
      <c r="M922" s="1">
        <f t="shared" si="56"/>
        <v>0</v>
      </c>
      <c r="N922" s="1">
        <f t="shared" si="57"/>
        <v>0</v>
      </c>
      <c r="O922" s="1">
        <f t="shared" si="58"/>
        <v>0</v>
      </c>
    </row>
    <row r="923" spans="8:15" ht="11.25" customHeight="1" x14ac:dyDescent="0.2">
      <c r="H923" s="10"/>
      <c r="I923" s="10"/>
      <c r="J923" s="10"/>
      <c r="K923" s="10"/>
      <c r="L923" s="1">
        <f t="shared" si="55"/>
        <v>0</v>
      </c>
      <c r="M923" s="1">
        <f t="shared" si="56"/>
        <v>0</v>
      </c>
      <c r="N923" s="1">
        <f t="shared" si="57"/>
        <v>0</v>
      </c>
      <c r="O923" s="1">
        <f t="shared" si="58"/>
        <v>0</v>
      </c>
    </row>
    <row r="924" spans="8:15" ht="11.25" customHeight="1" x14ac:dyDescent="0.2">
      <c r="H924" s="10"/>
      <c r="I924" s="10"/>
      <c r="J924" s="10"/>
      <c r="K924" s="10"/>
      <c r="L924" s="1">
        <f t="shared" si="55"/>
        <v>0</v>
      </c>
      <c r="M924" s="1">
        <f t="shared" si="56"/>
        <v>0</v>
      </c>
      <c r="N924" s="1">
        <f t="shared" si="57"/>
        <v>0</v>
      </c>
      <c r="O924" s="1">
        <f t="shared" si="58"/>
        <v>0</v>
      </c>
    </row>
    <row r="925" spans="8:15" ht="11.25" customHeight="1" x14ac:dyDescent="0.2">
      <c r="H925" s="10"/>
      <c r="I925" s="10"/>
      <c r="J925" s="10"/>
      <c r="K925" s="10"/>
      <c r="L925" s="1">
        <f t="shared" si="55"/>
        <v>0</v>
      </c>
      <c r="M925" s="1">
        <f t="shared" si="56"/>
        <v>0</v>
      </c>
      <c r="N925" s="1">
        <f t="shared" si="57"/>
        <v>0</v>
      </c>
      <c r="O925" s="1">
        <f t="shared" si="58"/>
        <v>0</v>
      </c>
    </row>
    <row r="926" spans="8:15" ht="11.25" customHeight="1" x14ac:dyDescent="0.2">
      <c r="H926" s="10"/>
      <c r="I926" s="10"/>
      <c r="J926" s="10"/>
      <c r="K926" s="10"/>
      <c r="L926" s="1">
        <f t="shared" si="55"/>
        <v>0</v>
      </c>
      <c r="M926" s="1">
        <f t="shared" si="56"/>
        <v>0</v>
      </c>
      <c r="N926" s="1">
        <f t="shared" si="57"/>
        <v>0</v>
      </c>
      <c r="O926" s="1">
        <f t="shared" si="58"/>
        <v>0</v>
      </c>
    </row>
    <row r="927" spans="8:15" ht="11.25" customHeight="1" x14ac:dyDescent="0.2">
      <c r="H927" s="10"/>
      <c r="I927" s="10"/>
      <c r="J927" s="10"/>
      <c r="K927" s="10"/>
      <c r="L927" s="1">
        <f t="shared" si="55"/>
        <v>0</v>
      </c>
      <c r="M927" s="1">
        <f t="shared" si="56"/>
        <v>0</v>
      </c>
      <c r="N927" s="1">
        <f t="shared" si="57"/>
        <v>0</v>
      </c>
      <c r="O927" s="1">
        <f t="shared" si="58"/>
        <v>0</v>
      </c>
    </row>
    <row r="928" spans="8:15" ht="11.25" customHeight="1" x14ac:dyDescent="0.2">
      <c r="H928" s="10"/>
      <c r="I928" s="10"/>
      <c r="J928" s="10"/>
      <c r="K928" s="10"/>
      <c r="L928" s="1">
        <f t="shared" si="55"/>
        <v>0</v>
      </c>
      <c r="M928" s="1">
        <f t="shared" si="56"/>
        <v>0</v>
      </c>
      <c r="N928" s="1">
        <f t="shared" si="57"/>
        <v>0</v>
      </c>
      <c r="O928" s="1">
        <f t="shared" si="58"/>
        <v>0</v>
      </c>
    </row>
    <row r="929" spans="8:15" ht="11.25" customHeight="1" x14ac:dyDescent="0.2">
      <c r="H929" s="10"/>
      <c r="I929" s="10"/>
      <c r="J929" s="10"/>
      <c r="K929" s="10"/>
      <c r="L929" s="1">
        <f t="shared" si="55"/>
        <v>0</v>
      </c>
      <c r="M929" s="1">
        <f t="shared" si="56"/>
        <v>0</v>
      </c>
      <c r="N929" s="1">
        <f t="shared" si="57"/>
        <v>0</v>
      </c>
      <c r="O929" s="1">
        <f t="shared" si="58"/>
        <v>0</v>
      </c>
    </row>
    <row r="930" spans="8:15" ht="11.25" customHeight="1" x14ac:dyDescent="0.2">
      <c r="H930" s="10"/>
      <c r="I930" s="10"/>
      <c r="J930" s="10"/>
      <c r="K930" s="10"/>
      <c r="L930" s="1">
        <f t="shared" si="55"/>
        <v>0</v>
      </c>
      <c r="M930" s="1">
        <f t="shared" si="56"/>
        <v>0</v>
      </c>
      <c r="N930" s="1">
        <f t="shared" si="57"/>
        <v>0</v>
      </c>
      <c r="O930" s="1">
        <f t="shared" si="58"/>
        <v>0</v>
      </c>
    </row>
    <row r="931" spans="8:15" ht="11.25" customHeight="1" x14ac:dyDescent="0.2">
      <c r="H931" s="10"/>
      <c r="I931" s="10"/>
      <c r="J931" s="10"/>
      <c r="K931" s="10"/>
      <c r="L931" s="1">
        <f t="shared" si="55"/>
        <v>0</v>
      </c>
      <c r="M931" s="1">
        <f t="shared" si="56"/>
        <v>0</v>
      </c>
      <c r="N931" s="1">
        <f t="shared" si="57"/>
        <v>0</v>
      </c>
      <c r="O931" s="1">
        <f t="shared" si="58"/>
        <v>0</v>
      </c>
    </row>
    <row r="932" spans="8:15" ht="11.25" customHeight="1" x14ac:dyDescent="0.2">
      <c r="H932" s="10"/>
      <c r="I932" s="10"/>
      <c r="J932" s="10"/>
      <c r="K932" s="10"/>
      <c r="L932" s="1">
        <f t="shared" si="55"/>
        <v>0</v>
      </c>
      <c r="M932" s="1">
        <f t="shared" si="56"/>
        <v>0</v>
      </c>
      <c r="N932" s="1">
        <f t="shared" si="57"/>
        <v>0</v>
      </c>
      <c r="O932" s="1">
        <f t="shared" si="58"/>
        <v>0</v>
      </c>
    </row>
    <row r="933" spans="8:15" ht="11.25" customHeight="1" x14ac:dyDescent="0.2">
      <c r="H933" s="10"/>
      <c r="I933" s="10"/>
      <c r="J933" s="10"/>
      <c r="K933" s="10"/>
      <c r="L933" s="1">
        <f t="shared" si="55"/>
        <v>0</v>
      </c>
      <c r="M933" s="1">
        <f t="shared" si="56"/>
        <v>0</v>
      </c>
      <c r="N933" s="1">
        <f t="shared" si="57"/>
        <v>0</v>
      </c>
      <c r="O933" s="1">
        <f t="shared" si="58"/>
        <v>0</v>
      </c>
    </row>
    <row r="934" spans="8:15" ht="11.25" customHeight="1" x14ac:dyDescent="0.2">
      <c r="H934" s="10"/>
      <c r="I934" s="10"/>
      <c r="J934" s="10"/>
      <c r="K934" s="10"/>
      <c r="L934" s="1">
        <f t="shared" si="55"/>
        <v>0</v>
      </c>
      <c r="M934" s="1">
        <f t="shared" si="56"/>
        <v>0</v>
      </c>
      <c r="N934" s="1">
        <f t="shared" si="57"/>
        <v>0</v>
      </c>
      <c r="O934" s="1">
        <f t="shared" si="58"/>
        <v>0</v>
      </c>
    </row>
    <row r="935" spans="8:15" ht="11.25" customHeight="1" x14ac:dyDescent="0.2">
      <c r="H935" s="10"/>
      <c r="I935" s="10"/>
      <c r="J935" s="10"/>
      <c r="K935" s="10"/>
      <c r="L935" s="1">
        <f t="shared" si="55"/>
        <v>0</v>
      </c>
      <c r="M935" s="1">
        <f t="shared" si="56"/>
        <v>0</v>
      </c>
      <c r="N935" s="1">
        <f t="shared" si="57"/>
        <v>0</v>
      </c>
      <c r="O935" s="1">
        <f t="shared" si="58"/>
        <v>0</v>
      </c>
    </row>
    <row r="936" spans="8:15" ht="11.25" customHeight="1" x14ac:dyDescent="0.2">
      <c r="H936" s="10"/>
      <c r="I936" s="10"/>
      <c r="J936" s="10"/>
      <c r="K936" s="10"/>
      <c r="L936" s="1">
        <f t="shared" si="55"/>
        <v>0</v>
      </c>
      <c r="M936" s="1">
        <f t="shared" si="56"/>
        <v>0</v>
      </c>
      <c r="N936" s="1">
        <f t="shared" si="57"/>
        <v>0</v>
      </c>
      <c r="O936" s="1">
        <f t="shared" si="58"/>
        <v>0</v>
      </c>
    </row>
    <row r="937" spans="8:15" ht="11.25" customHeight="1" x14ac:dyDescent="0.2">
      <c r="H937" s="10"/>
      <c r="I937" s="10"/>
      <c r="J937" s="10"/>
      <c r="K937" s="10"/>
      <c r="L937" s="1">
        <f t="shared" si="55"/>
        <v>0</v>
      </c>
      <c r="M937" s="1">
        <f t="shared" si="56"/>
        <v>0</v>
      </c>
      <c r="N937" s="1">
        <f t="shared" si="57"/>
        <v>0</v>
      </c>
      <c r="O937" s="1">
        <f t="shared" si="58"/>
        <v>0</v>
      </c>
    </row>
    <row r="938" spans="8:15" ht="11.25" customHeight="1" x14ac:dyDescent="0.2">
      <c r="H938" s="10"/>
      <c r="I938" s="10"/>
      <c r="J938" s="10"/>
      <c r="K938" s="10"/>
      <c r="L938" s="1">
        <f t="shared" si="55"/>
        <v>0</v>
      </c>
      <c r="M938" s="1">
        <f t="shared" si="56"/>
        <v>0</v>
      </c>
      <c r="N938" s="1">
        <f t="shared" si="57"/>
        <v>0</v>
      </c>
      <c r="O938" s="1">
        <f t="shared" si="58"/>
        <v>0</v>
      </c>
    </row>
    <row r="939" spans="8:15" ht="11.25" customHeight="1" x14ac:dyDescent="0.2">
      <c r="H939" s="10"/>
      <c r="I939" s="10"/>
      <c r="J939" s="10"/>
      <c r="K939" s="10"/>
      <c r="L939" s="1">
        <f t="shared" si="55"/>
        <v>0</v>
      </c>
      <c r="M939" s="1">
        <f t="shared" si="56"/>
        <v>0</v>
      </c>
      <c r="N939" s="1">
        <f t="shared" si="57"/>
        <v>0</v>
      </c>
      <c r="O939" s="1">
        <f t="shared" si="58"/>
        <v>0</v>
      </c>
    </row>
    <row r="940" spans="8:15" ht="11.25" customHeight="1" x14ac:dyDescent="0.2">
      <c r="H940" s="10"/>
      <c r="I940" s="10"/>
      <c r="J940" s="10"/>
      <c r="K940" s="10"/>
      <c r="L940" s="1">
        <f t="shared" si="55"/>
        <v>0</v>
      </c>
      <c r="M940" s="1">
        <f t="shared" si="56"/>
        <v>0</v>
      </c>
      <c r="N940" s="1">
        <f t="shared" si="57"/>
        <v>0</v>
      </c>
      <c r="O940" s="1">
        <f t="shared" si="58"/>
        <v>0</v>
      </c>
    </row>
    <row r="941" spans="8:15" ht="11.25" customHeight="1" x14ac:dyDescent="0.2">
      <c r="H941" s="10"/>
      <c r="I941" s="10"/>
      <c r="J941" s="10"/>
      <c r="K941" s="10"/>
      <c r="L941" s="1">
        <f t="shared" si="55"/>
        <v>0</v>
      </c>
      <c r="M941" s="1">
        <f t="shared" si="56"/>
        <v>0</v>
      </c>
      <c r="N941" s="1">
        <f t="shared" si="57"/>
        <v>0</v>
      </c>
      <c r="O941" s="1">
        <f t="shared" si="58"/>
        <v>0</v>
      </c>
    </row>
    <row r="942" spans="8:15" ht="11.25" customHeight="1" x14ac:dyDescent="0.2">
      <c r="H942" s="10"/>
      <c r="I942" s="10"/>
      <c r="J942" s="10"/>
      <c r="K942" s="10"/>
      <c r="L942" s="1">
        <f t="shared" si="55"/>
        <v>0</v>
      </c>
      <c r="M942" s="1">
        <f t="shared" si="56"/>
        <v>0</v>
      </c>
      <c r="N942" s="1">
        <f t="shared" si="57"/>
        <v>0</v>
      </c>
      <c r="O942" s="1">
        <f t="shared" si="58"/>
        <v>0</v>
      </c>
    </row>
    <row r="943" spans="8:15" ht="11.25" customHeight="1" x14ac:dyDescent="0.2">
      <c r="H943" s="10"/>
      <c r="I943" s="10"/>
      <c r="J943" s="10"/>
      <c r="K943" s="10"/>
      <c r="L943" s="1">
        <f t="shared" si="55"/>
        <v>0</v>
      </c>
      <c r="M943" s="1">
        <f t="shared" si="56"/>
        <v>0</v>
      </c>
      <c r="N943" s="1">
        <f t="shared" si="57"/>
        <v>0</v>
      </c>
      <c r="O943" s="1">
        <f t="shared" si="58"/>
        <v>0</v>
      </c>
    </row>
    <row r="944" spans="8:15" ht="11.25" customHeight="1" x14ac:dyDescent="0.2">
      <c r="H944" s="10"/>
      <c r="I944" s="10"/>
      <c r="J944" s="10"/>
      <c r="K944" s="10"/>
      <c r="L944" s="1">
        <f t="shared" si="55"/>
        <v>0</v>
      </c>
      <c r="M944" s="1">
        <f t="shared" si="56"/>
        <v>0</v>
      </c>
      <c r="N944" s="1">
        <f t="shared" si="57"/>
        <v>0</v>
      </c>
      <c r="O944" s="1">
        <f t="shared" si="58"/>
        <v>0</v>
      </c>
    </row>
    <row r="945" spans="8:15" ht="11.25" customHeight="1" x14ac:dyDescent="0.2">
      <c r="H945" s="10"/>
      <c r="I945" s="10"/>
      <c r="J945" s="10"/>
      <c r="K945" s="10"/>
      <c r="L945" s="1">
        <f t="shared" si="55"/>
        <v>0</v>
      </c>
      <c r="M945" s="1">
        <f t="shared" si="56"/>
        <v>0</v>
      </c>
      <c r="N945" s="1">
        <f t="shared" si="57"/>
        <v>0</v>
      </c>
      <c r="O945" s="1">
        <f t="shared" si="58"/>
        <v>0</v>
      </c>
    </row>
    <row r="946" spans="8:15" ht="11.25" customHeight="1" x14ac:dyDescent="0.2">
      <c r="H946" s="10"/>
      <c r="I946" s="10"/>
      <c r="J946" s="10"/>
      <c r="K946" s="10"/>
      <c r="L946" s="1">
        <f t="shared" si="55"/>
        <v>0</v>
      </c>
      <c r="M946" s="1">
        <f t="shared" si="56"/>
        <v>0</v>
      </c>
      <c r="N946" s="1">
        <f t="shared" si="57"/>
        <v>0</v>
      </c>
      <c r="O946" s="1">
        <f t="shared" si="58"/>
        <v>0</v>
      </c>
    </row>
    <row r="947" spans="8:15" ht="11.25" customHeight="1" x14ac:dyDescent="0.2">
      <c r="H947" s="10"/>
      <c r="I947" s="10"/>
      <c r="J947" s="10"/>
      <c r="K947" s="10"/>
      <c r="L947" s="1">
        <f t="shared" si="55"/>
        <v>0</v>
      </c>
      <c r="M947" s="1">
        <f t="shared" si="56"/>
        <v>0</v>
      </c>
      <c r="N947" s="1">
        <f t="shared" si="57"/>
        <v>0</v>
      </c>
      <c r="O947" s="1">
        <f t="shared" si="58"/>
        <v>0</v>
      </c>
    </row>
    <row r="948" spans="8:15" ht="11.25" customHeight="1" x14ac:dyDescent="0.2">
      <c r="H948" s="10"/>
      <c r="I948" s="10"/>
      <c r="J948" s="10"/>
      <c r="K948" s="10"/>
      <c r="L948" s="1">
        <f t="shared" si="55"/>
        <v>0</v>
      </c>
      <c r="M948" s="1">
        <f t="shared" si="56"/>
        <v>0</v>
      </c>
      <c r="N948" s="1">
        <f t="shared" si="57"/>
        <v>0</v>
      </c>
      <c r="O948" s="1">
        <f t="shared" si="58"/>
        <v>0</v>
      </c>
    </row>
    <row r="949" spans="8:15" ht="11.25" customHeight="1" x14ac:dyDescent="0.2">
      <c r="H949" s="10"/>
      <c r="I949" s="10"/>
      <c r="J949" s="10"/>
      <c r="K949" s="10"/>
      <c r="L949" s="1">
        <f t="shared" si="55"/>
        <v>0</v>
      </c>
      <c r="M949" s="1">
        <f t="shared" si="56"/>
        <v>0</v>
      </c>
      <c r="N949" s="1">
        <f t="shared" si="57"/>
        <v>0</v>
      </c>
      <c r="O949" s="1">
        <f t="shared" si="58"/>
        <v>0</v>
      </c>
    </row>
    <row r="950" spans="8:15" ht="11.25" customHeight="1" x14ac:dyDescent="0.2">
      <c r="H950" s="10"/>
      <c r="I950" s="10"/>
      <c r="J950" s="10"/>
      <c r="K950" s="10"/>
      <c r="L950" s="1">
        <f t="shared" si="55"/>
        <v>0</v>
      </c>
      <c r="M950" s="1">
        <f t="shared" si="56"/>
        <v>0</v>
      </c>
      <c r="N950" s="1">
        <f t="shared" si="57"/>
        <v>0</v>
      </c>
      <c r="O950" s="1">
        <f t="shared" si="58"/>
        <v>0</v>
      </c>
    </row>
    <row r="951" spans="8:15" ht="11.25" customHeight="1" x14ac:dyDescent="0.2">
      <c r="H951" s="10"/>
      <c r="I951" s="10"/>
      <c r="J951" s="10"/>
      <c r="K951" s="10"/>
      <c r="L951" s="1">
        <f t="shared" si="55"/>
        <v>0</v>
      </c>
      <c r="M951" s="1">
        <f t="shared" si="56"/>
        <v>0</v>
      </c>
      <c r="N951" s="1">
        <f t="shared" si="57"/>
        <v>0</v>
      </c>
      <c r="O951" s="1">
        <f t="shared" si="58"/>
        <v>0</v>
      </c>
    </row>
    <row r="952" spans="8:15" ht="11.25" customHeight="1" x14ac:dyDescent="0.2">
      <c r="H952" s="10"/>
      <c r="I952" s="10"/>
      <c r="J952" s="10"/>
      <c r="K952" s="10"/>
      <c r="L952" s="1">
        <f t="shared" si="55"/>
        <v>0</v>
      </c>
      <c r="M952" s="1">
        <f t="shared" si="56"/>
        <v>0</v>
      </c>
      <c r="N952" s="1">
        <f t="shared" si="57"/>
        <v>0</v>
      </c>
      <c r="O952" s="1">
        <f t="shared" si="58"/>
        <v>0</v>
      </c>
    </row>
    <row r="953" spans="8:15" ht="11.25" customHeight="1" x14ac:dyDescent="0.2">
      <c r="H953" s="10"/>
      <c r="I953" s="10"/>
      <c r="J953" s="10"/>
      <c r="K953" s="10"/>
      <c r="L953" s="1">
        <f t="shared" si="55"/>
        <v>0</v>
      </c>
      <c r="M953" s="1">
        <f t="shared" si="56"/>
        <v>0</v>
      </c>
      <c r="N953" s="1">
        <f t="shared" si="57"/>
        <v>0</v>
      </c>
      <c r="O953" s="1">
        <f t="shared" si="58"/>
        <v>0</v>
      </c>
    </row>
    <row r="954" spans="8:15" ht="11.25" customHeight="1" x14ac:dyDescent="0.2">
      <c r="H954" s="10"/>
      <c r="I954" s="10"/>
      <c r="J954" s="10"/>
      <c r="K954" s="10"/>
      <c r="L954" s="1">
        <f t="shared" si="55"/>
        <v>0</v>
      </c>
      <c r="M954" s="1">
        <f t="shared" si="56"/>
        <v>0</v>
      </c>
      <c r="N954" s="1">
        <f t="shared" si="57"/>
        <v>0</v>
      </c>
      <c r="O954" s="1">
        <f t="shared" si="58"/>
        <v>0</v>
      </c>
    </row>
    <row r="955" spans="8:15" ht="11.25" customHeight="1" x14ac:dyDescent="0.2">
      <c r="H955" s="10"/>
      <c r="I955" s="10"/>
      <c r="J955" s="10"/>
      <c r="K955" s="10"/>
      <c r="L955" s="1">
        <f t="shared" si="55"/>
        <v>0</v>
      </c>
      <c r="M955" s="1">
        <f t="shared" si="56"/>
        <v>0</v>
      </c>
      <c r="N955" s="1">
        <f t="shared" si="57"/>
        <v>0</v>
      </c>
      <c r="O955" s="1">
        <f t="shared" si="58"/>
        <v>0</v>
      </c>
    </row>
    <row r="956" spans="8:15" ht="11.25" customHeight="1" x14ac:dyDescent="0.2">
      <c r="H956" s="10"/>
      <c r="I956" s="10"/>
      <c r="J956" s="10"/>
      <c r="K956" s="10"/>
      <c r="L956" s="1">
        <f t="shared" ref="L956:L1019" si="59">IF($M$57,H956,J956)</f>
        <v>0</v>
      </c>
      <c r="M956" s="1">
        <f t="shared" ref="M956:M1019" si="60">IF($M$57,I956,K956)</f>
        <v>0</v>
      </c>
      <c r="N956" s="1">
        <f t="shared" ref="N956:N1019" si="61">IF($M$57,J956,H956)</f>
        <v>0</v>
      </c>
      <c r="O956" s="1">
        <f t="shared" ref="O956:O1019" si="62">IF($M$57,K956,I956)</f>
        <v>0</v>
      </c>
    </row>
    <row r="957" spans="8:15" ht="11.25" customHeight="1" x14ac:dyDescent="0.2">
      <c r="H957" s="10"/>
      <c r="I957" s="10"/>
      <c r="J957" s="10"/>
      <c r="K957" s="10"/>
      <c r="L957" s="1">
        <f t="shared" si="59"/>
        <v>0</v>
      </c>
      <c r="M957" s="1">
        <f t="shared" si="60"/>
        <v>0</v>
      </c>
      <c r="N957" s="1">
        <f t="shared" si="61"/>
        <v>0</v>
      </c>
      <c r="O957" s="1">
        <f t="shared" si="62"/>
        <v>0</v>
      </c>
    </row>
    <row r="958" spans="8:15" ht="11.25" customHeight="1" x14ac:dyDescent="0.2">
      <c r="H958" s="10"/>
      <c r="I958" s="10"/>
      <c r="J958" s="10"/>
      <c r="K958" s="10"/>
      <c r="L958" s="1">
        <f t="shared" si="59"/>
        <v>0</v>
      </c>
      <c r="M958" s="1">
        <f t="shared" si="60"/>
        <v>0</v>
      </c>
      <c r="N958" s="1">
        <f t="shared" si="61"/>
        <v>0</v>
      </c>
      <c r="O958" s="1">
        <f t="shared" si="62"/>
        <v>0</v>
      </c>
    </row>
    <row r="959" spans="8:15" ht="11.25" customHeight="1" x14ac:dyDescent="0.2">
      <c r="H959" s="10"/>
      <c r="I959" s="10"/>
      <c r="J959" s="10"/>
      <c r="K959" s="10"/>
      <c r="L959" s="1">
        <f t="shared" si="59"/>
        <v>0</v>
      </c>
      <c r="M959" s="1">
        <f t="shared" si="60"/>
        <v>0</v>
      </c>
      <c r="N959" s="1">
        <f t="shared" si="61"/>
        <v>0</v>
      </c>
      <c r="O959" s="1">
        <f t="shared" si="62"/>
        <v>0</v>
      </c>
    </row>
    <row r="960" spans="8:15" ht="11.25" customHeight="1" x14ac:dyDescent="0.2">
      <c r="H960" s="10"/>
      <c r="I960" s="10"/>
      <c r="J960" s="10"/>
      <c r="K960" s="10"/>
      <c r="L960" s="1">
        <f t="shared" si="59"/>
        <v>0</v>
      </c>
      <c r="M960" s="1">
        <f t="shared" si="60"/>
        <v>0</v>
      </c>
      <c r="N960" s="1">
        <f t="shared" si="61"/>
        <v>0</v>
      </c>
      <c r="O960" s="1">
        <f t="shared" si="62"/>
        <v>0</v>
      </c>
    </row>
    <row r="961" spans="8:15" ht="11.25" customHeight="1" x14ac:dyDescent="0.2">
      <c r="H961" s="10"/>
      <c r="I961" s="10"/>
      <c r="J961" s="10"/>
      <c r="K961" s="10"/>
      <c r="L961" s="1">
        <f t="shared" si="59"/>
        <v>0</v>
      </c>
      <c r="M961" s="1">
        <f t="shared" si="60"/>
        <v>0</v>
      </c>
      <c r="N961" s="1">
        <f t="shared" si="61"/>
        <v>0</v>
      </c>
      <c r="O961" s="1">
        <f t="shared" si="62"/>
        <v>0</v>
      </c>
    </row>
    <row r="962" spans="8:15" ht="11.25" customHeight="1" x14ac:dyDescent="0.2">
      <c r="H962" s="10"/>
      <c r="I962" s="10"/>
      <c r="J962" s="10"/>
      <c r="K962" s="10"/>
      <c r="L962" s="1">
        <f t="shared" si="59"/>
        <v>0</v>
      </c>
      <c r="M962" s="1">
        <f t="shared" si="60"/>
        <v>0</v>
      </c>
      <c r="N962" s="1">
        <f t="shared" si="61"/>
        <v>0</v>
      </c>
      <c r="O962" s="1">
        <f t="shared" si="62"/>
        <v>0</v>
      </c>
    </row>
    <row r="963" spans="8:15" ht="11.25" customHeight="1" x14ac:dyDescent="0.2">
      <c r="H963" s="10"/>
      <c r="I963" s="10"/>
      <c r="J963" s="10"/>
      <c r="K963" s="10"/>
      <c r="L963" s="1">
        <f t="shared" si="59"/>
        <v>0</v>
      </c>
      <c r="M963" s="1">
        <f t="shared" si="60"/>
        <v>0</v>
      </c>
      <c r="N963" s="1">
        <f t="shared" si="61"/>
        <v>0</v>
      </c>
      <c r="O963" s="1">
        <f t="shared" si="62"/>
        <v>0</v>
      </c>
    </row>
    <row r="964" spans="8:15" ht="11.25" customHeight="1" x14ac:dyDescent="0.2">
      <c r="H964" s="10"/>
      <c r="I964" s="10"/>
      <c r="J964" s="10"/>
      <c r="K964" s="10"/>
      <c r="L964" s="1">
        <f t="shared" si="59"/>
        <v>0</v>
      </c>
      <c r="M964" s="1">
        <f t="shared" si="60"/>
        <v>0</v>
      </c>
      <c r="N964" s="1">
        <f t="shared" si="61"/>
        <v>0</v>
      </c>
      <c r="O964" s="1">
        <f t="shared" si="62"/>
        <v>0</v>
      </c>
    </row>
    <row r="965" spans="8:15" ht="11.25" customHeight="1" x14ac:dyDescent="0.2">
      <c r="H965" s="10"/>
      <c r="I965" s="10"/>
      <c r="J965" s="10"/>
      <c r="K965" s="10"/>
      <c r="L965" s="1">
        <f t="shared" si="59"/>
        <v>0</v>
      </c>
      <c r="M965" s="1">
        <f t="shared" si="60"/>
        <v>0</v>
      </c>
      <c r="N965" s="1">
        <f t="shared" si="61"/>
        <v>0</v>
      </c>
      <c r="O965" s="1">
        <f t="shared" si="62"/>
        <v>0</v>
      </c>
    </row>
    <row r="966" spans="8:15" ht="11.25" customHeight="1" x14ac:dyDescent="0.2">
      <c r="H966" s="10"/>
      <c r="I966" s="10"/>
      <c r="J966" s="10"/>
      <c r="K966" s="10"/>
      <c r="L966" s="1">
        <f t="shared" si="59"/>
        <v>0</v>
      </c>
      <c r="M966" s="1">
        <f t="shared" si="60"/>
        <v>0</v>
      </c>
      <c r="N966" s="1">
        <f t="shared" si="61"/>
        <v>0</v>
      </c>
      <c r="O966" s="1">
        <f t="shared" si="62"/>
        <v>0</v>
      </c>
    </row>
    <row r="967" spans="8:15" ht="11.25" customHeight="1" x14ac:dyDescent="0.2">
      <c r="H967" s="10"/>
      <c r="I967" s="10"/>
      <c r="J967" s="10"/>
      <c r="K967" s="10"/>
      <c r="L967" s="1">
        <f t="shared" si="59"/>
        <v>0</v>
      </c>
      <c r="M967" s="1">
        <f t="shared" si="60"/>
        <v>0</v>
      </c>
      <c r="N967" s="1">
        <f t="shared" si="61"/>
        <v>0</v>
      </c>
      <c r="O967" s="1">
        <f t="shared" si="62"/>
        <v>0</v>
      </c>
    </row>
    <row r="968" spans="8:15" ht="11.25" customHeight="1" x14ac:dyDescent="0.2">
      <c r="H968" s="10"/>
      <c r="I968" s="10"/>
      <c r="J968" s="10"/>
      <c r="K968" s="10"/>
      <c r="L968" s="1">
        <f t="shared" si="59"/>
        <v>0</v>
      </c>
      <c r="M968" s="1">
        <f t="shared" si="60"/>
        <v>0</v>
      </c>
      <c r="N968" s="1">
        <f t="shared" si="61"/>
        <v>0</v>
      </c>
      <c r="O968" s="1">
        <f t="shared" si="62"/>
        <v>0</v>
      </c>
    </row>
    <row r="969" spans="8:15" ht="11.25" customHeight="1" x14ac:dyDescent="0.2">
      <c r="H969" s="10"/>
      <c r="I969" s="10"/>
      <c r="J969" s="10"/>
      <c r="K969" s="10"/>
      <c r="L969" s="1">
        <f t="shared" si="59"/>
        <v>0</v>
      </c>
      <c r="M969" s="1">
        <f t="shared" si="60"/>
        <v>0</v>
      </c>
      <c r="N969" s="1">
        <f t="shared" si="61"/>
        <v>0</v>
      </c>
      <c r="O969" s="1">
        <f t="shared" si="62"/>
        <v>0</v>
      </c>
    </row>
    <row r="970" spans="8:15" ht="11.25" customHeight="1" x14ac:dyDescent="0.2">
      <c r="H970" s="10"/>
      <c r="I970" s="10"/>
      <c r="J970" s="10"/>
      <c r="K970" s="10"/>
      <c r="L970" s="1">
        <f t="shared" si="59"/>
        <v>0</v>
      </c>
      <c r="M970" s="1">
        <f t="shared" si="60"/>
        <v>0</v>
      </c>
      <c r="N970" s="1">
        <f t="shared" si="61"/>
        <v>0</v>
      </c>
      <c r="O970" s="1">
        <f t="shared" si="62"/>
        <v>0</v>
      </c>
    </row>
    <row r="971" spans="8:15" ht="11.25" customHeight="1" x14ac:dyDescent="0.2">
      <c r="H971" s="10"/>
      <c r="I971" s="10"/>
      <c r="J971" s="10"/>
      <c r="K971" s="10"/>
      <c r="L971" s="1">
        <f t="shared" si="59"/>
        <v>0</v>
      </c>
      <c r="M971" s="1">
        <f t="shared" si="60"/>
        <v>0</v>
      </c>
      <c r="N971" s="1">
        <f t="shared" si="61"/>
        <v>0</v>
      </c>
      <c r="O971" s="1">
        <f t="shared" si="62"/>
        <v>0</v>
      </c>
    </row>
    <row r="972" spans="8:15" ht="11.25" customHeight="1" x14ac:dyDescent="0.2">
      <c r="H972" s="10"/>
      <c r="I972" s="10"/>
      <c r="J972" s="10"/>
      <c r="K972" s="10"/>
      <c r="L972" s="1">
        <f t="shared" si="59"/>
        <v>0</v>
      </c>
      <c r="M972" s="1">
        <f t="shared" si="60"/>
        <v>0</v>
      </c>
      <c r="N972" s="1">
        <f t="shared" si="61"/>
        <v>0</v>
      </c>
      <c r="O972" s="1">
        <f t="shared" si="62"/>
        <v>0</v>
      </c>
    </row>
    <row r="973" spans="8:15" ht="11.25" customHeight="1" x14ac:dyDescent="0.2">
      <c r="H973" s="10"/>
      <c r="I973" s="10"/>
      <c r="J973" s="10"/>
      <c r="K973" s="10"/>
      <c r="L973" s="1">
        <f t="shared" si="59"/>
        <v>0</v>
      </c>
      <c r="M973" s="1">
        <f t="shared" si="60"/>
        <v>0</v>
      </c>
      <c r="N973" s="1">
        <f t="shared" si="61"/>
        <v>0</v>
      </c>
      <c r="O973" s="1">
        <f t="shared" si="62"/>
        <v>0</v>
      </c>
    </row>
    <row r="974" spans="8:15" ht="11.25" customHeight="1" x14ac:dyDescent="0.2">
      <c r="H974" s="10"/>
      <c r="I974" s="10"/>
      <c r="J974" s="10"/>
      <c r="K974" s="10"/>
      <c r="L974" s="1">
        <f t="shared" si="59"/>
        <v>0</v>
      </c>
      <c r="M974" s="1">
        <f t="shared" si="60"/>
        <v>0</v>
      </c>
      <c r="N974" s="1">
        <f t="shared" si="61"/>
        <v>0</v>
      </c>
      <c r="O974" s="1">
        <f t="shared" si="62"/>
        <v>0</v>
      </c>
    </row>
    <row r="975" spans="8:15" ht="11.25" customHeight="1" x14ac:dyDescent="0.2">
      <c r="H975" s="10"/>
      <c r="I975" s="10"/>
      <c r="J975" s="10"/>
      <c r="K975" s="10"/>
      <c r="L975" s="1">
        <f t="shared" si="59"/>
        <v>0</v>
      </c>
      <c r="M975" s="1">
        <f t="shared" si="60"/>
        <v>0</v>
      </c>
      <c r="N975" s="1">
        <f t="shared" si="61"/>
        <v>0</v>
      </c>
      <c r="O975" s="1">
        <f t="shared" si="62"/>
        <v>0</v>
      </c>
    </row>
    <row r="976" spans="8:15" ht="11.25" customHeight="1" x14ac:dyDescent="0.2">
      <c r="H976" s="10"/>
      <c r="I976" s="10"/>
      <c r="J976" s="10"/>
      <c r="K976" s="10"/>
      <c r="L976" s="1">
        <f t="shared" si="59"/>
        <v>0</v>
      </c>
      <c r="M976" s="1">
        <f t="shared" si="60"/>
        <v>0</v>
      </c>
      <c r="N976" s="1">
        <f t="shared" si="61"/>
        <v>0</v>
      </c>
      <c r="O976" s="1">
        <f t="shared" si="62"/>
        <v>0</v>
      </c>
    </row>
    <row r="977" spans="8:15" ht="11.25" customHeight="1" x14ac:dyDescent="0.2">
      <c r="H977" s="10"/>
      <c r="I977" s="10"/>
      <c r="J977" s="10"/>
      <c r="K977" s="10"/>
      <c r="L977" s="1">
        <f t="shared" si="59"/>
        <v>0</v>
      </c>
      <c r="M977" s="1">
        <f t="shared" si="60"/>
        <v>0</v>
      </c>
      <c r="N977" s="1">
        <f t="shared" si="61"/>
        <v>0</v>
      </c>
      <c r="O977" s="1">
        <f t="shared" si="62"/>
        <v>0</v>
      </c>
    </row>
    <row r="978" spans="8:15" ht="11.25" customHeight="1" x14ac:dyDescent="0.2">
      <c r="H978" s="10"/>
      <c r="I978" s="10"/>
      <c r="J978" s="10"/>
      <c r="K978" s="10"/>
      <c r="L978" s="1">
        <f t="shared" si="59"/>
        <v>0</v>
      </c>
      <c r="M978" s="1">
        <f t="shared" si="60"/>
        <v>0</v>
      </c>
      <c r="N978" s="1">
        <f t="shared" si="61"/>
        <v>0</v>
      </c>
      <c r="O978" s="1">
        <f t="shared" si="62"/>
        <v>0</v>
      </c>
    </row>
    <row r="979" spans="8:15" ht="11.25" customHeight="1" x14ac:dyDescent="0.2">
      <c r="H979" s="10"/>
      <c r="I979" s="10"/>
      <c r="J979" s="10"/>
      <c r="K979" s="10"/>
      <c r="L979" s="1">
        <f t="shared" si="59"/>
        <v>0</v>
      </c>
      <c r="M979" s="1">
        <f t="shared" si="60"/>
        <v>0</v>
      </c>
      <c r="N979" s="1">
        <f t="shared" si="61"/>
        <v>0</v>
      </c>
      <c r="O979" s="1">
        <f t="shared" si="62"/>
        <v>0</v>
      </c>
    </row>
    <row r="980" spans="8:15" ht="11.25" customHeight="1" x14ac:dyDescent="0.2">
      <c r="H980" s="10"/>
      <c r="I980" s="10"/>
      <c r="J980" s="10"/>
      <c r="K980" s="10"/>
      <c r="L980" s="1">
        <f t="shared" si="59"/>
        <v>0</v>
      </c>
      <c r="M980" s="1">
        <f t="shared" si="60"/>
        <v>0</v>
      </c>
      <c r="N980" s="1">
        <f t="shared" si="61"/>
        <v>0</v>
      </c>
      <c r="O980" s="1">
        <f t="shared" si="62"/>
        <v>0</v>
      </c>
    </row>
    <row r="981" spans="8:15" ht="11.25" customHeight="1" x14ac:dyDescent="0.2">
      <c r="H981" s="10"/>
      <c r="I981" s="10"/>
      <c r="J981" s="10"/>
      <c r="K981" s="10"/>
      <c r="L981" s="1">
        <f t="shared" si="59"/>
        <v>0</v>
      </c>
      <c r="M981" s="1">
        <f t="shared" si="60"/>
        <v>0</v>
      </c>
      <c r="N981" s="1">
        <f t="shared" si="61"/>
        <v>0</v>
      </c>
      <c r="O981" s="1">
        <f t="shared" si="62"/>
        <v>0</v>
      </c>
    </row>
    <row r="982" spans="8:15" ht="11.25" customHeight="1" x14ac:dyDescent="0.2">
      <c r="H982" s="10"/>
      <c r="I982" s="10"/>
      <c r="J982" s="10"/>
      <c r="K982" s="10"/>
      <c r="L982" s="1">
        <f t="shared" si="59"/>
        <v>0</v>
      </c>
      <c r="M982" s="1">
        <f t="shared" si="60"/>
        <v>0</v>
      </c>
      <c r="N982" s="1">
        <f t="shared" si="61"/>
        <v>0</v>
      </c>
      <c r="O982" s="1">
        <f t="shared" si="62"/>
        <v>0</v>
      </c>
    </row>
    <row r="983" spans="8:15" ht="11.25" customHeight="1" x14ac:dyDescent="0.2">
      <c r="H983" s="10"/>
      <c r="I983" s="10"/>
      <c r="J983" s="10"/>
      <c r="K983" s="10"/>
      <c r="L983" s="1">
        <f t="shared" si="59"/>
        <v>0</v>
      </c>
      <c r="M983" s="1">
        <f t="shared" si="60"/>
        <v>0</v>
      </c>
      <c r="N983" s="1">
        <f t="shared" si="61"/>
        <v>0</v>
      </c>
      <c r="O983" s="1">
        <f t="shared" si="62"/>
        <v>0</v>
      </c>
    </row>
    <row r="984" spans="8:15" ht="11.25" customHeight="1" x14ac:dyDescent="0.2">
      <c r="H984" s="10"/>
      <c r="I984" s="10"/>
      <c r="J984" s="10"/>
      <c r="K984" s="10"/>
      <c r="L984" s="1">
        <f t="shared" si="59"/>
        <v>0</v>
      </c>
      <c r="M984" s="1">
        <f t="shared" si="60"/>
        <v>0</v>
      </c>
      <c r="N984" s="1">
        <f t="shared" si="61"/>
        <v>0</v>
      </c>
      <c r="O984" s="1">
        <f t="shared" si="62"/>
        <v>0</v>
      </c>
    </row>
    <row r="985" spans="8:15" ht="11.25" customHeight="1" x14ac:dyDescent="0.2">
      <c r="H985" s="10"/>
      <c r="I985" s="10"/>
      <c r="J985" s="10"/>
      <c r="K985" s="10"/>
      <c r="L985" s="1">
        <f t="shared" si="59"/>
        <v>0</v>
      </c>
      <c r="M985" s="1">
        <f t="shared" si="60"/>
        <v>0</v>
      </c>
      <c r="N985" s="1">
        <f t="shared" si="61"/>
        <v>0</v>
      </c>
      <c r="O985" s="1">
        <f t="shared" si="62"/>
        <v>0</v>
      </c>
    </row>
    <row r="986" spans="8:15" ht="11.25" customHeight="1" x14ac:dyDescent="0.2">
      <c r="H986" s="10"/>
      <c r="I986" s="10"/>
      <c r="J986" s="10"/>
      <c r="K986" s="10"/>
      <c r="L986" s="1">
        <f t="shared" si="59"/>
        <v>0</v>
      </c>
      <c r="M986" s="1">
        <f t="shared" si="60"/>
        <v>0</v>
      </c>
      <c r="N986" s="1">
        <f t="shared" si="61"/>
        <v>0</v>
      </c>
      <c r="O986" s="1">
        <f t="shared" si="62"/>
        <v>0</v>
      </c>
    </row>
    <row r="987" spans="8:15" ht="11.25" customHeight="1" x14ac:dyDescent="0.2">
      <c r="H987" s="10"/>
      <c r="I987" s="10"/>
      <c r="J987" s="10"/>
      <c r="K987" s="10"/>
      <c r="L987" s="1">
        <f t="shared" si="59"/>
        <v>0</v>
      </c>
      <c r="M987" s="1">
        <f t="shared" si="60"/>
        <v>0</v>
      </c>
      <c r="N987" s="1">
        <f t="shared" si="61"/>
        <v>0</v>
      </c>
      <c r="O987" s="1">
        <f t="shared" si="62"/>
        <v>0</v>
      </c>
    </row>
    <row r="988" spans="8:15" ht="11.25" customHeight="1" x14ac:dyDescent="0.2">
      <c r="H988" s="10"/>
      <c r="I988" s="10"/>
      <c r="J988" s="10"/>
      <c r="K988" s="10"/>
      <c r="L988" s="1">
        <f t="shared" si="59"/>
        <v>0</v>
      </c>
      <c r="M988" s="1">
        <f t="shared" si="60"/>
        <v>0</v>
      </c>
      <c r="N988" s="1">
        <f t="shared" si="61"/>
        <v>0</v>
      </c>
      <c r="O988" s="1">
        <f t="shared" si="62"/>
        <v>0</v>
      </c>
    </row>
    <row r="989" spans="8:15" ht="11.25" customHeight="1" x14ac:dyDescent="0.2">
      <c r="H989" s="10"/>
      <c r="I989" s="10"/>
      <c r="J989" s="10"/>
      <c r="K989" s="10"/>
      <c r="L989" s="1">
        <f t="shared" si="59"/>
        <v>0</v>
      </c>
      <c r="M989" s="1">
        <f t="shared" si="60"/>
        <v>0</v>
      </c>
      <c r="N989" s="1">
        <f t="shared" si="61"/>
        <v>0</v>
      </c>
      <c r="O989" s="1">
        <f t="shared" si="62"/>
        <v>0</v>
      </c>
    </row>
    <row r="990" spans="8:15" ht="11.25" customHeight="1" x14ac:dyDescent="0.2">
      <c r="H990" s="10"/>
      <c r="I990" s="10"/>
      <c r="J990" s="10"/>
      <c r="K990" s="10"/>
      <c r="L990" s="1">
        <f t="shared" si="59"/>
        <v>0</v>
      </c>
      <c r="M990" s="1">
        <f t="shared" si="60"/>
        <v>0</v>
      </c>
      <c r="N990" s="1">
        <f t="shared" si="61"/>
        <v>0</v>
      </c>
      <c r="O990" s="1">
        <f t="shared" si="62"/>
        <v>0</v>
      </c>
    </row>
    <row r="991" spans="8:15" ht="11.25" customHeight="1" x14ac:dyDescent="0.2">
      <c r="H991" s="10"/>
      <c r="I991" s="10"/>
      <c r="J991" s="10"/>
      <c r="K991" s="10"/>
      <c r="L991" s="1">
        <f t="shared" si="59"/>
        <v>0</v>
      </c>
      <c r="M991" s="1">
        <f t="shared" si="60"/>
        <v>0</v>
      </c>
      <c r="N991" s="1">
        <f t="shared" si="61"/>
        <v>0</v>
      </c>
      <c r="O991" s="1">
        <f t="shared" si="62"/>
        <v>0</v>
      </c>
    </row>
    <row r="992" spans="8:15" ht="11.25" customHeight="1" x14ac:dyDescent="0.2">
      <c r="H992" s="10"/>
      <c r="I992" s="10"/>
      <c r="J992" s="10"/>
      <c r="K992" s="10"/>
      <c r="L992" s="1">
        <f t="shared" si="59"/>
        <v>0</v>
      </c>
      <c r="M992" s="1">
        <f t="shared" si="60"/>
        <v>0</v>
      </c>
      <c r="N992" s="1">
        <f t="shared" si="61"/>
        <v>0</v>
      </c>
      <c r="O992" s="1">
        <f t="shared" si="62"/>
        <v>0</v>
      </c>
    </row>
    <row r="993" spans="8:15" ht="11.25" customHeight="1" x14ac:dyDescent="0.2">
      <c r="H993" s="10"/>
      <c r="I993" s="10"/>
      <c r="J993" s="10"/>
      <c r="K993" s="10"/>
      <c r="L993" s="1">
        <f t="shared" si="59"/>
        <v>0</v>
      </c>
      <c r="M993" s="1">
        <f t="shared" si="60"/>
        <v>0</v>
      </c>
      <c r="N993" s="1">
        <f t="shared" si="61"/>
        <v>0</v>
      </c>
      <c r="O993" s="1">
        <f t="shared" si="62"/>
        <v>0</v>
      </c>
    </row>
    <row r="994" spans="8:15" ht="11.25" customHeight="1" x14ac:dyDescent="0.2">
      <c r="H994" s="10"/>
      <c r="I994" s="10"/>
      <c r="J994" s="10"/>
      <c r="K994" s="10"/>
      <c r="L994" s="1">
        <f t="shared" si="59"/>
        <v>0</v>
      </c>
      <c r="M994" s="1">
        <f t="shared" si="60"/>
        <v>0</v>
      </c>
      <c r="N994" s="1">
        <f t="shared" si="61"/>
        <v>0</v>
      </c>
      <c r="O994" s="1">
        <f t="shared" si="62"/>
        <v>0</v>
      </c>
    </row>
    <row r="995" spans="8:15" ht="11.25" customHeight="1" x14ac:dyDescent="0.2">
      <c r="H995" s="10"/>
      <c r="I995" s="10"/>
      <c r="J995" s="10"/>
      <c r="K995" s="10"/>
      <c r="L995" s="1">
        <f t="shared" si="59"/>
        <v>0</v>
      </c>
      <c r="M995" s="1">
        <f t="shared" si="60"/>
        <v>0</v>
      </c>
      <c r="N995" s="1">
        <f t="shared" si="61"/>
        <v>0</v>
      </c>
      <c r="O995" s="1">
        <f t="shared" si="62"/>
        <v>0</v>
      </c>
    </row>
    <row r="996" spans="8:15" ht="11.25" customHeight="1" x14ac:dyDescent="0.2">
      <c r="H996" s="10"/>
      <c r="I996" s="10"/>
      <c r="J996" s="10"/>
      <c r="K996" s="10"/>
      <c r="L996" s="1">
        <f t="shared" si="59"/>
        <v>0</v>
      </c>
      <c r="M996" s="1">
        <f t="shared" si="60"/>
        <v>0</v>
      </c>
      <c r="N996" s="1">
        <f t="shared" si="61"/>
        <v>0</v>
      </c>
      <c r="O996" s="1">
        <f t="shared" si="62"/>
        <v>0</v>
      </c>
    </row>
    <row r="997" spans="8:15" ht="11.25" customHeight="1" x14ac:dyDescent="0.2">
      <c r="H997" s="10"/>
      <c r="I997" s="10"/>
      <c r="J997" s="10"/>
      <c r="K997" s="10"/>
      <c r="L997" s="1">
        <f t="shared" si="59"/>
        <v>0</v>
      </c>
      <c r="M997" s="1">
        <f t="shared" si="60"/>
        <v>0</v>
      </c>
      <c r="N997" s="1">
        <f t="shared" si="61"/>
        <v>0</v>
      </c>
      <c r="O997" s="1">
        <f t="shared" si="62"/>
        <v>0</v>
      </c>
    </row>
    <row r="998" spans="8:15" ht="11.25" customHeight="1" x14ac:dyDescent="0.2">
      <c r="H998" s="10"/>
      <c r="I998" s="10"/>
      <c r="J998" s="10"/>
      <c r="K998" s="10"/>
      <c r="L998" s="1">
        <f t="shared" si="59"/>
        <v>0</v>
      </c>
      <c r="M998" s="1">
        <f t="shared" si="60"/>
        <v>0</v>
      </c>
      <c r="N998" s="1">
        <f t="shared" si="61"/>
        <v>0</v>
      </c>
      <c r="O998" s="1">
        <f t="shared" si="62"/>
        <v>0</v>
      </c>
    </row>
    <row r="999" spans="8:15" ht="11.25" customHeight="1" x14ac:dyDescent="0.2">
      <c r="H999" s="10"/>
      <c r="I999" s="10"/>
      <c r="J999" s="10"/>
      <c r="K999" s="10"/>
      <c r="L999" s="1">
        <f t="shared" si="59"/>
        <v>0</v>
      </c>
      <c r="M999" s="1">
        <f t="shared" si="60"/>
        <v>0</v>
      </c>
      <c r="N999" s="1">
        <f t="shared" si="61"/>
        <v>0</v>
      </c>
      <c r="O999" s="1">
        <f t="shared" si="62"/>
        <v>0</v>
      </c>
    </row>
    <row r="1000" spans="8:15" ht="11.25" customHeight="1" x14ac:dyDescent="0.2">
      <c r="H1000" s="10"/>
      <c r="I1000" s="10"/>
      <c r="J1000" s="10"/>
      <c r="K1000" s="10"/>
      <c r="L1000" s="1">
        <f t="shared" si="59"/>
        <v>0</v>
      </c>
      <c r="M1000" s="1">
        <f t="shared" si="60"/>
        <v>0</v>
      </c>
      <c r="N1000" s="1">
        <f t="shared" si="61"/>
        <v>0</v>
      </c>
      <c r="O1000" s="1">
        <f t="shared" si="62"/>
        <v>0</v>
      </c>
    </row>
    <row r="1001" spans="8:15" ht="11.25" customHeight="1" x14ac:dyDescent="0.2">
      <c r="H1001" s="10"/>
      <c r="I1001" s="10"/>
      <c r="J1001" s="10"/>
      <c r="K1001" s="10"/>
      <c r="L1001" s="1">
        <f t="shared" si="59"/>
        <v>0</v>
      </c>
      <c r="M1001" s="1">
        <f t="shared" si="60"/>
        <v>0</v>
      </c>
      <c r="N1001" s="1">
        <f t="shared" si="61"/>
        <v>0</v>
      </c>
      <c r="O1001" s="1">
        <f t="shared" si="62"/>
        <v>0</v>
      </c>
    </row>
    <row r="1002" spans="8:15" ht="11.25" customHeight="1" x14ac:dyDescent="0.2">
      <c r="H1002" s="10"/>
      <c r="I1002" s="10"/>
      <c r="J1002" s="10"/>
      <c r="K1002" s="10"/>
      <c r="L1002" s="1">
        <f t="shared" si="59"/>
        <v>0</v>
      </c>
      <c r="M1002" s="1">
        <f t="shared" si="60"/>
        <v>0</v>
      </c>
      <c r="N1002" s="1">
        <f t="shared" si="61"/>
        <v>0</v>
      </c>
      <c r="O1002" s="1">
        <f t="shared" si="62"/>
        <v>0</v>
      </c>
    </row>
    <row r="1003" spans="8:15" ht="11.25" customHeight="1" x14ac:dyDescent="0.2">
      <c r="H1003" s="10"/>
      <c r="I1003" s="10"/>
      <c r="J1003" s="10"/>
      <c r="K1003" s="10"/>
      <c r="L1003" s="1">
        <f t="shared" si="59"/>
        <v>0</v>
      </c>
      <c r="M1003" s="1">
        <f t="shared" si="60"/>
        <v>0</v>
      </c>
      <c r="N1003" s="1">
        <f t="shared" si="61"/>
        <v>0</v>
      </c>
      <c r="O1003" s="1">
        <f t="shared" si="62"/>
        <v>0</v>
      </c>
    </row>
    <row r="1004" spans="8:15" ht="11.25" customHeight="1" x14ac:dyDescent="0.2">
      <c r="H1004" s="10"/>
      <c r="I1004" s="10"/>
      <c r="J1004" s="10"/>
      <c r="K1004" s="10"/>
      <c r="L1004" s="1">
        <f t="shared" si="59"/>
        <v>0</v>
      </c>
      <c r="M1004" s="1">
        <f t="shared" si="60"/>
        <v>0</v>
      </c>
      <c r="N1004" s="1">
        <f t="shared" si="61"/>
        <v>0</v>
      </c>
      <c r="O1004" s="1">
        <f t="shared" si="62"/>
        <v>0</v>
      </c>
    </row>
    <row r="1005" spans="8:15" ht="11.25" customHeight="1" x14ac:dyDescent="0.2">
      <c r="H1005" s="10"/>
      <c r="I1005" s="10"/>
      <c r="J1005" s="10"/>
      <c r="K1005" s="10"/>
      <c r="L1005" s="1">
        <f t="shared" si="59"/>
        <v>0</v>
      </c>
      <c r="M1005" s="1">
        <f t="shared" si="60"/>
        <v>0</v>
      </c>
      <c r="N1005" s="1">
        <f t="shared" si="61"/>
        <v>0</v>
      </c>
      <c r="O1005" s="1">
        <f t="shared" si="62"/>
        <v>0</v>
      </c>
    </row>
    <row r="1006" spans="8:15" ht="11.25" customHeight="1" x14ac:dyDescent="0.2">
      <c r="H1006" s="10"/>
      <c r="I1006" s="10"/>
      <c r="J1006" s="10"/>
      <c r="K1006" s="10"/>
      <c r="L1006" s="1">
        <f t="shared" si="59"/>
        <v>0</v>
      </c>
      <c r="M1006" s="1">
        <f t="shared" si="60"/>
        <v>0</v>
      </c>
      <c r="N1006" s="1">
        <f t="shared" si="61"/>
        <v>0</v>
      </c>
      <c r="O1006" s="1">
        <f t="shared" si="62"/>
        <v>0</v>
      </c>
    </row>
    <row r="1007" spans="8:15" ht="11.25" customHeight="1" x14ac:dyDescent="0.2">
      <c r="H1007" s="10"/>
      <c r="I1007" s="10"/>
      <c r="J1007" s="10"/>
      <c r="K1007" s="10"/>
      <c r="L1007" s="1">
        <f t="shared" si="59"/>
        <v>0</v>
      </c>
      <c r="M1007" s="1">
        <f t="shared" si="60"/>
        <v>0</v>
      </c>
      <c r="N1007" s="1">
        <f t="shared" si="61"/>
        <v>0</v>
      </c>
      <c r="O1007" s="1">
        <f t="shared" si="62"/>
        <v>0</v>
      </c>
    </row>
    <row r="1008" spans="8:15" ht="11.25" customHeight="1" x14ac:dyDescent="0.2">
      <c r="H1008" s="10"/>
      <c r="I1008" s="10"/>
      <c r="J1008" s="10"/>
      <c r="K1008" s="10"/>
      <c r="L1008" s="1">
        <f t="shared" si="59"/>
        <v>0</v>
      </c>
      <c r="M1008" s="1">
        <f t="shared" si="60"/>
        <v>0</v>
      </c>
      <c r="N1008" s="1">
        <f t="shared" si="61"/>
        <v>0</v>
      </c>
      <c r="O1008" s="1">
        <f t="shared" si="62"/>
        <v>0</v>
      </c>
    </row>
    <row r="1009" spans="8:15" ht="11.25" customHeight="1" x14ac:dyDescent="0.2">
      <c r="H1009" s="10"/>
      <c r="I1009" s="10"/>
      <c r="J1009" s="10"/>
      <c r="K1009" s="10"/>
      <c r="L1009" s="1">
        <f t="shared" si="59"/>
        <v>0</v>
      </c>
      <c r="M1009" s="1">
        <f t="shared" si="60"/>
        <v>0</v>
      </c>
      <c r="N1009" s="1">
        <f t="shared" si="61"/>
        <v>0</v>
      </c>
      <c r="O1009" s="1">
        <f t="shared" si="62"/>
        <v>0</v>
      </c>
    </row>
    <row r="1010" spans="8:15" ht="11.25" customHeight="1" x14ac:dyDescent="0.2">
      <c r="H1010" s="10"/>
      <c r="I1010" s="10"/>
      <c r="J1010" s="10"/>
      <c r="K1010" s="10"/>
      <c r="L1010" s="1">
        <f t="shared" si="59"/>
        <v>0</v>
      </c>
      <c r="M1010" s="1">
        <f t="shared" si="60"/>
        <v>0</v>
      </c>
      <c r="N1010" s="1">
        <f t="shared" si="61"/>
        <v>0</v>
      </c>
      <c r="O1010" s="1">
        <f t="shared" si="62"/>
        <v>0</v>
      </c>
    </row>
    <row r="1011" spans="8:15" ht="11.25" customHeight="1" x14ac:dyDescent="0.2">
      <c r="H1011" s="10"/>
      <c r="I1011" s="10"/>
      <c r="J1011" s="10"/>
      <c r="K1011" s="10"/>
      <c r="L1011" s="1">
        <f t="shared" si="59"/>
        <v>0</v>
      </c>
      <c r="M1011" s="1">
        <f t="shared" si="60"/>
        <v>0</v>
      </c>
      <c r="N1011" s="1">
        <f t="shared" si="61"/>
        <v>0</v>
      </c>
      <c r="O1011" s="1">
        <f t="shared" si="62"/>
        <v>0</v>
      </c>
    </row>
    <row r="1012" spans="8:15" ht="11.25" customHeight="1" x14ac:dyDescent="0.2">
      <c r="H1012" s="10"/>
      <c r="I1012" s="10"/>
      <c r="J1012" s="10"/>
      <c r="K1012" s="10"/>
      <c r="L1012" s="1">
        <f t="shared" si="59"/>
        <v>0</v>
      </c>
      <c r="M1012" s="1">
        <f t="shared" si="60"/>
        <v>0</v>
      </c>
      <c r="N1012" s="1">
        <f t="shared" si="61"/>
        <v>0</v>
      </c>
      <c r="O1012" s="1">
        <f t="shared" si="62"/>
        <v>0</v>
      </c>
    </row>
    <row r="1013" spans="8:15" ht="11.25" customHeight="1" x14ac:dyDescent="0.2">
      <c r="H1013" s="10"/>
      <c r="I1013" s="10"/>
      <c r="J1013" s="10"/>
      <c r="K1013" s="10"/>
      <c r="L1013" s="1">
        <f t="shared" si="59"/>
        <v>0</v>
      </c>
      <c r="M1013" s="1">
        <f t="shared" si="60"/>
        <v>0</v>
      </c>
      <c r="N1013" s="1">
        <f t="shared" si="61"/>
        <v>0</v>
      </c>
      <c r="O1013" s="1">
        <f t="shared" si="62"/>
        <v>0</v>
      </c>
    </row>
    <row r="1014" spans="8:15" ht="11.25" customHeight="1" x14ac:dyDescent="0.2">
      <c r="H1014" s="10"/>
      <c r="I1014" s="10"/>
      <c r="J1014" s="10"/>
      <c r="K1014" s="10"/>
      <c r="L1014" s="1">
        <f t="shared" si="59"/>
        <v>0</v>
      </c>
      <c r="M1014" s="1">
        <f t="shared" si="60"/>
        <v>0</v>
      </c>
      <c r="N1014" s="1">
        <f t="shared" si="61"/>
        <v>0</v>
      </c>
      <c r="O1014" s="1">
        <f t="shared" si="62"/>
        <v>0</v>
      </c>
    </row>
    <row r="1015" spans="8:15" ht="11.25" customHeight="1" x14ac:dyDescent="0.2">
      <c r="H1015" s="10"/>
      <c r="I1015" s="10"/>
      <c r="J1015" s="10"/>
      <c r="K1015" s="10"/>
      <c r="L1015" s="1">
        <f t="shared" si="59"/>
        <v>0</v>
      </c>
      <c r="M1015" s="1">
        <f t="shared" si="60"/>
        <v>0</v>
      </c>
      <c r="N1015" s="1">
        <f t="shared" si="61"/>
        <v>0</v>
      </c>
      <c r="O1015" s="1">
        <f t="shared" si="62"/>
        <v>0</v>
      </c>
    </row>
    <row r="1016" spans="8:15" ht="11.25" customHeight="1" x14ac:dyDescent="0.2">
      <c r="H1016" s="10"/>
      <c r="I1016" s="10"/>
      <c r="J1016" s="10"/>
      <c r="K1016" s="10"/>
      <c r="L1016" s="1">
        <f t="shared" si="59"/>
        <v>0</v>
      </c>
      <c r="M1016" s="1">
        <f t="shared" si="60"/>
        <v>0</v>
      </c>
      <c r="N1016" s="1">
        <f t="shared" si="61"/>
        <v>0</v>
      </c>
      <c r="O1016" s="1">
        <f t="shared" si="62"/>
        <v>0</v>
      </c>
    </row>
    <row r="1017" spans="8:15" ht="11.25" customHeight="1" x14ac:dyDescent="0.2">
      <c r="H1017" s="10"/>
      <c r="I1017" s="10"/>
      <c r="J1017" s="10"/>
      <c r="K1017" s="10"/>
      <c r="L1017" s="1">
        <f t="shared" si="59"/>
        <v>0</v>
      </c>
      <c r="M1017" s="1">
        <f t="shared" si="60"/>
        <v>0</v>
      </c>
      <c r="N1017" s="1">
        <f t="shared" si="61"/>
        <v>0</v>
      </c>
      <c r="O1017" s="1">
        <f t="shared" si="62"/>
        <v>0</v>
      </c>
    </row>
    <row r="1018" spans="8:15" ht="11.25" customHeight="1" x14ac:dyDescent="0.2">
      <c r="H1018" s="10"/>
      <c r="I1018" s="10"/>
      <c r="J1018" s="10"/>
      <c r="K1018" s="10"/>
      <c r="L1018" s="1">
        <f t="shared" si="59"/>
        <v>0</v>
      </c>
      <c r="M1018" s="1">
        <f t="shared" si="60"/>
        <v>0</v>
      </c>
      <c r="N1018" s="1">
        <f t="shared" si="61"/>
        <v>0</v>
      </c>
      <c r="O1018" s="1">
        <f t="shared" si="62"/>
        <v>0</v>
      </c>
    </row>
    <row r="1019" spans="8:15" ht="11.25" customHeight="1" x14ac:dyDescent="0.2">
      <c r="H1019" s="10"/>
      <c r="I1019" s="10"/>
      <c r="J1019" s="10"/>
      <c r="K1019" s="10"/>
      <c r="L1019" s="1">
        <f t="shared" si="59"/>
        <v>0</v>
      </c>
      <c r="M1019" s="1">
        <f t="shared" si="60"/>
        <v>0</v>
      </c>
      <c r="N1019" s="1">
        <f t="shared" si="61"/>
        <v>0</v>
      </c>
      <c r="O1019" s="1">
        <f t="shared" si="62"/>
        <v>0</v>
      </c>
    </row>
    <row r="1020" spans="8:15" ht="11.25" customHeight="1" x14ac:dyDescent="0.2">
      <c r="H1020" s="10"/>
      <c r="I1020" s="10"/>
      <c r="J1020" s="10"/>
      <c r="K1020" s="10"/>
      <c r="L1020" s="1">
        <f t="shared" ref="L1020:L1059" si="63">IF($M$57,H1020,J1020)</f>
        <v>0</v>
      </c>
      <c r="M1020" s="1">
        <f t="shared" ref="M1020:M1059" si="64">IF($M$57,I1020,K1020)</f>
        <v>0</v>
      </c>
      <c r="N1020" s="1">
        <f t="shared" ref="N1020:N1059" si="65">IF($M$57,J1020,H1020)</f>
        <v>0</v>
      </c>
      <c r="O1020" s="1">
        <f t="shared" ref="O1020:O1059" si="66">IF($M$57,K1020,I1020)</f>
        <v>0</v>
      </c>
    </row>
    <row r="1021" spans="8:15" ht="11.25" customHeight="1" x14ac:dyDescent="0.2">
      <c r="H1021" s="10"/>
      <c r="I1021" s="10"/>
      <c r="J1021" s="10"/>
      <c r="K1021" s="10"/>
      <c r="L1021" s="1">
        <f t="shared" si="63"/>
        <v>0</v>
      </c>
      <c r="M1021" s="1">
        <f t="shared" si="64"/>
        <v>0</v>
      </c>
      <c r="N1021" s="1">
        <f t="shared" si="65"/>
        <v>0</v>
      </c>
      <c r="O1021" s="1">
        <f t="shared" si="66"/>
        <v>0</v>
      </c>
    </row>
    <row r="1022" spans="8:15" ht="11.25" customHeight="1" x14ac:dyDescent="0.2">
      <c r="H1022" s="10"/>
      <c r="I1022" s="10"/>
      <c r="J1022" s="10"/>
      <c r="K1022" s="10"/>
      <c r="L1022" s="1">
        <f t="shared" si="63"/>
        <v>0</v>
      </c>
      <c r="M1022" s="1">
        <f t="shared" si="64"/>
        <v>0</v>
      </c>
      <c r="N1022" s="1">
        <f t="shared" si="65"/>
        <v>0</v>
      </c>
      <c r="O1022" s="1">
        <f t="shared" si="66"/>
        <v>0</v>
      </c>
    </row>
    <row r="1023" spans="8:15" ht="11.25" customHeight="1" x14ac:dyDescent="0.2">
      <c r="H1023" s="10"/>
      <c r="I1023" s="10"/>
      <c r="J1023" s="10"/>
      <c r="K1023" s="10"/>
      <c r="L1023" s="1">
        <f t="shared" si="63"/>
        <v>0</v>
      </c>
      <c r="M1023" s="1">
        <f t="shared" si="64"/>
        <v>0</v>
      </c>
      <c r="N1023" s="1">
        <f t="shared" si="65"/>
        <v>0</v>
      </c>
      <c r="O1023" s="1">
        <f t="shared" si="66"/>
        <v>0</v>
      </c>
    </row>
    <row r="1024" spans="8:15" ht="11.25" customHeight="1" x14ac:dyDescent="0.2">
      <c r="H1024" s="10"/>
      <c r="I1024" s="10"/>
      <c r="J1024" s="10"/>
      <c r="K1024" s="10"/>
      <c r="L1024" s="1">
        <f t="shared" si="63"/>
        <v>0</v>
      </c>
      <c r="M1024" s="1">
        <f t="shared" si="64"/>
        <v>0</v>
      </c>
      <c r="N1024" s="1">
        <f t="shared" si="65"/>
        <v>0</v>
      </c>
      <c r="O1024" s="1">
        <f t="shared" si="66"/>
        <v>0</v>
      </c>
    </row>
    <row r="1025" spans="8:15" ht="11.25" customHeight="1" x14ac:dyDescent="0.2">
      <c r="H1025" s="10"/>
      <c r="I1025" s="10"/>
      <c r="J1025" s="10"/>
      <c r="K1025" s="10"/>
      <c r="L1025" s="1">
        <f t="shared" si="63"/>
        <v>0</v>
      </c>
      <c r="M1025" s="1">
        <f t="shared" si="64"/>
        <v>0</v>
      </c>
      <c r="N1025" s="1">
        <f t="shared" si="65"/>
        <v>0</v>
      </c>
      <c r="O1025" s="1">
        <f t="shared" si="66"/>
        <v>0</v>
      </c>
    </row>
    <row r="1026" spans="8:15" ht="11.25" customHeight="1" x14ac:dyDescent="0.2">
      <c r="H1026" s="10"/>
      <c r="I1026" s="10"/>
      <c r="J1026" s="10"/>
      <c r="K1026" s="10"/>
      <c r="L1026" s="1">
        <f t="shared" si="63"/>
        <v>0</v>
      </c>
      <c r="M1026" s="1">
        <f t="shared" si="64"/>
        <v>0</v>
      </c>
      <c r="N1026" s="1">
        <f t="shared" si="65"/>
        <v>0</v>
      </c>
      <c r="O1026" s="1">
        <f t="shared" si="66"/>
        <v>0</v>
      </c>
    </row>
    <row r="1027" spans="8:15" ht="11.25" customHeight="1" x14ac:dyDescent="0.2">
      <c r="H1027" s="10"/>
      <c r="I1027" s="10"/>
      <c r="J1027" s="10"/>
      <c r="K1027" s="10"/>
      <c r="L1027" s="1">
        <f t="shared" si="63"/>
        <v>0</v>
      </c>
      <c r="M1027" s="1">
        <f t="shared" si="64"/>
        <v>0</v>
      </c>
      <c r="N1027" s="1">
        <f t="shared" si="65"/>
        <v>0</v>
      </c>
      <c r="O1027" s="1">
        <f t="shared" si="66"/>
        <v>0</v>
      </c>
    </row>
    <row r="1028" spans="8:15" ht="11.25" customHeight="1" x14ac:dyDescent="0.2">
      <c r="H1028" s="10"/>
      <c r="I1028" s="10"/>
      <c r="J1028" s="10"/>
      <c r="K1028" s="10"/>
      <c r="L1028" s="1">
        <f t="shared" si="63"/>
        <v>0</v>
      </c>
      <c r="M1028" s="1">
        <f t="shared" si="64"/>
        <v>0</v>
      </c>
      <c r="N1028" s="1">
        <f t="shared" si="65"/>
        <v>0</v>
      </c>
      <c r="O1028" s="1">
        <f t="shared" si="66"/>
        <v>0</v>
      </c>
    </row>
    <row r="1029" spans="8:15" ht="11.25" customHeight="1" x14ac:dyDescent="0.2">
      <c r="H1029" s="10"/>
      <c r="I1029" s="10"/>
      <c r="J1029" s="10"/>
      <c r="K1029" s="10"/>
      <c r="L1029" s="1">
        <f t="shared" si="63"/>
        <v>0</v>
      </c>
      <c r="M1029" s="1">
        <f t="shared" si="64"/>
        <v>0</v>
      </c>
      <c r="N1029" s="1">
        <f t="shared" si="65"/>
        <v>0</v>
      </c>
      <c r="O1029" s="1">
        <f t="shared" si="66"/>
        <v>0</v>
      </c>
    </row>
    <row r="1030" spans="8:15" ht="11.25" customHeight="1" x14ac:dyDescent="0.2">
      <c r="H1030" s="10"/>
      <c r="I1030" s="10"/>
      <c r="J1030" s="10"/>
      <c r="K1030" s="10"/>
      <c r="L1030" s="1">
        <f t="shared" si="63"/>
        <v>0</v>
      </c>
      <c r="M1030" s="1">
        <f t="shared" si="64"/>
        <v>0</v>
      </c>
      <c r="N1030" s="1">
        <f t="shared" si="65"/>
        <v>0</v>
      </c>
      <c r="O1030" s="1">
        <f t="shared" si="66"/>
        <v>0</v>
      </c>
    </row>
    <row r="1031" spans="8:15" ht="11.25" customHeight="1" x14ac:dyDescent="0.2">
      <c r="H1031" s="10"/>
      <c r="I1031" s="10"/>
      <c r="J1031" s="10"/>
      <c r="K1031" s="10"/>
      <c r="L1031" s="1">
        <f t="shared" si="63"/>
        <v>0</v>
      </c>
      <c r="M1031" s="1">
        <f t="shared" si="64"/>
        <v>0</v>
      </c>
      <c r="N1031" s="1">
        <f t="shared" si="65"/>
        <v>0</v>
      </c>
      <c r="O1031" s="1">
        <f t="shared" si="66"/>
        <v>0</v>
      </c>
    </row>
    <row r="1032" spans="8:15" ht="11.25" customHeight="1" x14ac:dyDescent="0.2">
      <c r="H1032" s="10"/>
      <c r="I1032" s="10"/>
      <c r="J1032" s="10"/>
      <c r="K1032" s="10"/>
      <c r="L1032" s="1">
        <f t="shared" si="63"/>
        <v>0</v>
      </c>
      <c r="M1032" s="1">
        <f t="shared" si="64"/>
        <v>0</v>
      </c>
      <c r="N1032" s="1">
        <f t="shared" si="65"/>
        <v>0</v>
      </c>
      <c r="O1032" s="1">
        <f t="shared" si="66"/>
        <v>0</v>
      </c>
    </row>
    <row r="1033" spans="8:15" ht="11.25" customHeight="1" x14ac:dyDescent="0.2">
      <c r="H1033" s="10"/>
      <c r="I1033" s="10"/>
      <c r="J1033" s="10"/>
      <c r="K1033" s="10"/>
      <c r="L1033" s="1">
        <f t="shared" si="63"/>
        <v>0</v>
      </c>
      <c r="M1033" s="1">
        <f t="shared" si="64"/>
        <v>0</v>
      </c>
      <c r="N1033" s="1">
        <f t="shared" si="65"/>
        <v>0</v>
      </c>
      <c r="O1033" s="1">
        <f t="shared" si="66"/>
        <v>0</v>
      </c>
    </row>
    <row r="1034" spans="8:15" ht="11.25" customHeight="1" x14ac:dyDescent="0.2">
      <c r="H1034" s="10"/>
      <c r="I1034" s="10"/>
      <c r="J1034" s="10"/>
      <c r="K1034" s="10"/>
      <c r="L1034" s="1">
        <f t="shared" si="63"/>
        <v>0</v>
      </c>
      <c r="M1034" s="1">
        <f t="shared" si="64"/>
        <v>0</v>
      </c>
      <c r="N1034" s="1">
        <f t="shared" si="65"/>
        <v>0</v>
      </c>
      <c r="O1034" s="1">
        <f t="shared" si="66"/>
        <v>0</v>
      </c>
    </row>
    <row r="1035" spans="8:15" ht="11.25" customHeight="1" x14ac:dyDescent="0.2">
      <c r="H1035" s="10"/>
      <c r="I1035" s="10"/>
      <c r="J1035" s="10"/>
      <c r="K1035" s="10"/>
      <c r="L1035" s="1">
        <f t="shared" si="63"/>
        <v>0</v>
      </c>
      <c r="M1035" s="1">
        <f t="shared" si="64"/>
        <v>0</v>
      </c>
      <c r="N1035" s="1">
        <f t="shared" si="65"/>
        <v>0</v>
      </c>
      <c r="O1035" s="1">
        <f t="shared" si="66"/>
        <v>0</v>
      </c>
    </row>
    <row r="1036" spans="8:15" ht="11.25" customHeight="1" x14ac:dyDescent="0.2">
      <c r="H1036" s="10"/>
      <c r="I1036" s="10"/>
      <c r="J1036" s="10"/>
      <c r="K1036" s="10"/>
      <c r="L1036" s="1">
        <f t="shared" si="63"/>
        <v>0</v>
      </c>
      <c r="M1036" s="1">
        <f t="shared" si="64"/>
        <v>0</v>
      </c>
      <c r="N1036" s="1">
        <f t="shared" si="65"/>
        <v>0</v>
      </c>
      <c r="O1036" s="1">
        <f t="shared" si="66"/>
        <v>0</v>
      </c>
    </row>
    <row r="1037" spans="8:15" ht="11.25" customHeight="1" x14ac:dyDescent="0.2">
      <c r="H1037" s="10"/>
      <c r="I1037" s="10"/>
      <c r="J1037" s="10"/>
      <c r="K1037" s="10"/>
      <c r="L1037" s="1">
        <f t="shared" si="63"/>
        <v>0</v>
      </c>
      <c r="M1037" s="1">
        <f t="shared" si="64"/>
        <v>0</v>
      </c>
      <c r="N1037" s="1">
        <f t="shared" si="65"/>
        <v>0</v>
      </c>
      <c r="O1037" s="1">
        <f t="shared" si="66"/>
        <v>0</v>
      </c>
    </row>
    <row r="1038" spans="8:15" ht="11.25" customHeight="1" x14ac:dyDescent="0.2">
      <c r="H1038" s="10"/>
      <c r="I1038" s="10"/>
      <c r="J1038" s="10"/>
      <c r="K1038" s="10"/>
      <c r="L1038" s="1">
        <f t="shared" si="63"/>
        <v>0</v>
      </c>
      <c r="M1038" s="1">
        <f t="shared" si="64"/>
        <v>0</v>
      </c>
      <c r="N1038" s="1">
        <f t="shared" si="65"/>
        <v>0</v>
      </c>
      <c r="O1038" s="1">
        <f t="shared" si="66"/>
        <v>0</v>
      </c>
    </row>
    <row r="1039" spans="8:15" ht="11.25" customHeight="1" x14ac:dyDescent="0.2">
      <c r="H1039" s="10"/>
      <c r="I1039" s="10"/>
      <c r="J1039" s="10"/>
      <c r="K1039" s="10"/>
      <c r="L1039" s="1">
        <f t="shared" si="63"/>
        <v>0</v>
      </c>
      <c r="M1039" s="1">
        <f t="shared" si="64"/>
        <v>0</v>
      </c>
      <c r="N1039" s="1">
        <f t="shared" si="65"/>
        <v>0</v>
      </c>
      <c r="O1039" s="1">
        <f t="shared" si="66"/>
        <v>0</v>
      </c>
    </row>
    <row r="1040" spans="8:15" ht="11.25" customHeight="1" x14ac:dyDescent="0.2">
      <c r="H1040" s="10"/>
      <c r="I1040" s="10"/>
      <c r="J1040" s="10"/>
      <c r="K1040" s="10"/>
      <c r="L1040" s="1">
        <f t="shared" si="63"/>
        <v>0</v>
      </c>
      <c r="M1040" s="1">
        <f t="shared" si="64"/>
        <v>0</v>
      </c>
      <c r="N1040" s="1">
        <f t="shared" si="65"/>
        <v>0</v>
      </c>
      <c r="O1040" s="1">
        <f t="shared" si="66"/>
        <v>0</v>
      </c>
    </row>
    <row r="1041" spans="8:15" ht="11.25" customHeight="1" x14ac:dyDescent="0.2">
      <c r="H1041" s="10"/>
      <c r="I1041" s="10"/>
      <c r="J1041" s="10"/>
      <c r="K1041" s="10"/>
      <c r="L1041" s="1">
        <f t="shared" si="63"/>
        <v>0</v>
      </c>
      <c r="M1041" s="1">
        <f t="shared" si="64"/>
        <v>0</v>
      </c>
      <c r="N1041" s="1">
        <f t="shared" si="65"/>
        <v>0</v>
      </c>
      <c r="O1041" s="1">
        <f t="shared" si="66"/>
        <v>0</v>
      </c>
    </row>
    <row r="1042" spans="8:15" ht="11.25" customHeight="1" x14ac:dyDescent="0.2">
      <c r="H1042" s="10"/>
      <c r="I1042" s="10"/>
      <c r="J1042" s="10"/>
      <c r="K1042" s="10"/>
      <c r="L1042" s="1">
        <f t="shared" si="63"/>
        <v>0</v>
      </c>
      <c r="M1042" s="1">
        <f t="shared" si="64"/>
        <v>0</v>
      </c>
      <c r="N1042" s="1">
        <f t="shared" si="65"/>
        <v>0</v>
      </c>
      <c r="O1042" s="1">
        <f t="shared" si="66"/>
        <v>0</v>
      </c>
    </row>
    <row r="1043" spans="8:15" ht="11.25" customHeight="1" x14ac:dyDescent="0.2">
      <c r="H1043" s="10"/>
      <c r="I1043" s="10"/>
      <c r="J1043" s="10"/>
      <c r="K1043" s="10"/>
      <c r="L1043" s="1">
        <f t="shared" si="63"/>
        <v>0</v>
      </c>
      <c r="M1043" s="1">
        <f t="shared" si="64"/>
        <v>0</v>
      </c>
      <c r="N1043" s="1">
        <f t="shared" si="65"/>
        <v>0</v>
      </c>
      <c r="O1043" s="1">
        <f t="shared" si="66"/>
        <v>0</v>
      </c>
    </row>
    <row r="1044" spans="8:15" ht="11.25" customHeight="1" x14ac:dyDescent="0.2">
      <c r="H1044" s="10"/>
      <c r="I1044" s="10"/>
      <c r="J1044" s="10"/>
      <c r="K1044" s="10"/>
      <c r="L1044" s="1">
        <f t="shared" si="63"/>
        <v>0</v>
      </c>
      <c r="M1044" s="1">
        <f t="shared" si="64"/>
        <v>0</v>
      </c>
      <c r="N1044" s="1">
        <f t="shared" si="65"/>
        <v>0</v>
      </c>
      <c r="O1044" s="1">
        <f t="shared" si="66"/>
        <v>0</v>
      </c>
    </row>
    <row r="1045" spans="8:15" ht="11.25" customHeight="1" x14ac:dyDescent="0.2">
      <c r="H1045" s="10"/>
      <c r="I1045" s="10"/>
      <c r="J1045" s="10"/>
      <c r="K1045" s="10"/>
      <c r="L1045" s="1">
        <f t="shared" si="63"/>
        <v>0</v>
      </c>
      <c r="M1045" s="1">
        <f t="shared" si="64"/>
        <v>0</v>
      </c>
      <c r="N1045" s="1">
        <f t="shared" si="65"/>
        <v>0</v>
      </c>
      <c r="O1045" s="1">
        <f t="shared" si="66"/>
        <v>0</v>
      </c>
    </row>
    <row r="1046" spans="8:15" ht="11.25" customHeight="1" x14ac:dyDescent="0.2">
      <c r="H1046" s="10"/>
      <c r="I1046" s="10"/>
      <c r="J1046" s="10"/>
      <c r="K1046" s="10"/>
      <c r="L1046" s="1">
        <f t="shared" si="63"/>
        <v>0</v>
      </c>
      <c r="M1046" s="1">
        <f t="shared" si="64"/>
        <v>0</v>
      </c>
      <c r="N1046" s="1">
        <f t="shared" si="65"/>
        <v>0</v>
      </c>
      <c r="O1046" s="1">
        <f t="shared" si="66"/>
        <v>0</v>
      </c>
    </row>
    <row r="1047" spans="8:15" ht="11.25" customHeight="1" x14ac:dyDescent="0.2">
      <c r="H1047" s="10"/>
      <c r="I1047" s="10"/>
      <c r="J1047" s="10"/>
      <c r="K1047" s="10"/>
      <c r="L1047" s="1">
        <f t="shared" si="63"/>
        <v>0</v>
      </c>
      <c r="M1047" s="1">
        <f t="shared" si="64"/>
        <v>0</v>
      </c>
      <c r="N1047" s="1">
        <f t="shared" si="65"/>
        <v>0</v>
      </c>
      <c r="O1047" s="1">
        <f t="shared" si="66"/>
        <v>0</v>
      </c>
    </row>
    <row r="1048" spans="8:15" ht="11.25" customHeight="1" x14ac:dyDescent="0.2">
      <c r="H1048" s="10"/>
      <c r="I1048" s="10"/>
      <c r="J1048" s="10"/>
      <c r="K1048" s="10"/>
      <c r="L1048" s="1">
        <f t="shared" si="63"/>
        <v>0</v>
      </c>
      <c r="M1048" s="1">
        <f t="shared" si="64"/>
        <v>0</v>
      </c>
      <c r="N1048" s="1">
        <f t="shared" si="65"/>
        <v>0</v>
      </c>
      <c r="O1048" s="1">
        <f t="shared" si="66"/>
        <v>0</v>
      </c>
    </row>
    <row r="1049" spans="8:15" ht="11.25" customHeight="1" x14ac:dyDescent="0.2">
      <c r="H1049" s="10"/>
      <c r="I1049" s="10"/>
      <c r="J1049" s="10"/>
      <c r="K1049" s="10"/>
      <c r="L1049" s="1">
        <f t="shared" si="63"/>
        <v>0</v>
      </c>
      <c r="M1049" s="1">
        <f t="shared" si="64"/>
        <v>0</v>
      </c>
      <c r="N1049" s="1">
        <f t="shared" si="65"/>
        <v>0</v>
      </c>
      <c r="O1049" s="1">
        <f t="shared" si="66"/>
        <v>0</v>
      </c>
    </row>
    <row r="1050" spans="8:15" ht="11.25" customHeight="1" x14ac:dyDescent="0.2">
      <c r="H1050" s="10"/>
      <c r="I1050" s="10"/>
      <c r="J1050" s="10"/>
      <c r="K1050" s="10"/>
      <c r="L1050" s="1">
        <f t="shared" si="63"/>
        <v>0</v>
      </c>
      <c r="M1050" s="1">
        <f t="shared" si="64"/>
        <v>0</v>
      </c>
      <c r="N1050" s="1">
        <f t="shared" si="65"/>
        <v>0</v>
      </c>
      <c r="O1050" s="1">
        <f t="shared" si="66"/>
        <v>0</v>
      </c>
    </row>
    <row r="1051" spans="8:15" ht="11.25" customHeight="1" x14ac:dyDescent="0.2">
      <c r="H1051" s="10"/>
      <c r="I1051" s="10"/>
      <c r="J1051" s="10"/>
      <c r="K1051" s="10"/>
      <c r="L1051" s="1">
        <f t="shared" si="63"/>
        <v>0</v>
      </c>
      <c r="M1051" s="1">
        <f t="shared" si="64"/>
        <v>0</v>
      </c>
      <c r="N1051" s="1">
        <f t="shared" si="65"/>
        <v>0</v>
      </c>
      <c r="O1051" s="1">
        <f t="shared" si="66"/>
        <v>0</v>
      </c>
    </row>
    <row r="1052" spans="8:15" ht="11.25" customHeight="1" x14ac:dyDescent="0.2">
      <c r="H1052" s="10"/>
      <c r="I1052" s="10"/>
      <c r="J1052" s="10"/>
      <c r="K1052" s="10"/>
      <c r="L1052" s="1">
        <f t="shared" si="63"/>
        <v>0</v>
      </c>
      <c r="M1052" s="1">
        <f t="shared" si="64"/>
        <v>0</v>
      </c>
      <c r="N1052" s="1">
        <f t="shared" si="65"/>
        <v>0</v>
      </c>
      <c r="O1052" s="1">
        <f t="shared" si="66"/>
        <v>0</v>
      </c>
    </row>
    <row r="1053" spans="8:15" ht="11.25" customHeight="1" x14ac:dyDescent="0.2">
      <c r="H1053" s="10"/>
      <c r="I1053" s="10"/>
      <c r="J1053" s="10"/>
      <c r="K1053" s="10"/>
      <c r="L1053" s="1">
        <f t="shared" si="63"/>
        <v>0</v>
      </c>
      <c r="M1053" s="1">
        <f t="shared" si="64"/>
        <v>0</v>
      </c>
      <c r="N1053" s="1">
        <f t="shared" si="65"/>
        <v>0</v>
      </c>
      <c r="O1053" s="1">
        <f t="shared" si="66"/>
        <v>0</v>
      </c>
    </row>
    <row r="1054" spans="8:15" ht="11.25" customHeight="1" x14ac:dyDescent="0.2">
      <c r="H1054" s="10"/>
      <c r="I1054" s="10"/>
      <c r="J1054" s="10"/>
      <c r="K1054" s="10"/>
      <c r="L1054" s="1">
        <f t="shared" si="63"/>
        <v>0</v>
      </c>
      <c r="M1054" s="1">
        <f t="shared" si="64"/>
        <v>0</v>
      </c>
      <c r="N1054" s="1">
        <f t="shared" si="65"/>
        <v>0</v>
      </c>
      <c r="O1054" s="1">
        <f t="shared" si="66"/>
        <v>0</v>
      </c>
    </row>
    <row r="1055" spans="8:15" ht="11.25" customHeight="1" x14ac:dyDescent="0.2">
      <c r="H1055" s="10"/>
      <c r="I1055" s="10"/>
      <c r="J1055" s="10"/>
      <c r="K1055" s="10"/>
      <c r="L1055" s="1">
        <f t="shared" si="63"/>
        <v>0</v>
      </c>
      <c r="M1055" s="1">
        <f t="shared" si="64"/>
        <v>0</v>
      </c>
      <c r="N1055" s="1">
        <f t="shared" si="65"/>
        <v>0</v>
      </c>
      <c r="O1055" s="1">
        <f t="shared" si="66"/>
        <v>0</v>
      </c>
    </row>
    <row r="1056" spans="8:15" ht="11.25" customHeight="1" x14ac:dyDescent="0.2">
      <c r="H1056" s="10"/>
      <c r="I1056" s="10"/>
      <c r="J1056" s="10"/>
      <c r="K1056" s="10"/>
      <c r="L1056" s="1">
        <f t="shared" si="63"/>
        <v>0</v>
      </c>
      <c r="M1056" s="1">
        <f t="shared" si="64"/>
        <v>0</v>
      </c>
      <c r="N1056" s="1">
        <f t="shared" si="65"/>
        <v>0</v>
      </c>
      <c r="O1056" s="1">
        <f t="shared" si="66"/>
        <v>0</v>
      </c>
    </row>
    <row r="1057" spans="8:15" ht="11.25" customHeight="1" x14ac:dyDescent="0.2">
      <c r="H1057" s="10"/>
      <c r="I1057" s="10"/>
      <c r="J1057" s="10"/>
      <c r="K1057" s="10"/>
      <c r="L1057" s="1">
        <f t="shared" si="63"/>
        <v>0</v>
      </c>
      <c r="M1057" s="1">
        <f t="shared" si="64"/>
        <v>0</v>
      </c>
      <c r="N1057" s="1">
        <f t="shared" si="65"/>
        <v>0</v>
      </c>
      <c r="O1057" s="1">
        <f t="shared" si="66"/>
        <v>0</v>
      </c>
    </row>
    <row r="1058" spans="8:15" ht="11.25" customHeight="1" x14ac:dyDescent="0.2">
      <c r="H1058" s="10"/>
      <c r="I1058" s="10"/>
      <c r="J1058" s="10"/>
      <c r="K1058" s="10"/>
      <c r="L1058" s="1">
        <f t="shared" si="63"/>
        <v>0</v>
      </c>
      <c r="M1058" s="1">
        <f t="shared" si="64"/>
        <v>0</v>
      </c>
      <c r="N1058" s="1">
        <f t="shared" si="65"/>
        <v>0</v>
      </c>
      <c r="O1058" s="1">
        <f t="shared" si="66"/>
        <v>0</v>
      </c>
    </row>
    <row r="1059" spans="8:15" ht="11.25" customHeight="1" x14ac:dyDescent="0.2">
      <c r="H1059" s="10"/>
      <c r="I1059" s="10"/>
      <c r="J1059" s="10"/>
      <c r="K1059" s="10"/>
      <c r="L1059" s="1">
        <f t="shared" si="63"/>
        <v>0</v>
      </c>
      <c r="M1059" s="1">
        <f t="shared" si="64"/>
        <v>0</v>
      </c>
      <c r="N1059" s="1">
        <f t="shared" si="65"/>
        <v>0</v>
      </c>
      <c r="O1059" s="1">
        <f t="shared" si="66"/>
        <v>0</v>
      </c>
    </row>
    <row r="1060" spans="8:15" ht="11.25" customHeight="1" x14ac:dyDescent="0.2">
      <c r="H1060" s="982"/>
      <c r="I1060" s="982"/>
      <c r="J1060" s="907"/>
      <c r="K1060" s="982"/>
    </row>
    <row r="1061" spans="8:15" ht="11.25" customHeight="1" x14ac:dyDescent="0.2">
      <c r="H1061" s="982"/>
      <c r="I1061" s="982"/>
      <c r="J1061" s="907"/>
      <c r="K1061" s="982"/>
    </row>
    <row r="1062" spans="8:15" ht="11.25" customHeight="1" x14ac:dyDescent="0.2">
      <c r="H1062" s="982"/>
      <c r="I1062" s="982"/>
      <c r="J1062" s="907"/>
      <c r="K1062" s="982"/>
    </row>
  </sheetData>
  <sheetProtection sheet="1" objects="1" scenarios="1" selectLockedCells="1" selectUnlockedCells="1"/>
  <phoneticPr fontId="33" type="noConversion"/>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2439" r:id="rId4" name="Check Box 7">
              <controlPr defaultSize="0" autoFill="0" autoLine="0" autoPict="0">
                <anchor moveWithCells="1">
                  <from>
                    <xdr:col>1</xdr:col>
                    <xdr:colOff>38100</xdr:colOff>
                    <xdr:row>13</xdr:row>
                    <xdr:rowOff>95250</xdr:rowOff>
                  </from>
                  <to>
                    <xdr:col>1</xdr:col>
                    <xdr:colOff>314325</xdr:colOff>
                    <xdr:row>15</xdr:row>
                    <xdr:rowOff>19050</xdr:rowOff>
                  </to>
                </anchor>
              </controlPr>
            </control>
          </mc:Choice>
        </mc:AlternateContent>
        <mc:AlternateContent xmlns:mc="http://schemas.openxmlformats.org/markup-compatibility/2006">
          <mc:Choice Requires="x14">
            <control shapeId="402442" r:id="rId5" name="Button 10">
              <controlPr defaultSize="0" print="0" autoFill="0" autoPict="0" macro="[0]!Go">
                <anchor moveWithCells="1" sizeWithCells="1">
                  <from>
                    <xdr:col>1</xdr:col>
                    <xdr:colOff>314325</xdr:colOff>
                    <xdr:row>17</xdr:row>
                    <xdr:rowOff>19050</xdr:rowOff>
                  </from>
                  <to>
                    <xdr:col>5</xdr:col>
                    <xdr:colOff>238125</xdr:colOff>
                    <xdr:row>18</xdr:row>
                    <xdr:rowOff>114300</xdr:rowOff>
                  </to>
                </anchor>
              </controlPr>
            </control>
          </mc:Choice>
        </mc:AlternateContent>
        <mc:AlternateContent xmlns:mc="http://schemas.openxmlformats.org/markup-compatibility/2006">
          <mc:Choice Requires="x14">
            <control shapeId="402443" r:id="rId6" name="Spinner 11">
              <controlPr defaultSize="0" autoPict="0" macro="[0]!clearall">
                <anchor moveWithCells="1">
                  <from>
                    <xdr:col>6</xdr:col>
                    <xdr:colOff>9525</xdr:colOff>
                    <xdr:row>6</xdr:row>
                    <xdr:rowOff>95250</xdr:rowOff>
                  </from>
                  <to>
                    <xdr:col>6</xdr:col>
                    <xdr:colOff>171450</xdr:colOff>
                    <xdr:row>8</xdr:row>
                    <xdr:rowOff>57150</xdr:rowOff>
                  </to>
                </anchor>
              </controlPr>
            </control>
          </mc:Choice>
        </mc:AlternateContent>
        <mc:AlternateContent xmlns:mc="http://schemas.openxmlformats.org/markup-compatibility/2006">
          <mc:Choice Requires="x14">
            <control shapeId="402444" r:id="rId7" name="Spinner 12">
              <controlPr defaultSize="0" autoPict="0" macro="[0]!clearall">
                <anchor moveWithCells="1">
                  <from>
                    <xdr:col>6</xdr:col>
                    <xdr:colOff>133350</xdr:colOff>
                    <xdr:row>11</xdr:row>
                    <xdr:rowOff>95250</xdr:rowOff>
                  </from>
                  <to>
                    <xdr:col>7</xdr:col>
                    <xdr:colOff>76200</xdr:colOff>
                    <xdr:row>13</xdr:row>
                    <xdr:rowOff>57150</xdr:rowOff>
                  </to>
                </anchor>
              </controlPr>
            </control>
          </mc:Choice>
        </mc:AlternateContent>
        <mc:AlternateContent xmlns:mc="http://schemas.openxmlformats.org/markup-compatibility/2006">
          <mc:Choice Requires="x14">
            <control shapeId="402445" r:id="rId8" name="Spinner 13">
              <controlPr defaultSize="0" autoPict="0">
                <anchor moveWithCells="1">
                  <from>
                    <xdr:col>6</xdr:col>
                    <xdr:colOff>9525</xdr:colOff>
                    <xdr:row>56</xdr:row>
                    <xdr:rowOff>95250</xdr:rowOff>
                  </from>
                  <to>
                    <xdr:col>6</xdr:col>
                    <xdr:colOff>171450</xdr:colOff>
                    <xdr:row>58</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B1009"/>
  <sheetViews>
    <sheetView showGridLines="0" showRowColHeaders="0" workbookViewId="0">
      <selection activeCell="T4" sqref="T4"/>
    </sheetView>
  </sheetViews>
  <sheetFormatPr defaultRowHeight="11.25" customHeight="1" x14ac:dyDescent="0.2"/>
  <cols>
    <col min="1" max="1" width="2.28515625" style="1" customWidth="1"/>
    <col min="2" max="2" width="6.28515625" style="1" customWidth="1"/>
    <col min="3" max="3" width="4.28515625" style="1" customWidth="1"/>
    <col min="4" max="4" width="8" style="1" customWidth="1"/>
    <col min="5" max="5" width="3.5703125" style="1" customWidth="1"/>
    <col min="6" max="6" width="6" style="1" customWidth="1"/>
    <col min="7" max="7" width="2.28515625" style="1" customWidth="1"/>
    <col min="8" max="8" width="5.7109375" style="1" customWidth="1"/>
    <col min="9" max="9" width="6.42578125" style="1" customWidth="1"/>
    <col min="10" max="10" width="4.85546875" style="1" customWidth="1"/>
    <col min="11" max="11" width="4.5703125" style="1" customWidth="1"/>
    <col min="12" max="14" width="6.42578125" style="1" customWidth="1"/>
    <col min="15" max="15" width="2.85546875" style="1" customWidth="1"/>
    <col min="16" max="17" width="6" style="1" customWidth="1"/>
    <col min="18" max="18" width="2.28515625" style="1" customWidth="1"/>
    <col min="19" max="19" width="5.7109375" style="1" customWidth="1"/>
    <col min="20" max="20" width="6.42578125" style="1" customWidth="1"/>
    <col min="21" max="21" width="4.85546875" style="1" customWidth="1"/>
    <col min="22" max="22" width="4.5703125" style="1" customWidth="1"/>
    <col min="23" max="25" width="6.42578125" style="1" customWidth="1"/>
    <col min="26" max="26" width="2.85546875" style="1" customWidth="1"/>
    <col min="27" max="27" width="6" style="1" customWidth="1"/>
    <col min="28" max="34" width="8" style="1" customWidth="1"/>
    <col min="35" max="35" width="5.42578125" style="1" customWidth="1"/>
    <col min="36" max="36" width="6.42578125" style="46" customWidth="1"/>
    <col min="37" max="38" width="9.140625" style="1"/>
    <col min="39" max="39" width="10.42578125" style="1" bestFit="1" customWidth="1"/>
    <col min="40" max="40" width="10.42578125" style="1" customWidth="1"/>
    <col min="41" max="41" width="10.42578125" style="1" bestFit="1" customWidth="1"/>
    <col min="42" max="43" width="9.140625" style="1"/>
    <col min="44" max="45" width="10.42578125" style="1" bestFit="1" customWidth="1"/>
    <col min="47" max="47" width="10.42578125" bestFit="1" customWidth="1"/>
    <col min="48" max="16384" width="9.140625" style="1"/>
  </cols>
  <sheetData>
    <row r="1" spans="1:54" ht="12.75" customHeight="1" x14ac:dyDescent="0.2">
      <c r="C1" s="298" t="s">
        <v>639</v>
      </c>
      <c r="G1" s="14">
        <v>4</v>
      </c>
      <c r="H1" s="105" t="s">
        <v>647</v>
      </c>
      <c r="I1" s="15"/>
      <c r="J1" s="15"/>
      <c r="K1" s="15"/>
      <c r="L1" s="15"/>
      <c r="M1" s="15"/>
      <c r="N1" s="15"/>
      <c r="O1" s="16"/>
      <c r="Q1" s="11" t="s">
        <v>730</v>
      </c>
      <c r="S1" s="310" t="s">
        <v>688</v>
      </c>
      <c r="AI1" s="1" t="s">
        <v>656</v>
      </c>
      <c r="AJ1" s="46">
        <v>150</v>
      </c>
      <c r="AK1" s="3" t="s">
        <v>660</v>
      </c>
      <c r="AL1" s="1">
        <v>1.0000000000000001E-5</v>
      </c>
      <c r="AM1" s="1" t="s">
        <v>1153</v>
      </c>
    </row>
    <row r="2" spans="1:54" ht="11.25" customHeight="1" x14ac:dyDescent="0.2">
      <c r="C2" s="1" t="s">
        <v>684</v>
      </c>
      <c r="G2" s="75"/>
      <c r="H2" s="17"/>
      <c r="I2" s="17"/>
      <c r="J2" s="280"/>
      <c r="K2" s="280"/>
      <c r="L2" s="280"/>
      <c r="M2" s="17"/>
      <c r="N2" s="17"/>
      <c r="O2" s="18"/>
      <c r="P2" s="3"/>
      <c r="AI2" s="1" t="s">
        <v>657</v>
      </c>
      <c r="AJ2" s="46">
        <v>0</v>
      </c>
      <c r="AK2" s="3" t="s">
        <v>655</v>
      </c>
      <c r="AL2" s="1">
        <v>0.25800000000000001</v>
      </c>
      <c r="AM2" s="987">
        <v>500</v>
      </c>
      <c r="AO2" s="172" t="s">
        <v>680</v>
      </c>
    </row>
    <row r="3" spans="1:54" ht="12.75" customHeight="1" x14ac:dyDescent="0.2">
      <c r="C3" s="1" t="s">
        <v>686</v>
      </c>
      <c r="G3" s="75"/>
      <c r="H3" s="302"/>
      <c r="I3" s="302"/>
      <c r="J3" s="17"/>
      <c r="K3" s="17"/>
      <c r="L3" s="17"/>
      <c r="M3" s="17"/>
      <c r="N3" s="17"/>
      <c r="O3" s="18"/>
      <c r="P3" s="3"/>
      <c r="R3" s="303">
        <v>7</v>
      </c>
      <c r="S3" s="304" t="s">
        <v>672</v>
      </c>
      <c r="T3" s="64"/>
      <c r="U3" s="64"/>
      <c r="V3" s="63"/>
      <c r="W3" s="63"/>
      <c r="X3" s="63"/>
      <c r="Y3" s="63"/>
      <c r="Z3" s="129"/>
      <c r="AI3" s="1" t="s">
        <v>658</v>
      </c>
      <c r="AJ3" s="46">
        <v>1000</v>
      </c>
      <c r="AK3" s="3" t="s">
        <v>667</v>
      </c>
      <c r="AL3" s="1">
        <v>0.4</v>
      </c>
      <c r="AM3" s="987">
        <v>500</v>
      </c>
      <c r="AO3" s="1">
        <f>SQRT(AN7/AR7)</f>
        <v>0.95232252594735489</v>
      </c>
    </row>
    <row r="4" spans="1:54" ht="12.75" customHeight="1" x14ac:dyDescent="0.3">
      <c r="C4" s="74" t="s">
        <v>685</v>
      </c>
      <c r="G4" s="75"/>
      <c r="H4" s="302"/>
      <c r="I4" s="280"/>
      <c r="J4" s="17"/>
      <c r="K4" s="76" t="s">
        <v>652</v>
      </c>
      <c r="L4" s="77">
        <f>D19-D10</f>
        <v>54</v>
      </c>
      <c r="M4" s="280"/>
      <c r="N4" s="280"/>
      <c r="O4" s="18"/>
      <c r="R4" s="305"/>
      <c r="S4" s="90" t="s">
        <v>654</v>
      </c>
      <c r="T4" s="893">
        <f>(AM6-1000)/1000</f>
        <v>0.7</v>
      </c>
      <c r="U4" s="66"/>
      <c r="V4" s="66"/>
      <c r="W4" s="222" t="s">
        <v>653</v>
      </c>
      <c r="X4" s="12">
        <f>IF(M15,D19-D10,"")</f>
        <v>54</v>
      </c>
      <c r="Y4" s="66"/>
      <c r="Z4" s="130"/>
      <c r="AI4" s="1" t="s">
        <v>659</v>
      </c>
      <c r="AJ4" s="46">
        <f>(AJ1-AJ2)/AJ3</f>
        <v>0.15</v>
      </c>
      <c r="AK4" s="1" t="s">
        <v>673</v>
      </c>
      <c r="AL4" s="10" t="b">
        <v>0</v>
      </c>
      <c r="AM4" s="986">
        <v>1040</v>
      </c>
      <c r="AN4" s="316" t="s">
        <v>683</v>
      </c>
      <c r="AO4" s="172" t="s">
        <v>679</v>
      </c>
      <c r="AS4" s="172" t="s">
        <v>679</v>
      </c>
    </row>
    <row r="5" spans="1:54" ht="13.5" customHeight="1" x14ac:dyDescent="0.2">
      <c r="C5" s="74" t="s">
        <v>689</v>
      </c>
      <c r="G5" s="75"/>
      <c r="H5" s="302"/>
      <c r="I5" s="280"/>
      <c r="J5" s="280"/>
      <c r="K5" s="280"/>
      <c r="L5" s="280"/>
      <c r="M5" s="280"/>
      <c r="N5" s="280"/>
      <c r="O5" s="18"/>
      <c r="R5" s="65"/>
      <c r="S5" s="66"/>
      <c r="T5" s="66"/>
      <c r="U5" s="236"/>
      <c r="V5" s="66"/>
      <c r="W5" s="66"/>
      <c r="X5" s="66"/>
      <c r="Y5" s="306"/>
      <c r="Z5" s="130"/>
      <c r="AI5" s="1" t="s">
        <v>678</v>
      </c>
      <c r="AJ5" s="46">
        <f>(AJ2+AJ1)/2</f>
        <v>75</v>
      </c>
      <c r="AK5" s="3" t="s">
        <v>665</v>
      </c>
      <c r="AL5" s="1">
        <f>I11</f>
        <v>50</v>
      </c>
      <c r="AM5" s="986">
        <v>550</v>
      </c>
      <c r="AN5" s="1">
        <v>21</v>
      </c>
      <c r="AO5" s="3">
        <f>SUM(AO9:AO1009)</f>
        <v>41.989882067744269</v>
      </c>
      <c r="AP5" s="1">
        <f>I12</f>
        <v>104</v>
      </c>
      <c r="AS5" s="3">
        <f>SUM(AS9:AS1009)</f>
        <v>41.709052125998021</v>
      </c>
      <c r="AV5" s="172"/>
      <c r="AW5" s="172"/>
      <c r="AX5" s="172"/>
      <c r="AY5" s="172"/>
      <c r="AZ5" s="172"/>
      <c r="BA5" s="172"/>
      <c r="BB5" s="172"/>
    </row>
    <row r="6" spans="1:54" ht="12.75" customHeight="1" x14ac:dyDescent="0.3">
      <c r="C6" s="1" t="s">
        <v>496</v>
      </c>
      <c r="G6" s="75"/>
      <c r="H6" s="302"/>
      <c r="I6" s="318" t="s">
        <v>649</v>
      </c>
      <c r="J6" s="17"/>
      <c r="K6" s="17"/>
      <c r="L6" s="318" t="s">
        <v>650</v>
      </c>
      <c r="M6" s="17"/>
      <c r="N6" s="318" t="s">
        <v>651</v>
      </c>
      <c r="O6" s="18"/>
      <c r="R6" s="65"/>
      <c r="S6" s="66"/>
      <c r="T6" s="319" t="s">
        <v>649</v>
      </c>
      <c r="U6" s="66"/>
      <c r="V6" s="66"/>
      <c r="W6" s="319" t="s">
        <v>650</v>
      </c>
      <c r="X6" s="66"/>
      <c r="Y6" s="319" t="s">
        <v>651</v>
      </c>
      <c r="Z6" s="130"/>
      <c r="AI6" s="172"/>
      <c r="AJ6" s="172"/>
      <c r="AK6" s="3" t="s">
        <v>631</v>
      </c>
      <c r="AL6" s="1">
        <f>(D13/SQRT($C$16))</f>
        <v>15.811388300841896</v>
      </c>
      <c r="AM6" s="988">
        <v>1700</v>
      </c>
      <c r="AN6" s="172" t="s">
        <v>682</v>
      </c>
      <c r="AO6" s="172" t="s">
        <v>676</v>
      </c>
      <c r="AP6" s="1">
        <f>(D22/SQRT($C$25))</f>
        <v>17.392527130926084</v>
      </c>
      <c r="AR6" s="172" t="s">
        <v>682</v>
      </c>
      <c r="AS6" s="172" t="s">
        <v>676</v>
      </c>
      <c r="AV6" s="172"/>
      <c r="AW6" s="172"/>
      <c r="AX6" s="172"/>
      <c r="AY6" s="172"/>
      <c r="AZ6" s="172"/>
      <c r="BA6" s="172"/>
      <c r="BB6" s="172"/>
    </row>
    <row r="7" spans="1:54" ht="11.25" customHeight="1" x14ac:dyDescent="0.2">
      <c r="C7" s="1" t="s">
        <v>687</v>
      </c>
      <c r="G7" s="75"/>
      <c r="H7" s="302"/>
      <c r="I7" s="307">
        <f>K11</f>
        <v>31.981551549288351</v>
      </c>
      <c r="J7" s="17"/>
      <c r="K7" s="17"/>
      <c r="L7" s="78">
        <f>K12</f>
        <v>35.179706704217182</v>
      </c>
      <c r="M7" s="17"/>
      <c r="N7" s="78">
        <f>K13</f>
        <v>46.795494530951892</v>
      </c>
      <c r="O7" s="18"/>
      <c r="R7" s="65"/>
      <c r="S7" s="66"/>
      <c r="T7" s="307">
        <f>IF(M15,K11,"")</f>
        <v>31.981551549288351</v>
      </c>
      <c r="U7" s="225"/>
      <c r="V7" s="225"/>
      <c r="W7" s="307">
        <f>IF(M15,K12,"")</f>
        <v>35.179706704217182</v>
      </c>
      <c r="X7" s="309"/>
      <c r="Y7" s="79">
        <f>IF(M15,TINV(0.05,(C16-1))*J14/SQRT(C16),"")</f>
        <v>26.178028162274902</v>
      </c>
      <c r="Z7" s="130"/>
      <c r="AI7" s="172">
        <v>1</v>
      </c>
      <c r="AJ7" s="172">
        <v>2</v>
      </c>
      <c r="AK7" s="3" t="s">
        <v>666</v>
      </c>
      <c r="AL7" s="3">
        <f>C16-1</f>
        <v>39</v>
      </c>
      <c r="AM7" s="3"/>
      <c r="AN7" s="3">
        <f>SUM(AN9:AN1009)</f>
        <v>21.055337372424567</v>
      </c>
      <c r="AO7" s="311">
        <f>MAX(AO9:AO1009)</f>
        <v>0.15813983413185942</v>
      </c>
      <c r="AP7" s="3">
        <f>C25-1</f>
        <v>39</v>
      </c>
      <c r="AQ7" s="3"/>
      <c r="AR7" s="3">
        <f>SUM(AR9:AR1009)</f>
        <v>23.216357908609048</v>
      </c>
      <c r="AS7" s="311">
        <f>MAX(AS9:AS1009)</f>
        <v>0.1434200205368874</v>
      </c>
      <c r="AV7" s="172"/>
      <c r="AW7" s="172"/>
      <c r="AX7" s="172"/>
      <c r="AY7" s="172"/>
      <c r="AZ7" s="172"/>
      <c r="BA7" s="172"/>
      <c r="BB7" s="172"/>
    </row>
    <row r="8" spans="1:54" ht="11.25" customHeight="1" x14ac:dyDescent="0.2">
      <c r="G8" s="55"/>
      <c r="H8" s="56"/>
      <c r="I8" s="56"/>
      <c r="J8" s="56"/>
      <c r="K8" s="56"/>
      <c r="L8" s="56"/>
      <c r="M8" s="56"/>
      <c r="N8" s="56"/>
      <c r="O8" s="80"/>
      <c r="R8" s="67"/>
      <c r="S8" s="68"/>
      <c r="T8" s="68"/>
      <c r="U8" s="68"/>
      <c r="V8" s="68"/>
      <c r="W8" s="68"/>
      <c r="X8" s="68"/>
      <c r="Y8" s="308"/>
      <c r="Z8" s="134"/>
      <c r="AI8" s="172" t="s">
        <v>633</v>
      </c>
      <c r="AJ8" s="172" t="s">
        <v>633</v>
      </c>
      <c r="AK8" s="172" t="s">
        <v>632</v>
      </c>
      <c r="AL8" s="172" t="s">
        <v>661</v>
      </c>
      <c r="AM8" s="172" t="s">
        <v>663</v>
      </c>
      <c r="AN8" s="172" t="s">
        <v>677</v>
      </c>
      <c r="AO8" s="172" t="s">
        <v>674</v>
      </c>
      <c r="AP8" s="172" t="s">
        <v>662</v>
      </c>
      <c r="AQ8" s="172" t="s">
        <v>664</v>
      </c>
      <c r="AR8" s="172" t="s">
        <v>677</v>
      </c>
      <c r="AS8" s="172" t="s">
        <v>675</v>
      </c>
      <c r="AV8" s="172"/>
      <c r="AW8" s="172"/>
      <c r="AX8" s="172"/>
      <c r="AY8" s="172"/>
      <c r="AZ8" s="172"/>
      <c r="BA8" s="172"/>
      <c r="BB8" s="172"/>
    </row>
    <row r="9" spans="1:54" ht="11.25" customHeight="1" x14ac:dyDescent="0.2">
      <c r="A9" s="81">
        <v>1</v>
      </c>
      <c r="B9" s="299" t="s">
        <v>635</v>
      </c>
      <c r="C9" s="82"/>
      <c r="D9" s="82"/>
      <c r="E9" s="101"/>
      <c r="F9" s="57">
        <f>(D10+D19+D13+D22+C16+C25+T4)/10000</f>
        <v>4.4469999999999996E-2</v>
      </c>
      <c r="G9" s="57">
        <f t="shared" ref="G9:N9" si="0">$F$9</f>
        <v>4.4469999999999996E-2</v>
      </c>
      <c r="H9" s="57">
        <f t="shared" si="0"/>
        <v>4.4469999999999996E-2</v>
      </c>
      <c r="I9" s="57">
        <f t="shared" si="0"/>
        <v>4.4469999999999996E-2</v>
      </c>
      <c r="J9" s="57">
        <f t="shared" si="0"/>
        <v>4.4469999999999996E-2</v>
      </c>
      <c r="K9" s="57">
        <f t="shared" si="0"/>
        <v>4.4469999999999996E-2</v>
      </c>
      <c r="L9" s="57">
        <f t="shared" si="0"/>
        <v>4.4469999999999996E-2</v>
      </c>
      <c r="M9" s="57">
        <f t="shared" si="0"/>
        <v>4.4469999999999996E-2</v>
      </c>
      <c r="N9" s="57">
        <f t="shared" si="0"/>
        <v>4.4469999999999996E-2</v>
      </c>
      <c r="O9" s="57">
        <f t="shared" ref="O9:P24" si="1">$F$9</f>
        <v>4.4469999999999996E-2</v>
      </c>
      <c r="P9" s="57">
        <f t="shared" si="1"/>
        <v>4.4469999999999996E-2</v>
      </c>
      <c r="Q9" s="57">
        <f t="shared" ref="Q9:AA9" si="2">$F$9</f>
        <v>4.4469999999999996E-2</v>
      </c>
      <c r="R9" s="57">
        <f t="shared" si="2"/>
        <v>4.4469999999999996E-2</v>
      </c>
      <c r="S9" s="57">
        <f t="shared" si="2"/>
        <v>4.4469999999999996E-2</v>
      </c>
      <c r="T9" s="57">
        <f t="shared" si="2"/>
        <v>4.4469999999999996E-2</v>
      </c>
      <c r="U9" s="57">
        <f t="shared" si="2"/>
        <v>4.4469999999999996E-2</v>
      </c>
      <c r="V9" s="57">
        <f t="shared" si="2"/>
        <v>4.4469999999999996E-2</v>
      </c>
      <c r="W9" s="57">
        <f t="shared" si="2"/>
        <v>4.4469999999999996E-2</v>
      </c>
      <c r="X9" s="57">
        <f t="shared" si="2"/>
        <v>4.4469999999999996E-2</v>
      </c>
      <c r="Y9" s="57">
        <f t="shared" si="2"/>
        <v>4.4469999999999996E-2</v>
      </c>
      <c r="Z9" s="51">
        <f t="shared" si="2"/>
        <v>4.4469999999999996E-2</v>
      </c>
      <c r="AA9" s="51">
        <f t="shared" si="2"/>
        <v>4.4469999999999996E-2</v>
      </c>
      <c r="AI9" s="3" t="e">
        <f>IF($M$18,AI7+$AL$2,NA())</f>
        <v>#N/A</v>
      </c>
      <c r="AJ9" s="3" t="e">
        <f>IF($M$18,AJ7-$AL$2,NA())</f>
        <v>#N/A</v>
      </c>
      <c r="AK9" s="1">
        <f>AJ2</f>
        <v>0</v>
      </c>
      <c r="AL9" s="1">
        <f t="shared" ref="AL9:AL72" si="3">ABS(($AL$5-AK9)/$AL$6)</f>
        <v>3.1622776601683795</v>
      </c>
      <c r="AM9" s="1">
        <f>$AL$3*ABS((TDIST(AL9,$AL$7,1)-TDIST(AL9+$AL$1,$AL$7,1))/($AL$1))</f>
        <v>1.6502561404462684E-3</v>
      </c>
      <c r="AN9" s="1">
        <f>IF(($D$10&gt;$AJ$5)=($D$10&gt;AK9),AM9,0)</f>
        <v>0</v>
      </c>
      <c r="AO9" s="1">
        <f>AM9*$AN$5/$AN$7</f>
        <v>1.6459189580480703E-3</v>
      </c>
      <c r="AP9" s="1">
        <f t="shared" ref="AP9:AP72" si="4">ABS(($AP$5-AK9)/$AP$6)</f>
        <v>5.9795795755911181</v>
      </c>
      <c r="AQ9" s="1">
        <f>$AL$3*ABS((TDIST(AP9,$AP$7,1)-TDIST(AP9+$AL$1,$AP$7,1))/($AL$1))</f>
        <v>3.5369057551311298E-7</v>
      </c>
      <c r="AR9" s="1">
        <f>IF(($D$19&gt;$AJ$5)=($D$19&gt;AK9),AQ9,0)</f>
        <v>3.5369057551311298E-7</v>
      </c>
      <c r="AS9" s="1">
        <f>AQ9*$AN$5/$AR$7</f>
        <v>3.1992537826189867E-7</v>
      </c>
    </row>
    <row r="10" spans="1:54" ht="11.25" customHeight="1" x14ac:dyDescent="0.25">
      <c r="A10" s="83"/>
      <c r="B10" s="84" t="s">
        <v>493</v>
      </c>
      <c r="C10" s="85" t="s">
        <v>503</v>
      </c>
      <c r="D10" s="5">
        <f>AM2/10</f>
        <v>50</v>
      </c>
      <c r="E10" s="102"/>
      <c r="F10" s="57">
        <f t="shared" ref="F10:F37" si="5">$F$9</f>
        <v>4.4469999999999996E-2</v>
      </c>
      <c r="G10" s="10"/>
      <c r="H10" s="3"/>
      <c r="I10" s="1" t="s">
        <v>493</v>
      </c>
      <c r="J10" s="1" t="s">
        <v>490</v>
      </c>
      <c r="K10" s="1" t="s">
        <v>498</v>
      </c>
      <c r="L10" s="1" t="s">
        <v>493</v>
      </c>
      <c r="M10" s="3" t="s">
        <v>646</v>
      </c>
      <c r="N10" s="1">
        <f>(M26-M27)/((K11+K12)/2)</f>
        <v>0.39193006789203727</v>
      </c>
      <c r="O10" s="45"/>
      <c r="P10" s="57">
        <f t="shared" si="1"/>
        <v>4.4469999999999996E-2</v>
      </c>
      <c r="Y10"/>
      <c r="Z10" s="51"/>
      <c r="AA10" s="51">
        <f t="shared" ref="AA10:AA24" si="6">$F$9</f>
        <v>4.4469999999999996E-2</v>
      </c>
      <c r="AI10" s="3" t="e">
        <f t="shared" ref="AI10:AI73" si="7">IF($M$18,AI9,NA())</f>
        <v>#N/A</v>
      </c>
      <c r="AJ10" s="3" t="e">
        <f t="shared" ref="AJ10:AJ73" si="8">IF($M$18,AJ9,NA())</f>
        <v>#N/A</v>
      </c>
      <c r="AK10" s="1">
        <f>AK9+$AJ$4</f>
        <v>0.15</v>
      </c>
      <c r="AL10" s="1">
        <f t="shared" si="3"/>
        <v>3.1527908271878742</v>
      </c>
      <c r="AM10" s="1">
        <f t="shared" ref="AM10:AM73" si="9">$AL$3*ABS((TDIST(AL10,$AL$7,1)-TDIST(AL10+$AL$1,$AL$7,1))/($AL$1))</f>
        <v>1.6911327280731692E-3</v>
      </c>
      <c r="AN10" s="1">
        <f t="shared" ref="AN10:AN73" si="10">IF(($D$10&gt;$AJ$5)=($D$10&gt;AK10),AM10,0)</f>
        <v>0</v>
      </c>
      <c r="AO10" s="1">
        <f t="shared" ref="AO10:AO73" si="11">AM10*$AN$5/$AN$7</f>
        <v>1.6866881143423381E-3</v>
      </c>
      <c r="AP10" s="1">
        <f t="shared" si="4"/>
        <v>5.9709551819724771</v>
      </c>
      <c r="AQ10" s="1">
        <f t="shared" ref="AQ10:AQ73" si="12">$AL$3*ABS((TDIST(AP10,$AP$7,1)-TDIST(AP10+$AL$1,$AP$7,1))/($AL$1))</f>
        <v>3.6358594780781125E-7</v>
      </c>
      <c r="AR10" s="1">
        <f t="shared" ref="AR10:AR73" si="13">IF(($D$19&gt;$AJ$5)=($D$19&gt;AK10),AQ10,0)</f>
        <v>3.6358594780781125E-7</v>
      </c>
      <c r="AS10" s="1">
        <f t="shared" ref="AS10:AS73" si="14">AQ10*$AN$5/$AR$7</f>
        <v>3.2887608530245503E-7</v>
      </c>
    </row>
    <row r="11" spans="1:54" ht="11.25" customHeight="1" x14ac:dyDescent="0.2">
      <c r="A11" s="83"/>
      <c r="B11" s="84"/>
      <c r="C11" s="84"/>
      <c r="D11" s="86"/>
      <c r="E11" s="102"/>
      <c r="F11" s="57">
        <f t="shared" si="5"/>
        <v>4.4469999999999996E-2</v>
      </c>
      <c r="H11" s="3" t="s">
        <v>648</v>
      </c>
      <c r="I11" s="1">
        <f>D10</f>
        <v>50</v>
      </c>
      <c r="K11" s="1">
        <f>(D13/SQRT($C$16))*TINV(0.05,$C$16-1)</f>
        <v>31.981551549288351</v>
      </c>
      <c r="L11" s="1">
        <f>IF($M$15,I11,NA())</f>
        <v>50</v>
      </c>
      <c r="N11" s="57"/>
      <c r="O11" s="57"/>
      <c r="P11" s="57">
        <f t="shared" si="1"/>
        <v>4.4469999999999996E-2</v>
      </c>
      <c r="Y11" s="57"/>
      <c r="Z11" s="51"/>
      <c r="AA11" s="51">
        <f t="shared" si="6"/>
        <v>4.4469999999999996E-2</v>
      </c>
      <c r="AB11" s="57"/>
      <c r="AC11" s="57"/>
      <c r="AD11" s="57"/>
      <c r="AE11" s="57"/>
      <c r="AF11" s="57"/>
      <c r="AG11" s="57"/>
      <c r="AH11" s="57"/>
      <c r="AI11" s="3" t="e">
        <f t="shared" si="7"/>
        <v>#N/A</v>
      </c>
      <c r="AJ11" s="3" t="e">
        <f t="shared" si="8"/>
        <v>#N/A</v>
      </c>
      <c r="AK11" s="1">
        <f t="shared" ref="AK11:AK29" si="15">AK10+$AJ$4</f>
        <v>0.3</v>
      </c>
      <c r="AL11" s="1">
        <f t="shared" si="3"/>
        <v>3.1433039942073693</v>
      </c>
      <c r="AM11" s="1">
        <f t="shared" si="9"/>
        <v>1.7329461282199893E-3</v>
      </c>
      <c r="AN11" s="1">
        <f t="shared" si="10"/>
        <v>0</v>
      </c>
      <c r="AO11" s="1">
        <f t="shared" si="11"/>
        <v>1.7283916210376624E-3</v>
      </c>
      <c r="AP11" s="1">
        <f t="shared" si="4"/>
        <v>5.9623307883538361</v>
      </c>
      <c r="AQ11" s="1">
        <f t="shared" si="12"/>
        <v>3.737574996969419E-7</v>
      </c>
      <c r="AR11" s="1">
        <f t="shared" si="13"/>
        <v>3.737574996969419E-7</v>
      </c>
      <c r="AS11" s="1">
        <f t="shared" si="14"/>
        <v>3.3807660635371502E-7</v>
      </c>
    </row>
    <row r="12" spans="1:54" ht="11.25" customHeight="1" x14ac:dyDescent="0.2">
      <c r="A12" s="83"/>
      <c r="B12" s="84"/>
      <c r="C12" s="84"/>
      <c r="D12" s="84"/>
      <c r="E12" s="102"/>
      <c r="F12" s="57">
        <f t="shared" si="5"/>
        <v>4.4469999999999996E-2</v>
      </c>
      <c r="H12" s="3" t="s">
        <v>499</v>
      </c>
      <c r="I12" s="1">
        <f>D19</f>
        <v>104</v>
      </c>
      <c r="K12" s="1">
        <f>(D22/SQRT($C$25))*TINV(0.05,$C$25-1)</f>
        <v>35.179706704217182</v>
      </c>
      <c r="L12" s="1">
        <f>IF($M$15,I12,NA())</f>
        <v>104</v>
      </c>
      <c r="N12" s="57"/>
      <c r="P12" s="57">
        <f t="shared" si="1"/>
        <v>4.4469999999999996E-2</v>
      </c>
      <c r="Z12" s="51"/>
      <c r="AA12" s="51">
        <f t="shared" si="6"/>
        <v>4.4469999999999996E-2</v>
      </c>
      <c r="AI12" s="3" t="e">
        <f t="shared" si="7"/>
        <v>#N/A</v>
      </c>
      <c r="AJ12" s="3" t="e">
        <f t="shared" si="8"/>
        <v>#N/A</v>
      </c>
      <c r="AK12" s="1">
        <f t="shared" si="15"/>
        <v>0.44999999999999996</v>
      </c>
      <c r="AL12" s="1">
        <f t="shared" si="3"/>
        <v>3.1338171612268639</v>
      </c>
      <c r="AM12" s="1">
        <f t="shared" si="9"/>
        <v>1.7757154571404477E-3</v>
      </c>
      <c r="AN12" s="1">
        <f t="shared" si="10"/>
        <v>0</v>
      </c>
      <c r="AO12" s="1">
        <f t="shared" si="11"/>
        <v>1.7710485441466651E-3</v>
      </c>
      <c r="AP12" s="1">
        <f t="shared" si="4"/>
        <v>5.9537063947351951</v>
      </c>
      <c r="AQ12" s="1">
        <f t="shared" si="12"/>
        <v>3.8421289758888965E-7</v>
      </c>
      <c r="AR12" s="1">
        <f t="shared" si="13"/>
        <v>3.8421289758888965E-7</v>
      </c>
      <c r="AS12" s="1">
        <f t="shared" si="14"/>
        <v>3.4753387594764581E-7</v>
      </c>
    </row>
    <row r="13" spans="1:54" ht="11.25" customHeight="1" x14ac:dyDescent="0.25">
      <c r="A13" s="83"/>
      <c r="B13" s="84" t="s">
        <v>490</v>
      </c>
      <c r="C13" s="85" t="s">
        <v>636</v>
      </c>
      <c r="D13" s="5">
        <f>AM3/5</f>
        <v>100</v>
      </c>
      <c r="E13" s="102"/>
      <c r="F13" s="57">
        <f t="shared" si="5"/>
        <v>4.4469999999999996E-2</v>
      </c>
      <c r="H13" s="3" t="str">
        <f>IF(M16,"Difference  ","")</f>
        <v/>
      </c>
      <c r="I13" s="3" t="s">
        <v>500</v>
      </c>
      <c r="J13" s="1">
        <f>SQRT((D13^2*(C16-1)+D22^2*(C25-1))/(C16+C25-2))</f>
        <v>105.11898020814318</v>
      </c>
      <c r="K13" s="1">
        <f>J13*TINV(0.05,(C16+$C$25-2))*SQRT(1/$C$25+1/C16)</f>
        <v>46.795494530951892</v>
      </c>
      <c r="N13" s="57"/>
      <c r="P13" s="57">
        <f t="shared" si="1"/>
        <v>4.4469999999999996E-2</v>
      </c>
      <c r="Z13" s="51"/>
      <c r="AA13" s="51">
        <f t="shared" si="6"/>
        <v>4.4469999999999996E-2</v>
      </c>
      <c r="AB13" s="3"/>
      <c r="AC13" s="3"/>
      <c r="AD13" s="3"/>
      <c r="AE13" s="3"/>
      <c r="AF13" s="3"/>
      <c r="AG13" s="3"/>
      <c r="AH13" s="3"/>
      <c r="AI13" s="3" t="e">
        <f t="shared" si="7"/>
        <v>#N/A</v>
      </c>
      <c r="AJ13" s="3" t="e">
        <f t="shared" si="8"/>
        <v>#N/A</v>
      </c>
      <c r="AK13" s="1">
        <f t="shared" si="15"/>
        <v>0.6</v>
      </c>
      <c r="AL13" s="1">
        <f t="shared" si="3"/>
        <v>3.1243303282463586</v>
      </c>
      <c r="AM13" s="1">
        <f t="shared" si="9"/>
        <v>1.8194601489850137E-3</v>
      </c>
      <c r="AN13" s="1">
        <f t="shared" si="10"/>
        <v>0</v>
      </c>
      <c r="AO13" s="1">
        <f t="shared" si="11"/>
        <v>1.8146782667432262E-3</v>
      </c>
      <c r="AP13" s="1">
        <f t="shared" si="4"/>
        <v>5.9450820011165542</v>
      </c>
      <c r="AQ13" s="1">
        <f t="shared" si="12"/>
        <v>3.9496001871642221E-7</v>
      </c>
      <c r="AR13" s="1">
        <f t="shared" si="13"/>
        <v>3.9496001871642221E-7</v>
      </c>
      <c r="AS13" s="1">
        <f t="shared" si="14"/>
        <v>3.5725501931417246E-7</v>
      </c>
    </row>
    <row r="14" spans="1:54" ht="11.25" customHeight="1" x14ac:dyDescent="0.2">
      <c r="A14" s="83"/>
      <c r="B14" s="84"/>
      <c r="C14" s="84"/>
      <c r="D14" s="86"/>
      <c r="E14" s="102"/>
      <c r="F14" s="57">
        <f t="shared" si="5"/>
        <v>4.4469999999999996E-2</v>
      </c>
      <c r="H14" s="3"/>
      <c r="I14" s="3" t="s">
        <v>668</v>
      </c>
      <c r="J14" s="1">
        <f>SQRT(D13^2+D22^2-2*T4*D13*D22)</f>
        <v>81.853527718724493</v>
      </c>
      <c r="N14" s="57"/>
      <c r="P14" s="57">
        <f t="shared" si="1"/>
        <v>4.4469999999999996E-2</v>
      </c>
      <c r="Z14" s="51"/>
      <c r="AA14" s="51">
        <f t="shared" si="6"/>
        <v>4.4469999999999996E-2</v>
      </c>
      <c r="AB14" s="3"/>
      <c r="AC14" s="3"/>
      <c r="AD14" s="3"/>
      <c r="AE14" s="3"/>
      <c r="AF14" s="3"/>
      <c r="AG14" s="3"/>
      <c r="AH14" s="3"/>
      <c r="AI14" s="3" t="e">
        <f t="shared" si="7"/>
        <v>#N/A</v>
      </c>
      <c r="AJ14" s="3" t="e">
        <f t="shared" si="8"/>
        <v>#N/A</v>
      </c>
      <c r="AK14" s="1">
        <f t="shared" si="15"/>
        <v>0.75</v>
      </c>
      <c r="AL14" s="1">
        <f t="shared" si="3"/>
        <v>3.1148434952658537</v>
      </c>
      <c r="AM14" s="1">
        <f t="shared" si="9"/>
        <v>1.8641999608402793E-3</v>
      </c>
      <c r="AN14" s="1">
        <f t="shared" si="10"/>
        <v>0</v>
      </c>
      <c r="AO14" s="1">
        <f t="shared" si="11"/>
        <v>1.8593004939886112E-3</v>
      </c>
      <c r="AP14" s="1">
        <f t="shared" si="4"/>
        <v>5.9364576074979132</v>
      </c>
      <c r="AQ14" s="1">
        <f t="shared" si="12"/>
        <v>4.0600695707439124E-7</v>
      </c>
      <c r="AR14" s="1">
        <f t="shared" si="13"/>
        <v>4.0600695707439124E-7</v>
      </c>
      <c r="AS14" s="1">
        <f t="shared" si="14"/>
        <v>3.6724735775203424E-7</v>
      </c>
    </row>
    <row r="15" spans="1:54" ht="11.25" customHeight="1" x14ac:dyDescent="0.2">
      <c r="A15" s="124"/>
      <c r="B15" s="84"/>
      <c r="C15" s="84"/>
      <c r="D15" s="84"/>
      <c r="E15" s="102"/>
      <c r="F15" s="57">
        <f t="shared" si="5"/>
        <v>4.4469999999999996E-2</v>
      </c>
      <c r="H15" s="1" t="s">
        <v>492</v>
      </c>
      <c r="L15" s="3" t="s">
        <v>669</v>
      </c>
      <c r="M15" s="1" t="b">
        <f>(C16=C25)</f>
        <v>1</v>
      </c>
      <c r="N15" s="57"/>
      <c r="P15" s="57">
        <f t="shared" si="1"/>
        <v>4.4469999999999996E-2</v>
      </c>
      <c r="Z15" s="51"/>
      <c r="AA15" s="51">
        <f t="shared" si="6"/>
        <v>4.4469999999999996E-2</v>
      </c>
      <c r="AI15" s="3" t="e">
        <f t="shared" si="7"/>
        <v>#N/A</v>
      </c>
      <c r="AJ15" s="3" t="e">
        <f t="shared" si="8"/>
        <v>#N/A</v>
      </c>
      <c r="AK15" s="1">
        <f t="shared" si="15"/>
        <v>0.9</v>
      </c>
      <c r="AL15" s="1">
        <f t="shared" si="3"/>
        <v>3.1053566622853488</v>
      </c>
      <c r="AM15" s="1">
        <f t="shared" si="9"/>
        <v>1.9099549749060363E-3</v>
      </c>
      <c r="AN15" s="1">
        <f t="shared" si="10"/>
        <v>0</v>
      </c>
      <c r="AO15" s="1">
        <f t="shared" si="11"/>
        <v>1.9049352553028277E-3</v>
      </c>
      <c r="AP15" s="1">
        <f t="shared" si="4"/>
        <v>5.9278332138792713</v>
      </c>
      <c r="AQ15" s="1">
        <f t="shared" si="12"/>
        <v>4.1736202888521245E-7</v>
      </c>
      <c r="AR15" s="1">
        <f t="shared" si="13"/>
        <v>4.1736202888521245E-7</v>
      </c>
      <c r="AS15" s="1">
        <f t="shared" si="14"/>
        <v>3.7751841357250043E-7</v>
      </c>
    </row>
    <row r="16" spans="1:54" ht="11.25" customHeight="1" x14ac:dyDescent="0.25">
      <c r="A16" s="124"/>
      <c r="B16" s="85" t="s">
        <v>637</v>
      </c>
      <c r="C16" s="91">
        <v>40</v>
      </c>
      <c r="D16" s="84"/>
      <c r="E16" s="102"/>
      <c r="F16" s="57">
        <f t="shared" si="5"/>
        <v>4.4469999999999996E-2</v>
      </c>
      <c r="H16" s="1">
        <v>1</v>
      </c>
      <c r="I16" s="1">
        <f>I11</f>
        <v>50</v>
      </c>
      <c r="J16" s="1">
        <f>IF($M$15,H16,NA())</f>
        <v>1</v>
      </c>
      <c r="L16" s="3" t="s">
        <v>640</v>
      </c>
      <c r="M16" s="10" t="b">
        <v>0</v>
      </c>
      <c r="N16" s="57"/>
      <c r="P16" s="57">
        <f t="shared" si="1"/>
        <v>4.4469999999999996E-2</v>
      </c>
      <c r="Z16" s="51"/>
      <c r="AA16" s="51">
        <f t="shared" si="6"/>
        <v>4.4469999999999996E-2</v>
      </c>
      <c r="AI16" s="3" t="e">
        <f t="shared" si="7"/>
        <v>#N/A</v>
      </c>
      <c r="AJ16" s="3" t="e">
        <f t="shared" si="8"/>
        <v>#N/A</v>
      </c>
      <c r="AK16" s="1">
        <f t="shared" si="15"/>
        <v>1.05</v>
      </c>
      <c r="AL16" s="1">
        <f t="shared" si="3"/>
        <v>3.0958698293048434</v>
      </c>
      <c r="AM16" s="1">
        <f t="shared" si="9"/>
        <v>1.9567456030229052E-3</v>
      </c>
      <c r="AN16" s="1">
        <f t="shared" si="10"/>
        <v>0</v>
      </c>
      <c r="AO16" s="1">
        <f t="shared" si="11"/>
        <v>1.9516029088803538E-3</v>
      </c>
      <c r="AP16" s="1">
        <f t="shared" si="4"/>
        <v>5.9192088202606312</v>
      </c>
      <c r="AQ16" s="1">
        <f t="shared" si="12"/>
        <v>4.2903377911678411E-7</v>
      </c>
      <c r="AR16" s="1">
        <f t="shared" si="13"/>
        <v>4.2903377911678411E-7</v>
      </c>
      <c r="AS16" s="1">
        <f t="shared" si="14"/>
        <v>3.8807591599505372E-7</v>
      </c>
    </row>
    <row r="17" spans="1:45" ht="11.25" customHeight="1" x14ac:dyDescent="0.2">
      <c r="A17" s="126"/>
      <c r="B17" s="87"/>
      <c r="C17" s="87"/>
      <c r="D17" s="87"/>
      <c r="E17" s="103"/>
      <c r="F17" s="57">
        <f t="shared" si="5"/>
        <v>4.4469999999999996E-2</v>
      </c>
      <c r="H17" s="3" t="e">
        <f>$H$26</f>
        <v>#N/A</v>
      </c>
      <c r="I17" s="1">
        <f>I16</f>
        <v>50</v>
      </c>
      <c r="J17" s="1" t="e">
        <f>IF($M$15,H17,NA())</f>
        <v>#N/A</v>
      </c>
      <c r="L17" s="3" t="s">
        <v>641</v>
      </c>
      <c r="M17" s="10" t="b">
        <v>0</v>
      </c>
      <c r="N17" s="57"/>
      <c r="P17" s="57">
        <f t="shared" si="1"/>
        <v>4.4469999999999996E-2</v>
      </c>
      <c r="Z17" s="51"/>
      <c r="AA17" s="51">
        <f t="shared" si="6"/>
        <v>4.4469999999999996E-2</v>
      </c>
      <c r="AI17" s="3" t="e">
        <f t="shared" si="7"/>
        <v>#N/A</v>
      </c>
      <c r="AJ17" s="3" t="e">
        <f t="shared" si="8"/>
        <v>#N/A</v>
      </c>
      <c r="AK17" s="1">
        <f t="shared" si="15"/>
        <v>1.2</v>
      </c>
      <c r="AL17" s="1">
        <f t="shared" si="3"/>
        <v>3.0863829963243381</v>
      </c>
      <c r="AM17" s="1">
        <f t="shared" si="9"/>
        <v>2.0045925879213361E-3</v>
      </c>
      <c r="AN17" s="1">
        <f t="shared" si="10"/>
        <v>0</v>
      </c>
      <c r="AO17" s="1">
        <f t="shared" si="11"/>
        <v>1.9993241429358565E-3</v>
      </c>
      <c r="AP17" s="1">
        <f t="shared" si="4"/>
        <v>5.9105844266419894</v>
      </c>
      <c r="AQ17" s="1">
        <f t="shared" si="12"/>
        <v>4.4103098741171768E-7</v>
      </c>
      <c r="AR17" s="1">
        <f t="shared" si="13"/>
        <v>4.4103098741171768E-7</v>
      </c>
      <c r="AS17" s="1">
        <f t="shared" si="14"/>
        <v>3.989278065105846E-7</v>
      </c>
    </row>
    <row r="18" spans="1:45" ht="11.25" customHeight="1" x14ac:dyDescent="0.2">
      <c r="A18" s="6">
        <v>2</v>
      </c>
      <c r="B18" s="300" t="s">
        <v>499</v>
      </c>
      <c r="C18" s="2"/>
      <c r="D18" s="2"/>
      <c r="E18" s="297"/>
      <c r="F18" s="57">
        <f t="shared" si="5"/>
        <v>4.4469999999999996E-2</v>
      </c>
      <c r="H18" s="1">
        <v>2</v>
      </c>
      <c r="I18" s="1">
        <f>I12</f>
        <v>104</v>
      </c>
      <c r="J18" s="1">
        <f>IF($M$15,H18,NA())</f>
        <v>2</v>
      </c>
      <c r="L18" s="3" t="s">
        <v>642</v>
      </c>
      <c r="M18" s="10" t="b">
        <v>0</v>
      </c>
      <c r="N18" s="57"/>
      <c r="P18" s="57">
        <f t="shared" si="1"/>
        <v>4.4469999999999996E-2</v>
      </c>
      <c r="Z18" s="51"/>
      <c r="AA18" s="51">
        <f t="shared" si="6"/>
        <v>4.4469999999999996E-2</v>
      </c>
      <c r="AI18" s="3" t="e">
        <f t="shared" si="7"/>
        <v>#N/A</v>
      </c>
      <c r="AJ18" s="3" t="e">
        <f t="shared" si="8"/>
        <v>#N/A</v>
      </c>
      <c r="AK18" s="1">
        <f t="shared" si="15"/>
        <v>1.3499999999999999</v>
      </c>
      <c r="AL18" s="1">
        <f t="shared" si="3"/>
        <v>3.0768961633438332</v>
      </c>
      <c r="AM18" s="1">
        <f t="shared" si="9"/>
        <v>2.0535170079487297E-3</v>
      </c>
      <c r="AN18" s="1">
        <f t="shared" si="10"/>
        <v>0</v>
      </c>
      <c r="AO18" s="1">
        <f t="shared" si="11"/>
        <v>2.0481199804188899E-3</v>
      </c>
      <c r="AP18" s="1">
        <f t="shared" si="4"/>
        <v>5.9019600330233493</v>
      </c>
      <c r="AQ18" s="1">
        <f t="shared" si="12"/>
        <v>4.533626743871454E-7</v>
      </c>
      <c r="AR18" s="1">
        <f t="shared" si="13"/>
        <v>4.533626743871454E-7</v>
      </c>
      <c r="AS18" s="1">
        <f t="shared" si="14"/>
        <v>4.1008224457978549E-7</v>
      </c>
    </row>
    <row r="19" spans="1:45" ht="11.25" customHeight="1" x14ac:dyDescent="0.3">
      <c r="A19" s="7"/>
      <c r="B19" s="8" t="s">
        <v>493</v>
      </c>
      <c r="C19" s="69" t="s">
        <v>638</v>
      </c>
      <c r="D19" s="5">
        <f>AM4/10</f>
        <v>104</v>
      </c>
      <c r="E19" s="9"/>
      <c r="F19" s="57">
        <f t="shared" si="5"/>
        <v>4.4469999999999996E-2</v>
      </c>
      <c r="H19" s="3" t="e">
        <f>$H$26</f>
        <v>#N/A</v>
      </c>
      <c r="I19" s="1">
        <f>I18</f>
        <v>104</v>
      </c>
      <c r="J19" s="1" t="e">
        <f>IF($M$15,H19,NA())</f>
        <v>#N/A</v>
      </c>
      <c r="K19" s="1">
        <v>1</v>
      </c>
      <c r="M19" s="3" t="s">
        <v>643</v>
      </c>
      <c r="P19" s="57">
        <f t="shared" si="1"/>
        <v>4.4469999999999996E-2</v>
      </c>
      <c r="Z19" s="51"/>
      <c r="AA19" s="51">
        <f t="shared" si="6"/>
        <v>4.4469999999999996E-2</v>
      </c>
      <c r="AI19" s="3" t="e">
        <f t="shared" si="7"/>
        <v>#N/A</v>
      </c>
      <c r="AJ19" s="3" t="e">
        <f t="shared" si="8"/>
        <v>#N/A</v>
      </c>
      <c r="AK19" s="1">
        <f t="shared" si="15"/>
        <v>1.4999999999999998</v>
      </c>
      <c r="AL19" s="1">
        <f t="shared" si="3"/>
        <v>3.0674093303633279</v>
      </c>
      <c r="AM19" s="1">
        <f t="shared" si="9"/>
        <v>2.1035402783531332E-3</v>
      </c>
      <c r="AN19" s="1">
        <f t="shared" si="10"/>
        <v>0</v>
      </c>
      <c r="AO19" s="1">
        <f t="shared" si="11"/>
        <v>2.0980117802942154E-3</v>
      </c>
      <c r="AP19" s="1">
        <f t="shared" si="4"/>
        <v>5.8933356394047083</v>
      </c>
      <c r="AQ19" s="1">
        <f t="shared" si="12"/>
        <v>4.6603810838980798E-7</v>
      </c>
      <c r="AR19" s="1">
        <f t="shared" si="13"/>
        <v>4.6603810838980798E-7</v>
      </c>
      <c r="AS19" s="1">
        <f t="shared" si="14"/>
        <v>4.2154761374336171E-7</v>
      </c>
    </row>
    <row r="20" spans="1:45" ht="11.25" customHeight="1" x14ac:dyDescent="0.2">
      <c r="A20" s="7"/>
      <c r="B20" s="8"/>
      <c r="C20" s="50"/>
      <c r="D20" s="49"/>
      <c r="E20" s="9"/>
      <c r="F20" s="57">
        <f t="shared" si="5"/>
        <v>4.4469999999999996E-2</v>
      </c>
      <c r="K20" s="1">
        <v>2</v>
      </c>
      <c r="M20" s="1">
        <v>2.5</v>
      </c>
      <c r="N20" s="1">
        <v>6</v>
      </c>
      <c r="P20" s="57">
        <f t="shared" si="1"/>
        <v>4.4469999999999996E-2</v>
      </c>
      <c r="Z20" s="51"/>
      <c r="AA20" s="51">
        <f t="shared" si="6"/>
        <v>4.4469999999999996E-2</v>
      </c>
      <c r="AI20" s="3" t="e">
        <f t="shared" si="7"/>
        <v>#N/A</v>
      </c>
      <c r="AJ20" s="3" t="e">
        <f t="shared" si="8"/>
        <v>#N/A</v>
      </c>
      <c r="AK20" s="1">
        <f t="shared" si="15"/>
        <v>1.6499999999999997</v>
      </c>
      <c r="AL20" s="1">
        <f t="shared" si="3"/>
        <v>3.057922497382823</v>
      </c>
      <c r="AM20" s="1">
        <f t="shared" si="9"/>
        <v>2.1546841561317915E-3</v>
      </c>
      <c r="AN20" s="1">
        <f t="shared" si="10"/>
        <v>0</v>
      </c>
      <c r="AO20" s="1">
        <f t="shared" si="11"/>
        <v>2.1490212423776129E-3</v>
      </c>
      <c r="AP20" s="1">
        <f t="shared" si="4"/>
        <v>5.8847112457860664</v>
      </c>
      <c r="AQ20" s="1">
        <f t="shared" si="12"/>
        <v>4.7906681193562263E-7</v>
      </c>
      <c r="AR20" s="1">
        <f t="shared" si="13"/>
        <v>4.7906681193562263E-7</v>
      </c>
      <c r="AS20" s="1">
        <f t="shared" si="14"/>
        <v>4.3333252744684364E-7</v>
      </c>
    </row>
    <row r="21" spans="1:45" ht="11.25" customHeight="1" x14ac:dyDescent="0.2">
      <c r="A21" s="7"/>
      <c r="B21" s="8"/>
      <c r="C21" s="8"/>
      <c r="D21" s="8"/>
      <c r="E21" s="9"/>
      <c r="F21" s="57">
        <f t="shared" si="5"/>
        <v>4.4469999999999996E-2</v>
      </c>
      <c r="H21" s="1" t="s">
        <v>501</v>
      </c>
      <c r="J21" s="1" t="s">
        <v>668</v>
      </c>
      <c r="M21" s="1">
        <v>2.8</v>
      </c>
      <c r="N21" s="1">
        <f>N20</f>
        <v>6</v>
      </c>
      <c r="P21" s="57">
        <f t="shared" si="1"/>
        <v>4.4469999999999996E-2</v>
      </c>
      <c r="Z21" s="51"/>
      <c r="AA21" s="51">
        <f t="shared" si="6"/>
        <v>4.4469999999999996E-2</v>
      </c>
      <c r="AI21" s="3" t="e">
        <f t="shared" si="7"/>
        <v>#N/A</v>
      </c>
      <c r="AJ21" s="3" t="e">
        <f t="shared" si="8"/>
        <v>#N/A</v>
      </c>
      <c r="AK21" s="1">
        <f t="shared" si="15"/>
        <v>1.7999999999999996</v>
      </c>
      <c r="AL21" s="1">
        <f t="shared" si="3"/>
        <v>3.0484356644023181</v>
      </c>
      <c r="AM21" s="1">
        <f t="shared" si="9"/>
        <v>2.2069707423730263E-3</v>
      </c>
      <c r="AN21" s="1">
        <f t="shared" si="10"/>
        <v>0</v>
      </c>
      <c r="AO21" s="1">
        <f t="shared" si="11"/>
        <v>2.201170409671601E-3</v>
      </c>
      <c r="AP21" s="1">
        <f t="shared" si="4"/>
        <v>5.8760868521674263</v>
      </c>
      <c r="AQ21" s="1">
        <f t="shared" si="12"/>
        <v>4.9245856892640374E-7</v>
      </c>
      <c r="AR21" s="1">
        <f t="shared" si="13"/>
        <v>4.9245856892640374E-7</v>
      </c>
      <c r="AS21" s="1">
        <f t="shared" si="14"/>
        <v>4.4544583556836079E-7</v>
      </c>
    </row>
    <row r="22" spans="1:45" ht="11.25" customHeight="1" x14ac:dyDescent="0.3">
      <c r="A22" s="7"/>
      <c r="B22" s="8" t="s">
        <v>490</v>
      </c>
      <c r="C22" s="69" t="s">
        <v>671</v>
      </c>
      <c r="D22" s="5">
        <f>AM5/5</f>
        <v>110</v>
      </c>
      <c r="E22" s="9"/>
      <c r="F22" s="57">
        <f t="shared" si="5"/>
        <v>4.4469999999999996E-2</v>
      </c>
      <c r="H22" s="1" t="e">
        <f>IF(M16,2.8,NA())</f>
        <v>#N/A</v>
      </c>
      <c r="I22" s="1">
        <f>I12</f>
        <v>104</v>
      </c>
      <c r="J22" s="1" t="e">
        <f>IF(AND(M15,M16),2.8,NA())</f>
        <v>#N/A</v>
      </c>
      <c r="M22" s="1">
        <v>2.5</v>
      </c>
      <c r="N22" s="1">
        <f>N21</f>
        <v>6</v>
      </c>
      <c r="P22" s="57">
        <f t="shared" si="1"/>
        <v>4.4469999999999996E-2</v>
      </c>
      <c r="Z22" s="51"/>
      <c r="AA22" s="51">
        <f t="shared" si="6"/>
        <v>4.4469999999999996E-2</v>
      </c>
      <c r="AI22" s="3" t="e">
        <f t="shared" si="7"/>
        <v>#N/A</v>
      </c>
      <c r="AJ22" s="3" t="e">
        <f t="shared" si="8"/>
        <v>#N/A</v>
      </c>
      <c r="AK22" s="1">
        <f t="shared" si="15"/>
        <v>1.9499999999999995</v>
      </c>
      <c r="AL22" s="1">
        <f t="shared" si="3"/>
        <v>3.0389488314218123</v>
      </c>
      <c r="AM22" s="1">
        <f t="shared" si="9"/>
        <v>2.2604224836179905E-3</v>
      </c>
      <c r="AN22" s="1">
        <f t="shared" si="10"/>
        <v>0</v>
      </c>
      <c r="AO22" s="1">
        <f t="shared" si="11"/>
        <v>2.2544816697236164E-3</v>
      </c>
      <c r="AP22" s="1">
        <f t="shared" si="4"/>
        <v>5.8674624585487845</v>
      </c>
      <c r="AQ22" s="1">
        <f t="shared" si="12"/>
        <v>5.0622343122283859E-7</v>
      </c>
      <c r="AR22" s="1">
        <f t="shared" si="13"/>
        <v>5.0622343122283859E-7</v>
      </c>
      <c r="AS22" s="1">
        <f t="shared" si="14"/>
        <v>4.5789663036412601E-7</v>
      </c>
    </row>
    <row r="23" spans="1:45" ht="11.25" customHeight="1" x14ac:dyDescent="0.2">
      <c r="A23" s="7"/>
      <c r="B23" s="8"/>
      <c r="C23" s="50"/>
      <c r="D23" s="49"/>
      <c r="E23" s="9"/>
      <c r="F23" s="57">
        <f t="shared" si="5"/>
        <v>4.4469999999999996E-2</v>
      </c>
      <c r="H23" s="46" t="s">
        <v>644</v>
      </c>
      <c r="M23" s="1">
        <v>2.76</v>
      </c>
      <c r="N23" s="1">
        <f>N22</f>
        <v>6</v>
      </c>
      <c r="P23" s="57">
        <f t="shared" si="1"/>
        <v>4.4469999999999996E-2</v>
      </c>
      <c r="Z23" s="51"/>
      <c r="AA23" s="51">
        <f t="shared" si="6"/>
        <v>4.4469999999999996E-2</v>
      </c>
      <c r="AI23" s="3" t="e">
        <f t="shared" si="7"/>
        <v>#N/A</v>
      </c>
      <c r="AJ23" s="3" t="e">
        <f t="shared" si="8"/>
        <v>#N/A</v>
      </c>
      <c r="AK23" s="1">
        <f t="shared" si="15"/>
        <v>2.0999999999999996</v>
      </c>
      <c r="AL23" s="1">
        <f t="shared" si="3"/>
        <v>3.0294619984413074</v>
      </c>
      <c r="AM23" s="1">
        <f t="shared" si="9"/>
        <v>2.3150621776372999E-3</v>
      </c>
      <c r="AN23" s="1">
        <f t="shared" si="10"/>
        <v>0</v>
      </c>
      <c r="AO23" s="1">
        <f t="shared" si="11"/>
        <v>2.3089777603874616E-3</v>
      </c>
      <c r="AP23" s="1">
        <f t="shared" si="4"/>
        <v>5.8588380649301444</v>
      </c>
      <c r="AQ23" s="1">
        <f t="shared" si="12"/>
        <v>5.2037172615131667E-7</v>
      </c>
      <c r="AR23" s="1">
        <f t="shared" si="13"/>
        <v>5.2037172615131667E-7</v>
      </c>
      <c r="AS23" s="1">
        <f t="shared" si="14"/>
        <v>4.7069425325862252E-7</v>
      </c>
    </row>
    <row r="24" spans="1:45" ht="11.25" customHeight="1" x14ac:dyDescent="0.2">
      <c r="A24" s="169"/>
      <c r="B24" s="8"/>
      <c r="C24" s="8"/>
      <c r="D24" s="8"/>
      <c r="E24" s="9"/>
      <c r="F24" s="57">
        <f t="shared" si="5"/>
        <v>4.4469999999999996E-2</v>
      </c>
      <c r="H24" s="1" t="e">
        <f>IF(M16,3.15,NA())</f>
        <v>#N/A</v>
      </c>
      <c r="I24" s="1">
        <f>$I$32+80</f>
        <v>130</v>
      </c>
      <c r="J24" s="1" t="e">
        <f>IF(AND(M15,M16),3.15,NA())</f>
        <v>#N/A</v>
      </c>
      <c r="M24" s="1">
        <v>1.3</v>
      </c>
      <c r="N24" s="1">
        <f>N23</f>
        <v>6</v>
      </c>
      <c r="P24" s="57">
        <f t="shared" si="1"/>
        <v>4.4469999999999996E-2</v>
      </c>
      <c r="Z24" s="51"/>
      <c r="AA24" s="51">
        <f t="shared" si="6"/>
        <v>4.4469999999999996E-2</v>
      </c>
      <c r="AI24" s="3" t="e">
        <f t="shared" si="7"/>
        <v>#N/A</v>
      </c>
      <c r="AJ24" s="3" t="e">
        <f t="shared" si="8"/>
        <v>#N/A</v>
      </c>
      <c r="AK24" s="1">
        <f t="shared" si="15"/>
        <v>2.2499999999999996</v>
      </c>
      <c r="AL24" s="1">
        <f t="shared" si="3"/>
        <v>3.0199751654608025</v>
      </c>
      <c r="AM24" s="1">
        <f t="shared" si="9"/>
        <v>2.3709129726677547E-3</v>
      </c>
      <c r="AN24" s="1">
        <f t="shared" si="10"/>
        <v>0</v>
      </c>
      <c r="AO24" s="1">
        <f t="shared" si="11"/>
        <v>2.3646817690620324E-3</v>
      </c>
      <c r="AP24" s="1">
        <f t="shared" si="4"/>
        <v>5.8502136713115025</v>
      </c>
      <c r="AQ24" s="1">
        <f t="shared" si="12"/>
        <v>5.3491406453380253E-7</v>
      </c>
      <c r="AR24" s="1">
        <f t="shared" si="13"/>
        <v>5.3491406453380253E-7</v>
      </c>
      <c r="AS24" s="1">
        <f t="shared" si="14"/>
        <v>4.8384830210790217E-7</v>
      </c>
    </row>
    <row r="25" spans="1:45" ht="11.25" customHeight="1" x14ac:dyDescent="0.3">
      <c r="A25" s="169"/>
      <c r="B25" s="69" t="s">
        <v>670</v>
      </c>
      <c r="C25" s="91">
        <v>40</v>
      </c>
      <c r="D25" s="8"/>
      <c r="E25" s="9"/>
      <c r="F25" s="57">
        <f t="shared" si="5"/>
        <v>4.4469999999999996E-2</v>
      </c>
      <c r="H25" s="1" t="e">
        <f>$H$24</f>
        <v>#N/A</v>
      </c>
      <c r="I25" s="1">
        <f>$I$32+70</f>
        <v>120</v>
      </c>
      <c r="J25" s="1" t="e">
        <f>J24</f>
        <v>#N/A</v>
      </c>
      <c r="L25" s="46" t="s">
        <v>516</v>
      </c>
      <c r="M25" s="1">
        <v>1.77</v>
      </c>
      <c r="N25" s="1">
        <f>N24</f>
        <v>6</v>
      </c>
      <c r="P25" s="57">
        <f t="shared" ref="P25:P37" si="16">$F$9</f>
        <v>4.4469999999999996E-2</v>
      </c>
      <c r="Z25" s="51"/>
      <c r="AA25" s="51">
        <f t="shared" ref="AA25:AA37" si="17">$F$9</f>
        <v>4.4469999999999996E-2</v>
      </c>
      <c r="AI25" s="3" t="e">
        <f t="shared" si="7"/>
        <v>#N/A</v>
      </c>
      <c r="AJ25" s="3" t="e">
        <f t="shared" si="8"/>
        <v>#N/A</v>
      </c>
      <c r="AK25" s="1">
        <f t="shared" si="15"/>
        <v>2.3999999999999995</v>
      </c>
      <c r="AL25" s="1">
        <f t="shared" si="3"/>
        <v>3.0104883324802971</v>
      </c>
      <c r="AM25" s="1">
        <f t="shared" si="9"/>
        <v>2.4279983732930499E-3</v>
      </c>
      <c r="AN25" s="1">
        <f t="shared" si="10"/>
        <v>0</v>
      </c>
      <c r="AO25" s="1">
        <f t="shared" si="11"/>
        <v>2.4216171385565729E-3</v>
      </c>
      <c r="AP25" s="1">
        <f t="shared" si="4"/>
        <v>5.8415892776928615</v>
      </c>
      <c r="AQ25" s="1">
        <f t="shared" si="12"/>
        <v>5.4986134694952614E-7</v>
      </c>
      <c r="AR25" s="1">
        <f t="shared" si="13"/>
        <v>5.4986134694952614E-7</v>
      </c>
      <c r="AS25" s="1">
        <f t="shared" si="14"/>
        <v>4.9736863686350132E-7</v>
      </c>
    </row>
    <row r="26" spans="1:45" ht="11.25" customHeight="1" x14ac:dyDescent="0.2">
      <c r="A26" s="53"/>
      <c r="B26" s="54"/>
      <c r="C26" s="54"/>
      <c r="D26" s="54"/>
      <c r="E26" s="93"/>
      <c r="F26" s="57">
        <f t="shared" si="5"/>
        <v>4.4469999999999996E-2</v>
      </c>
      <c r="H26" s="1" t="e">
        <f t="shared" ref="H26:H36" si="18">$H$24</f>
        <v>#N/A</v>
      </c>
      <c r="I26" s="1">
        <f>$I$32+60</f>
        <v>110</v>
      </c>
      <c r="J26" s="1" t="e">
        <f>J25</f>
        <v>#N/A</v>
      </c>
      <c r="L26" s="1" t="e">
        <f>IF(M17,1,NA())</f>
        <v>#N/A</v>
      </c>
      <c r="M26" s="1">
        <f>MIN(I11+K11,I12+K12)</f>
        <v>81.981551549288355</v>
      </c>
      <c r="P26" s="57">
        <f t="shared" si="16"/>
        <v>4.4469999999999996E-2</v>
      </c>
      <c r="Z26" s="51"/>
      <c r="AA26" s="51">
        <f t="shared" si="17"/>
        <v>4.4469999999999996E-2</v>
      </c>
      <c r="AI26" s="3" t="e">
        <f t="shared" si="7"/>
        <v>#N/A</v>
      </c>
      <c r="AJ26" s="3" t="e">
        <f t="shared" si="8"/>
        <v>#N/A</v>
      </c>
      <c r="AK26" s="1">
        <f t="shared" si="15"/>
        <v>2.5499999999999994</v>
      </c>
      <c r="AL26" s="1">
        <f t="shared" si="3"/>
        <v>3.0010014994997922</v>
      </c>
      <c r="AM26" s="1">
        <f t="shared" si="9"/>
        <v>2.486342241883599E-3</v>
      </c>
      <c r="AN26" s="1">
        <f t="shared" si="10"/>
        <v>0</v>
      </c>
      <c r="AO26" s="1">
        <f t="shared" si="11"/>
        <v>2.479807668526715E-3</v>
      </c>
      <c r="AP26" s="1">
        <f t="shared" si="4"/>
        <v>5.8329648840742205</v>
      </c>
      <c r="AQ26" s="1">
        <f t="shared" si="12"/>
        <v>5.6522477293164357E-7</v>
      </c>
      <c r="AR26" s="1">
        <f t="shared" si="13"/>
        <v>5.6522477293164357E-7</v>
      </c>
      <c r="AS26" s="1">
        <f t="shared" si="14"/>
        <v>5.112653878911389E-7</v>
      </c>
    </row>
    <row r="27" spans="1:45" ht="11.25" customHeight="1" x14ac:dyDescent="0.2">
      <c r="A27" s="317">
        <v>3</v>
      </c>
      <c r="F27" s="57">
        <f t="shared" si="5"/>
        <v>4.4469999999999996E-2</v>
      </c>
      <c r="H27" s="1" t="e">
        <f t="shared" si="18"/>
        <v>#N/A</v>
      </c>
      <c r="I27" s="1">
        <f>$I$32+50</f>
        <v>100</v>
      </c>
      <c r="J27" s="1" t="e">
        <f>J26</f>
        <v>#N/A</v>
      </c>
      <c r="L27" s="1" t="e">
        <f>IF(M17,1,NA())</f>
        <v>#N/A</v>
      </c>
      <c r="M27" s="1">
        <f>MAX(I11-K11,I12-K12)</f>
        <v>68.820293295782818</v>
      </c>
      <c r="P27" s="57">
        <f t="shared" si="16"/>
        <v>4.4469999999999996E-2</v>
      </c>
      <c r="Z27" s="51"/>
      <c r="AA27" s="51">
        <f t="shared" si="17"/>
        <v>4.4469999999999996E-2</v>
      </c>
      <c r="AI27" s="3" t="e">
        <f t="shared" si="7"/>
        <v>#N/A</v>
      </c>
      <c r="AJ27" s="3" t="e">
        <f t="shared" si="8"/>
        <v>#N/A</v>
      </c>
      <c r="AK27" s="1">
        <f t="shared" si="15"/>
        <v>2.6999999999999993</v>
      </c>
      <c r="AL27" s="1">
        <f t="shared" si="3"/>
        <v>2.9915146665192869</v>
      </c>
      <c r="AM27" s="1">
        <f t="shared" si="9"/>
        <v>2.5459688000710468E-3</v>
      </c>
      <c r="AN27" s="1">
        <f t="shared" si="10"/>
        <v>0</v>
      </c>
      <c r="AO27" s="1">
        <f t="shared" si="11"/>
        <v>2.5392775169451173E-3</v>
      </c>
      <c r="AP27" s="1">
        <f t="shared" si="4"/>
        <v>5.8243404904555796</v>
      </c>
      <c r="AQ27" s="1">
        <f t="shared" si="12"/>
        <v>5.8101584795102363E-7</v>
      </c>
      <c r="AR27" s="1">
        <f t="shared" si="13"/>
        <v>5.8101584795102363E-7</v>
      </c>
      <c r="AS27" s="1">
        <f t="shared" si="14"/>
        <v>5.2554896228779367E-7</v>
      </c>
    </row>
    <row r="28" spans="1:45" ht="11.25" customHeight="1" x14ac:dyDescent="0.2">
      <c r="F28" s="57">
        <f t="shared" si="5"/>
        <v>4.4469999999999996E-2</v>
      </c>
      <c r="H28" s="1" t="e">
        <f t="shared" si="18"/>
        <v>#N/A</v>
      </c>
      <c r="I28" s="1">
        <f>$I$32+40</f>
        <v>90</v>
      </c>
      <c r="J28" s="1" t="e">
        <f t="shared" ref="J28:J36" si="19">J27</f>
        <v>#N/A</v>
      </c>
      <c r="L28" s="3" t="s">
        <v>634</v>
      </c>
      <c r="M28" s="1">
        <f>ABS(I12-I11)/(J13*SQRT(1/C16+1/C25))</f>
        <v>2.2973524009821924</v>
      </c>
      <c r="N28" s="1">
        <f>ABS(I12-I11)/(J14/SQRT(C16))</f>
        <v>4.1724040101457822</v>
      </c>
      <c r="P28" s="57">
        <f t="shared" si="16"/>
        <v>4.4469999999999996E-2</v>
      </c>
      <c r="Z28" s="51"/>
      <c r="AA28" s="51">
        <f t="shared" si="17"/>
        <v>4.4469999999999996E-2</v>
      </c>
      <c r="AI28" s="3" t="e">
        <f t="shared" si="7"/>
        <v>#N/A</v>
      </c>
      <c r="AJ28" s="3" t="e">
        <f t="shared" si="8"/>
        <v>#N/A</v>
      </c>
      <c r="AK28" s="1">
        <f t="shared" si="15"/>
        <v>2.8499999999999992</v>
      </c>
      <c r="AL28" s="1">
        <f t="shared" si="3"/>
        <v>2.9820278335387815</v>
      </c>
      <c r="AM28" s="1">
        <f t="shared" si="9"/>
        <v>2.6069026328248701E-3</v>
      </c>
      <c r="AN28" s="1">
        <f t="shared" si="10"/>
        <v>0</v>
      </c>
      <c r="AO28" s="1">
        <f t="shared" si="11"/>
        <v>2.6000512041673483E-3</v>
      </c>
      <c r="AP28" s="1">
        <f t="shared" si="4"/>
        <v>5.8157160968369386</v>
      </c>
      <c r="AQ28" s="1">
        <f t="shared" si="12"/>
        <v>5.9724639271878678E-7</v>
      </c>
      <c r="AR28" s="1">
        <f t="shared" si="13"/>
        <v>5.9724639271878678E-7</v>
      </c>
      <c r="AS28" s="1">
        <f t="shared" si="14"/>
        <v>5.4023005229617247E-7</v>
      </c>
    </row>
    <row r="29" spans="1:45" ht="11.25" customHeight="1" x14ac:dyDescent="0.2">
      <c r="A29"/>
      <c r="B29"/>
      <c r="C29"/>
      <c r="D29"/>
      <c r="E29"/>
      <c r="F29" s="57">
        <f t="shared" si="5"/>
        <v>4.4469999999999996E-2</v>
      </c>
      <c r="H29" s="1" t="e">
        <f t="shared" si="18"/>
        <v>#N/A</v>
      </c>
      <c r="I29" s="1">
        <f>$I$32+30</f>
        <v>80</v>
      </c>
      <c r="J29" s="1" t="e">
        <f t="shared" si="19"/>
        <v>#N/A</v>
      </c>
      <c r="L29" s="3" t="s">
        <v>645</v>
      </c>
      <c r="M29" s="301">
        <f>TDIST(M28,C16+C25-2,2)</f>
        <v>2.4280529157633415E-2</v>
      </c>
      <c r="N29" s="312">
        <f>TDIST(N28,C16-1,2)</f>
        <v>1.6298630912423663E-4</v>
      </c>
      <c r="P29" s="57">
        <f t="shared" si="16"/>
        <v>4.4469999999999996E-2</v>
      </c>
      <c r="Z29" s="51"/>
      <c r="AA29" s="51">
        <f t="shared" si="17"/>
        <v>4.4469999999999996E-2</v>
      </c>
      <c r="AI29" s="3" t="e">
        <f t="shared" si="7"/>
        <v>#N/A</v>
      </c>
      <c r="AJ29" s="3" t="e">
        <f t="shared" si="8"/>
        <v>#N/A</v>
      </c>
      <c r="AK29" s="1">
        <f t="shared" si="15"/>
        <v>2.9999999999999991</v>
      </c>
      <c r="AL29" s="1">
        <f t="shared" si="3"/>
        <v>2.9725410005582766</v>
      </c>
      <c r="AM29" s="1">
        <f t="shared" si="9"/>
        <v>2.6691686898228095E-3</v>
      </c>
      <c r="AN29" s="1">
        <f t="shared" si="10"/>
        <v>0</v>
      </c>
      <c r="AO29" s="1">
        <f t="shared" si="11"/>
        <v>2.6621536142987213E-3</v>
      </c>
      <c r="AP29" s="1">
        <f t="shared" si="4"/>
        <v>5.8070917032182976</v>
      </c>
      <c r="AQ29" s="1">
        <f t="shared" si="12"/>
        <v>6.1392855097477375E-7</v>
      </c>
      <c r="AR29" s="1">
        <f t="shared" si="13"/>
        <v>6.1392855097477375E-7</v>
      </c>
      <c r="AS29" s="1">
        <f t="shared" si="14"/>
        <v>5.5531964234965022E-7</v>
      </c>
    </row>
    <row r="30" spans="1:45" ht="11.25" customHeight="1" x14ac:dyDescent="0.2">
      <c r="A30"/>
      <c r="B30"/>
      <c r="C30"/>
      <c r="D30"/>
      <c r="E30"/>
      <c r="F30" s="57">
        <f t="shared" si="5"/>
        <v>4.4469999999999996E-2</v>
      </c>
      <c r="H30" s="1" t="e">
        <f t="shared" si="18"/>
        <v>#N/A</v>
      </c>
      <c r="I30" s="1">
        <f>$I$32+20</f>
        <v>70</v>
      </c>
      <c r="J30" s="1" t="e">
        <f t="shared" si="19"/>
        <v>#N/A</v>
      </c>
      <c r="M30" s="92" t="str">
        <f>IF(M17,N10,"")</f>
        <v/>
      </c>
      <c r="N30" s="312" t="str">
        <f>IF(OR(M16,M17),M29,"")</f>
        <v/>
      </c>
      <c r="P30" s="57">
        <f t="shared" si="16"/>
        <v>4.4469999999999996E-2</v>
      </c>
      <c r="Z30" s="51"/>
      <c r="AA30" s="51">
        <f t="shared" si="17"/>
        <v>4.4469999999999996E-2</v>
      </c>
      <c r="AI30" s="3" t="e">
        <f t="shared" si="7"/>
        <v>#N/A</v>
      </c>
      <c r="AJ30" s="3" t="e">
        <f t="shared" si="8"/>
        <v>#N/A</v>
      </c>
      <c r="AK30" s="1">
        <f t="shared" ref="AK30:AK93" si="20">AK29+$AJ$4</f>
        <v>3.149999999999999</v>
      </c>
      <c r="AL30" s="1">
        <f t="shared" si="3"/>
        <v>2.9630541675777717</v>
      </c>
      <c r="AM30" s="1">
        <f t="shared" si="9"/>
        <v>2.7327922887815381E-3</v>
      </c>
      <c r="AN30" s="1">
        <f t="shared" si="10"/>
        <v>0</v>
      </c>
      <c r="AO30" s="1">
        <f t="shared" si="11"/>
        <v>2.7256099985162041E-3</v>
      </c>
      <c r="AP30" s="1">
        <f t="shared" si="4"/>
        <v>5.7984673095996557</v>
      </c>
      <c r="AQ30" s="1">
        <f t="shared" si="12"/>
        <v>6.3107479777576247E-7</v>
      </c>
      <c r="AR30" s="1">
        <f t="shared" si="13"/>
        <v>6.3107479777576247E-7</v>
      </c>
      <c r="AS30" s="1">
        <f t="shared" si="14"/>
        <v>5.7082901656924914E-7</v>
      </c>
    </row>
    <row r="31" spans="1:45" ht="11.25" customHeight="1" x14ac:dyDescent="0.2">
      <c r="A31"/>
      <c r="B31"/>
      <c r="C31"/>
      <c r="D31"/>
      <c r="E31"/>
      <c r="F31" s="57">
        <f t="shared" si="5"/>
        <v>4.4469999999999996E-2</v>
      </c>
      <c r="H31" s="1" t="e">
        <f t="shared" si="18"/>
        <v>#N/A</v>
      </c>
      <c r="I31" s="1">
        <f>$I$32+10</f>
        <v>60</v>
      </c>
      <c r="J31" s="1" t="e">
        <f t="shared" si="19"/>
        <v>#N/A</v>
      </c>
      <c r="M31" s="1" t="str">
        <f>IF(M17,"Overlap =","")</f>
        <v/>
      </c>
      <c r="N31" s="314" t="str">
        <f>IF(OR(M16,M17),"p =","")</f>
        <v/>
      </c>
      <c r="P31" s="57">
        <f t="shared" si="16"/>
        <v>4.4469999999999996E-2</v>
      </c>
      <c r="Z31" s="51"/>
      <c r="AA31" s="51">
        <f t="shared" si="17"/>
        <v>4.4469999999999996E-2</v>
      </c>
      <c r="AI31" s="3" t="e">
        <f t="shared" si="7"/>
        <v>#N/A</v>
      </c>
      <c r="AJ31" s="3" t="e">
        <f t="shared" si="8"/>
        <v>#N/A</v>
      </c>
      <c r="AK31" s="1">
        <f t="shared" si="20"/>
        <v>3.2999999999999989</v>
      </c>
      <c r="AL31" s="1">
        <f t="shared" si="3"/>
        <v>2.9535673345972664</v>
      </c>
      <c r="AM31" s="1">
        <f t="shared" si="9"/>
        <v>2.7977991167750516E-3</v>
      </c>
      <c r="AN31" s="1">
        <f t="shared" si="10"/>
        <v>0</v>
      </c>
      <c r="AO31" s="1">
        <f t="shared" si="11"/>
        <v>2.7904459763833486E-3</v>
      </c>
      <c r="AP31" s="1">
        <f t="shared" si="4"/>
        <v>5.7898429159810156</v>
      </c>
      <c r="AQ31" s="1">
        <f t="shared" si="12"/>
        <v>6.4869794957939542E-7</v>
      </c>
      <c r="AR31" s="1">
        <f t="shared" si="13"/>
        <v>6.4869794957939542E-7</v>
      </c>
      <c r="AS31" s="1">
        <f t="shared" si="14"/>
        <v>5.8676976788490046E-7</v>
      </c>
    </row>
    <row r="32" spans="1:45" ht="11.25" customHeight="1" x14ac:dyDescent="0.2">
      <c r="A32"/>
      <c r="B32"/>
      <c r="C32"/>
      <c r="D32"/>
      <c r="E32"/>
      <c r="F32" s="57">
        <f t="shared" si="5"/>
        <v>4.4469999999999996E-2</v>
      </c>
      <c r="H32" s="1" t="e">
        <f t="shared" si="18"/>
        <v>#N/A</v>
      </c>
      <c r="I32" s="1">
        <f>I11</f>
        <v>50</v>
      </c>
      <c r="J32" s="1" t="e">
        <f t="shared" si="19"/>
        <v>#N/A</v>
      </c>
      <c r="L32" s="3" t="s">
        <v>1041</v>
      </c>
      <c r="M32" s="313" t="str">
        <f>IF(AND(M15,M16),"p =","")</f>
        <v/>
      </c>
      <c r="N32" s="312" t="str">
        <f>IF(AND(M15,M16),N29,"")</f>
        <v/>
      </c>
      <c r="P32" s="57">
        <f t="shared" si="16"/>
        <v>4.4469999999999996E-2</v>
      </c>
      <c r="Z32" s="51"/>
      <c r="AA32" s="51">
        <f t="shared" si="17"/>
        <v>4.4469999999999996E-2</v>
      </c>
      <c r="AI32" s="3" t="e">
        <f t="shared" si="7"/>
        <v>#N/A</v>
      </c>
      <c r="AJ32" s="3" t="e">
        <f t="shared" si="8"/>
        <v>#N/A</v>
      </c>
      <c r="AK32" s="1">
        <f t="shared" si="20"/>
        <v>3.4499999999999988</v>
      </c>
      <c r="AL32" s="1">
        <f t="shared" si="3"/>
        <v>2.9440805016167615</v>
      </c>
      <c r="AM32" s="1">
        <f t="shared" si="9"/>
        <v>2.864215232750017E-3</v>
      </c>
      <c r="AN32" s="1">
        <f t="shared" si="10"/>
        <v>0</v>
      </c>
      <c r="AO32" s="1">
        <f t="shared" si="11"/>
        <v>2.8566875383590267E-3</v>
      </c>
      <c r="AP32" s="1">
        <f t="shared" si="4"/>
        <v>5.7812185223623747</v>
      </c>
      <c r="AQ32" s="1">
        <f t="shared" si="12"/>
        <v>6.6681117258110144E-7</v>
      </c>
      <c r="AR32" s="1">
        <f t="shared" si="13"/>
        <v>6.6681117258110144E-7</v>
      </c>
      <c r="AS32" s="1">
        <f t="shared" si="14"/>
        <v>6.0315380557647891E-7</v>
      </c>
    </row>
    <row r="33" spans="1:45" ht="11.25" customHeight="1" x14ac:dyDescent="0.2">
      <c r="A33"/>
      <c r="B33"/>
      <c r="C33"/>
      <c r="D33"/>
      <c r="E33"/>
      <c r="F33" s="57">
        <f t="shared" si="5"/>
        <v>4.4469999999999996E-2</v>
      </c>
      <c r="H33" s="1" t="e">
        <f t="shared" si="18"/>
        <v>#N/A</v>
      </c>
      <c r="I33" s="1">
        <f>$I$32-10</f>
        <v>40</v>
      </c>
      <c r="J33" s="1" t="e">
        <f t="shared" si="19"/>
        <v>#N/A</v>
      </c>
      <c r="L33" s="1" t="s">
        <v>681</v>
      </c>
      <c r="N33" s="315">
        <v>3.5</v>
      </c>
      <c r="P33" s="57">
        <f t="shared" si="16"/>
        <v>4.4469999999999996E-2</v>
      </c>
      <c r="Z33" s="51"/>
      <c r="AA33" s="51">
        <f t="shared" si="17"/>
        <v>4.4469999999999996E-2</v>
      </c>
      <c r="AI33" s="3" t="e">
        <f t="shared" si="7"/>
        <v>#N/A</v>
      </c>
      <c r="AJ33" s="3" t="e">
        <f t="shared" si="8"/>
        <v>#N/A</v>
      </c>
      <c r="AK33" s="1">
        <f t="shared" si="20"/>
        <v>3.5999999999999988</v>
      </c>
      <c r="AL33" s="1">
        <f t="shared" si="3"/>
        <v>2.9345936686362561</v>
      </c>
      <c r="AM33" s="1">
        <f t="shared" si="9"/>
        <v>2.9320670696247886E-3</v>
      </c>
      <c r="AN33" s="1">
        <f t="shared" si="10"/>
        <v>0</v>
      </c>
      <c r="AO33" s="1">
        <f t="shared" si="11"/>
        <v>2.9243610478909294E-3</v>
      </c>
      <c r="AP33" s="1">
        <f t="shared" si="4"/>
        <v>5.7725941287437337</v>
      </c>
      <c r="AQ33" s="1">
        <f t="shared" si="12"/>
        <v>6.8542799219874711E-7</v>
      </c>
      <c r="AR33" s="1">
        <f t="shared" si="13"/>
        <v>6.8542799219874711E-7</v>
      </c>
      <c r="AS33" s="1">
        <f t="shared" si="14"/>
        <v>6.1999336385299855E-7</v>
      </c>
    </row>
    <row r="34" spans="1:45" ht="11.25" customHeight="1" x14ac:dyDescent="0.2">
      <c r="A34"/>
      <c r="B34"/>
      <c r="C34"/>
      <c r="D34"/>
      <c r="E34"/>
      <c r="F34" s="57">
        <f t="shared" si="5"/>
        <v>4.4469999999999996E-2</v>
      </c>
      <c r="H34" s="1" t="e">
        <f t="shared" si="18"/>
        <v>#N/A</v>
      </c>
      <c r="I34" s="1">
        <f>$I$32-20</f>
        <v>30</v>
      </c>
      <c r="J34" s="1" t="e">
        <f t="shared" si="19"/>
        <v>#N/A</v>
      </c>
      <c r="L34" s="1" t="e">
        <f>AI9</f>
        <v>#N/A</v>
      </c>
      <c r="M34" s="1">
        <f>MAX(D10-N33*AL6,AJ2)</f>
        <v>0</v>
      </c>
      <c r="P34" s="57">
        <f t="shared" si="16"/>
        <v>4.4469999999999996E-2</v>
      </c>
      <c r="Z34" s="51"/>
      <c r="AA34" s="51">
        <f t="shared" si="17"/>
        <v>4.4469999999999996E-2</v>
      </c>
      <c r="AI34" s="3" t="e">
        <f t="shared" si="7"/>
        <v>#N/A</v>
      </c>
      <c r="AJ34" s="3" t="e">
        <f t="shared" si="8"/>
        <v>#N/A</v>
      </c>
      <c r="AK34" s="1">
        <f t="shared" si="20"/>
        <v>3.7499999999999987</v>
      </c>
      <c r="AL34" s="1">
        <f t="shared" si="3"/>
        <v>2.9251068356557508</v>
      </c>
      <c r="AM34" s="1">
        <f t="shared" si="9"/>
        <v>3.0013814362149505E-3</v>
      </c>
      <c r="AN34" s="1">
        <f t="shared" si="10"/>
        <v>0</v>
      </c>
      <c r="AO34" s="1">
        <f t="shared" si="11"/>
        <v>2.9934932433360499E-3</v>
      </c>
      <c r="AP34" s="1">
        <f t="shared" si="4"/>
        <v>5.7639697351250927</v>
      </c>
      <c r="AQ34" s="1">
        <f t="shared" si="12"/>
        <v>7.0456230293633546E-7</v>
      </c>
      <c r="AR34" s="1">
        <f t="shared" si="13"/>
        <v>7.0456230293633546E-7</v>
      </c>
      <c r="AS34" s="1">
        <f t="shared" si="14"/>
        <v>6.3730101077466974E-7</v>
      </c>
    </row>
    <row r="35" spans="1:45" ht="11.25" customHeight="1" x14ac:dyDescent="0.2">
      <c r="A35"/>
      <c r="B35"/>
      <c r="C35"/>
      <c r="D35"/>
      <c r="E35" s="385">
        <v>5</v>
      </c>
      <c r="F35" s="57">
        <f t="shared" si="5"/>
        <v>4.4469999999999996E-2</v>
      </c>
      <c r="H35" s="1" t="e">
        <f t="shared" si="18"/>
        <v>#N/A</v>
      </c>
      <c r="I35" s="1">
        <f>$I$32-30</f>
        <v>20</v>
      </c>
      <c r="J35" s="1" t="e">
        <f t="shared" si="19"/>
        <v>#N/A</v>
      </c>
      <c r="L35" s="1" t="e">
        <f>L34</f>
        <v>#N/A</v>
      </c>
      <c r="M35" s="1">
        <f>MIN(D10+N33*AL6,AJ1)</f>
        <v>105.33985905294664</v>
      </c>
      <c r="P35" s="57">
        <f t="shared" si="16"/>
        <v>4.4469999999999996E-2</v>
      </c>
      <c r="Z35" s="51"/>
      <c r="AA35" s="51">
        <f t="shared" si="17"/>
        <v>4.4469999999999996E-2</v>
      </c>
      <c r="AI35" s="3" t="e">
        <f t="shared" si="7"/>
        <v>#N/A</v>
      </c>
      <c r="AJ35" s="3" t="e">
        <f t="shared" si="8"/>
        <v>#N/A</v>
      </c>
      <c r="AK35" s="1">
        <f t="shared" si="20"/>
        <v>3.8999999999999986</v>
      </c>
      <c r="AL35" s="1">
        <f t="shared" si="3"/>
        <v>2.9156200026752459</v>
      </c>
      <c r="AM35" s="1">
        <f t="shared" si="9"/>
        <v>3.0721855198527492E-3</v>
      </c>
      <c r="AN35" s="1">
        <f t="shared" si="10"/>
        <v>0</v>
      </c>
      <c r="AO35" s="1">
        <f t="shared" si="11"/>
        <v>3.0641112405732302E-3</v>
      </c>
      <c r="AP35" s="1">
        <f t="shared" si="4"/>
        <v>5.7553453415064508</v>
      </c>
      <c r="AQ35" s="1">
        <f t="shared" si="12"/>
        <v>7.2422837821382332E-7</v>
      </c>
      <c r="AR35" s="1">
        <f t="shared" si="13"/>
        <v>7.2422837821382332E-7</v>
      </c>
      <c r="AS35" s="1">
        <f t="shared" si="14"/>
        <v>6.550896571443099E-7</v>
      </c>
    </row>
    <row r="36" spans="1:45" ht="11.25" customHeight="1" x14ac:dyDescent="0.2">
      <c r="A36"/>
      <c r="B36"/>
      <c r="C36"/>
      <c r="D36"/>
      <c r="E36"/>
      <c r="F36" s="57">
        <f t="shared" si="5"/>
        <v>4.4469999999999996E-2</v>
      </c>
      <c r="H36" s="1" t="e">
        <f t="shared" si="18"/>
        <v>#N/A</v>
      </c>
      <c r="I36" s="1">
        <f>$I$32-40</f>
        <v>10</v>
      </c>
      <c r="J36" s="1" t="e">
        <f t="shared" si="19"/>
        <v>#N/A</v>
      </c>
      <c r="L36" s="1" t="e">
        <f>AJ9</f>
        <v>#N/A</v>
      </c>
      <c r="M36" s="1">
        <f>MAX(D19-N33*AP6,AJ2)</f>
        <v>43.126155041758707</v>
      </c>
      <c r="P36" s="57">
        <f t="shared" si="16"/>
        <v>4.4469999999999996E-2</v>
      </c>
      <c r="Z36" s="51"/>
      <c r="AA36" s="51">
        <f t="shared" si="17"/>
        <v>4.4469999999999996E-2</v>
      </c>
      <c r="AI36" s="3" t="e">
        <f t="shared" si="7"/>
        <v>#N/A</v>
      </c>
      <c r="AJ36" s="3" t="e">
        <f t="shared" si="8"/>
        <v>#N/A</v>
      </c>
      <c r="AK36" s="1">
        <f t="shared" si="20"/>
        <v>4.0499999999999989</v>
      </c>
      <c r="AL36" s="1">
        <f t="shared" si="3"/>
        <v>2.906133169694741</v>
      </c>
      <c r="AM36" s="1">
        <f t="shared" si="9"/>
        <v>3.1445068862309689E-3</v>
      </c>
      <c r="AN36" s="1">
        <f t="shared" si="10"/>
        <v>0</v>
      </c>
      <c r="AO36" s="1">
        <f t="shared" si="11"/>
        <v>3.1362425328474476E-3</v>
      </c>
      <c r="AP36" s="1">
        <f t="shared" si="4"/>
        <v>5.7467209478878107</v>
      </c>
      <c r="AQ36" s="1">
        <f t="shared" si="12"/>
        <v>7.4444088016729248E-7</v>
      </c>
      <c r="AR36" s="1">
        <f t="shared" si="13"/>
        <v>7.4444088016729248E-7</v>
      </c>
      <c r="AS36" s="1">
        <f t="shared" si="14"/>
        <v>6.7337256537193745E-7</v>
      </c>
    </row>
    <row r="37" spans="1:45" ht="11.25" customHeight="1" x14ac:dyDescent="0.2">
      <c r="F37" s="57">
        <f t="shared" si="5"/>
        <v>4.4469999999999996E-2</v>
      </c>
      <c r="L37" s="1" t="e">
        <f>L36</f>
        <v>#N/A</v>
      </c>
      <c r="M37" s="1">
        <f>MIN(D19+N33*AP6,AJ1)</f>
        <v>150</v>
      </c>
      <c r="P37" s="57">
        <f t="shared" si="16"/>
        <v>4.4469999999999996E-2</v>
      </c>
      <c r="Z37" s="51"/>
      <c r="AA37" s="51">
        <f t="shared" si="17"/>
        <v>4.4469999999999996E-2</v>
      </c>
      <c r="AI37" s="3" t="e">
        <f t="shared" si="7"/>
        <v>#N/A</v>
      </c>
      <c r="AJ37" s="3" t="e">
        <f t="shared" si="8"/>
        <v>#N/A</v>
      </c>
      <c r="AK37" s="1">
        <f t="shared" si="20"/>
        <v>4.1999999999999993</v>
      </c>
      <c r="AL37" s="1">
        <f t="shared" si="3"/>
        <v>2.8966463367142352</v>
      </c>
      <c r="AM37" s="1">
        <f t="shared" si="9"/>
        <v>3.2183734826468635E-3</v>
      </c>
      <c r="AN37" s="1">
        <f t="shared" si="10"/>
        <v>0</v>
      </c>
      <c r="AO37" s="1">
        <f t="shared" si="11"/>
        <v>3.2099149940052222E-3</v>
      </c>
      <c r="AP37" s="1">
        <f t="shared" si="4"/>
        <v>5.7380965542691689</v>
      </c>
      <c r="AQ37" s="1">
        <f t="shared" si="12"/>
        <v>7.6521487099072091E-7</v>
      </c>
      <c r="AR37" s="1">
        <f t="shared" si="13"/>
        <v>7.6521487099072091E-7</v>
      </c>
      <c r="AS37" s="1">
        <f t="shared" si="14"/>
        <v>6.9216335973379669E-7</v>
      </c>
    </row>
    <row r="38" spans="1:45" ht="11.25" customHeight="1" x14ac:dyDescent="0.2">
      <c r="AI38" s="3" t="e">
        <f t="shared" si="7"/>
        <v>#N/A</v>
      </c>
      <c r="AJ38" s="3" t="e">
        <f t="shared" si="8"/>
        <v>#N/A</v>
      </c>
      <c r="AK38" s="1">
        <f t="shared" si="20"/>
        <v>4.3499999999999996</v>
      </c>
      <c r="AL38" s="1">
        <f t="shared" si="3"/>
        <v>2.8871595037337303</v>
      </c>
      <c r="AM38" s="1">
        <f t="shared" si="9"/>
        <v>3.2938136404828122E-3</v>
      </c>
      <c r="AN38" s="1">
        <f t="shared" si="10"/>
        <v>0</v>
      </c>
      <c r="AO38" s="1">
        <f t="shared" si="11"/>
        <v>3.2851568809687502E-3</v>
      </c>
      <c r="AP38" s="1">
        <f t="shared" si="4"/>
        <v>5.7294721606505288</v>
      </c>
      <c r="AQ38" s="1">
        <f t="shared" si="12"/>
        <v>7.8656582261333414E-7</v>
      </c>
      <c r="AR38" s="1">
        <f t="shared" si="13"/>
        <v>7.8656582261333414E-7</v>
      </c>
      <c r="AS38" s="1">
        <f t="shared" si="14"/>
        <v>7.1147603512585775E-7</v>
      </c>
    </row>
    <row r="39" spans="1:45" ht="11.25" customHeight="1" x14ac:dyDescent="0.2">
      <c r="AI39" s="3" t="e">
        <f t="shared" si="7"/>
        <v>#N/A</v>
      </c>
      <c r="AJ39" s="3" t="e">
        <f t="shared" si="8"/>
        <v>#N/A</v>
      </c>
      <c r="AK39" s="1">
        <f t="shared" si="20"/>
        <v>4.5</v>
      </c>
      <c r="AL39" s="1">
        <f t="shared" si="3"/>
        <v>2.8776726707532254</v>
      </c>
      <c r="AM39" s="1">
        <f t="shared" si="9"/>
        <v>3.3708560740960958E-3</v>
      </c>
      <c r="AN39" s="1">
        <f t="shared" si="10"/>
        <v>0</v>
      </c>
      <c r="AO39" s="1">
        <f t="shared" si="11"/>
        <v>3.3619968326286014E-3</v>
      </c>
      <c r="AP39" s="1">
        <f t="shared" si="4"/>
        <v>5.7208477670318869</v>
      </c>
      <c r="AQ39" s="1">
        <f t="shared" si="12"/>
        <v>8.0850962810913909E-7</v>
      </c>
      <c r="AR39" s="1">
        <f t="shared" si="13"/>
        <v>8.0850962810913909E-7</v>
      </c>
      <c r="AS39" s="1">
        <f t="shared" si="14"/>
        <v>7.3132496738413519E-7</v>
      </c>
    </row>
    <row r="40" spans="1:45" ht="11.25" customHeight="1" x14ac:dyDescent="0.2">
      <c r="AI40" s="3" t="e">
        <f t="shared" si="7"/>
        <v>#N/A</v>
      </c>
      <c r="AJ40" s="3" t="e">
        <f t="shared" si="8"/>
        <v>#N/A</v>
      </c>
      <c r="AK40" s="1">
        <f t="shared" si="20"/>
        <v>4.6500000000000004</v>
      </c>
      <c r="AL40" s="1">
        <f t="shared" si="3"/>
        <v>2.8681858377727201</v>
      </c>
      <c r="AM40" s="1">
        <f t="shared" si="9"/>
        <v>3.4495298830740373E-3</v>
      </c>
      <c r="AN40" s="1">
        <f t="shared" si="10"/>
        <v>0</v>
      </c>
      <c r="AO40" s="1">
        <f t="shared" si="11"/>
        <v>3.4404638720929291E-3</v>
      </c>
      <c r="AP40" s="1">
        <f t="shared" si="4"/>
        <v>5.7122233734132459</v>
      </c>
      <c r="AQ40" s="1">
        <f t="shared" si="12"/>
        <v>8.3106261290316993E-7</v>
      </c>
      <c r="AR40" s="1">
        <f t="shared" si="13"/>
        <v>8.3106261290316993E-7</v>
      </c>
      <c r="AS40" s="1">
        <f t="shared" si="14"/>
        <v>7.5172492342112512E-7</v>
      </c>
    </row>
    <row r="41" spans="1:45" ht="11.25" customHeight="1" x14ac:dyDescent="0.2">
      <c r="AI41" s="3" t="e">
        <f t="shared" si="7"/>
        <v>#N/A</v>
      </c>
      <c r="AJ41" s="3" t="e">
        <f t="shared" si="8"/>
        <v>#N/A</v>
      </c>
      <c r="AK41" s="1">
        <f t="shared" si="20"/>
        <v>4.8000000000000007</v>
      </c>
      <c r="AL41" s="1">
        <f t="shared" si="3"/>
        <v>2.8586990047922152</v>
      </c>
      <c r="AM41" s="1">
        <f t="shared" si="9"/>
        <v>3.5298645541942397E-3</v>
      </c>
      <c r="AN41" s="1">
        <f t="shared" si="10"/>
        <v>0</v>
      </c>
      <c r="AO41" s="1">
        <f t="shared" si="11"/>
        <v>3.520587408642559E-3</v>
      </c>
      <c r="AP41" s="1">
        <f t="shared" si="4"/>
        <v>5.703598979794605</v>
      </c>
      <c r="AQ41" s="1">
        <f t="shared" si="12"/>
        <v>8.5424154695182188E-7</v>
      </c>
      <c r="AR41" s="1">
        <f t="shared" si="13"/>
        <v>8.5424154695182188E-7</v>
      </c>
      <c r="AS41" s="1">
        <f t="shared" si="14"/>
        <v>7.7269107224333948E-7</v>
      </c>
    </row>
    <row r="42" spans="1:45" ht="11.25" customHeight="1" x14ac:dyDescent="0.2">
      <c r="AI42" s="3" t="e">
        <f t="shared" si="7"/>
        <v>#N/A</v>
      </c>
      <c r="AJ42" s="3" t="e">
        <f t="shared" si="8"/>
        <v>#N/A</v>
      </c>
      <c r="AK42" s="1">
        <f t="shared" si="20"/>
        <v>4.9500000000000011</v>
      </c>
      <c r="AL42" s="1">
        <f t="shared" si="3"/>
        <v>2.8492121718117098</v>
      </c>
      <c r="AM42" s="1">
        <f t="shared" si="9"/>
        <v>3.6118899639225877E-3</v>
      </c>
      <c r="AN42" s="1">
        <f t="shared" si="10"/>
        <v>0</v>
      </c>
      <c r="AO42" s="1">
        <f t="shared" si="11"/>
        <v>3.6023972402224247E-3</v>
      </c>
      <c r="AP42" s="1">
        <f t="shared" si="4"/>
        <v>5.694974586175964</v>
      </c>
      <c r="AQ42" s="1">
        <f t="shared" si="12"/>
        <v>8.7806365503006637E-7</v>
      </c>
      <c r="AR42" s="1">
        <f t="shared" si="13"/>
        <v>8.7806365503006637E-7</v>
      </c>
      <c r="AS42" s="1">
        <f t="shared" si="14"/>
        <v>7.9423899425644849E-7</v>
      </c>
    </row>
    <row r="43" spans="1:45" ht="11.25" customHeight="1" x14ac:dyDescent="0.2">
      <c r="AI43" s="3" t="e">
        <f t="shared" si="7"/>
        <v>#N/A</v>
      </c>
      <c r="AJ43" s="3" t="e">
        <f t="shared" si="8"/>
        <v>#N/A</v>
      </c>
      <c r="AK43" s="1">
        <f t="shared" si="20"/>
        <v>5.1000000000000014</v>
      </c>
      <c r="AL43" s="1">
        <f t="shared" si="3"/>
        <v>2.8397253388312045</v>
      </c>
      <c r="AM43" s="1">
        <f t="shared" si="9"/>
        <v>3.6956363732611186E-3</v>
      </c>
      <c r="AN43" s="1">
        <f t="shared" si="10"/>
        <v>0</v>
      </c>
      <c r="AO43" s="1">
        <f t="shared" si="11"/>
        <v>3.6859235483029792E-3</v>
      </c>
      <c r="AP43" s="1">
        <f t="shared" si="4"/>
        <v>5.686350192557323</v>
      </c>
      <c r="AQ43" s="1">
        <f t="shared" si="12"/>
        <v>9.025466309531342E-7</v>
      </c>
      <c r="AR43" s="1">
        <f t="shared" si="13"/>
        <v>9.025466309531342E-7</v>
      </c>
      <c r="AS43" s="1">
        <f t="shared" si="14"/>
        <v>8.1638469412928559E-7</v>
      </c>
    </row>
    <row r="44" spans="1:45" ht="11.25" customHeight="1" x14ac:dyDescent="0.2">
      <c r="AI44" s="3" t="e">
        <f t="shared" si="7"/>
        <v>#N/A</v>
      </c>
      <c r="AJ44" s="3" t="e">
        <f t="shared" si="8"/>
        <v>#N/A</v>
      </c>
      <c r="AK44" s="1">
        <f t="shared" si="20"/>
        <v>5.2500000000000018</v>
      </c>
      <c r="AL44" s="1">
        <f t="shared" si="3"/>
        <v>2.8302385058506996</v>
      </c>
      <c r="AM44" s="1">
        <f t="shared" si="9"/>
        <v>3.7811344368032795E-3</v>
      </c>
      <c r="AN44" s="1">
        <f t="shared" si="10"/>
        <v>0</v>
      </c>
      <c r="AO44" s="1">
        <f t="shared" si="11"/>
        <v>3.7711969069116535E-3</v>
      </c>
      <c r="AP44" s="1">
        <f t="shared" si="4"/>
        <v>5.677725798938682</v>
      </c>
      <c r="AQ44" s="1">
        <f t="shared" si="12"/>
        <v>9.2770864807548891E-7</v>
      </c>
      <c r="AR44" s="1">
        <f t="shared" si="13"/>
        <v>9.2770864807548891E-7</v>
      </c>
      <c r="AS44" s="1">
        <f t="shared" si="14"/>
        <v>8.391446102905327E-7</v>
      </c>
    </row>
    <row r="45" spans="1:45" ht="11.25" customHeight="1" x14ac:dyDescent="0.2">
      <c r="AI45" s="3" t="e">
        <f t="shared" si="7"/>
        <v>#N/A</v>
      </c>
      <c r="AJ45" s="3" t="e">
        <f t="shared" si="8"/>
        <v>#N/A</v>
      </c>
      <c r="AK45" s="1">
        <f t="shared" si="20"/>
        <v>5.4000000000000021</v>
      </c>
      <c r="AL45" s="1">
        <f t="shared" si="3"/>
        <v>2.8207516728701942</v>
      </c>
      <c r="AM45" s="1">
        <f t="shared" si="9"/>
        <v>3.8684151977205761E-3</v>
      </c>
      <c r="AN45" s="1">
        <f t="shared" si="10"/>
        <v>0</v>
      </c>
      <c r="AO45" s="1">
        <f t="shared" si="11"/>
        <v>3.8582482776326806E-3</v>
      </c>
      <c r="AP45" s="1">
        <f t="shared" si="4"/>
        <v>5.669101405320041</v>
      </c>
      <c r="AQ45" s="1">
        <f t="shared" si="12"/>
        <v>9.5356837387673417E-7</v>
      </c>
      <c r="AR45" s="1">
        <f t="shared" si="13"/>
        <v>9.5356837387673417E-7</v>
      </c>
      <c r="AS45" s="1">
        <f t="shared" si="14"/>
        <v>8.6253562812217875E-7</v>
      </c>
    </row>
    <row r="46" spans="1:45" ht="11.25" customHeight="1" x14ac:dyDescent="0.2">
      <c r="AI46" s="3" t="e">
        <f t="shared" si="7"/>
        <v>#N/A</v>
      </c>
      <c r="AJ46" s="3" t="e">
        <f t="shared" si="8"/>
        <v>#N/A</v>
      </c>
      <c r="AK46" s="1">
        <f t="shared" si="20"/>
        <v>5.5500000000000025</v>
      </c>
      <c r="AL46" s="1">
        <f t="shared" si="3"/>
        <v>2.8112648398896889</v>
      </c>
      <c r="AM46" s="1">
        <f t="shared" si="9"/>
        <v>3.9575100898962823E-3</v>
      </c>
      <c r="AN46" s="1">
        <f t="shared" si="10"/>
        <v>0</v>
      </c>
      <c r="AO46" s="1">
        <f t="shared" si="11"/>
        <v>3.9471090117351986E-3</v>
      </c>
      <c r="AP46" s="1">
        <f t="shared" si="4"/>
        <v>5.6604770117014001</v>
      </c>
      <c r="AQ46" s="1">
        <f t="shared" si="12"/>
        <v>9.8014498142196953E-7</v>
      </c>
      <c r="AR46" s="1">
        <f t="shared" si="13"/>
        <v>9.8014498142196953E-7</v>
      </c>
      <c r="AS46" s="1">
        <f t="shared" si="14"/>
        <v>8.8657509032580833E-7</v>
      </c>
    </row>
    <row r="47" spans="1:45" ht="11.25" customHeight="1" x14ac:dyDescent="0.2">
      <c r="AI47" s="3" t="e">
        <f t="shared" si="7"/>
        <v>#N/A</v>
      </c>
      <c r="AJ47" s="3" t="e">
        <f t="shared" si="8"/>
        <v>#N/A</v>
      </c>
      <c r="AK47" s="1">
        <f t="shared" si="20"/>
        <v>5.7000000000000028</v>
      </c>
      <c r="AL47" s="1">
        <f t="shared" si="3"/>
        <v>2.801778006909184</v>
      </c>
      <c r="AM47" s="1">
        <f t="shared" si="9"/>
        <v>4.0484509380642186E-3</v>
      </c>
      <c r="AN47" s="1">
        <f t="shared" si="10"/>
        <v>0</v>
      </c>
      <c r="AO47" s="1">
        <f t="shared" si="11"/>
        <v>4.0378108503116633E-3</v>
      </c>
      <c r="AP47" s="1">
        <f t="shared" si="4"/>
        <v>5.6518526180827591</v>
      </c>
      <c r="AQ47" s="1">
        <f t="shared" si="12"/>
        <v>1.0074581641382802E-6</v>
      </c>
      <c r="AR47" s="1">
        <f t="shared" si="13"/>
        <v>1.0074581641382802E-6</v>
      </c>
      <c r="AS47" s="1">
        <f t="shared" si="14"/>
        <v>9.1128081028844851E-7</v>
      </c>
    </row>
    <row r="48" spans="1:45" ht="11.25" customHeight="1" x14ac:dyDescent="0.2">
      <c r="AI48" s="3" t="e">
        <f t="shared" si="7"/>
        <v>#N/A</v>
      </c>
      <c r="AJ48" s="3" t="e">
        <f t="shared" si="8"/>
        <v>#N/A</v>
      </c>
      <c r="AK48" s="1">
        <f t="shared" si="20"/>
        <v>5.8500000000000032</v>
      </c>
      <c r="AL48" s="1">
        <f t="shared" si="3"/>
        <v>2.7922911739286791</v>
      </c>
      <c r="AM48" s="1">
        <f t="shared" si="9"/>
        <v>4.1412699572709877E-3</v>
      </c>
      <c r="AN48" s="1">
        <f t="shared" si="10"/>
        <v>0</v>
      </c>
      <c r="AO48" s="1">
        <f t="shared" si="11"/>
        <v>4.1303859237414985E-3</v>
      </c>
      <c r="AP48" s="1">
        <f t="shared" si="4"/>
        <v>5.6432282244641172</v>
      </c>
      <c r="AQ48" s="1">
        <f t="shared" si="12"/>
        <v>1.0355281494604376E-6</v>
      </c>
      <c r="AR48" s="1">
        <f t="shared" si="13"/>
        <v>1.0355281494604376E-6</v>
      </c>
      <c r="AS48" s="1">
        <f t="shared" si="14"/>
        <v>9.3667108442557847E-7</v>
      </c>
    </row>
    <row r="49" spans="35:45" ht="11.25" customHeight="1" x14ac:dyDescent="0.2">
      <c r="AI49" s="3" t="e">
        <f t="shared" si="7"/>
        <v>#N/A</v>
      </c>
      <c r="AJ49" s="3" t="e">
        <f t="shared" si="8"/>
        <v>#N/A</v>
      </c>
      <c r="AK49" s="1">
        <f t="shared" si="20"/>
        <v>6.0000000000000036</v>
      </c>
      <c r="AL49" s="1">
        <f t="shared" si="3"/>
        <v>2.7828043409481737</v>
      </c>
      <c r="AM49" s="1">
        <f t="shared" si="9"/>
        <v>4.2359997566229768E-3</v>
      </c>
      <c r="AN49" s="1">
        <f t="shared" si="10"/>
        <v>0</v>
      </c>
      <c r="AO49" s="1">
        <f t="shared" si="11"/>
        <v>4.2248667554282476E-3</v>
      </c>
      <c r="AP49" s="1">
        <f t="shared" si="4"/>
        <v>5.6346038308454771</v>
      </c>
      <c r="AQ49" s="1">
        <f t="shared" si="12"/>
        <v>1.0643757121970801E-6</v>
      </c>
      <c r="AR49" s="1">
        <f t="shared" si="13"/>
        <v>1.0643757121970801E-6</v>
      </c>
      <c r="AS49" s="1">
        <f t="shared" si="14"/>
        <v>9.6276470427130168E-7</v>
      </c>
    </row>
    <row r="50" spans="35:45" ht="11.25" customHeight="1" x14ac:dyDescent="0.2">
      <c r="AI50" s="3" t="e">
        <f t="shared" si="7"/>
        <v>#N/A</v>
      </c>
      <c r="AJ50" s="3" t="e">
        <f t="shared" si="8"/>
        <v>#N/A</v>
      </c>
      <c r="AK50" s="1">
        <f t="shared" si="20"/>
        <v>6.1500000000000039</v>
      </c>
      <c r="AL50" s="1">
        <f t="shared" si="3"/>
        <v>2.7733175079676684</v>
      </c>
      <c r="AM50" s="1">
        <f t="shared" si="9"/>
        <v>4.3326733344464788E-3</v>
      </c>
      <c r="AN50" s="1">
        <f t="shared" si="10"/>
        <v>0</v>
      </c>
      <c r="AO50" s="1">
        <f t="shared" si="11"/>
        <v>4.3212862569724196E-3</v>
      </c>
      <c r="AP50" s="1">
        <f t="shared" si="4"/>
        <v>5.6259794372268352</v>
      </c>
      <c r="AQ50" s="1">
        <f t="shared" si="12"/>
        <v>1.0940221900737665E-6</v>
      </c>
      <c r="AR50" s="1">
        <f t="shared" si="13"/>
        <v>1.0940221900737665E-6</v>
      </c>
      <c r="AS50" s="1">
        <f t="shared" si="14"/>
        <v>9.8958097053757711E-7</v>
      </c>
    </row>
    <row r="51" spans="35:45" ht="11.25" customHeight="1" x14ac:dyDescent="0.2">
      <c r="AI51" s="3" t="e">
        <f t="shared" si="7"/>
        <v>#N/A</v>
      </c>
      <c r="AJ51" s="3" t="e">
        <f t="shared" si="8"/>
        <v>#N/A</v>
      </c>
      <c r="AK51" s="1">
        <f t="shared" si="20"/>
        <v>6.3000000000000043</v>
      </c>
      <c r="AL51" s="1">
        <f t="shared" si="3"/>
        <v>2.7638306749871635</v>
      </c>
      <c r="AM51" s="1">
        <f t="shared" si="9"/>
        <v>4.4313240791030153E-3</v>
      </c>
      <c r="AN51" s="1">
        <f t="shared" si="10"/>
        <v>0</v>
      </c>
      <c r="AO51" s="1">
        <f t="shared" si="11"/>
        <v>4.4196777289846638E-3</v>
      </c>
      <c r="AP51" s="1">
        <f t="shared" si="4"/>
        <v>5.6173550436081943</v>
      </c>
      <c r="AQ51" s="1">
        <f t="shared" si="12"/>
        <v>1.1244894975777299E-6</v>
      </c>
      <c r="AR51" s="1">
        <f t="shared" si="13"/>
        <v>1.1244894975777299E-6</v>
      </c>
      <c r="AS51" s="1">
        <f t="shared" si="14"/>
        <v>1.0171397056372793E-6</v>
      </c>
    </row>
    <row r="52" spans="35:45" ht="11.25" customHeight="1" x14ac:dyDescent="0.2">
      <c r="AI52" s="3" t="e">
        <f t="shared" si="7"/>
        <v>#N/A</v>
      </c>
      <c r="AJ52" s="3" t="e">
        <f t="shared" si="8"/>
        <v>#N/A</v>
      </c>
      <c r="AK52" s="1">
        <f t="shared" si="20"/>
        <v>6.4500000000000046</v>
      </c>
      <c r="AL52" s="1">
        <f t="shared" si="3"/>
        <v>2.7543438420066582</v>
      </c>
      <c r="AM52" s="1">
        <f t="shared" si="9"/>
        <v>4.5319857701689439E-3</v>
      </c>
      <c r="AN52" s="1">
        <f t="shared" si="10"/>
        <v>0</v>
      </c>
      <c r="AO52" s="1">
        <f t="shared" si="11"/>
        <v>4.5200748622622805E-3</v>
      </c>
      <c r="AP52" s="1">
        <f t="shared" si="4"/>
        <v>5.6087306499895533</v>
      </c>
      <c r="AQ52" s="1">
        <f t="shared" si="12"/>
        <v>1.155800143012887E-6</v>
      </c>
      <c r="AR52" s="1">
        <f t="shared" si="13"/>
        <v>1.155800143012887E-6</v>
      </c>
      <c r="AS52" s="1">
        <f t="shared" si="14"/>
        <v>1.0454612691110435E-6</v>
      </c>
    </row>
    <row r="53" spans="35:45" ht="11.25" customHeight="1" x14ac:dyDescent="0.2">
      <c r="AI53" s="3" t="e">
        <f t="shared" si="7"/>
        <v>#N/A</v>
      </c>
      <c r="AJ53" s="3" t="e">
        <f t="shared" si="8"/>
        <v>#N/A</v>
      </c>
      <c r="AK53" s="1">
        <f t="shared" si="20"/>
        <v>6.600000000000005</v>
      </c>
      <c r="AL53" s="1">
        <f t="shared" si="3"/>
        <v>2.7448570090261528</v>
      </c>
      <c r="AM53" s="1">
        <f t="shared" si="9"/>
        <v>4.634692577984433E-3</v>
      </c>
      <c r="AN53" s="1">
        <f t="shared" si="10"/>
        <v>0</v>
      </c>
      <c r="AO53" s="1">
        <f t="shared" si="11"/>
        <v>4.6225117373393815E-3</v>
      </c>
      <c r="AP53" s="1">
        <f t="shared" si="4"/>
        <v>5.6001062563709123</v>
      </c>
      <c r="AQ53" s="1">
        <f t="shared" si="12"/>
        <v>1.187977242043893E-6</v>
      </c>
      <c r="AR53" s="1">
        <f t="shared" si="13"/>
        <v>1.187977242043893E-6</v>
      </c>
      <c r="AS53" s="1">
        <f t="shared" si="14"/>
        <v>1.0745665698783338E-6</v>
      </c>
    </row>
    <row r="54" spans="35:45" ht="11.25" customHeight="1" x14ac:dyDescent="0.2">
      <c r="AI54" s="3" t="e">
        <f t="shared" si="7"/>
        <v>#N/A</v>
      </c>
      <c r="AJ54" s="3" t="e">
        <f t="shared" si="8"/>
        <v>#N/A</v>
      </c>
      <c r="AK54" s="1">
        <f t="shared" si="20"/>
        <v>6.7500000000000053</v>
      </c>
      <c r="AL54" s="1">
        <f t="shared" si="3"/>
        <v>2.7353701760456479</v>
      </c>
      <c r="AM54" s="1">
        <f t="shared" si="9"/>
        <v>4.7394790593513481E-3</v>
      </c>
      <c r="AN54" s="1">
        <f t="shared" si="10"/>
        <v>0</v>
      </c>
      <c r="AO54" s="1">
        <f t="shared" si="11"/>
        <v>4.7270228201960803E-3</v>
      </c>
      <c r="AP54" s="1">
        <f t="shared" si="4"/>
        <v>5.5914818627522713</v>
      </c>
      <c r="AQ54" s="1">
        <f t="shared" si="12"/>
        <v>1.2210445358777058E-6</v>
      </c>
      <c r="AR54" s="1">
        <f t="shared" si="13"/>
        <v>1.2210445358777058E-6</v>
      </c>
      <c r="AS54" s="1">
        <f t="shared" si="14"/>
        <v>1.1044770826832975E-6</v>
      </c>
    </row>
    <row r="55" spans="35:45" ht="11.25" customHeight="1" x14ac:dyDescent="0.2">
      <c r="AI55" s="3" t="e">
        <f t="shared" si="7"/>
        <v>#N/A</v>
      </c>
      <c r="AJ55" s="3" t="e">
        <f t="shared" si="8"/>
        <v>#N/A</v>
      </c>
      <c r="AK55" s="1">
        <f t="shared" si="20"/>
        <v>6.9000000000000057</v>
      </c>
      <c r="AL55" s="1">
        <f t="shared" si="3"/>
        <v>2.7258833430651426</v>
      </c>
      <c r="AM55" s="1">
        <f t="shared" si="9"/>
        <v>4.846380161765973E-3</v>
      </c>
      <c r="AN55" s="1">
        <f t="shared" si="10"/>
        <v>0</v>
      </c>
      <c r="AO55" s="1">
        <f t="shared" si="11"/>
        <v>4.8336429664800921E-3</v>
      </c>
      <c r="AP55" s="1">
        <f t="shared" si="4"/>
        <v>5.5828574691336303</v>
      </c>
      <c r="AQ55" s="1">
        <f t="shared" si="12"/>
        <v>1.2550264062348925E-6</v>
      </c>
      <c r="AR55" s="1">
        <f t="shared" si="13"/>
        <v>1.2550264062348925E-6</v>
      </c>
      <c r="AS55" s="1">
        <f t="shared" si="14"/>
        <v>1.13521486163683E-6</v>
      </c>
    </row>
    <row r="56" spans="35:45" ht="11.25" customHeight="1" x14ac:dyDescent="0.2">
      <c r="AI56" s="3" t="e">
        <f t="shared" si="7"/>
        <v>#N/A</v>
      </c>
      <c r="AJ56" s="3" t="e">
        <f t="shared" si="8"/>
        <v>#N/A</v>
      </c>
      <c r="AK56" s="1">
        <f t="shared" si="20"/>
        <v>7.050000000000006</v>
      </c>
      <c r="AL56" s="1">
        <f t="shared" si="3"/>
        <v>2.7163965100846377</v>
      </c>
      <c r="AM56" s="1">
        <f t="shared" si="9"/>
        <v>4.9554312153005098E-3</v>
      </c>
      <c r="AN56" s="1">
        <f t="shared" si="10"/>
        <v>0</v>
      </c>
      <c r="AO56" s="1">
        <f t="shared" si="11"/>
        <v>4.9424074134095672E-3</v>
      </c>
      <c r="AP56" s="1">
        <f t="shared" si="4"/>
        <v>5.5742330755149885</v>
      </c>
      <c r="AQ56" s="1">
        <f t="shared" si="12"/>
        <v>1.2899478923072288E-6</v>
      </c>
      <c r="AR56" s="1">
        <f t="shared" si="13"/>
        <v>1.2899478923072288E-6</v>
      </c>
      <c r="AS56" s="1">
        <f t="shared" si="14"/>
        <v>1.1668025555553115E-6</v>
      </c>
    </row>
    <row r="57" spans="35:45" ht="11.25" customHeight="1" x14ac:dyDescent="0.2">
      <c r="AI57" s="3" t="e">
        <f t="shared" si="7"/>
        <v>#N/A</v>
      </c>
      <c r="AJ57" s="3" t="e">
        <f t="shared" si="8"/>
        <v>#N/A</v>
      </c>
      <c r="AK57" s="1">
        <f t="shared" si="20"/>
        <v>7.2000000000000064</v>
      </c>
      <c r="AL57" s="1">
        <f t="shared" si="3"/>
        <v>2.7069096771041328</v>
      </c>
      <c r="AM57" s="1">
        <f t="shared" si="9"/>
        <v>5.0666679384664404E-3</v>
      </c>
      <c r="AN57" s="1">
        <f t="shared" si="10"/>
        <v>0</v>
      </c>
      <c r="AO57" s="1">
        <f t="shared" si="11"/>
        <v>5.0533517856210467E-3</v>
      </c>
      <c r="AP57" s="1">
        <f t="shared" si="4"/>
        <v>5.5656086818963484</v>
      </c>
      <c r="AQ57" s="1">
        <f t="shared" si="12"/>
        <v>1.3258347105232131E-6</v>
      </c>
      <c r="AR57" s="1">
        <f t="shared" si="13"/>
        <v>1.3258347105232131E-6</v>
      </c>
      <c r="AS57" s="1">
        <f t="shared" si="14"/>
        <v>1.1992634258391993E-6</v>
      </c>
    </row>
    <row r="58" spans="35:45" ht="11.25" customHeight="1" x14ac:dyDescent="0.2">
      <c r="AI58" s="3" t="e">
        <f t="shared" si="7"/>
        <v>#N/A</v>
      </c>
      <c r="AJ58" s="3" t="e">
        <f t="shared" si="8"/>
        <v>#N/A</v>
      </c>
      <c r="AK58" s="1">
        <f t="shared" si="20"/>
        <v>7.3500000000000068</v>
      </c>
      <c r="AL58" s="1">
        <f t="shared" si="3"/>
        <v>2.697422844123627</v>
      </c>
      <c r="AM58" s="1">
        <f t="shared" si="9"/>
        <v>5.1801264313797168E-3</v>
      </c>
      <c r="AN58" s="1">
        <f t="shared" si="10"/>
        <v>0</v>
      </c>
      <c r="AO58" s="1">
        <f t="shared" si="11"/>
        <v>5.1665120883526124E-3</v>
      </c>
      <c r="AP58" s="1">
        <f t="shared" si="4"/>
        <v>5.5569842882777074</v>
      </c>
      <c r="AQ58" s="1">
        <f t="shared" si="12"/>
        <v>1.3627132695066683E-6</v>
      </c>
      <c r="AR58" s="1">
        <f t="shared" si="13"/>
        <v>1.3627132695066683E-6</v>
      </c>
      <c r="AS58" s="1">
        <f t="shared" si="14"/>
        <v>1.2326213600036006E-6</v>
      </c>
    </row>
    <row r="59" spans="35:45" ht="11.25" customHeight="1" x14ac:dyDescent="0.2">
      <c r="AI59" s="3" t="e">
        <f t="shared" si="7"/>
        <v>#N/A</v>
      </c>
      <c r="AJ59" s="3" t="e">
        <f t="shared" si="8"/>
        <v>#N/A</v>
      </c>
      <c r="AK59" s="1">
        <f t="shared" si="20"/>
        <v>7.5000000000000071</v>
      </c>
      <c r="AL59" s="1">
        <f t="shared" si="3"/>
        <v>2.6879360111431221</v>
      </c>
      <c r="AM59" s="1">
        <f t="shared" si="9"/>
        <v>5.2958431783281523E-3</v>
      </c>
      <c r="AN59" s="1">
        <f t="shared" si="10"/>
        <v>0</v>
      </c>
      <c r="AO59" s="1">
        <f t="shared" si="11"/>
        <v>5.2819247100045312E-3</v>
      </c>
      <c r="AP59" s="1">
        <f t="shared" si="4"/>
        <v>5.5483598946590664</v>
      </c>
      <c r="AQ59" s="1">
        <f t="shared" si="12"/>
        <v>1.4006106890248688E-6</v>
      </c>
      <c r="AR59" s="1">
        <f t="shared" si="13"/>
        <v>1.4006106890248688E-6</v>
      </c>
      <c r="AS59" s="1">
        <f t="shared" si="14"/>
        <v>1.2669008888175106E-6</v>
      </c>
    </row>
    <row r="60" spans="35:45" ht="11.25" customHeight="1" x14ac:dyDescent="0.2">
      <c r="AI60" s="3" t="e">
        <f t="shared" si="7"/>
        <v>#N/A</v>
      </c>
      <c r="AJ60" s="3" t="e">
        <f t="shared" si="8"/>
        <v>#N/A</v>
      </c>
      <c r="AK60" s="1">
        <f t="shared" si="20"/>
        <v>7.6500000000000075</v>
      </c>
      <c r="AL60" s="1">
        <f t="shared" si="3"/>
        <v>2.6784491781626172</v>
      </c>
      <c r="AM60" s="1">
        <f t="shared" si="9"/>
        <v>5.413855036842663E-3</v>
      </c>
      <c r="AN60" s="1">
        <f t="shared" si="10"/>
        <v>0</v>
      </c>
      <c r="AO60" s="1">
        <f t="shared" si="11"/>
        <v>5.3996264112392217E-3</v>
      </c>
      <c r="AP60" s="1">
        <f t="shared" si="4"/>
        <v>5.5397355010404254</v>
      </c>
      <c r="AQ60" s="1">
        <f t="shared" si="12"/>
        <v>1.4395548205036786E-6</v>
      </c>
      <c r="AR60" s="1">
        <f t="shared" si="13"/>
        <v>1.4395548205036786E-6</v>
      </c>
      <c r="AS60" s="1">
        <f t="shared" si="14"/>
        <v>1.302127204860465E-6</v>
      </c>
    </row>
    <row r="61" spans="35:45" ht="11.25" customHeight="1" x14ac:dyDescent="0.2">
      <c r="AI61" s="3" t="e">
        <f t="shared" si="7"/>
        <v>#N/A</v>
      </c>
      <c r="AJ61" s="3" t="e">
        <f t="shared" si="8"/>
        <v>#N/A</v>
      </c>
      <c r="AK61" s="1">
        <f t="shared" si="20"/>
        <v>7.8000000000000078</v>
      </c>
      <c r="AL61" s="1">
        <f t="shared" si="3"/>
        <v>2.6689623451821114</v>
      </c>
      <c r="AM61" s="1">
        <f t="shared" si="9"/>
        <v>5.5341992495974712E-3</v>
      </c>
      <c r="AN61" s="1">
        <f t="shared" si="10"/>
        <v>0</v>
      </c>
      <c r="AO61" s="1">
        <f t="shared" si="11"/>
        <v>5.5196543368501777E-3</v>
      </c>
      <c r="AP61" s="1">
        <f t="shared" si="4"/>
        <v>5.5311111074217836</v>
      </c>
      <c r="AQ61" s="1">
        <f t="shared" si="12"/>
        <v>1.4795742642477309E-6</v>
      </c>
      <c r="AR61" s="1">
        <f t="shared" si="13"/>
        <v>1.4795742642477309E-6</v>
      </c>
      <c r="AS61" s="1">
        <f t="shared" si="14"/>
        <v>1.3383261780987893E-6</v>
      </c>
    </row>
    <row r="62" spans="35:45" ht="11.25" customHeight="1" x14ac:dyDescent="0.2">
      <c r="AI62" s="3" t="e">
        <f t="shared" si="7"/>
        <v>#N/A</v>
      </c>
      <c r="AJ62" s="3" t="e">
        <f t="shared" si="8"/>
        <v>#N/A</v>
      </c>
      <c r="AK62" s="1">
        <f t="shared" si="20"/>
        <v>7.9500000000000082</v>
      </c>
      <c r="AL62" s="1">
        <f t="shared" si="3"/>
        <v>2.6594755122016065</v>
      </c>
      <c r="AM62" s="1">
        <f t="shared" si="9"/>
        <v>5.6569134282771771E-3</v>
      </c>
      <c r="AN62" s="1">
        <f t="shared" si="10"/>
        <v>0</v>
      </c>
      <c r="AO62" s="1">
        <f t="shared" si="11"/>
        <v>5.6420459996714455E-3</v>
      </c>
      <c r="AP62" s="1">
        <f t="shared" si="4"/>
        <v>5.5224867138031435</v>
      </c>
      <c r="AQ62" s="1">
        <f t="shared" si="12"/>
        <v>1.5206983901673246E-6</v>
      </c>
      <c r="AR62" s="1">
        <f t="shared" si="13"/>
        <v>1.5206983901673246E-6</v>
      </c>
      <c r="AS62" s="1">
        <f t="shared" si="14"/>
        <v>1.3755243746337948E-6</v>
      </c>
    </row>
    <row r="63" spans="35:45" ht="11.25" customHeight="1" x14ac:dyDescent="0.2">
      <c r="AI63" s="3" t="e">
        <f t="shared" si="7"/>
        <v>#N/A</v>
      </c>
      <c r="AJ63" s="3" t="e">
        <f t="shared" si="8"/>
        <v>#N/A</v>
      </c>
      <c r="AK63" s="1">
        <f t="shared" si="20"/>
        <v>8.1000000000000085</v>
      </c>
      <c r="AL63" s="1">
        <f t="shared" si="3"/>
        <v>2.6499886792211016</v>
      </c>
      <c r="AM63" s="1">
        <f t="shared" si="9"/>
        <v>5.7820355581564287E-3</v>
      </c>
      <c r="AN63" s="1">
        <f t="shared" si="10"/>
        <v>0</v>
      </c>
      <c r="AO63" s="1">
        <f t="shared" si="11"/>
        <v>5.7668392851452522E-3</v>
      </c>
      <c r="AP63" s="1">
        <f t="shared" si="4"/>
        <v>5.5138623201845016</v>
      </c>
      <c r="AQ63" s="1">
        <f t="shared" si="12"/>
        <v>1.5629573578022828E-6</v>
      </c>
      <c r="AR63" s="1">
        <f t="shared" si="13"/>
        <v>1.5629573578022828E-6</v>
      </c>
      <c r="AS63" s="1">
        <f t="shared" si="14"/>
        <v>1.4137490748140519E-6</v>
      </c>
    </row>
    <row r="64" spans="35:45" ht="11.25" customHeight="1" x14ac:dyDescent="0.2">
      <c r="AI64" s="3" t="e">
        <f t="shared" si="7"/>
        <v>#N/A</v>
      </c>
      <c r="AJ64" s="3" t="e">
        <f t="shared" si="8"/>
        <v>#N/A</v>
      </c>
      <c r="AK64" s="1">
        <f t="shared" si="20"/>
        <v>8.2500000000000089</v>
      </c>
      <c r="AL64" s="1">
        <f t="shared" si="3"/>
        <v>2.6405018462405963</v>
      </c>
      <c r="AM64" s="1">
        <f t="shared" si="9"/>
        <v>5.9096039930692235E-3</v>
      </c>
      <c r="AN64" s="1">
        <f t="shared" si="10"/>
        <v>0</v>
      </c>
      <c r="AO64" s="1">
        <f t="shared" si="11"/>
        <v>5.8940724463045317E-3</v>
      </c>
      <c r="AP64" s="1">
        <f t="shared" si="4"/>
        <v>5.5052379265658606</v>
      </c>
      <c r="AQ64" s="1">
        <f t="shared" si="12"/>
        <v>1.6063821366846254E-6</v>
      </c>
      <c r="AR64" s="1">
        <f t="shared" si="13"/>
        <v>1.6063821366846254E-6</v>
      </c>
      <c r="AS64" s="1">
        <f t="shared" si="14"/>
        <v>1.4530282916541334E-6</v>
      </c>
    </row>
    <row r="65" spans="35:45" ht="11.25" customHeight="1" x14ac:dyDescent="0.2">
      <c r="AI65" s="3" t="e">
        <f t="shared" si="7"/>
        <v>#N/A</v>
      </c>
      <c r="AJ65" s="3" t="e">
        <f t="shared" si="8"/>
        <v>#N/A</v>
      </c>
      <c r="AK65" s="1">
        <f t="shared" si="20"/>
        <v>8.4000000000000092</v>
      </c>
      <c r="AL65" s="1">
        <f t="shared" si="3"/>
        <v>2.6310150132600914</v>
      </c>
      <c r="AM65" s="1">
        <f t="shared" si="9"/>
        <v>6.0396574528068236E-3</v>
      </c>
      <c r="AN65" s="1">
        <f t="shared" si="10"/>
        <v>0</v>
      </c>
      <c r="AO65" s="1">
        <f t="shared" si="11"/>
        <v>6.0237841011776781E-3</v>
      </c>
      <c r="AP65" s="1">
        <f t="shared" si="4"/>
        <v>5.4966135329472197</v>
      </c>
      <c r="AQ65" s="1">
        <f t="shared" si="12"/>
        <v>1.6510045293439832E-6</v>
      </c>
      <c r="AR65" s="1">
        <f t="shared" si="13"/>
        <v>1.6510045293439832E-6</v>
      </c>
      <c r="AS65" s="1">
        <f t="shared" si="14"/>
        <v>1.4933907916438081E-6</v>
      </c>
    </row>
    <row r="66" spans="35:45" ht="11.25" customHeight="1" x14ac:dyDescent="0.2">
      <c r="AI66" s="3" t="e">
        <f t="shared" si="7"/>
        <v>#N/A</v>
      </c>
      <c r="AJ66" s="3" t="e">
        <f t="shared" si="8"/>
        <v>#N/A</v>
      </c>
      <c r="AK66" s="1">
        <f t="shared" si="20"/>
        <v>8.5500000000000096</v>
      </c>
      <c r="AL66" s="1">
        <f t="shared" si="3"/>
        <v>2.621528180279586</v>
      </c>
      <c r="AM66" s="1">
        <f t="shared" si="9"/>
        <v>6.1722350189544195E-3</v>
      </c>
      <c r="AN66" s="1">
        <f t="shared" si="10"/>
        <v>0</v>
      </c>
      <c r="AO66" s="1">
        <f t="shared" si="11"/>
        <v>6.1560132286361527E-3</v>
      </c>
      <c r="AP66" s="1">
        <f t="shared" si="4"/>
        <v>5.4879891393285787</v>
      </c>
      <c r="AQ66" s="1">
        <f t="shared" si="12"/>
        <v>1.6968571909333521E-6</v>
      </c>
      <c r="AR66" s="1">
        <f t="shared" si="13"/>
        <v>1.6968571909333521E-6</v>
      </c>
      <c r="AS66" s="1">
        <f t="shared" si="14"/>
        <v>1.5348661125002151E-6</v>
      </c>
    </row>
    <row r="67" spans="35:45" ht="11.25" customHeight="1" x14ac:dyDescent="0.2">
      <c r="AI67" s="3" t="e">
        <f t="shared" si="7"/>
        <v>#N/A</v>
      </c>
      <c r="AJ67" s="3" t="e">
        <f t="shared" si="8"/>
        <v>#N/A</v>
      </c>
      <c r="AK67" s="1">
        <f t="shared" si="20"/>
        <v>8.7000000000000099</v>
      </c>
      <c r="AL67" s="1">
        <f t="shared" si="3"/>
        <v>2.6120413472990807</v>
      </c>
      <c r="AM67" s="1">
        <f t="shared" si="9"/>
        <v>6.3073761313522936E-3</v>
      </c>
      <c r="AN67" s="1">
        <f t="shared" si="10"/>
        <v>0</v>
      </c>
      <c r="AO67" s="1">
        <f t="shared" si="11"/>
        <v>6.2907991648649469E-3</v>
      </c>
      <c r="AP67" s="1">
        <f t="shared" si="4"/>
        <v>5.4793647457099368</v>
      </c>
      <c r="AQ67" s="1">
        <f t="shared" si="12"/>
        <v>1.7439736521836853E-6</v>
      </c>
      <c r="AR67" s="1">
        <f t="shared" si="13"/>
        <v>1.7439736521836853E-6</v>
      </c>
      <c r="AS67" s="1">
        <f t="shared" si="14"/>
        <v>1.5774845839310889E-6</v>
      </c>
    </row>
    <row r="68" spans="35:45" ht="11.25" customHeight="1" x14ac:dyDescent="0.2">
      <c r="AI68" s="3" t="e">
        <f t="shared" si="7"/>
        <v>#N/A</v>
      </c>
      <c r="AJ68" s="3" t="e">
        <f t="shared" si="8"/>
        <v>#N/A</v>
      </c>
      <c r="AK68" s="1">
        <f t="shared" si="20"/>
        <v>8.8500000000000103</v>
      </c>
      <c r="AL68" s="1">
        <f t="shared" si="3"/>
        <v>2.6025545143185758</v>
      </c>
      <c r="AM68" s="1">
        <f t="shared" si="9"/>
        <v>6.4451205850427074E-3</v>
      </c>
      <c r="AN68" s="1">
        <f t="shared" si="10"/>
        <v>0</v>
      </c>
      <c r="AO68" s="1">
        <f t="shared" si="11"/>
        <v>6.4281816003174917E-3</v>
      </c>
      <c r="AP68" s="1">
        <f t="shared" si="4"/>
        <v>5.4707403520912967</v>
      </c>
      <c r="AQ68" s="1">
        <f t="shared" si="12"/>
        <v>1.7923883443405437E-6</v>
      </c>
      <c r="AR68" s="1">
        <f t="shared" si="13"/>
        <v>1.7923883443405437E-6</v>
      </c>
      <c r="AS68" s="1">
        <f t="shared" si="14"/>
        <v>1.6212773501908224E-6</v>
      </c>
    </row>
    <row r="69" spans="35:45" ht="11.25" customHeight="1" x14ac:dyDescent="0.2">
      <c r="AI69" s="3" t="e">
        <f t="shared" si="7"/>
        <v>#N/A</v>
      </c>
      <c r="AJ69" s="3" t="e">
        <f t="shared" si="8"/>
        <v>#N/A</v>
      </c>
      <c r="AK69" s="1">
        <f t="shared" si="20"/>
        <v>9.0000000000000107</v>
      </c>
      <c r="AL69" s="1">
        <f t="shared" si="3"/>
        <v>2.5930676813380704</v>
      </c>
      <c r="AM69" s="1">
        <f t="shared" si="9"/>
        <v>6.5855085216656728E-3</v>
      </c>
      <c r="AN69" s="1">
        <f t="shared" si="10"/>
        <v>0</v>
      </c>
      <c r="AO69" s="1">
        <f t="shared" si="11"/>
        <v>6.5682005711340486E-3</v>
      </c>
      <c r="AP69" s="1">
        <f t="shared" si="4"/>
        <v>5.4621159584726549</v>
      </c>
      <c r="AQ69" s="1">
        <f t="shared" si="12"/>
        <v>1.8421366191032513E-6</v>
      </c>
      <c r="AR69" s="1">
        <f t="shared" si="13"/>
        <v>1.8421366191032513E-6</v>
      </c>
      <c r="AS69" s="1">
        <f t="shared" si="14"/>
        <v>1.6662763881161233E-6</v>
      </c>
    </row>
    <row r="70" spans="35:45" ht="11.25" customHeight="1" x14ac:dyDescent="0.2">
      <c r="AI70" s="3" t="e">
        <f t="shared" si="7"/>
        <v>#N/A</v>
      </c>
      <c r="AJ70" s="3" t="e">
        <f t="shared" si="8"/>
        <v>#N/A</v>
      </c>
      <c r="AK70" s="1">
        <f t="shared" si="20"/>
        <v>9.150000000000011</v>
      </c>
      <c r="AL70" s="1">
        <f t="shared" si="3"/>
        <v>2.5835808483575651</v>
      </c>
      <c r="AM70" s="1">
        <f t="shared" si="9"/>
        <v>6.7285804331712606E-3</v>
      </c>
      <c r="AN70" s="1">
        <f t="shared" si="10"/>
        <v>0</v>
      </c>
      <c r="AO70" s="1">
        <f t="shared" si="11"/>
        <v>6.7108964628442543E-3</v>
      </c>
      <c r="AP70" s="1">
        <f t="shared" si="4"/>
        <v>5.4534915648540148</v>
      </c>
      <c r="AQ70" s="1">
        <f t="shared" si="12"/>
        <v>1.8932547765092197E-6</v>
      </c>
      <c r="AR70" s="1">
        <f t="shared" si="13"/>
        <v>1.8932547765092197E-6</v>
      </c>
      <c r="AS70" s="1">
        <f t="shared" si="14"/>
        <v>1.7125145323483532E-6</v>
      </c>
    </row>
    <row r="71" spans="35:45" ht="11.25" customHeight="1" x14ac:dyDescent="0.2">
      <c r="AI71" s="3" t="e">
        <f t="shared" si="7"/>
        <v>#N/A</v>
      </c>
      <c r="AJ71" s="3" t="e">
        <f t="shared" si="8"/>
        <v>#N/A</v>
      </c>
      <c r="AK71" s="1">
        <f t="shared" si="20"/>
        <v>9.3000000000000114</v>
      </c>
      <c r="AL71" s="1">
        <f t="shared" si="3"/>
        <v>2.5740940153770602</v>
      </c>
      <c r="AM71" s="1">
        <f t="shared" si="9"/>
        <v>6.8743771494336747E-3</v>
      </c>
      <c r="AN71" s="1">
        <f t="shared" si="10"/>
        <v>0</v>
      </c>
      <c r="AO71" s="1">
        <f t="shared" si="11"/>
        <v>6.856309998013752E-3</v>
      </c>
      <c r="AP71" s="1">
        <f t="shared" si="4"/>
        <v>5.4448671712353738</v>
      </c>
      <c r="AQ71" s="1">
        <f t="shared" si="12"/>
        <v>1.9457800874734952E-6</v>
      </c>
      <c r="AR71" s="1">
        <f t="shared" si="13"/>
        <v>1.9457800874734952E-6</v>
      </c>
      <c r="AS71" s="1">
        <f t="shared" si="14"/>
        <v>1.7600254957213275E-6</v>
      </c>
    </row>
    <row r="72" spans="35:45" ht="11.25" customHeight="1" x14ac:dyDescent="0.2">
      <c r="AI72" s="3" t="e">
        <f t="shared" si="7"/>
        <v>#N/A</v>
      </c>
      <c r="AJ72" s="3" t="e">
        <f t="shared" si="8"/>
        <v>#N/A</v>
      </c>
      <c r="AK72" s="1">
        <f t="shared" si="20"/>
        <v>9.4500000000000117</v>
      </c>
      <c r="AL72" s="1">
        <f t="shared" si="3"/>
        <v>2.5646071823965553</v>
      </c>
      <c r="AM72" s="1">
        <f t="shared" si="9"/>
        <v>7.0229398357532502E-3</v>
      </c>
      <c r="AN72" s="1">
        <f t="shared" si="10"/>
        <v>0</v>
      </c>
      <c r="AO72" s="1">
        <f t="shared" si="11"/>
        <v>7.0044822337527526E-3</v>
      </c>
      <c r="AP72" s="1">
        <f t="shared" si="4"/>
        <v>5.4362427776167319</v>
      </c>
      <c r="AQ72" s="1">
        <f t="shared" si="12"/>
        <v>1.9997508187847006E-6</v>
      </c>
      <c r="AR72" s="1">
        <f t="shared" si="13"/>
        <v>1.9997508187847006E-6</v>
      </c>
      <c r="AS72" s="1">
        <f t="shared" si="14"/>
        <v>1.808843891871011E-6</v>
      </c>
    </row>
    <row r="73" spans="35:45" ht="11.25" customHeight="1" x14ac:dyDescent="0.2">
      <c r="AI73" s="3" t="e">
        <f t="shared" si="7"/>
        <v>#N/A</v>
      </c>
      <c r="AJ73" s="3" t="e">
        <f t="shared" si="8"/>
        <v>#N/A</v>
      </c>
      <c r="AK73" s="1">
        <f t="shared" si="20"/>
        <v>9.6000000000000121</v>
      </c>
      <c r="AL73" s="1">
        <f t="shared" ref="AL73:AL136" si="21">ABS(($AL$5-AK73)/$AL$6)</f>
        <v>2.5551203494160499</v>
      </c>
      <c r="AM73" s="1">
        <f t="shared" si="9"/>
        <v>7.1743099878604499E-3</v>
      </c>
      <c r="AN73" s="1">
        <f t="shared" si="10"/>
        <v>0</v>
      </c>
      <c r="AO73" s="1">
        <f t="shared" si="11"/>
        <v>7.1554545567331634E-3</v>
      </c>
      <c r="AP73" s="1">
        <f t="shared" ref="AP73:AP136" si="22">ABS(($AP$5-AK73)/$AP$6)</f>
        <v>5.4276183839980918</v>
      </c>
      <c r="AQ73" s="1">
        <f t="shared" si="12"/>
        <v>2.0552062620312109E-6</v>
      </c>
      <c r="AR73" s="1">
        <f t="shared" si="13"/>
        <v>2.0552062620312109E-6</v>
      </c>
      <c r="AS73" s="1">
        <f t="shared" si="14"/>
        <v>1.859005261400246E-6</v>
      </c>
    </row>
    <row r="74" spans="35:45" ht="11.25" customHeight="1" x14ac:dyDescent="0.2">
      <c r="AI74" s="3" t="e">
        <f t="shared" ref="AI74:AI137" si="23">IF($M$18,AI73,NA())</f>
        <v>#N/A</v>
      </c>
      <c r="AJ74" s="3" t="e">
        <f t="shared" ref="AJ74:AJ137" si="24">IF($M$18,AJ73,NA())</f>
        <v>#N/A</v>
      </c>
      <c r="AK74" s="1">
        <f t="shared" si="20"/>
        <v>9.7500000000000124</v>
      </c>
      <c r="AL74" s="1">
        <f t="shared" si="21"/>
        <v>2.5456335164355446</v>
      </c>
      <c r="AM74" s="1">
        <f t="shared" ref="AM74:AM137" si="25">$AL$3*ABS((TDIST(AL74,$AL$7,1)-TDIST(AL74+$AL$1,$AL$7,1))/($AL$1))</f>
        <v>7.3285294253586097E-3</v>
      </c>
      <c r="AN74" s="1">
        <f t="shared" ref="AN74:AN137" si="26">IF(($D$10&gt;$AJ$5)=($D$10&gt;AK74),AM74,0)</f>
        <v>0</v>
      </c>
      <c r="AO74" s="1">
        <f t="shared" ref="AO74:AO137" si="27">AM74*$AN$5/$AN$7</f>
        <v>7.309268676648566E-3</v>
      </c>
      <c r="AP74" s="1">
        <f t="shared" si="22"/>
        <v>5.41899399037945</v>
      </c>
      <c r="AQ74" s="1">
        <f t="shared" ref="AQ74:AQ137" si="28">$AL$3*ABS((TDIST(AP74,$AP$7,1)-TDIST(AP74+$AL$1,$AP$7,1))/($AL$1))</f>
        <v>2.1121867563948089E-6</v>
      </c>
      <c r="AR74" s="1">
        <f t="shared" ref="AR74:AR137" si="29">IF(($D$19&gt;$AJ$5)=($D$19&gt;AK74),AQ74,0)</f>
        <v>2.1121867563948089E-6</v>
      </c>
      <c r="AS74" s="1">
        <f t="shared" ref="AS74:AS137" si="30">AQ74*$AN$5/$AR$7</f>
        <v>1.9105460924964033E-6</v>
      </c>
    </row>
    <row r="75" spans="35:45" ht="11.25" customHeight="1" x14ac:dyDescent="0.2">
      <c r="AI75" s="3" t="e">
        <f t="shared" si="23"/>
        <v>#N/A</v>
      </c>
      <c r="AJ75" s="3" t="e">
        <f t="shared" si="24"/>
        <v>#N/A</v>
      </c>
      <c r="AK75" s="1">
        <f t="shared" si="20"/>
        <v>9.9000000000000128</v>
      </c>
      <c r="AL75" s="1">
        <f t="shared" si="21"/>
        <v>2.5361466834550397</v>
      </c>
      <c r="AM75" s="1">
        <f t="shared" si="25"/>
        <v>7.485640289399409E-3</v>
      </c>
      <c r="AN75" s="1">
        <f t="shared" si="26"/>
        <v>0</v>
      </c>
      <c r="AO75" s="1">
        <f t="shared" si="27"/>
        <v>7.4659666238957945E-3</v>
      </c>
      <c r="AP75" s="1">
        <f t="shared" si="22"/>
        <v>5.4103695967608099</v>
      </c>
      <c r="AQ75" s="1">
        <f t="shared" si="28"/>
        <v>2.1707337199146735E-6</v>
      </c>
      <c r="AR75" s="1">
        <f t="shared" si="29"/>
        <v>2.1707337199146735E-6</v>
      </c>
      <c r="AS75" s="1">
        <f t="shared" si="30"/>
        <v>1.9635038492107433E-6</v>
      </c>
    </row>
    <row r="76" spans="35:45" ht="11.25" customHeight="1" x14ac:dyDescent="0.2">
      <c r="AI76" s="3" t="e">
        <f t="shared" si="23"/>
        <v>#N/A</v>
      </c>
      <c r="AJ76" s="3" t="e">
        <f t="shared" si="24"/>
        <v>#N/A</v>
      </c>
      <c r="AK76" s="1">
        <f t="shared" si="20"/>
        <v>10.050000000000013</v>
      </c>
      <c r="AL76" s="1">
        <f t="shared" si="21"/>
        <v>2.5266598504745343</v>
      </c>
      <c r="AM76" s="1">
        <f t="shared" si="25"/>
        <v>7.6456850272438315E-3</v>
      </c>
      <c r="AN76" s="1">
        <f t="shared" si="26"/>
        <v>0</v>
      </c>
      <c r="AO76" s="1">
        <f t="shared" si="27"/>
        <v>7.6255907341764764E-3</v>
      </c>
      <c r="AP76" s="1">
        <f t="shared" si="22"/>
        <v>5.401745203142168</v>
      </c>
      <c r="AQ76" s="1">
        <f t="shared" si="28"/>
        <v>2.2308896727807826E-6</v>
      </c>
      <c r="AR76" s="1">
        <f t="shared" si="29"/>
        <v>2.2308896727807826E-6</v>
      </c>
      <c r="AS76" s="1">
        <f t="shared" si="30"/>
        <v>2.0179169925281043E-6</v>
      </c>
    </row>
    <row r="77" spans="35:45" ht="11.25" customHeight="1" x14ac:dyDescent="0.2">
      <c r="AI77" s="3" t="e">
        <f t="shared" si="23"/>
        <v>#N/A</v>
      </c>
      <c r="AJ77" s="3" t="e">
        <f t="shared" si="24"/>
        <v>#N/A</v>
      </c>
      <c r="AK77" s="1">
        <f t="shared" si="20"/>
        <v>10.200000000000014</v>
      </c>
      <c r="AL77" s="1">
        <f t="shared" si="21"/>
        <v>2.517173017494029</v>
      </c>
      <c r="AM77" s="1">
        <f t="shared" si="25"/>
        <v>7.8087063990622818E-3</v>
      </c>
      <c r="AN77" s="1">
        <f t="shared" si="26"/>
        <v>0</v>
      </c>
      <c r="AO77" s="1">
        <f t="shared" si="27"/>
        <v>7.7881836552792759E-3</v>
      </c>
      <c r="AP77" s="1">
        <f t="shared" si="22"/>
        <v>5.393120809523527</v>
      </c>
      <c r="AQ77" s="1">
        <f t="shared" si="28"/>
        <v>2.2926982721469701E-6</v>
      </c>
      <c r="AR77" s="1">
        <f t="shared" si="29"/>
        <v>2.2926982721469701E-6</v>
      </c>
      <c r="AS77" s="1">
        <f t="shared" si="30"/>
        <v>2.0738250118565203E-6</v>
      </c>
    </row>
    <row r="78" spans="35:45" ht="11.25" customHeight="1" x14ac:dyDescent="0.2">
      <c r="AI78" s="3" t="e">
        <f t="shared" si="23"/>
        <v>#N/A</v>
      </c>
      <c r="AJ78" s="3" t="e">
        <f t="shared" si="24"/>
        <v>#N/A</v>
      </c>
      <c r="AK78" s="1">
        <f t="shared" si="20"/>
        <v>10.350000000000014</v>
      </c>
      <c r="AL78" s="1">
        <f t="shared" si="21"/>
        <v>2.5076861845135241</v>
      </c>
      <c r="AM78" s="1">
        <f t="shared" si="25"/>
        <v>7.9747474565627918E-3</v>
      </c>
      <c r="AN78" s="1">
        <f t="shared" si="26"/>
        <v>0</v>
      </c>
      <c r="AO78" s="1">
        <f t="shared" si="27"/>
        <v>7.9537883257642678E-3</v>
      </c>
      <c r="AP78" s="1">
        <f t="shared" si="22"/>
        <v>5.384496415904886</v>
      </c>
      <c r="AQ78" s="1">
        <f t="shared" si="28"/>
        <v>2.3562043356614986E-6</v>
      </c>
      <c r="AR78" s="1">
        <f t="shared" si="29"/>
        <v>2.3562043356614986E-6</v>
      </c>
      <c r="AS78" s="1">
        <f t="shared" si="30"/>
        <v>2.1312684463114378E-6</v>
      </c>
    </row>
    <row r="79" spans="35:45" ht="11.25" customHeight="1" x14ac:dyDescent="0.2">
      <c r="AI79" s="3" t="e">
        <f t="shared" si="23"/>
        <v>#N/A</v>
      </c>
      <c r="AJ79" s="3" t="e">
        <f t="shared" si="24"/>
        <v>#N/A</v>
      </c>
      <c r="AK79" s="1">
        <f t="shared" si="20"/>
        <v>10.500000000000014</v>
      </c>
      <c r="AL79" s="1">
        <f t="shared" si="21"/>
        <v>2.4981993515330188</v>
      </c>
      <c r="AM79" s="1">
        <f t="shared" si="25"/>
        <v>8.1438515481951912E-3</v>
      </c>
      <c r="AN79" s="1">
        <f t="shared" si="26"/>
        <v>0</v>
      </c>
      <c r="AO79" s="1">
        <f t="shared" si="27"/>
        <v>8.122447980153432E-3</v>
      </c>
      <c r="AP79" s="1">
        <f t="shared" si="22"/>
        <v>5.3758720222862451</v>
      </c>
      <c r="AQ79" s="1">
        <f t="shared" si="28"/>
        <v>2.4214538760429467E-6</v>
      </c>
      <c r="AR79" s="1">
        <f t="shared" si="29"/>
        <v>2.4214538760429467E-6</v>
      </c>
      <c r="AS79" s="1">
        <f t="shared" si="30"/>
        <v>2.1902889159908055E-6</v>
      </c>
    </row>
    <row r="80" spans="35:45" ht="11.25" customHeight="1" x14ac:dyDescent="0.2">
      <c r="AI80" s="3" t="e">
        <f t="shared" si="23"/>
        <v>#N/A</v>
      </c>
      <c r="AJ80" s="3" t="e">
        <f t="shared" si="24"/>
        <v>#N/A</v>
      </c>
      <c r="AK80" s="1">
        <f t="shared" si="20"/>
        <v>10.650000000000015</v>
      </c>
      <c r="AL80" s="1">
        <f t="shared" si="21"/>
        <v>2.4887125185525139</v>
      </c>
      <c r="AM80" s="1">
        <f t="shared" si="25"/>
        <v>8.3160623041284021E-3</v>
      </c>
      <c r="AN80" s="1">
        <f t="shared" si="26"/>
        <v>0</v>
      </c>
      <c r="AO80" s="1">
        <f t="shared" si="27"/>
        <v>8.2942061339474314E-3</v>
      </c>
      <c r="AP80" s="1">
        <f t="shared" si="22"/>
        <v>5.3672476286676032</v>
      </c>
      <c r="AQ80" s="1">
        <f t="shared" si="28"/>
        <v>2.488494129777684E-6</v>
      </c>
      <c r="AR80" s="1">
        <f t="shared" si="29"/>
        <v>2.488494129777684E-6</v>
      </c>
      <c r="AS80" s="1">
        <f t="shared" si="30"/>
        <v>2.2509291479329325E-6</v>
      </c>
    </row>
    <row r="81" spans="35:45" ht="11.25" customHeight="1" x14ac:dyDescent="0.2">
      <c r="AI81" s="3" t="e">
        <f t="shared" si="23"/>
        <v>#N/A</v>
      </c>
      <c r="AJ81" s="3" t="e">
        <f t="shared" si="24"/>
        <v>#N/A</v>
      </c>
      <c r="AK81" s="1">
        <f t="shared" si="20"/>
        <v>10.800000000000015</v>
      </c>
      <c r="AL81" s="1">
        <f t="shared" si="21"/>
        <v>2.479225685572009</v>
      </c>
      <c r="AM81" s="1">
        <f t="shared" si="25"/>
        <v>8.4914236282013205E-3</v>
      </c>
      <c r="AN81" s="1">
        <f t="shared" si="26"/>
        <v>0</v>
      </c>
      <c r="AO81" s="1">
        <f t="shared" si="27"/>
        <v>8.4691065755976448E-3</v>
      </c>
      <c r="AP81" s="1">
        <f t="shared" si="22"/>
        <v>5.3586232350489631</v>
      </c>
      <c r="AQ81" s="1">
        <f t="shared" si="28"/>
        <v>2.5573735888836067E-6</v>
      </c>
      <c r="AR81" s="1">
        <f t="shared" si="29"/>
        <v>2.5573735888836067E-6</v>
      </c>
      <c r="AS81" s="1">
        <f t="shared" si="30"/>
        <v>2.313233004847888E-6</v>
      </c>
    </row>
    <row r="82" spans="35:45" ht="11.25" customHeight="1" x14ac:dyDescent="0.2">
      <c r="AI82" s="3" t="e">
        <f t="shared" si="23"/>
        <v>#N/A</v>
      </c>
      <c r="AJ82" s="3" t="e">
        <f t="shared" si="24"/>
        <v>#N/A</v>
      </c>
      <c r="AK82" s="1">
        <f t="shared" si="20"/>
        <v>10.950000000000015</v>
      </c>
      <c r="AL82" s="1">
        <f t="shared" si="21"/>
        <v>2.4697388525915032</v>
      </c>
      <c r="AM82" s="1">
        <f t="shared" si="25"/>
        <v>8.6699796960493219E-3</v>
      </c>
      <c r="AN82" s="1">
        <f t="shared" si="26"/>
        <v>0</v>
      </c>
      <c r="AO82" s="1">
        <f t="shared" si="27"/>
        <v>8.6471933646375988E-3</v>
      </c>
      <c r="AP82" s="1">
        <f t="shared" si="22"/>
        <v>5.3499988414303212</v>
      </c>
      <c r="AQ82" s="1">
        <f t="shared" si="28"/>
        <v>2.6281420354436712E-6</v>
      </c>
      <c r="AR82" s="1">
        <f t="shared" si="29"/>
        <v>2.6281420354436712E-6</v>
      </c>
      <c r="AS82" s="1">
        <f t="shared" si="30"/>
        <v>2.3772455163542802E-6</v>
      </c>
    </row>
    <row r="83" spans="35:45" ht="11.25" customHeight="1" x14ac:dyDescent="0.2">
      <c r="AI83" s="3" t="e">
        <f t="shared" si="23"/>
        <v>#N/A</v>
      </c>
      <c r="AJ83" s="3" t="e">
        <f t="shared" si="24"/>
        <v>#N/A</v>
      </c>
      <c r="AK83" s="1">
        <f t="shared" si="20"/>
        <v>11.100000000000016</v>
      </c>
      <c r="AL83" s="1">
        <f t="shared" si="21"/>
        <v>2.4602520196109983</v>
      </c>
      <c r="AM83" s="1">
        <f t="shared" si="25"/>
        <v>8.8517749456673549E-3</v>
      </c>
      <c r="AN83" s="1">
        <f t="shared" si="26"/>
        <v>0</v>
      </c>
      <c r="AO83" s="1">
        <f t="shared" si="27"/>
        <v>8.8285108222708637E-3</v>
      </c>
      <c r="AP83" s="1">
        <f t="shared" si="22"/>
        <v>5.3413744478116802</v>
      </c>
      <c r="AQ83" s="1">
        <f t="shared" si="28"/>
        <v>2.7008505729376423E-6</v>
      </c>
      <c r="AR83" s="1">
        <f t="shared" si="29"/>
        <v>2.7008505729376423E-6</v>
      </c>
      <c r="AS83" s="1">
        <f t="shared" si="30"/>
        <v>2.4430129073199062E-6</v>
      </c>
    </row>
    <row r="84" spans="35:45" ht="11.25" customHeight="1" x14ac:dyDescent="0.2">
      <c r="AI84" s="3" t="e">
        <f t="shared" si="23"/>
        <v>#N/A</v>
      </c>
      <c r="AJ84" s="3" t="e">
        <f t="shared" si="24"/>
        <v>#N/A</v>
      </c>
      <c r="AK84" s="1">
        <f t="shared" si="20"/>
        <v>11.250000000000016</v>
      </c>
      <c r="AL84" s="1">
        <f t="shared" si="21"/>
        <v>2.4507651866304934</v>
      </c>
      <c r="AM84" s="1">
        <f t="shared" si="25"/>
        <v>9.0368540529156532E-3</v>
      </c>
      <c r="AN84" s="1">
        <f t="shared" si="26"/>
        <v>0</v>
      </c>
      <c r="AO84" s="1">
        <f t="shared" si="27"/>
        <v>9.0131035069411398E-3</v>
      </c>
      <c r="AP84" s="1">
        <f t="shared" si="22"/>
        <v>5.3327500541930393</v>
      </c>
      <c r="AQ84" s="1">
        <f t="shared" si="28"/>
        <v>2.7755516603859918E-6</v>
      </c>
      <c r="AR84" s="1">
        <f t="shared" si="29"/>
        <v>2.7755516603859918E-6</v>
      </c>
      <c r="AS84" s="1">
        <f t="shared" si="30"/>
        <v>2.5105826287460918E-6</v>
      </c>
    </row>
    <row r="85" spans="35:45" ht="11.25" customHeight="1" x14ac:dyDescent="0.2">
      <c r="AI85" s="3" t="e">
        <f t="shared" si="23"/>
        <v>#N/A</v>
      </c>
      <c r="AJ85" s="3" t="e">
        <f t="shared" si="24"/>
        <v>#N/A</v>
      </c>
      <c r="AK85" s="1">
        <f t="shared" si="20"/>
        <v>11.400000000000016</v>
      </c>
      <c r="AL85" s="1">
        <f t="shared" si="21"/>
        <v>2.4412783536499876</v>
      </c>
      <c r="AM85" s="1">
        <f t="shared" si="25"/>
        <v>9.2252619468546886E-3</v>
      </c>
      <c r="AN85" s="1">
        <f t="shared" si="26"/>
        <v>0</v>
      </c>
      <c r="AO85" s="1">
        <f t="shared" si="27"/>
        <v>9.2010162296269106E-3</v>
      </c>
      <c r="AP85" s="1">
        <f t="shared" si="22"/>
        <v>5.3241256605743983</v>
      </c>
      <c r="AQ85" s="1">
        <f t="shared" si="28"/>
        <v>2.8522991504833215E-6</v>
      </c>
      <c r="AR85" s="1">
        <f t="shared" si="29"/>
        <v>2.8522991504833215E-6</v>
      </c>
      <c r="AS85" s="1">
        <f t="shared" si="30"/>
        <v>2.5800033922606946E-6</v>
      </c>
    </row>
    <row r="86" spans="35:45" ht="11.25" customHeight="1" x14ac:dyDescent="0.2">
      <c r="AI86" s="3" t="e">
        <f t="shared" si="23"/>
        <v>#N/A</v>
      </c>
      <c r="AJ86" s="3" t="e">
        <f t="shared" si="24"/>
        <v>#N/A</v>
      </c>
      <c r="AK86" s="1">
        <f t="shared" si="20"/>
        <v>11.550000000000017</v>
      </c>
      <c r="AL86" s="1">
        <f t="shared" si="21"/>
        <v>2.4317915206694827</v>
      </c>
      <c r="AM86" s="1">
        <f t="shared" si="25"/>
        <v>9.417043786569268E-3</v>
      </c>
      <c r="AN86" s="1">
        <f t="shared" si="26"/>
        <v>0</v>
      </c>
      <c r="AO86" s="1">
        <f t="shared" si="27"/>
        <v>9.3922940307264412E-3</v>
      </c>
      <c r="AP86" s="1">
        <f t="shared" si="22"/>
        <v>5.3155012669557582</v>
      </c>
      <c r="AQ86" s="1">
        <f t="shared" si="28"/>
        <v>2.931148319227576E-6</v>
      </c>
      <c r="AR86" s="1">
        <f t="shared" si="29"/>
        <v>2.931148319227576E-6</v>
      </c>
      <c r="AS86" s="1">
        <f t="shared" si="30"/>
        <v>2.6513251969187515E-6</v>
      </c>
    </row>
    <row r="87" spans="35:45" ht="11.25" customHeight="1" x14ac:dyDescent="0.2">
      <c r="AI87" s="3" t="e">
        <f t="shared" si="23"/>
        <v>#N/A</v>
      </c>
      <c r="AJ87" s="3" t="e">
        <f t="shared" si="24"/>
        <v>#N/A</v>
      </c>
      <c r="AK87" s="1">
        <f t="shared" si="20"/>
        <v>11.700000000000017</v>
      </c>
      <c r="AL87" s="1">
        <f t="shared" si="21"/>
        <v>2.4223046876889773</v>
      </c>
      <c r="AM87" s="1">
        <f t="shared" si="25"/>
        <v>9.6122449419477896E-3</v>
      </c>
      <c r="AN87" s="1">
        <f t="shared" si="26"/>
        <v>0</v>
      </c>
      <c r="AO87" s="1">
        <f t="shared" si="27"/>
        <v>9.5869821608875645E-3</v>
      </c>
      <c r="AP87" s="1">
        <f t="shared" si="22"/>
        <v>5.3068768733371163</v>
      </c>
      <c r="AQ87" s="1">
        <f t="shared" si="28"/>
        <v>3.0121559108636103E-6</v>
      </c>
      <c r="AR87" s="1">
        <f t="shared" si="29"/>
        <v>3.0121559108636103E-6</v>
      </c>
      <c r="AS87" s="1">
        <f t="shared" si="30"/>
        <v>2.7245993698554934E-6</v>
      </c>
    </row>
    <row r="88" spans="35:45" ht="11.25" customHeight="1" x14ac:dyDescent="0.2">
      <c r="AI88" s="3" t="e">
        <f t="shared" si="23"/>
        <v>#N/A</v>
      </c>
      <c r="AJ88" s="3" t="e">
        <f t="shared" si="24"/>
        <v>#N/A</v>
      </c>
      <c r="AK88" s="1">
        <f t="shared" si="20"/>
        <v>11.850000000000017</v>
      </c>
      <c r="AL88" s="1">
        <f t="shared" si="21"/>
        <v>2.4128178547084724</v>
      </c>
      <c r="AM88" s="1">
        <f t="shared" si="25"/>
        <v>9.810911009225376E-3</v>
      </c>
      <c r="AN88" s="1">
        <f t="shared" si="26"/>
        <v>0</v>
      </c>
      <c r="AO88" s="1">
        <f t="shared" si="27"/>
        <v>9.785126096509951E-3</v>
      </c>
      <c r="AP88" s="1">
        <f t="shared" si="22"/>
        <v>5.2982524797184753</v>
      </c>
      <c r="AQ88" s="1">
        <f t="shared" si="28"/>
        <v>3.095380169054003E-6</v>
      </c>
      <c r="AR88" s="1">
        <f t="shared" si="29"/>
        <v>3.095380169054003E-6</v>
      </c>
      <c r="AS88" s="1">
        <f t="shared" si="30"/>
        <v>2.799878594481427E-6</v>
      </c>
    </row>
    <row r="89" spans="35:45" ht="11.25" customHeight="1" x14ac:dyDescent="0.2">
      <c r="AI89" s="3" t="e">
        <f t="shared" si="23"/>
        <v>#N/A</v>
      </c>
      <c r="AJ89" s="3" t="e">
        <f t="shared" si="24"/>
        <v>#N/A</v>
      </c>
      <c r="AK89" s="1">
        <f t="shared" si="20"/>
        <v>12.000000000000018</v>
      </c>
      <c r="AL89" s="1">
        <f t="shared" si="21"/>
        <v>2.4033310217279675</v>
      </c>
      <c r="AM89" s="1">
        <f t="shared" si="25"/>
        <v>1.0013087779689456E-2</v>
      </c>
      <c r="AN89" s="1">
        <f t="shared" si="26"/>
        <v>0</v>
      </c>
      <c r="AO89" s="1">
        <f t="shared" si="27"/>
        <v>9.9867715085329434E-3</v>
      </c>
      <c r="AP89" s="1">
        <f t="shared" si="22"/>
        <v>5.2896280860998344</v>
      </c>
      <c r="AQ89" s="1">
        <f t="shared" si="28"/>
        <v>3.180880878586958E-6</v>
      </c>
      <c r="AR89" s="1">
        <f t="shared" si="29"/>
        <v>3.180880878586958E-6</v>
      </c>
      <c r="AS89" s="1">
        <f t="shared" si="30"/>
        <v>2.8772169482085741E-6</v>
      </c>
    </row>
    <row r="90" spans="35:45" ht="11.25" customHeight="1" x14ac:dyDescent="0.2">
      <c r="AI90" s="3" t="e">
        <f t="shared" si="23"/>
        <v>#N/A</v>
      </c>
      <c r="AJ90" s="3" t="e">
        <f t="shared" si="24"/>
        <v>#N/A</v>
      </c>
      <c r="AK90" s="1">
        <f t="shared" si="20"/>
        <v>12.150000000000018</v>
      </c>
      <c r="AL90" s="1">
        <f t="shared" si="21"/>
        <v>2.3938441887474617</v>
      </c>
      <c r="AM90" s="1">
        <f t="shared" si="25"/>
        <v>1.0218821227814257E-2</v>
      </c>
      <c r="AN90" s="1">
        <f t="shared" si="26"/>
        <v>0</v>
      </c>
      <c r="AO90" s="1">
        <f t="shared" si="27"/>
        <v>1.0191964250601237E-2</v>
      </c>
      <c r="AP90" s="1">
        <f t="shared" si="22"/>
        <v>5.2810036924811934</v>
      </c>
      <c r="AQ90" s="1">
        <f t="shared" si="28"/>
        <v>3.2687194034589063E-6</v>
      </c>
      <c r="AR90" s="1">
        <f t="shared" si="29"/>
        <v>3.2687194034589063E-6</v>
      </c>
      <c r="AS90" s="1">
        <f t="shared" si="30"/>
        <v>2.9566699368975062E-6</v>
      </c>
    </row>
    <row r="91" spans="35:45" ht="11.25" customHeight="1" x14ac:dyDescent="0.2">
      <c r="AI91" s="3" t="e">
        <f t="shared" si="23"/>
        <v>#N/A</v>
      </c>
      <c r="AJ91" s="3" t="e">
        <f t="shared" si="24"/>
        <v>#N/A</v>
      </c>
      <c r="AK91" s="1">
        <f t="shared" si="20"/>
        <v>12.300000000000018</v>
      </c>
      <c r="AL91" s="1">
        <f t="shared" si="21"/>
        <v>2.3843573557669568</v>
      </c>
      <c r="AM91" s="1">
        <f t="shared" si="25"/>
        <v>1.0428157516603753E-2</v>
      </c>
      <c r="AN91" s="1">
        <f t="shared" si="26"/>
        <v>0</v>
      </c>
      <c r="AO91" s="1">
        <f t="shared" si="27"/>
        <v>1.0400750364393781E-2</v>
      </c>
      <c r="AP91" s="1">
        <f t="shared" si="22"/>
        <v>5.2723792988625524</v>
      </c>
      <c r="AQ91" s="1">
        <f t="shared" si="28"/>
        <v>3.3589587305983461E-6</v>
      </c>
      <c r="AR91" s="1">
        <f t="shared" si="29"/>
        <v>3.3589587305983461E-6</v>
      </c>
      <c r="AS91" s="1">
        <f t="shared" si="30"/>
        <v>3.0382945344070718E-6</v>
      </c>
    </row>
    <row r="92" spans="35:45" ht="11.25" customHeight="1" x14ac:dyDescent="0.2">
      <c r="AI92" s="3" t="e">
        <f t="shared" si="23"/>
        <v>#N/A</v>
      </c>
      <c r="AJ92" s="3" t="e">
        <f t="shared" si="24"/>
        <v>#N/A</v>
      </c>
      <c r="AK92" s="1">
        <f t="shared" si="20"/>
        <v>12.450000000000019</v>
      </c>
      <c r="AL92" s="1">
        <f t="shared" si="21"/>
        <v>2.3748705227864519</v>
      </c>
      <c r="AM92" s="1">
        <f t="shared" si="25"/>
        <v>1.0641142970113648E-2</v>
      </c>
      <c r="AN92" s="1">
        <f t="shared" si="26"/>
        <v>0</v>
      </c>
      <c r="AO92" s="1">
        <f t="shared" si="27"/>
        <v>1.0613176052217978E-2</v>
      </c>
      <c r="AP92" s="1">
        <f t="shared" si="22"/>
        <v>5.2637549052439114</v>
      </c>
      <c r="AQ92" s="1">
        <f t="shared" si="28"/>
        <v>3.4516635062882604E-6</v>
      </c>
      <c r="AR92" s="1">
        <f t="shared" si="29"/>
        <v>3.4516635062882604E-6</v>
      </c>
      <c r="AS92" s="1">
        <f t="shared" si="30"/>
        <v>3.1221492155397354E-6</v>
      </c>
    </row>
    <row r="93" spans="35:45" ht="11.25" customHeight="1" x14ac:dyDescent="0.2">
      <c r="AI93" s="3" t="e">
        <f t="shared" si="23"/>
        <v>#N/A</v>
      </c>
      <c r="AJ93" s="3" t="e">
        <f t="shared" si="24"/>
        <v>#N/A</v>
      </c>
      <c r="AK93" s="1">
        <f t="shared" si="20"/>
        <v>12.600000000000019</v>
      </c>
      <c r="AL93" s="1">
        <f t="shared" si="21"/>
        <v>2.3653836898059462</v>
      </c>
      <c r="AM93" s="1">
        <f t="shared" si="25"/>
        <v>1.0857824065402255E-2</v>
      </c>
      <c r="AN93" s="1">
        <f t="shared" si="26"/>
        <v>0</v>
      </c>
      <c r="AO93" s="1">
        <f t="shared" si="27"/>
        <v>1.0829287668981721E-2</v>
      </c>
      <c r="AP93" s="1">
        <f t="shared" si="22"/>
        <v>5.2551305116252696</v>
      </c>
      <c r="AQ93" s="1">
        <f t="shared" si="28"/>
        <v>3.54690008510768E-6</v>
      </c>
      <c r="AR93" s="1">
        <f t="shared" si="29"/>
        <v>3.54690008510768E-6</v>
      </c>
      <c r="AS93" s="1">
        <f t="shared" si="30"/>
        <v>3.2082940003109154E-6</v>
      </c>
    </row>
    <row r="94" spans="35:45" ht="11.25" customHeight="1" x14ac:dyDescent="0.2">
      <c r="AI94" s="3" t="e">
        <f t="shared" si="23"/>
        <v>#N/A</v>
      </c>
      <c r="AJ94" s="3" t="e">
        <f t="shared" si="24"/>
        <v>#N/A</v>
      </c>
      <c r="AK94" s="1">
        <f t="shared" ref="AK94:AK157" si="31">AK93+$AJ$4</f>
        <v>12.75000000000002</v>
      </c>
      <c r="AL94" s="1">
        <f t="shared" si="21"/>
        <v>2.3558968568254413</v>
      </c>
      <c r="AM94" s="1">
        <f t="shared" si="25"/>
        <v>1.1078247425522214E-2</v>
      </c>
      <c r="AN94" s="1">
        <f t="shared" si="26"/>
        <v>0</v>
      </c>
      <c r="AO94" s="1">
        <f t="shared" si="27"/>
        <v>1.1049131715203532E-2</v>
      </c>
      <c r="AP94" s="1">
        <f t="shared" si="22"/>
        <v>5.2465061180066295</v>
      </c>
      <c r="AQ94" s="1">
        <f t="shared" si="28"/>
        <v>3.6447365669978454E-6</v>
      </c>
      <c r="AR94" s="1">
        <f t="shared" si="29"/>
        <v>3.6447365669978454E-6</v>
      </c>
      <c r="AS94" s="1">
        <f t="shared" si="30"/>
        <v>3.2967904874766134E-6</v>
      </c>
    </row>
    <row r="95" spans="35:45" ht="11.25" customHeight="1" x14ac:dyDescent="0.2">
      <c r="AI95" s="3" t="e">
        <f t="shared" si="23"/>
        <v>#N/A</v>
      </c>
      <c r="AJ95" s="3" t="e">
        <f t="shared" si="24"/>
        <v>#N/A</v>
      </c>
      <c r="AK95" s="1">
        <f t="shared" si="31"/>
        <v>12.90000000000002</v>
      </c>
      <c r="AL95" s="1">
        <f t="shared" si="21"/>
        <v>2.3464100238449364</v>
      </c>
      <c r="AM95" s="1">
        <f t="shared" si="25"/>
        <v>1.1302459799467091E-2</v>
      </c>
      <c r="AN95" s="1">
        <f t="shared" si="26"/>
        <v>0</v>
      </c>
      <c r="AO95" s="1">
        <f t="shared" si="27"/>
        <v>1.127275481701186E-2</v>
      </c>
      <c r="AP95" s="1">
        <f t="shared" si="22"/>
        <v>5.2378817243879876</v>
      </c>
      <c r="AQ95" s="1">
        <f t="shared" si="28"/>
        <v>3.7452428479317179E-6</v>
      </c>
      <c r="AR95" s="1">
        <f t="shared" si="29"/>
        <v>3.7452428479317179E-6</v>
      </c>
      <c r="AS95" s="1">
        <f t="shared" si="30"/>
        <v>3.3877019003657411E-6</v>
      </c>
    </row>
    <row r="96" spans="35:45" ht="11.25" customHeight="1" x14ac:dyDescent="0.2">
      <c r="AI96" s="3" t="e">
        <f t="shared" si="23"/>
        <v>#N/A</v>
      </c>
      <c r="AJ96" s="3" t="e">
        <f t="shared" si="24"/>
        <v>#N/A</v>
      </c>
      <c r="AK96" s="1">
        <f t="shared" si="31"/>
        <v>13.05000000000002</v>
      </c>
      <c r="AL96" s="1">
        <f t="shared" si="21"/>
        <v>2.336923190864431</v>
      </c>
      <c r="AM96" s="1">
        <f t="shared" si="25"/>
        <v>1.1530508054399813E-2</v>
      </c>
      <c r="AN96" s="1">
        <f t="shared" si="26"/>
        <v>0</v>
      </c>
      <c r="AO96" s="1">
        <f t="shared" si="27"/>
        <v>1.1500203718393947E-2</v>
      </c>
      <c r="AP96" s="1">
        <f t="shared" si="22"/>
        <v>5.2292573307693466</v>
      </c>
      <c r="AQ96" s="1">
        <f t="shared" si="28"/>
        <v>3.8484906617235258E-6</v>
      </c>
      <c r="AR96" s="1">
        <f t="shared" si="29"/>
        <v>3.8484906617235258E-6</v>
      </c>
      <c r="AS96" s="1">
        <f t="shared" si="30"/>
        <v>3.4810931246983033E-6</v>
      </c>
    </row>
    <row r="97" spans="35:45" ht="11.25" customHeight="1" x14ac:dyDescent="0.2">
      <c r="AI97" s="3" t="e">
        <f t="shared" si="23"/>
        <v>#N/A</v>
      </c>
      <c r="AJ97" s="3" t="e">
        <f t="shared" si="24"/>
        <v>#N/A</v>
      </c>
      <c r="AK97" s="1">
        <f t="shared" si="31"/>
        <v>13.200000000000021</v>
      </c>
      <c r="AL97" s="1">
        <f t="shared" si="21"/>
        <v>2.3274363578839261</v>
      </c>
      <c r="AM97" s="1">
        <f t="shared" si="25"/>
        <v>1.1762439157889104E-2</v>
      </c>
      <c r="AN97" s="1">
        <f t="shared" si="26"/>
        <v>0</v>
      </c>
      <c r="AO97" s="1">
        <f t="shared" si="27"/>
        <v>1.1731525263478945E-2</v>
      </c>
      <c r="AP97" s="1">
        <f t="shared" si="22"/>
        <v>5.2206329371507056</v>
      </c>
      <c r="AQ97" s="1">
        <f t="shared" si="28"/>
        <v>3.9545536307152159E-6</v>
      </c>
      <c r="AR97" s="1">
        <f t="shared" si="29"/>
        <v>3.9545536307152159E-6</v>
      </c>
      <c r="AS97" s="1">
        <f t="shared" si="30"/>
        <v>3.57703075443305E-6</v>
      </c>
    </row>
    <row r="98" spans="35:45" ht="11.25" customHeight="1" x14ac:dyDescent="0.2">
      <c r="AI98" s="3" t="e">
        <f t="shared" si="23"/>
        <v>#N/A</v>
      </c>
      <c r="AJ98" s="3" t="e">
        <f t="shared" si="24"/>
        <v>#N/A</v>
      </c>
      <c r="AK98" s="1">
        <f t="shared" si="31"/>
        <v>13.350000000000021</v>
      </c>
      <c r="AL98" s="1">
        <f t="shared" si="21"/>
        <v>2.3179495249034208</v>
      </c>
      <c r="AM98" s="1">
        <f t="shared" si="25"/>
        <v>1.1998300167709308E-2</v>
      </c>
      <c r="AN98" s="1">
        <f t="shared" si="26"/>
        <v>0</v>
      </c>
      <c r="AO98" s="1">
        <f t="shared" si="27"/>
        <v>1.1966766386364545E-2</v>
      </c>
      <c r="AP98" s="1">
        <f t="shared" si="22"/>
        <v>5.2120085435320647</v>
      </c>
      <c r="AQ98" s="1">
        <f t="shared" si="28"/>
        <v>4.063507306738967E-6</v>
      </c>
      <c r="AR98" s="1">
        <f t="shared" si="29"/>
        <v>4.063507306738967E-6</v>
      </c>
      <c r="AS98" s="1">
        <f t="shared" si="30"/>
        <v>3.6755831288194881E-6</v>
      </c>
    </row>
    <row r="99" spans="35:45" ht="11.25" customHeight="1" x14ac:dyDescent="0.2">
      <c r="AI99" s="3" t="e">
        <f t="shared" si="23"/>
        <v>#N/A</v>
      </c>
      <c r="AJ99" s="3" t="e">
        <f t="shared" si="24"/>
        <v>#N/A</v>
      </c>
      <c r="AK99" s="1">
        <f t="shared" si="31"/>
        <v>13.500000000000021</v>
      </c>
      <c r="AL99" s="1">
        <f t="shared" si="21"/>
        <v>2.3084626919229154</v>
      </c>
      <c r="AM99" s="1">
        <f t="shared" si="25"/>
        <v>1.2238138208733873E-2</v>
      </c>
      <c r="AN99" s="1">
        <f t="shared" si="26"/>
        <v>0</v>
      </c>
      <c r="AO99" s="1">
        <f t="shared" si="27"/>
        <v>1.2205974088071196E-2</v>
      </c>
      <c r="AP99" s="1">
        <f t="shared" si="22"/>
        <v>5.2033841499134237</v>
      </c>
      <c r="AQ99" s="1">
        <f t="shared" si="28"/>
        <v>4.1754292313920531E-6</v>
      </c>
      <c r="AR99" s="1">
        <f t="shared" si="29"/>
        <v>4.1754292313920531E-6</v>
      </c>
      <c r="AS99" s="1">
        <f t="shared" si="30"/>
        <v>3.7768203869185827E-6</v>
      </c>
    </row>
    <row r="100" spans="35:45" ht="11.25" customHeight="1" x14ac:dyDescent="0.2">
      <c r="AI100" s="3" t="e">
        <f t="shared" si="23"/>
        <v>#N/A</v>
      </c>
      <c r="AJ100" s="3" t="e">
        <f t="shared" si="24"/>
        <v>#N/A</v>
      </c>
      <c r="AK100" s="1">
        <f t="shared" si="31"/>
        <v>13.650000000000022</v>
      </c>
      <c r="AL100" s="1">
        <f t="shared" si="21"/>
        <v>2.2989758589424105</v>
      </c>
      <c r="AM100" s="1">
        <f t="shared" si="25"/>
        <v>1.2482000475849686E-2</v>
      </c>
      <c r="AN100" s="1">
        <f t="shared" si="26"/>
        <v>0</v>
      </c>
      <c r="AO100" s="1">
        <f t="shared" si="27"/>
        <v>1.2449195439448781E-2</v>
      </c>
      <c r="AP100" s="1">
        <f t="shared" si="22"/>
        <v>5.1947597562947827</v>
      </c>
      <c r="AQ100" s="1">
        <f t="shared" si="28"/>
        <v>4.2903989766436071E-6</v>
      </c>
      <c r="AR100" s="1">
        <f t="shared" si="29"/>
        <v>4.2903989766436071E-6</v>
      </c>
      <c r="AS100" s="1">
        <f t="shared" si="30"/>
        <v>3.8808145043329833E-6</v>
      </c>
    </row>
    <row r="101" spans="35:45" ht="11.25" customHeight="1" x14ac:dyDescent="0.2">
      <c r="AI101" s="3" t="e">
        <f t="shared" si="23"/>
        <v>#N/A</v>
      </c>
      <c r="AJ101" s="3" t="e">
        <f t="shared" si="24"/>
        <v>#N/A</v>
      </c>
      <c r="AK101" s="1">
        <f t="shared" si="31"/>
        <v>13.800000000000022</v>
      </c>
      <c r="AL101" s="1">
        <f t="shared" si="21"/>
        <v>2.2894890259619052</v>
      </c>
      <c r="AM101" s="1">
        <f t="shared" si="25"/>
        <v>1.2729934199817716E-2</v>
      </c>
      <c r="AN101" s="1">
        <f t="shared" si="26"/>
        <v>0</v>
      </c>
      <c r="AO101" s="1">
        <f t="shared" si="27"/>
        <v>1.2696477547126977E-2</v>
      </c>
      <c r="AP101" s="1">
        <f t="shared" si="22"/>
        <v>5.1861353626761417</v>
      </c>
      <c r="AQ101" s="1">
        <f t="shared" si="28"/>
        <v>4.4084982026700245E-6</v>
      </c>
      <c r="AR101" s="1">
        <f t="shared" si="29"/>
        <v>4.4084982026700245E-6</v>
      </c>
      <c r="AS101" s="1">
        <f t="shared" si="30"/>
        <v>3.9876393455211485E-6</v>
      </c>
    </row>
    <row r="102" spans="35:45" ht="11.25" customHeight="1" x14ac:dyDescent="0.2">
      <c r="AI102" s="3" t="e">
        <f t="shared" si="23"/>
        <v>#N/A</v>
      </c>
      <c r="AJ102" s="3" t="e">
        <f t="shared" si="24"/>
        <v>#N/A</v>
      </c>
      <c r="AK102" s="1">
        <f t="shared" si="31"/>
        <v>13.950000000000022</v>
      </c>
      <c r="AL102" s="1">
        <f t="shared" si="21"/>
        <v>2.2800021929813998</v>
      </c>
      <c r="AM102" s="1">
        <f t="shared" si="25"/>
        <v>1.2981986634089115E-2</v>
      </c>
      <c r="AN102" s="1">
        <f t="shared" si="26"/>
        <v>0</v>
      </c>
      <c r="AO102" s="1">
        <f t="shared" si="27"/>
        <v>1.2947867540366011E-2</v>
      </c>
      <c r="AP102" s="1">
        <f t="shared" si="22"/>
        <v>5.1775109690575007</v>
      </c>
      <c r="AQ102" s="1">
        <f t="shared" si="28"/>
        <v>4.5298107076605047E-6</v>
      </c>
      <c r="AR102" s="1">
        <f t="shared" si="29"/>
        <v>4.5298107076605047E-6</v>
      </c>
      <c r="AS102" s="1">
        <f t="shared" si="30"/>
        <v>4.097370708848184E-6</v>
      </c>
    </row>
    <row r="103" spans="35:45" ht="11.25" customHeight="1" x14ac:dyDescent="0.2">
      <c r="AI103" s="3" t="e">
        <f t="shared" si="23"/>
        <v>#N/A</v>
      </c>
      <c r="AJ103" s="3" t="e">
        <f t="shared" si="24"/>
        <v>#N/A</v>
      </c>
      <c r="AK103" s="1">
        <f t="shared" si="31"/>
        <v>14.100000000000023</v>
      </c>
      <c r="AL103" s="1">
        <f t="shared" si="21"/>
        <v>2.2705153600008949</v>
      </c>
      <c r="AM103" s="1">
        <f t="shared" si="25"/>
        <v>1.3238205058482833E-2</v>
      </c>
      <c r="AN103" s="1">
        <f t="shared" si="26"/>
        <v>0</v>
      </c>
      <c r="AO103" s="1">
        <f t="shared" si="27"/>
        <v>1.3203412574724606E-2</v>
      </c>
      <c r="AP103" s="1">
        <f t="shared" si="22"/>
        <v>5.1688865754388598</v>
      </c>
      <c r="AQ103" s="1">
        <f t="shared" si="28"/>
        <v>4.654422483772047E-6</v>
      </c>
      <c r="AR103" s="1">
        <f t="shared" si="29"/>
        <v>4.654422483772047E-6</v>
      </c>
      <c r="AS103" s="1">
        <f t="shared" si="30"/>
        <v>4.2100863771990762E-6</v>
      </c>
    </row>
    <row r="104" spans="35:45" ht="11.25" customHeight="1" x14ac:dyDescent="0.2">
      <c r="AI104" s="3" t="e">
        <f t="shared" si="23"/>
        <v>#N/A</v>
      </c>
      <c r="AJ104" s="3" t="e">
        <f t="shared" si="24"/>
        <v>#N/A</v>
      </c>
      <c r="AK104" s="1">
        <f t="shared" si="31"/>
        <v>14.250000000000023</v>
      </c>
      <c r="AL104" s="1">
        <f t="shared" si="21"/>
        <v>2.26102852702039</v>
      </c>
      <c r="AM104" s="1">
        <f t="shared" si="25"/>
        <v>1.3498636732695024E-2</v>
      </c>
      <c r="AN104" s="1">
        <f t="shared" si="26"/>
        <v>0</v>
      </c>
      <c r="AO104" s="1">
        <f t="shared" si="27"/>
        <v>1.3463159785691582E-2</v>
      </c>
      <c r="AP104" s="1">
        <f t="shared" si="22"/>
        <v>5.1602621818202179</v>
      </c>
      <c r="AQ104" s="1">
        <f t="shared" si="28"/>
        <v>4.7824217718308356E-6</v>
      </c>
      <c r="AR104" s="1">
        <f t="shared" si="29"/>
        <v>4.7824217718308356E-6</v>
      </c>
      <c r="AS104" s="1">
        <f t="shared" si="30"/>
        <v>4.3258661674579866E-6</v>
      </c>
    </row>
    <row r="105" spans="35:45" ht="11.25" customHeight="1" x14ac:dyDescent="0.2">
      <c r="AI105" s="3" t="e">
        <f t="shared" si="23"/>
        <v>#N/A</v>
      </c>
      <c r="AJ105" s="3" t="e">
        <f t="shared" si="24"/>
        <v>#N/A</v>
      </c>
      <c r="AK105" s="1">
        <f t="shared" si="31"/>
        <v>14.400000000000023</v>
      </c>
      <c r="AL105" s="1">
        <f t="shared" si="21"/>
        <v>2.2515416940398847</v>
      </c>
      <c r="AM105" s="1">
        <f t="shared" si="25"/>
        <v>1.3763328907193118E-2</v>
      </c>
      <c r="AN105" s="1">
        <f t="shared" si="26"/>
        <v>0</v>
      </c>
      <c r="AO105" s="1">
        <f t="shared" si="27"/>
        <v>1.3727156299551284E-2</v>
      </c>
      <c r="AP105" s="1">
        <f t="shared" si="22"/>
        <v>5.1516377882015778</v>
      </c>
      <c r="AQ105" s="1">
        <f t="shared" si="28"/>
        <v>4.9138991195234074E-6</v>
      </c>
      <c r="AR105" s="1">
        <f t="shared" si="29"/>
        <v>4.9138991195234074E-6</v>
      </c>
      <c r="AS105" s="1">
        <f t="shared" si="30"/>
        <v>4.4447919831441832E-6</v>
      </c>
    </row>
    <row r="106" spans="35:45" ht="11.25" customHeight="1" x14ac:dyDescent="0.2">
      <c r="AI106" s="3" t="e">
        <f t="shared" si="23"/>
        <v>#N/A</v>
      </c>
      <c r="AJ106" s="3" t="e">
        <f t="shared" si="24"/>
        <v>#N/A</v>
      </c>
      <c r="AK106" s="1">
        <f t="shared" si="31"/>
        <v>14.550000000000024</v>
      </c>
      <c r="AL106" s="1">
        <f t="shared" si="21"/>
        <v>2.2420548610593793</v>
      </c>
      <c r="AM106" s="1">
        <f t="shared" si="25"/>
        <v>1.4032328781374281E-2</v>
      </c>
      <c r="AN106" s="1">
        <f t="shared" si="26"/>
        <v>0</v>
      </c>
      <c r="AO106" s="1">
        <f t="shared" si="27"/>
        <v>1.3995449191652017E-2</v>
      </c>
      <c r="AP106" s="1">
        <f t="shared" si="22"/>
        <v>5.1430133945829359</v>
      </c>
      <c r="AQ106" s="1">
        <f t="shared" si="28"/>
        <v>5.0489474388932458E-6</v>
      </c>
      <c r="AR106" s="1">
        <f t="shared" si="29"/>
        <v>5.0489474388932458E-6</v>
      </c>
      <c r="AS106" s="1">
        <f t="shared" si="30"/>
        <v>4.5669478664196973E-6</v>
      </c>
    </row>
    <row r="107" spans="35:45" ht="11.25" customHeight="1" x14ac:dyDescent="0.2">
      <c r="AI107" s="3" t="e">
        <f t="shared" si="23"/>
        <v>#N/A</v>
      </c>
      <c r="AJ107" s="3" t="e">
        <f t="shared" si="24"/>
        <v>#N/A</v>
      </c>
      <c r="AK107" s="1">
        <f t="shared" si="31"/>
        <v>14.700000000000024</v>
      </c>
      <c r="AL107" s="1">
        <f t="shared" si="21"/>
        <v>2.2325680280788744</v>
      </c>
      <c r="AM107" s="1">
        <f t="shared" si="25"/>
        <v>1.4305683510990042E-2</v>
      </c>
      <c r="AN107" s="1">
        <f t="shared" si="26"/>
        <v>0</v>
      </c>
      <c r="AO107" s="1">
        <f t="shared" si="27"/>
        <v>1.4268085493811157E-2</v>
      </c>
      <c r="AP107" s="1">
        <f t="shared" si="22"/>
        <v>5.1343890009642958</v>
      </c>
      <c r="AQ107" s="1">
        <f t="shared" si="28"/>
        <v>5.1876620649554607E-6</v>
      </c>
      <c r="AR107" s="1">
        <f t="shared" si="29"/>
        <v>5.1876620649554607E-6</v>
      </c>
      <c r="AS107" s="1">
        <f t="shared" si="30"/>
        <v>4.6924200511083357E-6</v>
      </c>
    </row>
    <row r="108" spans="35:45" ht="11.25" customHeight="1" x14ac:dyDescent="0.2">
      <c r="AI108" s="3" t="e">
        <f t="shared" si="23"/>
        <v>#N/A</v>
      </c>
      <c r="AJ108" s="3" t="e">
        <f t="shared" si="24"/>
        <v>#N/A</v>
      </c>
      <c r="AK108" s="1">
        <f t="shared" si="31"/>
        <v>14.850000000000025</v>
      </c>
      <c r="AL108" s="1">
        <f t="shared" si="21"/>
        <v>2.2230811950983691</v>
      </c>
      <c r="AM108" s="1">
        <f t="shared" si="25"/>
        <v>1.4583440168386419E-2</v>
      </c>
      <c r="AN108" s="1">
        <f t="shared" si="26"/>
        <v>0</v>
      </c>
      <c r="AO108" s="1">
        <f t="shared" si="27"/>
        <v>1.4545112154659775E-2</v>
      </c>
      <c r="AP108" s="1">
        <f t="shared" si="22"/>
        <v>5.125764607345654</v>
      </c>
      <c r="AQ108" s="1">
        <f t="shared" si="28"/>
        <v>5.3301408200543527E-6</v>
      </c>
      <c r="AR108" s="1">
        <f t="shared" si="29"/>
        <v>5.3301408200543527E-6</v>
      </c>
      <c r="AS108" s="1">
        <f t="shared" si="30"/>
        <v>4.8212970209093234E-6</v>
      </c>
    </row>
    <row r="109" spans="35:45" ht="11.25" customHeight="1" x14ac:dyDescent="0.2">
      <c r="AI109" s="3" t="e">
        <f t="shared" si="23"/>
        <v>#N/A</v>
      </c>
      <c r="AJ109" s="3" t="e">
        <f t="shared" si="24"/>
        <v>#N/A</v>
      </c>
      <c r="AK109" s="1">
        <f t="shared" si="31"/>
        <v>15.000000000000025</v>
      </c>
      <c r="AL109" s="1">
        <f t="shared" si="21"/>
        <v>2.2135943621178638</v>
      </c>
      <c r="AM109" s="1">
        <f t="shared" si="25"/>
        <v>1.486564573729976E-2</v>
      </c>
      <c r="AN109" s="1">
        <f t="shared" si="26"/>
        <v>0</v>
      </c>
      <c r="AO109" s="1">
        <f t="shared" si="27"/>
        <v>1.4826576034452157E-2</v>
      </c>
      <c r="AP109" s="1">
        <f t="shared" si="22"/>
        <v>5.117140213727013</v>
      </c>
      <c r="AQ109" s="1">
        <f t="shared" si="28"/>
        <v>5.4764840752224791E-6</v>
      </c>
      <c r="AR109" s="1">
        <f t="shared" si="29"/>
        <v>5.4764840752224791E-6</v>
      </c>
      <c r="AS109" s="1">
        <f t="shared" si="30"/>
        <v>4.9536695648987077E-6</v>
      </c>
    </row>
    <row r="110" spans="35:45" ht="11.25" customHeight="1" x14ac:dyDescent="0.2">
      <c r="AI110" s="3" t="e">
        <f t="shared" si="23"/>
        <v>#N/A</v>
      </c>
      <c r="AJ110" s="3" t="e">
        <f t="shared" si="24"/>
        <v>#N/A</v>
      </c>
      <c r="AK110" s="1">
        <f t="shared" si="31"/>
        <v>15.150000000000025</v>
      </c>
      <c r="AL110" s="1">
        <f t="shared" si="21"/>
        <v>2.2041075291373589</v>
      </c>
      <c r="AM110" s="1">
        <f t="shared" si="25"/>
        <v>1.515234708371338E-2</v>
      </c>
      <c r="AN110" s="1">
        <f t="shared" si="26"/>
        <v>0</v>
      </c>
      <c r="AO110" s="1">
        <f t="shared" si="27"/>
        <v>1.5112523875999031E-2</v>
      </c>
      <c r="AP110" s="1">
        <f t="shared" si="22"/>
        <v>5.108515820108372</v>
      </c>
      <c r="AQ110" s="1">
        <f t="shared" si="28"/>
        <v>5.6267948116413649E-6</v>
      </c>
      <c r="AR110" s="1">
        <f t="shared" si="29"/>
        <v>5.6267948116413649E-6</v>
      </c>
      <c r="AS110" s="1">
        <f t="shared" si="30"/>
        <v>5.0896308331227002E-6</v>
      </c>
    </row>
    <row r="111" spans="35:45" ht="11.25" customHeight="1" x14ac:dyDescent="0.2">
      <c r="AI111" s="3" t="e">
        <f t="shared" si="23"/>
        <v>#N/A</v>
      </c>
      <c r="AJ111" s="3" t="e">
        <f t="shared" si="24"/>
        <v>#N/A</v>
      </c>
      <c r="AK111" s="1">
        <f t="shared" si="31"/>
        <v>15.300000000000026</v>
      </c>
      <c r="AL111" s="1">
        <f t="shared" si="21"/>
        <v>2.1946206961568535</v>
      </c>
      <c r="AM111" s="1">
        <f t="shared" si="25"/>
        <v>1.5443590952596287E-2</v>
      </c>
      <c r="AN111" s="1">
        <f t="shared" si="26"/>
        <v>0</v>
      </c>
      <c r="AO111" s="1">
        <f t="shared" si="27"/>
        <v>1.5403002301414864E-2</v>
      </c>
      <c r="AP111" s="1">
        <f t="shared" si="22"/>
        <v>5.099891426489731</v>
      </c>
      <c r="AQ111" s="1">
        <f t="shared" si="28"/>
        <v>5.781178690267611E-6</v>
      </c>
      <c r="AR111" s="1">
        <f t="shared" si="29"/>
        <v>5.781178690267611E-6</v>
      </c>
      <c r="AS111" s="1">
        <f t="shared" si="30"/>
        <v>5.2292763995769011E-6</v>
      </c>
    </row>
    <row r="112" spans="35:45" ht="11.25" customHeight="1" x14ac:dyDescent="0.2">
      <c r="AI112" s="3" t="e">
        <f t="shared" si="23"/>
        <v>#N/A</v>
      </c>
      <c r="AJ112" s="3" t="e">
        <f t="shared" si="24"/>
        <v>#N/A</v>
      </c>
      <c r="AK112" s="1">
        <f t="shared" si="31"/>
        <v>15.450000000000026</v>
      </c>
      <c r="AL112" s="1">
        <f t="shared" si="21"/>
        <v>2.1851338631763486</v>
      </c>
      <c r="AM112" s="1">
        <f t="shared" si="25"/>
        <v>1.5739423921967699E-2</v>
      </c>
      <c r="AN112" s="1">
        <f t="shared" si="26"/>
        <v>0</v>
      </c>
      <c r="AO112" s="1">
        <f t="shared" si="27"/>
        <v>1.5698057766303113E-2</v>
      </c>
      <c r="AP112" s="1">
        <f t="shared" si="22"/>
        <v>5.0912670328710901</v>
      </c>
      <c r="AQ112" s="1">
        <f t="shared" si="28"/>
        <v>5.9397441165462113E-6</v>
      </c>
      <c r="AR112" s="1">
        <f t="shared" si="29"/>
        <v>5.9397441165462113E-6</v>
      </c>
      <c r="AS112" s="1">
        <f t="shared" si="30"/>
        <v>5.3727043207417373E-6</v>
      </c>
    </row>
    <row r="113" spans="35:45" ht="11.25" customHeight="1" x14ac:dyDescent="0.2">
      <c r="AI113" s="3" t="e">
        <f t="shared" si="23"/>
        <v>#N/A</v>
      </c>
      <c r="AJ113" s="3" t="e">
        <f t="shared" si="24"/>
        <v>#N/A</v>
      </c>
      <c r="AK113" s="1">
        <f t="shared" si="31"/>
        <v>15.600000000000026</v>
      </c>
      <c r="AL113" s="1">
        <f t="shared" si="21"/>
        <v>2.1756470301958437</v>
      </c>
      <c r="AM113" s="1">
        <f t="shared" si="25"/>
        <v>1.6039892413721724E-2</v>
      </c>
      <c r="AN113" s="1">
        <f t="shared" si="26"/>
        <v>0</v>
      </c>
      <c r="AO113" s="1">
        <f t="shared" si="27"/>
        <v>1.5997736570552448E-2</v>
      </c>
      <c r="AP113" s="1">
        <f t="shared" si="22"/>
        <v>5.0826426392524491</v>
      </c>
      <c r="AQ113" s="1">
        <f t="shared" si="28"/>
        <v>6.1026023129843359E-6</v>
      </c>
      <c r="AR113" s="1">
        <f t="shared" si="29"/>
        <v>6.1026023129843359E-6</v>
      </c>
      <c r="AS113" s="1">
        <f t="shared" si="30"/>
        <v>5.5200152012279663E-6</v>
      </c>
    </row>
    <row r="114" spans="35:45" ht="11.25" customHeight="1" x14ac:dyDescent="0.2">
      <c r="AI114" s="3" t="e">
        <f t="shared" si="23"/>
        <v>#N/A</v>
      </c>
      <c r="AJ114" s="3" t="e">
        <f t="shared" si="24"/>
        <v>#N/A</v>
      </c>
      <c r="AK114" s="1">
        <f t="shared" si="31"/>
        <v>15.750000000000027</v>
      </c>
      <c r="AL114" s="1">
        <f t="shared" si="21"/>
        <v>2.1661601972153379</v>
      </c>
      <c r="AM114" s="1">
        <f t="shared" si="25"/>
        <v>1.6345042649357211E-2</v>
      </c>
      <c r="AN114" s="1">
        <f t="shared" si="26"/>
        <v>0</v>
      </c>
      <c r="AO114" s="1">
        <f t="shared" si="27"/>
        <v>1.6302084814182959E-2</v>
      </c>
      <c r="AP114" s="1">
        <f t="shared" si="22"/>
        <v>5.0740182456338081</v>
      </c>
      <c r="AQ114" s="1">
        <f t="shared" si="28"/>
        <v>6.2698673856942388E-6</v>
      </c>
      <c r="AR114" s="1">
        <f t="shared" si="29"/>
        <v>6.2698673856942388E-6</v>
      </c>
      <c r="AS114" s="1">
        <f t="shared" si="30"/>
        <v>5.6713122539670369E-6</v>
      </c>
    </row>
    <row r="115" spans="35:45" ht="11.25" customHeight="1" x14ac:dyDescent="0.2">
      <c r="AI115" s="3" t="e">
        <f t="shared" si="23"/>
        <v>#N/A</v>
      </c>
      <c r="AJ115" s="3" t="e">
        <f t="shared" si="24"/>
        <v>#N/A</v>
      </c>
      <c r="AK115" s="1">
        <f t="shared" si="31"/>
        <v>15.900000000000027</v>
      </c>
      <c r="AL115" s="1">
        <f t="shared" si="21"/>
        <v>2.156673364234833</v>
      </c>
      <c r="AM115" s="1">
        <f t="shared" si="25"/>
        <v>1.665492064775731E-2</v>
      </c>
      <c r="AN115" s="1">
        <f t="shared" si="26"/>
        <v>0</v>
      </c>
      <c r="AO115" s="1">
        <f t="shared" si="27"/>
        <v>1.6611148395131541E-2</v>
      </c>
      <c r="AP115" s="1">
        <f t="shared" si="22"/>
        <v>5.0653938520151662</v>
      </c>
      <c r="AQ115" s="1">
        <f t="shared" si="28"/>
        <v>6.4416563965604659E-6</v>
      </c>
      <c r="AR115" s="1">
        <f t="shared" si="29"/>
        <v>6.4416563965604659E-6</v>
      </c>
      <c r="AS115" s="1">
        <f t="shared" si="30"/>
        <v>5.8267013654888323E-6</v>
      </c>
    </row>
    <row r="116" spans="35:45" ht="11.25" customHeight="1" x14ac:dyDescent="0.2">
      <c r="AI116" s="3" t="e">
        <f t="shared" si="23"/>
        <v>#N/A</v>
      </c>
      <c r="AJ116" s="3" t="e">
        <f t="shared" si="24"/>
        <v>#N/A</v>
      </c>
      <c r="AK116" s="1">
        <f t="shared" si="31"/>
        <v>16.050000000000026</v>
      </c>
      <c r="AL116" s="1">
        <f t="shared" si="21"/>
        <v>2.1471865312543281</v>
      </c>
      <c r="AM116" s="1">
        <f t="shared" si="25"/>
        <v>1.6969572177727429E-2</v>
      </c>
      <c r="AN116" s="1">
        <f t="shared" si="26"/>
        <v>0</v>
      </c>
      <c r="AO116" s="1">
        <f t="shared" si="27"/>
        <v>1.692497296191461E-2</v>
      </c>
      <c r="AP116" s="1">
        <f t="shared" si="22"/>
        <v>5.0567694583965261</v>
      </c>
      <c r="AQ116" s="1">
        <f t="shared" si="28"/>
        <v>6.6180894429287138E-6</v>
      </c>
      <c r="AR116" s="1">
        <f t="shared" si="29"/>
        <v>6.6180894429287138E-6</v>
      </c>
      <c r="AS116" s="1">
        <f t="shared" si="30"/>
        <v>5.9862911680030018E-6</v>
      </c>
    </row>
    <row r="117" spans="35:45" ht="11.25" customHeight="1" x14ac:dyDescent="0.2">
      <c r="AI117" s="3" t="e">
        <f t="shared" si="23"/>
        <v>#N/A</v>
      </c>
      <c r="AJ117" s="3" t="e">
        <f t="shared" si="24"/>
        <v>#N/A</v>
      </c>
      <c r="AK117" s="1">
        <f t="shared" si="31"/>
        <v>16.200000000000024</v>
      </c>
      <c r="AL117" s="1">
        <f t="shared" si="21"/>
        <v>2.1376996982738228</v>
      </c>
      <c r="AM117" s="1">
        <f t="shared" si="25"/>
        <v>1.7289042759938141E-2</v>
      </c>
      <c r="AN117" s="1">
        <f t="shared" si="26"/>
        <v>0</v>
      </c>
      <c r="AO117" s="1">
        <f t="shared" si="27"/>
        <v>1.7243603915565887E-2</v>
      </c>
      <c r="AP117" s="1">
        <f t="shared" si="22"/>
        <v>5.0481450647778852</v>
      </c>
      <c r="AQ117" s="1">
        <f t="shared" si="28"/>
        <v>6.7992897280450904E-6</v>
      </c>
      <c r="AR117" s="1">
        <f t="shared" si="29"/>
        <v>6.7992897280450904E-6</v>
      </c>
      <c r="AS117" s="1">
        <f t="shared" si="30"/>
        <v>6.1501931031137142E-6</v>
      </c>
    </row>
    <row r="118" spans="35:45" ht="11.25" customHeight="1" x14ac:dyDescent="0.2">
      <c r="AI118" s="3" t="e">
        <f t="shared" si="23"/>
        <v>#N/A</v>
      </c>
      <c r="AJ118" s="3" t="e">
        <f t="shared" si="24"/>
        <v>#N/A</v>
      </c>
      <c r="AK118" s="1">
        <f t="shared" si="31"/>
        <v>16.350000000000023</v>
      </c>
      <c r="AL118" s="1">
        <f t="shared" si="21"/>
        <v>2.1282128652933179</v>
      </c>
      <c r="AM118" s="1">
        <f t="shared" si="25"/>
        <v>1.7613377643471703E-2</v>
      </c>
      <c r="AN118" s="1">
        <f t="shared" si="26"/>
        <v>0</v>
      </c>
      <c r="AO118" s="1">
        <f t="shared" si="27"/>
        <v>1.7567086386244553E-2</v>
      </c>
      <c r="AP118" s="1">
        <f t="shared" si="22"/>
        <v>5.0395206711592442</v>
      </c>
      <c r="AQ118" s="1">
        <f t="shared" si="28"/>
        <v>6.9853836375601301E-6</v>
      </c>
      <c r="AR118" s="1">
        <f t="shared" si="29"/>
        <v>6.9853836375601301E-6</v>
      </c>
      <c r="AS118" s="1">
        <f t="shared" si="30"/>
        <v>6.3185214910201864E-6</v>
      </c>
    </row>
    <row r="119" spans="35:45" ht="11.25" customHeight="1" x14ac:dyDescent="0.2">
      <c r="AI119" s="3" t="e">
        <f t="shared" si="23"/>
        <v>#N/A</v>
      </c>
      <c r="AJ119" s="3" t="e">
        <f t="shared" si="24"/>
        <v>#N/A</v>
      </c>
      <c r="AK119" s="1">
        <f t="shared" si="31"/>
        <v>16.500000000000021</v>
      </c>
      <c r="AL119" s="1">
        <f t="shared" si="21"/>
        <v>2.118726032312813</v>
      </c>
      <c r="AM119" s="1">
        <f t="shared" si="25"/>
        <v>1.7942621770711261E-2</v>
      </c>
      <c r="AN119" s="1">
        <f t="shared" si="26"/>
        <v>0</v>
      </c>
      <c r="AO119" s="1">
        <f t="shared" si="27"/>
        <v>1.7895465198216758E-2</v>
      </c>
      <c r="AP119" s="1">
        <f t="shared" si="22"/>
        <v>5.0308962775406023</v>
      </c>
      <c r="AQ119" s="1">
        <f t="shared" si="28"/>
        <v>7.1765008262310867E-6</v>
      </c>
      <c r="AR119" s="1">
        <f t="shared" si="29"/>
        <v>7.1765008262310867E-6</v>
      </c>
      <c r="AS119" s="1">
        <f t="shared" si="30"/>
        <v>6.4913936089419133E-6</v>
      </c>
    </row>
    <row r="120" spans="35:45" ht="11.25" customHeight="1" x14ac:dyDescent="0.2">
      <c r="AI120" s="3" t="e">
        <f t="shared" si="23"/>
        <v>#N/A</v>
      </c>
      <c r="AJ120" s="3" t="e">
        <f t="shared" si="24"/>
        <v>#N/A</v>
      </c>
      <c r="AK120" s="1">
        <f t="shared" si="31"/>
        <v>16.65000000000002</v>
      </c>
      <c r="AL120" s="1">
        <f t="shared" si="21"/>
        <v>2.1092391993323076</v>
      </c>
      <c r="AM120" s="1">
        <f t="shared" si="25"/>
        <v>1.8276819763185511E-2</v>
      </c>
      <c r="AN120" s="1">
        <f t="shared" si="26"/>
        <v>0</v>
      </c>
      <c r="AO120" s="1">
        <f t="shared" si="27"/>
        <v>1.8228784855737451E-2</v>
      </c>
      <c r="AP120" s="1">
        <f t="shared" si="22"/>
        <v>5.0222718839219622</v>
      </c>
      <c r="AQ120" s="1">
        <f t="shared" si="28"/>
        <v>7.3727742911733427E-6</v>
      </c>
      <c r="AR120" s="1">
        <f t="shared" si="29"/>
        <v>7.3727742911733427E-6</v>
      </c>
      <c r="AS120" s="1">
        <f t="shared" si="30"/>
        <v>6.6689297573771059E-6</v>
      </c>
    </row>
    <row r="121" spans="35:45" ht="11.25" customHeight="1" x14ac:dyDescent="0.2">
      <c r="AI121" s="3" t="e">
        <f t="shared" si="23"/>
        <v>#N/A</v>
      </c>
      <c r="AJ121" s="3" t="e">
        <f t="shared" si="24"/>
        <v>#N/A</v>
      </c>
      <c r="AK121" s="1">
        <f t="shared" si="31"/>
        <v>16.800000000000018</v>
      </c>
      <c r="AL121" s="1">
        <f t="shared" si="21"/>
        <v>2.0997523663518027</v>
      </c>
      <c r="AM121" s="1">
        <f t="shared" si="25"/>
        <v>1.8616015889511003E-2</v>
      </c>
      <c r="AN121" s="1">
        <f t="shared" si="26"/>
        <v>0</v>
      </c>
      <c r="AO121" s="1">
        <f t="shared" si="27"/>
        <v>1.8567089511076967E-2</v>
      </c>
      <c r="AP121" s="1">
        <f t="shared" si="22"/>
        <v>5.0136474903033212</v>
      </c>
      <c r="AQ121" s="1">
        <f t="shared" si="28"/>
        <v>7.5743404582916509E-6</v>
      </c>
      <c r="AR121" s="1">
        <f t="shared" si="29"/>
        <v>7.5743404582916509E-6</v>
      </c>
      <c r="AS121" s="1">
        <f t="shared" si="30"/>
        <v>6.8512533382827412E-6</v>
      </c>
    </row>
    <row r="122" spans="35:45" ht="11.25" customHeight="1" x14ac:dyDescent="0.2">
      <c r="AI122" s="3" t="e">
        <f t="shared" si="23"/>
        <v>#N/A</v>
      </c>
      <c r="AJ122" s="3" t="e">
        <f t="shared" si="24"/>
        <v>#N/A</v>
      </c>
      <c r="AK122" s="1">
        <f t="shared" si="31"/>
        <v>16.950000000000017</v>
      </c>
      <c r="AL122" s="1">
        <f t="shared" si="21"/>
        <v>2.0902655333712978</v>
      </c>
      <c r="AM122" s="1">
        <f t="shared" si="25"/>
        <v>1.8960254050820469E-2</v>
      </c>
      <c r="AN122" s="1">
        <f t="shared" si="26"/>
        <v>0</v>
      </c>
      <c r="AO122" s="1">
        <f t="shared" si="27"/>
        <v>1.8910422949987633E-2</v>
      </c>
      <c r="AP122" s="1">
        <f t="shared" si="22"/>
        <v>5.0050230966846803</v>
      </c>
      <c r="AQ122" s="1">
        <f t="shared" si="28"/>
        <v>7.7813392720995083E-6</v>
      </c>
      <c r="AR122" s="1">
        <f t="shared" si="29"/>
        <v>7.7813392720995083E-6</v>
      </c>
      <c r="AS122" s="1">
        <f t="shared" si="30"/>
        <v>7.0384909363192998E-6</v>
      </c>
    </row>
    <row r="123" spans="35:45" ht="11.25" customHeight="1" x14ac:dyDescent="0.2">
      <c r="AI123" s="3" t="e">
        <f t="shared" si="23"/>
        <v>#N/A</v>
      </c>
      <c r="AJ123" s="3" t="e">
        <f t="shared" si="24"/>
        <v>#N/A</v>
      </c>
      <c r="AK123" s="1">
        <f t="shared" si="31"/>
        <v>17.100000000000016</v>
      </c>
      <c r="AL123" s="1">
        <f t="shared" si="21"/>
        <v>2.0807787003907925</v>
      </c>
      <c r="AM123" s="1">
        <f t="shared" si="25"/>
        <v>1.9309577761195129E-2</v>
      </c>
      <c r="AN123" s="1">
        <f t="shared" si="26"/>
        <v>0</v>
      </c>
      <c r="AO123" s="1">
        <f t="shared" si="27"/>
        <v>1.9258828572187508E-2</v>
      </c>
      <c r="AP123" s="1">
        <f t="shared" si="22"/>
        <v>4.9963987030660384</v>
      </c>
      <c r="AQ123" s="1">
        <f t="shared" si="28"/>
        <v>7.9939142747303894E-6</v>
      </c>
      <c r="AR123" s="1">
        <f t="shared" si="29"/>
        <v>7.9939142747303894E-6</v>
      </c>
      <c r="AS123" s="1">
        <f t="shared" si="30"/>
        <v>7.2307723903191598E-6</v>
      </c>
    </row>
    <row r="124" spans="35:45" ht="11.25" customHeight="1" x14ac:dyDescent="0.2">
      <c r="AI124" s="3" t="e">
        <f t="shared" si="23"/>
        <v>#N/A</v>
      </c>
      <c r="AJ124" s="3" t="e">
        <f t="shared" si="24"/>
        <v>#N/A</v>
      </c>
      <c r="AK124" s="1">
        <f t="shared" si="31"/>
        <v>17.250000000000014</v>
      </c>
      <c r="AL124" s="1">
        <f t="shared" si="21"/>
        <v>2.0712918674102876</v>
      </c>
      <c r="AM124" s="1">
        <f t="shared" si="25"/>
        <v>1.9664030104504793E-2</v>
      </c>
      <c r="AN124" s="1">
        <f t="shared" si="26"/>
        <v>0</v>
      </c>
      <c r="AO124" s="1">
        <f t="shared" si="27"/>
        <v>1.9612349348313917E-2</v>
      </c>
      <c r="AP124" s="1">
        <f t="shared" si="22"/>
        <v>4.9877743094473983</v>
      </c>
      <c r="AQ124" s="1">
        <f t="shared" si="28"/>
        <v>8.2122126976544741E-6</v>
      </c>
      <c r="AR124" s="1">
        <f t="shared" si="29"/>
        <v>8.2122126976544741E-6</v>
      </c>
      <c r="AS124" s="1">
        <f t="shared" si="30"/>
        <v>7.4282308762475599E-6</v>
      </c>
    </row>
    <row r="125" spans="35:45" ht="11.25" customHeight="1" x14ac:dyDescent="0.2">
      <c r="AI125" s="3" t="e">
        <f t="shared" si="23"/>
        <v>#N/A</v>
      </c>
      <c r="AJ125" s="3" t="e">
        <f t="shared" si="24"/>
        <v>#N/A</v>
      </c>
      <c r="AK125" s="1">
        <f t="shared" si="31"/>
        <v>17.400000000000013</v>
      </c>
      <c r="AL125" s="1">
        <f t="shared" si="21"/>
        <v>2.0618050344297827</v>
      </c>
      <c r="AM125" s="1">
        <f t="shared" si="25"/>
        <v>2.0023653731493507E-2</v>
      </c>
      <c r="AN125" s="1">
        <f t="shared" si="26"/>
        <v>0</v>
      </c>
      <c r="AO125" s="1">
        <f t="shared" si="27"/>
        <v>1.9971027817016762E-2</v>
      </c>
      <c r="AP125" s="1">
        <f t="shared" si="22"/>
        <v>4.9791499158287573</v>
      </c>
      <c r="AQ125" s="1">
        <f t="shared" si="28"/>
        <v>8.4363855624078033E-6</v>
      </c>
      <c r="AR125" s="1">
        <f t="shared" si="29"/>
        <v>8.4363855624078033E-6</v>
      </c>
      <c r="AS125" s="1">
        <f t="shared" si="30"/>
        <v>7.6310029983156057E-6</v>
      </c>
    </row>
    <row r="126" spans="35:45" ht="11.25" customHeight="1" x14ac:dyDescent="0.2">
      <c r="AI126" s="3" t="e">
        <f t="shared" si="23"/>
        <v>#N/A</v>
      </c>
      <c r="AJ126" s="3" t="e">
        <f t="shared" si="24"/>
        <v>#N/A</v>
      </c>
      <c r="AK126" s="1">
        <f t="shared" si="31"/>
        <v>17.550000000000011</v>
      </c>
      <c r="AL126" s="1">
        <f t="shared" si="21"/>
        <v>2.0523182014492773</v>
      </c>
      <c r="AM126" s="1">
        <f t="shared" si="25"/>
        <v>2.038849081023586E-2</v>
      </c>
      <c r="AN126" s="1">
        <f t="shared" si="26"/>
        <v>0</v>
      </c>
      <c r="AO126" s="1">
        <f t="shared" si="27"/>
        <v>2.0334906035545025E-2</v>
      </c>
      <c r="AP126" s="1">
        <f t="shared" si="22"/>
        <v>4.9705255222101163</v>
      </c>
      <c r="AQ126" s="1">
        <f t="shared" si="28"/>
        <v>8.6665877595696385E-6</v>
      </c>
      <c r="AR126" s="1">
        <f t="shared" si="29"/>
        <v>8.6665877595696385E-6</v>
      </c>
      <c r="AS126" s="1">
        <f t="shared" si="30"/>
        <v>7.8392288604180289E-6</v>
      </c>
    </row>
    <row r="127" spans="35:45" ht="11.25" customHeight="1" x14ac:dyDescent="0.2">
      <c r="AI127" s="3" t="e">
        <f t="shared" si="23"/>
        <v>#N/A</v>
      </c>
      <c r="AJ127" s="3" t="e">
        <f t="shared" si="24"/>
        <v>#N/A</v>
      </c>
      <c r="AK127" s="1">
        <f t="shared" si="31"/>
        <v>17.70000000000001</v>
      </c>
      <c r="AL127" s="1">
        <f t="shared" si="21"/>
        <v>2.0428313684687724</v>
      </c>
      <c r="AM127" s="1">
        <f t="shared" si="25"/>
        <v>2.0758583031688094E-2</v>
      </c>
      <c r="AN127" s="1">
        <f t="shared" si="26"/>
        <v>0</v>
      </c>
      <c r="AO127" s="1">
        <f t="shared" si="27"/>
        <v>2.0704025585283302E-2</v>
      </c>
      <c r="AP127" s="1">
        <f t="shared" si="22"/>
        <v>4.9619011285914754</v>
      </c>
      <c r="AQ127" s="1">
        <f t="shared" si="28"/>
        <v>8.9029781526086902E-6</v>
      </c>
      <c r="AR127" s="1">
        <f t="shared" si="29"/>
        <v>8.9029781526086902E-6</v>
      </c>
      <c r="AS127" s="1">
        <f t="shared" si="30"/>
        <v>8.0530521600657011E-6</v>
      </c>
    </row>
    <row r="128" spans="35:45" ht="11.25" customHeight="1" x14ac:dyDescent="0.2">
      <c r="AI128" s="3" t="e">
        <f t="shared" si="23"/>
        <v>#N/A</v>
      </c>
      <c r="AJ128" s="3" t="e">
        <f t="shared" si="24"/>
        <v>#N/A</v>
      </c>
      <c r="AK128" s="1">
        <f t="shared" si="31"/>
        <v>17.850000000000009</v>
      </c>
      <c r="AL128" s="1">
        <f t="shared" si="21"/>
        <v>2.0333445354882675</v>
      </c>
      <c r="AM128" s="1">
        <f t="shared" si="25"/>
        <v>2.113397154737684E-2</v>
      </c>
      <c r="AN128" s="1">
        <f t="shared" si="26"/>
        <v>0</v>
      </c>
      <c r="AO128" s="1">
        <f t="shared" si="27"/>
        <v>2.1078427509604307E-2</v>
      </c>
      <c r="AP128" s="1">
        <f t="shared" si="22"/>
        <v>4.9532767349728344</v>
      </c>
      <c r="AQ128" s="1">
        <f t="shared" si="28"/>
        <v>9.1457196766810485E-6</v>
      </c>
      <c r="AR128" s="1">
        <f t="shared" si="29"/>
        <v>9.1457196766810485E-6</v>
      </c>
      <c r="AS128" s="1">
        <f t="shared" si="30"/>
        <v>8.2726202777517756E-6</v>
      </c>
    </row>
    <row r="129" spans="35:45" ht="11.25" customHeight="1" x14ac:dyDescent="0.2">
      <c r="AI129" s="3" t="e">
        <f t="shared" si="23"/>
        <v>#N/A</v>
      </c>
      <c r="AJ129" s="3" t="e">
        <f t="shared" si="24"/>
        <v>#N/A</v>
      </c>
      <c r="AK129" s="1">
        <f t="shared" si="31"/>
        <v>18.000000000000007</v>
      </c>
      <c r="AL129" s="1">
        <f t="shared" si="21"/>
        <v>2.0238577025077622</v>
      </c>
      <c r="AM129" s="1">
        <f t="shared" si="25"/>
        <v>2.1514696981334014E-2</v>
      </c>
      <c r="AN129" s="1">
        <f t="shared" si="26"/>
        <v>0</v>
      </c>
      <c r="AO129" s="1">
        <f t="shared" si="27"/>
        <v>2.1458152325772379E-2</v>
      </c>
      <c r="AP129" s="1">
        <f t="shared" si="22"/>
        <v>4.9446523413541943</v>
      </c>
      <c r="AQ129" s="1">
        <f t="shared" si="28"/>
        <v>9.3949794328202461E-6</v>
      </c>
      <c r="AR129" s="1">
        <f t="shared" si="29"/>
        <v>9.3949794328202461E-6</v>
      </c>
      <c r="AS129" s="1">
        <f t="shared" si="30"/>
        <v>8.4980843621498772E-6</v>
      </c>
    </row>
    <row r="130" spans="35:45" ht="11.25" customHeight="1" x14ac:dyDescent="0.2">
      <c r="AI130" s="3" t="e">
        <f t="shared" si="23"/>
        <v>#N/A</v>
      </c>
      <c r="AJ130" s="3" t="e">
        <f t="shared" si="24"/>
        <v>#N/A</v>
      </c>
      <c r="AK130" s="1">
        <f t="shared" si="31"/>
        <v>18.150000000000006</v>
      </c>
      <c r="AL130" s="1">
        <f t="shared" si="21"/>
        <v>2.0143708695272573</v>
      </c>
      <c r="AM130" s="1">
        <f t="shared" si="25"/>
        <v>2.1900799362373213E-2</v>
      </c>
      <c r="AN130" s="1">
        <f t="shared" si="26"/>
        <v>0</v>
      </c>
      <c r="AO130" s="1">
        <f t="shared" si="27"/>
        <v>2.1843239957397894E-2</v>
      </c>
      <c r="AP130" s="1">
        <f t="shared" si="22"/>
        <v>4.9360279477355524</v>
      </c>
      <c r="AQ130" s="1">
        <f t="shared" si="28"/>
        <v>9.6509287996778383E-6</v>
      </c>
      <c r="AR130" s="1">
        <f t="shared" si="29"/>
        <v>9.6509287996778383E-6</v>
      </c>
      <c r="AS130" s="1">
        <f t="shared" si="30"/>
        <v>8.7295994311873116E-6</v>
      </c>
    </row>
    <row r="131" spans="35:45" ht="11.25" customHeight="1" x14ac:dyDescent="0.2">
      <c r="AI131" s="3" t="e">
        <f t="shared" si="23"/>
        <v>#N/A</v>
      </c>
      <c r="AJ131" s="3" t="e">
        <f t="shared" si="24"/>
        <v>#N/A</v>
      </c>
      <c r="AK131" s="1">
        <f t="shared" si="31"/>
        <v>18.300000000000004</v>
      </c>
      <c r="AL131" s="1">
        <f t="shared" si="21"/>
        <v>2.0048840365467524</v>
      </c>
      <c r="AM131" s="1">
        <f t="shared" si="25"/>
        <v>2.2292318148653401E-2</v>
      </c>
      <c r="AN131" s="1">
        <f t="shared" si="26"/>
        <v>0</v>
      </c>
      <c r="AO131" s="1">
        <f t="shared" si="27"/>
        <v>2.223372975893638E-2</v>
      </c>
      <c r="AP131" s="1">
        <f t="shared" si="22"/>
        <v>4.9274035541169114</v>
      </c>
      <c r="AQ131" s="1">
        <f t="shared" si="28"/>
        <v>9.9137435328973183E-6</v>
      </c>
      <c r="AR131" s="1">
        <f t="shared" si="29"/>
        <v>9.9137435328973183E-6</v>
      </c>
      <c r="AS131" s="1">
        <f t="shared" si="30"/>
        <v>8.9673244619322286E-6</v>
      </c>
    </row>
    <row r="132" spans="35:45" ht="11.25" customHeight="1" x14ac:dyDescent="0.2">
      <c r="AI132" s="3" t="e">
        <f t="shared" si="23"/>
        <v>#N/A</v>
      </c>
      <c r="AJ132" s="3" t="e">
        <f t="shared" si="24"/>
        <v>#N/A</v>
      </c>
      <c r="AK132" s="1">
        <f t="shared" si="31"/>
        <v>18.450000000000003</v>
      </c>
      <c r="AL132" s="1">
        <f t="shared" si="21"/>
        <v>1.9953972035662473</v>
      </c>
      <c r="AM132" s="1">
        <f t="shared" si="25"/>
        <v>2.2689292133171168E-2</v>
      </c>
      <c r="AN132" s="1">
        <f t="shared" si="26"/>
        <v>0</v>
      </c>
      <c r="AO132" s="1">
        <f t="shared" si="27"/>
        <v>2.2629660421429162E-2</v>
      </c>
      <c r="AP132" s="1">
        <f t="shared" si="22"/>
        <v>4.9187791604982705</v>
      </c>
      <c r="AQ132" s="1">
        <f t="shared" si="28"/>
        <v>1.0183603866859708E-5</v>
      </c>
      <c r="AR132" s="1">
        <f t="shared" si="29"/>
        <v>1.0183603866859708E-5</v>
      </c>
      <c r="AS132" s="1">
        <f t="shared" si="30"/>
        <v>9.2114224826260239E-6</v>
      </c>
    </row>
    <row r="133" spans="35:45" ht="11.25" customHeight="1" x14ac:dyDescent="0.2">
      <c r="AI133" s="3" t="e">
        <f t="shared" si="23"/>
        <v>#N/A</v>
      </c>
      <c r="AJ133" s="3" t="e">
        <f t="shared" si="24"/>
        <v>#N/A</v>
      </c>
      <c r="AK133" s="1">
        <f t="shared" si="31"/>
        <v>18.600000000000001</v>
      </c>
      <c r="AL133" s="1">
        <f t="shared" si="21"/>
        <v>1.9859103705857422</v>
      </c>
      <c r="AM133" s="1">
        <f t="shared" si="25"/>
        <v>2.3091759488585994E-2</v>
      </c>
      <c r="AN133" s="1">
        <f t="shared" si="26"/>
        <v>0</v>
      </c>
      <c r="AO133" s="1">
        <f t="shared" si="27"/>
        <v>2.303107001721082E-2</v>
      </c>
      <c r="AP133" s="1">
        <f t="shared" si="22"/>
        <v>4.9101547668796304</v>
      </c>
      <c r="AQ133" s="1">
        <f t="shared" si="28"/>
        <v>1.0460694640891471E-5</v>
      </c>
      <c r="AR133" s="1">
        <f t="shared" si="29"/>
        <v>1.0460694640891471E-5</v>
      </c>
      <c r="AS133" s="1">
        <f t="shared" si="30"/>
        <v>9.4620606868427685E-6</v>
      </c>
    </row>
    <row r="134" spans="35:45" ht="11.25" customHeight="1" x14ac:dyDescent="0.2">
      <c r="AI134" s="3" t="e">
        <f t="shared" si="23"/>
        <v>#N/A</v>
      </c>
      <c r="AJ134" s="3" t="e">
        <f t="shared" si="24"/>
        <v>#N/A</v>
      </c>
      <c r="AK134" s="1">
        <f t="shared" si="31"/>
        <v>18.75</v>
      </c>
      <c r="AL134" s="1">
        <f t="shared" si="21"/>
        <v>1.976423537605237</v>
      </c>
      <c r="AM134" s="1">
        <f t="shared" si="25"/>
        <v>2.3499757685063738E-2</v>
      </c>
      <c r="AN134" s="1">
        <f t="shared" si="26"/>
        <v>0</v>
      </c>
      <c r="AO134" s="1">
        <f t="shared" si="27"/>
        <v>2.343799591796859E-2</v>
      </c>
      <c r="AP134" s="1">
        <f t="shared" si="22"/>
        <v>4.9015303732609885</v>
      </c>
      <c r="AQ134" s="1">
        <f t="shared" si="28"/>
        <v>1.0745205394538772E-5</v>
      </c>
      <c r="AR134" s="1">
        <f t="shared" si="29"/>
        <v>1.0745205394538772E-5</v>
      </c>
      <c r="AS134" s="1">
        <f t="shared" si="30"/>
        <v>9.719410519668089E-6</v>
      </c>
    </row>
    <row r="135" spans="35:45" ht="11.25" customHeight="1" x14ac:dyDescent="0.2">
      <c r="AI135" s="3" t="e">
        <f t="shared" si="23"/>
        <v>#N/A</v>
      </c>
      <c r="AJ135" s="3" t="e">
        <f t="shared" si="24"/>
        <v>#N/A</v>
      </c>
      <c r="AK135" s="1">
        <f t="shared" si="31"/>
        <v>18.899999999999999</v>
      </c>
      <c r="AL135" s="1">
        <f t="shared" si="21"/>
        <v>1.9669367046247321</v>
      </c>
      <c r="AM135" s="1">
        <f t="shared" si="25"/>
        <v>2.3913323482227522E-2</v>
      </c>
      <c r="AN135" s="1">
        <f t="shared" si="26"/>
        <v>0</v>
      </c>
      <c r="AO135" s="1">
        <f t="shared" si="27"/>
        <v>2.3850474786714419E-2</v>
      </c>
      <c r="AP135" s="1">
        <f t="shared" si="22"/>
        <v>4.8929059796423475</v>
      </c>
      <c r="AQ135" s="1">
        <f t="shared" si="28"/>
        <v>1.103733049130206E-5</v>
      </c>
      <c r="AR135" s="1">
        <f t="shared" si="29"/>
        <v>1.103733049130206E-5</v>
      </c>
      <c r="AS135" s="1">
        <f t="shared" si="30"/>
        <v>9.9836477896213665E-6</v>
      </c>
    </row>
    <row r="136" spans="35:45" ht="11.25" customHeight="1" x14ac:dyDescent="0.2">
      <c r="AI136" s="3" t="e">
        <f t="shared" si="23"/>
        <v>#N/A</v>
      </c>
      <c r="AJ136" s="3" t="e">
        <f t="shared" si="24"/>
        <v>#N/A</v>
      </c>
      <c r="AK136" s="1">
        <f t="shared" si="31"/>
        <v>19.049999999999997</v>
      </c>
      <c r="AL136" s="1">
        <f t="shared" si="21"/>
        <v>1.957449871644227</v>
      </c>
      <c r="AM136" s="1">
        <f t="shared" si="25"/>
        <v>2.4332492913198278E-2</v>
      </c>
      <c r="AN136" s="1">
        <f t="shared" si="26"/>
        <v>0</v>
      </c>
      <c r="AO136" s="1">
        <f t="shared" si="27"/>
        <v>2.4268542561867442E-2</v>
      </c>
      <c r="AP136" s="1">
        <f t="shared" si="22"/>
        <v>4.8842815860237065</v>
      </c>
      <c r="AQ136" s="1">
        <f t="shared" si="28"/>
        <v>1.133726923620423E-5</v>
      </c>
      <c r="AR136" s="1">
        <f t="shared" si="29"/>
        <v>1.133726923620423E-5</v>
      </c>
      <c r="AS136" s="1">
        <f t="shared" si="30"/>
        <v>1.0254952775000228E-5</v>
      </c>
    </row>
    <row r="137" spans="35:45" ht="11.25" customHeight="1" x14ac:dyDescent="0.2">
      <c r="AI137" s="3" t="e">
        <f t="shared" si="23"/>
        <v>#N/A</v>
      </c>
      <c r="AJ137" s="3" t="e">
        <f t="shared" si="24"/>
        <v>#N/A</v>
      </c>
      <c r="AK137" s="1">
        <f t="shared" si="31"/>
        <v>19.199999999999996</v>
      </c>
      <c r="AL137" s="1">
        <f t="shared" ref="AL137:AL200" si="32">ABS(($AL$5-AK137)/$AL$6)</f>
        <v>1.9479630386637219</v>
      </c>
      <c r="AM137" s="1">
        <f t="shared" si="25"/>
        <v>2.4757301214650695E-2</v>
      </c>
      <c r="AN137" s="1">
        <f t="shared" si="26"/>
        <v>0</v>
      </c>
      <c r="AO137" s="1">
        <f t="shared" si="27"/>
        <v>2.469223438749377E-2</v>
      </c>
      <c r="AP137" s="1">
        <f t="shared" ref="AP137:AP200" si="33">ABS(($AP$5-AK137)/$AP$6)</f>
        <v>4.8756571924050665</v>
      </c>
      <c r="AQ137" s="1">
        <f t="shared" si="28"/>
        <v>1.16452259962726E-5</v>
      </c>
      <c r="AR137" s="1">
        <f t="shared" si="29"/>
        <v>1.16452259962726E-5</v>
      </c>
      <c r="AS137" s="1">
        <f t="shared" si="30"/>
        <v>1.0533510332860656E-5</v>
      </c>
    </row>
    <row r="138" spans="35:45" ht="11.25" customHeight="1" x14ac:dyDescent="0.2">
      <c r="AI138" s="3" t="e">
        <f t="shared" ref="AI138:AI201" si="34">IF($M$18,AI137,NA())</f>
        <v>#N/A</v>
      </c>
      <c r="AJ138" s="3" t="e">
        <f t="shared" ref="AJ138:AJ201" si="35">IF($M$18,AJ137,NA())</f>
        <v>#N/A</v>
      </c>
      <c r="AK138" s="1">
        <f t="shared" si="31"/>
        <v>19.349999999999994</v>
      </c>
      <c r="AL138" s="1">
        <f t="shared" si="32"/>
        <v>1.938476205683217</v>
      </c>
      <c r="AM138" s="1">
        <f t="shared" ref="AM138:AM201" si="36">$AL$3*ABS((TDIST(AL138,$AL$7,1)-TDIST(AL138+$AL$1,$AL$7,1))/($AL$1))</f>
        <v>2.5187782858593355E-2</v>
      </c>
      <c r="AN138" s="1">
        <f t="shared" ref="AN138:AN201" si="37">IF(($D$10&gt;$AJ$5)=($D$10&gt;AK138),AM138,0)</f>
        <v>0</v>
      </c>
      <c r="AO138" s="1">
        <f t="shared" ref="AO138:AO201" si="38">AM138*$AN$5/$AN$7</f>
        <v>2.5121584645003078E-2</v>
      </c>
      <c r="AP138" s="1">
        <f t="shared" si="33"/>
        <v>4.8670327987864246</v>
      </c>
      <c r="AQ138" s="1">
        <f t="shared" ref="AQ138:AQ201" si="39">$AL$3*ABS((TDIST(AP138,$AP$7,1)-TDIST(AP138+$AL$1,$AP$7,1))/($AL$1))</f>
        <v>1.1961410320139956E-5</v>
      </c>
      <c r="AR138" s="1">
        <f t="shared" ref="AR138:AR201" si="40">IF(($D$19&gt;$AJ$5)=($D$19&gt;AK138),AQ138,0)</f>
        <v>1.1961410320139956E-5</v>
      </c>
      <c r="AS138" s="1">
        <f t="shared" ref="AS138:AS201" si="41">AQ138*$AN$5/$AR$7</f>
        <v>1.0819510007200284E-5</v>
      </c>
    </row>
    <row r="139" spans="35:45" ht="11.25" customHeight="1" x14ac:dyDescent="0.2">
      <c r="AI139" s="3" t="e">
        <f t="shared" si="34"/>
        <v>#N/A</v>
      </c>
      <c r="AJ139" s="3" t="e">
        <f t="shared" si="35"/>
        <v>#N/A</v>
      </c>
      <c r="AK139" s="1">
        <f t="shared" si="31"/>
        <v>19.499999999999993</v>
      </c>
      <c r="AL139" s="1">
        <f t="shared" si="32"/>
        <v>1.9289893727027119</v>
      </c>
      <c r="AM139" s="1">
        <f t="shared" si="36"/>
        <v>2.5623971470351004E-2</v>
      </c>
      <c r="AN139" s="1">
        <f t="shared" si="37"/>
        <v>0</v>
      </c>
      <c r="AO139" s="1">
        <f t="shared" si="38"/>
        <v>2.5556626871346459E-2</v>
      </c>
      <c r="AP139" s="1">
        <f t="shared" si="33"/>
        <v>4.8584084051677836</v>
      </c>
      <c r="AQ139" s="1">
        <f t="shared" si="39"/>
        <v>1.2286037065031732E-5</v>
      </c>
      <c r="AR139" s="1">
        <f t="shared" si="40"/>
        <v>1.2286037065031732E-5</v>
      </c>
      <c r="AS139" s="1">
        <f t="shared" si="41"/>
        <v>1.1113146143822704E-5</v>
      </c>
    </row>
    <row r="140" spans="35:45" ht="11.25" customHeight="1" x14ac:dyDescent="0.2">
      <c r="AI140" s="3" t="e">
        <f t="shared" si="34"/>
        <v>#N/A</v>
      </c>
      <c r="AJ140" s="3" t="e">
        <f t="shared" si="35"/>
        <v>#N/A</v>
      </c>
      <c r="AK140" s="1">
        <f t="shared" si="31"/>
        <v>19.649999999999991</v>
      </c>
      <c r="AL140" s="1">
        <f t="shared" si="32"/>
        <v>1.9195025397222067</v>
      </c>
      <c r="AM140" s="1">
        <f t="shared" si="36"/>
        <v>2.6065899826066552E-2</v>
      </c>
      <c r="AN140" s="1">
        <f t="shared" si="37"/>
        <v>0</v>
      </c>
      <c r="AO140" s="1">
        <f t="shared" si="38"/>
        <v>2.5997393756524982E-2</v>
      </c>
      <c r="AP140" s="1">
        <f t="shared" si="33"/>
        <v>4.8497840115491426</v>
      </c>
      <c r="AQ140" s="1">
        <f t="shared" si="39"/>
        <v>1.2619326532968913E-5</v>
      </c>
      <c r="AR140" s="1">
        <f t="shared" si="40"/>
        <v>1.2619326532968913E-5</v>
      </c>
      <c r="AS140" s="1">
        <f t="shared" si="41"/>
        <v>1.1414618013537696E-5</v>
      </c>
    </row>
    <row r="141" spans="35:45" ht="11.25" customHeight="1" x14ac:dyDescent="0.2">
      <c r="AI141" s="3" t="e">
        <f t="shared" si="34"/>
        <v>#N/A</v>
      </c>
      <c r="AJ141" s="3" t="e">
        <f t="shared" si="35"/>
        <v>#N/A</v>
      </c>
      <c r="AK141" s="1">
        <f t="shared" si="31"/>
        <v>19.79999999999999</v>
      </c>
      <c r="AL141" s="1">
        <f t="shared" si="32"/>
        <v>1.9100157067417018</v>
      </c>
      <c r="AM141" s="1">
        <f t="shared" si="36"/>
        <v>2.6513599810651378E-2</v>
      </c>
      <c r="AN141" s="1">
        <f t="shared" si="37"/>
        <v>0</v>
      </c>
      <c r="AO141" s="1">
        <f t="shared" si="38"/>
        <v>2.6443917101650501E-2</v>
      </c>
      <c r="AP141" s="1">
        <f t="shared" si="33"/>
        <v>4.8411596179305025</v>
      </c>
      <c r="AQ141" s="1">
        <f t="shared" si="39"/>
        <v>1.2961504594909178E-5</v>
      </c>
      <c r="AR141" s="1">
        <f t="shared" si="40"/>
        <v>1.2961504594909178E-5</v>
      </c>
      <c r="AS141" s="1">
        <f t="shared" si="41"/>
        <v>1.1724129924451206E-5</v>
      </c>
    </row>
    <row r="142" spans="35:45" ht="11.25" customHeight="1" x14ac:dyDescent="0.2">
      <c r="AI142" s="3" t="e">
        <f t="shared" si="34"/>
        <v>#N/A</v>
      </c>
      <c r="AJ142" s="3" t="e">
        <f t="shared" si="35"/>
        <v>#N/A</v>
      </c>
      <c r="AK142" s="1">
        <f t="shared" si="31"/>
        <v>19.949999999999989</v>
      </c>
      <c r="AL142" s="1">
        <f t="shared" si="32"/>
        <v>1.9005288737611967</v>
      </c>
      <c r="AM142" s="1">
        <f t="shared" si="36"/>
        <v>2.6967102392805309E-2</v>
      </c>
      <c r="AN142" s="1">
        <f t="shared" si="37"/>
        <v>0</v>
      </c>
      <c r="AO142" s="1">
        <f t="shared" si="38"/>
        <v>2.6896227794031294E-2</v>
      </c>
      <c r="AP142" s="1">
        <f t="shared" si="33"/>
        <v>4.8325352243118607</v>
      </c>
      <c r="AQ142" s="1">
        <f t="shared" si="39"/>
        <v>1.3312802824916922E-5</v>
      </c>
      <c r="AR142" s="1">
        <f t="shared" si="40"/>
        <v>1.3312802824916922E-5</v>
      </c>
      <c r="AS142" s="1">
        <f t="shared" si="41"/>
        <v>1.2041891343326773E-5</v>
      </c>
    </row>
    <row r="143" spans="35:45" ht="11.25" customHeight="1" x14ac:dyDescent="0.2">
      <c r="AI143" s="3" t="e">
        <f t="shared" si="34"/>
        <v>#N/A</v>
      </c>
      <c r="AJ143" s="3" t="e">
        <f t="shared" si="35"/>
        <v>#N/A</v>
      </c>
      <c r="AK143" s="1">
        <f t="shared" si="31"/>
        <v>20.099999999999987</v>
      </c>
      <c r="AL143" s="1">
        <f t="shared" si="32"/>
        <v>1.8910420407806916</v>
      </c>
      <c r="AM143" s="1">
        <f t="shared" si="36"/>
        <v>2.7426437597954934E-2</v>
      </c>
      <c r="AN143" s="1">
        <f t="shared" si="37"/>
        <v>0</v>
      </c>
      <c r="AO143" s="1">
        <f t="shared" si="38"/>
        <v>2.7354355780181503E-2</v>
      </c>
      <c r="AP143" s="1">
        <f t="shared" si="33"/>
        <v>4.8239108306932197</v>
      </c>
      <c r="AQ143" s="1">
        <f t="shared" si="39"/>
        <v>1.3673458639279945E-5</v>
      </c>
      <c r="AR143" s="1">
        <f t="shared" si="40"/>
        <v>1.3673458639279945E-5</v>
      </c>
      <c r="AS143" s="1">
        <f t="shared" si="41"/>
        <v>1.2368117021421398E-5</v>
      </c>
    </row>
    <row r="144" spans="35:45" ht="11.25" customHeight="1" x14ac:dyDescent="0.2">
      <c r="AI144" s="3" t="e">
        <f t="shared" si="34"/>
        <v>#N/A</v>
      </c>
      <c r="AJ144" s="3" t="e">
        <f t="shared" si="35"/>
        <v>#N/A</v>
      </c>
      <c r="AK144" s="1">
        <f t="shared" si="31"/>
        <v>20.249999999999986</v>
      </c>
      <c r="AL144" s="1">
        <f t="shared" si="32"/>
        <v>1.8815552078001867</v>
      </c>
      <c r="AM144" s="1">
        <f t="shared" si="36"/>
        <v>2.7891634479249028E-2</v>
      </c>
      <c r="AN144" s="1">
        <f t="shared" si="37"/>
        <v>0</v>
      </c>
      <c r="AO144" s="1">
        <f t="shared" si="38"/>
        <v>2.7818330036892786E-2</v>
      </c>
      <c r="AP144" s="1">
        <f t="shared" si="33"/>
        <v>4.8152864370745796</v>
      </c>
      <c r="AQ144" s="1">
        <f t="shared" si="39"/>
        <v>1.4043715447484609E-5</v>
      </c>
      <c r="AR144" s="1">
        <f t="shared" si="40"/>
        <v>1.4043715447484609E-5</v>
      </c>
      <c r="AS144" s="1">
        <f t="shared" si="41"/>
        <v>1.2703027131047795E-5</v>
      </c>
    </row>
    <row r="145" spans="35:45" ht="11.25" customHeight="1" x14ac:dyDescent="0.2">
      <c r="AI145" s="3" t="e">
        <f t="shared" si="34"/>
        <v>#N/A</v>
      </c>
      <c r="AJ145" s="3" t="e">
        <f t="shared" si="35"/>
        <v>#N/A</v>
      </c>
      <c r="AK145" s="1">
        <f t="shared" si="31"/>
        <v>20.399999999999984</v>
      </c>
      <c r="AL145" s="1">
        <f t="shared" si="32"/>
        <v>1.8720683748196816</v>
      </c>
      <c r="AM145" s="1">
        <f t="shared" si="36"/>
        <v>2.8362721067876073E-2</v>
      </c>
      <c r="AN145" s="1">
        <f t="shared" si="37"/>
        <v>0</v>
      </c>
      <c r="AO145" s="1">
        <f t="shared" si="38"/>
        <v>2.8288178521682406E-2</v>
      </c>
      <c r="AP145" s="1">
        <f t="shared" si="33"/>
        <v>4.8066620434559386</v>
      </c>
      <c r="AQ145" s="1">
        <f t="shared" si="39"/>
        <v>1.442382278198128E-5</v>
      </c>
      <c r="AR145" s="1">
        <f t="shared" si="40"/>
        <v>1.442382278198128E-5</v>
      </c>
      <c r="AS145" s="1">
        <f t="shared" si="41"/>
        <v>1.3046847382951739E-5</v>
      </c>
    </row>
    <row r="146" spans="35:45" ht="11.25" customHeight="1" x14ac:dyDescent="0.2">
      <c r="AI146" s="3" t="e">
        <f t="shared" si="34"/>
        <v>#N/A</v>
      </c>
      <c r="AJ146" s="3" t="e">
        <f t="shared" si="35"/>
        <v>#N/A</v>
      </c>
      <c r="AK146" s="1">
        <f t="shared" si="31"/>
        <v>20.549999999999983</v>
      </c>
      <c r="AL146" s="1">
        <f t="shared" si="32"/>
        <v>1.8625815418391765</v>
      </c>
      <c r="AM146" s="1">
        <f t="shared" si="36"/>
        <v>2.8839724357521135E-2</v>
      </c>
      <c r="AN146" s="1">
        <f t="shared" si="37"/>
        <v>0</v>
      </c>
      <c r="AO146" s="1">
        <f t="shared" si="38"/>
        <v>2.8763928157290966E-2</v>
      </c>
      <c r="AP146" s="1">
        <f t="shared" si="33"/>
        <v>4.7980376498372976</v>
      </c>
      <c r="AQ146" s="1">
        <f t="shared" si="39"/>
        <v>1.4814036452750904E-5</v>
      </c>
      <c r="AR146" s="1">
        <f t="shared" si="40"/>
        <v>1.4814036452750904E-5</v>
      </c>
      <c r="AS146" s="1">
        <f t="shared" si="41"/>
        <v>1.3399809166122881E-5</v>
      </c>
    </row>
    <row r="147" spans="35:45" ht="11.25" customHeight="1" x14ac:dyDescent="0.2">
      <c r="AI147" s="3" t="e">
        <f t="shared" si="34"/>
        <v>#N/A</v>
      </c>
      <c r="AJ147" s="3" t="e">
        <f t="shared" si="35"/>
        <v>#N/A</v>
      </c>
      <c r="AK147" s="1">
        <f t="shared" si="31"/>
        <v>20.699999999999982</v>
      </c>
      <c r="AL147" s="1">
        <f t="shared" si="32"/>
        <v>1.8530947088586716</v>
      </c>
      <c r="AM147" s="1">
        <f t="shared" si="36"/>
        <v>2.9322670289932962E-2</v>
      </c>
      <c r="AN147" s="1">
        <f t="shared" si="37"/>
        <v>0</v>
      </c>
      <c r="AO147" s="1">
        <f t="shared" si="38"/>
        <v>2.9245604817287441E-2</v>
      </c>
      <c r="AP147" s="1">
        <f t="shared" si="33"/>
        <v>4.7894132562186558</v>
      </c>
      <c r="AQ147" s="1">
        <f t="shared" si="39"/>
        <v>1.5214618697738055E-5</v>
      </c>
      <c r="AR147" s="1">
        <f t="shared" si="40"/>
        <v>1.5214618697738055E-5</v>
      </c>
      <c r="AS147" s="1">
        <f t="shared" si="41"/>
        <v>1.3762149683866657E-5</v>
      </c>
    </row>
    <row r="148" spans="35:45" ht="11.25" customHeight="1" x14ac:dyDescent="0.2">
      <c r="AI148" s="3" t="e">
        <f t="shared" si="34"/>
        <v>#N/A</v>
      </c>
      <c r="AJ148" s="3" t="e">
        <f t="shared" si="35"/>
        <v>#N/A</v>
      </c>
      <c r="AK148" s="1">
        <f t="shared" si="31"/>
        <v>20.84999999999998</v>
      </c>
      <c r="AL148" s="1">
        <f t="shared" si="32"/>
        <v>1.8436078758781664</v>
      </c>
      <c r="AM148" s="1">
        <f t="shared" si="36"/>
        <v>2.9811583689143273E-2</v>
      </c>
      <c r="AN148" s="1">
        <f t="shared" si="37"/>
        <v>0</v>
      </c>
      <c r="AO148" s="1">
        <f t="shared" si="38"/>
        <v>2.9733233260461334E-2</v>
      </c>
      <c r="AP148" s="1">
        <f t="shared" si="33"/>
        <v>4.7807888626000157</v>
      </c>
      <c r="AQ148" s="1">
        <f t="shared" si="39"/>
        <v>1.5625838337349749E-5</v>
      </c>
      <c r="AR148" s="1">
        <f t="shared" si="40"/>
        <v>1.5625838337349749E-5</v>
      </c>
      <c r="AS148" s="1">
        <f t="shared" si="41"/>
        <v>1.4134112093553808E-5</v>
      </c>
    </row>
    <row r="149" spans="35:45" ht="11.25" customHeight="1" x14ac:dyDescent="0.2">
      <c r="AI149" s="3" t="e">
        <f t="shared" si="34"/>
        <v>#N/A</v>
      </c>
      <c r="AJ149" s="3" t="e">
        <f t="shared" si="35"/>
        <v>#N/A</v>
      </c>
      <c r="AK149" s="1">
        <f t="shared" si="31"/>
        <v>20.999999999999979</v>
      </c>
      <c r="AL149" s="1">
        <f t="shared" si="32"/>
        <v>1.8341210428976613</v>
      </c>
      <c r="AM149" s="1">
        <f t="shared" si="36"/>
        <v>3.0306488253417641E-2</v>
      </c>
      <c r="AN149" s="1">
        <f t="shared" si="37"/>
        <v>0</v>
      </c>
      <c r="AO149" s="1">
        <f t="shared" si="38"/>
        <v>3.0226837122794743E-2</v>
      </c>
      <c r="AP149" s="1">
        <f t="shared" si="33"/>
        <v>4.7721644689813747</v>
      </c>
      <c r="AQ149" s="1">
        <f t="shared" si="39"/>
        <v>1.6047970930241741E-5</v>
      </c>
      <c r="AR149" s="1">
        <f t="shared" si="40"/>
        <v>1.6047970930241741E-5</v>
      </c>
      <c r="AS149" s="1">
        <f t="shared" si="41"/>
        <v>1.4515945647534495E-5</v>
      </c>
    </row>
    <row r="150" spans="35:45" ht="11.25" customHeight="1" x14ac:dyDescent="0.2">
      <c r="AI150" s="3" t="e">
        <f t="shared" si="34"/>
        <v>#N/A</v>
      </c>
      <c r="AJ150" s="3" t="e">
        <f t="shared" si="35"/>
        <v>#N/A</v>
      </c>
      <c r="AK150" s="1">
        <f t="shared" si="31"/>
        <v>21.149999999999977</v>
      </c>
      <c r="AL150" s="1">
        <f t="shared" si="32"/>
        <v>1.8246342099171564</v>
      </c>
      <c r="AM150" s="1">
        <f t="shared" si="36"/>
        <v>3.0807406519450797E-2</v>
      </c>
      <c r="AN150" s="1">
        <f t="shared" si="37"/>
        <v>0</v>
      </c>
      <c r="AO150" s="1">
        <f t="shared" si="38"/>
        <v>3.0726438881751739E-2</v>
      </c>
      <c r="AP150" s="1">
        <f t="shared" si="33"/>
        <v>4.7635400753627337</v>
      </c>
      <c r="AQ150" s="1">
        <f t="shared" si="39"/>
        <v>1.6481298944893519E-5</v>
      </c>
      <c r="AR150" s="1">
        <f t="shared" si="40"/>
        <v>1.6481298944893519E-5</v>
      </c>
      <c r="AS150" s="1">
        <f t="shared" si="41"/>
        <v>1.4907905848333817E-5</v>
      </c>
    </row>
    <row r="151" spans="35:45" ht="11.25" customHeight="1" x14ac:dyDescent="0.2">
      <c r="AI151" s="3" t="e">
        <f t="shared" si="34"/>
        <v>#N/A</v>
      </c>
      <c r="AJ151" s="3" t="e">
        <f t="shared" si="35"/>
        <v>#N/A</v>
      </c>
      <c r="AK151" s="1">
        <f t="shared" si="31"/>
        <v>21.299999999999976</v>
      </c>
      <c r="AL151" s="1">
        <f t="shared" si="32"/>
        <v>1.8151473769366513</v>
      </c>
      <c r="AM151" s="1">
        <f t="shared" si="36"/>
        <v>3.131435981962305E-2</v>
      </c>
      <c r="AN151" s="1">
        <f t="shared" si="37"/>
        <v>0</v>
      </c>
      <c r="AO151" s="1">
        <f t="shared" si="38"/>
        <v>3.1232059813647139E-2</v>
      </c>
      <c r="AP151" s="1">
        <f t="shared" si="33"/>
        <v>4.7549156817440918</v>
      </c>
      <c r="AQ151" s="1">
        <f t="shared" si="39"/>
        <v>1.6926111899131566E-5</v>
      </c>
      <c r="AR151" s="1">
        <f t="shared" si="40"/>
        <v>1.6926111899131566E-5</v>
      </c>
      <c r="AS151" s="1">
        <f t="shared" si="41"/>
        <v>1.5310254574855439E-5</v>
      </c>
    </row>
    <row r="152" spans="35:45" ht="11.25" customHeight="1" x14ac:dyDescent="0.2">
      <c r="AI152" s="3" t="e">
        <f t="shared" si="34"/>
        <v>#N/A</v>
      </c>
      <c r="AJ152" s="3" t="e">
        <f t="shared" si="35"/>
        <v>#N/A</v>
      </c>
      <c r="AK152" s="1">
        <f t="shared" si="31"/>
        <v>21.449999999999974</v>
      </c>
      <c r="AL152" s="1">
        <f t="shared" si="32"/>
        <v>1.8056605439561462</v>
      </c>
      <c r="AM152" s="1">
        <f t="shared" si="36"/>
        <v>3.1827368260906042E-2</v>
      </c>
      <c r="AN152" s="1">
        <f t="shared" si="37"/>
        <v>0</v>
      </c>
      <c r="AO152" s="1">
        <f t="shared" si="38"/>
        <v>3.1743719972607692E-2</v>
      </c>
      <c r="AP152" s="1">
        <f t="shared" si="33"/>
        <v>4.7462912881254518</v>
      </c>
      <c r="AQ152" s="1">
        <f t="shared" si="39"/>
        <v>1.7382706563078472E-5</v>
      </c>
      <c r="AR152" s="1">
        <f t="shared" si="40"/>
        <v>1.7382706563078472E-5</v>
      </c>
      <c r="AS152" s="1">
        <f t="shared" si="41"/>
        <v>1.5723260265956083E-5</v>
      </c>
    </row>
    <row r="153" spans="35:45" ht="11.25" customHeight="1" x14ac:dyDescent="0.2">
      <c r="AI153" s="3" t="e">
        <f t="shared" si="34"/>
        <v>#N/A</v>
      </c>
      <c r="AJ153" s="3" t="e">
        <f t="shared" si="35"/>
        <v>#N/A</v>
      </c>
      <c r="AK153" s="1">
        <f t="shared" si="31"/>
        <v>21.599999999999973</v>
      </c>
      <c r="AL153" s="1">
        <f t="shared" si="32"/>
        <v>1.7961737109756413</v>
      </c>
      <c r="AM153" s="1">
        <f t="shared" si="36"/>
        <v>3.2346450711540076E-2</v>
      </c>
      <c r="AN153" s="1">
        <f t="shared" si="37"/>
        <v>0</v>
      </c>
      <c r="AO153" s="1">
        <f t="shared" si="38"/>
        <v>3.2261438177284434E-2</v>
      </c>
      <c r="AP153" s="1">
        <f t="shared" si="33"/>
        <v>4.7376668945068108</v>
      </c>
      <c r="AQ153" s="1">
        <f t="shared" si="39"/>
        <v>1.7851387102945224E-5</v>
      </c>
      <c r="AR153" s="1">
        <f t="shared" si="40"/>
        <v>1.7851387102945224E-5</v>
      </c>
      <c r="AS153" s="1">
        <f t="shared" si="41"/>
        <v>1.614719805051066E-5</v>
      </c>
    </row>
    <row r="154" spans="35:45" ht="11.25" customHeight="1" x14ac:dyDescent="0.2">
      <c r="AI154" s="3" t="e">
        <f t="shared" si="34"/>
        <v>#N/A</v>
      </c>
      <c r="AJ154" s="3" t="e">
        <f t="shared" si="35"/>
        <v>#N/A</v>
      </c>
      <c r="AK154" s="1">
        <f t="shared" si="31"/>
        <v>21.749999999999972</v>
      </c>
      <c r="AL154" s="1">
        <f t="shared" si="32"/>
        <v>1.7866868779951361</v>
      </c>
      <c r="AM154" s="1">
        <f t="shared" si="36"/>
        <v>3.2871624711106051E-2</v>
      </c>
      <c r="AN154" s="1">
        <f t="shared" si="37"/>
        <v>0</v>
      </c>
      <c r="AO154" s="1">
        <f t="shared" si="38"/>
        <v>3.2785231921160951E-2</v>
      </c>
      <c r="AP154" s="1">
        <f t="shared" si="33"/>
        <v>4.7290425008881698</v>
      </c>
      <c r="AQ154" s="1">
        <f t="shared" si="39"/>
        <v>1.833246526683637E-5</v>
      </c>
      <c r="AR154" s="1">
        <f t="shared" si="40"/>
        <v>1.833246526683637E-5</v>
      </c>
      <c r="AS154" s="1">
        <f t="shared" si="41"/>
        <v>1.6582349915479443E-5</v>
      </c>
    </row>
    <row r="155" spans="35:45" ht="11.25" customHeight="1" x14ac:dyDescent="0.2">
      <c r="AI155" s="3" t="e">
        <f t="shared" si="34"/>
        <v>#N/A</v>
      </c>
      <c r="AJ155" s="3" t="e">
        <f t="shared" si="35"/>
        <v>#N/A</v>
      </c>
      <c r="AK155" s="1">
        <f t="shared" si="31"/>
        <v>21.89999999999997</v>
      </c>
      <c r="AL155" s="1">
        <f t="shared" si="32"/>
        <v>1.777200045014631</v>
      </c>
      <c r="AM155" s="1">
        <f t="shared" si="36"/>
        <v>3.3402906527424392E-2</v>
      </c>
      <c r="AN155" s="1">
        <f t="shared" si="37"/>
        <v>0</v>
      </c>
      <c r="AO155" s="1">
        <f t="shared" si="38"/>
        <v>3.3315117429302793E-2</v>
      </c>
      <c r="AP155" s="1">
        <f t="shared" si="33"/>
        <v>4.7204181072695279</v>
      </c>
      <c r="AQ155" s="1">
        <f t="shared" si="39"/>
        <v>1.8826260575027483E-5</v>
      </c>
      <c r="AR155" s="1">
        <f t="shared" si="40"/>
        <v>1.8826260575027483E-5</v>
      </c>
      <c r="AS155" s="1">
        <f t="shared" si="41"/>
        <v>1.7029004878020665E-5</v>
      </c>
    </row>
    <row r="156" spans="35:45" ht="11.25" customHeight="1" x14ac:dyDescent="0.2">
      <c r="AI156" s="3" t="e">
        <f t="shared" si="34"/>
        <v>#N/A</v>
      </c>
      <c r="AJ156" s="3" t="e">
        <f t="shared" si="35"/>
        <v>#N/A</v>
      </c>
      <c r="AK156" s="1">
        <f t="shared" si="31"/>
        <v>22.049999999999969</v>
      </c>
      <c r="AL156" s="1">
        <f t="shared" si="32"/>
        <v>1.7677132120341261</v>
      </c>
      <c r="AM156" s="1">
        <f t="shared" si="36"/>
        <v>3.3940311018887385E-2</v>
      </c>
      <c r="AN156" s="1">
        <f t="shared" si="37"/>
        <v>0</v>
      </c>
      <c r="AO156" s="1">
        <f t="shared" si="38"/>
        <v>3.3851109521051616E-2</v>
      </c>
      <c r="AP156" s="1">
        <f t="shared" si="33"/>
        <v>4.7117937136508878</v>
      </c>
      <c r="AQ156" s="1">
        <f t="shared" si="39"/>
        <v>1.9333100487406657E-5</v>
      </c>
      <c r="AR156" s="1">
        <f t="shared" si="40"/>
        <v>1.9333100487406657E-5</v>
      </c>
      <c r="AS156" s="1">
        <f t="shared" si="41"/>
        <v>1.7487459136947121E-5</v>
      </c>
    </row>
    <row r="157" spans="35:45" ht="11.25" customHeight="1" x14ac:dyDescent="0.2">
      <c r="AI157" s="3" t="e">
        <f t="shared" si="34"/>
        <v>#N/A</v>
      </c>
      <c r="AJ157" s="3" t="e">
        <f t="shared" si="35"/>
        <v>#N/A</v>
      </c>
      <c r="AK157" s="1">
        <f t="shared" si="31"/>
        <v>22.199999999999967</v>
      </c>
      <c r="AL157" s="1">
        <f t="shared" si="32"/>
        <v>1.758226379053621</v>
      </c>
      <c r="AM157" s="1">
        <f t="shared" si="36"/>
        <v>3.4483851714395268E-2</v>
      </c>
      <c r="AN157" s="1">
        <f t="shared" si="37"/>
        <v>0</v>
      </c>
      <c r="AO157" s="1">
        <f t="shared" si="38"/>
        <v>3.4393221689751154E-2</v>
      </c>
      <c r="AP157" s="1">
        <f t="shared" si="33"/>
        <v>4.7031693200322469</v>
      </c>
      <c r="AQ157" s="1">
        <f t="shared" si="39"/>
        <v>1.9853320604797282E-5</v>
      </c>
      <c r="AR157" s="1">
        <f t="shared" si="40"/>
        <v>1.9853320604797282E-5</v>
      </c>
      <c r="AS157" s="1">
        <f t="shared" si="41"/>
        <v>1.7958016254829595E-5</v>
      </c>
    </row>
    <row r="158" spans="35:45" ht="11.25" customHeight="1" x14ac:dyDescent="0.2">
      <c r="AI158" s="3" t="e">
        <f t="shared" si="34"/>
        <v>#N/A</v>
      </c>
      <c r="AJ158" s="3" t="e">
        <f t="shared" si="35"/>
        <v>#N/A</v>
      </c>
      <c r="AK158" s="1">
        <f t="shared" ref="AK158:AK221" si="42">AK157+$AJ$4</f>
        <v>22.349999999999966</v>
      </c>
      <c r="AL158" s="1">
        <f t="shared" si="32"/>
        <v>1.7487395460731159</v>
      </c>
      <c r="AM158" s="1">
        <f t="shared" si="36"/>
        <v>3.5033540674578305E-2</v>
      </c>
      <c r="AN158" s="1">
        <f t="shared" si="37"/>
        <v>0</v>
      </c>
      <c r="AO158" s="1">
        <f t="shared" si="38"/>
        <v>3.4941465964334083E-2</v>
      </c>
      <c r="AP158" s="1">
        <f t="shared" si="33"/>
        <v>4.6945449264136059</v>
      </c>
      <c r="AQ158" s="1">
        <f t="shared" si="39"/>
        <v>2.0387264850900725E-5</v>
      </c>
      <c r="AR158" s="1">
        <f t="shared" si="40"/>
        <v>2.0387264850900725E-5</v>
      </c>
      <c r="AS158" s="1">
        <f t="shared" si="41"/>
        <v>1.8440987322570346E-5</v>
      </c>
    </row>
    <row r="159" spans="35:45" ht="11.25" customHeight="1" x14ac:dyDescent="0.2">
      <c r="AI159" s="3" t="e">
        <f t="shared" si="34"/>
        <v>#N/A</v>
      </c>
      <c r="AJ159" s="3" t="e">
        <f t="shared" si="35"/>
        <v>#N/A</v>
      </c>
      <c r="AK159" s="1">
        <f t="shared" si="42"/>
        <v>22.499999999999964</v>
      </c>
      <c r="AL159" s="1">
        <f t="shared" si="32"/>
        <v>1.739252713092611</v>
      </c>
      <c r="AM159" s="1">
        <f t="shared" si="36"/>
        <v>3.5589388544532412E-2</v>
      </c>
      <c r="AN159" s="1">
        <f t="shared" si="37"/>
        <v>0</v>
      </c>
      <c r="AO159" s="1">
        <f t="shared" si="38"/>
        <v>3.5495852961919011E-2</v>
      </c>
      <c r="AP159" s="1">
        <f t="shared" si="33"/>
        <v>4.6859205327949649</v>
      </c>
      <c r="AQ159" s="1">
        <f t="shared" si="39"/>
        <v>2.0935285674771086E-5</v>
      </c>
      <c r="AR159" s="1">
        <f t="shared" si="40"/>
        <v>2.0935285674771086E-5</v>
      </c>
      <c r="AS159" s="1">
        <f t="shared" si="41"/>
        <v>1.8936691142548503E-5</v>
      </c>
    </row>
    <row r="160" spans="35:45" ht="11.25" customHeight="1" x14ac:dyDescent="0.2">
      <c r="AI160" s="3" t="e">
        <f t="shared" si="34"/>
        <v>#N/A</v>
      </c>
      <c r="AJ160" s="3" t="e">
        <f t="shared" si="35"/>
        <v>#N/A</v>
      </c>
      <c r="AK160" s="1">
        <f t="shared" si="42"/>
        <v>22.649999999999963</v>
      </c>
      <c r="AL160" s="1">
        <f t="shared" si="32"/>
        <v>1.7297658801121059</v>
      </c>
      <c r="AM160" s="1">
        <f t="shared" si="36"/>
        <v>3.6151404480544429E-2</v>
      </c>
      <c r="AN160" s="1">
        <f t="shared" si="37"/>
        <v>0</v>
      </c>
      <c r="AO160" s="1">
        <f t="shared" si="38"/>
        <v>3.6056391814728347E-2</v>
      </c>
      <c r="AP160" s="1">
        <f t="shared" si="33"/>
        <v>4.6772961391763239</v>
      </c>
      <c r="AQ160" s="1">
        <f t="shared" si="39"/>
        <v>2.1497744261421469E-5</v>
      </c>
      <c r="AR160" s="1">
        <f t="shared" si="40"/>
        <v>2.1497744261421469E-5</v>
      </c>
      <c r="AS160" s="1">
        <f t="shared" si="41"/>
        <v>1.9445454419120752E-5</v>
      </c>
    </row>
    <row r="161" spans="35:45" ht="11.25" customHeight="1" x14ac:dyDescent="0.2">
      <c r="AI161" s="3" t="e">
        <f t="shared" si="34"/>
        <v>#N/A</v>
      </c>
      <c r="AJ161" s="3" t="e">
        <f t="shared" si="35"/>
        <v>#N/A</v>
      </c>
      <c r="AK161" s="1">
        <f t="shared" si="42"/>
        <v>22.799999999999962</v>
      </c>
      <c r="AL161" s="1">
        <f t="shared" si="32"/>
        <v>1.7202790471316007</v>
      </c>
      <c r="AM161" s="1">
        <f t="shared" si="36"/>
        <v>3.6719596104572975E-2</v>
      </c>
      <c r="AN161" s="1">
        <f t="shared" si="37"/>
        <v>0</v>
      </c>
      <c r="AO161" s="1">
        <f t="shared" si="38"/>
        <v>3.662309012468877E-2</v>
      </c>
      <c r="AP161" s="1">
        <f t="shared" si="33"/>
        <v>4.6686717455576829</v>
      </c>
      <c r="AQ161" s="1">
        <f t="shared" si="39"/>
        <v>2.2075010705160806E-5</v>
      </c>
      <c r="AR161" s="1">
        <f t="shared" si="40"/>
        <v>2.2075010705160806E-5</v>
      </c>
      <c r="AS161" s="1">
        <f t="shared" si="41"/>
        <v>1.9967611915410504E-5</v>
      </c>
    </row>
    <row r="162" spans="35:45" ht="11.25" customHeight="1" x14ac:dyDescent="0.2">
      <c r="AI162" s="3" t="e">
        <f t="shared" si="34"/>
        <v>#N/A</v>
      </c>
      <c r="AJ162" s="3" t="e">
        <f t="shared" si="35"/>
        <v>#N/A</v>
      </c>
      <c r="AK162" s="1">
        <f t="shared" si="42"/>
        <v>22.94999999999996</v>
      </c>
      <c r="AL162" s="1">
        <f t="shared" si="32"/>
        <v>1.7107922141510958</v>
      </c>
      <c r="AM162" s="1">
        <f t="shared" si="36"/>
        <v>3.7293969533391806E-2</v>
      </c>
      <c r="AN162" s="1">
        <f t="shared" si="37"/>
        <v>0</v>
      </c>
      <c r="AO162" s="1">
        <f t="shared" si="38"/>
        <v>3.7195953992498004E-2</v>
      </c>
      <c r="AP162" s="1">
        <f t="shared" si="33"/>
        <v>4.660047351939042</v>
      </c>
      <c r="AQ162" s="1">
        <f t="shared" si="39"/>
        <v>2.2667464258147203E-5</v>
      </c>
      <c r="AR162" s="1">
        <f t="shared" si="40"/>
        <v>2.2667464258147203E-5</v>
      </c>
      <c r="AS162" s="1">
        <f t="shared" si="41"/>
        <v>2.0503506678132989E-5</v>
      </c>
    </row>
    <row r="163" spans="35:45" ht="11.25" customHeight="1" x14ac:dyDescent="0.2">
      <c r="AI163" s="3" t="e">
        <f t="shared" si="34"/>
        <v>#N/A</v>
      </c>
      <c r="AJ163" s="3" t="e">
        <f t="shared" si="35"/>
        <v>#N/A</v>
      </c>
      <c r="AK163" s="1">
        <f t="shared" si="42"/>
        <v>23.099999999999959</v>
      </c>
      <c r="AL163" s="1">
        <f t="shared" si="32"/>
        <v>1.7013053811705907</v>
      </c>
      <c r="AM163" s="1">
        <f t="shared" si="36"/>
        <v>3.7874529281445302E-2</v>
      </c>
      <c r="AN163" s="1">
        <f t="shared" si="37"/>
        <v>0</v>
      </c>
      <c r="AO163" s="1">
        <f t="shared" si="38"/>
        <v>3.7774987920735623E-2</v>
      </c>
      <c r="AP163" s="1">
        <f t="shared" si="33"/>
        <v>4.651422958320401</v>
      </c>
      <c r="AQ163" s="1">
        <f t="shared" si="39"/>
        <v>2.327549351565099E-5</v>
      </c>
      <c r="AR163" s="1">
        <f t="shared" si="40"/>
        <v>2.327549351565099E-5</v>
      </c>
      <c r="AS163" s="1">
        <f t="shared" si="41"/>
        <v>2.1053490205172115E-5</v>
      </c>
    </row>
    <row r="164" spans="35:45" ht="11.25" customHeight="1" x14ac:dyDescent="0.2">
      <c r="AI164" s="3" t="e">
        <f t="shared" si="34"/>
        <v>#N/A</v>
      </c>
      <c r="AJ164" s="3" t="e">
        <f t="shared" si="35"/>
        <v>#N/A</v>
      </c>
      <c r="AK164" s="1">
        <f t="shared" si="42"/>
        <v>23.249999999999957</v>
      </c>
      <c r="AL164" s="1">
        <f t="shared" si="32"/>
        <v>1.6918185481900856</v>
      </c>
      <c r="AM164" s="1">
        <f t="shared" si="36"/>
        <v>3.8461278256685105E-2</v>
      </c>
      <c r="AN164" s="1">
        <f t="shared" si="37"/>
        <v>0</v>
      </c>
      <c r="AO164" s="1">
        <f t="shared" si="38"/>
        <v>3.8360194809710632E-2</v>
      </c>
      <c r="AP164" s="1">
        <f t="shared" si="33"/>
        <v>4.64279856470176</v>
      </c>
      <c r="AQ164" s="1">
        <f t="shared" si="39"/>
        <v>2.3899496655934447E-5</v>
      </c>
      <c r="AR164" s="1">
        <f t="shared" si="40"/>
        <v>2.3899496655934447E-5</v>
      </c>
      <c r="AS164" s="1">
        <f t="shared" si="41"/>
        <v>2.1617922662559988E-5</v>
      </c>
    </row>
    <row r="165" spans="35:45" ht="11.25" customHeight="1" x14ac:dyDescent="0.2">
      <c r="AI165" s="3" t="e">
        <f t="shared" si="34"/>
        <v>#N/A</v>
      </c>
      <c r="AJ165" s="3" t="e">
        <f t="shared" si="35"/>
        <v>#N/A</v>
      </c>
      <c r="AK165" s="1">
        <f t="shared" si="42"/>
        <v>23.399999999999956</v>
      </c>
      <c r="AL165" s="1">
        <f t="shared" si="32"/>
        <v>1.6823317152095807</v>
      </c>
      <c r="AM165" s="1">
        <f t="shared" si="36"/>
        <v>3.9054217748635267E-2</v>
      </c>
      <c r="AN165" s="1">
        <f t="shared" si="37"/>
        <v>0</v>
      </c>
      <c r="AO165" s="1">
        <f t="shared" si="38"/>
        <v>3.8951575945557974E-2</v>
      </c>
      <c r="AP165" s="1">
        <f t="shared" si="33"/>
        <v>4.6341741710831199</v>
      </c>
      <c r="AQ165" s="1">
        <f t="shared" si="39"/>
        <v>2.4539881650858077E-5</v>
      </c>
      <c r="AR165" s="1">
        <f t="shared" si="40"/>
        <v>2.4539881650858077E-5</v>
      </c>
      <c r="AS165" s="1">
        <f t="shared" si="41"/>
        <v>2.2197173074977582E-5</v>
      </c>
    </row>
    <row r="166" spans="35:45" ht="11.25" customHeight="1" x14ac:dyDescent="0.2">
      <c r="AI166" s="3" t="e">
        <f t="shared" si="34"/>
        <v>#N/A</v>
      </c>
      <c r="AJ166" s="3" t="e">
        <f t="shared" si="35"/>
        <v>#N/A</v>
      </c>
      <c r="AK166" s="1">
        <f t="shared" si="42"/>
        <v>23.549999999999955</v>
      </c>
      <c r="AL166" s="1">
        <f t="shared" si="32"/>
        <v>1.6728448822290756</v>
      </c>
      <c r="AM166" s="1">
        <f t="shared" si="36"/>
        <v>3.9653347348456158E-2</v>
      </c>
      <c r="AN166" s="1">
        <f t="shared" si="37"/>
        <v>0</v>
      </c>
      <c r="AO166" s="1">
        <f t="shared" si="38"/>
        <v>3.9549130920512522E-2</v>
      </c>
      <c r="AP166" s="1">
        <f t="shared" si="33"/>
        <v>4.625549777464478</v>
      </c>
      <c r="AQ166" s="1">
        <f t="shared" si="39"/>
        <v>2.519706648827758E-5</v>
      </c>
      <c r="AR166" s="1">
        <f t="shared" si="40"/>
        <v>2.519706648827758E-5</v>
      </c>
      <c r="AS166" s="1">
        <f t="shared" si="41"/>
        <v>2.27916195269205E-5</v>
      </c>
    </row>
    <row r="167" spans="35:45" ht="11.25" customHeight="1" x14ac:dyDescent="0.2">
      <c r="AI167" s="3" t="e">
        <f t="shared" si="34"/>
        <v>#N/A</v>
      </c>
      <c r="AJ167" s="3" t="e">
        <f t="shared" si="35"/>
        <v>#N/A</v>
      </c>
      <c r="AK167" s="1">
        <f t="shared" si="42"/>
        <v>23.699999999999953</v>
      </c>
      <c r="AL167" s="1">
        <f t="shared" si="32"/>
        <v>1.6633580492485704</v>
      </c>
      <c r="AM167" s="1">
        <f t="shared" si="36"/>
        <v>4.0258664968373381E-2</v>
      </c>
      <c r="AN167" s="1">
        <f t="shared" si="37"/>
        <v>0</v>
      </c>
      <c r="AO167" s="1">
        <f t="shared" si="38"/>
        <v>4.015285765228694E-2</v>
      </c>
      <c r="AP167" s="1">
        <f t="shared" si="33"/>
        <v>4.6169253838458371</v>
      </c>
      <c r="AQ167" s="1">
        <f t="shared" si="39"/>
        <v>2.5871479432116847E-5</v>
      </c>
      <c r="AR167" s="1">
        <f t="shared" si="40"/>
        <v>2.5871479432116847E-5</v>
      </c>
      <c r="AS167" s="1">
        <f t="shared" si="41"/>
        <v>2.3401649397944017E-5</v>
      </c>
    </row>
    <row r="168" spans="35:45" ht="11.25" customHeight="1" x14ac:dyDescent="0.2">
      <c r="AI168" s="3" t="e">
        <f t="shared" si="34"/>
        <v>#N/A</v>
      </c>
      <c r="AJ168" s="3" t="e">
        <f t="shared" si="35"/>
        <v>#N/A</v>
      </c>
      <c r="AK168" s="1">
        <f t="shared" si="42"/>
        <v>23.849999999999952</v>
      </c>
      <c r="AL168" s="1">
        <f t="shared" si="32"/>
        <v>1.6538712162680655</v>
      </c>
      <c r="AM168" s="1">
        <f t="shared" si="36"/>
        <v>4.0870166794215734E-2</v>
      </c>
      <c r="AN168" s="1">
        <f t="shared" si="37"/>
        <v>0</v>
      </c>
      <c r="AO168" s="1">
        <f t="shared" si="38"/>
        <v>4.076275233673439E-2</v>
      </c>
      <c r="AP168" s="1">
        <f t="shared" si="33"/>
        <v>4.6083009902271961</v>
      </c>
      <c r="AQ168" s="1">
        <f t="shared" si="39"/>
        <v>2.65635592312124E-5</v>
      </c>
      <c r="AR168" s="1">
        <f t="shared" si="40"/>
        <v>2.65635592312124E-5</v>
      </c>
      <c r="AS168" s="1">
        <f t="shared" si="41"/>
        <v>2.4027659551570106E-5</v>
      </c>
    </row>
    <row r="169" spans="35:45" ht="11.25" customHeight="1" x14ac:dyDescent="0.2">
      <c r="AI169" s="3" t="e">
        <f t="shared" si="34"/>
        <v>#N/A</v>
      </c>
      <c r="AJ169" s="3" t="e">
        <f t="shared" si="35"/>
        <v>#N/A</v>
      </c>
      <c r="AK169" s="1">
        <f t="shared" si="42"/>
        <v>23.99999999999995</v>
      </c>
      <c r="AL169" s="1">
        <f t="shared" si="32"/>
        <v>1.6443843832875604</v>
      </c>
      <c r="AM169" s="1">
        <f t="shared" si="36"/>
        <v>4.1487847239063402E-2</v>
      </c>
      <c r="AN169" s="1">
        <f t="shared" si="37"/>
        <v>0</v>
      </c>
      <c r="AO169" s="1">
        <f t="shared" si="38"/>
        <v>4.1378809401618519E-2</v>
      </c>
      <c r="AP169" s="1">
        <f t="shared" si="33"/>
        <v>4.599676596608556</v>
      </c>
      <c r="AQ169" s="1">
        <f t="shared" si="39"/>
        <v>2.7273755372610132E-5</v>
      </c>
      <c r="AR169" s="1">
        <f t="shared" si="40"/>
        <v>2.7273755372610132E-5</v>
      </c>
      <c r="AS169" s="1">
        <f t="shared" si="41"/>
        <v>2.4670056564403114E-5</v>
      </c>
    </row>
    <row r="170" spans="35:45" ht="11.25" customHeight="1" x14ac:dyDescent="0.2">
      <c r="AI170" s="3" t="e">
        <f t="shared" si="34"/>
        <v>#N/A</v>
      </c>
      <c r="AJ170" s="3" t="e">
        <f t="shared" si="35"/>
        <v>#N/A</v>
      </c>
      <c r="AK170" s="1">
        <f t="shared" si="42"/>
        <v>24.149999999999949</v>
      </c>
      <c r="AL170" s="1">
        <f t="shared" si="32"/>
        <v>1.6348975503070553</v>
      </c>
      <c r="AM170" s="1">
        <f t="shared" si="36"/>
        <v>4.2111698914659712E-2</v>
      </c>
      <c r="AN170" s="1">
        <f t="shared" si="37"/>
        <v>0</v>
      </c>
      <c r="AO170" s="1">
        <f t="shared" si="38"/>
        <v>4.2001021478100385E-2</v>
      </c>
      <c r="AP170" s="1">
        <f t="shared" si="33"/>
        <v>4.5910522029899141</v>
      </c>
      <c r="AQ170" s="1">
        <f t="shared" si="39"/>
        <v>2.8002528352073742E-5</v>
      </c>
      <c r="AR170" s="1">
        <f t="shared" si="40"/>
        <v>2.8002528352073742E-5</v>
      </c>
      <c r="AS170" s="1">
        <f t="shared" si="41"/>
        <v>2.5329256970814007E-5</v>
      </c>
    </row>
    <row r="171" spans="35:45" ht="11.25" customHeight="1" x14ac:dyDescent="0.2">
      <c r="AI171" s="3" t="e">
        <f t="shared" si="34"/>
        <v>#N/A</v>
      </c>
      <c r="AJ171" s="3" t="e">
        <f t="shared" si="35"/>
        <v>#N/A</v>
      </c>
      <c r="AK171" s="1">
        <f t="shared" si="42"/>
        <v>24.299999999999947</v>
      </c>
      <c r="AL171" s="1">
        <f t="shared" si="32"/>
        <v>1.6254107173265504</v>
      </c>
      <c r="AM171" s="1">
        <f t="shared" si="36"/>
        <v>4.274171263418669E-2</v>
      </c>
      <c r="AN171" s="1">
        <f t="shared" si="37"/>
        <v>0</v>
      </c>
      <c r="AO171" s="1">
        <f t="shared" si="38"/>
        <v>4.2629379403506688E-2</v>
      </c>
      <c r="AP171" s="1">
        <f t="shared" si="33"/>
        <v>4.5824278093712731</v>
      </c>
      <c r="AQ171" s="1">
        <f t="shared" si="39"/>
        <v>2.8750349883877859E-5</v>
      </c>
      <c r="AR171" s="1">
        <f t="shared" si="40"/>
        <v>2.8750349883877859E-5</v>
      </c>
      <c r="AS171" s="1">
        <f t="shared" si="41"/>
        <v>2.6005687452705526E-5</v>
      </c>
    </row>
    <row r="172" spans="35:45" ht="11.25" customHeight="1" x14ac:dyDescent="0.2">
      <c r="AI172" s="3" t="e">
        <f t="shared" si="34"/>
        <v>#N/A</v>
      </c>
      <c r="AJ172" s="3" t="e">
        <f t="shared" si="35"/>
        <v>#N/A</v>
      </c>
      <c r="AK172" s="1">
        <f t="shared" si="42"/>
        <v>24.449999999999946</v>
      </c>
      <c r="AL172" s="1">
        <f t="shared" si="32"/>
        <v>1.6159238843460453</v>
      </c>
      <c r="AM172" s="1">
        <f t="shared" si="36"/>
        <v>4.3377877347317018E-2</v>
      </c>
      <c r="AN172" s="1">
        <f t="shared" si="37"/>
        <v>0</v>
      </c>
      <c r="AO172" s="1">
        <f t="shared" si="38"/>
        <v>4.3263872156552446E-2</v>
      </c>
      <c r="AP172" s="1">
        <f t="shared" si="33"/>
        <v>4.5738034157526322</v>
      </c>
      <c r="AQ172" s="1">
        <f t="shared" si="39"/>
        <v>2.9517703208450409E-5</v>
      </c>
      <c r="AR172" s="1">
        <f t="shared" si="40"/>
        <v>2.9517703208450409E-5</v>
      </c>
      <c r="AS172" s="1">
        <f t="shared" si="41"/>
        <v>2.6699785117785373E-5</v>
      </c>
    </row>
    <row r="173" spans="35:45" ht="11.25" customHeight="1" x14ac:dyDescent="0.2">
      <c r="AI173" s="3" t="e">
        <f t="shared" si="34"/>
        <v>#N/A</v>
      </c>
      <c r="AJ173" s="3" t="e">
        <f t="shared" si="35"/>
        <v>#N/A</v>
      </c>
      <c r="AK173" s="1">
        <f t="shared" si="42"/>
        <v>24.599999999999945</v>
      </c>
      <c r="AL173" s="1">
        <f t="shared" si="32"/>
        <v>1.6064370513655402</v>
      </c>
      <c r="AM173" s="1">
        <f t="shared" si="36"/>
        <v>4.4020180149928478E-2</v>
      </c>
      <c r="AN173" s="1">
        <f t="shared" si="37"/>
        <v>0</v>
      </c>
      <c r="AO173" s="1">
        <f t="shared" si="38"/>
        <v>4.3904486867029892E-2</v>
      </c>
      <c r="AP173" s="1">
        <f t="shared" si="33"/>
        <v>4.5651790221339921</v>
      </c>
      <c r="AQ173" s="1">
        <f t="shared" si="39"/>
        <v>3.0305083314634057E-5</v>
      </c>
      <c r="AR173" s="1">
        <f t="shared" si="40"/>
        <v>3.0305083314634057E-5</v>
      </c>
      <c r="AS173" s="1">
        <f t="shared" si="41"/>
        <v>2.7411997700609363E-5</v>
      </c>
    </row>
    <row r="174" spans="35:45" ht="11.25" customHeight="1" x14ac:dyDescent="0.2">
      <c r="AI174" s="3" t="e">
        <f t="shared" si="34"/>
        <v>#N/A</v>
      </c>
      <c r="AJ174" s="3" t="e">
        <f t="shared" si="35"/>
        <v>#N/A</v>
      </c>
      <c r="AK174" s="1">
        <f t="shared" si="42"/>
        <v>24.749999999999943</v>
      </c>
      <c r="AL174" s="1">
        <f t="shared" si="32"/>
        <v>1.5969502183850353</v>
      </c>
      <c r="AM174" s="1">
        <f t="shared" si="36"/>
        <v>4.466860618612678E-2</v>
      </c>
      <c r="AN174" s="1">
        <f t="shared" si="37"/>
        <v>0</v>
      </c>
      <c r="AO174" s="1">
        <f t="shared" si="38"/>
        <v>4.4551208718088806E-2</v>
      </c>
      <c r="AP174" s="1">
        <f t="shared" si="33"/>
        <v>4.5565546285153502</v>
      </c>
      <c r="AQ174" s="1">
        <f t="shared" si="39"/>
        <v>3.1112997238112857E-5</v>
      </c>
      <c r="AR174" s="1">
        <f t="shared" si="40"/>
        <v>3.1112997238112857E-5</v>
      </c>
      <c r="AS174" s="1">
        <f t="shared" si="41"/>
        <v>2.8142783832518683E-5</v>
      </c>
    </row>
    <row r="175" spans="35:45" ht="11.25" customHeight="1" x14ac:dyDescent="0.2">
      <c r="AI175" s="3" t="e">
        <f t="shared" si="34"/>
        <v>#N/A</v>
      </c>
      <c r="AJ175" s="3" t="e">
        <f t="shared" si="35"/>
        <v>#N/A</v>
      </c>
      <c r="AK175" s="1">
        <f t="shared" si="42"/>
        <v>24.899999999999942</v>
      </c>
      <c r="AL175" s="1">
        <f t="shared" si="32"/>
        <v>1.5874633854045301</v>
      </c>
      <c r="AM175" s="1">
        <f t="shared" si="36"/>
        <v>4.5323138716246714E-2</v>
      </c>
      <c r="AN175" s="1">
        <f t="shared" si="37"/>
        <v>0</v>
      </c>
      <c r="AO175" s="1">
        <f t="shared" si="38"/>
        <v>4.5204021014058952E-2</v>
      </c>
      <c r="AP175" s="1">
        <f t="shared" si="33"/>
        <v>4.5479302348967092</v>
      </c>
      <c r="AQ175" s="1">
        <f t="shared" si="39"/>
        <v>3.1941964338832486E-5</v>
      </c>
      <c r="AR175" s="1">
        <f t="shared" si="40"/>
        <v>3.1941964338832486E-5</v>
      </c>
      <c r="AS175" s="1">
        <f t="shared" si="41"/>
        <v>2.8892613292576107E-5</v>
      </c>
    </row>
    <row r="176" spans="35:45" ht="11.25" customHeight="1" x14ac:dyDescent="0.2">
      <c r="AI176" s="3" t="e">
        <f t="shared" si="34"/>
        <v>#N/A</v>
      </c>
      <c r="AJ176" s="3" t="e">
        <f t="shared" si="35"/>
        <v>#N/A</v>
      </c>
      <c r="AK176" s="1">
        <f t="shared" si="42"/>
        <v>25.04999999999994</v>
      </c>
      <c r="AL176" s="1">
        <f t="shared" si="32"/>
        <v>1.577976552424025</v>
      </c>
      <c r="AM176" s="1">
        <f t="shared" si="36"/>
        <v>4.5983758954204479E-2</v>
      </c>
      <c r="AN176" s="1">
        <f t="shared" si="37"/>
        <v>0</v>
      </c>
      <c r="AO176" s="1">
        <f t="shared" si="38"/>
        <v>4.5862905018229892E-2</v>
      </c>
      <c r="AP176" s="1">
        <f t="shared" si="33"/>
        <v>4.5393058412780682</v>
      </c>
      <c r="AQ176" s="1">
        <f t="shared" si="39"/>
        <v>3.2792516560802183E-5</v>
      </c>
      <c r="AR176" s="1">
        <f t="shared" si="40"/>
        <v>3.2792516560802183E-5</v>
      </c>
      <c r="AS176" s="1">
        <f t="shared" si="41"/>
        <v>2.9661967242565836E-5</v>
      </c>
    </row>
    <row r="177" spans="35:45" ht="11.25" customHeight="1" x14ac:dyDescent="0.2">
      <c r="AI177" s="3" t="e">
        <f t="shared" si="34"/>
        <v>#N/A</v>
      </c>
      <c r="AJ177" s="3" t="e">
        <f t="shared" si="35"/>
        <v>#N/A</v>
      </c>
      <c r="AK177" s="1">
        <f t="shared" si="42"/>
        <v>25.199999999999939</v>
      </c>
      <c r="AL177" s="1">
        <f t="shared" si="32"/>
        <v>1.5684897194435201</v>
      </c>
      <c r="AM177" s="1">
        <f t="shared" si="36"/>
        <v>4.6650446234863807E-2</v>
      </c>
      <c r="AN177" s="1">
        <f t="shared" si="37"/>
        <v>0</v>
      </c>
      <c r="AO177" s="1">
        <f t="shared" si="38"/>
        <v>4.6527840119777196E-2</v>
      </c>
      <c r="AP177" s="1">
        <f t="shared" si="33"/>
        <v>4.5306814476594282</v>
      </c>
      <c r="AQ177" s="1">
        <f t="shared" si="39"/>
        <v>3.3665198742176569E-5</v>
      </c>
      <c r="AR177" s="1">
        <f t="shared" si="40"/>
        <v>3.3665198742176569E-5</v>
      </c>
      <c r="AS177" s="1">
        <f t="shared" si="41"/>
        <v>3.0451338507473256E-5</v>
      </c>
    </row>
    <row r="178" spans="35:45" ht="11.25" customHeight="1" x14ac:dyDescent="0.2">
      <c r="AI178" s="3" t="e">
        <f t="shared" si="34"/>
        <v>#N/A</v>
      </c>
      <c r="AJ178" s="3" t="e">
        <f t="shared" si="35"/>
        <v>#N/A</v>
      </c>
      <c r="AK178" s="1">
        <f t="shared" si="42"/>
        <v>25.349999999999937</v>
      </c>
      <c r="AL178" s="1">
        <f t="shared" si="32"/>
        <v>1.559002886463015</v>
      </c>
      <c r="AM178" s="1">
        <f t="shared" si="36"/>
        <v>4.7323177788105575E-2</v>
      </c>
      <c r="AN178" s="1">
        <f t="shared" si="37"/>
        <v>0</v>
      </c>
      <c r="AO178" s="1">
        <f t="shared" si="38"/>
        <v>4.7198803608425884E-2</v>
      </c>
      <c r="AP178" s="1">
        <f t="shared" si="33"/>
        <v>4.5220570540407872</v>
      </c>
      <c r="AQ178" s="1">
        <f t="shared" si="39"/>
        <v>3.4560568899994267E-5</v>
      </c>
      <c r="AR178" s="1">
        <f t="shared" si="40"/>
        <v>3.4560568899994267E-5</v>
      </c>
      <c r="AS178" s="1">
        <f t="shared" si="41"/>
        <v>3.1261231833040881E-5</v>
      </c>
    </row>
    <row r="179" spans="35:45" ht="11.25" customHeight="1" x14ac:dyDescent="0.2">
      <c r="AI179" s="3" t="e">
        <f t="shared" si="34"/>
        <v>#N/A</v>
      </c>
      <c r="AJ179" s="3" t="e">
        <f t="shared" si="35"/>
        <v>#N/A</v>
      </c>
      <c r="AK179" s="1">
        <f t="shared" si="42"/>
        <v>25.499999999999936</v>
      </c>
      <c r="AL179" s="1">
        <f t="shared" si="32"/>
        <v>1.5495160534825099</v>
      </c>
      <c r="AM179" s="1">
        <f t="shared" si="36"/>
        <v>4.8001928833474317E-2</v>
      </c>
      <c r="AN179" s="1">
        <f t="shared" si="37"/>
        <v>0</v>
      </c>
      <c r="AO179" s="1">
        <f t="shared" si="38"/>
        <v>4.7875770768848178E-2</v>
      </c>
      <c r="AP179" s="1">
        <f t="shared" si="33"/>
        <v>4.5134326604221453</v>
      </c>
      <c r="AQ179" s="1">
        <f t="shared" si="39"/>
        <v>3.5479198519795367E-5</v>
      </c>
      <c r="AR179" s="1">
        <f t="shared" si="40"/>
        <v>3.5479198519795367E-5</v>
      </c>
      <c r="AS179" s="1">
        <f t="shared" si="41"/>
        <v>3.2092164147737392E-5</v>
      </c>
    </row>
    <row r="180" spans="35:45" ht="11.25" customHeight="1" x14ac:dyDescent="0.2">
      <c r="AI180" s="3" t="e">
        <f t="shared" si="34"/>
        <v>#N/A</v>
      </c>
      <c r="AJ180" s="3" t="e">
        <f t="shared" si="35"/>
        <v>#N/A</v>
      </c>
      <c r="AK180" s="1">
        <f t="shared" si="42"/>
        <v>25.649999999999935</v>
      </c>
      <c r="AL180" s="1">
        <f t="shared" si="32"/>
        <v>1.540029220502005</v>
      </c>
      <c r="AM180" s="1">
        <f t="shared" si="36"/>
        <v>4.8686672480258153E-2</v>
      </c>
      <c r="AN180" s="1">
        <f t="shared" si="37"/>
        <v>0</v>
      </c>
      <c r="AO180" s="1">
        <f t="shared" si="38"/>
        <v>4.8558714781006013E-2</v>
      </c>
      <c r="AP180" s="1">
        <f t="shared" si="33"/>
        <v>4.5048082668035052</v>
      </c>
      <c r="AQ180" s="1">
        <f t="shared" si="39"/>
        <v>3.6421672883457086E-5</v>
      </c>
      <c r="AR180" s="1">
        <f t="shared" si="40"/>
        <v>3.6421672883457086E-5</v>
      </c>
      <c r="AS180" s="1">
        <f t="shared" si="41"/>
        <v>3.2944664859296329E-5</v>
      </c>
    </row>
    <row r="181" spans="35:45" ht="11.25" customHeight="1" x14ac:dyDescent="0.2">
      <c r="AI181" s="3" t="e">
        <f t="shared" si="34"/>
        <v>#N/A</v>
      </c>
      <c r="AJ181" s="3" t="e">
        <f t="shared" si="35"/>
        <v>#N/A</v>
      </c>
      <c r="AK181" s="1">
        <f t="shared" si="42"/>
        <v>25.799999999999933</v>
      </c>
      <c r="AL181" s="1">
        <f t="shared" si="32"/>
        <v>1.5305423875214998</v>
      </c>
      <c r="AM181" s="1">
        <f t="shared" si="36"/>
        <v>4.9377379836013091E-2</v>
      </c>
      <c r="AN181" s="1">
        <f t="shared" si="37"/>
        <v>0</v>
      </c>
      <c r="AO181" s="1">
        <f t="shared" si="38"/>
        <v>4.9247606828390175E-2</v>
      </c>
      <c r="AP181" s="1">
        <f t="shared" si="33"/>
        <v>4.4961838731848642</v>
      </c>
      <c r="AQ181" s="1">
        <f t="shared" si="39"/>
        <v>3.738859136978882E-5</v>
      </c>
      <c r="AR181" s="1">
        <f t="shared" si="40"/>
        <v>3.738859136978882E-5</v>
      </c>
      <c r="AS181" s="1">
        <f t="shared" si="41"/>
        <v>3.381927612661474E-5</v>
      </c>
    </row>
    <row r="182" spans="35:45" ht="11.25" customHeight="1" x14ac:dyDescent="0.2">
      <c r="AI182" s="3" t="e">
        <f t="shared" si="34"/>
        <v>#N/A</v>
      </c>
      <c r="AJ182" s="3" t="e">
        <f t="shared" si="35"/>
        <v>#N/A</v>
      </c>
      <c r="AK182" s="1">
        <f t="shared" si="42"/>
        <v>25.949999999999932</v>
      </c>
      <c r="AL182" s="1">
        <f t="shared" si="32"/>
        <v>1.5210555545409947</v>
      </c>
      <c r="AM182" s="1">
        <f t="shared" si="36"/>
        <v>5.0074019752321952E-2</v>
      </c>
      <c r="AN182" s="1">
        <f t="shared" si="37"/>
        <v>0</v>
      </c>
      <c r="AO182" s="1">
        <f t="shared" si="38"/>
        <v>4.9942415844447342E-2</v>
      </c>
      <c r="AP182" s="1">
        <f t="shared" si="33"/>
        <v>4.4875594795662233</v>
      </c>
      <c r="AQ182" s="1">
        <f t="shared" si="39"/>
        <v>3.8380567786433506E-5</v>
      </c>
      <c r="AR182" s="1">
        <f t="shared" si="40"/>
        <v>3.8380567786433506E-5</v>
      </c>
      <c r="AS182" s="1">
        <f t="shared" si="41"/>
        <v>3.4716553159969467E-5</v>
      </c>
    </row>
    <row r="183" spans="35:45" ht="11.25" customHeight="1" x14ac:dyDescent="0.2">
      <c r="AI183" s="3" t="e">
        <f t="shared" si="34"/>
        <v>#N/A</v>
      </c>
      <c r="AJ183" s="3" t="e">
        <f t="shared" si="35"/>
        <v>#N/A</v>
      </c>
      <c r="AK183" s="1">
        <f t="shared" si="42"/>
        <v>26.09999999999993</v>
      </c>
      <c r="AL183" s="1">
        <f t="shared" si="32"/>
        <v>1.5115687215604898</v>
      </c>
      <c r="AM183" s="1">
        <f t="shared" si="36"/>
        <v>5.07765590335163E-2</v>
      </c>
      <c r="AN183" s="1">
        <f t="shared" si="37"/>
        <v>0</v>
      </c>
      <c r="AO183" s="1">
        <f t="shared" si="38"/>
        <v>5.0643108720753525E-2</v>
      </c>
      <c r="AP183" s="1">
        <f t="shared" si="33"/>
        <v>4.4789350859475814</v>
      </c>
      <c r="AQ183" s="1">
        <f t="shared" si="39"/>
        <v>3.93982306623312E-5</v>
      </c>
      <c r="AR183" s="1">
        <f t="shared" si="40"/>
        <v>3.93982306623312E-5</v>
      </c>
      <c r="AS183" s="1">
        <f t="shared" si="41"/>
        <v>3.5637064485560586E-5</v>
      </c>
    </row>
    <row r="184" spans="35:45" ht="11.25" customHeight="1" x14ac:dyDescent="0.2">
      <c r="AI184" s="3" t="e">
        <f t="shared" si="34"/>
        <v>#N/A</v>
      </c>
      <c r="AJ184" s="3" t="e">
        <f t="shared" si="35"/>
        <v>#N/A</v>
      </c>
      <c r="AK184" s="1">
        <f t="shared" si="42"/>
        <v>26.249999999999929</v>
      </c>
      <c r="AL184" s="1">
        <f t="shared" si="32"/>
        <v>1.5020818885799847</v>
      </c>
      <c r="AM184" s="1">
        <f t="shared" si="36"/>
        <v>5.1484962315662131E-2</v>
      </c>
      <c r="AN184" s="1">
        <f t="shared" si="37"/>
        <v>0</v>
      </c>
      <c r="AO184" s="1">
        <f t="shared" si="38"/>
        <v>5.134965018631777E-2</v>
      </c>
      <c r="AP184" s="1">
        <f t="shared" si="33"/>
        <v>4.4703106923289413</v>
      </c>
      <c r="AQ184" s="1">
        <f t="shared" si="39"/>
        <v>4.044222362082012E-5</v>
      </c>
      <c r="AR184" s="1">
        <f t="shared" si="40"/>
        <v>4.044222362082012E-5</v>
      </c>
      <c r="AS184" s="1">
        <f t="shared" si="41"/>
        <v>3.6581392282994209E-5</v>
      </c>
    </row>
    <row r="185" spans="35:45" ht="11.25" customHeight="1" x14ac:dyDescent="0.2">
      <c r="AI185" s="3" t="e">
        <f t="shared" si="34"/>
        <v>#N/A</v>
      </c>
      <c r="AJ185" s="3" t="e">
        <f t="shared" si="35"/>
        <v>#N/A</v>
      </c>
      <c r="AK185" s="1">
        <f t="shared" si="42"/>
        <v>26.399999999999928</v>
      </c>
      <c r="AL185" s="1">
        <f t="shared" si="32"/>
        <v>1.4925950555994796</v>
      </c>
      <c r="AM185" s="1">
        <f t="shared" si="36"/>
        <v>5.2199191956647795E-2</v>
      </c>
      <c r="AN185" s="1">
        <f t="shared" si="37"/>
        <v>0</v>
      </c>
      <c r="AO185" s="1">
        <f t="shared" si="38"/>
        <v>5.2062002697958951E-2</v>
      </c>
      <c r="AP185" s="1">
        <f t="shared" si="33"/>
        <v>4.4616862987103003</v>
      </c>
      <c r="AQ185" s="1">
        <f t="shared" si="39"/>
        <v>4.1513205700967077E-5</v>
      </c>
      <c r="AR185" s="1">
        <f t="shared" si="40"/>
        <v>4.1513205700967077E-5</v>
      </c>
      <c r="AS185" s="1">
        <f t="shared" si="41"/>
        <v>3.755013267593698E-5</v>
      </c>
    </row>
    <row r="186" spans="35:45" ht="11.25" customHeight="1" x14ac:dyDescent="0.2">
      <c r="AI186" s="3" t="e">
        <f t="shared" si="34"/>
        <v>#N/A</v>
      </c>
      <c r="AJ186" s="3" t="e">
        <f t="shared" si="35"/>
        <v>#N/A</v>
      </c>
      <c r="AK186" s="1">
        <f t="shared" si="42"/>
        <v>26.549999999999926</v>
      </c>
      <c r="AL186" s="1">
        <f t="shared" si="32"/>
        <v>1.4831082226189747</v>
      </c>
      <c r="AM186" s="1">
        <f t="shared" si="36"/>
        <v>5.2919208179957877E-2</v>
      </c>
      <c r="AN186" s="1">
        <f t="shared" si="37"/>
        <v>0</v>
      </c>
      <c r="AO186" s="1">
        <f t="shared" si="38"/>
        <v>5.2780126583701778E-2</v>
      </c>
      <c r="AP186" s="1">
        <f t="shared" si="33"/>
        <v>4.4530619050916593</v>
      </c>
      <c r="AQ186" s="1">
        <f t="shared" si="39"/>
        <v>4.2611851690417535E-5</v>
      </c>
      <c r="AR186" s="1">
        <f t="shared" si="40"/>
        <v>4.2611851690417535E-5</v>
      </c>
      <c r="AS186" s="1">
        <f t="shared" si="41"/>
        <v>3.8543896033190543E-5</v>
      </c>
    </row>
    <row r="187" spans="35:45" ht="11.25" customHeight="1" x14ac:dyDescent="0.2">
      <c r="AI187" s="3" t="e">
        <f t="shared" si="34"/>
        <v>#N/A</v>
      </c>
      <c r="AJ187" s="3" t="e">
        <f t="shared" si="35"/>
        <v>#N/A</v>
      </c>
      <c r="AK187" s="1">
        <f t="shared" si="42"/>
        <v>26.699999999999925</v>
      </c>
      <c r="AL187" s="1">
        <f t="shared" si="32"/>
        <v>1.4736213896384696</v>
      </c>
      <c r="AM187" s="1">
        <f t="shared" si="36"/>
        <v>5.3644968922017533E-2</v>
      </c>
      <c r="AN187" s="1">
        <f t="shared" si="37"/>
        <v>0</v>
      </c>
      <c r="AO187" s="1">
        <f t="shared" si="38"/>
        <v>5.3503979890522371E-2</v>
      </c>
      <c r="AP187" s="1">
        <f t="shared" si="33"/>
        <v>4.4444375114730175</v>
      </c>
      <c r="AQ187" s="1">
        <f t="shared" si="39"/>
        <v>4.3738852523839914E-5</v>
      </c>
      <c r="AR187" s="1">
        <f t="shared" si="40"/>
        <v>4.3738852523839914E-5</v>
      </c>
      <c r="AS187" s="1">
        <f t="shared" si="41"/>
        <v>3.9563307329098152E-5</v>
      </c>
    </row>
    <row r="188" spans="35:45" ht="11.25" customHeight="1" x14ac:dyDescent="0.2">
      <c r="AI188" s="3" t="e">
        <f t="shared" si="34"/>
        <v>#N/A</v>
      </c>
      <c r="AJ188" s="3" t="e">
        <f t="shared" si="35"/>
        <v>#N/A</v>
      </c>
      <c r="AK188" s="1">
        <f t="shared" si="42"/>
        <v>26.849999999999923</v>
      </c>
      <c r="AL188" s="1">
        <f t="shared" si="32"/>
        <v>1.4641345566579644</v>
      </c>
      <c r="AM188" s="1">
        <f t="shared" si="36"/>
        <v>5.4376429898250755E-2</v>
      </c>
      <c r="AN188" s="1">
        <f t="shared" si="37"/>
        <v>0</v>
      </c>
      <c r="AO188" s="1">
        <f t="shared" si="38"/>
        <v>5.4233518450232887E-2</v>
      </c>
      <c r="AP188" s="1">
        <f t="shared" si="33"/>
        <v>4.4358131178543774</v>
      </c>
      <c r="AQ188" s="1">
        <f t="shared" si="39"/>
        <v>4.4894915565089205E-5</v>
      </c>
      <c r="AR188" s="1">
        <f t="shared" si="40"/>
        <v>4.4894915565089205E-5</v>
      </c>
      <c r="AS188" s="1">
        <f t="shared" si="41"/>
        <v>4.0609006398771463E-5</v>
      </c>
    </row>
    <row r="189" spans="35:45" ht="11.25" customHeight="1" x14ac:dyDescent="0.2">
      <c r="AI189" s="3" t="e">
        <f t="shared" si="34"/>
        <v>#N/A</v>
      </c>
      <c r="AJ189" s="3" t="e">
        <f t="shared" si="35"/>
        <v>#N/A</v>
      </c>
      <c r="AK189" s="1">
        <f t="shared" si="42"/>
        <v>26.999999999999922</v>
      </c>
      <c r="AL189" s="1">
        <f t="shared" si="32"/>
        <v>1.4546477236774595</v>
      </c>
      <c r="AM189" s="1">
        <f t="shared" si="36"/>
        <v>5.5113544520923874E-2</v>
      </c>
      <c r="AN189" s="1">
        <f t="shared" si="37"/>
        <v>0</v>
      </c>
      <c r="AO189" s="1">
        <f t="shared" si="38"/>
        <v>5.4968695797540955E-2</v>
      </c>
      <c r="AP189" s="1">
        <f t="shared" si="33"/>
        <v>4.4271887242357364</v>
      </c>
      <c r="AQ189" s="1">
        <f t="shared" si="39"/>
        <v>4.6080765072600751E-5</v>
      </c>
      <c r="AR189" s="1">
        <f t="shared" si="40"/>
        <v>4.6080765072600751E-5</v>
      </c>
      <c r="AS189" s="1">
        <f t="shared" si="41"/>
        <v>4.1681648359055337E-5</v>
      </c>
    </row>
    <row r="190" spans="35:45" ht="11.25" customHeight="1" x14ac:dyDescent="0.2">
      <c r="AI190" s="3" t="e">
        <f t="shared" si="34"/>
        <v>#N/A</v>
      </c>
      <c r="AJ190" s="3" t="e">
        <f t="shared" si="35"/>
        <v>#N/A</v>
      </c>
      <c r="AK190" s="1">
        <f t="shared" si="42"/>
        <v>27.14999999999992</v>
      </c>
      <c r="AL190" s="1">
        <f t="shared" si="32"/>
        <v>1.4451608906969544</v>
      </c>
      <c r="AM190" s="1">
        <f t="shared" si="36"/>
        <v>5.585626390192111E-2</v>
      </c>
      <c r="AN190" s="1">
        <f t="shared" si="37"/>
        <v>0</v>
      </c>
      <c r="AO190" s="1">
        <f t="shared" si="38"/>
        <v>5.570946317281792E-2</v>
      </c>
      <c r="AP190" s="1">
        <f t="shared" si="33"/>
        <v>4.4185643306170954</v>
      </c>
      <c r="AQ190" s="1">
        <f t="shared" si="39"/>
        <v>4.7297142493480087E-5</v>
      </c>
      <c r="AR190" s="1">
        <f t="shared" si="40"/>
        <v>4.7297142493480087E-5</v>
      </c>
      <c r="AS190" s="1">
        <f t="shared" si="41"/>
        <v>4.2781903874542286E-5</v>
      </c>
    </row>
    <row r="191" spans="35:45" ht="11.25" customHeight="1" x14ac:dyDescent="0.2">
      <c r="AI191" s="3" t="e">
        <f t="shared" si="34"/>
        <v>#N/A</v>
      </c>
      <c r="AJ191" s="3" t="e">
        <f t="shared" si="35"/>
        <v>#N/A</v>
      </c>
      <c r="AK191" s="1">
        <f t="shared" si="42"/>
        <v>27.299999999999919</v>
      </c>
      <c r="AL191" s="1">
        <f t="shared" si="32"/>
        <v>1.4356740577164493</v>
      </c>
      <c r="AM191" s="1">
        <f t="shared" si="36"/>
        <v>5.6604536852189469E-2</v>
      </c>
      <c r="AN191" s="1">
        <f t="shared" si="37"/>
        <v>0</v>
      </c>
      <c r="AO191" s="1">
        <f t="shared" si="38"/>
        <v>5.645576952154522E-2</v>
      </c>
      <c r="AP191" s="1">
        <f t="shared" si="33"/>
        <v>4.4099399369984535</v>
      </c>
      <c r="AQ191" s="1">
        <f t="shared" si="39"/>
        <v>4.8544806878210271E-5</v>
      </c>
      <c r="AR191" s="1">
        <f t="shared" si="40"/>
        <v>4.8544806878210271E-5</v>
      </c>
      <c r="AS191" s="1">
        <f t="shared" si="41"/>
        <v>4.3910459532689595E-5</v>
      </c>
    </row>
    <row r="192" spans="35:45" ht="11.25" customHeight="1" x14ac:dyDescent="0.2">
      <c r="AI192" s="3" t="e">
        <f t="shared" si="34"/>
        <v>#N/A</v>
      </c>
      <c r="AJ192" s="3" t="e">
        <f t="shared" si="35"/>
        <v>#N/A</v>
      </c>
      <c r="AK192" s="1">
        <f t="shared" si="42"/>
        <v>27.449999999999918</v>
      </c>
      <c r="AL192" s="1">
        <f t="shared" si="32"/>
        <v>1.4261872247359444</v>
      </c>
      <c r="AM192" s="1">
        <f t="shared" si="36"/>
        <v>5.7358309829558252E-2</v>
      </c>
      <c r="AN192" s="1">
        <f t="shared" si="37"/>
        <v>0</v>
      </c>
      <c r="AO192" s="1">
        <f t="shared" si="38"/>
        <v>5.7207561442271002E-2</v>
      </c>
      <c r="AP192" s="1">
        <f t="shared" si="33"/>
        <v>4.4013155433798135</v>
      </c>
      <c r="AQ192" s="1">
        <f t="shared" si="39"/>
        <v>4.982453529237766E-5</v>
      </c>
      <c r="AR192" s="1">
        <f t="shared" si="40"/>
        <v>4.982453529237766E-5</v>
      </c>
      <c r="AS192" s="1">
        <f t="shared" si="41"/>
        <v>4.5068018216239602E-5</v>
      </c>
    </row>
    <row r="193" spans="35:45" ht="11.25" customHeight="1" x14ac:dyDescent="0.2">
      <c r="AI193" s="3" t="e">
        <f t="shared" si="34"/>
        <v>#N/A</v>
      </c>
      <c r="AJ193" s="3" t="e">
        <f t="shared" si="35"/>
        <v>#N/A</v>
      </c>
      <c r="AK193" s="1">
        <f t="shared" si="42"/>
        <v>27.599999999999916</v>
      </c>
      <c r="AL193" s="1">
        <f t="shared" si="32"/>
        <v>1.4167003917554393</v>
      </c>
      <c r="AM193" s="1">
        <f t="shared" si="36"/>
        <v>5.8117526927636831E-2</v>
      </c>
      <c r="AN193" s="1">
        <f t="shared" si="37"/>
        <v>0</v>
      </c>
      <c r="AO193" s="1">
        <f t="shared" si="38"/>
        <v>5.7964783175537118E-2</v>
      </c>
      <c r="AP193" s="1">
        <f t="shared" si="33"/>
        <v>4.3926911497611725</v>
      </c>
      <c r="AQ193" s="1">
        <f t="shared" si="39"/>
        <v>5.1137123177982281E-5</v>
      </c>
      <c r="AR193" s="1">
        <f t="shared" si="40"/>
        <v>5.1137123177982281E-5</v>
      </c>
      <c r="AS193" s="1">
        <f t="shared" si="41"/>
        <v>4.6255299430037382E-5</v>
      </c>
    </row>
    <row r="194" spans="35:45" ht="11.25" customHeight="1" x14ac:dyDescent="0.2">
      <c r="AI194" s="3" t="e">
        <f t="shared" si="34"/>
        <v>#N/A</v>
      </c>
      <c r="AJ194" s="3" t="e">
        <f t="shared" si="35"/>
        <v>#N/A</v>
      </c>
      <c r="AK194" s="1">
        <f t="shared" si="42"/>
        <v>27.749999999999915</v>
      </c>
      <c r="AL194" s="1">
        <f t="shared" si="32"/>
        <v>1.4072135587749341</v>
      </c>
      <c r="AM194" s="1">
        <f t="shared" si="36"/>
        <v>5.8882129926884907E-2</v>
      </c>
      <c r="AN194" s="1">
        <f t="shared" si="37"/>
        <v>0</v>
      </c>
      <c r="AO194" s="1">
        <f t="shared" si="38"/>
        <v>5.872737665481513E-2</v>
      </c>
      <c r="AP194" s="1">
        <f t="shared" si="33"/>
        <v>4.3840667561425315</v>
      </c>
      <c r="AQ194" s="1">
        <f t="shared" si="39"/>
        <v>5.248338477492143E-5</v>
      </c>
      <c r="AR194" s="1">
        <f t="shared" si="40"/>
        <v>5.248338477492143E-5</v>
      </c>
      <c r="AS194" s="1">
        <f t="shared" si="41"/>
        <v>4.7473039682277312E-5</v>
      </c>
    </row>
    <row r="195" spans="35:45" ht="11.25" customHeight="1" x14ac:dyDescent="0.2">
      <c r="AI195" s="3" t="e">
        <f t="shared" si="34"/>
        <v>#N/A</v>
      </c>
      <c r="AJ195" s="3" t="e">
        <f t="shared" si="35"/>
        <v>#N/A</v>
      </c>
      <c r="AK195" s="1">
        <f t="shared" si="42"/>
        <v>27.899999999999913</v>
      </c>
      <c r="AL195" s="1">
        <f t="shared" si="32"/>
        <v>1.3977267257944292</v>
      </c>
      <c r="AM195" s="1">
        <f t="shared" si="36"/>
        <v>5.9652058132519947E-2</v>
      </c>
      <c r="AN195" s="1">
        <f t="shared" si="37"/>
        <v>0</v>
      </c>
      <c r="AO195" s="1">
        <f t="shared" si="38"/>
        <v>5.9495281344839765E-2</v>
      </c>
      <c r="AP195" s="1">
        <f t="shared" si="33"/>
        <v>4.3754423625238905</v>
      </c>
      <c r="AQ195" s="1">
        <f t="shared" si="39"/>
        <v>5.3864153542473262E-5</v>
      </c>
      <c r="AR195" s="1">
        <f t="shared" si="40"/>
        <v>5.3864153542473262E-5</v>
      </c>
      <c r="AS195" s="1">
        <f t="shared" si="41"/>
        <v>4.8721992865749567E-5</v>
      </c>
    </row>
    <row r="196" spans="35:45" ht="11.25" customHeight="1" x14ac:dyDescent="0.2">
      <c r="AI196" s="3" t="e">
        <f t="shared" si="34"/>
        <v>#N/A</v>
      </c>
      <c r="AJ196" s="3" t="e">
        <f t="shared" si="35"/>
        <v>#N/A</v>
      </c>
      <c r="AK196" s="1">
        <f t="shared" si="42"/>
        <v>28.049999999999912</v>
      </c>
      <c r="AL196" s="1">
        <f t="shared" si="32"/>
        <v>1.3882398928139241</v>
      </c>
      <c r="AM196" s="1">
        <f t="shared" si="36"/>
        <v>6.0427248514960397E-2</v>
      </c>
      <c r="AN196" s="1">
        <f t="shared" si="37"/>
        <v>0</v>
      </c>
      <c r="AO196" s="1">
        <f t="shared" si="38"/>
        <v>6.0268434381683028E-2</v>
      </c>
      <c r="AP196" s="1">
        <f t="shared" si="33"/>
        <v>4.3668179689052495</v>
      </c>
      <c r="AQ196" s="1">
        <f t="shared" si="39"/>
        <v>5.5280282565330508E-5</v>
      </c>
      <c r="AR196" s="1">
        <f t="shared" si="40"/>
        <v>5.5280282565330508E-5</v>
      </c>
      <c r="AS196" s="1">
        <f t="shared" si="41"/>
        <v>5.0002930625111661E-5</v>
      </c>
    </row>
    <row r="197" spans="35:45" ht="11.25" customHeight="1" x14ac:dyDescent="0.2">
      <c r="AI197" s="3" t="e">
        <f t="shared" si="34"/>
        <v>#N/A</v>
      </c>
      <c r="AJ197" s="3" t="e">
        <f t="shared" si="35"/>
        <v>#N/A</v>
      </c>
      <c r="AK197" s="1">
        <f t="shared" si="42"/>
        <v>28.19999999999991</v>
      </c>
      <c r="AL197" s="1">
        <f t="shared" si="32"/>
        <v>1.378753059833419</v>
      </c>
      <c r="AM197" s="1">
        <f t="shared" si="36"/>
        <v>6.1207635633220292E-2</v>
      </c>
      <c r="AN197" s="1">
        <f t="shared" si="37"/>
        <v>0</v>
      </c>
      <c r="AO197" s="1">
        <f t="shared" si="38"/>
        <v>6.1046770496350121E-2</v>
      </c>
      <c r="AP197" s="1">
        <f t="shared" si="33"/>
        <v>4.3581935752866094</v>
      </c>
      <c r="AQ197" s="1">
        <f t="shared" si="39"/>
        <v>5.6732645007339082E-5</v>
      </c>
      <c r="AR197" s="1">
        <f t="shared" si="40"/>
        <v>5.6732645007339082E-5</v>
      </c>
      <c r="AS197" s="1">
        <f t="shared" si="41"/>
        <v>5.1316642767310773E-5</v>
      </c>
    </row>
    <row r="198" spans="35:45" ht="11.25" customHeight="1" x14ac:dyDescent="0.2">
      <c r="AI198" s="3" t="e">
        <f t="shared" si="34"/>
        <v>#N/A</v>
      </c>
      <c r="AJ198" s="3" t="e">
        <f t="shared" si="35"/>
        <v>#N/A</v>
      </c>
      <c r="AK198" s="1">
        <f t="shared" si="42"/>
        <v>28.349999999999909</v>
      </c>
      <c r="AL198" s="1">
        <f t="shared" si="32"/>
        <v>1.3692662268529141</v>
      </c>
      <c r="AM198" s="1">
        <f t="shared" si="36"/>
        <v>6.1993151573291883E-2</v>
      </c>
      <c r="AN198" s="1">
        <f t="shared" si="37"/>
        <v>0</v>
      </c>
      <c r="AO198" s="1">
        <f t="shared" si="38"/>
        <v>6.1830221953324035E-2</v>
      </c>
      <c r="AP198" s="1">
        <f t="shared" si="33"/>
        <v>4.3495691816679676</v>
      </c>
      <c r="AQ198" s="1">
        <f t="shared" si="39"/>
        <v>5.8222134527831718E-5</v>
      </c>
      <c r="AR198" s="1">
        <f t="shared" si="40"/>
        <v>5.8222134527831718E-5</v>
      </c>
      <c r="AS198" s="1">
        <f t="shared" si="41"/>
        <v>5.2663937638171906E-5</v>
      </c>
    </row>
    <row r="199" spans="35:45" ht="11.25" customHeight="1" x14ac:dyDescent="0.2">
      <c r="AI199" s="3" t="e">
        <f t="shared" si="34"/>
        <v>#N/A</v>
      </c>
      <c r="AJ199" s="3" t="e">
        <f t="shared" si="35"/>
        <v>#N/A</v>
      </c>
      <c r="AK199" s="1">
        <f t="shared" si="42"/>
        <v>28.499999999999908</v>
      </c>
      <c r="AL199" s="1">
        <f t="shared" si="32"/>
        <v>1.359779393872409</v>
      </c>
      <c r="AM199" s="1">
        <f t="shared" si="36"/>
        <v>6.2783726033632803E-2</v>
      </c>
      <c r="AN199" s="1">
        <f t="shared" si="37"/>
        <v>0</v>
      </c>
      <c r="AO199" s="1">
        <f t="shared" si="38"/>
        <v>6.2618718635828047E-2</v>
      </c>
      <c r="AP199" s="1">
        <f t="shared" si="33"/>
        <v>4.3409447880493266</v>
      </c>
      <c r="AQ199" s="1">
        <f t="shared" si="39"/>
        <v>5.9749665765182133E-5</v>
      </c>
      <c r="AR199" s="1">
        <f t="shared" si="40"/>
        <v>5.9749665765182133E-5</v>
      </c>
      <c r="AS199" s="1">
        <f t="shared" si="41"/>
        <v>5.4045642559789416E-5</v>
      </c>
    </row>
    <row r="200" spans="35:45" ht="11.25" customHeight="1" x14ac:dyDescent="0.2">
      <c r="AI200" s="3" t="e">
        <f t="shared" si="34"/>
        <v>#N/A</v>
      </c>
      <c r="AJ200" s="3" t="e">
        <f t="shared" si="35"/>
        <v>#N/A</v>
      </c>
      <c r="AK200" s="1">
        <f t="shared" si="42"/>
        <v>28.649999999999906</v>
      </c>
      <c r="AL200" s="1">
        <f t="shared" si="32"/>
        <v>1.3502925608919039</v>
      </c>
      <c r="AM200" s="1">
        <f t="shared" si="36"/>
        <v>6.3579286229131782E-2</v>
      </c>
      <c r="AN200" s="1">
        <f t="shared" si="37"/>
        <v>0</v>
      </c>
      <c r="AO200" s="1">
        <f t="shared" si="38"/>
        <v>6.3412187950043775E-2</v>
      </c>
      <c r="AP200" s="1">
        <f t="shared" si="33"/>
        <v>4.3323203944306856</v>
      </c>
      <c r="AQ200" s="1">
        <f t="shared" si="39"/>
        <v>6.131617471817315E-5</v>
      </c>
      <c r="AR200" s="1">
        <f t="shared" si="40"/>
        <v>6.131617471817315E-5</v>
      </c>
      <c r="AS200" s="1">
        <f t="shared" si="41"/>
        <v>5.546260417548766E-5</v>
      </c>
    </row>
    <row r="201" spans="35:45" ht="11.25" customHeight="1" x14ac:dyDescent="0.2">
      <c r="AI201" s="3" t="e">
        <f t="shared" si="34"/>
        <v>#N/A</v>
      </c>
      <c r="AJ201" s="3" t="e">
        <f t="shared" si="35"/>
        <v>#N/A</v>
      </c>
      <c r="AK201" s="1">
        <f t="shared" si="42"/>
        <v>28.799999999999905</v>
      </c>
      <c r="AL201" s="1">
        <f t="shared" ref="AL201:AL264" si="43">ABS(($AL$5-AK201)/$AL$6)</f>
        <v>1.340805727911399</v>
      </c>
      <c r="AM201" s="1">
        <f t="shared" si="36"/>
        <v>6.437975691608866E-2</v>
      </c>
      <c r="AN201" s="1">
        <f t="shared" si="37"/>
        <v>0</v>
      </c>
      <c r="AO201" s="1">
        <f t="shared" si="38"/>
        <v>6.4210554850025608E-2</v>
      </c>
      <c r="AP201" s="1">
        <f t="shared" ref="AP201:AP264" si="44">ABS(($AP$5-AK201)/$AP$6)</f>
        <v>4.3236960008120455</v>
      </c>
      <c r="AQ201" s="1">
        <f t="shared" si="39"/>
        <v>6.2922619308697619E-5</v>
      </c>
      <c r="AR201" s="1">
        <f t="shared" si="40"/>
        <v>6.2922619308697619E-5</v>
      </c>
      <c r="AS201" s="1">
        <f t="shared" si="41"/>
        <v>5.6915688958803487E-5</v>
      </c>
    </row>
    <row r="202" spans="35:45" ht="11.25" customHeight="1" x14ac:dyDescent="0.2">
      <c r="AI202" s="3" t="e">
        <f t="shared" ref="AI202:AI265" si="45">IF($M$18,AI201,NA())</f>
        <v>#N/A</v>
      </c>
      <c r="AJ202" s="3" t="e">
        <f t="shared" ref="AJ202:AJ265" si="46">IF($M$18,AJ201,NA())</f>
        <v>#N/A</v>
      </c>
      <c r="AK202" s="1">
        <f t="shared" si="42"/>
        <v>28.949999999999903</v>
      </c>
      <c r="AL202" s="1">
        <f t="shared" si="43"/>
        <v>1.3313188949308938</v>
      </c>
      <c r="AM202" s="1">
        <f t="shared" ref="AM202:AM265" si="47">$AL$3*ABS((TDIST(AL202,$AL$7,1)-TDIST(AL202+$AL$1,$AL$7,1))/($AL$1))</f>
        <v>6.5185060416639296E-2</v>
      </c>
      <c r="AN202" s="1">
        <f t="shared" ref="AN202:AN265" si="48">IF(($D$10&gt;$AJ$5)=($D$10&gt;AK202),AM202,0)</f>
        <v>0</v>
      </c>
      <c r="AO202" s="1">
        <f t="shared" ref="AO202:AO265" si="49">AM202*$AN$5/$AN$7</f>
        <v>6.5013741862061408E-2</v>
      </c>
      <c r="AP202" s="1">
        <f t="shared" si="44"/>
        <v>4.3150716071934037</v>
      </c>
      <c r="AQ202" s="1">
        <f t="shared" ref="AQ202:AQ265" si="50">$AL$3*ABS((TDIST(AP202,$AP$7,1)-TDIST(AP202+$AL$1,$AP$7,1))/($AL$1))</f>
        <v>6.4569979792671039E-5</v>
      </c>
      <c r="AR202" s="1">
        <f t="shared" ref="AR202:AR265" si="51">IF(($D$19&gt;$AJ$5)=($D$19&gt;AK202),AQ202,0)</f>
        <v>6.4569979792671039E-5</v>
      </c>
      <c r="AS202" s="1">
        <f t="shared" ref="AS202:AS265" si="52">AQ202*$AN$5/$AR$7</f>
        <v>5.8405783585170939E-5</v>
      </c>
    </row>
    <row r="203" spans="35:45" ht="11.25" customHeight="1" x14ac:dyDescent="0.2">
      <c r="AI203" s="3" t="e">
        <f t="shared" si="45"/>
        <v>#N/A</v>
      </c>
      <c r="AJ203" s="3" t="e">
        <f t="shared" si="46"/>
        <v>#N/A</v>
      </c>
      <c r="AK203" s="1">
        <f t="shared" si="42"/>
        <v>29.099999999999902</v>
      </c>
      <c r="AL203" s="1">
        <f t="shared" si="43"/>
        <v>1.3218320619503887</v>
      </c>
      <c r="AM203" s="1">
        <f t="shared" si="47"/>
        <v>6.5995116533823506E-2</v>
      </c>
      <c r="AN203" s="1">
        <f t="shared" si="48"/>
        <v>0</v>
      </c>
      <c r="AO203" s="1">
        <f t="shared" si="49"/>
        <v>6.5821668999963626E-2</v>
      </c>
      <c r="AP203" s="1">
        <f t="shared" si="44"/>
        <v>4.3064472135747627</v>
      </c>
      <c r="AQ203" s="1">
        <f t="shared" si="50"/>
        <v>6.6259259263372425E-5</v>
      </c>
      <c r="AR203" s="1">
        <f t="shared" si="51"/>
        <v>6.6259259263372425E-5</v>
      </c>
      <c r="AS203" s="1">
        <f t="shared" si="52"/>
        <v>5.9933795387210499E-5</v>
      </c>
    </row>
    <row r="204" spans="35:45" ht="11.25" customHeight="1" x14ac:dyDescent="0.2">
      <c r="AI204" s="3" t="e">
        <f t="shared" si="45"/>
        <v>#N/A</v>
      </c>
      <c r="AJ204" s="3" t="e">
        <f t="shared" si="46"/>
        <v>#N/A</v>
      </c>
      <c r="AK204" s="1">
        <f t="shared" si="42"/>
        <v>29.249999999999901</v>
      </c>
      <c r="AL204" s="1">
        <f t="shared" si="43"/>
        <v>1.3123452289698838</v>
      </c>
      <c r="AM204" s="1">
        <f t="shared" si="47"/>
        <v>6.6809842607651326E-2</v>
      </c>
      <c r="AN204" s="1">
        <f t="shared" si="48"/>
        <v>0</v>
      </c>
      <c r="AO204" s="1">
        <f t="shared" si="49"/>
        <v>6.6634253820988226E-2</v>
      </c>
      <c r="AP204" s="1">
        <f t="shared" si="44"/>
        <v>4.2978228199561217</v>
      </c>
      <c r="AQ204" s="1">
        <f t="shared" si="50"/>
        <v>6.799148414746678E-5</v>
      </c>
      <c r="AR204" s="1">
        <f t="shared" si="51"/>
        <v>6.799148414746678E-5</v>
      </c>
      <c r="AS204" s="1">
        <f t="shared" si="52"/>
        <v>6.1500652803398608E-5</v>
      </c>
    </row>
    <row r="205" spans="35:45" ht="11.25" customHeight="1" x14ac:dyDescent="0.2">
      <c r="AI205" s="3" t="e">
        <f t="shared" si="45"/>
        <v>#N/A</v>
      </c>
      <c r="AJ205" s="3" t="e">
        <f t="shared" si="46"/>
        <v>#N/A</v>
      </c>
      <c r="AK205" s="1">
        <f t="shared" si="42"/>
        <v>29.399999999999899</v>
      </c>
      <c r="AL205" s="1">
        <f t="shared" si="43"/>
        <v>1.3028583959893787</v>
      </c>
      <c r="AM205" s="1">
        <f t="shared" si="47"/>
        <v>6.7629153530646136E-2</v>
      </c>
      <c r="AN205" s="1">
        <f t="shared" si="48"/>
        <v>0</v>
      </c>
      <c r="AO205" s="1">
        <f t="shared" si="49"/>
        <v>6.7451411441336998E-2</v>
      </c>
      <c r="AP205" s="1">
        <f t="shared" si="44"/>
        <v>4.2891984263374816</v>
      </c>
      <c r="AQ205" s="1">
        <f t="shared" si="50"/>
        <v>6.9767704682596209E-5</v>
      </c>
      <c r="AR205" s="1">
        <f t="shared" si="51"/>
        <v>6.9767704682596209E-5</v>
      </c>
      <c r="AS205" s="1">
        <f t="shared" si="52"/>
        <v>6.3107305810065358E-5</v>
      </c>
    </row>
    <row r="206" spans="35:45" ht="11.25" customHeight="1" x14ac:dyDescent="0.2">
      <c r="AI206" s="3" t="e">
        <f t="shared" si="45"/>
        <v>#N/A</v>
      </c>
      <c r="AJ206" s="3" t="e">
        <f t="shared" si="46"/>
        <v>#N/A</v>
      </c>
      <c r="AK206" s="1">
        <f t="shared" si="42"/>
        <v>29.549999999999898</v>
      </c>
      <c r="AL206" s="1">
        <f t="shared" si="43"/>
        <v>1.2933715630088736</v>
      </c>
      <c r="AM206" s="1">
        <f t="shared" si="47"/>
        <v>6.8452961591303194E-2</v>
      </c>
      <c r="AN206" s="1">
        <f t="shared" si="48"/>
        <v>0</v>
      </c>
      <c r="AO206" s="1">
        <f t="shared" si="49"/>
        <v>6.8273054380027468E-2</v>
      </c>
      <c r="AP206" s="1">
        <f t="shared" si="44"/>
        <v>4.2805740327188397</v>
      </c>
      <c r="AQ206" s="1">
        <f t="shared" si="50"/>
        <v>7.1588995479809716E-5</v>
      </c>
      <c r="AR206" s="1">
        <f t="shared" si="51"/>
        <v>7.1588995479809716E-5</v>
      </c>
      <c r="AS206" s="1">
        <f t="shared" si="52"/>
        <v>6.4754726430131729E-5</v>
      </c>
    </row>
    <row r="207" spans="35:45" ht="11.25" customHeight="1" x14ac:dyDescent="0.2">
      <c r="AI207" s="3" t="e">
        <f t="shared" si="45"/>
        <v>#N/A</v>
      </c>
      <c r="AJ207" s="3" t="e">
        <f t="shared" si="46"/>
        <v>#N/A</v>
      </c>
      <c r="AK207" s="1">
        <f t="shared" si="42"/>
        <v>29.699999999999896</v>
      </c>
      <c r="AL207" s="1">
        <f t="shared" si="43"/>
        <v>1.2838847300283687</v>
      </c>
      <c r="AM207" s="1">
        <f t="shared" si="47"/>
        <v>6.9281176720559209E-2</v>
      </c>
      <c r="AN207" s="1">
        <f t="shared" si="48"/>
        <v>0</v>
      </c>
      <c r="AO207" s="1">
        <f t="shared" si="49"/>
        <v>6.9099092804714726E-2</v>
      </c>
      <c r="AP207" s="1">
        <f t="shared" si="44"/>
        <v>4.2719496391001988</v>
      </c>
      <c r="AQ207" s="1">
        <f t="shared" si="50"/>
        <v>7.3456455972151918E-5</v>
      </c>
      <c r="AR207" s="1">
        <f t="shared" si="51"/>
        <v>7.3456455972151918E-5</v>
      </c>
      <c r="AS207" s="1">
        <f t="shared" si="52"/>
        <v>6.6443909138873654E-5</v>
      </c>
    </row>
    <row r="208" spans="35:45" ht="11.25" customHeight="1" x14ac:dyDescent="0.2">
      <c r="AI208" s="3" t="e">
        <f t="shared" si="45"/>
        <v>#N/A</v>
      </c>
      <c r="AJ208" s="3" t="e">
        <f t="shared" si="46"/>
        <v>#N/A</v>
      </c>
      <c r="AK208" s="1">
        <f t="shared" si="42"/>
        <v>29.849999999999895</v>
      </c>
      <c r="AL208" s="1">
        <f t="shared" si="43"/>
        <v>1.2743978970478635</v>
      </c>
      <c r="AM208" s="1">
        <f t="shared" si="47"/>
        <v>7.0113706305829901E-2</v>
      </c>
      <c r="AN208" s="1">
        <f t="shared" si="48"/>
        <v>0</v>
      </c>
      <c r="AO208" s="1">
        <f t="shared" si="49"/>
        <v>6.992943434621772E-2</v>
      </c>
      <c r="AP208" s="1">
        <f t="shared" si="44"/>
        <v>4.2633252454815578</v>
      </c>
      <c r="AQ208" s="1">
        <f t="shared" si="50"/>
        <v>7.5371211045397596E-5</v>
      </c>
      <c r="AR208" s="1">
        <f t="shared" si="51"/>
        <v>7.5371211045397596E-5</v>
      </c>
      <c r="AS208" s="1">
        <f t="shared" si="52"/>
        <v>6.8175871434443219E-5</v>
      </c>
    </row>
    <row r="209" spans="35:45" ht="11.25" customHeight="1" x14ac:dyDescent="0.2">
      <c r="AI209" s="3" t="e">
        <f t="shared" si="45"/>
        <v>#N/A</v>
      </c>
      <c r="AJ209" s="3" t="e">
        <f t="shared" si="46"/>
        <v>#N/A</v>
      </c>
      <c r="AK209" s="1">
        <f t="shared" si="42"/>
        <v>29.999999999999893</v>
      </c>
      <c r="AL209" s="1">
        <f t="shared" si="43"/>
        <v>1.2649110640673584</v>
      </c>
      <c r="AM209" s="1">
        <f t="shared" si="47"/>
        <v>7.0950455153817579E-2</v>
      </c>
      <c r="AN209" s="1">
        <f t="shared" si="48"/>
        <v>0</v>
      </c>
      <c r="AO209" s="1">
        <f t="shared" si="49"/>
        <v>7.0763984061424576E-2</v>
      </c>
      <c r="AP209" s="1">
        <f t="shared" si="44"/>
        <v>4.2547008518629177</v>
      </c>
      <c r="AQ209" s="1">
        <f t="shared" si="50"/>
        <v>7.7334411495585086E-5</v>
      </c>
      <c r="AR209" s="1">
        <f t="shared" si="51"/>
        <v>7.7334411495585086E-5</v>
      </c>
      <c r="AS209" s="1">
        <f t="shared" si="52"/>
        <v>6.9951654251723512E-5</v>
      </c>
    </row>
    <row r="210" spans="35:45" ht="11.25" customHeight="1" x14ac:dyDescent="0.2">
      <c r="AI210" s="3" t="e">
        <f t="shared" si="45"/>
        <v>#N/A</v>
      </c>
      <c r="AJ210" s="3" t="e">
        <f t="shared" si="46"/>
        <v>#N/A</v>
      </c>
      <c r="AK210" s="1">
        <f t="shared" si="42"/>
        <v>30.149999999999892</v>
      </c>
      <c r="AL210" s="1">
        <f t="shared" si="43"/>
        <v>1.2554242310868535</v>
      </c>
      <c r="AM210" s="1">
        <f t="shared" si="47"/>
        <v>7.179132568702061E-2</v>
      </c>
      <c r="AN210" s="1">
        <f t="shared" si="48"/>
        <v>0</v>
      </c>
      <c r="AO210" s="1">
        <f t="shared" si="49"/>
        <v>7.1602644629285631E-2</v>
      </c>
      <c r="AP210" s="1">
        <f t="shared" si="44"/>
        <v>4.2460764582442758</v>
      </c>
      <c r="AQ210" s="1">
        <f t="shared" si="50"/>
        <v>7.9347234597680269E-5</v>
      </c>
      <c r="AR210" s="1">
        <f t="shared" si="51"/>
        <v>7.9347234597680269E-5</v>
      </c>
      <c r="AS210" s="1">
        <f t="shared" si="52"/>
        <v>7.1772322476704848E-5</v>
      </c>
    </row>
    <row r="211" spans="35:45" ht="11.25" customHeight="1" x14ac:dyDescent="0.2">
      <c r="AI211" s="3" t="e">
        <f t="shared" si="45"/>
        <v>#N/A</v>
      </c>
      <c r="AJ211" s="3" t="e">
        <f t="shared" si="46"/>
        <v>#N/A</v>
      </c>
      <c r="AK211" s="1">
        <f t="shared" si="42"/>
        <v>30.299999999999891</v>
      </c>
      <c r="AL211" s="1">
        <f t="shared" si="43"/>
        <v>1.2459373981063484</v>
      </c>
      <c r="AM211" s="1">
        <f t="shared" si="47"/>
        <v>7.263621777331418E-2</v>
      </c>
      <c r="AN211" s="1">
        <f t="shared" si="48"/>
        <v>0</v>
      </c>
      <c r="AO211" s="1">
        <f t="shared" si="49"/>
        <v>7.2445316180842045E-2</v>
      </c>
      <c r="AP211" s="1">
        <f t="shared" si="44"/>
        <v>4.2374520646256348</v>
      </c>
      <c r="AQ211" s="1">
        <f t="shared" si="50"/>
        <v>8.141088470188778E-5</v>
      </c>
      <c r="AR211" s="1">
        <f t="shared" si="51"/>
        <v>8.141088470188778E-5</v>
      </c>
      <c r="AS211" s="1">
        <f t="shared" si="52"/>
        <v>7.363896548586899E-5</v>
      </c>
    </row>
    <row r="212" spans="35:45" ht="11.25" customHeight="1" x14ac:dyDescent="0.2">
      <c r="AI212" s="3" t="e">
        <f t="shared" si="45"/>
        <v>#N/A</v>
      </c>
      <c r="AJ212" s="3" t="e">
        <f t="shared" si="46"/>
        <v>#N/A</v>
      </c>
      <c r="AK212" s="1">
        <f t="shared" si="42"/>
        <v>30.449999999999889</v>
      </c>
      <c r="AL212" s="1">
        <f t="shared" si="43"/>
        <v>1.2364505651258433</v>
      </c>
      <c r="AM212" s="1">
        <f t="shared" si="47"/>
        <v>7.3485028778130776E-2</v>
      </c>
      <c r="AN212" s="1">
        <f t="shared" si="48"/>
        <v>0</v>
      </c>
      <c r="AO212" s="1">
        <f t="shared" si="49"/>
        <v>7.3291896351269203E-2</v>
      </c>
      <c r="AP212" s="1">
        <f t="shared" si="44"/>
        <v>4.2288276710069947</v>
      </c>
      <c r="AQ212" s="1">
        <f t="shared" si="50"/>
        <v>8.3526593784967809E-5</v>
      </c>
      <c r="AR212" s="1">
        <f t="shared" si="51"/>
        <v>8.3526593784967809E-5</v>
      </c>
      <c r="AS212" s="1">
        <f t="shared" si="52"/>
        <v>7.5552697644874227E-5</v>
      </c>
    </row>
    <row r="213" spans="35:45" ht="11.25" customHeight="1" x14ac:dyDescent="0.2">
      <c r="AI213" s="3" t="e">
        <f t="shared" si="45"/>
        <v>#N/A</v>
      </c>
      <c r="AJ213" s="3" t="e">
        <f t="shared" si="46"/>
        <v>#N/A</v>
      </c>
      <c r="AK213" s="1">
        <f t="shared" si="42"/>
        <v>30.599999999999888</v>
      </c>
      <c r="AL213" s="1">
        <f t="shared" si="43"/>
        <v>1.2269637321453384</v>
      </c>
      <c r="AM213" s="1">
        <f t="shared" si="47"/>
        <v>7.433765367825805E-2</v>
      </c>
      <c r="AN213" s="1">
        <f t="shared" si="48"/>
        <v>0</v>
      </c>
      <c r="AO213" s="1">
        <f t="shared" si="49"/>
        <v>7.4142280393375434E-2</v>
      </c>
      <c r="AP213" s="1">
        <f t="shared" si="44"/>
        <v>4.2202032773883538</v>
      </c>
      <c r="AQ213" s="1">
        <f t="shared" si="50"/>
        <v>8.5695621993421393E-5</v>
      </c>
      <c r="AR213" s="1">
        <f t="shared" si="51"/>
        <v>8.5695621993421393E-5</v>
      </c>
      <c r="AS213" s="1">
        <f t="shared" si="52"/>
        <v>7.7514658799885308E-5</v>
      </c>
    </row>
    <row r="214" spans="35:45" ht="11.25" customHeight="1" x14ac:dyDescent="0.2">
      <c r="AI214" s="3" t="e">
        <f t="shared" si="45"/>
        <v>#N/A</v>
      </c>
      <c r="AJ214" s="3" t="e">
        <f t="shared" si="46"/>
        <v>#N/A</v>
      </c>
      <c r="AK214" s="1">
        <f t="shared" si="42"/>
        <v>30.749999999999886</v>
      </c>
      <c r="AL214" s="1">
        <f t="shared" si="43"/>
        <v>1.2174768991648333</v>
      </c>
      <c r="AM214" s="1">
        <f t="shared" si="47"/>
        <v>7.5193984815369319E-2</v>
      </c>
      <c r="AN214" s="1">
        <f t="shared" si="48"/>
        <v>0</v>
      </c>
      <c r="AO214" s="1">
        <f t="shared" si="49"/>
        <v>7.4996360931780304E-2</v>
      </c>
      <c r="AP214" s="1">
        <f t="shared" si="44"/>
        <v>4.2115788837697128</v>
      </c>
      <c r="AQ214" s="1">
        <f t="shared" si="50"/>
        <v>8.7919258366653263E-5</v>
      </c>
      <c r="AR214" s="1">
        <f t="shared" si="51"/>
        <v>8.7919258366653263E-5</v>
      </c>
      <c r="AS214" s="1">
        <f t="shared" si="52"/>
        <v>7.9526014931699307E-5</v>
      </c>
    </row>
    <row r="215" spans="35:45" ht="11.25" customHeight="1" x14ac:dyDescent="0.2">
      <c r="AI215" s="3" t="e">
        <f t="shared" si="45"/>
        <v>#N/A</v>
      </c>
      <c r="AJ215" s="3" t="e">
        <f t="shared" si="46"/>
        <v>#N/A</v>
      </c>
      <c r="AK215" s="1">
        <f t="shared" si="42"/>
        <v>30.899999999999885</v>
      </c>
      <c r="AL215" s="1">
        <f t="shared" si="43"/>
        <v>1.2079900661843281</v>
      </c>
      <c r="AM215" s="1">
        <f t="shared" si="47"/>
        <v>7.605391215415036E-2</v>
      </c>
      <c r="AN215" s="1">
        <f t="shared" si="48"/>
        <v>0</v>
      </c>
      <c r="AO215" s="1">
        <f t="shared" si="49"/>
        <v>7.5854028220363037E-2</v>
      </c>
      <c r="AP215" s="1">
        <f t="shared" si="44"/>
        <v>4.2029544901510709</v>
      </c>
      <c r="AQ215" s="1">
        <f t="shared" si="50"/>
        <v>9.0198821257642288E-5</v>
      </c>
      <c r="AR215" s="1">
        <f t="shared" si="51"/>
        <v>9.0198821257642288E-5</v>
      </c>
      <c r="AS215" s="1">
        <f t="shared" si="52"/>
        <v>8.1587958536256597E-5</v>
      </c>
    </row>
    <row r="216" spans="35:45" ht="11.25" customHeight="1" x14ac:dyDescent="0.2">
      <c r="AI216" s="3" t="e">
        <f t="shared" si="45"/>
        <v>#N/A</v>
      </c>
      <c r="AJ216" s="3" t="e">
        <f t="shared" si="46"/>
        <v>#N/A</v>
      </c>
      <c r="AK216" s="1">
        <f t="shared" si="42"/>
        <v>31.049999999999883</v>
      </c>
      <c r="AL216" s="1">
        <f t="shared" si="43"/>
        <v>1.1985032332038232</v>
      </c>
      <c r="AM216" s="1">
        <f t="shared" si="47"/>
        <v>7.6917323167946527E-2</v>
      </c>
      <c r="AN216" s="1">
        <f t="shared" si="48"/>
        <v>0</v>
      </c>
      <c r="AO216" s="1">
        <f t="shared" si="49"/>
        <v>7.67151700282101E-2</v>
      </c>
      <c r="AP216" s="1">
        <f t="shared" si="44"/>
        <v>4.1943300965324308</v>
      </c>
      <c r="AQ216" s="1">
        <f t="shared" si="50"/>
        <v>9.2535659106519723E-5</v>
      </c>
      <c r="AR216" s="1">
        <f t="shared" si="51"/>
        <v>9.2535659106519723E-5</v>
      </c>
      <c r="AS216" s="1">
        <f t="shared" si="52"/>
        <v>8.3701709324369183E-5</v>
      </c>
    </row>
    <row r="217" spans="35:45" ht="11.25" customHeight="1" x14ac:dyDescent="0.2">
      <c r="AI217" s="3" t="e">
        <f t="shared" si="45"/>
        <v>#N/A</v>
      </c>
      <c r="AJ217" s="3" t="e">
        <f t="shared" si="46"/>
        <v>#N/A</v>
      </c>
      <c r="AK217" s="1">
        <f t="shared" si="42"/>
        <v>31.199999999999882</v>
      </c>
      <c r="AL217" s="1">
        <f t="shared" si="43"/>
        <v>1.1890164002233181</v>
      </c>
      <c r="AM217" s="1">
        <f t="shared" si="47"/>
        <v>7.7784102853195591E-2</v>
      </c>
      <c r="AN217" s="1">
        <f t="shared" si="48"/>
        <v>0</v>
      </c>
      <c r="AO217" s="1">
        <f t="shared" si="49"/>
        <v>7.7579671654010182E-2</v>
      </c>
      <c r="AP217" s="1">
        <f t="shared" si="44"/>
        <v>4.1857057029137898</v>
      </c>
      <c r="AQ217" s="1">
        <f t="shared" si="50"/>
        <v>9.4931150959359951E-5</v>
      </c>
      <c r="AR217" s="1">
        <f t="shared" si="51"/>
        <v>9.4931150959359951E-5</v>
      </c>
      <c r="AS217" s="1">
        <f t="shared" si="52"/>
        <v>8.5868514690984872E-5</v>
      </c>
    </row>
    <row r="218" spans="35:45" ht="11.25" customHeight="1" x14ac:dyDescent="0.2">
      <c r="AI218" s="3" t="e">
        <f t="shared" si="45"/>
        <v>#N/A</v>
      </c>
      <c r="AJ218" s="3" t="e">
        <f t="shared" si="46"/>
        <v>#N/A</v>
      </c>
      <c r="AK218" s="1">
        <f t="shared" si="42"/>
        <v>31.349999999999881</v>
      </c>
      <c r="AL218" s="1">
        <f t="shared" si="43"/>
        <v>1.179529567242813</v>
      </c>
      <c r="AM218" s="1">
        <f t="shared" si="47"/>
        <v>7.8654133835454054E-2</v>
      </c>
      <c r="AN218" s="1">
        <f t="shared" si="48"/>
        <v>0</v>
      </c>
      <c r="AO218" s="1">
        <f t="shared" si="49"/>
        <v>7.8447416031801831E-2</v>
      </c>
      <c r="AP218" s="1">
        <f t="shared" si="44"/>
        <v>4.1770813092951489</v>
      </c>
      <c r="AQ218" s="1">
        <f t="shared" si="50"/>
        <v>9.7386707245553442E-5</v>
      </c>
      <c r="AR218" s="1">
        <f t="shared" si="51"/>
        <v>9.7386707245553442E-5</v>
      </c>
      <c r="AS218" s="1">
        <f t="shared" si="52"/>
        <v>8.8089650418348103E-5</v>
      </c>
    </row>
    <row r="219" spans="35:45" ht="11.25" customHeight="1" x14ac:dyDescent="0.2">
      <c r="AI219" s="3" t="e">
        <f t="shared" si="45"/>
        <v>#N/A</v>
      </c>
      <c r="AJ219" s="3" t="e">
        <f t="shared" si="46"/>
        <v>#N/A</v>
      </c>
      <c r="AK219" s="1">
        <f t="shared" si="42"/>
        <v>31.499999999999879</v>
      </c>
      <c r="AL219" s="1">
        <f t="shared" si="43"/>
        <v>1.1700427342623081</v>
      </c>
      <c r="AM219" s="1">
        <f t="shared" si="47"/>
        <v>7.952729621174548E-2</v>
      </c>
      <c r="AN219" s="1">
        <f t="shared" si="48"/>
        <v>0</v>
      </c>
      <c r="AO219" s="1">
        <f t="shared" si="49"/>
        <v>7.931828357373609E-2</v>
      </c>
      <c r="AP219" s="1">
        <f t="shared" si="44"/>
        <v>4.168456915676507</v>
      </c>
      <c r="AQ219" s="1">
        <f t="shared" si="50"/>
        <v>9.9903770198477189E-5</v>
      </c>
      <c r="AR219" s="1">
        <f t="shared" si="51"/>
        <v>9.9903770198477189E-5</v>
      </c>
      <c r="AS219" s="1">
        <f t="shared" si="52"/>
        <v>9.036642105651086E-5</v>
      </c>
    </row>
    <row r="220" spans="35:45" ht="11.25" customHeight="1" x14ac:dyDescent="0.2">
      <c r="AI220" s="3" t="e">
        <f t="shared" si="45"/>
        <v>#N/A</v>
      </c>
      <c r="AJ220" s="3" t="e">
        <f t="shared" si="46"/>
        <v>#N/A</v>
      </c>
      <c r="AK220" s="1">
        <f t="shared" si="42"/>
        <v>31.649999999999878</v>
      </c>
      <c r="AL220" s="1">
        <f t="shared" si="43"/>
        <v>1.160555901281803</v>
      </c>
      <c r="AM220" s="1">
        <f t="shared" si="47"/>
        <v>8.0403467727085953E-2</v>
      </c>
      <c r="AN220" s="1">
        <f t="shared" si="48"/>
        <v>0</v>
      </c>
      <c r="AO220" s="1">
        <f t="shared" si="49"/>
        <v>8.0192152346138051E-2</v>
      </c>
      <c r="AP220" s="1">
        <f t="shared" si="44"/>
        <v>4.1598325220578669</v>
      </c>
      <c r="AQ220" s="1">
        <f t="shared" si="50"/>
        <v>1.0248381480959263E-4</v>
      </c>
      <c r="AR220" s="1">
        <f t="shared" si="51"/>
        <v>1.0248381480959263E-4</v>
      </c>
      <c r="AS220" s="1">
        <f t="shared" si="52"/>
        <v>9.2700160786347334E-5</v>
      </c>
    </row>
    <row r="221" spans="35:45" ht="11.25" customHeight="1" x14ac:dyDescent="0.2">
      <c r="AI221" s="3" t="e">
        <f t="shared" si="45"/>
        <v>#N/A</v>
      </c>
      <c r="AJ221" s="3" t="e">
        <f t="shared" si="46"/>
        <v>#N/A</v>
      </c>
      <c r="AK221" s="1">
        <f t="shared" si="42"/>
        <v>31.799999999999876</v>
      </c>
      <c r="AL221" s="1">
        <f t="shared" si="43"/>
        <v>1.1510690683012978</v>
      </c>
      <c r="AM221" s="1">
        <f t="shared" si="47"/>
        <v>8.1282523604064849E-2</v>
      </c>
      <c r="AN221" s="1">
        <f t="shared" si="48"/>
        <v>0</v>
      </c>
      <c r="AO221" s="1">
        <f t="shared" si="49"/>
        <v>8.106889789953553E-2</v>
      </c>
      <c r="AP221" s="1">
        <f t="shared" si="44"/>
        <v>4.1512081284392259</v>
      </c>
      <c r="AQ221" s="1">
        <f t="shared" si="50"/>
        <v>1.0512834923285305E-4</v>
      </c>
      <c r="AR221" s="1">
        <f t="shared" si="51"/>
        <v>1.0512834923285305E-4</v>
      </c>
      <c r="AS221" s="1">
        <f t="shared" si="52"/>
        <v>9.5092233785354442E-5</v>
      </c>
    </row>
    <row r="222" spans="35:45" ht="11.25" customHeight="1" x14ac:dyDescent="0.2">
      <c r="AI222" s="3" t="e">
        <f t="shared" si="45"/>
        <v>#N/A</v>
      </c>
      <c r="AJ222" s="3" t="e">
        <f t="shared" si="46"/>
        <v>#N/A</v>
      </c>
      <c r="AK222" s="1">
        <f t="shared" ref="AK222:AK285" si="53">AK221+$AJ$4</f>
        <v>31.949999999999875</v>
      </c>
      <c r="AL222" s="1">
        <f t="shared" si="43"/>
        <v>1.1415822353207929</v>
      </c>
      <c r="AM222" s="1">
        <f t="shared" si="47"/>
        <v>8.216433680763302E-2</v>
      </c>
      <c r="AN222" s="1">
        <f t="shared" si="48"/>
        <v>0</v>
      </c>
      <c r="AO222" s="1">
        <f t="shared" si="49"/>
        <v>8.1948393532751268E-2</v>
      </c>
      <c r="AP222" s="1">
        <f t="shared" si="44"/>
        <v>4.142583734820585</v>
      </c>
      <c r="AQ222" s="1">
        <f t="shared" si="50"/>
        <v>1.0783891565477582E-4</v>
      </c>
      <c r="AR222" s="1">
        <f t="shared" si="51"/>
        <v>1.0783891565477582E-4</v>
      </c>
      <c r="AS222" s="1">
        <f t="shared" si="52"/>
        <v>9.7544035014662271E-5</v>
      </c>
    </row>
    <row r="223" spans="35:45" ht="11.25" customHeight="1" x14ac:dyDescent="0.2">
      <c r="AI223" s="3" t="e">
        <f t="shared" si="45"/>
        <v>#N/A</v>
      </c>
      <c r="AJ223" s="3" t="e">
        <f t="shared" si="46"/>
        <v>#N/A</v>
      </c>
      <c r="AK223" s="1">
        <f t="shared" si="53"/>
        <v>32.099999999999874</v>
      </c>
      <c r="AL223" s="1">
        <f t="shared" si="43"/>
        <v>1.1320954023402878</v>
      </c>
      <c r="AM223" s="1">
        <f t="shared" si="47"/>
        <v>8.3048777910210703E-2</v>
      </c>
      <c r="AN223" s="1">
        <f t="shared" si="48"/>
        <v>0</v>
      </c>
      <c r="AO223" s="1">
        <f t="shared" si="49"/>
        <v>8.2830510158365442E-2</v>
      </c>
      <c r="AP223" s="1">
        <f t="shared" si="44"/>
        <v>4.1339593412019431</v>
      </c>
      <c r="AQ223" s="1">
        <f t="shared" si="50"/>
        <v>1.1061709087774318E-4</v>
      </c>
      <c r="AR223" s="1">
        <f t="shared" si="51"/>
        <v>1.1061709087774318E-4</v>
      </c>
      <c r="AS223" s="1">
        <f t="shared" si="52"/>
        <v>1.0005699074664986E-4</v>
      </c>
    </row>
    <row r="224" spans="35:45" ht="11.25" customHeight="1" x14ac:dyDescent="0.2">
      <c r="AI224" s="3" t="e">
        <f t="shared" si="45"/>
        <v>#N/A</v>
      </c>
      <c r="AJ224" s="3" t="e">
        <f t="shared" si="46"/>
        <v>#N/A</v>
      </c>
      <c r="AK224" s="1">
        <f t="shared" si="53"/>
        <v>32.249999999999872</v>
      </c>
      <c r="AL224" s="1">
        <f t="shared" si="43"/>
        <v>1.1226085693597827</v>
      </c>
      <c r="AM224" s="1">
        <f t="shared" si="47"/>
        <v>8.3935715030625246E-2</v>
      </c>
      <c r="AN224" s="1">
        <f t="shared" si="48"/>
        <v>0</v>
      </c>
      <c r="AO224" s="1">
        <f t="shared" si="49"/>
        <v>8.3715116241813853E-2</v>
      </c>
      <c r="AP224" s="1">
        <f t="shared" si="44"/>
        <v>4.125334947583303</v>
      </c>
      <c r="AQ224" s="1">
        <f t="shared" si="50"/>
        <v>1.1346448714941691E-4</v>
      </c>
      <c r="AR224" s="1">
        <f t="shared" si="51"/>
        <v>1.1346448714941691E-4</v>
      </c>
      <c r="AS224" s="1">
        <f t="shared" si="52"/>
        <v>1.0263255931517951E-4</v>
      </c>
    </row>
    <row r="225" spans="35:45" ht="11.25" customHeight="1" x14ac:dyDescent="0.2">
      <c r="AI225" s="3" t="e">
        <f t="shared" si="45"/>
        <v>#N/A</v>
      </c>
      <c r="AJ225" s="3" t="e">
        <f t="shared" si="46"/>
        <v>#N/A</v>
      </c>
      <c r="AK225" s="1">
        <f t="shared" si="53"/>
        <v>32.399999999999871</v>
      </c>
      <c r="AL225" s="1">
        <f t="shared" si="43"/>
        <v>1.1131217363792778</v>
      </c>
      <c r="AM225" s="1">
        <f t="shared" si="47"/>
        <v>8.48250140550455E-2</v>
      </c>
      <c r="AN225" s="1">
        <f t="shared" si="48"/>
        <v>0</v>
      </c>
      <c r="AO225" s="1">
        <f t="shared" si="49"/>
        <v>8.460207802174162E-2</v>
      </c>
      <c r="AP225" s="1">
        <f t="shared" si="44"/>
        <v>4.116710553964662</v>
      </c>
      <c r="AQ225" s="1">
        <f t="shared" si="50"/>
        <v>1.1638275276067579E-4</v>
      </c>
      <c r="AR225" s="1">
        <f t="shared" si="51"/>
        <v>1.1638275276067579E-4</v>
      </c>
      <c r="AS225" s="1">
        <f t="shared" si="52"/>
        <v>1.0527223165645193E-4</v>
      </c>
    </row>
    <row r="226" spans="35:45" ht="11.25" customHeight="1" x14ac:dyDescent="0.2">
      <c r="AI226" s="3" t="e">
        <f t="shared" si="45"/>
        <v>#N/A</v>
      </c>
      <c r="AJ226" s="3" t="e">
        <f t="shared" si="46"/>
        <v>#N/A</v>
      </c>
      <c r="AK226" s="1">
        <f t="shared" si="53"/>
        <v>32.549999999999869</v>
      </c>
      <c r="AL226" s="1">
        <f t="shared" si="43"/>
        <v>1.1036349033987727</v>
      </c>
      <c r="AM226" s="1">
        <f t="shared" si="47"/>
        <v>8.5716538524849284E-2</v>
      </c>
      <c r="AN226" s="1">
        <f t="shared" si="48"/>
        <v>0</v>
      </c>
      <c r="AO226" s="1">
        <f t="shared" si="49"/>
        <v>8.5491259398165403E-2</v>
      </c>
      <c r="AP226" s="1">
        <f t="shared" si="44"/>
        <v>4.108086160346021</v>
      </c>
      <c r="AQ226" s="1">
        <f t="shared" si="50"/>
        <v>1.1937357282027806E-4</v>
      </c>
      <c r="AR226" s="1">
        <f t="shared" si="51"/>
        <v>1.1937357282027806E-4</v>
      </c>
      <c r="AS226" s="1">
        <f t="shared" si="52"/>
        <v>1.0797753200971525E-4</v>
      </c>
    </row>
    <row r="227" spans="35:45" ht="11.25" customHeight="1" x14ac:dyDescent="0.2">
      <c r="AI227" s="3" t="e">
        <f t="shared" si="45"/>
        <v>#N/A</v>
      </c>
      <c r="AJ227" s="3" t="e">
        <f t="shared" si="46"/>
        <v>#N/A</v>
      </c>
      <c r="AK227" s="1">
        <f t="shared" si="53"/>
        <v>32.699999999999868</v>
      </c>
      <c r="AL227" s="1">
        <f t="shared" si="43"/>
        <v>1.0941480704182676</v>
      </c>
      <c r="AM227" s="1">
        <f t="shared" si="47"/>
        <v>8.6610149692134542E-2</v>
      </c>
      <c r="AN227" s="1">
        <f t="shared" si="48"/>
        <v>0</v>
      </c>
      <c r="AO227" s="1">
        <f t="shared" si="49"/>
        <v>8.638252198783862E-2</v>
      </c>
      <c r="AP227" s="1">
        <f t="shared" si="44"/>
        <v>4.0994617667273792</v>
      </c>
      <c r="AQ227" s="1">
        <f t="shared" si="50"/>
        <v>1.2243867012493373E-4</v>
      </c>
      <c r="AR227" s="1">
        <f t="shared" si="51"/>
        <v>1.2243867012493373E-4</v>
      </c>
      <c r="AS227" s="1">
        <f t="shared" si="52"/>
        <v>1.1075001870427558E-4</v>
      </c>
    </row>
    <row r="228" spans="35:45" ht="11.25" customHeight="1" x14ac:dyDescent="0.2">
      <c r="AI228" s="3" t="e">
        <f t="shared" si="45"/>
        <v>#N/A</v>
      </c>
      <c r="AJ228" s="3" t="e">
        <f t="shared" si="46"/>
        <v>#N/A</v>
      </c>
      <c r="AK228" s="1">
        <f t="shared" si="53"/>
        <v>32.849999999999866</v>
      </c>
      <c r="AL228" s="1">
        <f t="shared" si="43"/>
        <v>1.0846612374377627</v>
      </c>
      <c r="AM228" s="1">
        <f t="shared" si="47"/>
        <v>8.7505706564128261E-2</v>
      </c>
      <c r="AN228" s="1">
        <f t="shared" si="48"/>
        <v>0</v>
      </c>
      <c r="AO228" s="1">
        <f t="shared" si="49"/>
        <v>8.7275725168543691E-2</v>
      </c>
      <c r="AP228" s="1">
        <f t="shared" si="44"/>
        <v>4.0908373731087391</v>
      </c>
      <c r="AQ228" s="1">
        <f t="shared" si="50"/>
        <v>1.2557980568026362E-4</v>
      </c>
      <c r="AR228" s="1">
        <f t="shared" si="51"/>
        <v>1.2557980568026362E-4</v>
      </c>
      <c r="AS228" s="1">
        <f t="shared" si="52"/>
        <v>1.1359128463072252E-4</v>
      </c>
    </row>
    <row r="229" spans="35:45" ht="11.25" customHeight="1" x14ac:dyDescent="0.2">
      <c r="AI229" s="3" t="e">
        <f t="shared" si="45"/>
        <v>#N/A</v>
      </c>
      <c r="AJ229" s="3" t="e">
        <f t="shared" si="46"/>
        <v>#N/A</v>
      </c>
      <c r="AK229" s="1">
        <f t="shared" si="53"/>
        <v>32.999999999999865</v>
      </c>
      <c r="AL229" s="1">
        <f t="shared" si="43"/>
        <v>1.0751744044572575</v>
      </c>
      <c r="AM229" s="1">
        <f t="shared" si="47"/>
        <v>8.8403065823250415E-2</v>
      </c>
      <c r="AN229" s="1">
        <f t="shared" si="48"/>
        <v>0</v>
      </c>
      <c r="AO229" s="1">
        <f t="shared" si="49"/>
        <v>8.8170725999366067E-2</v>
      </c>
      <c r="AP229" s="1">
        <f t="shared" si="44"/>
        <v>4.0822129794900981</v>
      </c>
      <c r="AQ229" s="1">
        <f t="shared" si="50"/>
        <v>1.2879877968579711E-4</v>
      </c>
      <c r="AR229" s="1">
        <f t="shared" si="51"/>
        <v>1.2879877968579711E-4</v>
      </c>
      <c r="AS229" s="1">
        <f t="shared" si="52"/>
        <v>1.1650295813189371E-4</v>
      </c>
    </row>
    <row r="230" spans="35:45" ht="11.25" customHeight="1" x14ac:dyDescent="0.2">
      <c r="AI230" s="3" t="e">
        <f t="shared" si="45"/>
        <v>#N/A</v>
      </c>
      <c r="AJ230" s="3" t="e">
        <f t="shared" si="46"/>
        <v>#N/A</v>
      </c>
      <c r="AK230" s="1">
        <f t="shared" si="53"/>
        <v>33.149999999999864</v>
      </c>
      <c r="AL230" s="1">
        <f t="shared" si="43"/>
        <v>1.0656875714767524</v>
      </c>
      <c r="AM230" s="1">
        <f t="shared" si="47"/>
        <v>8.9302082072473254E-2</v>
      </c>
      <c r="AN230" s="1">
        <f t="shared" si="48"/>
        <v>0</v>
      </c>
      <c r="AO230" s="1">
        <f t="shared" si="49"/>
        <v>8.9067379465408603E-2</v>
      </c>
      <c r="AP230" s="1">
        <f t="shared" si="44"/>
        <v>4.0735885858714571</v>
      </c>
      <c r="AQ230" s="1">
        <f t="shared" si="50"/>
        <v>1.3209743226030336E-4</v>
      </c>
      <c r="AR230" s="1">
        <f t="shared" si="51"/>
        <v>1.3209743226030336E-4</v>
      </c>
      <c r="AS230" s="1">
        <f t="shared" si="52"/>
        <v>1.1948670365896211E-4</v>
      </c>
    </row>
    <row r="231" spans="35:45" ht="11.25" customHeight="1" x14ac:dyDescent="0.2">
      <c r="AI231" s="3" t="e">
        <f t="shared" si="45"/>
        <v>#N/A</v>
      </c>
      <c r="AJ231" s="3" t="e">
        <f t="shared" si="46"/>
        <v>#N/A</v>
      </c>
      <c r="AK231" s="1">
        <f t="shared" si="53"/>
        <v>33.299999999999862</v>
      </c>
      <c r="AL231" s="1">
        <f t="shared" si="43"/>
        <v>1.0562007384962475</v>
      </c>
      <c r="AM231" s="1">
        <f t="shared" si="47"/>
        <v>9.0202607715417216E-2</v>
      </c>
      <c r="AN231" s="1">
        <f t="shared" si="48"/>
        <v>0</v>
      </c>
      <c r="AO231" s="1">
        <f t="shared" si="49"/>
        <v>8.9965538358202715E-2</v>
      </c>
      <c r="AP231" s="1">
        <f t="shared" si="44"/>
        <v>4.0649641922528161</v>
      </c>
      <c r="AQ231" s="1">
        <f t="shared" si="50"/>
        <v>1.3547764424897982E-4</v>
      </c>
      <c r="AR231" s="1">
        <f t="shared" si="51"/>
        <v>1.3547764424897982E-4</v>
      </c>
      <c r="AS231" s="1">
        <f t="shared" si="52"/>
        <v>1.225442225015659E-4</v>
      </c>
    </row>
    <row r="232" spans="35:45" ht="11.25" customHeight="1" x14ac:dyDescent="0.2">
      <c r="AI232" s="3" t="e">
        <f t="shared" si="45"/>
        <v>#N/A</v>
      </c>
      <c r="AJ232" s="3" t="e">
        <f t="shared" si="46"/>
        <v>#N/A</v>
      </c>
      <c r="AK232" s="1">
        <f t="shared" si="53"/>
        <v>33.449999999999861</v>
      </c>
      <c r="AL232" s="1">
        <f t="shared" si="43"/>
        <v>1.0467139055157424</v>
      </c>
      <c r="AM232" s="1">
        <f t="shared" si="47"/>
        <v>9.1104492805360593E-2</v>
      </c>
      <c r="AN232" s="1">
        <f t="shared" si="48"/>
        <v>0</v>
      </c>
      <c r="AO232" s="1">
        <f t="shared" si="49"/>
        <v>9.0865053125114753E-2</v>
      </c>
      <c r="AP232" s="1">
        <f t="shared" si="44"/>
        <v>4.0563397986341752</v>
      </c>
      <c r="AQ232" s="1">
        <f t="shared" si="50"/>
        <v>1.3894133794932568E-4</v>
      </c>
      <c r="AR232" s="1">
        <f t="shared" si="51"/>
        <v>1.3894133794932568E-4</v>
      </c>
      <c r="AS232" s="1">
        <f t="shared" si="52"/>
        <v>1.256772534443862E-4</v>
      </c>
    </row>
    <row r="233" spans="35:45" ht="11.25" customHeight="1" x14ac:dyDescent="0.2">
      <c r="AI233" s="3" t="e">
        <f t="shared" si="45"/>
        <v>#N/A</v>
      </c>
      <c r="AJ233" s="3" t="e">
        <f t="shared" si="46"/>
        <v>#N/A</v>
      </c>
      <c r="AK233" s="1">
        <f t="shared" si="53"/>
        <v>33.599999999999859</v>
      </c>
      <c r="AL233" s="1">
        <f t="shared" si="43"/>
        <v>1.0372270725352373</v>
      </c>
      <c r="AM233" s="1">
        <f t="shared" si="47"/>
        <v>9.2007585604791942E-2</v>
      </c>
      <c r="AN233" s="1">
        <f t="shared" si="48"/>
        <v>0</v>
      </c>
      <c r="AO233" s="1">
        <f t="shared" si="49"/>
        <v>9.1765772427427908E-2</v>
      </c>
      <c r="AP233" s="1">
        <f t="shared" si="44"/>
        <v>4.0477154050155351</v>
      </c>
      <c r="AQ233" s="1">
        <f t="shared" si="50"/>
        <v>1.4249047802675043E-4</v>
      </c>
      <c r="AR233" s="1">
        <f t="shared" si="51"/>
        <v>1.4249047802675043E-4</v>
      </c>
      <c r="AS233" s="1">
        <f t="shared" si="52"/>
        <v>1.2888757359534673E-4</v>
      </c>
    </row>
    <row r="234" spans="35:45" ht="11.25" customHeight="1" x14ac:dyDescent="0.2">
      <c r="AI234" s="3" t="e">
        <f t="shared" si="45"/>
        <v>#N/A</v>
      </c>
      <c r="AJ234" s="3" t="e">
        <f t="shared" si="46"/>
        <v>#N/A</v>
      </c>
      <c r="AK234" s="1">
        <f t="shared" si="53"/>
        <v>33.749999999999858</v>
      </c>
      <c r="AL234" s="1">
        <f t="shared" si="43"/>
        <v>1.0277402395547324</v>
      </c>
      <c r="AM234" s="1">
        <f t="shared" si="47"/>
        <v>9.2911732098022171E-2</v>
      </c>
      <c r="AN234" s="1">
        <f t="shared" si="48"/>
        <v>0</v>
      </c>
      <c r="AO234" s="1">
        <f t="shared" si="49"/>
        <v>9.2667542654235172E-2</v>
      </c>
      <c r="AP234" s="1">
        <f t="shared" si="44"/>
        <v>4.0390910113968932</v>
      </c>
      <c r="AQ234" s="1">
        <f t="shared" si="50"/>
        <v>1.4612707237597261E-4</v>
      </c>
      <c r="AR234" s="1">
        <f t="shared" si="51"/>
        <v>1.4612707237597261E-4</v>
      </c>
      <c r="AS234" s="1">
        <f t="shared" si="52"/>
        <v>1.3217699916477884E-4</v>
      </c>
    </row>
    <row r="235" spans="35:45" ht="11.25" customHeight="1" x14ac:dyDescent="0.2">
      <c r="AI235" s="3" t="e">
        <f t="shared" si="45"/>
        <v>#N/A</v>
      </c>
      <c r="AJ235" s="3" t="e">
        <f t="shared" si="46"/>
        <v>#N/A</v>
      </c>
      <c r="AK235" s="1">
        <f t="shared" si="53"/>
        <v>33.899999999999856</v>
      </c>
      <c r="AL235" s="1">
        <f t="shared" si="43"/>
        <v>1.0182534065742272</v>
      </c>
      <c r="AM235" s="1">
        <f t="shared" si="47"/>
        <v>9.3816776161048665E-2</v>
      </c>
      <c r="AN235" s="1">
        <f t="shared" si="48"/>
        <v>0</v>
      </c>
      <c r="AO235" s="1">
        <f t="shared" si="49"/>
        <v>9.3570208091857079E-2</v>
      </c>
      <c r="AP235" s="1">
        <f t="shared" si="44"/>
        <v>4.0304666177782522</v>
      </c>
      <c r="AQ235" s="1">
        <f t="shared" si="50"/>
        <v>1.4985317295965021E-4</v>
      </c>
      <c r="AR235" s="1">
        <f t="shared" si="51"/>
        <v>1.4985317295965021E-4</v>
      </c>
      <c r="AS235" s="1">
        <f t="shared" si="52"/>
        <v>1.3554738622399169E-4</v>
      </c>
    </row>
    <row r="236" spans="35:45" ht="11.25" customHeight="1" x14ac:dyDescent="0.2">
      <c r="AI236" s="3" t="e">
        <f t="shared" si="45"/>
        <v>#N/A</v>
      </c>
      <c r="AJ236" s="3" t="e">
        <f t="shared" si="46"/>
        <v>#N/A</v>
      </c>
      <c r="AK236" s="1">
        <f t="shared" si="53"/>
        <v>34.049999999999855</v>
      </c>
      <c r="AL236" s="1">
        <f t="shared" si="43"/>
        <v>1.0087665735937221</v>
      </c>
      <c r="AM236" s="1">
        <f t="shared" si="47"/>
        <v>9.4722559811355467E-2</v>
      </c>
      <c r="AN236" s="1">
        <f t="shared" si="48"/>
        <v>0</v>
      </c>
      <c r="AO236" s="1">
        <f t="shared" si="49"/>
        <v>9.4473611172985306E-2</v>
      </c>
      <c r="AP236" s="1">
        <f t="shared" si="44"/>
        <v>4.0218422241596112</v>
      </c>
      <c r="AQ236" s="1">
        <f t="shared" si="50"/>
        <v>1.5367087667032125E-4</v>
      </c>
      <c r="AR236" s="1">
        <f t="shared" si="51"/>
        <v>1.5367087667032125E-4</v>
      </c>
      <c r="AS236" s="1">
        <f t="shared" si="52"/>
        <v>1.3900063148492741E-4</v>
      </c>
    </row>
    <row r="237" spans="35:45" ht="11.25" customHeight="1" x14ac:dyDescent="0.2">
      <c r="AI237" s="3" t="e">
        <f t="shared" si="45"/>
        <v>#N/A</v>
      </c>
      <c r="AJ237" s="3" t="e">
        <f t="shared" si="46"/>
        <v>#N/A</v>
      </c>
      <c r="AK237" s="1">
        <f t="shared" si="53"/>
        <v>34.199999999999854</v>
      </c>
      <c r="AL237" s="1">
        <f t="shared" si="43"/>
        <v>0.99927974061321712</v>
      </c>
      <c r="AM237" s="1">
        <f t="shared" si="47"/>
        <v>9.5628922984758447E-2</v>
      </c>
      <c r="AN237" s="1">
        <f t="shared" si="48"/>
        <v>0</v>
      </c>
      <c r="AO237" s="1">
        <f t="shared" si="49"/>
        <v>9.5377592254114421E-2</v>
      </c>
      <c r="AP237" s="1">
        <f t="shared" si="44"/>
        <v>4.0132178305409711</v>
      </c>
      <c r="AQ237" s="1">
        <f t="shared" si="50"/>
        <v>1.5758232612024525E-4</v>
      </c>
      <c r="AR237" s="1">
        <f t="shared" si="51"/>
        <v>1.5758232612024525E-4</v>
      </c>
      <c r="AS237" s="1">
        <f t="shared" si="52"/>
        <v>1.425386730146001E-4</v>
      </c>
    </row>
    <row r="238" spans="35:45" ht="11.25" customHeight="1" x14ac:dyDescent="0.2">
      <c r="AI238" s="3" t="e">
        <f t="shared" si="45"/>
        <v>#N/A</v>
      </c>
      <c r="AJ238" s="3" t="e">
        <f t="shared" si="46"/>
        <v>#N/A</v>
      </c>
      <c r="AK238" s="1">
        <f t="shared" si="53"/>
        <v>34.349999999999852</v>
      </c>
      <c r="AL238" s="1">
        <f t="shared" si="43"/>
        <v>0.9897929076327121</v>
      </c>
      <c r="AM238" s="1">
        <f t="shared" si="47"/>
        <v>9.6535703766331693E-2</v>
      </c>
      <c r="AN238" s="1">
        <f t="shared" si="48"/>
        <v>0</v>
      </c>
      <c r="AO238" s="1">
        <f t="shared" si="49"/>
        <v>9.6281989845861268E-2</v>
      </c>
      <c r="AP238" s="1">
        <f t="shared" si="44"/>
        <v>4.0045934369223293</v>
      </c>
      <c r="AQ238" s="1">
        <f t="shared" si="50"/>
        <v>1.6158971072452108E-4</v>
      </c>
      <c r="AR238" s="1">
        <f t="shared" si="51"/>
        <v>1.6158971072452108E-4</v>
      </c>
      <c r="AS238" s="1">
        <f t="shared" si="52"/>
        <v>1.4616349121481342E-4</v>
      </c>
    </row>
    <row r="239" spans="35:45" ht="11.25" customHeight="1" x14ac:dyDescent="0.2">
      <c r="AI239" s="3" t="e">
        <f t="shared" si="45"/>
        <v>#N/A</v>
      </c>
      <c r="AJ239" s="3" t="e">
        <f t="shared" si="46"/>
        <v>#N/A</v>
      </c>
      <c r="AK239" s="1">
        <f t="shared" si="53"/>
        <v>34.499999999999851</v>
      </c>
      <c r="AL239" s="1">
        <f t="shared" si="43"/>
        <v>0.98030607465220709</v>
      </c>
      <c r="AM239" s="1">
        <f t="shared" si="47"/>
        <v>9.7442738284936325E-2</v>
      </c>
      <c r="AN239" s="1">
        <f t="shared" si="48"/>
        <v>0</v>
      </c>
      <c r="AO239" s="1">
        <f t="shared" si="49"/>
        <v>9.7186640507771038E-2</v>
      </c>
      <c r="AP239" s="1">
        <f t="shared" si="44"/>
        <v>3.9959690433036883</v>
      </c>
      <c r="AQ239" s="1">
        <f t="shared" si="50"/>
        <v>1.6569526750231239E-4</v>
      </c>
      <c r="AR239" s="1">
        <f t="shared" si="51"/>
        <v>1.6569526750231239E-4</v>
      </c>
      <c r="AS239" s="1">
        <f t="shared" si="52"/>
        <v>1.4987710954689673E-4</v>
      </c>
    </row>
    <row r="240" spans="35:45" ht="11.25" customHeight="1" x14ac:dyDescent="0.2">
      <c r="AI240" s="3" t="e">
        <f t="shared" si="45"/>
        <v>#N/A</v>
      </c>
      <c r="AJ240" s="3" t="e">
        <f t="shared" si="46"/>
        <v>#N/A</v>
      </c>
      <c r="AK240" s="1">
        <f t="shared" si="53"/>
        <v>34.649999999999849</v>
      </c>
      <c r="AL240" s="1">
        <f t="shared" si="43"/>
        <v>0.97081924167170197</v>
      </c>
      <c r="AM240" s="1">
        <f t="shared" si="47"/>
        <v>9.8349860819801904E-2</v>
      </c>
      <c r="AN240" s="1">
        <f t="shared" si="48"/>
        <v>0</v>
      </c>
      <c r="AO240" s="1">
        <f t="shared" si="49"/>
        <v>9.8091378954618516E-2</v>
      </c>
      <c r="AP240" s="1">
        <f t="shared" si="44"/>
        <v>3.9873446496850478</v>
      </c>
      <c r="AQ240" s="1">
        <f t="shared" si="50"/>
        <v>1.6990128202660874E-4</v>
      </c>
      <c r="AR240" s="1">
        <f t="shared" si="51"/>
        <v>1.6990128202660874E-4</v>
      </c>
      <c r="AS240" s="1">
        <f t="shared" si="52"/>
        <v>1.5368159539079691E-4</v>
      </c>
    </row>
    <row r="241" spans="35:45" ht="11.25" customHeight="1" x14ac:dyDescent="0.2">
      <c r="AI241" s="3" t="e">
        <f t="shared" si="45"/>
        <v>#N/A</v>
      </c>
      <c r="AJ241" s="3" t="e">
        <f t="shared" si="46"/>
        <v>#N/A</v>
      </c>
      <c r="AK241" s="1">
        <f t="shared" si="53"/>
        <v>34.799999999999848</v>
      </c>
      <c r="AL241" s="1">
        <f t="shared" si="43"/>
        <v>0.96133240869119696</v>
      </c>
      <c r="AM241" s="1">
        <f t="shared" si="47"/>
        <v>9.9256903869360258E-2</v>
      </c>
      <c r="AN241" s="1">
        <f t="shared" si="48"/>
        <v>0</v>
      </c>
      <c r="AO241" s="1">
        <f t="shared" si="49"/>
        <v>9.8996038125061053E-2</v>
      </c>
      <c r="AP241" s="1">
        <f t="shared" si="44"/>
        <v>3.9787202560664072</v>
      </c>
      <c r="AQ241" s="1">
        <f t="shared" si="50"/>
        <v>1.74210089338208E-4</v>
      </c>
      <c r="AR241" s="1">
        <f t="shared" si="51"/>
        <v>1.74210089338208E-4</v>
      </c>
      <c r="AS241" s="1">
        <f t="shared" si="52"/>
        <v>1.5757906087180722E-4</v>
      </c>
    </row>
    <row r="242" spans="35:45" ht="11.25" customHeight="1" x14ac:dyDescent="0.2">
      <c r="AI242" s="3" t="e">
        <f t="shared" si="45"/>
        <v>#N/A</v>
      </c>
      <c r="AJ242" s="3" t="e">
        <f t="shared" si="46"/>
        <v>#N/A</v>
      </c>
      <c r="AK242" s="1">
        <f t="shared" si="53"/>
        <v>34.949999999999847</v>
      </c>
      <c r="AL242" s="1">
        <f t="shared" si="43"/>
        <v>0.95184557571069195</v>
      </c>
      <c r="AM242" s="1">
        <f t="shared" si="47"/>
        <v>0.10016369815124548</v>
      </c>
      <c r="AN242" s="1">
        <f t="shared" si="48"/>
        <v>0</v>
      </c>
      <c r="AO242" s="1">
        <f t="shared" si="49"/>
        <v>9.990044918163854E-2</v>
      </c>
      <c r="AP242" s="1">
        <f t="shared" si="44"/>
        <v>3.9700958624477658</v>
      </c>
      <c r="AQ242" s="1">
        <f t="shared" si="50"/>
        <v>1.7862407498221364E-4</v>
      </c>
      <c r="AR242" s="1">
        <f t="shared" si="51"/>
        <v>1.7862407498221364E-4</v>
      </c>
      <c r="AS242" s="1">
        <f t="shared" si="52"/>
        <v>1.6157166379811487E-4</v>
      </c>
    </row>
    <row r="243" spans="35:45" ht="11.25" customHeight="1" x14ac:dyDescent="0.2">
      <c r="AI243" s="3" t="e">
        <f t="shared" si="45"/>
        <v>#N/A</v>
      </c>
      <c r="AJ243" s="3" t="e">
        <f t="shared" si="46"/>
        <v>#N/A</v>
      </c>
      <c r="AK243" s="1">
        <f t="shared" si="53"/>
        <v>35.099999999999845</v>
      </c>
      <c r="AL243" s="1">
        <f t="shared" si="43"/>
        <v>0.94235874273018683</v>
      </c>
      <c r="AM243" s="1">
        <f t="shared" si="47"/>
        <v>0.10107007267556867</v>
      </c>
      <c r="AN243" s="1">
        <f t="shared" si="48"/>
        <v>0</v>
      </c>
      <c r="AO243" s="1">
        <f t="shared" si="49"/>
        <v>0.10080444158385551</v>
      </c>
      <c r="AP243" s="1">
        <f t="shared" si="44"/>
        <v>3.9614714688291244</v>
      </c>
      <c r="AQ243" s="1">
        <f t="shared" si="50"/>
        <v>1.8314567590575412E-4</v>
      </c>
      <c r="AR243" s="1">
        <f t="shared" si="51"/>
        <v>1.8314567590575412E-4</v>
      </c>
      <c r="AS243" s="1">
        <f t="shared" si="52"/>
        <v>1.6566160847281941E-4</v>
      </c>
    </row>
    <row r="244" spans="35:45" ht="11.25" customHeight="1" x14ac:dyDescent="0.2">
      <c r="AI244" s="3" t="e">
        <f t="shared" si="45"/>
        <v>#N/A</v>
      </c>
      <c r="AJ244" s="3" t="e">
        <f t="shared" si="46"/>
        <v>#N/A</v>
      </c>
      <c r="AK244" s="1">
        <f t="shared" si="53"/>
        <v>35.249999999999844</v>
      </c>
      <c r="AL244" s="1">
        <f t="shared" si="43"/>
        <v>0.93287190974968182</v>
      </c>
      <c r="AM244" s="1">
        <f t="shared" si="47"/>
        <v>0.10197585476934279</v>
      </c>
      <c r="AN244" s="1">
        <f t="shared" si="48"/>
        <v>0</v>
      </c>
      <c r="AO244" s="1">
        <f t="shared" si="49"/>
        <v>0.10170784311254193</v>
      </c>
      <c r="AP244" s="1">
        <f t="shared" si="44"/>
        <v>3.9528470752104838</v>
      </c>
      <c r="AQ244" s="1">
        <f t="shared" si="50"/>
        <v>1.8777738145870151E-4</v>
      </c>
      <c r="AR244" s="1">
        <f t="shared" si="51"/>
        <v>1.8777738145870151E-4</v>
      </c>
      <c r="AS244" s="1">
        <f t="shared" si="52"/>
        <v>1.6985114659911731E-4</v>
      </c>
    </row>
    <row r="245" spans="35:45" ht="11.25" customHeight="1" x14ac:dyDescent="0.2">
      <c r="AI245" s="3" t="e">
        <f t="shared" si="45"/>
        <v>#N/A</v>
      </c>
      <c r="AJ245" s="3" t="e">
        <f t="shared" si="46"/>
        <v>#N/A</v>
      </c>
      <c r="AK245" s="1">
        <f t="shared" si="53"/>
        <v>35.399999999999842</v>
      </c>
      <c r="AL245" s="1">
        <f t="shared" si="43"/>
        <v>0.9233850767691768</v>
      </c>
      <c r="AM245" s="1">
        <f t="shared" si="47"/>
        <v>0.10288087016308012</v>
      </c>
      <c r="AN245" s="1">
        <f t="shared" si="48"/>
        <v>0</v>
      </c>
      <c r="AO245" s="1">
        <f t="shared" si="49"/>
        <v>0.10261047995622292</v>
      </c>
      <c r="AP245" s="1">
        <f t="shared" si="44"/>
        <v>3.9442226815918433</v>
      </c>
      <c r="AQ245" s="1">
        <f t="shared" si="50"/>
        <v>1.9252173446920005E-4</v>
      </c>
      <c r="AR245" s="1">
        <f t="shared" si="51"/>
        <v>1.9252173446920005E-4</v>
      </c>
      <c r="AS245" s="1">
        <f t="shared" si="52"/>
        <v>1.7414257825315482E-4</v>
      </c>
    </row>
    <row r="246" spans="35:45" ht="11.25" customHeight="1" x14ac:dyDescent="0.2">
      <c r="AI246" s="3" t="e">
        <f t="shared" si="45"/>
        <v>#N/A</v>
      </c>
      <c r="AJ246" s="3" t="e">
        <f t="shared" si="46"/>
        <v>#N/A</v>
      </c>
      <c r="AK246" s="1">
        <f t="shared" si="53"/>
        <v>35.549999999999841</v>
      </c>
      <c r="AL246" s="1">
        <f t="shared" si="43"/>
        <v>0.91389824378867168</v>
      </c>
      <c r="AM246" s="1">
        <f t="shared" si="47"/>
        <v>0.10378494298635133</v>
      </c>
      <c r="AN246" s="1">
        <f t="shared" si="48"/>
        <v>0</v>
      </c>
      <c r="AO246" s="1">
        <f t="shared" si="49"/>
        <v>0.10351217670668962</v>
      </c>
      <c r="AP246" s="1">
        <f t="shared" si="44"/>
        <v>3.9355982879732019</v>
      </c>
      <c r="AQ246" s="1">
        <f t="shared" si="50"/>
        <v>1.9738133224438473E-4</v>
      </c>
      <c r="AR246" s="1">
        <f t="shared" si="51"/>
        <v>1.9738133224438473E-4</v>
      </c>
      <c r="AS246" s="1">
        <f t="shared" si="52"/>
        <v>1.7853825278921269E-4</v>
      </c>
    </row>
    <row r="247" spans="35:45" ht="11.25" customHeight="1" x14ac:dyDescent="0.2">
      <c r="AI247" s="3" t="e">
        <f t="shared" si="45"/>
        <v>#N/A</v>
      </c>
      <c r="AJ247" s="3" t="e">
        <f t="shared" si="46"/>
        <v>#N/A</v>
      </c>
      <c r="AK247" s="1">
        <f t="shared" si="53"/>
        <v>35.699999999999839</v>
      </c>
      <c r="AL247" s="1">
        <f t="shared" si="43"/>
        <v>0.90441141080816667</v>
      </c>
      <c r="AM247" s="1">
        <f t="shared" si="47"/>
        <v>0.10468789587214644</v>
      </c>
      <c r="AN247" s="1">
        <f t="shared" si="48"/>
        <v>0</v>
      </c>
      <c r="AO247" s="1">
        <f t="shared" si="49"/>
        <v>0.1044127564630858</v>
      </c>
      <c r="AP247" s="1">
        <f t="shared" si="44"/>
        <v>3.9269738943545605</v>
      </c>
      <c r="AQ247" s="1">
        <f t="shared" si="50"/>
        <v>2.0235882748327952E-4</v>
      </c>
      <c r="AR247" s="1">
        <f t="shared" si="51"/>
        <v>2.0235882748327952E-4</v>
      </c>
      <c r="AS247" s="1">
        <f t="shared" si="52"/>
        <v>1.8304056966545406E-4</v>
      </c>
    </row>
    <row r="248" spans="35:45" ht="11.25" customHeight="1" x14ac:dyDescent="0.2">
      <c r="AI248" s="3" t="e">
        <f t="shared" si="45"/>
        <v>#N/A</v>
      </c>
      <c r="AJ248" s="3" t="e">
        <f t="shared" si="46"/>
        <v>#N/A</v>
      </c>
      <c r="AK248" s="1">
        <f t="shared" si="53"/>
        <v>35.849999999999838</v>
      </c>
      <c r="AL248" s="1">
        <f t="shared" si="43"/>
        <v>0.89492457782766166</v>
      </c>
      <c r="AM248" s="1">
        <f t="shared" si="47"/>
        <v>0.10558954999018155</v>
      </c>
      <c r="AN248" s="1">
        <f t="shared" si="48"/>
        <v>0</v>
      </c>
      <c r="AO248" s="1">
        <f t="shared" si="49"/>
        <v>0.10531204086512704</v>
      </c>
      <c r="AP248" s="1">
        <f t="shared" si="44"/>
        <v>3.9183495007359199</v>
      </c>
      <c r="AQ248" s="1">
        <f t="shared" si="50"/>
        <v>2.0745692943797793E-4</v>
      </c>
      <c r="AR248" s="1">
        <f t="shared" si="51"/>
        <v>2.0745692943797793E-4</v>
      </c>
      <c r="AS248" s="1">
        <f t="shared" si="52"/>
        <v>1.8765197949425271E-4</v>
      </c>
    </row>
    <row r="249" spans="35:45" ht="11.25" customHeight="1" x14ac:dyDescent="0.2">
      <c r="AI249" s="3" t="e">
        <f t="shared" si="45"/>
        <v>#N/A</v>
      </c>
      <c r="AJ249" s="3" t="e">
        <f t="shared" si="46"/>
        <v>#N/A</v>
      </c>
      <c r="AK249" s="1">
        <f t="shared" si="53"/>
        <v>35.999999999999837</v>
      </c>
      <c r="AL249" s="1">
        <f t="shared" si="43"/>
        <v>0.88543774484715654</v>
      </c>
      <c r="AM249" s="1">
        <f t="shared" si="47"/>
        <v>0.10648972509130772</v>
      </c>
      <c r="AN249" s="1">
        <f t="shared" si="48"/>
        <v>0</v>
      </c>
      <c r="AO249" s="1">
        <f t="shared" si="49"/>
        <v>0.10620985013739294</v>
      </c>
      <c r="AP249" s="1">
        <f t="shared" si="44"/>
        <v>3.9097251071172794</v>
      </c>
      <c r="AQ249" s="1">
        <f t="shared" si="50"/>
        <v>2.1267840503362383E-4</v>
      </c>
      <c r="AR249" s="1">
        <f t="shared" si="51"/>
        <v>2.1267840503362383E-4</v>
      </c>
      <c r="AS249" s="1">
        <f t="shared" si="52"/>
        <v>1.9237498505525428E-4</v>
      </c>
    </row>
    <row r="250" spans="35:45" ht="11.25" customHeight="1" x14ac:dyDescent="0.2">
      <c r="AI250" s="3" t="e">
        <f t="shared" si="45"/>
        <v>#N/A</v>
      </c>
      <c r="AJ250" s="3" t="e">
        <f t="shared" si="46"/>
        <v>#N/A</v>
      </c>
      <c r="AK250" s="1">
        <f t="shared" si="53"/>
        <v>36.149999999999835</v>
      </c>
      <c r="AL250" s="1">
        <f t="shared" si="43"/>
        <v>0.87595091186665153</v>
      </c>
      <c r="AM250" s="1">
        <f t="shared" si="47"/>
        <v>0.1073882395763448</v>
      </c>
      <c r="AN250" s="1">
        <f t="shared" si="48"/>
        <v>0</v>
      </c>
      <c r="AO250" s="1">
        <f t="shared" si="49"/>
        <v>0.10710600315798004</v>
      </c>
      <c r="AP250" s="1">
        <f t="shared" si="44"/>
        <v>3.901100713498638</v>
      </c>
      <c r="AQ250" s="1">
        <f t="shared" si="50"/>
        <v>2.180260799461084E-4</v>
      </c>
      <c r="AR250" s="1">
        <f t="shared" si="51"/>
        <v>2.180260799461084E-4</v>
      </c>
      <c r="AS250" s="1">
        <f t="shared" si="52"/>
        <v>1.9721214227019077E-4</v>
      </c>
    </row>
    <row r="251" spans="35:45" ht="11.25" customHeight="1" x14ac:dyDescent="0.2">
      <c r="AI251" s="3" t="e">
        <f t="shared" si="45"/>
        <v>#N/A</v>
      </c>
      <c r="AJ251" s="3" t="e">
        <f t="shared" si="46"/>
        <v>#N/A</v>
      </c>
      <c r="AK251" s="1">
        <f t="shared" si="53"/>
        <v>36.299999999999834</v>
      </c>
      <c r="AL251" s="1">
        <f t="shared" si="43"/>
        <v>0.86646407888614652</v>
      </c>
      <c r="AM251" s="1">
        <f t="shared" si="47"/>
        <v>0.10828491054715172</v>
      </c>
      <c r="AN251" s="1">
        <f t="shared" si="48"/>
        <v>0</v>
      </c>
      <c r="AO251" s="1">
        <f t="shared" si="49"/>
        <v>0.10800031750943785</v>
      </c>
      <c r="AP251" s="1">
        <f t="shared" si="44"/>
        <v>3.8924763198799965</v>
      </c>
      <c r="AQ251" s="1">
        <f t="shared" si="50"/>
        <v>2.2350283940546396E-4</v>
      </c>
      <c r="AR251" s="1">
        <f t="shared" si="51"/>
        <v>2.2350283940546396E-4</v>
      </c>
      <c r="AS251" s="1">
        <f t="shared" si="52"/>
        <v>2.0216606092957783E-4</v>
      </c>
    </row>
    <row r="252" spans="35:45" ht="11.25" customHeight="1" x14ac:dyDescent="0.2">
      <c r="AI252" s="3" t="e">
        <f t="shared" si="45"/>
        <v>#N/A</v>
      </c>
      <c r="AJ252" s="3" t="e">
        <f t="shared" si="46"/>
        <v>#N/A</v>
      </c>
      <c r="AK252" s="1">
        <f t="shared" si="53"/>
        <v>36.449999999999832</v>
      </c>
      <c r="AL252" s="1">
        <f t="shared" si="43"/>
        <v>0.85697724590564139</v>
      </c>
      <c r="AM252" s="1">
        <f t="shared" si="47"/>
        <v>0.10917955386879896</v>
      </c>
      <c r="AN252" s="1">
        <f t="shared" si="48"/>
        <v>0</v>
      </c>
      <c r="AO252" s="1">
        <f t="shared" si="49"/>
        <v>0.10889260954077797</v>
      </c>
      <c r="AP252" s="1">
        <f t="shared" si="44"/>
        <v>3.883851926261356</v>
      </c>
      <c r="AQ252" s="1">
        <f t="shared" si="50"/>
        <v>2.2911162984385128E-4</v>
      </c>
      <c r="AR252" s="1">
        <f t="shared" si="51"/>
        <v>2.2911162984385128E-4</v>
      </c>
      <c r="AS252" s="1">
        <f t="shared" si="52"/>
        <v>2.0723940618337655E-4</v>
      </c>
    </row>
    <row r="253" spans="35:45" ht="11.25" customHeight="1" x14ac:dyDescent="0.2">
      <c r="AI253" s="3" t="e">
        <f t="shared" si="45"/>
        <v>#N/A</v>
      </c>
      <c r="AJ253" s="3" t="e">
        <f t="shared" si="46"/>
        <v>#N/A</v>
      </c>
      <c r="AK253" s="1">
        <f t="shared" si="53"/>
        <v>36.599999999999831</v>
      </c>
      <c r="AL253" s="1">
        <f t="shared" si="43"/>
        <v>0.84749041292513638</v>
      </c>
      <c r="AM253" s="1">
        <f t="shared" si="47"/>
        <v>0.11007198423840237</v>
      </c>
      <c r="AN253" s="1">
        <f t="shared" si="48"/>
        <v>0</v>
      </c>
      <c r="AO253" s="1">
        <f t="shared" si="49"/>
        <v>0.10978269443612691</v>
      </c>
      <c r="AP253" s="1">
        <f t="shared" si="44"/>
        <v>3.8752275326427155</v>
      </c>
      <c r="AQ253" s="1">
        <f t="shared" si="50"/>
        <v>2.3485545953632302E-4</v>
      </c>
      <c r="AR253" s="1">
        <f t="shared" si="51"/>
        <v>2.3485545953632302E-4</v>
      </c>
      <c r="AS253" s="1">
        <f t="shared" si="52"/>
        <v>2.1243489912058607E-4</v>
      </c>
    </row>
    <row r="254" spans="35:45" ht="11.25" customHeight="1" x14ac:dyDescent="0.2">
      <c r="AI254" s="3" t="e">
        <f t="shared" si="45"/>
        <v>#N/A</v>
      </c>
      <c r="AJ254" s="3" t="e">
        <f t="shared" si="46"/>
        <v>#N/A</v>
      </c>
      <c r="AK254" s="1">
        <f t="shared" si="53"/>
        <v>36.749999999999829</v>
      </c>
      <c r="AL254" s="1">
        <f t="shared" si="43"/>
        <v>0.83800357994463137</v>
      </c>
      <c r="AM254" s="1">
        <f t="shared" si="47"/>
        <v>0.11096201521176852</v>
      </c>
      <c r="AN254" s="1">
        <f t="shared" si="48"/>
        <v>0</v>
      </c>
      <c r="AO254" s="1">
        <f t="shared" si="49"/>
        <v>0.11067038624130159</v>
      </c>
      <c r="AP254" s="1">
        <f t="shared" si="44"/>
        <v>3.866603139024074</v>
      </c>
      <c r="AQ254" s="1">
        <f t="shared" si="50"/>
        <v>2.4073740007642293E-4</v>
      </c>
      <c r="AR254" s="1">
        <f t="shared" si="51"/>
        <v>2.4073740007642293E-4</v>
      </c>
      <c r="AS254" s="1">
        <f t="shared" si="52"/>
        <v>2.1775531810397424E-4</v>
      </c>
    </row>
    <row r="255" spans="35:45" ht="11.25" customHeight="1" x14ac:dyDescent="0.2">
      <c r="AI255" s="3" t="e">
        <f t="shared" si="45"/>
        <v>#N/A</v>
      </c>
      <c r="AJ255" s="3" t="e">
        <f t="shared" si="46"/>
        <v>#N/A</v>
      </c>
      <c r="AK255" s="1">
        <f t="shared" si="53"/>
        <v>36.899999999999828</v>
      </c>
      <c r="AL255" s="1">
        <f t="shared" si="43"/>
        <v>0.82851674696412625</v>
      </c>
      <c r="AM255" s="1">
        <f t="shared" si="47"/>
        <v>0.11184945931441703</v>
      </c>
      <c r="AN255" s="1">
        <f t="shared" si="48"/>
        <v>0</v>
      </c>
      <c r="AO255" s="1">
        <f t="shared" si="49"/>
        <v>0.11155549797453965</v>
      </c>
      <c r="AP255" s="1">
        <f t="shared" si="44"/>
        <v>3.8579787454054331</v>
      </c>
      <c r="AQ255" s="1">
        <f t="shared" si="50"/>
        <v>2.4676058740184109E-4</v>
      </c>
      <c r="AR255" s="1">
        <f t="shared" si="51"/>
        <v>2.4676058740184109E-4</v>
      </c>
      <c r="AS255" s="1">
        <f t="shared" si="52"/>
        <v>2.2320349969781839E-4</v>
      </c>
    </row>
    <row r="256" spans="35:45" ht="11.25" customHeight="1" x14ac:dyDescent="0.2">
      <c r="AI256" s="3" t="e">
        <f t="shared" si="45"/>
        <v>#N/A</v>
      </c>
      <c r="AJ256" s="3" t="e">
        <f t="shared" si="46"/>
        <v>#N/A</v>
      </c>
      <c r="AK256" s="1">
        <f t="shared" si="53"/>
        <v>37.049999999999827</v>
      </c>
      <c r="AL256" s="1">
        <f t="shared" si="43"/>
        <v>0.81902991398362124</v>
      </c>
      <c r="AM256" s="1">
        <f t="shared" si="47"/>
        <v>0.11273412806600547</v>
      </c>
      <c r="AN256" s="1">
        <f t="shared" si="48"/>
        <v>0</v>
      </c>
      <c r="AO256" s="1">
        <f t="shared" si="49"/>
        <v>0.11243784165086032</v>
      </c>
      <c r="AP256" s="1">
        <f t="shared" si="44"/>
        <v>3.8493543517867925</v>
      </c>
      <c r="AQ256" s="1">
        <f t="shared" si="50"/>
        <v>2.5292822291331056E-4</v>
      </c>
      <c r="AR256" s="1">
        <f t="shared" si="51"/>
        <v>2.5292822291331056E-4</v>
      </c>
      <c r="AS256" s="1">
        <f t="shared" si="52"/>
        <v>2.2878233967998587E-4</v>
      </c>
    </row>
    <row r="257" spans="35:45" ht="11.25" customHeight="1" x14ac:dyDescent="0.2">
      <c r="AI257" s="3" t="e">
        <f t="shared" si="45"/>
        <v>#N/A</v>
      </c>
      <c r="AJ257" s="3" t="e">
        <f t="shared" si="46"/>
        <v>#N/A</v>
      </c>
      <c r="AK257" s="1">
        <f t="shared" si="53"/>
        <v>37.199999999999825</v>
      </c>
      <c r="AL257" s="1">
        <f t="shared" si="43"/>
        <v>0.80954308100311623</v>
      </c>
      <c r="AM257" s="1">
        <f t="shared" si="47"/>
        <v>0.11361583204250181</v>
      </c>
      <c r="AN257" s="1">
        <f t="shared" si="48"/>
        <v>0</v>
      </c>
      <c r="AO257" s="1">
        <f t="shared" si="49"/>
        <v>0.11331722834407344</v>
      </c>
      <c r="AP257" s="1">
        <f t="shared" si="44"/>
        <v>3.840729958168152</v>
      </c>
      <c r="AQ257" s="1">
        <f t="shared" si="50"/>
        <v>2.5924357491659625E-4</v>
      </c>
      <c r="AR257" s="1">
        <f t="shared" si="51"/>
        <v>2.5924357491659625E-4</v>
      </c>
      <c r="AS257" s="1">
        <f t="shared" si="52"/>
        <v>2.3449479434626327E-4</v>
      </c>
    </row>
    <row r="258" spans="35:45" ht="11.25" customHeight="1" x14ac:dyDescent="0.2">
      <c r="AI258" s="3" t="e">
        <f t="shared" si="45"/>
        <v>#N/A</v>
      </c>
      <c r="AJ258" s="3" t="e">
        <f t="shared" si="46"/>
        <v>#N/A</v>
      </c>
      <c r="AK258" s="1">
        <f t="shared" si="53"/>
        <v>37.349999999999824</v>
      </c>
      <c r="AL258" s="1">
        <f t="shared" si="43"/>
        <v>0.80005624802261111</v>
      </c>
      <c r="AM258" s="1">
        <f t="shared" si="47"/>
        <v>0.11449438099386811</v>
      </c>
      <c r="AN258" s="1">
        <f t="shared" si="48"/>
        <v>0</v>
      </c>
      <c r="AO258" s="1">
        <f t="shared" si="49"/>
        <v>0.11419346830415382</v>
      </c>
      <c r="AP258" s="1">
        <f t="shared" si="44"/>
        <v>3.8321055645495106</v>
      </c>
      <c r="AQ258" s="1">
        <f t="shared" si="50"/>
        <v>2.6570997955599295E-4</v>
      </c>
      <c r="AR258" s="1">
        <f t="shared" si="51"/>
        <v>2.6570997955599295E-4</v>
      </c>
      <c r="AS258" s="1">
        <f t="shared" si="52"/>
        <v>2.4034388135473739E-4</v>
      </c>
    </row>
    <row r="259" spans="35:45" ht="11.25" customHeight="1" x14ac:dyDescent="0.2">
      <c r="AI259" s="3" t="e">
        <f t="shared" si="45"/>
        <v>#N/A</v>
      </c>
      <c r="AJ259" s="3" t="e">
        <f t="shared" si="46"/>
        <v>#N/A</v>
      </c>
      <c r="AK259" s="1">
        <f t="shared" si="53"/>
        <v>37.499999999999822</v>
      </c>
      <c r="AL259" s="1">
        <f t="shared" si="43"/>
        <v>0.79056941504210609</v>
      </c>
      <c r="AM259" s="1">
        <f t="shared" si="47"/>
        <v>0.1153695838351787</v>
      </c>
      <c r="AN259" s="1">
        <f t="shared" si="48"/>
        <v>0</v>
      </c>
      <c r="AO259" s="1">
        <f t="shared" si="49"/>
        <v>0.11506637094838279</v>
      </c>
      <c r="AP259" s="1">
        <f t="shared" si="44"/>
        <v>3.8234811709308691</v>
      </c>
      <c r="AQ259" s="1">
        <f t="shared" si="50"/>
        <v>2.7233084229751412E-4</v>
      </c>
      <c r="AR259" s="1">
        <f t="shared" si="51"/>
        <v>2.7233084229751412E-4</v>
      </c>
      <c r="AS259" s="1">
        <f t="shared" si="52"/>
        <v>2.4633268106739116E-4</v>
      </c>
    </row>
    <row r="260" spans="35:45" ht="11.25" customHeight="1" x14ac:dyDescent="0.2">
      <c r="AI260" s="3" t="e">
        <f t="shared" si="45"/>
        <v>#N/A</v>
      </c>
      <c r="AJ260" s="3" t="e">
        <f t="shared" si="46"/>
        <v>#N/A</v>
      </c>
      <c r="AK260" s="1">
        <f t="shared" si="53"/>
        <v>37.649999999999821</v>
      </c>
      <c r="AL260" s="1">
        <f t="shared" si="43"/>
        <v>0.78108258206160108</v>
      </c>
      <c r="AM260" s="1">
        <f t="shared" si="47"/>
        <v>0.11624124878872877</v>
      </c>
      <c r="AN260" s="1">
        <f t="shared" si="48"/>
        <v>0</v>
      </c>
      <c r="AO260" s="1">
        <f t="shared" si="49"/>
        <v>0.11593574500308328</v>
      </c>
      <c r="AP260" s="1">
        <f t="shared" si="44"/>
        <v>3.8148567773122286</v>
      </c>
      <c r="AQ260" s="1">
        <f t="shared" si="50"/>
        <v>2.7910963901959894E-4</v>
      </c>
      <c r="AR260" s="1">
        <f t="shared" si="51"/>
        <v>2.7910963901959894E-4</v>
      </c>
      <c r="AS260" s="1">
        <f t="shared" si="52"/>
        <v>2.5246433753668576E-4</v>
      </c>
    </row>
    <row r="261" spans="35:45" ht="11.25" customHeight="1" x14ac:dyDescent="0.2">
      <c r="AI261" s="3" t="e">
        <f t="shared" si="45"/>
        <v>#N/A</v>
      </c>
      <c r="AJ261" s="3" t="e">
        <f t="shared" si="46"/>
        <v>#N/A</v>
      </c>
      <c r="AK261" s="1">
        <f t="shared" si="53"/>
        <v>37.79999999999982</v>
      </c>
      <c r="AL261" s="1">
        <f t="shared" si="43"/>
        <v>0.77159574908109596</v>
      </c>
      <c r="AM261" s="1">
        <f t="shared" si="47"/>
        <v>0.11710918338625476</v>
      </c>
      <c r="AN261" s="1">
        <f t="shared" si="48"/>
        <v>0</v>
      </c>
      <c r="AO261" s="1">
        <f t="shared" si="49"/>
        <v>0.11680139850583439</v>
      </c>
      <c r="AP261" s="1">
        <f t="shared" si="44"/>
        <v>3.8062323836935881</v>
      </c>
      <c r="AQ261" s="1">
        <f t="shared" si="50"/>
        <v>2.860499173336708E-4</v>
      </c>
      <c r="AR261" s="1">
        <f t="shared" si="51"/>
        <v>2.860499173336708E-4</v>
      </c>
      <c r="AS261" s="1">
        <f t="shared" si="52"/>
        <v>2.5874205970005161E-4</v>
      </c>
    </row>
    <row r="262" spans="35:45" ht="11.25" customHeight="1" x14ac:dyDescent="0.2">
      <c r="AI262" s="3" t="e">
        <f t="shared" si="45"/>
        <v>#N/A</v>
      </c>
      <c r="AJ262" s="3" t="e">
        <f t="shared" si="46"/>
        <v>#N/A</v>
      </c>
      <c r="AK262" s="1">
        <f t="shared" si="53"/>
        <v>37.949999999999818</v>
      </c>
      <c r="AL262" s="1">
        <f t="shared" si="43"/>
        <v>0.76210891610059095</v>
      </c>
      <c r="AM262" s="1">
        <f t="shared" si="47"/>
        <v>0.11797319458217714</v>
      </c>
      <c r="AN262" s="1">
        <f t="shared" si="48"/>
        <v>0</v>
      </c>
      <c r="AO262" s="1">
        <f t="shared" si="49"/>
        <v>0.11766313891841657</v>
      </c>
      <c r="AP262" s="1">
        <f t="shared" si="44"/>
        <v>3.7976079900749466</v>
      </c>
      <c r="AQ262" s="1">
        <f t="shared" si="50"/>
        <v>2.9315529782988556E-4</v>
      </c>
      <c r="AR262" s="1">
        <f t="shared" si="51"/>
        <v>2.9315529782988556E-4</v>
      </c>
      <c r="AS262" s="1">
        <f t="shared" si="52"/>
        <v>2.6516912250671077E-4</v>
      </c>
    </row>
    <row r="263" spans="35:45" ht="11.25" customHeight="1" x14ac:dyDescent="0.2">
      <c r="AI263" s="3" t="e">
        <f t="shared" si="45"/>
        <v>#N/A</v>
      </c>
      <c r="AJ263" s="3" t="e">
        <f t="shared" si="46"/>
        <v>#N/A</v>
      </c>
      <c r="AK263" s="1">
        <f t="shared" si="53"/>
        <v>38.099999999999817</v>
      </c>
      <c r="AL263" s="1">
        <f t="shared" si="43"/>
        <v>0.75262208312008594</v>
      </c>
      <c r="AM263" s="1">
        <f t="shared" si="47"/>
        <v>0.11883308881133203</v>
      </c>
      <c r="AN263" s="1">
        <f t="shared" si="48"/>
        <v>0</v>
      </c>
      <c r="AO263" s="1">
        <f t="shared" si="49"/>
        <v>0.11852077318439144</v>
      </c>
      <c r="AP263" s="1">
        <f t="shared" si="44"/>
        <v>3.7889835964563052</v>
      </c>
      <c r="AQ263" s="1">
        <f t="shared" si="50"/>
        <v>3.0042947561995104E-4</v>
      </c>
      <c r="AR263" s="1">
        <f t="shared" si="51"/>
        <v>3.0042947561995104E-4</v>
      </c>
      <c r="AS263" s="1">
        <f t="shared" si="52"/>
        <v>2.7174886831321087E-4</v>
      </c>
    </row>
    <row r="264" spans="35:45" ht="11.25" customHeight="1" x14ac:dyDescent="0.2">
      <c r="AI264" s="3" t="e">
        <f t="shared" si="45"/>
        <v>#N/A</v>
      </c>
      <c r="AJ264" s="3" t="e">
        <f t="shared" si="46"/>
        <v>#N/A</v>
      </c>
      <c r="AK264" s="1">
        <f t="shared" si="53"/>
        <v>38.249999999999815</v>
      </c>
      <c r="AL264" s="1">
        <f t="shared" si="43"/>
        <v>0.74313525013958082</v>
      </c>
      <c r="AM264" s="1">
        <f t="shared" si="47"/>
        <v>0.11968867206446632</v>
      </c>
      <c r="AN264" s="1">
        <f t="shared" si="48"/>
        <v>0</v>
      </c>
      <c r="AO264" s="1">
        <f t="shared" si="49"/>
        <v>0.11937410780439858</v>
      </c>
      <c r="AP264" s="1">
        <f t="shared" si="44"/>
        <v>3.7803592028376647</v>
      </c>
      <c r="AQ264" s="1">
        <f t="shared" si="50"/>
        <v>3.0787622119473126E-4</v>
      </c>
      <c r="AR264" s="1">
        <f t="shared" si="51"/>
        <v>3.0787622119473126E-4</v>
      </c>
      <c r="AS264" s="1">
        <f t="shared" si="52"/>
        <v>2.7848470765915736E-4</v>
      </c>
    </row>
    <row r="265" spans="35:45" ht="11.25" customHeight="1" x14ac:dyDescent="0.2">
      <c r="AI265" s="3" t="e">
        <f t="shared" si="45"/>
        <v>#N/A</v>
      </c>
      <c r="AJ265" s="3" t="e">
        <f t="shared" si="46"/>
        <v>#N/A</v>
      </c>
      <c r="AK265" s="1">
        <f t="shared" si="53"/>
        <v>38.399999999999814</v>
      </c>
      <c r="AL265" s="1">
        <f t="shared" ref="AL265:AL328" si="54">ABS(($AL$5-AK265)/$AL$6)</f>
        <v>0.73364841715907581</v>
      </c>
      <c r="AM265" s="1">
        <f t="shared" si="47"/>
        <v>0.12053974994152838</v>
      </c>
      <c r="AN265" s="1">
        <f t="shared" si="48"/>
        <v>0</v>
      </c>
      <c r="AO265" s="1">
        <f t="shared" si="49"/>
        <v>0.12022294888930614</v>
      </c>
      <c r="AP265" s="1">
        <f t="shared" ref="AP265:AP328" si="55">ABS(($AP$5-AK265)/$AP$6)</f>
        <v>3.7717348092190242</v>
      </c>
      <c r="AQ265" s="1">
        <f t="shared" si="50"/>
        <v>3.1549938222727447E-4</v>
      </c>
      <c r="AR265" s="1">
        <f t="shared" si="51"/>
        <v>3.1549938222727447E-4</v>
      </c>
      <c r="AS265" s="1">
        <f t="shared" si="52"/>
        <v>2.8538012089811526E-4</v>
      </c>
    </row>
    <row r="266" spans="35:45" ht="11.25" customHeight="1" x14ac:dyDescent="0.2">
      <c r="AI266" s="3" t="e">
        <f t="shared" ref="AI266:AI329" si="56">IF($M$18,AI265,NA())</f>
        <v>#N/A</v>
      </c>
      <c r="AJ266" s="3" t="e">
        <f t="shared" ref="AJ266:AJ329" si="57">IF($M$18,AJ265,NA())</f>
        <v>#N/A</v>
      </c>
      <c r="AK266" s="1">
        <f t="shared" si="53"/>
        <v>38.549999999999812</v>
      </c>
      <c r="AL266" s="1">
        <f t="shared" si="54"/>
        <v>0.72416158417857079</v>
      </c>
      <c r="AM266" s="1">
        <f t="shared" ref="AM266:AM329" si="58">$AL$3*ABS((TDIST(AL266,$AL$7,1)-TDIST(AL266+$AL$1,$AL$7,1))/($AL$1))</f>
        <v>0.12138612774048596</v>
      </c>
      <c r="AN266" s="1">
        <f t="shared" ref="AN266:AN329" si="59">IF(($D$10&gt;$AJ$5)=($D$10&gt;AK266),AM266,0)</f>
        <v>0</v>
      </c>
      <c r="AO266" s="1">
        <f t="shared" ref="AO266:AO329" si="60">AM266*$AN$5/$AN$7</f>
        <v>0.12106710224879526</v>
      </c>
      <c r="AP266" s="1">
        <f t="shared" si="55"/>
        <v>3.7631104156003827</v>
      </c>
      <c r="AQ266" s="1">
        <f t="shared" ref="AQ266:AQ329" si="61">$AL$3*ABS((TDIST(AP266,$AP$7,1)-TDIST(AP266+$AL$1,$AP$7,1))/($AL$1))</f>
        <v>3.2330288478495117E-4</v>
      </c>
      <c r="AR266" s="1">
        <f t="shared" ref="AR266:AR329" si="62">IF(($D$19&gt;$AJ$5)=($D$19&gt;AK266),AQ266,0)</f>
        <v>3.2330288478495117E-4</v>
      </c>
      <c r="AS266" s="1">
        <f t="shared" ref="AS266:AS329" si="63">AQ266*$AN$5/$AR$7</f>
        <v>2.9243865929402975E-4</v>
      </c>
    </row>
    <row r="267" spans="35:45" ht="11.25" customHeight="1" x14ac:dyDescent="0.2">
      <c r="AI267" s="3" t="e">
        <f t="shared" si="56"/>
        <v>#N/A</v>
      </c>
      <c r="AJ267" s="3" t="e">
        <f t="shared" si="57"/>
        <v>#N/A</v>
      </c>
      <c r="AK267" s="1">
        <f t="shared" si="53"/>
        <v>38.699999999999811</v>
      </c>
      <c r="AL267" s="1">
        <f t="shared" si="54"/>
        <v>0.71467475119806567</v>
      </c>
      <c r="AM267" s="1">
        <f t="shared" si="58"/>
        <v>0.12222761055502573</v>
      </c>
      <c r="AN267" s="1">
        <f t="shared" si="59"/>
        <v>0</v>
      </c>
      <c r="AO267" s="1">
        <f t="shared" si="60"/>
        <v>0.12190637348880295</v>
      </c>
      <c r="AP267" s="1">
        <f t="shared" si="55"/>
        <v>3.7544860219817413</v>
      </c>
      <c r="AQ267" s="1">
        <f t="shared" si="61"/>
        <v>3.3129073438763548E-4</v>
      </c>
      <c r="AR267" s="1">
        <f t="shared" si="62"/>
        <v>3.3129073438763548E-4</v>
      </c>
      <c r="AS267" s="1">
        <f t="shared" si="63"/>
        <v>2.9966394597838811E-4</v>
      </c>
    </row>
    <row r="268" spans="35:45" ht="11.25" customHeight="1" x14ac:dyDescent="0.2">
      <c r="AI268" s="3" t="e">
        <f t="shared" si="56"/>
        <v>#N/A</v>
      </c>
      <c r="AJ268" s="3" t="e">
        <f t="shared" si="57"/>
        <v>#N/A</v>
      </c>
      <c r="AK268" s="1">
        <f t="shared" si="53"/>
        <v>38.84999999999981</v>
      </c>
      <c r="AL268" s="1">
        <f t="shared" si="54"/>
        <v>0.70518791821756066</v>
      </c>
      <c r="AM268" s="1">
        <f t="shared" si="58"/>
        <v>0.12306400327899425</v>
      </c>
      <c r="AN268" s="1">
        <f t="shared" si="59"/>
        <v>0</v>
      </c>
      <c r="AO268" s="1">
        <f t="shared" si="60"/>
        <v>0.12274056801595132</v>
      </c>
      <c r="AP268" s="1">
        <f t="shared" si="55"/>
        <v>3.7458616283631008</v>
      </c>
      <c r="AQ268" s="1">
        <f t="shared" si="61"/>
        <v>3.3946701797227946E-4</v>
      </c>
      <c r="AR268" s="1">
        <f t="shared" si="62"/>
        <v>3.3946701797227946E-4</v>
      </c>
      <c r="AS268" s="1">
        <f t="shared" si="63"/>
        <v>3.0705967772724492E-4</v>
      </c>
    </row>
    <row r="269" spans="35:45" ht="11.25" customHeight="1" x14ac:dyDescent="0.2">
      <c r="AI269" s="3" t="e">
        <f t="shared" si="56"/>
        <v>#N/A</v>
      </c>
      <c r="AJ269" s="3" t="e">
        <f t="shared" si="57"/>
        <v>#N/A</v>
      </c>
      <c r="AK269" s="1">
        <f t="shared" si="53"/>
        <v>38.999999999999808</v>
      </c>
      <c r="AL269" s="1">
        <f t="shared" si="54"/>
        <v>0.69570108523705565</v>
      </c>
      <c r="AM269" s="1">
        <f t="shared" si="58"/>
        <v>0.12389511078403359</v>
      </c>
      <c r="AN269" s="1">
        <f t="shared" si="59"/>
        <v>0</v>
      </c>
      <c r="AO269" s="1">
        <f t="shared" si="60"/>
        <v>0.1235694912147163</v>
      </c>
      <c r="AP269" s="1">
        <f t="shared" si="55"/>
        <v>3.7372372347444602</v>
      </c>
      <c r="AQ269" s="1">
        <f t="shared" si="61"/>
        <v>3.4783590500964134E-4</v>
      </c>
      <c r="AR269" s="1">
        <f t="shared" si="62"/>
        <v>3.4783590500964134E-4</v>
      </c>
      <c r="AS269" s="1">
        <f t="shared" si="63"/>
        <v>3.1462962597134179E-4</v>
      </c>
    </row>
    <row r="270" spans="35:45" ht="11.25" customHeight="1" x14ac:dyDescent="0.2">
      <c r="AI270" s="3" t="e">
        <f t="shared" si="56"/>
        <v>#N/A</v>
      </c>
      <c r="AJ270" s="3" t="e">
        <f t="shared" si="57"/>
        <v>#N/A</v>
      </c>
      <c r="AK270" s="1">
        <f t="shared" si="53"/>
        <v>39.149999999999807</v>
      </c>
      <c r="AL270" s="1">
        <f t="shared" si="54"/>
        <v>0.68621425225655053</v>
      </c>
      <c r="AM270" s="1">
        <f t="shared" si="58"/>
        <v>0.1247207378818338</v>
      </c>
      <c r="AN270" s="1">
        <f t="shared" si="59"/>
        <v>0</v>
      </c>
      <c r="AO270" s="1">
        <f t="shared" si="60"/>
        <v>0.12439294840977942</v>
      </c>
      <c r="AP270" s="1">
        <f t="shared" si="55"/>
        <v>3.7286128411258188</v>
      </c>
      <c r="AQ270" s="1">
        <f t="shared" si="61"/>
        <v>3.5640164867522389E-4</v>
      </c>
      <c r="AR270" s="1">
        <f t="shared" si="62"/>
        <v>3.5640164867522389E-4</v>
      </c>
      <c r="AS270" s="1">
        <f t="shared" si="63"/>
        <v>3.2237763785526139E-4</v>
      </c>
    </row>
    <row r="271" spans="35:45" ht="11.25" customHeight="1" x14ac:dyDescent="0.2">
      <c r="AI271" s="3" t="e">
        <f t="shared" si="56"/>
        <v>#N/A</v>
      </c>
      <c r="AJ271" s="3" t="e">
        <f t="shared" si="57"/>
        <v>#N/A</v>
      </c>
      <c r="AK271" s="1">
        <f t="shared" si="53"/>
        <v>39.299999999999805</v>
      </c>
      <c r="AL271" s="1">
        <f t="shared" si="54"/>
        <v>0.67672741927604552</v>
      </c>
      <c r="AM271" s="1">
        <f t="shared" si="58"/>
        <v>0.12554068948844588</v>
      </c>
      <c r="AN271" s="1">
        <f t="shared" si="59"/>
        <v>0</v>
      </c>
      <c r="AO271" s="1">
        <f t="shared" si="60"/>
        <v>0.12521074502990884</v>
      </c>
      <c r="AP271" s="1">
        <f t="shared" si="55"/>
        <v>3.7199884475071774</v>
      </c>
      <c r="AQ271" s="1">
        <f t="shared" si="61"/>
        <v>3.6516858791359533E-4</v>
      </c>
      <c r="AR271" s="1">
        <f t="shared" si="62"/>
        <v>3.6516858791359533E-4</v>
      </c>
      <c r="AS271" s="1">
        <f t="shared" si="63"/>
        <v>3.3030763810467739E-4</v>
      </c>
    </row>
    <row r="272" spans="35:45" ht="11.25" customHeight="1" x14ac:dyDescent="0.2">
      <c r="AI272" s="3" t="e">
        <f t="shared" si="56"/>
        <v>#N/A</v>
      </c>
      <c r="AJ272" s="3" t="e">
        <f t="shared" si="57"/>
        <v>#N/A</v>
      </c>
      <c r="AK272" s="1">
        <f t="shared" si="53"/>
        <v>39.449999999999804</v>
      </c>
      <c r="AL272" s="1">
        <f t="shared" si="54"/>
        <v>0.66724058629554051</v>
      </c>
      <c r="AM272" s="1">
        <f t="shared" si="58"/>
        <v>0.1263547706775725</v>
      </c>
      <c r="AN272" s="1">
        <f t="shared" si="59"/>
        <v>0</v>
      </c>
      <c r="AO272" s="1">
        <f t="shared" si="60"/>
        <v>0.12602268666111011</v>
      </c>
      <c r="AP272" s="1">
        <f t="shared" si="55"/>
        <v>3.7113640538885369</v>
      </c>
      <c r="AQ272" s="1">
        <f t="shared" si="61"/>
        <v>3.7414114815829957E-4</v>
      </c>
      <c r="AR272" s="1">
        <f t="shared" si="62"/>
        <v>3.7414114815829957E-4</v>
      </c>
      <c r="AS272" s="1">
        <f t="shared" si="63"/>
        <v>3.3842362967753811E-4</v>
      </c>
    </row>
    <row r="273" spans="35:45" ht="11.25" customHeight="1" x14ac:dyDescent="0.2">
      <c r="AI273" s="3" t="e">
        <f t="shared" si="56"/>
        <v>#N/A</v>
      </c>
      <c r="AJ273" s="3" t="e">
        <f t="shared" si="57"/>
        <v>#N/A</v>
      </c>
      <c r="AK273" s="1">
        <f t="shared" si="53"/>
        <v>39.599999999999802</v>
      </c>
      <c r="AL273" s="1">
        <f t="shared" si="54"/>
        <v>0.65775375331503538</v>
      </c>
      <c r="AM273" s="1">
        <f t="shared" si="58"/>
        <v>0.12716278672719739</v>
      </c>
      <c r="AN273" s="1">
        <f t="shared" si="59"/>
        <v>0</v>
      </c>
      <c r="AO273" s="1">
        <f t="shared" si="60"/>
        <v>0.12682857909313283</v>
      </c>
      <c r="AP273" s="1">
        <f t="shared" si="55"/>
        <v>3.7027396602698963</v>
      </c>
      <c r="AQ273" s="1">
        <f t="shared" si="61"/>
        <v>3.8332384353495508E-4</v>
      </c>
      <c r="AR273" s="1">
        <f t="shared" si="62"/>
        <v>3.8332384353495508E-4</v>
      </c>
      <c r="AS273" s="1">
        <f t="shared" si="63"/>
        <v>3.4672969575684585E-4</v>
      </c>
    </row>
    <row r="274" spans="35:45" ht="11.25" customHeight="1" x14ac:dyDescent="0.2">
      <c r="AI274" s="3" t="e">
        <f t="shared" si="56"/>
        <v>#N/A</v>
      </c>
      <c r="AJ274" s="3" t="e">
        <f t="shared" si="57"/>
        <v>#N/A</v>
      </c>
      <c r="AK274" s="1">
        <f t="shared" si="53"/>
        <v>39.749999999999801</v>
      </c>
      <c r="AL274" s="1">
        <f t="shared" si="54"/>
        <v>0.64826692033453037</v>
      </c>
      <c r="AM274" s="1">
        <f t="shared" si="58"/>
        <v>0.12796454325059159</v>
      </c>
      <c r="AN274" s="1">
        <f t="shared" si="59"/>
        <v>0</v>
      </c>
      <c r="AO274" s="1">
        <f t="shared" si="60"/>
        <v>0.12762822845013289</v>
      </c>
      <c r="AP274" s="1">
        <f t="shared" si="55"/>
        <v>3.6941152666512553</v>
      </c>
      <c r="AQ274" s="1">
        <f t="shared" si="61"/>
        <v>3.9272127802351953E-4</v>
      </c>
      <c r="AR274" s="1">
        <f t="shared" si="62"/>
        <v>3.9272127802351953E-4</v>
      </c>
      <c r="AS274" s="1">
        <f t="shared" si="63"/>
        <v>3.5523000080196548E-4</v>
      </c>
    </row>
    <row r="275" spans="35:45" ht="11.25" customHeight="1" x14ac:dyDescent="0.2">
      <c r="AI275" s="3" t="e">
        <f t="shared" si="56"/>
        <v>#N/A</v>
      </c>
      <c r="AJ275" s="3" t="e">
        <f t="shared" si="57"/>
        <v>#N/A</v>
      </c>
      <c r="AK275" s="1">
        <f t="shared" si="53"/>
        <v>39.8999999999998</v>
      </c>
      <c r="AL275" s="1">
        <f t="shared" si="54"/>
        <v>0.63878008735402536</v>
      </c>
      <c r="AM275" s="1">
        <f t="shared" si="58"/>
        <v>0.12875984621185665</v>
      </c>
      <c r="AN275" s="1">
        <f t="shared" si="59"/>
        <v>0</v>
      </c>
      <c r="AO275" s="1">
        <f t="shared" si="60"/>
        <v>0.12842144120617446</v>
      </c>
      <c r="AP275" s="1">
        <f t="shared" si="55"/>
        <v>3.6854908730326139</v>
      </c>
      <c r="AQ275" s="1">
        <f t="shared" si="61"/>
        <v>4.0233814665308065E-4</v>
      </c>
      <c r="AR275" s="1">
        <f t="shared" si="62"/>
        <v>4.0233814665308065E-4</v>
      </c>
      <c r="AS275" s="1">
        <f t="shared" si="63"/>
        <v>3.6392879162935426E-4</v>
      </c>
    </row>
    <row r="276" spans="35:45" ht="11.25" customHeight="1" x14ac:dyDescent="0.2">
      <c r="AI276" s="3" t="e">
        <f t="shared" si="56"/>
        <v>#N/A</v>
      </c>
      <c r="AJ276" s="3" t="e">
        <f t="shared" si="57"/>
        <v>#N/A</v>
      </c>
      <c r="AK276" s="1">
        <f t="shared" si="53"/>
        <v>40.049999999999798</v>
      </c>
      <c r="AL276" s="1">
        <f t="shared" si="54"/>
        <v>0.62929325437352024</v>
      </c>
      <c r="AM276" s="1">
        <f t="shared" si="58"/>
        <v>0.12954850207691493</v>
      </c>
      <c r="AN276" s="1">
        <f t="shared" si="59"/>
        <v>0</v>
      </c>
      <c r="AO276" s="1">
        <f t="shared" si="60"/>
        <v>0.12920802433582379</v>
      </c>
      <c r="AP276" s="1">
        <f t="shared" si="55"/>
        <v>3.6768664794139734</v>
      </c>
      <c r="AQ276" s="1">
        <f t="shared" si="61"/>
        <v>4.1217923783072249E-4</v>
      </c>
      <c r="AR276" s="1">
        <f t="shared" si="62"/>
        <v>4.1217923783072249E-4</v>
      </c>
      <c r="AS276" s="1">
        <f t="shared" si="63"/>
        <v>3.7283039951910188E-4</v>
      </c>
    </row>
    <row r="277" spans="35:45" ht="11.25" customHeight="1" x14ac:dyDescent="0.2">
      <c r="AI277" s="3" t="e">
        <f t="shared" si="56"/>
        <v>#N/A</v>
      </c>
      <c r="AJ277" s="3" t="e">
        <f t="shared" si="57"/>
        <v>#N/A</v>
      </c>
      <c r="AK277" s="1">
        <f t="shared" si="53"/>
        <v>40.199999999999797</v>
      </c>
      <c r="AL277" s="1">
        <f t="shared" si="54"/>
        <v>0.61980642139301523</v>
      </c>
      <c r="AM277" s="1">
        <f t="shared" si="58"/>
        <v>0.13033031783127313</v>
      </c>
      <c r="AN277" s="1">
        <f t="shared" si="59"/>
        <v>0</v>
      </c>
      <c r="AO277" s="1">
        <f t="shared" si="60"/>
        <v>0.12998778533186578</v>
      </c>
      <c r="AP277" s="1">
        <f t="shared" si="55"/>
        <v>3.6682420857953324</v>
      </c>
      <c r="AQ277" s="1">
        <f t="shared" si="61"/>
        <v>4.2224943428044448E-4</v>
      </c>
      <c r="AR277" s="1">
        <f t="shared" si="62"/>
        <v>4.2224943428044448E-4</v>
      </c>
      <c r="AS277" s="1">
        <f t="shared" si="63"/>
        <v>3.8193924106421539E-4</v>
      </c>
    </row>
    <row r="278" spans="35:45" ht="11.25" customHeight="1" x14ac:dyDescent="0.2">
      <c r="AI278" s="3" t="e">
        <f t="shared" si="56"/>
        <v>#N/A</v>
      </c>
      <c r="AJ278" s="3" t="e">
        <f t="shared" si="57"/>
        <v>#N/A</v>
      </c>
      <c r="AK278" s="1">
        <f t="shared" si="53"/>
        <v>40.349999999999795</v>
      </c>
      <c r="AL278" s="1">
        <f t="shared" si="54"/>
        <v>0.61031958841251022</v>
      </c>
      <c r="AM278" s="1">
        <f t="shared" si="58"/>
        <v>0.1311051011021469</v>
      </c>
      <c r="AN278" s="1">
        <f t="shared" si="59"/>
        <v>0</v>
      </c>
      <c r="AO278" s="1">
        <f t="shared" si="60"/>
        <v>0.13076053232710785</v>
      </c>
      <c r="AP278" s="1">
        <f t="shared" si="55"/>
        <v>3.6596176921766914</v>
      </c>
      <c r="AQ278" s="1">
        <f t="shared" si="61"/>
        <v>4.325537144764767E-4</v>
      </c>
      <c r="AR278" s="1">
        <f t="shared" si="62"/>
        <v>4.325537144764767E-4</v>
      </c>
      <c r="AS278" s="1">
        <f t="shared" si="63"/>
        <v>3.9125981946710239E-4</v>
      </c>
    </row>
    <row r="279" spans="35:45" ht="11.25" customHeight="1" x14ac:dyDescent="0.2">
      <c r="AI279" s="3" t="e">
        <f t="shared" si="56"/>
        <v>#N/A</v>
      </c>
      <c r="AJ279" s="3" t="e">
        <f t="shared" si="57"/>
        <v>#N/A</v>
      </c>
      <c r="AK279" s="1">
        <f t="shared" si="53"/>
        <v>40.499999999999794</v>
      </c>
      <c r="AL279" s="1">
        <f t="shared" si="54"/>
        <v>0.60083275543200509</v>
      </c>
      <c r="AM279" s="1">
        <f t="shared" si="58"/>
        <v>0.13187266021841282</v>
      </c>
      <c r="AN279" s="1">
        <f t="shared" si="59"/>
        <v>0</v>
      </c>
      <c r="AO279" s="1">
        <f t="shared" si="60"/>
        <v>0.13152607415417422</v>
      </c>
      <c r="AP279" s="1">
        <f t="shared" si="55"/>
        <v>3.6509932985580504</v>
      </c>
      <c r="AQ279" s="1">
        <f t="shared" si="61"/>
        <v>4.4309715505888234E-4</v>
      </c>
      <c r="AR279" s="1">
        <f t="shared" si="62"/>
        <v>4.4309715505888234E-4</v>
      </c>
      <c r="AS279" s="1">
        <f t="shared" si="63"/>
        <v>4.0079672672456738E-4</v>
      </c>
    </row>
    <row r="280" spans="35:45" ht="11.25" customHeight="1" x14ac:dyDescent="0.2">
      <c r="AI280" s="3" t="e">
        <f t="shared" si="56"/>
        <v>#N/A</v>
      </c>
      <c r="AJ280" s="3" t="e">
        <f t="shared" si="57"/>
        <v>#N/A</v>
      </c>
      <c r="AK280" s="1">
        <f t="shared" si="53"/>
        <v>40.649999999999793</v>
      </c>
      <c r="AL280" s="1">
        <f t="shared" si="54"/>
        <v>0.59134592245150008</v>
      </c>
      <c r="AM280" s="1">
        <f t="shared" si="58"/>
        <v>0.13263280429942625</v>
      </c>
      <c r="AN280" s="1">
        <f t="shared" si="59"/>
        <v>0</v>
      </c>
      <c r="AO280" s="1">
        <f t="shared" si="60"/>
        <v>0.1322842204340903</v>
      </c>
      <c r="AP280" s="1">
        <f t="shared" si="55"/>
        <v>3.6423689049394095</v>
      </c>
      <c r="AQ280" s="1">
        <f t="shared" si="61"/>
        <v>4.5388493152744708E-4</v>
      </c>
      <c r="AR280" s="1">
        <f t="shared" si="62"/>
        <v>4.5388493152744708E-4</v>
      </c>
      <c r="AS280" s="1">
        <f t="shared" si="63"/>
        <v>4.1055464425545854E-4</v>
      </c>
    </row>
    <row r="281" spans="35:45" ht="11.25" customHeight="1" x14ac:dyDescent="0.2">
      <c r="AI281" s="3" t="e">
        <f t="shared" si="56"/>
        <v>#N/A</v>
      </c>
      <c r="AJ281" s="3" t="e">
        <f t="shared" si="57"/>
        <v>#N/A</v>
      </c>
      <c r="AK281" s="1">
        <f t="shared" si="53"/>
        <v>40.799999999999791</v>
      </c>
      <c r="AL281" s="1">
        <f t="shared" si="54"/>
        <v>0.58185908947099507</v>
      </c>
      <c r="AM281" s="1">
        <f t="shared" si="58"/>
        <v>0.13338534331053253</v>
      </c>
      <c r="AN281" s="1">
        <f t="shared" si="59"/>
        <v>0</v>
      </c>
      <c r="AO281" s="1">
        <f t="shared" si="60"/>
        <v>0.13303478163164817</v>
      </c>
      <c r="AP281" s="1">
        <f t="shared" si="55"/>
        <v>3.6337445113207685</v>
      </c>
      <c r="AQ281" s="1">
        <f t="shared" si="61"/>
        <v>4.6492232050983004E-4</v>
      </c>
      <c r="AR281" s="1">
        <f t="shared" si="62"/>
        <v>4.6492232050983004E-4</v>
      </c>
      <c r="AS281" s="1">
        <f t="shared" si="63"/>
        <v>4.2053834495228882E-4</v>
      </c>
    </row>
    <row r="282" spans="35:45" ht="11.25" customHeight="1" x14ac:dyDescent="0.2">
      <c r="AI282" s="3" t="e">
        <f t="shared" si="56"/>
        <v>#N/A</v>
      </c>
      <c r="AJ282" s="3" t="e">
        <f t="shared" si="57"/>
        <v>#N/A</v>
      </c>
      <c r="AK282" s="1">
        <f t="shared" si="53"/>
        <v>40.94999999999979</v>
      </c>
      <c r="AL282" s="1">
        <f t="shared" si="54"/>
        <v>0.57237225649048995</v>
      </c>
      <c r="AM282" s="1">
        <f t="shared" si="58"/>
        <v>0.13413008819407324</v>
      </c>
      <c r="AN282" s="1">
        <f t="shared" si="59"/>
        <v>0</v>
      </c>
      <c r="AO282" s="1">
        <f t="shared" si="60"/>
        <v>0.13377756918606834</v>
      </c>
      <c r="AP282" s="1">
        <f t="shared" si="55"/>
        <v>3.6251201177021275</v>
      </c>
      <c r="AQ282" s="1">
        <f t="shared" si="61"/>
        <v>4.7621470112765851E-4</v>
      </c>
      <c r="AR282" s="1">
        <f t="shared" si="62"/>
        <v>4.7621470112765851E-4</v>
      </c>
      <c r="AS282" s="1">
        <f t="shared" si="63"/>
        <v>4.3075269441691618E-4</v>
      </c>
    </row>
    <row r="283" spans="35:45" ht="11.25" customHeight="1" x14ac:dyDescent="0.2">
      <c r="AI283" s="3" t="e">
        <f t="shared" si="56"/>
        <v>#N/A</v>
      </c>
      <c r="AJ283" s="3" t="e">
        <f t="shared" si="57"/>
        <v>#N/A</v>
      </c>
      <c r="AK283" s="1">
        <f t="shared" si="53"/>
        <v>41.099999999999788</v>
      </c>
      <c r="AL283" s="1">
        <f t="shared" si="54"/>
        <v>0.56288542350998494</v>
      </c>
      <c r="AM283" s="1">
        <f t="shared" si="58"/>
        <v>0.13486685090047246</v>
      </c>
      <c r="AN283" s="1">
        <f t="shared" si="59"/>
        <v>0</v>
      </c>
      <c r="AO283" s="1">
        <f t="shared" si="60"/>
        <v>0.13451239554200442</v>
      </c>
      <c r="AP283" s="1">
        <f t="shared" si="55"/>
        <v>3.6164957240834865</v>
      </c>
      <c r="AQ283" s="1">
        <f t="shared" si="61"/>
        <v>4.8776755644502207E-4</v>
      </c>
      <c r="AR283" s="1">
        <f t="shared" si="62"/>
        <v>4.8776755644502207E-4</v>
      </c>
      <c r="AS283" s="1">
        <f t="shared" si="63"/>
        <v>4.4120265227075642E-4</v>
      </c>
    </row>
    <row r="284" spans="35:45" ht="11.25" customHeight="1" x14ac:dyDescent="0.2">
      <c r="AI284" s="3" t="e">
        <f t="shared" si="56"/>
        <v>#N/A</v>
      </c>
      <c r="AJ284" s="3" t="e">
        <f t="shared" si="57"/>
        <v>#N/A</v>
      </c>
      <c r="AK284" s="1">
        <f t="shared" si="53"/>
        <v>41.249999999999787</v>
      </c>
      <c r="AL284" s="1">
        <f t="shared" si="54"/>
        <v>0.55339859052947993</v>
      </c>
      <c r="AM284" s="1">
        <f t="shared" si="58"/>
        <v>0.13559544451036132</v>
      </c>
      <c r="AN284" s="1">
        <f t="shared" si="59"/>
        <v>0</v>
      </c>
      <c r="AO284" s="1">
        <f t="shared" si="60"/>
        <v>0.13523907427134668</v>
      </c>
      <c r="AP284" s="1">
        <f t="shared" si="55"/>
        <v>3.6078713304648455</v>
      </c>
      <c r="AQ284" s="1">
        <f t="shared" si="61"/>
        <v>4.9958647585805413E-4</v>
      </c>
      <c r="AR284" s="1">
        <f t="shared" si="62"/>
        <v>4.9958647585805413E-4</v>
      </c>
      <c r="AS284" s="1">
        <f t="shared" si="63"/>
        <v>4.518932743162426E-4</v>
      </c>
    </row>
    <row r="285" spans="35:45" ht="11.25" customHeight="1" x14ac:dyDescent="0.2">
      <c r="AI285" s="3" t="e">
        <f t="shared" si="56"/>
        <v>#N/A</v>
      </c>
      <c r="AJ285" s="3" t="e">
        <f t="shared" si="57"/>
        <v>#N/A</v>
      </c>
      <c r="AK285" s="1">
        <f t="shared" si="53"/>
        <v>41.399999999999785</v>
      </c>
      <c r="AL285" s="1">
        <f t="shared" si="54"/>
        <v>0.54391175754897481</v>
      </c>
      <c r="AM285" s="1">
        <f t="shared" si="58"/>
        <v>0.13631568328564822</v>
      </c>
      <c r="AN285" s="1">
        <f t="shared" si="59"/>
        <v>0</v>
      </c>
      <c r="AO285" s="1">
        <f t="shared" si="60"/>
        <v>0.13595742012415804</v>
      </c>
      <c r="AP285" s="1">
        <f t="shared" si="55"/>
        <v>3.5992469368462046</v>
      </c>
      <c r="AQ285" s="1">
        <f t="shared" si="61"/>
        <v>5.1167715581701065E-4</v>
      </c>
      <c r="AR285" s="1">
        <f t="shared" si="62"/>
        <v>5.1167715581701065E-4</v>
      </c>
      <c r="AS285" s="1">
        <f t="shared" si="63"/>
        <v>4.6282971318997029E-4</v>
      </c>
    </row>
    <row r="286" spans="35:45" ht="11.25" customHeight="1" x14ac:dyDescent="0.2">
      <c r="AI286" s="3" t="e">
        <f t="shared" si="56"/>
        <v>#N/A</v>
      </c>
      <c r="AJ286" s="3" t="e">
        <f t="shared" si="57"/>
        <v>#N/A</v>
      </c>
      <c r="AK286" s="1">
        <f t="shared" ref="AK286:AK349" si="64">AK285+$AJ$4</f>
        <v>41.549999999999784</v>
      </c>
      <c r="AL286" s="1">
        <f t="shared" si="54"/>
        <v>0.53442492456846979</v>
      </c>
      <c r="AM286" s="1">
        <f t="shared" si="58"/>
        <v>0.13702738275167545</v>
      </c>
      <c r="AN286" s="1">
        <f t="shared" si="59"/>
        <v>0</v>
      </c>
      <c r="AO286" s="1">
        <f t="shared" si="60"/>
        <v>0.13666724911061473</v>
      </c>
      <c r="AP286" s="1">
        <f t="shared" si="55"/>
        <v>3.5906225432275636</v>
      </c>
      <c r="AQ286" s="1">
        <f t="shared" si="61"/>
        <v>5.2404540262784849E-4</v>
      </c>
      <c r="AR286" s="1">
        <f t="shared" si="62"/>
        <v>5.2404540262784849E-4</v>
      </c>
      <c r="AS286" s="1">
        <f t="shared" si="63"/>
        <v>4.7401722089682213E-4</v>
      </c>
    </row>
    <row r="287" spans="35:45" ht="11.25" customHeight="1" x14ac:dyDescent="0.2">
      <c r="AI287" s="3" t="e">
        <f t="shared" si="56"/>
        <v>#N/A</v>
      </c>
      <c r="AJ287" s="3" t="e">
        <f t="shared" si="57"/>
        <v>#N/A</v>
      </c>
      <c r="AK287" s="1">
        <f t="shared" si="64"/>
        <v>41.699999999999783</v>
      </c>
      <c r="AL287" s="1">
        <f t="shared" si="54"/>
        <v>0.52493809158796478</v>
      </c>
      <c r="AM287" s="1">
        <f t="shared" si="58"/>
        <v>0.1377303598082413</v>
      </c>
      <c r="AN287" s="1">
        <f t="shared" si="59"/>
        <v>0</v>
      </c>
      <c r="AO287" s="1">
        <f t="shared" si="60"/>
        <v>0.1373683786117367</v>
      </c>
      <c r="AP287" s="1">
        <f t="shared" si="55"/>
        <v>3.5819981496089226</v>
      </c>
      <c r="AQ287" s="1">
        <f t="shared" si="61"/>
        <v>5.3669713292276908E-4</v>
      </c>
      <c r="AR287" s="1">
        <f t="shared" si="62"/>
        <v>5.3669713292276908E-4</v>
      </c>
      <c r="AS287" s="1">
        <f t="shared" si="63"/>
        <v>4.8546114923559103E-4</v>
      </c>
    </row>
    <row r="288" spans="35:45" ht="11.25" customHeight="1" x14ac:dyDescent="0.2">
      <c r="AI288" s="3" t="e">
        <f t="shared" si="56"/>
        <v>#N/A</v>
      </c>
      <c r="AJ288" s="3" t="e">
        <f t="shared" si="57"/>
        <v>#N/A</v>
      </c>
      <c r="AK288" s="1">
        <f t="shared" si="64"/>
        <v>41.849999999999781</v>
      </c>
      <c r="AL288" s="1">
        <f t="shared" si="54"/>
        <v>0.51545125860745966</v>
      </c>
      <c r="AM288" s="1">
        <f t="shared" si="58"/>
        <v>0.13842443277400915</v>
      </c>
      <c r="AN288" s="1">
        <f t="shared" si="59"/>
        <v>0</v>
      </c>
      <c r="AO288" s="1">
        <f t="shared" si="60"/>
        <v>0.13806062742367994</v>
      </c>
      <c r="AP288" s="1">
        <f t="shared" si="55"/>
        <v>3.5733737559902816</v>
      </c>
      <c r="AQ288" s="1">
        <f t="shared" si="61"/>
        <v>5.4963837691065695E-4</v>
      </c>
      <c r="AR288" s="1">
        <f t="shared" si="62"/>
        <v>5.4963837691065695E-4</v>
      </c>
      <c r="AS288" s="1">
        <f t="shared" si="63"/>
        <v>4.9716695273911433E-4</v>
      </c>
    </row>
    <row r="289" spans="35:45" ht="11.25" customHeight="1" x14ac:dyDescent="0.2">
      <c r="AI289" s="3" t="e">
        <f t="shared" si="56"/>
        <v>#N/A</v>
      </c>
      <c r="AJ289" s="3" t="e">
        <f t="shared" si="57"/>
        <v>#N/A</v>
      </c>
      <c r="AK289" s="1">
        <f t="shared" si="64"/>
        <v>41.99999999999978</v>
      </c>
      <c r="AL289" s="1">
        <f t="shared" si="54"/>
        <v>0.50596442562695465</v>
      </c>
      <c r="AM289" s="1">
        <f t="shared" si="58"/>
        <v>0.13910942149086833</v>
      </c>
      <c r="AN289" s="1">
        <f t="shared" si="59"/>
        <v>0</v>
      </c>
      <c r="AO289" s="1">
        <f t="shared" si="60"/>
        <v>0.13874381586182302</v>
      </c>
      <c r="AP289" s="1">
        <f t="shared" si="55"/>
        <v>3.5647493623716406</v>
      </c>
      <c r="AQ289" s="1">
        <f t="shared" si="61"/>
        <v>5.6287527857440389E-4</v>
      </c>
      <c r="AR289" s="1">
        <f t="shared" si="62"/>
        <v>5.6287527857440389E-4</v>
      </c>
      <c r="AS289" s="1">
        <f t="shared" si="63"/>
        <v>5.0914018885276019E-4</v>
      </c>
    </row>
    <row r="290" spans="35:45" ht="11.25" customHeight="1" x14ac:dyDescent="0.2">
      <c r="AI290" s="3" t="e">
        <f t="shared" si="56"/>
        <v>#N/A</v>
      </c>
      <c r="AJ290" s="3" t="e">
        <f t="shared" si="57"/>
        <v>#N/A</v>
      </c>
      <c r="AK290" s="1">
        <f t="shared" si="64"/>
        <v>42.149999999999778</v>
      </c>
      <c r="AL290" s="1">
        <f t="shared" si="54"/>
        <v>0.49647759264644958</v>
      </c>
      <c r="AM290" s="1">
        <f t="shared" si="58"/>
        <v>0.13978514739276801</v>
      </c>
      <c r="AN290" s="1">
        <f t="shared" si="59"/>
        <v>0</v>
      </c>
      <c r="AO290" s="1">
        <f t="shared" si="60"/>
        <v>0.13941776582942023</v>
      </c>
      <c r="AP290" s="1">
        <f t="shared" si="55"/>
        <v>3.5561249687529997</v>
      </c>
      <c r="AQ290" s="1">
        <f t="shared" si="61"/>
        <v>5.7641409879558003E-4</v>
      </c>
      <c r="AR290" s="1">
        <f t="shared" si="62"/>
        <v>5.7641409879558003E-4</v>
      </c>
      <c r="AS290" s="1">
        <f t="shared" si="63"/>
        <v>5.2138652076080111E-4</v>
      </c>
    </row>
    <row r="291" spans="35:45" ht="11.25" customHeight="1" x14ac:dyDescent="0.2">
      <c r="AI291" s="3" t="e">
        <f t="shared" si="56"/>
        <v>#N/A</v>
      </c>
      <c r="AJ291" s="3" t="e">
        <f t="shared" si="57"/>
        <v>#N/A</v>
      </c>
      <c r="AK291" s="1">
        <f t="shared" si="64"/>
        <v>42.299999999999777</v>
      </c>
      <c r="AL291" s="1">
        <f t="shared" si="54"/>
        <v>0.48699075966594452</v>
      </c>
      <c r="AM291" s="1">
        <f t="shared" si="58"/>
        <v>0.14045143359231457</v>
      </c>
      <c r="AN291" s="1">
        <f t="shared" si="59"/>
        <v>0</v>
      </c>
      <c r="AO291" s="1">
        <f t="shared" si="60"/>
        <v>0.14008230090397109</v>
      </c>
      <c r="AP291" s="1">
        <f t="shared" si="55"/>
        <v>3.5475005751343591</v>
      </c>
      <c r="AQ291" s="1">
        <f t="shared" si="61"/>
        <v>5.9026121614590144E-4</v>
      </c>
      <c r="AR291" s="1">
        <f t="shared" si="62"/>
        <v>5.9026121614590144E-4</v>
      </c>
      <c r="AS291" s="1">
        <f t="shared" si="63"/>
        <v>5.3391171810232378E-4</v>
      </c>
    </row>
    <row r="292" spans="35:45" ht="11.25" customHeight="1" x14ac:dyDescent="0.2">
      <c r="AI292" s="3" t="e">
        <f t="shared" si="56"/>
        <v>#N/A</v>
      </c>
      <c r="AJ292" s="3" t="e">
        <f t="shared" si="57"/>
        <v>#N/A</v>
      </c>
      <c r="AK292" s="1">
        <f t="shared" si="64"/>
        <v>42.449999999999775</v>
      </c>
      <c r="AL292" s="1">
        <f t="shared" si="54"/>
        <v>0.47750392668543951</v>
      </c>
      <c r="AM292" s="1">
        <f t="shared" si="58"/>
        <v>0.14110810496070766</v>
      </c>
      <c r="AN292" s="1">
        <f t="shared" si="59"/>
        <v>0</v>
      </c>
      <c r="AO292" s="1">
        <f t="shared" si="60"/>
        <v>0.1407372464169466</v>
      </c>
      <c r="AP292" s="1">
        <f t="shared" si="55"/>
        <v>3.5388761815157181</v>
      </c>
      <c r="AQ292" s="1">
        <f t="shared" si="61"/>
        <v>6.0442312946763083E-4</v>
      </c>
      <c r="AR292" s="1">
        <f t="shared" si="62"/>
        <v>6.0442312946763083E-4</v>
      </c>
      <c r="AS292" s="1">
        <f t="shared" si="63"/>
        <v>5.4672165930529071E-4</v>
      </c>
    </row>
    <row r="293" spans="35:45" ht="11.25" customHeight="1" x14ac:dyDescent="0.2">
      <c r="AI293" s="3" t="e">
        <f t="shared" si="56"/>
        <v>#N/A</v>
      </c>
      <c r="AJ293" s="3" t="e">
        <f t="shared" si="57"/>
        <v>#N/A</v>
      </c>
      <c r="AK293" s="1">
        <f t="shared" si="64"/>
        <v>42.599999999999774</v>
      </c>
      <c r="AL293" s="1">
        <f t="shared" si="54"/>
        <v>0.46801709370493444</v>
      </c>
      <c r="AM293" s="1">
        <f t="shared" si="58"/>
        <v>0.14175498819213314</v>
      </c>
      <c r="AN293" s="1">
        <f t="shared" si="59"/>
        <v>0</v>
      </c>
      <c r="AO293" s="1">
        <f t="shared" si="60"/>
        <v>0.14138242951801275</v>
      </c>
      <c r="AP293" s="1">
        <f t="shared" si="55"/>
        <v>3.5302517878970772</v>
      </c>
      <c r="AQ293" s="1">
        <f t="shared" si="61"/>
        <v>6.189064589903065E-4</v>
      </c>
      <c r="AR293" s="1">
        <f t="shared" si="62"/>
        <v>6.189064589903065E-4</v>
      </c>
      <c r="AS293" s="1">
        <f t="shared" si="63"/>
        <v>5.5982233259666014E-4</v>
      </c>
    </row>
    <row r="294" spans="35:45" ht="11.25" customHeight="1" x14ac:dyDescent="0.2">
      <c r="AI294" s="3" t="e">
        <f t="shared" si="56"/>
        <v>#N/A</v>
      </c>
      <c r="AJ294" s="3" t="e">
        <f t="shared" si="57"/>
        <v>#N/A</v>
      </c>
      <c r="AK294" s="1">
        <f t="shared" si="64"/>
        <v>42.749999999999773</v>
      </c>
      <c r="AL294" s="1">
        <f t="shared" si="54"/>
        <v>0.45853026072442937</v>
      </c>
      <c r="AM294" s="1">
        <f t="shared" si="58"/>
        <v>0.14239191190590358</v>
      </c>
      <c r="AN294" s="1">
        <f t="shared" si="59"/>
        <v>0</v>
      </c>
      <c r="AO294" s="1">
        <f t="shared" si="60"/>
        <v>0.1420176792769027</v>
      </c>
      <c r="AP294" s="1">
        <f t="shared" si="55"/>
        <v>3.5216273942784362</v>
      </c>
      <c r="AQ294" s="1">
        <f t="shared" si="61"/>
        <v>6.3371794891114303E-4</v>
      </c>
      <c r="AR294" s="1">
        <f t="shared" si="62"/>
        <v>6.3371794891114303E-4</v>
      </c>
      <c r="AS294" s="1">
        <f t="shared" si="63"/>
        <v>5.7321983833644836E-4</v>
      </c>
    </row>
    <row r="295" spans="35:45" ht="11.25" customHeight="1" x14ac:dyDescent="0.2">
      <c r="AI295" s="3" t="e">
        <f t="shared" si="56"/>
        <v>#N/A</v>
      </c>
      <c r="AJ295" s="3" t="e">
        <f t="shared" si="57"/>
        <v>#N/A</v>
      </c>
      <c r="AK295" s="1">
        <f t="shared" si="64"/>
        <v>42.899999999999771</v>
      </c>
      <c r="AL295" s="1">
        <f t="shared" si="54"/>
        <v>0.44904342774392436</v>
      </c>
      <c r="AM295" s="1">
        <f t="shared" si="58"/>
        <v>0.14301870671307168</v>
      </c>
      <c r="AN295" s="1">
        <f t="shared" si="59"/>
        <v>0</v>
      </c>
      <c r="AO295" s="1">
        <f t="shared" si="60"/>
        <v>0.14264282674985504</v>
      </c>
      <c r="AP295" s="1">
        <f t="shared" si="55"/>
        <v>3.5130030006597952</v>
      </c>
      <c r="AQ295" s="1">
        <f t="shared" si="61"/>
        <v>6.4886446878714699E-4</v>
      </c>
      <c r="AR295" s="1">
        <f t="shared" si="62"/>
        <v>6.4886446878714699E-4</v>
      </c>
      <c r="AS295" s="1">
        <f t="shared" si="63"/>
        <v>5.8692039027694607E-4</v>
      </c>
    </row>
    <row r="296" spans="35:45" ht="11.25" customHeight="1" x14ac:dyDescent="0.2">
      <c r="AI296" s="3" t="e">
        <f t="shared" si="56"/>
        <v>#N/A</v>
      </c>
      <c r="AJ296" s="3" t="e">
        <f t="shared" si="57"/>
        <v>#N/A</v>
      </c>
      <c r="AK296" s="1">
        <f t="shared" si="64"/>
        <v>43.04999999999977</v>
      </c>
      <c r="AL296" s="1">
        <f t="shared" si="54"/>
        <v>0.43955659476341929</v>
      </c>
      <c r="AM296" s="1">
        <f t="shared" si="58"/>
        <v>0.14363520529414583</v>
      </c>
      <c r="AN296" s="1">
        <f t="shared" si="59"/>
        <v>0</v>
      </c>
      <c r="AO296" s="1">
        <f t="shared" si="60"/>
        <v>0.14325770505712512</v>
      </c>
      <c r="AP296" s="1">
        <f t="shared" si="55"/>
        <v>3.5043786070411542</v>
      </c>
      <c r="AQ296" s="1">
        <f t="shared" si="61"/>
        <v>6.6435301562112192E-4</v>
      </c>
      <c r="AR296" s="1">
        <f t="shared" si="62"/>
        <v>6.6435301562112192E-4</v>
      </c>
      <c r="AS296" s="1">
        <f t="shared" si="63"/>
        <v>6.0093031744958253E-4</v>
      </c>
    </row>
    <row r="297" spans="35:45" ht="11.25" customHeight="1" x14ac:dyDescent="0.2">
      <c r="AI297" s="3" t="e">
        <f t="shared" si="56"/>
        <v>#N/A</v>
      </c>
      <c r="AJ297" s="3" t="e">
        <f t="shared" si="57"/>
        <v>#N/A</v>
      </c>
      <c r="AK297" s="1">
        <f t="shared" si="64"/>
        <v>43.199999999999768</v>
      </c>
      <c r="AL297" s="1">
        <f t="shared" si="54"/>
        <v>0.43006976178291423</v>
      </c>
      <c r="AM297" s="1">
        <f t="shared" si="58"/>
        <v>0.144241242467924</v>
      </c>
      <c r="AN297" s="1">
        <f t="shared" si="59"/>
        <v>0</v>
      </c>
      <c r="AO297" s="1">
        <f t="shared" si="60"/>
        <v>0.14386214945163808</v>
      </c>
      <c r="AP297" s="1">
        <f t="shared" si="55"/>
        <v>3.4957542134225132</v>
      </c>
      <c r="AQ297" s="1">
        <f t="shared" si="61"/>
        <v>6.8019071519306862E-4</v>
      </c>
      <c r="AR297" s="1">
        <f t="shared" si="62"/>
        <v>6.8019071519306862E-4</v>
      </c>
      <c r="AS297" s="1">
        <f t="shared" si="63"/>
        <v>6.1525606536922284E-4</v>
      </c>
    </row>
    <row r="298" spans="35:45" ht="11.25" customHeight="1" x14ac:dyDescent="0.2">
      <c r="AI298" s="3" t="e">
        <f t="shared" si="56"/>
        <v>#N/A</v>
      </c>
      <c r="AJ298" s="3" t="e">
        <f t="shared" si="57"/>
        <v>#N/A</v>
      </c>
      <c r="AK298" s="1">
        <f t="shared" si="64"/>
        <v>43.349999999999767</v>
      </c>
      <c r="AL298" s="1">
        <f t="shared" si="54"/>
        <v>0.42058292880240922</v>
      </c>
      <c r="AM298" s="1">
        <f t="shared" si="58"/>
        <v>0.14483665528919329</v>
      </c>
      <c r="AN298" s="1">
        <f t="shared" si="59"/>
        <v>0</v>
      </c>
      <c r="AO298" s="1">
        <f t="shared" si="60"/>
        <v>0.14445599741643161</v>
      </c>
      <c r="AP298" s="1">
        <f t="shared" si="55"/>
        <v>3.4871298198038723</v>
      </c>
      <c r="AQ298" s="1">
        <f t="shared" si="61"/>
        <v>6.9638482498319415E-4</v>
      </c>
      <c r="AR298" s="1">
        <f t="shared" si="62"/>
        <v>6.9638482498319415E-4</v>
      </c>
      <c r="AS298" s="1">
        <f t="shared" si="63"/>
        <v>6.2990419867813127E-4</v>
      </c>
    </row>
    <row r="299" spans="35:45" ht="11.25" customHeight="1" x14ac:dyDescent="0.2">
      <c r="AI299" s="3" t="e">
        <f t="shared" si="56"/>
        <v>#N/A</v>
      </c>
      <c r="AJ299" s="3" t="e">
        <f t="shared" si="57"/>
        <v>#N/A</v>
      </c>
      <c r="AK299" s="1">
        <f t="shared" si="64"/>
        <v>43.499999999999766</v>
      </c>
      <c r="AL299" s="1">
        <f t="shared" si="54"/>
        <v>0.41109609582190415</v>
      </c>
      <c r="AM299" s="1">
        <f t="shared" si="58"/>
        <v>0.14542128310868205</v>
      </c>
      <c r="AN299" s="1">
        <f t="shared" si="59"/>
        <v>0</v>
      </c>
      <c r="AO299" s="1">
        <f t="shared" si="60"/>
        <v>0.1450390887244504</v>
      </c>
      <c r="AP299" s="1">
        <f t="shared" si="55"/>
        <v>3.4785054261852313</v>
      </c>
      <c r="AQ299" s="1">
        <f t="shared" si="61"/>
        <v>7.1294273542524961E-4</v>
      </c>
      <c r="AR299" s="1">
        <f t="shared" si="62"/>
        <v>7.1294273542524961E-4</v>
      </c>
      <c r="AS299" s="1">
        <f t="shared" si="63"/>
        <v>6.4488140227965851E-4</v>
      </c>
    </row>
    <row r="300" spans="35:45" ht="11.25" customHeight="1" x14ac:dyDescent="0.2">
      <c r="AI300" s="3" t="e">
        <f t="shared" si="56"/>
        <v>#N/A</v>
      </c>
      <c r="AJ300" s="3" t="e">
        <f t="shared" si="57"/>
        <v>#N/A</v>
      </c>
      <c r="AK300" s="1">
        <f t="shared" si="64"/>
        <v>43.649999999999764</v>
      </c>
      <c r="AL300" s="1">
        <f t="shared" si="54"/>
        <v>0.40160926284139908</v>
      </c>
      <c r="AM300" s="1">
        <f t="shared" si="58"/>
        <v>0.14599496764633454</v>
      </c>
      <c r="AN300" s="1">
        <f t="shared" si="59"/>
        <v>0</v>
      </c>
      <c r="AO300" s="1">
        <f t="shared" si="60"/>
        <v>0.1456112655116284</v>
      </c>
      <c r="AP300" s="1">
        <f t="shared" si="55"/>
        <v>3.4698810325665903</v>
      </c>
      <c r="AQ300" s="1">
        <f t="shared" si="61"/>
        <v>7.2987197192314612E-4</v>
      </c>
      <c r="AR300" s="1">
        <f t="shared" si="62"/>
        <v>7.2987197192314612E-4</v>
      </c>
      <c r="AS300" s="1">
        <f t="shared" si="63"/>
        <v>6.6019448316234056E-4</v>
      </c>
    </row>
    <row r="301" spans="35:45" ht="11.25" customHeight="1" x14ac:dyDescent="0.2">
      <c r="AI301" s="3" t="e">
        <f t="shared" si="56"/>
        <v>#N/A</v>
      </c>
      <c r="AJ301" s="3" t="e">
        <f t="shared" si="57"/>
        <v>#N/A</v>
      </c>
      <c r="AK301" s="1">
        <f t="shared" si="64"/>
        <v>43.799999999999763</v>
      </c>
      <c r="AL301" s="1">
        <f t="shared" si="54"/>
        <v>0.39212242986089407</v>
      </c>
      <c r="AM301" s="1">
        <f t="shared" si="58"/>
        <v>0.14655755307568794</v>
      </c>
      <c r="AN301" s="1">
        <f t="shared" si="59"/>
        <v>0</v>
      </c>
      <c r="AO301" s="1">
        <f t="shared" si="60"/>
        <v>0.14617237236104386</v>
      </c>
      <c r="AP301" s="1">
        <f t="shared" si="55"/>
        <v>3.4612566389479493</v>
      </c>
      <c r="AQ301" s="1">
        <f t="shared" si="61"/>
        <v>7.4718019653363665E-4</v>
      </c>
      <c r="AR301" s="1">
        <f t="shared" si="62"/>
        <v>7.4718019653363665E-4</v>
      </c>
      <c r="AS301" s="1">
        <f t="shared" si="63"/>
        <v>6.7585037192194309E-4</v>
      </c>
    </row>
    <row r="302" spans="35:45" ht="11.25" customHeight="1" x14ac:dyDescent="0.2">
      <c r="AI302" s="3" t="e">
        <f t="shared" si="56"/>
        <v>#N/A</v>
      </c>
      <c r="AJ302" s="3" t="e">
        <f t="shared" si="57"/>
        <v>#N/A</v>
      </c>
      <c r="AK302" s="1">
        <f t="shared" si="64"/>
        <v>43.949999999999761</v>
      </c>
      <c r="AL302" s="1">
        <f t="shared" si="54"/>
        <v>0.38263559688038901</v>
      </c>
      <c r="AM302" s="1">
        <f t="shared" si="58"/>
        <v>0.14710888609270609</v>
      </c>
      <c r="AN302" s="1">
        <f t="shared" si="59"/>
        <v>0</v>
      </c>
      <c r="AO302" s="1">
        <f t="shared" si="60"/>
        <v>0.14672225637157243</v>
      </c>
      <c r="AP302" s="1">
        <f t="shared" si="55"/>
        <v>3.4526322453293083</v>
      </c>
      <c r="AQ302" s="1">
        <f t="shared" si="61"/>
        <v>7.6487521075922077E-4</v>
      </c>
      <c r="AR302" s="1">
        <f t="shared" si="62"/>
        <v>7.6487521075922077E-4</v>
      </c>
      <c r="AS302" s="1">
        <f t="shared" si="63"/>
        <v>6.9185612528774006E-4</v>
      </c>
    </row>
    <row r="303" spans="35:45" ht="11.25" customHeight="1" x14ac:dyDescent="0.2">
      <c r="AI303" s="3" t="e">
        <f t="shared" si="56"/>
        <v>#N/A</v>
      </c>
      <c r="AJ303" s="3" t="e">
        <f t="shared" si="57"/>
        <v>#N/A</v>
      </c>
      <c r="AK303" s="1">
        <f t="shared" si="64"/>
        <v>44.09999999999976</v>
      </c>
      <c r="AL303" s="1">
        <f t="shared" si="54"/>
        <v>0.37314876389988394</v>
      </c>
      <c r="AM303" s="1">
        <f t="shared" si="58"/>
        <v>0.14764881598239296</v>
      </c>
      <c r="AN303" s="1">
        <f t="shared" si="59"/>
        <v>0</v>
      </c>
      <c r="AO303" s="1">
        <f t="shared" si="60"/>
        <v>0.14726076722432535</v>
      </c>
      <c r="AP303" s="1">
        <f t="shared" si="55"/>
        <v>3.4440078517106674</v>
      </c>
      <c r="AQ303" s="1">
        <f t="shared" si="61"/>
        <v>7.8296495687954493E-4</v>
      </c>
      <c r="AR303" s="1">
        <f t="shared" si="62"/>
        <v>7.8296495687954493E-4</v>
      </c>
      <c r="AS303" s="1">
        <f t="shared" si="63"/>
        <v>7.0821892732681184E-4</v>
      </c>
    </row>
    <row r="304" spans="35:45" ht="11.25" customHeight="1" x14ac:dyDescent="0.2">
      <c r="AI304" s="3" t="e">
        <f t="shared" si="56"/>
        <v>#N/A</v>
      </c>
      <c r="AJ304" s="3" t="e">
        <f t="shared" si="57"/>
        <v>#N/A</v>
      </c>
      <c r="AK304" s="1">
        <f t="shared" si="64"/>
        <v>44.249999999999758</v>
      </c>
      <c r="AL304" s="1">
        <f t="shared" si="54"/>
        <v>0.36366193091937893</v>
      </c>
      <c r="AM304" s="1">
        <f t="shared" si="58"/>
        <v>0.14817719470539001</v>
      </c>
      <c r="AN304" s="1">
        <f t="shared" si="59"/>
        <v>0</v>
      </c>
      <c r="AO304" s="1">
        <f t="shared" si="60"/>
        <v>0.14778775726901919</v>
      </c>
      <c r="AP304" s="1">
        <f t="shared" si="55"/>
        <v>3.4353834580920264</v>
      </c>
      <c r="AQ304" s="1">
        <f t="shared" si="61"/>
        <v>8.0145751979888297E-4</v>
      </c>
      <c r="AR304" s="1">
        <f t="shared" si="62"/>
        <v>8.0145751979888297E-4</v>
      </c>
      <c r="AS304" s="1">
        <f t="shared" si="63"/>
        <v>7.2494609111515488E-4</v>
      </c>
    </row>
    <row r="305" spans="35:45" ht="11.25" customHeight="1" x14ac:dyDescent="0.2">
      <c r="AI305" s="3" t="e">
        <f t="shared" si="56"/>
        <v>#N/A</v>
      </c>
      <c r="AJ305" s="3" t="e">
        <f t="shared" si="57"/>
        <v>#N/A</v>
      </c>
      <c r="AK305" s="1">
        <f t="shared" si="64"/>
        <v>44.399999999999757</v>
      </c>
      <c r="AL305" s="1">
        <f t="shared" si="54"/>
        <v>0.35417509793887386</v>
      </c>
      <c r="AM305" s="1">
        <f t="shared" si="58"/>
        <v>0.14869387694682598</v>
      </c>
      <c r="AN305" s="1">
        <f t="shared" si="59"/>
        <v>0</v>
      </c>
      <c r="AO305" s="1">
        <f t="shared" si="60"/>
        <v>0.14830308157269745</v>
      </c>
      <c r="AP305" s="1">
        <f t="shared" si="55"/>
        <v>3.4267590644733854</v>
      </c>
      <c r="AQ305" s="1">
        <f t="shared" si="61"/>
        <v>8.2036112960051644E-4</v>
      </c>
      <c r="AR305" s="1">
        <f t="shared" si="62"/>
        <v>8.2036112960051644E-4</v>
      </c>
      <c r="AS305" s="1">
        <f t="shared" si="63"/>
        <v>7.4204506104820793E-4</v>
      </c>
    </row>
    <row r="306" spans="35:45" ht="11.25" customHeight="1" x14ac:dyDescent="0.2">
      <c r="AI306" s="3" t="e">
        <f t="shared" si="56"/>
        <v>#N/A</v>
      </c>
      <c r="AJ306" s="3" t="e">
        <f t="shared" si="57"/>
        <v>#N/A</v>
      </c>
      <c r="AK306" s="1">
        <f t="shared" si="64"/>
        <v>44.549999999999756</v>
      </c>
      <c r="AL306" s="1">
        <f t="shared" si="54"/>
        <v>0.3446882649583688</v>
      </c>
      <c r="AM306" s="1">
        <f t="shared" si="58"/>
        <v>0.14919872020735522</v>
      </c>
      <c r="AN306" s="1">
        <f t="shared" si="59"/>
        <v>0</v>
      </c>
      <c r="AO306" s="1">
        <f t="shared" si="60"/>
        <v>0.14880659801052945</v>
      </c>
      <c r="AP306" s="1">
        <f t="shared" si="55"/>
        <v>3.4181346708547444</v>
      </c>
      <c r="AQ306" s="1">
        <f t="shared" si="61"/>
        <v>8.3968416323375317E-4</v>
      </c>
      <c r="AR306" s="1">
        <f t="shared" si="62"/>
        <v>8.3968416323375317E-4</v>
      </c>
      <c r="AS306" s="1">
        <f t="shared" si="63"/>
        <v>7.5952341436681778E-4</v>
      </c>
    </row>
    <row r="307" spans="35:45" ht="11.25" customHeight="1" x14ac:dyDescent="0.2">
      <c r="AI307" s="3" t="e">
        <f t="shared" si="56"/>
        <v>#N/A</v>
      </c>
      <c r="AJ307" s="3" t="e">
        <f t="shared" si="57"/>
        <v>#N/A</v>
      </c>
      <c r="AK307" s="1">
        <f t="shared" si="64"/>
        <v>44.699999999999754</v>
      </c>
      <c r="AL307" s="1">
        <f t="shared" si="54"/>
        <v>0.33520143197786378</v>
      </c>
      <c r="AM307" s="1">
        <f t="shared" si="58"/>
        <v>0.14969158486088927</v>
      </c>
      <c r="AN307" s="1">
        <f t="shared" si="59"/>
        <v>0</v>
      </c>
      <c r="AO307" s="1">
        <f t="shared" si="60"/>
        <v>0.14929816732339024</v>
      </c>
      <c r="AP307" s="1">
        <f t="shared" si="55"/>
        <v>3.4095102772361034</v>
      </c>
      <c r="AQ307" s="1">
        <f t="shared" si="61"/>
        <v>8.5943514661294268E-4</v>
      </c>
      <c r="AR307" s="1">
        <f t="shared" si="62"/>
        <v>8.5943514661294268E-4</v>
      </c>
      <c r="AS307" s="1">
        <f t="shared" si="63"/>
        <v>7.7738886305587227E-4</v>
      </c>
    </row>
    <row r="308" spans="35:45" ht="11.25" customHeight="1" x14ac:dyDescent="0.2">
      <c r="AI308" s="3" t="e">
        <f t="shared" si="56"/>
        <v>#N/A</v>
      </c>
      <c r="AJ308" s="3" t="e">
        <f t="shared" si="57"/>
        <v>#N/A</v>
      </c>
      <c r="AK308" s="1">
        <f t="shared" si="64"/>
        <v>44.849999999999753</v>
      </c>
      <c r="AL308" s="1">
        <f t="shared" si="54"/>
        <v>0.32571459899735872</v>
      </c>
      <c r="AM308" s="1">
        <f t="shared" si="58"/>
        <v>0.15017233421232845</v>
      </c>
      <c r="AN308" s="1">
        <f t="shared" si="59"/>
        <v>0</v>
      </c>
      <c r="AO308" s="1">
        <f t="shared" si="60"/>
        <v>0.14977765317544051</v>
      </c>
      <c r="AP308" s="1">
        <f t="shared" si="55"/>
        <v>3.4008858836174629</v>
      </c>
      <c r="AQ308" s="1">
        <f t="shared" si="61"/>
        <v>8.7962275620041136E-4</v>
      </c>
      <c r="AR308" s="1">
        <f t="shared" si="62"/>
        <v>8.7962275620041136E-4</v>
      </c>
      <c r="AS308" s="1">
        <f t="shared" si="63"/>
        <v>7.9564925527611963E-4</v>
      </c>
    </row>
    <row r="309" spans="35:45" ht="11.25" customHeight="1" x14ac:dyDescent="0.2">
      <c r="AI309" s="3" t="e">
        <f t="shared" si="56"/>
        <v>#N/A</v>
      </c>
      <c r="AJ309" s="3" t="e">
        <f t="shared" si="57"/>
        <v>#N/A</v>
      </c>
      <c r="AK309" s="1">
        <f t="shared" si="64"/>
        <v>44.999999999999751</v>
      </c>
      <c r="AL309" s="1">
        <f t="shared" si="54"/>
        <v>0.31622776601685365</v>
      </c>
      <c r="AM309" s="1">
        <f t="shared" si="58"/>
        <v>0.15064083457971833</v>
      </c>
      <c r="AN309" s="1">
        <f t="shared" si="59"/>
        <v>0</v>
      </c>
      <c r="AO309" s="1">
        <f t="shared" si="60"/>
        <v>0.15024492223606703</v>
      </c>
      <c r="AP309" s="1">
        <f t="shared" si="55"/>
        <v>3.3922614899988219</v>
      </c>
      <c r="AQ309" s="1">
        <f t="shared" si="61"/>
        <v>9.0025582271877069E-4</v>
      </c>
      <c r="AR309" s="1">
        <f t="shared" si="62"/>
        <v>9.0025582271877069E-4</v>
      </c>
      <c r="AS309" s="1">
        <f t="shared" si="63"/>
        <v>8.1431257872207979E-4</v>
      </c>
    </row>
    <row r="310" spans="35:45" ht="11.25" customHeight="1" x14ac:dyDescent="0.2">
      <c r="AI310" s="3" t="e">
        <f t="shared" si="56"/>
        <v>#N/A</v>
      </c>
      <c r="AJ310" s="3" t="e">
        <f t="shared" si="57"/>
        <v>#N/A</v>
      </c>
      <c r="AK310" s="1">
        <f t="shared" si="64"/>
        <v>45.14999999999975</v>
      </c>
      <c r="AL310" s="1">
        <f t="shared" si="54"/>
        <v>0.30674093303634864</v>
      </c>
      <c r="AM310" s="1">
        <f t="shared" si="58"/>
        <v>0.15109695536308365</v>
      </c>
      <c r="AN310" s="1">
        <f t="shared" si="59"/>
        <v>0</v>
      </c>
      <c r="AO310" s="1">
        <f t="shared" si="60"/>
        <v>0.15069984424853577</v>
      </c>
      <c r="AP310" s="1">
        <f t="shared" si="55"/>
        <v>3.383637096380181</v>
      </c>
      <c r="AQ310" s="1">
        <f t="shared" si="61"/>
        <v>9.213433307172364E-4</v>
      </c>
      <c r="AR310" s="1">
        <f t="shared" si="62"/>
        <v>9.213433307172364E-4</v>
      </c>
      <c r="AS310" s="1">
        <f t="shared" si="63"/>
        <v>8.3338696022976525E-4</v>
      </c>
    </row>
    <row r="311" spans="35:45" ht="11.25" customHeight="1" x14ac:dyDescent="0.2">
      <c r="AI311" s="3" t="e">
        <f t="shared" si="56"/>
        <v>#N/A</v>
      </c>
      <c r="AJ311" s="3" t="e">
        <f t="shared" si="57"/>
        <v>#N/A</v>
      </c>
      <c r="AK311" s="1">
        <f t="shared" si="64"/>
        <v>45.299999999999748</v>
      </c>
      <c r="AL311" s="1">
        <f t="shared" si="54"/>
        <v>0.29725410005584357</v>
      </c>
      <c r="AM311" s="1">
        <f t="shared" si="58"/>
        <v>0.15154056907773494</v>
      </c>
      <c r="AN311" s="1">
        <f t="shared" si="59"/>
        <v>0</v>
      </c>
      <c r="AO311" s="1">
        <f t="shared" si="60"/>
        <v>0.15114229206321092</v>
      </c>
      <c r="AP311" s="1">
        <f t="shared" si="55"/>
        <v>3.37501270276154</v>
      </c>
      <c r="AQ311" s="1">
        <f t="shared" si="61"/>
        <v>9.4289442196301282E-4</v>
      </c>
      <c r="AR311" s="1">
        <f t="shared" si="62"/>
        <v>9.4289442196301282E-4</v>
      </c>
      <c r="AS311" s="1">
        <f t="shared" si="63"/>
        <v>8.5288066884430566E-4</v>
      </c>
    </row>
    <row r="312" spans="35:45" ht="11.25" customHeight="1" x14ac:dyDescent="0.2">
      <c r="AI312" s="3" t="e">
        <f t="shared" si="56"/>
        <v>#N/A</v>
      </c>
      <c r="AJ312" s="3" t="e">
        <f t="shared" si="57"/>
        <v>#N/A</v>
      </c>
      <c r="AK312" s="1">
        <f t="shared" si="64"/>
        <v>45.449999999999747</v>
      </c>
      <c r="AL312" s="1">
        <f t="shared" si="54"/>
        <v>0.28776726707533851</v>
      </c>
      <c r="AM312" s="1">
        <f t="shared" si="58"/>
        <v>0.15197155144752728</v>
      </c>
      <c r="AN312" s="1">
        <f t="shared" si="59"/>
        <v>0</v>
      </c>
      <c r="AO312" s="1">
        <f t="shared" si="60"/>
        <v>0.15157214173056852</v>
      </c>
      <c r="AP312" s="1">
        <f t="shared" si="55"/>
        <v>3.366388309142899</v>
      </c>
      <c r="AQ312" s="1">
        <f t="shared" si="61"/>
        <v>9.6491839842935412E-4</v>
      </c>
      <c r="AR312" s="1">
        <f t="shared" si="62"/>
        <v>9.6491839842935412E-4</v>
      </c>
      <c r="AS312" s="1">
        <f t="shared" si="63"/>
        <v>8.7280211852275248E-4</v>
      </c>
    </row>
    <row r="313" spans="35:45" ht="11.25" customHeight="1" x14ac:dyDescent="0.2">
      <c r="AI313" s="3" t="e">
        <f t="shared" si="56"/>
        <v>#N/A</v>
      </c>
      <c r="AJ313" s="3" t="e">
        <f t="shared" si="57"/>
        <v>#N/A</v>
      </c>
      <c r="AK313" s="1">
        <f t="shared" si="64"/>
        <v>45.599999999999746</v>
      </c>
      <c r="AL313" s="1">
        <f t="shared" si="54"/>
        <v>0.2782804340948335</v>
      </c>
      <c r="AM313" s="1">
        <f t="shared" si="58"/>
        <v>0.15238978144926918</v>
      </c>
      <c r="AN313" s="1">
        <f t="shared" si="59"/>
        <v>0</v>
      </c>
      <c r="AO313" s="1">
        <f t="shared" si="60"/>
        <v>0.15198927254548877</v>
      </c>
      <c r="AP313" s="1">
        <f t="shared" si="55"/>
        <v>3.357763915524258</v>
      </c>
      <c r="AQ313" s="1">
        <f t="shared" si="61"/>
        <v>9.874247225601096E-4</v>
      </c>
      <c r="AR313" s="1">
        <f t="shared" si="62"/>
        <v>9.874247225601096E-4</v>
      </c>
      <c r="AS313" s="1">
        <f t="shared" si="63"/>
        <v>8.9315986837336988E-4</v>
      </c>
    </row>
    <row r="314" spans="35:45" ht="11.25" customHeight="1" x14ac:dyDescent="0.2">
      <c r="AI314" s="3" t="e">
        <f t="shared" si="56"/>
        <v>#N/A</v>
      </c>
      <c r="AJ314" s="3" t="e">
        <f t="shared" si="57"/>
        <v>#N/A</v>
      </c>
      <c r="AK314" s="1">
        <f t="shared" si="64"/>
        <v>45.749999999999744</v>
      </c>
      <c r="AL314" s="1">
        <f t="shared" si="54"/>
        <v>0.26879360111432843</v>
      </c>
      <c r="AM314" s="1">
        <f t="shared" si="58"/>
        <v>0.15279514138821781</v>
      </c>
      <c r="AN314" s="1">
        <f t="shared" si="59"/>
        <v>0</v>
      </c>
      <c r="AO314" s="1">
        <f t="shared" si="60"/>
        <v>0.15239356712255261</v>
      </c>
      <c r="AP314" s="1">
        <f t="shared" si="55"/>
        <v>3.349139521905617</v>
      </c>
      <c r="AQ314" s="1">
        <f t="shared" si="61"/>
        <v>1.010423020687129E-3</v>
      </c>
      <c r="AR314" s="1">
        <f t="shared" si="62"/>
        <v>1.010423020687129E-3</v>
      </c>
      <c r="AS314" s="1">
        <f t="shared" si="63"/>
        <v>9.1396262574679557E-4</v>
      </c>
    </row>
    <row r="315" spans="35:45" ht="11.25" customHeight="1" x14ac:dyDescent="0.2">
      <c r="AI315" s="3" t="e">
        <f t="shared" si="56"/>
        <v>#N/A</v>
      </c>
      <c r="AJ315" s="3" t="e">
        <f t="shared" si="57"/>
        <v>#N/A</v>
      </c>
      <c r="AK315" s="1">
        <f t="shared" si="64"/>
        <v>45.899999999999743</v>
      </c>
      <c r="AL315" s="1">
        <f t="shared" si="54"/>
        <v>0.25930676813382336</v>
      </c>
      <c r="AM315" s="1">
        <f t="shared" si="58"/>
        <v>0.15318751692250387</v>
      </c>
      <c r="AN315" s="1">
        <f t="shared" si="59"/>
        <v>0</v>
      </c>
      <c r="AO315" s="1">
        <f t="shared" si="60"/>
        <v>0.15278491142040268</v>
      </c>
      <c r="AP315" s="1">
        <f t="shared" si="55"/>
        <v>3.3405151282869761</v>
      </c>
      <c r="AQ315" s="1">
        <f t="shared" si="61"/>
        <v>1.0339230849254477E-3</v>
      </c>
      <c r="AR315" s="1">
        <f t="shared" si="62"/>
        <v>1.0339230849254477E-3</v>
      </c>
      <c r="AS315" s="1">
        <f t="shared" si="63"/>
        <v>9.3521924795030205E-4</v>
      </c>
    </row>
    <row r="316" spans="35:45" ht="11.25" customHeight="1" x14ac:dyDescent="0.2">
      <c r="AI316" s="3" t="e">
        <f t="shared" si="56"/>
        <v>#N/A</v>
      </c>
      <c r="AJ316" s="3" t="e">
        <f t="shared" si="57"/>
        <v>#N/A</v>
      </c>
      <c r="AK316" s="1">
        <f t="shared" si="64"/>
        <v>46.049999999999741</v>
      </c>
      <c r="AL316" s="1">
        <f t="shared" si="54"/>
        <v>0.24981993515331832</v>
      </c>
      <c r="AM316" s="1">
        <f t="shared" si="58"/>
        <v>0.15356679715416988</v>
      </c>
      <c r="AN316" s="1">
        <f t="shared" si="59"/>
        <v>0</v>
      </c>
      <c r="AO316" s="1">
        <f t="shared" si="60"/>
        <v>0.15316319483254201</v>
      </c>
      <c r="AP316" s="1">
        <f t="shared" si="55"/>
        <v>3.3318907346683351</v>
      </c>
      <c r="AQ316" s="1">
        <f t="shared" si="61"/>
        <v>1.0579348738498293E-3</v>
      </c>
      <c r="AR316" s="1">
        <f t="shared" si="62"/>
        <v>1.0579348738498293E-3</v>
      </c>
      <c r="AS316" s="1">
        <f t="shared" si="63"/>
        <v>9.569387428597525E-4</v>
      </c>
    </row>
    <row r="317" spans="35:45" ht="11.25" customHeight="1" x14ac:dyDescent="0.2">
      <c r="AI317" s="3" t="e">
        <f t="shared" si="56"/>
        <v>#N/A</v>
      </c>
      <c r="AJ317" s="3" t="e">
        <f t="shared" si="57"/>
        <v>#N/A</v>
      </c>
      <c r="AK317" s="1">
        <f t="shared" si="64"/>
        <v>46.19999999999974</v>
      </c>
      <c r="AL317" s="1">
        <f t="shared" si="54"/>
        <v>0.24033310217281328</v>
      </c>
      <c r="AM317" s="1">
        <f t="shared" si="58"/>
        <v>0.15393287466691774</v>
      </c>
      <c r="AN317" s="1">
        <f t="shared" si="59"/>
        <v>0</v>
      </c>
      <c r="AO317" s="1">
        <f t="shared" si="60"/>
        <v>0.15352831022498278</v>
      </c>
      <c r="AP317" s="1">
        <f t="shared" si="55"/>
        <v>3.3232663410496941</v>
      </c>
      <c r="AQ317" s="1">
        <f t="shared" si="61"/>
        <v>1.0824685171655077E-3</v>
      </c>
      <c r="AR317" s="1">
        <f t="shared" si="62"/>
        <v>1.0824685171655077E-3</v>
      </c>
      <c r="AS317" s="1">
        <f t="shared" si="63"/>
        <v>9.7913027314444883E-4</v>
      </c>
    </row>
    <row r="318" spans="35:45" ht="11.25" customHeight="1" x14ac:dyDescent="0.2">
      <c r="AI318" s="3" t="e">
        <f t="shared" si="56"/>
        <v>#N/A</v>
      </c>
      <c r="AJ318" s="3" t="e">
        <f t="shared" si="57"/>
        <v>#N/A</v>
      </c>
      <c r="AK318" s="1">
        <f t="shared" si="64"/>
        <v>46.349999999999739</v>
      </c>
      <c r="AL318" s="1">
        <f t="shared" si="54"/>
        <v>0.23084626919230825</v>
      </c>
      <c r="AM318" s="1">
        <f t="shared" si="58"/>
        <v>0.15428564558384039</v>
      </c>
      <c r="AN318" s="1">
        <f t="shared" si="59"/>
        <v>0</v>
      </c>
      <c r="AO318" s="1">
        <f t="shared" si="60"/>
        <v>0.15388015399382582</v>
      </c>
      <c r="AP318" s="1">
        <f t="shared" si="55"/>
        <v>3.3146419474310531</v>
      </c>
      <c r="AQ318" s="1">
        <f t="shared" si="61"/>
        <v>1.107534315569411E-3</v>
      </c>
      <c r="AR318" s="1">
        <f t="shared" si="62"/>
        <v>1.107534315569411E-3</v>
      </c>
      <c r="AS318" s="1">
        <f t="shared" si="63"/>
        <v>1.0018031561416039E-3</v>
      </c>
    </row>
    <row r="319" spans="35:45" ht="11.25" customHeight="1" x14ac:dyDescent="0.2">
      <c r="AI319" s="3" t="e">
        <f t="shared" si="56"/>
        <v>#N/A</v>
      </c>
      <c r="AJ319" s="3" t="e">
        <f t="shared" si="57"/>
        <v>#N/A</v>
      </c>
      <c r="AK319" s="1">
        <f t="shared" si="64"/>
        <v>46.499999999999737</v>
      </c>
      <c r="AL319" s="1">
        <f t="shared" si="54"/>
        <v>0.22135943621180318</v>
      </c>
      <c r="AM319" s="1">
        <f t="shared" si="58"/>
        <v>0.15462500961849202</v>
      </c>
      <c r="AN319" s="1">
        <f t="shared" si="59"/>
        <v>0</v>
      </c>
      <c r="AO319" s="1">
        <f t="shared" si="60"/>
        <v>0.15421862611619691</v>
      </c>
      <c r="AP319" s="1">
        <f t="shared" si="55"/>
        <v>3.3060175538124121</v>
      </c>
      <c r="AQ319" s="1">
        <f t="shared" si="61"/>
        <v>1.1331427442109324E-3</v>
      </c>
      <c r="AR319" s="1">
        <f t="shared" si="62"/>
        <v>1.1331427442109324E-3</v>
      </c>
      <c r="AS319" s="1">
        <f t="shared" si="63"/>
        <v>1.0249668669867289E-3</v>
      </c>
    </row>
    <row r="320" spans="35:45" ht="11.25" customHeight="1" x14ac:dyDescent="0.2">
      <c r="AI320" s="3" t="e">
        <f t="shared" si="56"/>
        <v>#N/A</v>
      </c>
      <c r="AJ320" s="3" t="e">
        <f t="shared" si="57"/>
        <v>#N/A</v>
      </c>
      <c r="AK320" s="1">
        <f t="shared" si="64"/>
        <v>46.649999999999736</v>
      </c>
      <c r="AL320" s="1">
        <f t="shared" si="54"/>
        <v>0.21187260323129814</v>
      </c>
      <c r="AM320" s="1">
        <f t="shared" si="58"/>
        <v>0.15495087011707653</v>
      </c>
      <c r="AN320" s="1">
        <f t="shared" si="59"/>
        <v>0</v>
      </c>
      <c r="AO320" s="1">
        <f t="shared" si="60"/>
        <v>0.15454363019232428</v>
      </c>
      <c r="AP320" s="1">
        <f t="shared" si="55"/>
        <v>3.2973931601937712</v>
      </c>
      <c r="AQ320" s="1">
        <f t="shared" si="61"/>
        <v>1.1593044543008882E-3</v>
      </c>
      <c r="AR320" s="1">
        <f t="shared" si="62"/>
        <v>1.1593044543008882E-3</v>
      </c>
      <c r="AS320" s="1">
        <f t="shared" si="63"/>
        <v>1.0486310400689913E-3</v>
      </c>
    </row>
    <row r="321" spans="35:45" ht="11.25" customHeight="1" x14ac:dyDescent="0.2">
      <c r="AI321" s="3" t="e">
        <f t="shared" si="56"/>
        <v>#N/A</v>
      </c>
      <c r="AJ321" s="3" t="e">
        <f t="shared" si="57"/>
        <v>#N/A</v>
      </c>
      <c r="AK321" s="1">
        <f t="shared" si="64"/>
        <v>46.799999999999734</v>
      </c>
      <c r="AL321" s="1">
        <f t="shared" si="54"/>
        <v>0.2023857702507931</v>
      </c>
      <c r="AM321" s="1">
        <f t="shared" si="58"/>
        <v>0.15526313411395876</v>
      </c>
      <c r="AN321" s="1">
        <f t="shared" si="59"/>
        <v>0</v>
      </c>
      <c r="AO321" s="1">
        <f t="shared" si="60"/>
        <v>0.15485507350090383</v>
      </c>
      <c r="AP321" s="1">
        <f t="shared" si="55"/>
        <v>3.2887687665751302</v>
      </c>
      <c r="AQ321" s="1">
        <f t="shared" si="61"/>
        <v>1.1860302747378204E-3</v>
      </c>
      <c r="AR321" s="1">
        <f t="shared" si="62"/>
        <v>1.1860302747378204E-3</v>
      </c>
      <c r="AS321" s="1">
        <f t="shared" si="63"/>
        <v>1.0728054705022615E-3</v>
      </c>
    </row>
    <row r="322" spans="35:45" ht="11.25" customHeight="1" x14ac:dyDescent="0.2">
      <c r="AI322" s="3" t="e">
        <f t="shared" si="56"/>
        <v>#N/A</v>
      </c>
      <c r="AJ322" s="3" t="e">
        <f t="shared" si="57"/>
        <v>#N/A</v>
      </c>
      <c r="AK322" s="1">
        <f t="shared" si="64"/>
        <v>46.949999999999733</v>
      </c>
      <c r="AL322" s="1">
        <f t="shared" si="54"/>
        <v>0.19289893727028803</v>
      </c>
      <c r="AM322" s="1">
        <f t="shared" si="58"/>
        <v>0.15556171238495509</v>
      </c>
      <c r="AN322" s="1">
        <f t="shared" si="59"/>
        <v>0</v>
      </c>
      <c r="AO322" s="1">
        <f t="shared" si="60"/>
        <v>0.15515286705224987</v>
      </c>
      <c r="AP322" s="1">
        <f t="shared" si="55"/>
        <v>3.2801443729564892</v>
      </c>
      <c r="AQ322" s="1">
        <f t="shared" si="61"/>
        <v>1.2133312157335679E-3</v>
      </c>
      <c r="AR322" s="1">
        <f t="shared" si="62"/>
        <v>1.2133312157335679E-3</v>
      </c>
      <c r="AS322" s="1">
        <f t="shared" si="63"/>
        <v>1.0975001174045691E-3</v>
      </c>
    </row>
    <row r="323" spans="35:45" ht="11.25" customHeight="1" x14ac:dyDescent="0.2">
      <c r="AI323" s="3" t="e">
        <f t="shared" si="56"/>
        <v>#N/A</v>
      </c>
      <c r="AJ323" s="3" t="e">
        <f t="shared" si="57"/>
        <v>#N/A</v>
      </c>
      <c r="AK323" s="1">
        <f t="shared" si="64"/>
        <v>47.099999999999731</v>
      </c>
      <c r="AL323" s="1">
        <f t="shared" si="54"/>
        <v>0.183412104289783</v>
      </c>
      <c r="AM323" s="1">
        <f t="shared" si="58"/>
        <v>0.15584651947175843</v>
      </c>
      <c r="AN323" s="1">
        <f t="shared" si="59"/>
        <v>0</v>
      </c>
      <c r="AO323" s="1">
        <f t="shared" si="60"/>
        <v>0.15543692561265571</v>
      </c>
      <c r="AP323" s="1">
        <f t="shared" si="55"/>
        <v>3.2715199793378482</v>
      </c>
      <c r="AQ323" s="1">
        <f t="shared" si="61"/>
        <v>1.2412184696719564E-3</v>
      </c>
      <c r="AR323" s="1">
        <f t="shared" si="62"/>
        <v>1.2412184696719564E-3</v>
      </c>
      <c r="AS323" s="1">
        <f t="shared" si="63"/>
        <v>1.1227251046748159E-3</v>
      </c>
    </row>
    <row r="324" spans="35:45" ht="11.25" customHeight="1" x14ac:dyDescent="0.2">
      <c r="AI324" s="3" t="e">
        <f t="shared" si="56"/>
        <v>#N/A</v>
      </c>
      <c r="AJ324" s="3" t="e">
        <f t="shared" si="57"/>
        <v>#N/A</v>
      </c>
      <c r="AK324" s="1">
        <f t="shared" si="64"/>
        <v>47.24999999999973</v>
      </c>
      <c r="AL324" s="1">
        <f t="shared" si="54"/>
        <v>0.17392527130927796</v>
      </c>
      <c r="AM324" s="1">
        <f t="shared" si="58"/>
        <v>0.15611747374411067</v>
      </c>
      <c r="AN324" s="1">
        <f t="shared" si="59"/>
        <v>0</v>
      </c>
      <c r="AO324" s="1">
        <f t="shared" si="60"/>
        <v>0.15570716776640287</v>
      </c>
      <c r="AP324" s="1">
        <f t="shared" si="55"/>
        <v>3.2628955857192072</v>
      </c>
      <c r="AQ324" s="1">
        <f t="shared" si="61"/>
        <v>1.2697034133552637E-3</v>
      </c>
      <c r="AR324" s="1">
        <f t="shared" si="62"/>
        <v>1.2697034133552637E-3</v>
      </c>
      <c r="AS324" s="1">
        <f t="shared" si="63"/>
        <v>1.1484907230247827E-3</v>
      </c>
    </row>
    <row r="325" spans="35:45" ht="11.25" customHeight="1" x14ac:dyDescent="0.2">
      <c r="AI325" s="3" t="e">
        <f t="shared" si="56"/>
        <v>#N/A</v>
      </c>
      <c r="AJ325" s="3" t="e">
        <f t="shared" si="57"/>
        <v>#N/A</v>
      </c>
      <c r="AK325" s="1">
        <f t="shared" si="64"/>
        <v>47.399999999999729</v>
      </c>
      <c r="AL325" s="1">
        <f t="shared" si="54"/>
        <v>0.16443843832877289</v>
      </c>
      <c r="AM325" s="1">
        <f t="shared" si="58"/>
        <v>0.1563744974242276</v>
      </c>
      <c r="AN325" s="1">
        <f t="shared" si="59"/>
        <v>0</v>
      </c>
      <c r="AO325" s="1">
        <f t="shared" si="60"/>
        <v>0.15596351594012173</v>
      </c>
      <c r="AP325" s="1">
        <f t="shared" si="55"/>
        <v>3.2542711921005667</v>
      </c>
      <c r="AQ325" s="1">
        <f t="shared" si="61"/>
        <v>1.2987976108838617E-3</v>
      </c>
      <c r="AR325" s="1">
        <f t="shared" si="62"/>
        <v>1.2987976108838617E-3</v>
      </c>
      <c r="AS325" s="1">
        <f t="shared" si="63"/>
        <v>1.1748074325838645E-3</v>
      </c>
    </row>
    <row r="326" spans="35:45" ht="11.25" customHeight="1" x14ac:dyDescent="0.2">
      <c r="AI326" s="3" t="e">
        <f t="shared" si="56"/>
        <v>#N/A</v>
      </c>
      <c r="AJ326" s="3" t="e">
        <f t="shared" si="57"/>
        <v>#N/A</v>
      </c>
      <c r="AK326" s="1">
        <f t="shared" si="64"/>
        <v>47.549999999999727</v>
      </c>
      <c r="AL326" s="1">
        <f t="shared" si="54"/>
        <v>0.15495160534826785</v>
      </c>
      <c r="AM326" s="1">
        <f t="shared" si="58"/>
        <v>0.1566175166445305</v>
      </c>
      <c r="AN326" s="1">
        <f t="shared" si="59"/>
        <v>0</v>
      </c>
      <c r="AO326" s="1">
        <f t="shared" si="60"/>
        <v>0.15620589646037139</v>
      </c>
      <c r="AP326" s="1">
        <f t="shared" si="55"/>
        <v>3.2456467984819257</v>
      </c>
      <c r="AQ326" s="1">
        <f t="shared" si="61"/>
        <v>1.3285128146016401E-3</v>
      </c>
      <c r="AR326" s="1">
        <f t="shared" si="62"/>
        <v>1.3285128146016401E-3</v>
      </c>
      <c r="AS326" s="1">
        <f t="shared" si="63"/>
        <v>1.2016858637542399E-3</v>
      </c>
    </row>
    <row r="327" spans="35:45" ht="11.25" customHeight="1" x14ac:dyDescent="0.2">
      <c r="AI327" s="3" t="e">
        <f t="shared" si="56"/>
        <v>#N/A</v>
      </c>
      <c r="AJ327" s="3" t="e">
        <f t="shared" si="57"/>
        <v>#N/A</v>
      </c>
      <c r="AK327" s="1">
        <f t="shared" si="64"/>
        <v>47.699999999999726</v>
      </c>
      <c r="AL327" s="1">
        <f t="shared" si="54"/>
        <v>0.14546477236776281</v>
      </c>
      <c r="AM327" s="1">
        <f t="shared" si="58"/>
        <v>0.1568464614698506</v>
      </c>
      <c r="AN327" s="1">
        <f t="shared" si="59"/>
        <v>0</v>
      </c>
      <c r="AO327" s="1">
        <f t="shared" si="60"/>
        <v>0.15643423957578587</v>
      </c>
      <c r="AP327" s="1">
        <f t="shared" si="55"/>
        <v>3.2370224048632847</v>
      </c>
      <c r="AQ327" s="1">
        <f t="shared" si="61"/>
        <v>1.3588609689991343E-3</v>
      </c>
      <c r="AR327" s="1">
        <f t="shared" si="62"/>
        <v>1.3588609689991343E-3</v>
      </c>
      <c r="AS327" s="1">
        <f t="shared" si="63"/>
        <v>1.2291368207413844E-3</v>
      </c>
    </row>
    <row r="328" spans="35:45" ht="11.25" customHeight="1" x14ac:dyDescent="0.2">
      <c r="AI328" s="3" t="e">
        <f t="shared" si="56"/>
        <v>#N/A</v>
      </c>
      <c r="AJ328" s="3" t="e">
        <f t="shared" si="57"/>
        <v>#N/A</v>
      </c>
      <c r="AK328" s="1">
        <f t="shared" si="64"/>
        <v>47.849999999999724</v>
      </c>
      <c r="AL328" s="1">
        <f t="shared" si="54"/>
        <v>0.13597793938725775</v>
      </c>
      <c r="AM328" s="1">
        <f t="shared" si="58"/>
        <v>0.15706126593073577</v>
      </c>
      <c r="AN328" s="1">
        <f t="shared" si="59"/>
        <v>0</v>
      </c>
      <c r="AO328" s="1">
        <f t="shared" si="60"/>
        <v>0.15664847949029309</v>
      </c>
      <c r="AP328" s="1">
        <f t="shared" si="55"/>
        <v>3.2283980112446438</v>
      </c>
      <c r="AQ328" s="1">
        <f t="shared" si="61"/>
        <v>1.389854210279845E-3</v>
      </c>
      <c r="AR328" s="1">
        <f t="shared" si="62"/>
        <v>1.389854210279845E-3</v>
      </c>
      <c r="AS328" s="1">
        <f t="shared" si="63"/>
        <v>1.2571712811617923E-3</v>
      </c>
    </row>
    <row r="329" spans="35:45" ht="11.25" customHeight="1" x14ac:dyDescent="0.2">
      <c r="AI329" s="3" t="e">
        <f t="shared" si="56"/>
        <v>#N/A</v>
      </c>
      <c r="AJ329" s="3" t="e">
        <f t="shared" si="57"/>
        <v>#N/A</v>
      </c>
      <c r="AK329" s="1">
        <f t="shared" si="64"/>
        <v>47.999999999999723</v>
      </c>
      <c r="AL329" s="1">
        <f t="shared" ref="AL329:AL392" si="65">ABS(($AL$5-AK329)/$AL$6)</f>
        <v>0.12649110640675271</v>
      </c>
      <c r="AM329" s="1">
        <f t="shared" si="58"/>
        <v>0.15726186807452081</v>
      </c>
      <c r="AN329" s="1">
        <f t="shared" si="59"/>
        <v>0</v>
      </c>
      <c r="AO329" s="1">
        <f t="shared" si="60"/>
        <v>0.15684855441405102</v>
      </c>
      <c r="AP329" s="1">
        <f t="shared" ref="AP329:AP392" si="66">ABS(($AP$5-AK329)/$AP$6)</f>
        <v>3.2197736176260028</v>
      </c>
      <c r="AQ329" s="1">
        <f t="shared" si="61"/>
        <v>1.4215048719633944E-3</v>
      </c>
      <c r="AR329" s="1">
        <f t="shared" si="62"/>
        <v>1.4215048719633944E-3</v>
      </c>
      <c r="AS329" s="1">
        <f t="shared" si="63"/>
        <v>1.2858004011112253E-3</v>
      </c>
    </row>
    <row r="330" spans="35:45" ht="11.25" customHeight="1" x14ac:dyDescent="0.2">
      <c r="AI330" s="3" t="e">
        <f t="shared" ref="AI330:AI393" si="67">IF($M$18,AI329,NA())</f>
        <v>#N/A</v>
      </c>
      <c r="AJ330" s="3" t="e">
        <f t="shared" ref="AJ330:AJ393" si="68">IF($M$18,AJ329,NA())</f>
        <v>#N/A</v>
      </c>
      <c r="AK330" s="1">
        <f t="shared" si="64"/>
        <v>48.149999999999721</v>
      </c>
      <c r="AL330" s="1">
        <f t="shared" si="65"/>
        <v>0.11700427342624765</v>
      </c>
      <c r="AM330" s="1">
        <f t="shared" ref="AM330:AM393" si="69">$AL$3*ABS((TDIST(AL330,$AL$7,1)-TDIST(AL330+$AL$1,$AL$7,1))/($AL$1))</f>
        <v>0.15744820997198872</v>
      </c>
      <c r="AN330" s="1">
        <f t="shared" ref="AN330:AN393" si="70">IF(($D$10&gt;$AJ$5)=($D$10&gt;AK330),AM330,0)</f>
        <v>0</v>
      </c>
      <c r="AO330" s="1">
        <f t="shared" ref="AO330:AO393" si="71">AM330*$AN$5/$AN$7</f>
        <v>0.15703440657009157</v>
      </c>
      <c r="AP330" s="1">
        <f t="shared" si="66"/>
        <v>3.2111492240073618</v>
      </c>
      <c r="AQ330" s="1">
        <f t="shared" ref="AQ330:AQ393" si="72">$AL$3*ABS((TDIST(AP330,$AP$7,1)-TDIST(AP330+$AL$1,$AP$7,1))/($AL$1))</f>
        <v>1.4538254831074349E-3</v>
      </c>
      <c r="AR330" s="1">
        <f t="shared" ref="AR330:AR393" si="73">IF(($D$19&gt;$AJ$5)=($D$19&gt;AK330),AQ330,0)</f>
        <v>1.4538254831074349E-3</v>
      </c>
      <c r="AS330" s="1">
        <f t="shared" ref="AS330:AS393" si="74">AQ330*$AN$5/$AR$7</f>
        <v>1.3150355135563673E-3</v>
      </c>
    </row>
    <row r="331" spans="35:45" ht="11.25" customHeight="1" x14ac:dyDescent="0.2">
      <c r="AI331" s="3" t="e">
        <f t="shared" si="67"/>
        <v>#N/A</v>
      </c>
      <c r="AJ331" s="3" t="e">
        <f t="shared" si="68"/>
        <v>#N/A</v>
      </c>
      <c r="AK331" s="1">
        <f t="shared" si="64"/>
        <v>48.29999999999972</v>
      </c>
      <c r="AL331" s="1">
        <f t="shared" si="65"/>
        <v>0.1075174404457426</v>
      </c>
      <c r="AM331" s="1">
        <f t="shared" si="69"/>
        <v>0.15762023777066148</v>
      </c>
      <c r="AN331" s="1">
        <f t="shared" si="70"/>
        <v>0</v>
      </c>
      <c r="AO331" s="1">
        <f t="shared" si="71"/>
        <v>0.15720598224747109</v>
      </c>
      <c r="AP331" s="1">
        <f t="shared" si="66"/>
        <v>3.2025248303887208</v>
      </c>
      <c r="AQ331" s="1">
        <f t="shared" si="72"/>
        <v>1.4868287736505975E-3</v>
      </c>
      <c r="AR331" s="1">
        <f t="shared" si="73"/>
        <v>1.4868287736505975E-3</v>
      </c>
      <c r="AS331" s="1">
        <f t="shared" si="74"/>
        <v>1.3448881331677067E-3</v>
      </c>
    </row>
    <row r="332" spans="35:45" ht="11.25" customHeight="1" x14ac:dyDescent="0.2">
      <c r="AI332" s="3" t="e">
        <f t="shared" si="67"/>
        <v>#N/A</v>
      </c>
      <c r="AJ332" s="3" t="e">
        <f t="shared" si="68"/>
        <v>#N/A</v>
      </c>
      <c r="AK332" s="1">
        <f t="shared" si="64"/>
        <v>48.449999999999719</v>
      </c>
      <c r="AL332" s="1">
        <f t="shared" si="65"/>
        <v>9.8030607465237563E-2</v>
      </c>
      <c r="AM332" s="1">
        <f t="shared" si="69"/>
        <v>0.15777790170146133</v>
      </c>
      <c r="AN332" s="1">
        <f t="shared" si="70"/>
        <v>0</v>
      </c>
      <c r="AO332" s="1">
        <f t="shared" si="71"/>
        <v>0.15736323180791428</v>
      </c>
      <c r="AP332" s="1">
        <f t="shared" si="66"/>
        <v>3.1939004367700798</v>
      </c>
      <c r="AQ332" s="1">
        <f t="shared" si="72"/>
        <v>1.5205276745512697E-3</v>
      </c>
      <c r="AR332" s="1">
        <f t="shared" si="73"/>
        <v>1.5205276745512697E-3</v>
      </c>
      <c r="AS332" s="1">
        <f t="shared" si="74"/>
        <v>1.3753699564450648E-3</v>
      </c>
    </row>
    <row r="333" spans="35:45" ht="11.25" customHeight="1" x14ac:dyDescent="0.2">
      <c r="AI333" s="3" t="e">
        <f t="shared" si="67"/>
        <v>#N/A</v>
      </c>
      <c r="AJ333" s="3" t="e">
        <f t="shared" si="68"/>
        <v>#N/A</v>
      </c>
      <c r="AK333" s="1">
        <f t="shared" si="64"/>
        <v>48.599999999999717</v>
      </c>
      <c r="AL333" s="1">
        <f t="shared" si="65"/>
        <v>8.854377448473251E-2</v>
      </c>
      <c r="AM333" s="1">
        <f t="shared" si="69"/>
        <v>0.15792115612311974</v>
      </c>
      <c r="AN333" s="1">
        <f t="shared" si="70"/>
        <v>0</v>
      </c>
      <c r="AO333" s="1">
        <f t="shared" si="71"/>
        <v>0.15750610973010643</v>
      </c>
      <c r="AP333" s="1">
        <f t="shared" si="66"/>
        <v>3.1852760431514389</v>
      </c>
      <c r="AQ333" s="1">
        <f t="shared" si="72"/>
        <v>1.5549353210402017E-3</v>
      </c>
      <c r="AR333" s="1">
        <f t="shared" si="73"/>
        <v>1.5549353210402017E-3</v>
      </c>
      <c r="AS333" s="1">
        <f t="shared" si="74"/>
        <v>1.406492864659692E-3</v>
      </c>
    </row>
    <row r="334" spans="35:45" ht="11.25" customHeight="1" x14ac:dyDescent="0.2">
      <c r="AI334" s="3" t="e">
        <f t="shared" si="67"/>
        <v>#N/A</v>
      </c>
      <c r="AJ334" s="3" t="e">
        <f t="shared" si="68"/>
        <v>#N/A</v>
      </c>
      <c r="AK334" s="1">
        <f t="shared" si="64"/>
        <v>48.749999999999716</v>
      </c>
      <c r="AL334" s="1">
        <f t="shared" si="65"/>
        <v>7.9056941504227457E-2</v>
      </c>
      <c r="AM334" s="1">
        <f t="shared" si="69"/>
        <v>0.15804995952661827</v>
      </c>
      <c r="AN334" s="1">
        <f t="shared" si="70"/>
        <v>0</v>
      </c>
      <c r="AO334" s="1">
        <f t="shared" si="71"/>
        <v>0.15763457461412256</v>
      </c>
      <c r="AP334" s="1">
        <f t="shared" si="66"/>
        <v>3.1766516495327979</v>
      </c>
      <c r="AQ334" s="1">
        <f t="shared" si="72"/>
        <v>1.5900650543552303E-3</v>
      </c>
      <c r="AR334" s="1">
        <f t="shared" si="73"/>
        <v>1.5900650543552303E-3</v>
      </c>
      <c r="AS334" s="1">
        <f t="shared" si="74"/>
        <v>1.4382689254233848E-3</v>
      </c>
    </row>
    <row r="335" spans="35:45" ht="11.25" customHeight="1" x14ac:dyDescent="0.2">
      <c r="AI335" s="3" t="e">
        <f t="shared" si="67"/>
        <v>#N/A</v>
      </c>
      <c r="AJ335" s="3" t="e">
        <f t="shared" si="68"/>
        <v>#N/A</v>
      </c>
      <c r="AK335" s="1">
        <f t="shared" si="64"/>
        <v>48.899999999999714</v>
      </c>
      <c r="AL335" s="1">
        <f t="shared" si="65"/>
        <v>6.9570108523722418E-2</v>
      </c>
      <c r="AM335" s="1">
        <f t="shared" si="69"/>
        <v>0.1581642745662748</v>
      </c>
      <c r="AN335" s="1">
        <f t="shared" si="70"/>
        <v>0</v>
      </c>
      <c r="AO335" s="1">
        <f t="shared" si="71"/>
        <v>0.15774858921243201</v>
      </c>
      <c r="AP335" s="1">
        <f t="shared" si="66"/>
        <v>3.1680272559141569</v>
      </c>
      <c r="AQ335" s="1">
        <f t="shared" si="72"/>
        <v>1.6259304225999666E-3</v>
      </c>
      <c r="AR335" s="1">
        <f t="shared" si="73"/>
        <v>1.6259304225999666E-3</v>
      </c>
      <c r="AS335" s="1">
        <f t="shared" si="74"/>
        <v>1.4707103934651991E-3</v>
      </c>
    </row>
    <row r="336" spans="35:45" ht="11.25" customHeight="1" x14ac:dyDescent="0.2">
      <c r="AI336" s="3" t="e">
        <f t="shared" si="67"/>
        <v>#N/A</v>
      </c>
      <c r="AJ336" s="3" t="e">
        <f t="shared" si="68"/>
        <v>#N/A</v>
      </c>
      <c r="AK336" s="1">
        <f t="shared" si="64"/>
        <v>49.049999999999713</v>
      </c>
      <c r="AL336" s="1">
        <f t="shared" si="65"/>
        <v>6.0083275543217365E-2</v>
      </c>
      <c r="AM336" s="1">
        <f t="shared" si="69"/>
        <v>0.1582640680752867</v>
      </c>
      <c r="AN336" s="1">
        <f t="shared" si="70"/>
        <v>0</v>
      </c>
      <c r="AO336" s="1">
        <f t="shared" si="71"/>
        <v>0.15784812044540075</v>
      </c>
      <c r="AP336" s="1">
        <f t="shared" si="66"/>
        <v>3.1594028622955159</v>
      </c>
      <c r="AQ336" s="1">
        <f t="shared" si="72"/>
        <v>1.6625451855836748E-3</v>
      </c>
      <c r="AR336" s="1">
        <f t="shared" si="73"/>
        <v>1.6625451855836748E-3</v>
      </c>
      <c r="AS336" s="1">
        <f t="shared" si="74"/>
        <v>1.5038297150092878E-3</v>
      </c>
    </row>
    <row r="337" spans="35:45" ht="11.25" customHeight="1" x14ac:dyDescent="0.2">
      <c r="AI337" s="3" t="e">
        <f t="shared" si="67"/>
        <v>#N/A</v>
      </c>
      <c r="AJ337" s="3" t="e">
        <f t="shared" si="68"/>
        <v>#N/A</v>
      </c>
      <c r="AK337" s="1">
        <f t="shared" si="64"/>
        <v>49.199999999999712</v>
      </c>
      <c r="AL337" s="1">
        <f t="shared" si="65"/>
        <v>5.0596442562712313E-2</v>
      </c>
      <c r="AM337" s="1">
        <f t="shared" si="69"/>
        <v>0.15834931109681705</v>
      </c>
      <c r="AN337" s="1">
        <f t="shared" si="70"/>
        <v>0</v>
      </c>
      <c r="AO337" s="1">
        <f t="shared" si="71"/>
        <v>0.15793313943229581</v>
      </c>
      <c r="AP337" s="1">
        <f t="shared" si="66"/>
        <v>3.1507784686768749</v>
      </c>
      <c r="AQ337" s="1">
        <f t="shared" si="72"/>
        <v>1.6999233138498271E-3</v>
      </c>
      <c r="AR337" s="1">
        <f t="shared" si="73"/>
        <v>1.6999233138498271E-3</v>
      </c>
      <c r="AS337" s="1">
        <f t="shared" si="74"/>
        <v>1.5376395268961957E-3</v>
      </c>
    </row>
    <row r="338" spans="35:45" ht="11.25" customHeight="1" x14ac:dyDescent="0.2">
      <c r="AI338" s="3" t="e">
        <f t="shared" si="67"/>
        <v>#N/A</v>
      </c>
      <c r="AJ338" s="3" t="e">
        <f t="shared" si="68"/>
        <v>#N/A</v>
      </c>
      <c r="AK338" s="1">
        <f t="shared" si="64"/>
        <v>49.34999999999971</v>
      </c>
      <c r="AL338" s="1">
        <f t="shared" si="65"/>
        <v>4.1109609582207267E-2</v>
      </c>
      <c r="AM338" s="1">
        <f t="shared" si="69"/>
        <v>0.15841997886623105</v>
      </c>
      <c r="AN338" s="1">
        <f t="shared" si="70"/>
        <v>0</v>
      </c>
      <c r="AO338" s="1">
        <f t="shared" si="71"/>
        <v>0.1580036214735685</v>
      </c>
      <c r="AP338" s="1">
        <f t="shared" si="66"/>
        <v>3.142154075058234</v>
      </c>
      <c r="AQ338" s="1">
        <f t="shared" si="72"/>
        <v>1.7380789931603635E-3</v>
      </c>
      <c r="AR338" s="1">
        <f t="shared" si="73"/>
        <v>1.7380789931603635E-3</v>
      </c>
      <c r="AS338" s="1">
        <f t="shared" si="74"/>
        <v>1.572152660639027E-3</v>
      </c>
    </row>
    <row r="339" spans="35:45" ht="11.25" customHeight="1" x14ac:dyDescent="0.2">
      <c r="AI339" s="3" t="e">
        <f t="shared" si="67"/>
        <v>#N/A</v>
      </c>
      <c r="AJ339" s="3" t="e">
        <f t="shared" si="68"/>
        <v>#N/A</v>
      </c>
      <c r="AK339" s="1">
        <f t="shared" si="64"/>
        <v>49.499999999999709</v>
      </c>
      <c r="AL339" s="1">
        <f t="shared" si="65"/>
        <v>3.1622776601702221E-2</v>
      </c>
      <c r="AM339" s="1">
        <f t="shared" si="69"/>
        <v>0.15847605085994587</v>
      </c>
      <c r="AN339" s="1">
        <f t="shared" si="70"/>
        <v>0</v>
      </c>
      <c r="AO339" s="1">
        <f t="shared" si="71"/>
        <v>0.15805954609957587</v>
      </c>
      <c r="AP339" s="1">
        <f t="shared" si="66"/>
        <v>3.133529681439593</v>
      </c>
      <c r="AQ339" s="1">
        <f t="shared" si="72"/>
        <v>1.7770266247819216E-3</v>
      </c>
      <c r="AR339" s="1">
        <f t="shared" si="73"/>
        <v>1.7770266247819216E-3</v>
      </c>
      <c r="AS339" s="1">
        <f t="shared" si="74"/>
        <v>1.6073821426823508E-3</v>
      </c>
    </row>
    <row r="340" spans="35:45" ht="11.25" customHeight="1" x14ac:dyDescent="0.2">
      <c r="AI340" s="3" t="e">
        <f t="shared" si="67"/>
        <v>#N/A</v>
      </c>
      <c r="AJ340" s="3" t="e">
        <f t="shared" si="68"/>
        <v>#N/A</v>
      </c>
      <c r="AK340" s="1">
        <f t="shared" si="64"/>
        <v>49.649999999999707</v>
      </c>
      <c r="AL340" s="1">
        <f t="shared" si="65"/>
        <v>2.2135943621197172E-2</v>
      </c>
      <c r="AM340" s="1">
        <f t="shared" si="69"/>
        <v>0.15851751078432841</v>
      </c>
      <c r="AN340" s="1">
        <f t="shared" si="70"/>
        <v>0</v>
      </c>
      <c r="AO340" s="1">
        <f t="shared" si="71"/>
        <v>0.15810089705950744</v>
      </c>
      <c r="AP340" s="1">
        <f t="shared" si="66"/>
        <v>3.124905287820952</v>
      </c>
      <c r="AQ340" s="1">
        <f t="shared" si="72"/>
        <v>1.8167808283914982E-3</v>
      </c>
      <c r="AR340" s="1">
        <f t="shared" si="73"/>
        <v>1.8167808283914982E-3</v>
      </c>
      <c r="AS340" s="1">
        <f t="shared" si="74"/>
        <v>1.6433411970304722E-3</v>
      </c>
    </row>
    <row r="341" spans="35:45" ht="11.25" customHeight="1" x14ac:dyDescent="0.2">
      <c r="AI341" s="3" t="e">
        <f t="shared" si="67"/>
        <v>#N/A</v>
      </c>
      <c r="AJ341" s="3" t="e">
        <f t="shared" si="68"/>
        <v>#N/A</v>
      </c>
      <c r="AK341" s="1">
        <f t="shared" si="64"/>
        <v>49.799999999999706</v>
      </c>
      <c r="AL341" s="1">
        <f t="shared" si="65"/>
        <v>1.2649110640692122E-2</v>
      </c>
      <c r="AM341" s="1">
        <f t="shared" si="69"/>
        <v>0.15854434658457706</v>
      </c>
      <c r="AN341" s="1">
        <f t="shared" si="70"/>
        <v>0</v>
      </c>
      <c r="AO341" s="1">
        <f t="shared" si="71"/>
        <v>0.15812766233024397</v>
      </c>
      <c r="AP341" s="1">
        <f t="shared" si="66"/>
        <v>3.116280894202311</v>
      </c>
      <c r="AQ341" s="1">
        <f t="shared" si="72"/>
        <v>1.8573564441841384E-3</v>
      </c>
      <c r="AR341" s="1">
        <f t="shared" si="73"/>
        <v>1.8573564441841384E-3</v>
      </c>
      <c r="AS341" s="1">
        <f t="shared" si="74"/>
        <v>1.6800432471539102E-3</v>
      </c>
    </row>
    <row r="342" spans="35:45" ht="11.25" customHeight="1" x14ac:dyDescent="0.2">
      <c r="AI342" s="3" t="e">
        <f t="shared" si="67"/>
        <v>#N/A</v>
      </c>
      <c r="AJ342" s="3" t="e">
        <f t="shared" si="68"/>
        <v>#N/A</v>
      </c>
      <c r="AK342" s="1">
        <f t="shared" si="64"/>
        <v>49.949999999999704</v>
      </c>
      <c r="AL342" s="1">
        <f t="shared" si="65"/>
        <v>3.1622776601870741E-3</v>
      </c>
      <c r="AM342" s="1">
        <f t="shared" si="69"/>
        <v>0.15855655046026484</v>
      </c>
      <c r="AN342" s="1">
        <f t="shared" si="70"/>
        <v>0</v>
      </c>
      <c r="AO342" s="1">
        <f t="shared" si="71"/>
        <v>0.15813983413185942</v>
      </c>
      <c r="AP342" s="1">
        <f t="shared" si="66"/>
        <v>3.10765650058367</v>
      </c>
      <c r="AQ342" s="1">
        <f t="shared" si="72"/>
        <v>1.8987685342260197E-3</v>
      </c>
      <c r="AR342" s="1">
        <f t="shared" si="73"/>
        <v>1.8987685342260197E-3</v>
      </c>
      <c r="AS342" s="1">
        <f t="shared" si="74"/>
        <v>1.7175019172133092E-3</v>
      </c>
    </row>
    <row r="343" spans="35:45" ht="11.25" customHeight="1" x14ac:dyDescent="0.2">
      <c r="AI343" s="3" t="e">
        <f t="shared" si="67"/>
        <v>#N/A</v>
      </c>
      <c r="AJ343" s="3" t="e">
        <f t="shared" si="68"/>
        <v>#N/A</v>
      </c>
      <c r="AK343" s="1">
        <f t="shared" si="64"/>
        <v>50.099999999999703</v>
      </c>
      <c r="AL343" s="1">
        <f t="shared" si="65"/>
        <v>6.3245553203179743E-3</v>
      </c>
      <c r="AM343" s="1">
        <f t="shared" si="69"/>
        <v>0.15855410857579244</v>
      </c>
      <c r="AN343" s="1">
        <f t="shared" si="70"/>
        <v>0.15855410857579244</v>
      </c>
      <c r="AO343" s="1">
        <f t="shared" si="71"/>
        <v>0.15813739866511703</v>
      </c>
      <c r="AP343" s="1">
        <f t="shared" si="66"/>
        <v>3.0990321069650295</v>
      </c>
      <c r="AQ343" s="1">
        <f t="shared" si="72"/>
        <v>1.9410323854902184E-3</v>
      </c>
      <c r="AR343" s="1">
        <f t="shared" si="73"/>
        <v>1.9410323854902184E-3</v>
      </c>
      <c r="AS343" s="1">
        <f t="shared" si="74"/>
        <v>1.7557310348053953E-3</v>
      </c>
    </row>
    <row r="344" spans="35:45" ht="11.25" customHeight="1" x14ac:dyDescent="0.2">
      <c r="AI344" s="3" t="e">
        <f t="shared" si="67"/>
        <v>#N/A</v>
      </c>
      <c r="AJ344" s="3" t="e">
        <f t="shared" si="68"/>
        <v>#N/A</v>
      </c>
      <c r="AK344" s="1">
        <f t="shared" si="64"/>
        <v>50.249999999999702</v>
      </c>
      <c r="AL344" s="1">
        <f t="shared" si="65"/>
        <v>1.5811388300823022E-2</v>
      </c>
      <c r="AM344" s="1">
        <f t="shared" si="69"/>
        <v>0.15853702679091697</v>
      </c>
      <c r="AN344" s="1">
        <f t="shared" si="70"/>
        <v>0.15853702679091697</v>
      </c>
      <c r="AO344" s="1">
        <f t="shared" si="71"/>
        <v>0.15812036177437336</v>
      </c>
      <c r="AP344" s="1">
        <f t="shared" si="66"/>
        <v>3.0904077133463885</v>
      </c>
      <c r="AQ344" s="1">
        <f t="shared" si="72"/>
        <v>1.9841635091801674E-3</v>
      </c>
      <c r="AR344" s="1">
        <f t="shared" si="73"/>
        <v>1.9841635091801674E-3</v>
      </c>
      <c r="AS344" s="1">
        <f t="shared" si="74"/>
        <v>1.7947446303510195E-3</v>
      </c>
    </row>
    <row r="345" spans="35:45" ht="11.25" customHeight="1" x14ac:dyDescent="0.2">
      <c r="AI345" s="3" t="e">
        <f t="shared" si="67"/>
        <v>#N/A</v>
      </c>
      <c r="AJ345" s="3" t="e">
        <f t="shared" si="68"/>
        <v>#N/A</v>
      </c>
      <c r="AK345" s="1">
        <f t="shared" si="64"/>
        <v>50.3999999999997</v>
      </c>
      <c r="AL345" s="1">
        <f t="shared" si="65"/>
        <v>2.5298221281328071E-2</v>
      </c>
      <c r="AM345" s="1">
        <f t="shared" si="69"/>
        <v>0.15850531520422706</v>
      </c>
      <c r="AN345" s="1">
        <f t="shared" si="70"/>
        <v>0.15850531520422706</v>
      </c>
      <c r="AO345" s="1">
        <f t="shared" si="71"/>
        <v>0.15808873353167607</v>
      </c>
      <c r="AP345" s="1">
        <f t="shared" si="66"/>
        <v>3.0817833197277475</v>
      </c>
      <c r="AQ345" s="1">
        <f t="shared" si="72"/>
        <v>2.0281776471568064E-3</v>
      </c>
      <c r="AR345" s="1">
        <f t="shared" si="73"/>
        <v>2.0281776471568064E-3</v>
      </c>
      <c r="AS345" s="1">
        <f t="shared" si="74"/>
        <v>1.8345569429087387E-3</v>
      </c>
    </row>
    <row r="346" spans="35:45" ht="11.25" customHeight="1" x14ac:dyDescent="0.2">
      <c r="AI346" s="3" t="e">
        <f t="shared" si="67"/>
        <v>#N/A</v>
      </c>
      <c r="AJ346" s="3" t="e">
        <f t="shared" si="68"/>
        <v>#N/A</v>
      </c>
      <c r="AK346" s="1">
        <f t="shared" si="64"/>
        <v>50.549999999999699</v>
      </c>
      <c r="AL346" s="1">
        <f t="shared" si="65"/>
        <v>3.478505426183312E-2</v>
      </c>
      <c r="AM346" s="1">
        <f t="shared" si="69"/>
        <v>0.1584589830438965</v>
      </c>
      <c r="AN346" s="1">
        <f t="shared" si="70"/>
        <v>0.1584589830438965</v>
      </c>
      <c r="AO346" s="1">
        <f t="shared" si="71"/>
        <v>0.15804252314094561</v>
      </c>
      <c r="AP346" s="1">
        <f t="shared" si="66"/>
        <v>3.0731589261091066</v>
      </c>
      <c r="AQ346" s="1">
        <f t="shared" si="72"/>
        <v>2.0730907695099693E-3</v>
      </c>
      <c r="AR346" s="1">
        <f t="shared" si="73"/>
        <v>2.0730907695099693E-3</v>
      </c>
      <c r="AS346" s="1">
        <f t="shared" si="74"/>
        <v>1.8751824179780508E-3</v>
      </c>
    </row>
    <row r="347" spans="35:45" ht="11.25" customHeight="1" x14ac:dyDescent="0.2">
      <c r="AI347" s="3" t="e">
        <f t="shared" si="67"/>
        <v>#N/A</v>
      </c>
      <c r="AJ347" s="3" t="e">
        <f t="shared" si="68"/>
        <v>#N/A</v>
      </c>
      <c r="AK347" s="1">
        <f t="shared" si="64"/>
        <v>50.699999999999697</v>
      </c>
      <c r="AL347" s="1">
        <f t="shared" si="65"/>
        <v>4.4271887242338166E-2</v>
      </c>
      <c r="AM347" s="1">
        <f t="shared" si="69"/>
        <v>0.15839804377026923</v>
      </c>
      <c r="AN347" s="1">
        <f t="shared" si="70"/>
        <v>0.15839804377026923</v>
      </c>
      <c r="AO347" s="1">
        <f t="shared" si="71"/>
        <v>0.15798174402714957</v>
      </c>
      <c r="AP347" s="1">
        <f t="shared" si="66"/>
        <v>3.0645345324904656</v>
      </c>
      <c r="AQ347" s="1">
        <f t="shared" si="72"/>
        <v>2.1189190786349843E-3</v>
      </c>
      <c r="AR347" s="1">
        <f t="shared" si="73"/>
        <v>2.1189190786349843E-3</v>
      </c>
      <c r="AS347" s="1">
        <f t="shared" si="74"/>
        <v>1.9166357111868207E-3</v>
      </c>
    </row>
    <row r="348" spans="35:45" ht="11.25" customHeight="1" x14ac:dyDescent="0.2">
      <c r="AI348" s="3" t="e">
        <f t="shared" si="67"/>
        <v>#N/A</v>
      </c>
      <c r="AJ348" s="3" t="e">
        <f t="shared" si="68"/>
        <v>#N/A</v>
      </c>
      <c r="AK348" s="1">
        <f t="shared" si="64"/>
        <v>50.849999999999696</v>
      </c>
      <c r="AL348" s="1">
        <f t="shared" si="65"/>
        <v>5.3758720222843219E-2</v>
      </c>
      <c r="AM348" s="1">
        <f t="shared" si="69"/>
        <v>0.15832251509362294</v>
      </c>
      <c r="AN348" s="1">
        <f t="shared" si="70"/>
        <v>0.15832251509362294</v>
      </c>
      <c r="AO348" s="1">
        <f t="shared" si="71"/>
        <v>0.15790641385401971</v>
      </c>
      <c r="AP348" s="1">
        <f t="shared" si="66"/>
        <v>3.0559101388718246</v>
      </c>
      <c r="AQ348" s="1">
        <f t="shared" si="72"/>
        <v>2.1656790095449237E-3</v>
      </c>
      <c r="AR348" s="1">
        <f t="shared" si="73"/>
        <v>2.1656790095449237E-3</v>
      </c>
      <c r="AS348" s="1">
        <f t="shared" si="74"/>
        <v>1.9589316885737216E-3</v>
      </c>
    </row>
    <row r="349" spans="35:45" ht="11.25" customHeight="1" x14ac:dyDescent="0.2">
      <c r="AI349" s="3" t="e">
        <f t="shared" si="67"/>
        <v>#N/A</v>
      </c>
      <c r="AJ349" s="3" t="e">
        <f t="shared" si="68"/>
        <v>#N/A</v>
      </c>
      <c r="AK349" s="1">
        <f t="shared" si="64"/>
        <v>50.999999999999694</v>
      </c>
      <c r="AL349" s="1">
        <f t="shared" si="65"/>
        <v>6.3245553203348265E-2</v>
      </c>
      <c r="AM349" s="1">
        <f t="shared" si="69"/>
        <v>0.15823241894974416</v>
      </c>
      <c r="AN349" s="1">
        <f t="shared" si="70"/>
        <v>0.15823241894974416</v>
      </c>
      <c r="AO349" s="1">
        <f t="shared" si="71"/>
        <v>0.15781655449969123</v>
      </c>
      <c r="AP349" s="1">
        <f t="shared" si="66"/>
        <v>3.0472857452531836</v>
      </c>
      <c r="AQ349" s="1">
        <f t="shared" si="72"/>
        <v>2.2133872346584422E-3</v>
      </c>
      <c r="AR349" s="1">
        <f t="shared" si="73"/>
        <v>2.2133872346584422E-3</v>
      </c>
      <c r="AS349" s="1">
        <f t="shared" si="74"/>
        <v>2.0020854309190004E-3</v>
      </c>
    </row>
    <row r="350" spans="35:45" ht="11.25" customHeight="1" x14ac:dyDescent="0.2">
      <c r="AI350" s="3" t="e">
        <f t="shared" si="67"/>
        <v>#N/A</v>
      </c>
      <c r="AJ350" s="3" t="e">
        <f t="shared" si="68"/>
        <v>#N/A</v>
      </c>
      <c r="AK350" s="1">
        <f t="shared" ref="AK350:AK413" si="75">AK349+$AJ$4</f>
        <v>51.149999999999693</v>
      </c>
      <c r="AL350" s="1">
        <f t="shared" si="65"/>
        <v>7.2732386183853318E-2</v>
      </c>
      <c r="AM350" s="1">
        <f t="shared" si="69"/>
        <v>0.15812778150436912</v>
      </c>
      <c r="AN350" s="1">
        <f t="shared" si="70"/>
        <v>0.15812778150436912</v>
      </c>
      <c r="AO350" s="1">
        <f t="shared" si="71"/>
        <v>0.15771219206113191</v>
      </c>
      <c r="AP350" s="1">
        <f t="shared" si="66"/>
        <v>3.0386613516345427</v>
      </c>
      <c r="AQ350" s="1">
        <f t="shared" si="72"/>
        <v>2.2620606618221901E-3</v>
      </c>
      <c r="AR350" s="1">
        <f t="shared" si="73"/>
        <v>2.2620606618221901E-3</v>
      </c>
      <c r="AS350" s="1">
        <f t="shared" si="74"/>
        <v>2.0461122319556813E-3</v>
      </c>
    </row>
    <row r="351" spans="35:45" ht="11.25" customHeight="1" x14ac:dyDescent="0.2">
      <c r="AI351" s="3" t="e">
        <f t="shared" si="67"/>
        <v>#N/A</v>
      </c>
      <c r="AJ351" s="3" t="e">
        <f t="shared" si="68"/>
        <v>#N/A</v>
      </c>
      <c r="AK351" s="1">
        <f t="shared" si="75"/>
        <v>51.299999999999692</v>
      </c>
      <c r="AL351" s="1">
        <f t="shared" si="65"/>
        <v>8.2219219164358356E-2</v>
      </c>
      <c r="AM351" s="1">
        <f t="shared" si="69"/>
        <v>0.15800863311765667</v>
      </c>
      <c r="AN351" s="1">
        <f t="shared" si="70"/>
        <v>0.15800863311765667</v>
      </c>
      <c r="AO351" s="1">
        <f t="shared" si="71"/>
        <v>0.15759335681870837</v>
      </c>
      <c r="AP351" s="1">
        <f t="shared" si="66"/>
        <v>3.0300369580159017</v>
      </c>
      <c r="AQ351" s="1">
        <f t="shared" si="72"/>
        <v>2.3117164395583529E-3</v>
      </c>
      <c r="AR351" s="1">
        <f t="shared" si="73"/>
        <v>2.3117164395583529E-3</v>
      </c>
      <c r="AS351" s="1">
        <f t="shared" si="74"/>
        <v>2.0910276031161482E-3</v>
      </c>
    </row>
    <row r="352" spans="35:45" ht="11.25" customHeight="1" x14ac:dyDescent="0.2">
      <c r="AI352" s="3" t="e">
        <f t="shared" si="67"/>
        <v>#N/A</v>
      </c>
      <c r="AJ352" s="3" t="e">
        <f t="shared" si="68"/>
        <v>#N/A</v>
      </c>
      <c r="AK352" s="1">
        <f t="shared" si="75"/>
        <v>51.44999999999969</v>
      </c>
      <c r="AL352" s="1">
        <f t="shared" si="65"/>
        <v>9.1706052144863409E-2</v>
      </c>
      <c r="AM352" s="1">
        <f t="shared" si="69"/>
        <v>0.15787500835529045</v>
      </c>
      <c r="AN352" s="1">
        <f t="shared" si="70"/>
        <v>0.15787500835529045</v>
      </c>
      <c r="AO352" s="1">
        <f t="shared" si="71"/>
        <v>0.15746008324725916</v>
      </c>
      <c r="AP352" s="1">
        <f t="shared" si="66"/>
        <v>3.0214125643972607</v>
      </c>
      <c r="AQ352" s="1">
        <f t="shared" si="72"/>
        <v>2.3623719554166644E-3</v>
      </c>
      <c r="AR352" s="1">
        <f t="shared" si="73"/>
        <v>2.3623719554166644E-3</v>
      </c>
      <c r="AS352" s="1">
        <f t="shared" si="74"/>
        <v>2.136847272041483E-3</v>
      </c>
    </row>
    <row r="353" spans="35:45" ht="11.25" customHeight="1" x14ac:dyDescent="0.2">
      <c r="AI353" s="3" t="e">
        <f t="shared" si="67"/>
        <v>#N/A</v>
      </c>
      <c r="AJ353" s="3" t="e">
        <f t="shared" si="68"/>
        <v>#N/A</v>
      </c>
      <c r="AK353" s="1">
        <f t="shared" si="75"/>
        <v>51.599999999999689</v>
      </c>
      <c r="AL353" s="1">
        <f t="shared" si="65"/>
        <v>0.10119288512536846</v>
      </c>
      <c r="AM353" s="1">
        <f t="shared" si="69"/>
        <v>0.15772694594407</v>
      </c>
      <c r="AN353" s="1">
        <f t="shared" si="70"/>
        <v>0.15772694594407</v>
      </c>
      <c r="AO353" s="1">
        <f t="shared" si="71"/>
        <v>0.15731240997180257</v>
      </c>
      <c r="AP353" s="1">
        <f t="shared" si="66"/>
        <v>3.0127881707786197</v>
      </c>
      <c r="AQ353" s="1">
        <f t="shared" si="72"/>
        <v>2.4140448400856995E-3</v>
      </c>
      <c r="AR353" s="1">
        <f t="shared" si="73"/>
        <v>2.4140448400856995E-3</v>
      </c>
      <c r="AS353" s="1">
        <f t="shared" si="74"/>
        <v>2.1835871863002715E-3</v>
      </c>
    </row>
    <row r="354" spans="35:45" ht="11.25" customHeight="1" x14ac:dyDescent="0.2">
      <c r="AI354" s="3" t="e">
        <f t="shared" si="67"/>
        <v>#N/A</v>
      </c>
      <c r="AJ354" s="3" t="e">
        <f t="shared" si="68"/>
        <v>#N/A</v>
      </c>
      <c r="AK354" s="1">
        <f t="shared" si="75"/>
        <v>51.749999999999687</v>
      </c>
      <c r="AL354" s="1">
        <f t="shared" si="65"/>
        <v>0.1106797181058735</v>
      </c>
      <c r="AM354" s="1">
        <f t="shared" si="69"/>
        <v>0.15756448878301299</v>
      </c>
      <c r="AN354" s="1">
        <f t="shared" si="70"/>
        <v>0.15756448878301299</v>
      </c>
      <c r="AO354" s="1">
        <f t="shared" si="71"/>
        <v>0.1571503797786096</v>
      </c>
      <c r="AP354" s="1">
        <f t="shared" si="66"/>
        <v>3.0041637771599787</v>
      </c>
      <c r="AQ354" s="1">
        <f t="shared" si="72"/>
        <v>2.4667529682428913E-3</v>
      </c>
      <c r="AR354" s="1">
        <f t="shared" si="73"/>
        <v>2.4667529682428913E-3</v>
      </c>
      <c r="AS354" s="1">
        <f t="shared" si="74"/>
        <v>2.2312635141574751E-3</v>
      </c>
    </row>
    <row r="355" spans="35:45" ht="11.25" customHeight="1" x14ac:dyDescent="0.2">
      <c r="AI355" s="3" t="e">
        <f t="shared" si="67"/>
        <v>#N/A</v>
      </c>
      <c r="AJ355" s="3" t="e">
        <f t="shared" si="68"/>
        <v>#N/A</v>
      </c>
      <c r="AK355" s="1">
        <f t="shared" si="75"/>
        <v>51.899999999999686</v>
      </c>
      <c r="AL355" s="1">
        <f t="shared" si="65"/>
        <v>0.12016655108637855</v>
      </c>
      <c r="AM355" s="1">
        <f t="shared" si="69"/>
        <v>0.15738768388340318</v>
      </c>
      <c r="AN355" s="1">
        <f t="shared" si="70"/>
        <v>0.15738768388340318</v>
      </c>
      <c r="AO355" s="1">
        <f t="shared" si="71"/>
        <v>0.15697403955540953</v>
      </c>
      <c r="AP355" s="1">
        <f t="shared" si="66"/>
        <v>2.9955393835413378</v>
      </c>
      <c r="AQ355" s="1">
        <f t="shared" si="72"/>
        <v>2.5205144603412943E-3</v>
      </c>
      <c r="AR355" s="1">
        <f t="shared" si="73"/>
        <v>2.5205144603412943E-3</v>
      </c>
      <c r="AS355" s="1">
        <f t="shared" si="74"/>
        <v>2.2798926461906188E-3</v>
      </c>
    </row>
    <row r="356" spans="35:45" ht="11.25" customHeight="1" x14ac:dyDescent="0.2">
      <c r="AI356" s="3" t="e">
        <f t="shared" si="67"/>
        <v>#N/A</v>
      </c>
      <c r="AJ356" s="3" t="e">
        <f t="shared" si="68"/>
        <v>#N/A</v>
      </c>
      <c r="AK356" s="1">
        <f t="shared" si="75"/>
        <v>52.049999999999685</v>
      </c>
      <c r="AL356" s="1">
        <f t="shared" si="65"/>
        <v>0.12965338406688359</v>
      </c>
      <c r="AM356" s="1">
        <f t="shared" si="69"/>
        <v>0.15719658238433354</v>
      </c>
      <c r="AN356" s="1">
        <f t="shared" si="70"/>
        <v>0.15719658238433354</v>
      </c>
      <c r="AO356" s="1">
        <f t="shared" si="71"/>
        <v>0.15678344030689223</v>
      </c>
      <c r="AP356" s="1">
        <f t="shared" si="66"/>
        <v>2.9869149899226968</v>
      </c>
      <c r="AQ356" s="1">
        <f t="shared" si="72"/>
        <v>2.5753476834596001E-3</v>
      </c>
      <c r="AR356" s="1">
        <f t="shared" si="73"/>
        <v>2.5753476834596001E-3</v>
      </c>
      <c r="AS356" s="1">
        <f t="shared" si="74"/>
        <v>2.3294911960586593E-3</v>
      </c>
    </row>
    <row r="357" spans="35:45" ht="11.25" customHeight="1" x14ac:dyDescent="0.2">
      <c r="AI357" s="3" t="e">
        <f t="shared" si="67"/>
        <v>#N/A</v>
      </c>
      <c r="AJ357" s="3" t="e">
        <f t="shared" si="68"/>
        <v>#N/A</v>
      </c>
      <c r="AK357" s="1">
        <f t="shared" si="75"/>
        <v>52.199999999999683</v>
      </c>
      <c r="AL357" s="1">
        <f t="shared" si="65"/>
        <v>0.13914021704738866</v>
      </c>
      <c r="AM357" s="1">
        <f t="shared" si="69"/>
        <v>0.15699123950163596</v>
      </c>
      <c r="AN357" s="1">
        <f t="shared" si="70"/>
        <v>0.15699123950163596</v>
      </c>
      <c r="AO357" s="1">
        <f t="shared" si="71"/>
        <v>0.15657863710377204</v>
      </c>
      <c r="AP357" s="1">
        <f t="shared" si="66"/>
        <v>2.9782905963040558</v>
      </c>
      <c r="AQ357" s="1">
        <f t="shared" si="72"/>
        <v>2.631271254303208E-3</v>
      </c>
      <c r="AR357" s="1">
        <f t="shared" si="73"/>
        <v>2.631271254303208E-3</v>
      </c>
      <c r="AS357" s="1">
        <f t="shared" si="74"/>
        <v>2.3800760032165586E-3</v>
      </c>
    </row>
    <row r="358" spans="35:45" ht="11.25" customHeight="1" x14ac:dyDescent="0.2">
      <c r="AI358" s="3" t="e">
        <f t="shared" si="67"/>
        <v>#N/A</v>
      </c>
      <c r="AJ358" s="3" t="e">
        <f t="shared" si="68"/>
        <v>#N/A</v>
      </c>
      <c r="AK358" s="1">
        <f t="shared" si="75"/>
        <v>52.349999999999682</v>
      </c>
      <c r="AL358" s="1">
        <f t="shared" si="65"/>
        <v>0.1486270500278937</v>
      </c>
      <c r="AM358" s="1">
        <f t="shared" si="69"/>
        <v>0.15677171450567684</v>
      </c>
      <c r="AN358" s="1">
        <f t="shared" si="70"/>
        <v>0.15677171450567684</v>
      </c>
      <c r="AO358" s="1">
        <f t="shared" si="71"/>
        <v>0.15635968906064168</v>
      </c>
      <c r="AP358" s="1">
        <f t="shared" si="66"/>
        <v>2.9696662026854148</v>
      </c>
      <c r="AQ358" s="1">
        <f t="shared" si="72"/>
        <v>2.6883040388052393E-3</v>
      </c>
      <c r="AR358" s="1">
        <f t="shared" si="73"/>
        <v>2.6883040388052393E-3</v>
      </c>
      <c r="AS358" s="1">
        <f t="shared" si="74"/>
        <v>2.4316641325543881E-3</v>
      </c>
    </row>
    <row r="359" spans="35:45" ht="11.25" customHeight="1" x14ac:dyDescent="0.2">
      <c r="AI359" s="3" t="e">
        <f t="shared" si="67"/>
        <v>#N/A</v>
      </c>
      <c r="AJ359" s="3" t="e">
        <f t="shared" si="68"/>
        <v>#N/A</v>
      </c>
      <c r="AK359" s="1">
        <f t="shared" si="75"/>
        <v>52.49999999999968</v>
      </c>
      <c r="AL359" s="1">
        <f t="shared" si="65"/>
        <v>0.15811388300839874</v>
      </c>
      <c r="AM359" s="1">
        <f t="shared" si="69"/>
        <v>0.15653807069027081</v>
      </c>
      <c r="AN359" s="1">
        <f t="shared" si="70"/>
        <v>0.15653807069027081</v>
      </c>
      <c r="AO359" s="1">
        <f t="shared" si="71"/>
        <v>0.15612665930496783</v>
      </c>
      <c r="AP359" s="1">
        <f t="shared" si="66"/>
        <v>2.9610418090667738</v>
      </c>
      <c r="AQ359" s="1">
        <f t="shared" si="72"/>
        <v>2.7464651549194419E-3</v>
      </c>
      <c r="AR359" s="1">
        <f t="shared" si="73"/>
        <v>2.7464651549194419E-3</v>
      </c>
      <c r="AS359" s="1">
        <f t="shared" si="74"/>
        <v>2.4842728769236045E-3</v>
      </c>
    </row>
    <row r="360" spans="35:45" ht="11.25" customHeight="1" x14ac:dyDescent="0.2">
      <c r="AI360" s="3" t="e">
        <f t="shared" si="67"/>
        <v>#N/A</v>
      </c>
      <c r="AJ360" s="3" t="e">
        <f t="shared" si="68"/>
        <v>#N/A</v>
      </c>
      <c r="AK360" s="1">
        <f t="shared" si="75"/>
        <v>52.649999999999679</v>
      </c>
      <c r="AL360" s="1">
        <f t="shared" si="65"/>
        <v>0.1676007159889038</v>
      </c>
      <c r="AM360" s="1">
        <f t="shared" si="69"/>
        <v>0.1562903753504763</v>
      </c>
      <c r="AN360" s="1">
        <f t="shared" si="70"/>
        <v>0.1562903753504763</v>
      </c>
      <c r="AO360" s="1">
        <f t="shared" si="71"/>
        <v>0.15587961495494487</v>
      </c>
      <c r="AP360" s="1">
        <f t="shared" si="66"/>
        <v>2.9524174154481333</v>
      </c>
      <c r="AQ360" s="1">
        <f t="shared" si="72"/>
        <v>2.8057739736783716E-3</v>
      </c>
      <c r="AR360" s="1">
        <f t="shared" si="73"/>
        <v>2.8057739736783716E-3</v>
      </c>
      <c r="AS360" s="1">
        <f t="shared" si="74"/>
        <v>2.5379197580942155E-3</v>
      </c>
    </row>
    <row r="361" spans="35:45" ht="11.25" customHeight="1" x14ac:dyDescent="0.2">
      <c r="AI361" s="3" t="e">
        <f t="shared" si="67"/>
        <v>#N/A</v>
      </c>
      <c r="AJ361" s="3" t="e">
        <f t="shared" si="68"/>
        <v>#N/A</v>
      </c>
      <c r="AK361" s="1">
        <f t="shared" si="75"/>
        <v>52.799999999999677</v>
      </c>
      <c r="AL361" s="1">
        <f t="shared" si="65"/>
        <v>0.17708754896940884</v>
      </c>
      <c r="AM361" s="1">
        <f t="shared" si="69"/>
        <v>0.15602869973596611</v>
      </c>
      <c r="AN361" s="1">
        <f t="shared" si="70"/>
        <v>0.15602869973596611</v>
      </c>
      <c r="AO361" s="1">
        <f t="shared" si="71"/>
        <v>0.15561862707298812</v>
      </c>
      <c r="AP361" s="1">
        <f t="shared" si="66"/>
        <v>2.9437930218294923</v>
      </c>
      <c r="AQ361" s="1">
        <f t="shared" si="72"/>
        <v>2.866250120373004E-3</v>
      </c>
      <c r="AR361" s="1">
        <f t="shared" si="73"/>
        <v>2.866250120373004E-3</v>
      </c>
      <c r="AS361" s="1">
        <f t="shared" si="74"/>
        <v>2.5926225278217765E-3</v>
      </c>
    </row>
    <row r="362" spans="35:45" ht="11.25" customHeight="1" x14ac:dyDescent="0.2">
      <c r="AI362" s="3" t="e">
        <f t="shared" si="67"/>
        <v>#N/A</v>
      </c>
      <c r="AJ362" s="3" t="e">
        <f t="shared" si="68"/>
        <v>#N/A</v>
      </c>
      <c r="AK362" s="1">
        <f t="shared" si="75"/>
        <v>52.949999999999676</v>
      </c>
      <c r="AL362" s="1">
        <f t="shared" si="65"/>
        <v>0.18657438194991388</v>
      </c>
      <c r="AM362" s="1">
        <f t="shared" si="69"/>
        <v>0.15575311902438216</v>
      </c>
      <c r="AN362" s="1">
        <f t="shared" si="70"/>
        <v>0.15575311902438216</v>
      </c>
      <c r="AO362" s="1">
        <f t="shared" si="71"/>
        <v>0.15534377063915855</v>
      </c>
      <c r="AP362" s="1">
        <f t="shared" si="66"/>
        <v>2.9351686282108513</v>
      </c>
      <c r="AQ362" s="1">
        <f t="shared" si="72"/>
        <v>2.9279134757149994E-3</v>
      </c>
      <c r="AR362" s="1">
        <f t="shared" si="73"/>
        <v>2.9279134757149994E-3</v>
      </c>
      <c r="AS362" s="1">
        <f t="shared" si="74"/>
        <v>2.6483991688987011E-3</v>
      </c>
    </row>
    <row r="363" spans="35:45" ht="11.25" customHeight="1" x14ac:dyDescent="0.2">
      <c r="AI363" s="3" t="e">
        <f t="shared" si="67"/>
        <v>#N/A</v>
      </c>
      <c r="AJ363" s="3" t="e">
        <f t="shared" si="68"/>
        <v>#N/A</v>
      </c>
      <c r="AK363" s="1">
        <f t="shared" si="75"/>
        <v>53.099999999999675</v>
      </c>
      <c r="AL363" s="1">
        <f t="shared" si="65"/>
        <v>0.19606121493041895</v>
      </c>
      <c r="AM363" s="1">
        <f t="shared" si="69"/>
        <v>0.15546371228580824</v>
      </c>
      <c r="AN363" s="1">
        <f t="shared" si="70"/>
        <v>0.15546371228580824</v>
      </c>
      <c r="AO363" s="1">
        <f t="shared" si="71"/>
        <v>0.15505512451572898</v>
      </c>
      <c r="AP363" s="1">
        <f t="shared" si="66"/>
        <v>2.9265442345922104</v>
      </c>
      <c r="AQ363" s="1">
        <f t="shared" si="72"/>
        <v>2.990784176530592E-3</v>
      </c>
      <c r="AR363" s="1">
        <f t="shared" si="73"/>
        <v>2.990784176530592E-3</v>
      </c>
      <c r="AS363" s="1">
        <f t="shared" si="74"/>
        <v>2.7052678957819069E-3</v>
      </c>
    </row>
    <row r="364" spans="35:45" ht="11.25" customHeight="1" x14ac:dyDescent="0.2">
      <c r="AI364" s="3" t="e">
        <f t="shared" si="67"/>
        <v>#N/A</v>
      </c>
      <c r="AJ364" s="3" t="e">
        <f t="shared" si="68"/>
        <v>#N/A</v>
      </c>
      <c r="AK364" s="1">
        <f t="shared" si="75"/>
        <v>53.249999999999673</v>
      </c>
      <c r="AL364" s="1">
        <f t="shared" si="65"/>
        <v>0.20554804791092399</v>
      </c>
      <c r="AM364" s="1">
        <f t="shared" si="69"/>
        <v>0.15516056242281806</v>
      </c>
      <c r="AN364" s="1">
        <f t="shared" si="70"/>
        <v>0.15516056242281806</v>
      </c>
      <c r="AO364" s="1">
        <f t="shared" si="71"/>
        <v>0.15475277138738958</v>
      </c>
      <c r="AP364" s="1">
        <f t="shared" si="66"/>
        <v>2.9179198409735694</v>
      </c>
      <c r="AQ364" s="1">
        <f t="shared" si="72"/>
        <v>3.0548826200106627E-3</v>
      </c>
      <c r="AR364" s="1">
        <f t="shared" si="73"/>
        <v>3.0548826200106627E-3</v>
      </c>
      <c r="AS364" s="1">
        <f t="shared" si="74"/>
        <v>2.7632471584371548E-3</v>
      </c>
    </row>
    <row r="365" spans="35:45" ht="11.25" customHeight="1" x14ac:dyDescent="0.2">
      <c r="AI365" s="3" t="e">
        <f t="shared" si="67"/>
        <v>#N/A</v>
      </c>
      <c r="AJ365" s="3" t="e">
        <f t="shared" si="68"/>
        <v>#N/A</v>
      </c>
      <c r="AK365" s="1">
        <f t="shared" si="75"/>
        <v>53.399999999999672</v>
      </c>
      <c r="AL365" s="1">
        <f t="shared" si="65"/>
        <v>0.21503488089142903</v>
      </c>
      <c r="AM365" s="1">
        <f t="shared" si="69"/>
        <v>0.15484375615937296</v>
      </c>
      <c r="AN365" s="1">
        <f t="shared" si="70"/>
        <v>0.15484375615937296</v>
      </c>
      <c r="AO365" s="1">
        <f t="shared" si="71"/>
        <v>0.15443679775017491</v>
      </c>
      <c r="AP365" s="1">
        <f t="shared" si="66"/>
        <v>2.9092954473549284</v>
      </c>
      <c r="AQ365" s="1">
        <f t="shared" si="72"/>
        <v>3.120229459894347E-3</v>
      </c>
      <c r="AR365" s="1">
        <f t="shared" si="73"/>
        <v>3.120229459894347E-3</v>
      </c>
      <c r="AS365" s="1">
        <f t="shared" si="74"/>
        <v>2.8223556388869888E-3</v>
      </c>
    </row>
    <row r="366" spans="35:45" ht="11.25" customHeight="1" x14ac:dyDescent="0.2">
      <c r="AI366" s="3" t="e">
        <f t="shared" si="67"/>
        <v>#N/A</v>
      </c>
      <c r="AJ366" s="3" t="e">
        <f t="shared" si="68"/>
        <v>#N/A</v>
      </c>
      <c r="AK366" s="1">
        <f t="shared" si="75"/>
        <v>53.54999999999967</v>
      </c>
      <c r="AL366" s="1">
        <f t="shared" si="65"/>
        <v>0.22452171387193409</v>
      </c>
      <c r="AM366" s="1">
        <f t="shared" si="69"/>
        <v>0.15451338396976766</v>
      </c>
      <c r="AN366" s="1">
        <f t="shared" si="70"/>
        <v>0.15451338396976766</v>
      </c>
      <c r="AO366" s="1">
        <f t="shared" si="71"/>
        <v>0.15410729384059627</v>
      </c>
      <c r="AP366" s="1">
        <f t="shared" si="66"/>
        <v>2.9006710537362874</v>
      </c>
      <c r="AQ366" s="1">
        <f t="shared" si="72"/>
        <v>3.1868456100946074E-3</v>
      </c>
      <c r="AR366" s="1">
        <f t="shared" si="73"/>
        <v>3.1868456100946074E-3</v>
      </c>
      <c r="AS366" s="1">
        <f t="shared" si="74"/>
        <v>2.8826122544901934E-3</v>
      </c>
    </row>
    <row r="367" spans="35:45" ht="11.25" customHeight="1" x14ac:dyDescent="0.2">
      <c r="AI367" s="3" t="e">
        <f t="shared" si="67"/>
        <v>#N/A</v>
      </c>
      <c r="AJ367" s="3" t="e">
        <f t="shared" si="68"/>
        <v>#N/A</v>
      </c>
      <c r="AK367" s="1">
        <f t="shared" si="75"/>
        <v>53.699999999999669</v>
      </c>
      <c r="AL367" s="1">
        <f t="shared" si="65"/>
        <v>0.23400854685243913</v>
      </c>
      <c r="AM367" s="1">
        <f t="shared" si="69"/>
        <v>0.15416954005198491</v>
      </c>
      <c r="AN367" s="1">
        <f t="shared" si="70"/>
        <v>0.15416954005198491</v>
      </c>
      <c r="AO367" s="1">
        <f t="shared" si="71"/>
        <v>0.15376435360906646</v>
      </c>
      <c r="AP367" s="1">
        <f t="shared" si="66"/>
        <v>2.8920466601176464</v>
      </c>
      <c r="AQ367" s="1">
        <f t="shared" si="72"/>
        <v>3.2547522486013614E-3</v>
      </c>
      <c r="AR367" s="1">
        <f t="shared" si="73"/>
        <v>3.2547522486013614E-3</v>
      </c>
      <c r="AS367" s="1">
        <f t="shared" si="74"/>
        <v>2.9440361614723057E-3</v>
      </c>
    </row>
    <row r="368" spans="35:45" ht="11.25" customHeight="1" x14ac:dyDescent="0.2">
      <c r="AI368" s="3" t="e">
        <f t="shared" si="67"/>
        <v>#N/A</v>
      </c>
      <c r="AJ368" s="3" t="e">
        <f t="shared" si="68"/>
        <v>#N/A</v>
      </c>
      <c r="AK368" s="1">
        <f t="shared" si="75"/>
        <v>53.849999999999667</v>
      </c>
      <c r="AL368" s="1">
        <f t="shared" si="65"/>
        <v>0.24349537983294417</v>
      </c>
      <c r="AM368" s="1">
        <f t="shared" si="69"/>
        <v>0.15381232228106612</v>
      </c>
      <c r="AN368" s="1">
        <f t="shared" si="70"/>
        <v>0.15381232228106612</v>
      </c>
      <c r="AO368" s="1">
        <f t="shared" si="71"/>
        <v>0.1534080746733929</v>
      </c>
      <c r="AP368" s="1">
        <f t="shared" si="66"/>
        <v>2.8834222664990055</v>
      </c>
      <c r="AQ368" s="1">
        <f t="shared" si="72"/>
        <v>3.32397081246813E-3</v>
      </c>
      <c r="AR368" s="1">
        <f t="shared" si="73"/>
        <v>3.32397081246813E-3</v>
      </c>
      <c r="AS368" s="1">
        <f t="shared" si="74"/>
        <v>3.0066467503908683E-3</v>
      </c>
    </row>
    <row r="369" spans="35:45" ht="11.25" customHeight="1" x14ac:dyDescent="0.2">
      <c r="AI369" s="3" t="e">
        <f t="shared" si="67"/>
        <v>#N/A</v>
      </c>
      <c r="AJ369" s="3" t="e">
        <f t="shared" si="68"/>
        <v>#N/A</v>
      </c>
      <c r="AK369" s="1">
        <f t="shared" si="75"/>
        <v>53.999999999999666</v>
      </c>
      <c r="AL369" s="1">
        <f t="shared" si="65"/>
        <v>0.25298221281344924</v>
      </c>
      <c r="AM369" s="1">
        <f t="shared" si="69"/>
        <v>0.15344183214693885</v>
      </c>
      <c r="AN369" s="1">
        <f t="shared" si="70"/>
        <v>0.15344183214693885</v>
      </c>
      <c r="AO369" s="1">
        <f t="shared" si="71"/>
        <v>0.15303855825676868</v>
      </c>
      <c r="AP369" s="1">
        <f t="shared" si="66"/>
        <v>2.8747978728803645</v>
      </c>
      <c r="AQ369" s="1">
        <f t="shared" si="72"/>
        <v>3.3945230013682215E-3</v>
      </c>
      <c r="AR369" s="1">
        <f t="shared" si="73"/>
        <v>3.3945230013682215E-3</v>
      </c>
      <c r="AS369" s="1">
        <f t="shared" si="74"/>
        <v>3.0704636493521184E-3</v>
      </c>
    </row>
    <row r="370" spans="35:45" ht="11.25" customHeight="1" x14ac:dyDescent="0.2">
      <c r="AI370" s="3" t="e">
        <f t="shared" si="67"/>
        <v>#N/A</v>
      </c>
      <c r="AJ370" s="3" t="e">
        <f t="shared" si="68"/>
        <v>#N/A</v>
      </c>
      <c r="AK370" s="1">
        <f t="shared" si="75"/>
        <v>54.149999999999665</v>
      </c>
      <c r="AL370" s="1">
        <f t="shared" si="65"/>
        <v>0.2624690457939543</v>
      </c>
      <c r="AM370" s="1">
        <f t="shared" si="69"/>
        <v>0.15305817470334659</v>
      </c>
      <c r="AN370" s="1">
        <f t="shared" si="70"/>
        <v>0.15305817470334659</v>
      </c>
      <c r="AO370" s="1">
        <f t="shared" si="71"/>
        <v>0.1526559091368363</v>
      </c>
      <c r="AP370" s="1">
        <f t="shared" si="66"/>
        <v>2.8661734792617235</v>
      </c>
      <c r="AQ370" s="1">
        <f t="shared" si="72"/>
        <v>3.4664307819141926E-3</v>
      </c>
      <c r="AR370" s="1">
        <f t="shared" si="73"/>
        <v>3.4664307819141926E-3</v>
      </c>
      <c r="AS370" s="1">
        <f t="shared" si="74"/>
        <v>3.135506727918091E-3</v>
      </c>
    </row>
    <row r="371" spans="35:45" ht="11.25" customHeight="1" x14ac:dyDescent="0.2">
      <c r="AI371" s="3" t="e">
        <f t="shared" si="67"/>
        <v>#N/A</v>
      </c>
      <c r="AJ371" s="3" t="e">
        <f t="shared" si="68"/>
        <v>#N/A</v>
      </c>
      <c r="AK371" s="1">
        <f t="shared" si="75"/>
        <v>54.299999999999663</v>
      </c>
      <c r="AL371" s="1">
        <f t="shared" si="65"/>
        <v>0.27195587877445931</v>
      </c>
      <c r="AM371" s="1">
        <f t="shared" si="69"/>
        <v>0.15266145854342383</v>
      </c>
      <c r="AN371" s="1">
        <f t="shared" si="70"/>
        <v>0.15266145854342383</v>
      </c>
      <c r="AO371" s="1">
        <f t="shared" si="71"/>
        <v>0.15226023562132718</v>
      </c>
      <c r="AP371" s="1">
        <f t="shared" si="66"/>
        <v>2.8575490856430825</v>
      </c>
      <c r="AQ371" s="1">
        <f t="shared" si="72"/>
        <v>3.5397163813087607E-3</v>
      </c>
      <c r="AR371" s="1">
        <f t="shared" si="73"/>
        <v>3.5397163813087607E-3</v>
      </c>
      <c r="AS371" s="1">
        <f t="shared" si="74"/>
        <v>3.2017960913636482E-3</v>
      </c>
    </row>
    <row r="372" spans="35:45" ht="11.25" customHeight="1" x14ac:dyDescent="0.2">
      <c r="AI372" s="3" t="e">
        <f t="shared" si="67"/>
        <v>#N/A</v>
      </c>
      <c r="AJ372" s="3" t="e">
        <f t="shared" si="68"/>
        <v>#N/A</v>
      </c>
      <c r="AK372" s="1">
        <f t="shared" si="75"/>
        <v>54.449999999999662</v>
      </c>
      <c r="AL372" s="1">
        <f t="shared" si="65"/>
        <v>0.28144271175496438</v>
      </c>
      <c r="AM372" s="1">
        <f t="shared" si="69"/>
        <v>0.1522517957153191</v>
      </c>
      <c r="AN372" s="1">
        <f t="shared" si="70"/>
        <v>0.1522517957153191</v>
      </c>
      <c r="AO372" s="1">
        <f t="shared" si="71"/>
        <v>0.15185164946390628</v>
      </c>
      <c r="AP372" s="1">
        <f t="shared" si="66"/>
        <v>2.8489246920244415</v>
      </c>
      <c r="AQ372" s="1">
        <f t="shared" si="72"/>
        <v>3.6144022942836973E-3</v>
      </c>
      <c r="AR372" s="1">
        <f t="shared" si="73"/>
        <v>3.6144022942836973E-3</v>
      </c>
      <c r="AS372" s="1">
        <f t="shared" si="74"/>
        <v>3.269352086952951E-3</v>
      </c>
    </row>
    <row r="373" spans="35:45" ht="11.25" customHeight="1" x14ac:dyDescent="0.2">
      <c r="AI373" s="3" t="e">
        <f t="shared" si="67"/>
        <v>#N/A</v>
      </c>
      <c r="AJ373" s="3" t="e">
        <f t="shared" si="68"/>
        <v>#N/A</v>
      </c>
      <c r="AK373" s="1">
        <f t="shared" si="75"/>
        <v>54.59999999999966</v>
      </c>
      <c r="AL373" s="1">
        <f t="shared" si="65"/>
        <v>0.29092954473546945</v>
      </c>
      <c r="AM373" s="1">
        <f t="shared" si="69"/>
        <v>0.15182930167778608</v>
      </c>
      <c r="AN373" s="1">
        <f t="shared" si="70"/>
        <v>0.15182930167778608</v>
      </c>
      <c r="AO373" s="1">
        <f t="shared" si="71"/>
        <v>0.15143026581988009</v>
      </c>
      <c r="AP373" s="1">
        <f t="shared" si="66"/>
        <v>2.8403002984058006</v>
      </c>
      <c r="AQ373" s="1">
        <f t="shared" si="72"/>
        <v>3.6905112806538687E-3</v>
      </c>
      <c r="AR373" s="1">
        <f t="shared" si="73"/>
        <v>3.6905112806538687E-3</v>
      </c>
      <c r="AS373" s="1">
        <f t="shared" si="74"/>
        <v>3.3381953017270019E-3</v>
      </c>
    </row>
    <row r="374" spans="35:45" ht="11.25" customHeight="1" x14ac:dyDescent="0.2">
      <c r="AI374" s="3" t="e">
        <f t="shared" si="67"/>
        <v>#N/A</v>
      </c>
      <c r="AJ374" s="3" t="e">
        <f t="shared" si="68"/>
        <v>#N/A</v>
      </c>
      <c r="AK374" s="1">
        <f t="shared" si="75"/>
        <v>54.749999999999659</v>
      </c>
      <c r="AL374" s="1">
        <f t="shared" si="65"/>
        <v>0.30041637771597446</v>
      </c>
      <c r="AM374" s="1">
        <f t="shared" si="69"/>
        <v>0.15139409525133374</v>
      </c>
      <c r="AN374" s="1">
        <f t="shared" si="70"/>
        <v>0.15139409525133374</v>
      </c>
      <c r="AO374" s="1">
        <f t="shared" si="71"/>
        <v>0.15099620319747495</v>
      </c>
      <c r="AP374" s="1">
        <f t="shared" si="66"/>
        <v>2.8316759047871596</v>
      </c>
      <c r="AQ374" s="1">
        <f t="shared" si="72"/>
        <v>3.7680663649009016E-3</v>
      </c>
      <c r="AR374" s="1">
        <f t="shared" si="73"/>
        <v>3.7680663649009016E-3</v>
      </c>
      <c r="AS374" s="1">
        <f t="shared" si="74"/>
        <v>3.4083465621270559E-3</v>
      </c>
    </row>
    <row r="375" spans="35:45" ht="11.25" customHeight="1" x14ac:dyDescent="0.2">
      <c r="AI375" s="3" t="e">
        <f t="shared" si="67"/>
        <v>#N/A</v>
      </c>
      <c r="AJ375" s="3" t="e">
        <f t="shared" si="68"/>
        <v>#N/A</v>
      </c>
      <c r="AK375" s="1">
        <f t="shared" si="75"/>
        <v>54.899999999999658</v>
      </c>
      <c r="AL375" s="1">
        <f t="shared" si="65"/>
        <v>0.30990321069647953</v>
      </c>
      <c r="AM375" s="1">
        <f t="shared" si="69"/>
        <v>0.15094629854717212</v>
      </c>
      <c r="AN375" s="1">
        <f t="shared" si="70"/>
        <v>0.15094629854717212</v>
      </c>
      <c r="AO375" s="1">
        <f t="shared" si="71"/>
        <v>0.15054958338696983</v>
      </c>
      <c r="AP375" s="1">
        <f t="shared" si="66"/>
        <v>2.8230515111685186</v>
      </c>
      <c r="AQ375" s="1">
        <f t="shared" si="72"/>
        <v>3.8470908406487703E-3</v>
      </c>
      <c r="AR375" s="1">
        <f t="shared" si="73"/>
        <v>3.8470908406487703E-3</v>
      </c>
      <c r="AS375" s="1">
        <f t="shared" si="74"/>
        <v>3.4798269380429468E-3</v>
      </c>
    </row>
    <row r="376" spans="35:45" ht="11.25" customHeight="1" x14ac:dyDescent="0.2">
      <c r="AI376" s="3" t="e">
        <f t="shared" si="67"/>
        <v>#N/A</v>
      </c>
      <c r="AJ376" s="3" t="e">
        <f t="shared" si="68"/>
        <v>#N/A</v>
      </c>
      <c r="AK376" s="1">
        <f t="shared" si="75"/>
        <v>55.049999999999656</v>
      </c>
      <c r="AL376" s="1">
        <f t="shared" si="65"/>
        <v>0.31939004367698459</v>
      </c>
      <c r="AM376" s="1">
        <f t="shared" si="69"/>
        <v>0.15048603691392159</v>
      </c>
      <c r="AN376" s="1">
        <f t="shared" si="70"/>
        <v>0.15048603691392159</v>
      </c>
      <c r="AO376" s="1">
        <f t="shared" si="71"/>
        <v>0.15009053140754539</v>
      </c>
      <c r="AP376" s="1">
        <f t="shared" si="66"/>
        <v>2.8144271175498776</v>
      </c>
      <c r="AQ376" s="1">
        <f t="shared" si="72"/>
        <v>3.9276082655290145E-3</v>
      </c>
      <c r="AR376" s="1">
        <f t="shared" si="73"/>
        <v>3.9276082655290145E-3</v>
      </c>
      <c r="AS376" s="1">
        <f t="shared" si="74"/>
        <v>3.5526577381684967E-3</v>
      </c>
    </row>
    <row r="377" spans="35:45" ht="11.25" customHeight="1" x14ac:dyDescent="0.2">
      <c r="AI377" s="3" t="e">
        <f t="shared" si="67"/>
        <v>#N/A</v>
      </c>
      <c r="AJ377" s="3" t="e">
        <f t="shared" si="68"/>
        <v>#N/A</v>
      </c>
      <c r="AK377" s="1">
        <f t="shared" si="75"/>
        <v>55.199999999999655</v>
      </c>
      <c r="AL377" s="1">
        <f t="shared" si="65"/>
        <v>0.3288768766574896</v>
      </c>
      <c r="AM377" s="1">
        <f t="shared" si="69"/>
        <v>0.15001343888876306</v>
      </c>
      <c r="AN377" s="1">
        <f t="shared" si="70"/>
        <v>0.15001343888876306</v>
      </c>
      <c r="AO377" s="1">
        <f t="shared" si="71"/>
        <v>0.14961917545856271</v>
      </c>
      <c r="AP377" s="1">
        <f t="shared" si="66"/>
        <v>2.8058027239312371</v>
      </c>
      <c r="AQ377" s="1">
        <f t="shared" si="72"/>
        <v>4.0096424673910502E-3</v>
      </c>
      <c r="AR377" s="1">
        <f t="shared" si="73"/>
        <v>4.0096424673910502E-3</v>
      </c>
      <c r="AS377" s="1">
        <f t="shared" si="74"/>
        <v>3.6268605156189568E-3</v>
      </c>
    </row>
    <row r="378" spans="35:45" ht="11.25" customHeight="1" x14ac:dyDescent="0.2">
      <c r="AI378" s="3" t="e">
        <f t="shared" si="67"/>
        <v>#N/A</v>
      </c>
      <c r="AJ378" s="3" t="e">
        <f t="shared" si="68"/>
        <v>#N/A</v>
      </c>
      <c r="AK378" s="1">
        <f t="shared" si="75"/>
        <v>55.349999999999653</v>
      </c>
      <c r="AL378" s="1">
        <f t="shared" si="65"/>
        <v>0.33836370963799467</v>
      </c>
      <c r="AM378" s="1">
        <f t="shared" si="69"/>
        <v>0.14952863609751785</v>
      </c>
      <c r="AN378" s="1">
        <f t="shared" si="70"/>
        <v>0.14952863609751785</v>
      </c>
      <c r="AO378" s="1">
        <f t="shared" si="71"/>
        <v>0.14913564681990585</v>
      </c>
      <c r="AP378" s="1">
        <f t="shared" si="66"/>
        <v>2.7971783303125961</v>
      </c>
      <c r="AQ378" s="1">
        <f t="shared" si="72"/>
        <v>4.093217536617344E-3</v>
      </c>
      <c r="AR378" s="1">
        <f t="shared" si="73"/>
        <v>4.093217536617344E-3</v>
      </c>
      <c r="AS378" s="1">
        <f t="shared" si="74"/>
        <v>3.7024570609798186E-3</v>
      </c>
    </row>
    <row r="379" spans="35:45" ht="11.25" customHeight="1" x14ac:dyDescent="0.2">
      <c r="AI379" s="3" t="e">
        <f t="shared" si="67"/>
        <v>#N/A</v>
      </c>
      <c r="AJ379" s="3" t="e">
        <f t="shared" si="68"/>
        <v>#N/A</v>
      </c>
      <c r="AK379" s="1">
        <f t="shared" si="75"/>
        <v>55.499999999999652</v>
      </c>
      <c r="AL379" s="1">
        <f t="shared" si="65"/>
        <v>0.34785054261849974</v>
      </c>
      <c r="AM379" s="1">
        <f t="shared" si="69"/>
        <v>0.14903176324354558</v>
      </c>
      <c r="AN379" s="1">
        <f t="shared" si="70"/>
        <v>0.14903176324354558</v>
      </c>
      <c r="AO379" s="1">
        <f t="shared" si="71"/>
        <v>0.14864007984090874</v>
      </c>
      <c r="AP379" s="1">
        <f t="shared" si="66"/>
        <v>2.7885539366939551</v>
      </c>
      <c r="AQ379" s="1">
        <f t="shared" si="72"/>
        <v>4.1783578346929473E-3</v>
      </c>
      <c r="AR379" s="1">
        <f t="shared" si="73"/>
        <v>4.1783578346929473E-3</v>
      </c>
      <c r="AS379" s="1">
        <f t="shared" si="74"/>
        <v>3.7794694100582531E-3</v>
      </c>
    </row>
    <row r="380" spans="35:45" ht="11.25" customHeight="1" x14ac:dyDescent="0.2">
      <c r="AI380" s="3" t="e">
        <f t="shared" si="67"/>
        <v>#N/A</v>
      </c>
      <c r="AJ380" s="3" t="e">
        <f t="shared" si="68"/>
        <v>#N/A</v>
      </c>
      <c r="AK380" s="1">
        <f t="shared" si="75"/>
        <v>55.64999999999965</v>
      </c>
      <c r="AL380" s="1">
        <f t="shared" si="65"/>
        <v>0.35733737559900475</v>
      </c>
      <c r="AM380" s="1">
        <f t="shared" si="69"/>
        <v>0.14852295799672174</v>
      </c>
      <c r="AN380" s="1">
        <f t="shared" si="70"/>
        <v>0.14852295799672174</v>
      </c>
      <c r="AO380" s="1">
        <f t="shared" si="71"/>
        <v>0.14813261182962462</v>
      </c>
      <c r="AP380" s="1">
        <f t="shared" si="66"/>
        <v>2.7799295430753141</v>
      </c>
      <c r="AQ380" s="1">
        <f t="shared" si="72"/>
        <v>4.2650879902503261E-3</v>
      </c>
      <c r="AR380" s="1">
        <f t="shared" si="73"/>
        <v>4.2650879902503261E-3</v>
      </c>
      <c r="AS380" s="1">
        <f t="shared" si="74"/>
        <v>3.8579198403055218E-3</v>
      </c>
    </row>
    <row r="381" spans="35:45" ht="11.25" customHeight="1" x14ac:dyDescent="0.2">
      <c r="AI381" s="3" t="e">
        <f t="shared" si="67"/>
        <v>#N/A</v>
      </c>
      <c r="AJ381" s="3" t="e">
        <f t="shared" si="68"/>
        <v>#N/A</v>
      </c>
      <c r="AK381" s="1">
        <f t="shared" si="75"/>
        <v>55.799999999999649</v>
      </c>
      <c r="AL381" s="1">
        <f t="shared" si="65"/>
        <v>0.36682420857950981</v>
      </c>
      <c r="AM381" s="1">
        <f t="shared" si="69"/>
        <v>0.14800236095791061</v>
      </c>
      <c r="AN381" s="1">
        <f t="shared" si="70"/>
        <v>0.14800236095791061</v>
      </c>
      <c r="AO381" s="1">
        <f t="shared" si="71"/>
        <v>0.14761338301739235</v>
      </c>
      <c r="AP381" s="1">
        <f t="shared" si="66"/>
        <v>2.7713051494566732</v>
      </c>
      <c r="AQ381" s="1">
        <f t="shared" si="72"/>
        <v>4.3534328974734185E-3</v>
      </c>
      <c r="AR381" s="1">
        <f t="shared" si="73"/>
        <v>4.3534328974734185E-3</v>
      </c>
      <c r="AS381" s="1">
        <f t="shared" si="74"/>
        <v>3.9378308693733917E-3</v>
      </c>
    </row>
    <row r="382" spans="35:45" ht="11.25" customHeight="1" x14ac:dyDescent="0.2">
      <c r="AI382" s="3" t="e">
        <f t="shared" si="67"/>
        <v>#N/A</v>
      </c>
      <c r="AJ382" s="3" t="e">
        <f t="shared" si="68"/>
        <v>#N/A</v>
      </c>
      <c r="AK382" s="1">
        <f t="shared" si="75"/>
        <v>55.949999999999648</v>
      </c>
      <c r="AL382" s="1">
        <f t="shared" si="65"/>
        <v>0.37631104156001488</v>
      </c>
      <c r="AM382" s="1">
        <f t="shared" si="69"/>
        <v>0.14747011556126563</v>
      </c>
      <c r="AN382" s="1">
        <f t="shared" si="70"/>
        <v>0.14747011556126563</v>
      </c>
      <c r="AO382" s="1">
        <f t="shared" si="71"/>
        <v>0.14708253646139355</v>
      </c>
      <c r="AP382" s="1">
        <f t="shared" si="66"/>
        <v>2.7626807558380322</v>
      </c>
      <c r="AQ382" s="1">
        <f t="shared" si="72"/>
        <v>4.4434177162364077E-3</v>
      </c>
      <c r="AR382" s="1">
        <f t="shared" si="73"/>
        <v>4.4434177162364077E-3</v>
      </c>
      <c r="AS382" s="1">
        <f t="shared" si="74"/>
        <v>4.0192252552396631E-3</v>
      </c>
    </row>
    <row r="383" spans="35:45" ht="11.25" customHeight="1" x14ac:dyDescent="0.2">
      <c r="AI383" s="3" t="e">
        <f t="shared" si="67"/>
        <v>#N/A</v>
      </c>
      <c r="AJ383" s="3" t="e">
        <f t="shared" si="68"/>
        <v>#N/A</v>
      </c>
      <c r="AK383" s="1">
        <f t="shared" si="75"/>
        <v>56.099999999999646</v>
      </c>
      <c r="AL383" s="1">
        <f t="shared" si="65"/>
        <v>0.38579787454051989</v>
      </c>
      <c r="AM383" s="1">
        <f t="shared" si="69"/>
        <v>0.1469263680453636</v>
      </c>
      <c r="AN383" s="1">
        <f t="shared" si="70"/>
        <v>0.1469263680453636</v>
      </c>
      <c r="AO383" s="1">
        <f t="shared" si="71"/>
        <v>0.14654021801586262</v>
      </c>
      <c r="AP383" s="1">
        <f t="shared" si="66"/>
        <v>2.7540563622193912</v>
      </c>
      <c r="AQ383" s="1">
        <f t="shared" si="72"/>
        <v>4.5350678766140065E-3</v>
      </c>
      <c r="AR383" s="1">
        <f t="shared" si="73"/>
        <v>4.5350678766140065E-3</v>
      </c>
      <c r="AS383" s="1">
        <f t="shared" si="74"/>
        <v>4.1021260002878724E-3</v>
      </c>
    </row>
    <row r="384" spans="35:45" ht="11.25" customHeight="1" x14ac:dyDescent="0.2">
      <c r="AI384" s="3" t="e">
        <f t="shared" si="67"/>
        <v>#N/A</v>
      </c>
      <c r="AJ384" s="3" t="e">
        <f t="shared" si="68"/>
        <v>#N/A</v>
      </c>
      <c r="AK384" s="1">
        <f t="shared" si="75"/>
        <v>56.249999999999645</v>
      </c>
      <c r="AL384" s="1">
        <f t="shared" si="65"/>
        <v>0.39528470752102496</v>
      </c>
      <c r="AM384" s="1">
        <f t="shared" si="69"/>
        <v>0.14637126735106418</v>
      </c>
      <c r="AN384" s="1">
        <f t="shared" si="70"/>
        <v>0.14637126735106418</v>
      </c>
      <c r="AO384" s="1">
        <f t="shared" si="71"/>
        <v>0.14598657623021472</v>
      </c>
      <c r="AP384" s="1">
        <f t="shared" si="66"/>
        <v>2.7454319686007502</v>
      </c>
      <c r="AQ384" s="1">
        <f t="shared" si="72"/>
        <v>4.6284090719078677E-3</v>
      </c>
      <c r="AR384" s="1">
        <f t="shared" si="73"/>
        <v>4.6284090719078677E-3</v>
      </c>
      <c r="AS384" s="1">
        <f t="shared" si="74"/>
        <v>4.1865563449994441E-3</v>
      </c>
    </row>
    <row r="385" spans="35:45" ht="11.25" customHeight="1" x14ac:dyDescent="0.2">
      <c r="AI385" s="3" t="e">
        <f t="shared" si="67"/>
        <v>#N/A</v>
      </c>
      <c r="AJ385" s="3" t="e">
        <f t="shared" si="68"/>
        <v>#N/A</v>
      </c>
      <c r="AK385" s="1">
        <f t="shared" si="75"/>
        <v>56.399999999999643</v>
      </c>
      <c r="AL385" s="1">
        <f t="shared" si="65"/>
        <v>0.40477154050153002</v>
      </c>
      <c r="AM385" s="1">
        <f t="shared" si="69"/>
        <v>0.1458049650571169</v>
      </c>
      <c r="AN385" s="1">
        <f t="shared" si="70"/>
        <v>0.1458049650571169</v>
      </c>
      <c r="AO385" s="1">
        <f t="shared" si="71"/>
        <v>0.14542176228482204</v>
      </c>
      <c r="AP385" s="1">
        <f t="shared" si="66"/>
        <v>2.7368075749821092</v>
      </c>
      <c r="AQ385" s="1">
        <f t="shared" si="72"/>
        <v>4.723467260693559E-3</v>
      </c>
      <c r="AR385" s="1">
        <f t="shared" si="73"/>
        <v>4.723467260693559E-3</v>
      </c>
      <c r="AS385" s="1">
        <f t="shared" si="74"/>
        <v>4.2725397698052479E-3</v>
      </c>
    </row>
    <row r="386" spans="35:45" ht="11.25" customHeight="1" x14ac:dyDescent="0.2">
      <c r="AI386" s="3" t="e">
        <f t="shared" si="67"/>
        <v>#N/A</v>
      </c>
      <c r="AJ386" s="3" t="e">
        <f t="shared" si="68"/>
        <v>#N/A</v>
      </c>
      <c r="AK386" s="1">
        <f t="shared" si="75"/>
        <v>56.549999999999642</v>
      </c>
      <c r="AL386" s="1">
        <f t="shared" si="65"/>
        <v>0.41425837348203504</v>
      </c>
      <c r="AM386" s="1">
        <f t="shared" si="69"/>
        <v>0.1452276153202092</v>
      </c>
      <c r="AN386" s="1">
        <f t="shared" si="70"/>
        <v>0.1452276153202092</v>
      </c>
      <c r="AO386" s="1">
        <f t="shared" si="71"/>
        <v>0.14484592993121936</v>
      </c>
      <c r="AP386" s="1">
        <f t="shared" si="66"/>
        <v>2.7281831813634683</v>
      </c>
      <c r="AQ386" s="1">
        <f t="shared" si="72"/>
        <v>4.820268668104255E-3</v>
      </c>
      <c r="AR386" s="1">
        <f t="shared" si="73"/>
        <v>4.820268668104255E-3</v>
      </c>
      <c r="AS386" s="1">
        <f t="shared" si="74"/>
        <v>4.3600999962467432E-3</v>
      </c>
    </row>
    <row r="387" spans="35:45" ht="11.25" customHeight="1" x14ac:dyDescent="0.2">
      <c r="AI387" s="3" t="e">
        <f t="shared" si="67"/>
        <v>#N/A</v>
      </c>
      <c r="AJ387" s="3" t="e">
        <f t="shared" si="68"/>
        <v>#N/A</v>
      </c>
      <c r="AK387" s="1">
        <f t="shared" si="75"/>
        <v>56.69999999999964</v>
      </c>
      <c r="AL387" s="1">
        <f t="shared" si="65"/>
        <v>0.4237452064625401</v>
      </c>
      <c r="AM387" s="1">
        <f t="shared" si="69"/>
        <v>0.14463937479725072</v>
      </c>
      <c r="AN387" s="1">
        <f t="shared" si="70"/>
        <v>0.14463937479725072</v>
      </c>
      <c r="AO387" s="1">
        <f t="shared" si="71"/>
        <v>0.1442592354145926</v>
      </c>
      <c r="AP387" s="1">
        <f t="shared" si="66"/>
        <v>2.7195587877448273</v>
      </c>
      <c r="AQ387" s="1">
        <f t="shared" si="72"/>
        <v>4.9188397834021291E-3</v>
      </c>
      <c r="AR387" s="1">
        <f t="shared" si="73"/>
        <v>4.9188397834021291E-3</v>
      </c>
      <c r="AS387" s="1">
        <f t="shared" si="74"/>
        <v>4.4492609847792191E-3</v>
      </c>
    </row>
    <row r="388" spans="35:45" ht="11.25" customHeight="1" x14ac:dyDescent="0.2">
      <c r="AI388" s="3" t="e">
        <f t="shared" si="67"/>
        <v>#N/A</v>
      </c>
      <c r="AJ388" s="3" t="e">
        <f t="shared" si="68"/>
        <v>#N/A</v>
      </c>
      <c r="AK388" s="1">
        <f t="shared" si="75"/>
        <v>56.849999999999639</v>
      </c>
      <c r="AL388" s="1">
        <f t="shared" si="65"/>
        <v>0.43323203944304517</v>
      </c>
      <c r="AM388" s="1">
        <f t="shared" si="69"/>
        <v>0.14404040256099646</v>
      </c>
      <c r="AN388" s="1">
        <f t="shared" si="70"/>
        <v>0.14404040256099646</v>
      </c>
      <c r="AO388" s="1">
        <f t="shared" si="71"/>
        <v>0.14366183738962374</v>
      </c>
      <c r="AP388" s="1">
        <f t="shared" si="66"/>
        <v>2.7109343941261863</v>
      </c>
      <c r="AQ388" s="1">
        <f t="shared" si="72"/>
        <v>5.0192073568558482E-3</v>
      </c>
      <c r="AR388" s="1">
        <f t="shared" si="73"/>
        <v>5.0192073568558482E-3</v>
      </c>
      <c r="AS388" s="1">
        <f t="shared" si="74"/>
        <v>4.5400469319473802E-3</v>
      </c>
    </row>
    <row r="389" spans="35:45" ht="11.25" customHeight="1" x14ac:dyDescent="0.2">
      <c r="AI389" s="3" t="e">
        <f t="shared" si="67"/>
        <v>#N/A</v>
      </c>
      <c r="AJ389" s="3" t="e">
        <f t="shared" si="68"/>
        <v>#N/A</v>
      </c>
      <c r="AK389" s="1">
        <f t="shared" si="75"/>
        <v>56.999999999999638</v>
      </c>
      <c r="AL389" s="1">
        <f t="shared" si="65"/>
        <v>0.44271887242355018</v>
      </c>
      <c r="AM389" s="1">
        <f t="shared" si="69"/>
        <v>0.14343086002899239</v>
      </c>
      <c r="AN389" s="1">
        <f t="shared" si="70"/>
        <v>0.14343086002899239</v>
      </c>
      <c r="AO389" s="1">
        <f t="shared" si="71"/>
        <v>0.14305389684962319</v>
      </c>
      <c r="AP389" s="1">
        <f t="shared" si="66"/>
        <v>2.7023100005075453</v>
      </c>
      <c r="AQ389" s="1">
        <f t="shared" si="72"/>
        <v>5.1213984046671879E-3</v>
      </c>
      <c r="AR389" s="1">
        <f t="shared" si="73"/>
        <v>5.1213984046671879E-3</v>
      </c>
      <c r="AS389" s="1">
        <f t="shared" si="74"/>
        <v>4.6324822748416402E-3</v>
      </c>
    </row>
    <row r="390" spans="35:45" ht="11.25" customHeight="1" x14ac:dyDescent="0.2">
      <c r="AI390" s="3" t="e">
        <f t="shared" si="67"/>
        <v>#N/A</v>
      </c>
      <c r="AJ390" s="3" t="e">
        <f t="shared" si="68"/>
        <v>#N/A</v>
      </c>
      <c r="AK390" s="1">
        <f t="shared" si="75"/>
        <v>57.149999999999636</v>
      </c>
      <c r="AL390" s="1">
        <f t="shared" si="65"/>
        <v>0.45220570540405525</v>
      </c>
      <c r="AM390" s="1">
        <f t="shared" si="69"/>
        <v>0.14281091091916662</v>
      </c>
      <c r="AN390" s="1">
        <f t="shared" si="70"/>
        <v>0.14281091091916662</v>
      </c>
      <c r="AO390" s="1">
        <f t="shared" si="71"/>
        <v>0.14243557708223767</v>
      </c>
      <c r="AP390" s="1">
        <f t="shared" si="66"/>
        <v>2.6936856068889043</v>
      </c>
      <c r="AQ390" s="1">
        <f t="shared" si="72"/>
        <v>5.2254401999504707E-3</v>
      </c>
      <c r="AR390" s="1">
        <f t="shared" si="73"/>
        <v>5.2254401999504707E-3</v>
      </c>
      <c r="AS390" s="1">
        <f t="shared" si="74"/>
        <v>4.7265916829387104E-3</v>
      </c>
    </row>
    <row r="391" spans="35:45" ht="11.25" customHeight="1" x14ac:dyDescent="0.2">
      <c r="AI391" s="3" t="e">
        <f t="shared" si="67"/>
        <v>#N/A</v>
      </c>
      <c r="AJ391" s="3" t="e">
        <f t="shared" si="68"/>
        <v>#N/A</v>
      </c>
      <c r="AK391" s="1">
        <f t="shared" si="75"/>
        <v>57.299999999999635</v>
      </c>
      <c r="AL391" s="1">
        <f t="shared" si="65"/>
        <v>0.46169253838456031</v>
      </c>
      <c r="AM391" s="1">
        <f t="shared" si="69"/>
        <v>0.14218072110772081</v>
      </c>
      <c r="AN391" s="1">
        <f t="shared" si="70"/>
        <v>0.14218072110772081</v>
      </c>
      <c r="AO391" s="1">
        <f t="shared" si="71"/>
        <v>0.14180704352771512</v>
      </c>
      <c r="AP391" s="1">
        <f t="shared" si="66"/>
        <v>2.6850612132702634</v>
      </c>
      <c r="AQ391" s="1">
        <f t="shared" si="72"/>
        <v>5.331360279532682E-3</v>
      </c>
      <c r="AR391" s="1">
        <f t="shared" si="73"/>
        <v>5.331360279532682E-3</v>
      </c>
      <c r="AS391" s="1">
        <f t="shared" si="74"/>
        <v>4.8224000642525435E-3</v>
      </c>
    </row>
    <row r="392" spans="35:45" ht="11.25" customHeight="1" x14ac:dyDescent="0.2">
      <c r="AI392" s="3" t="e">
        <f t="shared" si="67"/>
        <v>#N/A</v>
      </c>
      <c r="AJ392" s="3" t="e">
        <f t="shared" si="68"/>
        <v>#N/A</v>
      </c>
      <c r="AK392" s="1">
        <f t="shared" si="75"/>
        <v>57.449999999999633</v>
      </c>
      <c r="AL392" s="1">
        <f t="shared" si="65"/>
        <v>0.47117937136506532</v>
      </c>
      <c r="AM392" s="1">
        <f t="shared" si="69"/>
        <v>0.14154045863357109</v>
      </c>
      <c r="AN392" s="1">
        <f t="shared" si="70"/>
        <v>0.14154045863357109</v>
      </c>
      <c r="AO392" s="1">
        <f t="shared" si="71"/>
        <v>0.14116846378333384</v>
      </c>
      <c r="AP392" s="1">
        <f t="shared" si="66"/>
        <v>2.6764368196516224</v>
      </c>
      <c r="AQ392" s="1">
        <f t="shared" si="72"/>
        <v>5.4391864351410746E-3</v>
      </c>
      <c r="AR392" s="1">
        <f t="shared" si="73"/>
        <v>5.4391864351410746E-3</v>
      </c>
      <c r="AS392" s="1">
        <f t="shared" si="74"/>
        <v>4.919932557363213E-3</v>
      </c>
    </row>
    <row r="393" spans="35:45" ht="11.25" customHeight="1" x14ac:dyDescent="0.2">
      <c r="AI393" s="3" t="e">
        <f t="shared" si="67"/>
        <v>#N/A</v>
      </c>
      <c r="AJ393" s="3" t="e">
        <f t="shared" si="68"/>
        <v>#N/A</v>
      </c>
      <c r="AK393" s="1">
        <f t="shared" si="75"/>
        <v>57.599999999999632</v>
      </c>
      <c r="AL393" s="1">
        <f t="shared" ref="AL393:AL456" si="76">ABS(($AL$5-AK393)/$AL$6)</f>
        <v>0.48066620434557039</v>
      </c>
      <c r="AM393" s="1">
        <f t="shared" si="69"/>
        <v>0.14089029355401902</v>
      </c>
      <c r="AN393" s="1">
        <f t="shared" si="70"/>
        <v>0.14089029355401902</v>
      </c>
      <c r="AO393" s="1">
        <f t="shared" si="71"/>
        <v>0.14052000745945301</v>
      </c>
      <c r="AP393" s="1">
        <f t="shared" ref="AP393:AP456" si="77">ABS(($AP$5-AK393)/$AP$6)</f>
        <v>2.6678124260329814</v>
      </c>
      <c r="AQ393" s="1">
        <f t="shared" si="72"/>
        <v>5.5489467191971453E-3</v>
      </c>
      <c r="AR393" s="1">
        <f t="shared" si="73"/>
        <v>5.5489467191971453E-3</v>
      </c>
      <c r="AS393" s="1">
        <f t="shared" si="74"/>
        <v>5.019214536657767E-3</v>
      </c>
    </row>
    <row r="394" spans="35:45" ht="11.25" customHeight="1" x14ac:dyDescent="0.2">
      <c r="AI394" s="3" t="e">
        <f t="shared" ref="AI394:AI457" si="78">IF($M$18,AI393,NA())</f>
        <v>#N/A</v>
      </c>
      <c r="AJ394" s="3" t="e">
        <f t="shared" ref="AJ394:AJ457" si="79">IF($M$18,AJ393,NA())</f>
        <v>#N/A</v>
      </c>
      <c r="AK394" s="1">
        <f t="shared" si="75"/>
        <v>57.749999999999631</v>
      </c>
      <c r="AL394" s="1">
        <f t="shared" si="76"/>
        <v>0.49015303732607546</v>
      </c>
      <c r="AM394" s="1">
        <f t="shared" ref="AM394:AM457" si="80">$AL$3*ABS((TDIST(AL394,$AL$7,1)-TDIST(AL394+$AL$1,$AL$7,1))/($AL$1))</f>
        <v>0.14023039789368139</v>
      </c>
      <c r="AN394" s="1">
        <f t="shared" ref="AN394:AN457" si="81">IF(($D$10&gt;$AJ$5)=($D$10&gt;AK394),AM394,0)</f>
        <v>0.14023039789368139</v>
      </c>
      <c r="AO394" s="1">
        <f t="shared" ref="AO394:AO457" si="82">AM394*$AN$5/$AN$7</f>
        <v>0.13986184612857641</v>
      </c>
      <c r="AP394" s="1">
        <f t="shared" si="77"/>
        <v>2.6591880324143404</v>
      </c>
      <c r="AQ394" s="1">
        <f t="shared" ref="AQ394:AQ457" si="83">$AL$3*ABS((TDIST(AP394,$AP$7,1)-TDIST(AP394+$AL$1,$AP$7,1))/($AL$1))</f>
        <v>5.6606694371491573E-3</v>
      </c>
      <c r="AR394" s="1">
        <f t="shared" ref="AR394:AR457" si="84">IF(($D$19&gt;$AJ$5)=($D$19&gt;AK394),AQ394,0)</f>
        <v>5.6606694371491573E-3</v>
      </c>
      <c r="AS394" s="1">
        <f t="shared" ref="AS394:AS457" si="85">AQ394*$AN$5/$AR$7</f>
        <v>5.1202716053947309E-3</v>
      </c>
    </row>
    <row r="395" spans="35:45" ht="11.25" customHeight="1" x14ac:dyDescent="0.2">
      <c r="AI395" s="3" t="e">
        <f t="shared" si="78"/>
        <v>#N/A</v>
      </c>
      <c r="AJ395" s="3" t="e">
        <f t="shared" si="79"/>
        <v>#N/A</v>
      </c>
      <c r="AK395" s="1">
        <f t="shared" si="75"/>
        <v>57.899999999999629</v>
      </c>
      <c r="AL395" s="1">
        <f t="shared" si="76"/>
        <v>0.49963987030658047</v>
      </c>
      <c r="AM395" s="1">
        <f t="shared" si="80"/>
        <v>0.13956094558231766</v>
      </c>
      <c r="AN395" s="1">
        <f t="shared" si="81"/>
        <v>0.13956094558231766</v>
      </c>
      <c r="AO395" s="1">
        <f t="shared" si="82"/>
        <v>0.13919415326334358</v>
      </c>
      <c r="AP395" s="1">
        <f t="shared" si="77"/>
        <v>2.6505636387956999</v>
      </c>
      <c r="AQ395" s="1">
        <f t="shared" si="83"/>
        <v>5.7743831477843899E-3</v>
      </c>
      <c r="AR395" s="1">
        <f t="shared" si="84"/>
        <v>5.7743831477843899E-3</v>
      </c>
      <c r="AS395" s="1">
        <f t="shared" si="85"/>
        <v>5.2231295959865439E-3</v>
      </c>
    </row>
    <row r="396" spans="35:45" ht="11.25" customHeight="1" x14ac:dyDescent="0.2">
      <c r="AI396" s="3" t="e">
        <f t="shared" si="78"/>
        <v>#N/A</v>
      </c>
      <c r="AJ396" s="3" t="e">
        <f t="shared" si="79"/>
        <v>#N/A</v>
      </c>
      <c r="AK396" s="1">
        <f t="shared" si="75"/>
        <v>58.049999999999628</v>
      </c>
      <c r="AL396" s="1">
        <f t="shared" si="76"/>
        <v>0.50912670328708554</v>
      </c>
      <c r="AM396" s="1">
        <f t="shared" si="80"/>
        <v>0.1388821123371464</v>
      </c>
      <c r="AN396" s="1">
        <f t="shared" si="81"/>
        <v>0.1388821123371464</v>
      </c>
      <c r="AO396" s="1">
        <f t="shared" si="82"/>
        <v>0.13851710411915524</v>
      </c>
      <c r="AP396" s="1">
        <f t="shared" si="77"/>
        <v>2.6419392451770589</v>
      </c>
      <c r="AQ396" s="1">
        <f t="shared" si="83"/>
        <v>5.8901166665251137E-3</v>
      </c>
      <c r="AR396" s="1">
        <f t="shared" si="84"/>
        <v>5.8901166665251137E-3</v>
      </c>
      <c r="AS396" s="1">
        <f t="shared" si="85"/>
        <v>5.3278145729808886E-3</v>
      </c>
    </row>
    <row r="397" spans="35:45" ht="11.25" customHeight="1" x14ac:dyDescent="0.2">
      <c r="AI397" s="3" t="e">
        <f t="shared" si="78"/>
        <v>#N/A</v>
      </c>
      <c r="AJ397" s="3" t="e">
        <f t="shared" si="79"/>
        <v>#N/A</v>
      </c>
      <c r="AK397" s="1">
        <f t="shared" si="75"/>
        <v>58.199999999999626</v>
      </c>
      <c r="AL397" s="1">
        <f t="shared" si="76"/>
        <v>0.51861353626759055</v>
      </c>
      <c r="AM397" s="1">
        <f t="shared" si="80"/>
        <v>0.13819407561621586</v>
      </c>
      <c r="AN397" s="1">
        <f t="shared" si="81"/>
        <v>0.13819407561621586</v>
      </c>
      <c r="AO397" s="1">
        <f t="shared" si="82"/>
        <v>0.13783087568766669</v>
      </c>
      <c r="AP397" s="1">
        <f t="shared" si="77"/>
        <v>2.6333148515584179</v>
      </c>
      <c r="AQ397" s="1">
        <f t="shared" si="83"/>
        <v>6.0078990516895803E-3</v>
      </c>
      <c r="AR397" s="1">
        <f t="shared" si="84"/>
        <v>6.0078990516895803E-3</v>
      </c>
      <c r="AS397" s="1">
        <f t="shared" si="85"/>
        <v>5.4343528206332731E-3</v>
      </c>
    </row>
    <row r="398" spans="35:45" ht="11.25" customHeight="1" x14ac:dyDescent="0.2">
      <c r="AI398" s="3" t="e">
        <f t="shared" si="78"/>
        <v>#N/A</v>
      </c>
      <c r="AJ398" s="3" t="e">
        <f t="shared" si="79"/>
        <v>#N/A</v>
      </c>
      <c r="AK398" s="1">
        <f t="shared" si="75"/>
        <v>58.349999999999625</v>
      </c>
      <c r="AL398" s="1">
        <f t="shared" si="76"/>
        <v>0.52810036924809567</v>
      </c>
      <c r="AM398" s="1">
        <f t="shared" si="80"/>
        <v>0.13749701452736571</v>
      </c>
      <c r="AN398" s="1">
        <f t="shared" si="81"/>
        <v>0.13749701452736571</v>
      </c>
      <c r="AO398" s="1">
        <f t="shared" si="82"/>
        <v>0.13713564660598859</v>
      </c>
      <c r="AP398" s="1">
        <f t="shared" si="77"/>
        <v>2.624690457939777</v>
      </c>
      <c r="AQ398" s="1">
        <f t="shared" si="83"/>
        <v>6.127759612957473E-3</v>
      </c>
      <c r="AR398" s="1">
        <f t="shared" si="84"/>
        <v>6.127759612957473E-3</v>
      </c>
      <c r="AS398" s="1">
        <f t="shared" si="85"/>
        <v>5.5427708505643323E-3</v>
      </c>
    </row>
    <row r="399" spans="35:45" ht="11.25" customHeight="1" x14ac:dyDescent="0.2">
      <c r="AI399" s="3" t="e">
        <f t="shared" si="78"/>
        <v>#N/A</v>
      </c>
      <c r="AJ399" s="3" t="e">
        <f t="shared" si="79"/>
        <v>#N/A</v>
      </c>
      <c r="AK399" s="1">
        <f t="shared" si="75"/>
        <v>58.499999999999623</v>
      </c>
      <c r="AL399" s="1">
        <f t="shared" si="76"/>
        <v>0.53758720222860068</v>
      </c>
      <c r="AM399" s="1">
        <f t="shared" si="80"/>
        <v>0.13679110974162964</v>
      </c>
      <c r="AN399" s="1">
        <f t="shared" si="81"/>
        <v>0.13679110974162964</v>
      </c>
      <c r="AO399" s="1">
        <f t="shared" si="82"/>
        <v>0.13643159707031732</v>
      </c>
      <c r="AP399" s="1">
        <f t="shared" si="77"/>
        <v>2.616066064321136</v>
      </c>
      <c r="AQ399" s="1">
        <f t="shared" si="83"/>
        <v>6.2497279064085975E-3</v>
      </c>
      <c r="AR399" s="1">
        <f t="shared" si="84"/>
        <v>6.2497279064085975E-3</v>
      </c>
      <c r="AS399" s="1">
        <f t="shared" si="85"/>
        <v>5.6530953972721443E-3</v>
      </c>
    </row>
    <row r="400" spans="35:45" ht="11.25" customHeight="1" x14ac:dyDescent="0.2">
      <c r="AI400" s="3" t="e">
        <f t="shared" si="78"/>
        <v>#N/A</v>
      </c>
      <c r="AJ400" s="3" t="e">
        <f t="shared" si="79"/>
        <v>#N/A</v>
      </c>
      <c r="AK400" s="1">
        <f t="shared" si="75"/>
        <v>58.649999999999622</v>
      </c>
      <c r="AL400" s="1">
        <f t="shared" si="76"/>
        <v>0.54707403520910569</v>
      </c>
      <c r="AM400" s="1">
        <f t="shared" si="80"/>
        <v>0.13607654342218109</v>
      </c>
      <c r="AN400" s="1">
        <f t="shared" si="81"/>
        <v>0.13607654342218109</v>
      </c>
      <c r="AO400" s="1">
        <f t="shared" si="82"/>
        <v>0.13571890876506737</v>
      </c>
      <c r="AP400" s="1">
        <f t="shared" si="77"/>
        <v>2.607441670702495</v>
      </c>
      <c r="AQ400" s="1">
        <f t="shared" si="83"/>
        <v>6.3738337282778779E-3</v>
      </c>
      <c r="AR400" s="1">
        <f t="shared" si="84"/>
        <v>6.3738337282778779E-3</v>
      </c>
      <c r="AS400" s="1">
        <f t="shared" si="85"/>
        <v>5.7653534124834128E-3</v>
      </c>
    </row>
    <row r="401" spans="35:45" ht="11.25" customHeight="1" x14ac:dyDescent="0.2">
      <c r="AI401" s="3" t="e">
        <f t="shared" si="78"/>
        <v>#N/A</v>
      </c>
      <c r="AJ401" s="3" t="e">
        <f t="shared" si="79"/>
        <v>#N/A</v>
      </c>
      <c r="AK401" s="1">
        <f t="shared" si="75"/>
        <v>58.799999999999621</v>
      </c>
      <c r="AL401" s="1">
        <f t="shared" si="76"/>
        <v>0.55656086818961081</v>
      </c>
      <c r="AM401" s="1">
        <f t="shared" si="80"/>
        <v>0.1353534991443972</v>
      </c>
      <c r="AN401" s="1">
        <f t="shared" si="81"/>
        <v>0.1353534991443972</v>
      </c>
      <c r="AO401" s="1">
        <f t="shared" si="82"/>
        <v>0.13499776478314535</v>
      </c>
      <c r="AP401" s="1">
        <f t="shared" si="77"/>
        <v>2.598817277083854</v>
      </c>
      <c r="AQ401" s="1">
        <f t="shared" si="83"/>
        <v>6.5001071171411073E-3</v>
      </c>
      <c r="AR401" s="1">
        <f t="shared" si="84"/>
        <v>6.5001071171411073E-3</v>
      </c>
      <c r="AS401" s="1">
        <f t="shared" si="85"/>
        <v>5.8795720671305524E-3</v>
      </c>
    </row>
    <row r="402" spans="35:45" ht="11.25" customHeight="1" x14ac:dyDescent="0.2">
      <c r="AI402" s="3" t="e">
        <f t="shared" si="78"/>
        <v>#N/A</v>
      </c>
      <c r="AJ402" s="3" t="e">
        <f t="shared" si="79"/>
        <v>#N/A</v>
      </c>
      <c r="AK402" s="1">
        <f t="shared" si="75"/>
        <v>58.949999999999619</v>
      </c>
      <c r="AL402" s="1">
        <f t="shared" si="76"/>
        <v>0.56604770117011582</v>
      </c>
      <c r="AM402" s="1">
        <f t="shared" si="80"/>
        <v>0.13462216180482045</v>
      </c>
      <c r="AN402" s="1">
        <f t="shared" si="81"/>
        <v>0.13462216180482045</v>
      </c>
      <c r="AO402" s="1">
        <f t="shared" si="82"/>
        <v>0.13426834953515099</v>
      </c>
      <c r="AP402" s="1">
        <f t="shared" si="77"/>
        <v>2.590192883465213</v>
      </c>
      <c r="AQ402" s="1">
        <f t="shared" si="83"/>
        <v>6.628578348225056E-3</v>
      </c>
      <c r="AR402" s="1">
        <f t="shared" si="84"/>
        <v>6.628578348225056E-3</v>
      </c>
      <c r="AS402" s="1">
        <f t="shared" si="85"/>
        <v>5.995778746204986E-3</v>
      </c>
    </row>
    <row r="403" spans="35:45" ht="11.25" customHeight="1" x14ac:dyDescent="0.2">
      <c r="AI403" s="3" t="e">
        <f t="shared" si="78"/>
        <v>#N/A</v>
      </c>
      <c r="AJ403" s="3" t="e">
        <f t="shared" si="79"/>
        <v>#N/A</v>
      </c>
      <c r="AK403" s="1">
        <f t="shared" si="75"/>
        <v>59.099999999999618</v>
      </c>
      <c r="AL403" s="1">
        <f t="shared" si="76"/>
        <v>0.57553453415062084</v>
      </c>
      <c r="AM403" s="1">
        <f t="shared" si="80"/>
        <v>0.13388271754344316</v>
      </c>
      <c r="AN403" s="1">
        <f t="shared" si="81"/>
        <v>0.13388271754344316</v>
      </c>
      <c r="AO403" s="1">
        <f t="shared" si="82"/>
        <v>0.13353084867186585</v>
      </c>
      <c r="AP403" s="1">
        <f t="shared" si="77"/>
        <v>2.5815684898465721</v>
      </c>
      <c r="AQ403" s="1">
        <f t="shared" si="83"/>
        <v>6.7592779324707197E-3</v>
      </c>
      <c r="AR403" s="1">
        <f t="shared" si="84"/>
        <v>6.7592779324707197E-3</v>
      </c>
      <c r="AS403" s="1">
        <f t="shared" si="85"/>
        <v>6.1140010479098185E-3</v>
      </c>
    </row>
    <row r="404" spans="35:45" ht="11.25" customHeight="1" x14ac:dyDescent="0.2">
      <c r="AI404" s="3" t="e">
        <f t="shared" si="78"/>
        <v>#N/A</v>
      </c>
      <c r="AJ404" s="3" t="e">
        <f t="shared" si="79"/>
        <v>#N/A</v>
      </c>
      <c r="AK404" s="1">
        <f t="shared" si="75"/>
        <v>59.249999999999616</v>
      </c>
      <c r="AL404" s="1">
        <f t="shared" si="76"/>
        <v>0.58502136713112596</v>
      </c>
      <c r="AM404" s="1">
        <f t="shared" si="80"/>
        <v>0.13313535367043272</v>
      </c>
      <c r="AN404" s="1">
        <f t="shared" si="81"/>
        <v>0.13313535367043272</v>
      </c>
      <c r="AO404" s="1">
        <f t="shared" si="82"/>
        <v>0.13278544901117106</v>
      </c>
      <c r="AP404" s="1">
        <f t="shared" si="77"/>
        <v>2.5729440962279311</v>
      </c>
      <c r="AQ404" s="1">
        <f t="shared" si="83"/>
        <v>6.8922366087617593E-3</v>
      </c>
      <c r="AR404" s="1">
        <f t="shared" si="84"/>
        <v>6.8922366087617593E-3</v>
      </c>
      <c r="AS404" s="1">
        <f t="shared" si="85"/>
        <v>6.2342667766301894E-3</v>
      </c>
    </row>
    <row r="405" spans="35:45" ht="11.25" customHeight="1" x14ac:dyDescent="0.2">
      <c r="AI405" s="3" t="e">
        <f t="shared" si="78"/>
        <v>#N/A</v>
      </c>
      <c r="AJ405" s="3" t="e">
        <f t="shared" si="79"/>
        <v>#N/A</v>
      </c>
      <c r="AK405" s="1">
        <f t="shared" si="75"/>
        <v>59.399999999999615</v>
      </c>
      <c r="AL405" s="1">
        <f t="shared" si="76"/>
        <v>0.59450820011163097</v>
      </c>
      <c r="AM405" s="1">
        <f t="shared" si="80"/>
        <v>0.13238025858175462</v>
      </c>
      <c r="AN405" s="1">
        <f t="shared" si="81"/>
        <v>0.13238025858175462</v>
      </c>
      <c r="AO405" s="1">
        <f t="shared" si="82"/>
        <v>0.13203233845389226</v>
      </c>
      <c r="AP405" s="1">
        <f t="shared" si="77"/>
        <v>2.5643197026092901</v>
      </c>
      <c r="AQ405" s="1">
        <f t="shared" si="83"/>
        <v>7.027485351314422E-3</v>
      </c>
      <c r="AR405" s="1">
        <f t="shared" si="84"/>
        <v>7.027485351314422E-3</v>
      </c>
      <c r="AS405" s="1">
        <f t="shared" si="85"/>
        <v>6.3566039496177201E-3</v>
      </c>
    </row>
    <row r="406" spans="35:45" ht="11.25" customHeight="1" x14ac:dyDescent="0.2">
      <c r="AI406" s="3" t="e">
        <f t="shared" si="78"/>
        <v>#N/A</v>
      </c>
      <c r="AJ406" s="3" t="e">
        <f t="shared" si="79"/>
        <v>#N/A</v>
      </c>
      <c r="AK406" s="1">
        <f t="shared" si="75"/>
        <v>59.549999999999613</v>
      </c>
      <c r="AL406" s="1">
        <f t="shared" si="76"/>
        <v>0.60399503309213598</v>
      </c>
      <c r="AM406" s="1">
        <f t="shared" si="80"/>
        <v>0.13161762166813418</v>
      </c>
      <c r="AN406" s="1">
        <f t="shared" si="81"/>
        <v>0.13161762166813418</v>
      </c>
      <c r="AO406" s="1">
        <f t="shared" si="82"/>
        <v>0.13127170589300041</v>
      </c>
      <c r="AP406" s="1">
        <f t="shared" si="77"/>
        <v>2.5556953089906491</v>
      </c>
      <c r="AQ406" s="1">
        <f t="shared" si="83"/>
        <v>7.1650553519833626E-3</v>
      </c>
      <c r="AR406" s="1">
        <f t="shared" si="84"/>
        <v>7.1650553519833626E-3</v>
      </c>
      <c r="AS406" s="1">
        <f t="shared" si="85"/>
        <v>6.4810407809855058E-3</v>
      </c>
    </row>
    <row r="407" spans="35:45" ht="11.25" customHeight="1" x14ac:dyDescent="0.2">
      <c r="AI407" s="3" t="e">
        <f t="shared" si="78"/>
        <v>#N/A</v>
      </c>
      <c r="AJ407" s="3" t="e">
        <f t="shared" si="79"/>
        <v>#N/A</v>
      </c>
      <c r="AK407" s="1">
        <f t="shared" si="75"/>
        <v>59.699999999999612</v>
      </c>
      <c r="AL407" s="1">
        <f t="shared" si="76"/>
        <v>0.6134818660726411</v>
      </c>
      <c r="AM407" s="1">
        <f t="shared" si="80"/>
        <v>0.13084763324400228</v>
      </c>
      <c r="AN407" s="1">
        <f t="shared" si="81"/>
        <v>0.13084763324400228</v>
      </c>
      <c r="AO407" s="1">
        <f t="shared" si="82"/>
        <v>0.13050374114274441</v>
      </c>
      <c r="AP407" s="1">
        <f t="shared" si="77"/>
        <v>2.5470709153720081</v>
      </c>
      <c r="AQ407" s="1">
        <f t="shared" si="83"/>
        <v>7.3049780289005661E-3</v>
      </c>
      <c r="AR407" s="1">
        <f t="shared" si="84"/>
        <v>7.3049780289005661E-3</v>
      </c>
      <c r="AS407" s="1">
        <f t="shared" si="85"/>
        <v>6.6076056895223298E-3</v>
      </c>
    </row>
    <row r="408" spans="35:45" ht="11.25" customHeight="1" x14ac:dyDescent="0.2">
      <c r="AI408" s="3" t="e">
        <f t="shared" si="78"/>
        <v>#N/A</v>
      </c>
      <c r="AJ408" s="3" t="e">
        <f t="shared" si="79"/>
        <v>#N/A</v>
      </c>
      <c r="AK408" s="1">
        <f t="shared" si="75"/>
        <v>59.849999999999611</v>
      </c>
      <c r="AL408" s="1">
        <f t="shared" si="76"/>
        <v>0.62296869905314611</v>
      </c>
      <c r="AM408" s="1">
        <f t="shared" si="80"/>
        <v>0.1300704844764411</v>
      </c>
      <c r="AN408" s="1">
        <f t="shared" si="81"/>
        <v>0.1300704844764411</v>
      </c>
      <c r="AO408" s="1">
        <f t="shared" si="82"/>
        <v>0.12972863486778352</v>
      </c>
      <c r="AP408" s="1">
        <f t="shared" si="77"/>
        <v>2.5384465217533672</v>
      </c>
      <c r="AQ408" s="1">
        <f t="shared" si="83"/>
        <v>7.4472850160323123E-3</v>
      </c>
      <c r="AR408" s="1">
        <f t="shared" si="84"/>
        <v>7.4472850160323123E-3</v>
      </c>
      <c r="AS408" s="1">
        <f t="shared" si="85"/>
        <v>6.7363272892465706E-3</v>
      </c>
    </row>
    <row r="409" spans="35:45" ht="11.25" customHeight="1" x14ac:dyDescent="0.2">
      <c r="AI409" s="3" t="e">
        <f t="shared" si="78"/>
        <v>#N/A</v>
      </c>
      <c r="AJ409" s="3" t="e">
        <f t="shared" si="79"/>
        <v>#N/A</v>
      </c>
      <c r="AK409" s="1">
        <f t="shared" si="75"/>
        <v>59.999999999999609</v>
      </c>
      <c r="AL409" s="1">
        <f t="shared" si="76"/>
        <v>0.63245553203365112</v>
      </c>
      <c r="AM409" s="1">
        <f t="shared" si="80"/>
        <v>0.12928636727638221</v>
      </c>
      <c r="AN409" s="1">
        <f t="shared" si="81"/>
        <v>0.12928636727638221</v>
      </c>
      <c r="AO409" s="1">
        <f t="shared" si="82"/>
        <v>0.12894657847467142</v>
      </c>
      <c r="AP409" s="1">
        <f t="shared" si="77"/>
        <v>2.5298221281347262</v>
      </c>
      <c r="AQ409" s="1">
        <f t="shared" si="83"/>
        <v>7.5920081626240643E-3</v>
      </c>
      <c r="AR409" s="1">
        <f t="shared" si="84"/>
        <v>7.5920081626240643E-3</v>
      </c>
      <c r="AS409" s="1">
        <f t="shared" si="85"/>
        <v>6.8672343889040841E-3</v>
      </c>
    </row>
    <row r="410" spans="35:45" ht="11.25" customHeight="1" x14ac:dyDescent="0.2">
      <c r="AI410" s="3" t="e">
        <f t="shared" si="78"/>
        <v>#N/A</v>
      </c>
      <c r="AJ410" s="3" t="e">
        <f t="shared" si="79"/>
        <v>#N/A</v>
      </c>
      <c r="AK410" s="1">
        <f t="shared" si="75"/>
        <v>60.149999999999608</v>
      </c>
      <c r="AL410" s="1">
        <f t="shared" si="76"/>
        <v>0.64194236501415625</v>
      </c>
      <c r="AM410" s="1">
        <f t="shared" si="80"/>
        <v>0.12849547424753638</v>
      </c>
      <c r="AN410" s="1">
        <f t="shared" si="81"/>
        <v>0.12849547424753638</v>
      </c>
      <c r="AO410" s="1">
        <f t="shared" si="82"/>
        <v>0.12815776406092025</v>
      </c>
      <c r="AP410" s="1">
        <f t="shared" si="77"/>
        <v>2.5211977345160852</v>
      </c>
      <c r="AQ410" s="1">
        <f t="shared" si="83"/>
        <v>7.7391795241799066E-3</v>
      </c>
      <c r="AR410" s="1">
        <f t="shared" si="84"/>
        <v>7.7391795241799066E-3</v>
      </c>
      <c r="AS410" s="1">
        <f t="shared" si="85"/>
        <v>7.0003559838087972E-3</v>
      </c>
    </row>
    <row r="411" spans="35:45" ht="11.25" customHeight="1" x14ac:dyDescent="0.2">
      <c r="AI411" s="3" t="e">
        <f t="shared" si="78"/>
        <v>#N/A</v>
      </c>
      <c r="AJ411" s="3" t="e">
        <f t="shared" si="79"/>
        <v>#N/A</v>
      </c>
      <c r="AK411" s="1">
        <f t="shared" si="75"/>
        <v>60.299999999999606</v>
      </c>
      <c r="AL411" s="1">
        <f t="shared" si="76"/>
        <v>0.65142919799466126</v>
      </c>
      <c r="AM411" s="1">
        <f t="shared" si="80"/>
        <v>0.12769799856204855</v>
      </c>
      <c r="AN411" s="1">
        <f t="shared" si="81"/>
        <v>0.12769799856204855</v>
      </c>
      <c r="AO411" s="1">
        <f t="shared" si="82"/>
        <v>0.12736238429098232</v>
      </c>
      <c r="AP411" s="1">
        <f t="shared" si="77"/>
        <v>2.5125733408974442</v>
      </c>
      <c r="AQ411" s="1">
        <f t="shared" si="83"/>
        <v>7.8888313671116039E-3</v>
      </c>
      <c r="AR411" s="1">
        <f t="shared" si="84"/>
        <v>7.8888313671116039E-3</v>
      </c>
      <c r="AS411" s="1">
        <f t="shared" si="85"/>
        <v>7.1357212600479383E-3</v>
      </c>
    </row>
    <row r="412" spans="35:45" ht="11.25" customHeight="1" x14ac:dyDescent="0.2">
      <c r="AI412" s="3" t="e">
        <f t="shared" si="78"/>
        <v>#N/A</v>
      </c>
      <c r="AJ412" s="3" t="e">
        <f t="shared" si="79"/>
        <v>#N/A</v>
      </c>
      <c r="AK412" s="1">
        <f t="shared" si="75"/>
        <v>60.449999999999605</v>
      </c>
      <c r="AL412" s="1">
        <f t="shared" si="76"/>
        <v>0.66091603097516627</v>
      </c>
      <c r="AM412" s="1">
        <f t="shared" si="80"/>
        <v>0.12689413396049787</v>
      </c>
      <c r="AN412" s="1">
        <f t="shared" si="81"/>
        <v>0.12689413396049787</v>
      </c>
      <c r="AO412" s="1">
        <f t="shared" si="82"/>
        <v>0.12656063239625023</v>
      </c>
      <c r="AP412" s="1">
        <f t="shared" si="77"/>
        <v>2.5039489472788037</v>
      </c>
      <c r="AQ412" s="1">
        <f t="shared" si="83"/>
        <v>8.040996154687341E-3</v>
      </c>
      <c r="AR412" s="1">
        <f t="shared" si="84"/>
        <v>8.040996154687341E-3</v>
      </c>
      <c r="AS412" s="1">
        <f t="shared" si="85"/>
        <v>7.2733595817721895E-3</v>
      </c>
    </row>
    <row r="413" spans="35:45" ht="11.25" customHeight="1" x14ac:dyDescent="0.2">
      <c r="AI413" s="3" t="e">
        <f t="shared" si="78"/>
        <v>#N/A</v>
      </c>
      <c r="AJ413" s="3" t="e">
        <f t="shared" si="79"/>
        <v>#N/A</v>
      </c>
      <c r="AK413" s="1">
        <f t="shared" si="75"/>
        <v>60.599999999999604</v>
      </c>
      <c r="AL413" s="1">
        <f t="shared" si="76"/>
        <v>0.67040286395567139</v>
      </c>
      <c r="AM413" s="1">
        <f t="shared" si="80"/>
        <v>0.12608407457648241</v>
      </c>
      <c r="AN413" s="1">
        <f t="shared" si="81"/>
        <v>0.12608407457648241</v>
      </c>
      <c r="AO413" s="1">
        <f t="shared" si="82"/>
        <v>0.12575270200010263</v>
      </c>
      <c r="AP413" s="1">
        <f t="shared" si="77"/>
        <v>2.4953245536601627</v>
      </c>
      <c r="AQ413" s="1">
        <f t="shared" si="83"/>
        <v>8.1957065481419455E-3</v>
      </c>
      <c r="AR413" s="1">
        <f t="shared" si="84"/>
        <v>8.1957065481419455E-3</v>
      </c>
      <c r="AS413" s="1">
        <f t="shared" si="85"/>
        <v>7.4133004921999156E-3</v>
      </c>
    </row>
    <row r="414" spans="35:45" ht="11.25" customHeight="1" x14ac:dyDescent="0.2">
      <c r="AI414" s="3" t="e">
        <f t="shared" si="78"/>
        <v>#N/A</v>
      </c>
      <c r="AJ414" s="3" t="e">
        <f t="shared" si="79"/>
        <v>#N/A</v>
      </c>
      <c r="AK414" s="1">
        <f t="shared" ref="AK414:AK477" si="86">AK413+$AJ$4</f>
        <v>60.749999999999602</v>
      </c>
      <c r="AL414" s="1">
        <f t="shared" si="76"/>
        <v>0.6798896969361764</v>
      </c>
      <c r="AM414" s="1">
        <f t="shared" si="80"/>
        <v>0.1252680149410601</v>
      </c>
      <c r="AN414" s="1">
        <f t="shared" si="81"/>
        <v>0.1252680149410601</v>
      </c>
      <c r="AO414" s="1">
        <f t="shared" si="82"/>
        <v>0.12493878712233332</v>
      </c>
      <c r="AP414" s="1">
        <f t="shared" si="77"/>
        <v>2.4867001600415217</v>
      </c>
      <c r="AQ414" s="1">
        <f t="shared" si="83"/>
        <v>8.3529954018890518E-3</v>
      </c>
      <c r="AR414" s="1">
        <f t="shared" si="84"/>
        <v>8.3529954018890518E-3</v>
      </c>
      <c r="AS414" s="1">
        <f t="shared" si="85"/>
        <v>7.5555737092864077E-3</v>
      </c>
    </row>
    <row r="415" spans="35:45" ht="11.25" customHeight="1" x14ac:dyDescent="0.2">
      <c r="AI415" s="3" t="e">
        <f t="shared" si="78"/>
        <v>#N/A</v>
      </c>
      <c r="AJ415" s="3" t="e">
        <f t="shared" si="79"/>
        <v>#N/A</v>
      </c>
      <c r="AK415" s="1">
        <f t="shared" si="86"/>
        <v>60.899999999999601</v>
      </c>
      <c r="AL415" s="1">
        <f t="shared" si="76"/>
        <v>0.68937652991668141</v>
      </c>
      <c r="AM415" s="1">
        <f t="shared" si="80"/>
        <v>0.12444614982509705</v>
      </c>
      <c r="AN415" s="1">
        <f t="shared" si="81"/>
        <v>0.12444614982509705</v>
      </c>
      <c r="AO415" s="1">
        <f t="shared" si="82"/>
        <v>0.1241190820219141</v>
      </c>
      <c r="AP415" s="1">
        <f t="shared" si="77"/>
        <v>2.4780757664228807</v>
      </c>
      <c r="AQ415" s="1">
        <f t="shared" si="83"/>
        <v>8.5128957544311473E-3</v>
      </c>
      <c r="AR415" s="1">
        <f t="shared" si="84"/>
        <v>8.5128957544311473E-3</v>
      </c>
      <c r="AS415" s="1">
        <f t="shared" si="85"/>
        <v>7.7002091175017006E-3</v>
      </c>
    </row>
    <row r="416" spans="35:45" ht="11.25" customHeight="1" x14ac:dyDescent="0.2">
      <c r="AI416" s="3" t="e">
        <f t="shared" si="78"/>
        <v>#N/A</v>
      </c>
      <c r="AJ416" s="3" t="e">
        <f t="shared" si="79"/>
        <v>#N/A</v>
      </c>
      <c r="AK416" s="1">
        <f t="shared" si="86"/>
        <v>61.049999999999599</v>
      </c>
      <c r="AL416" s="1">
        <f t="shared" si="76"/>
        <v>0.69886336289718654</v>
      </c>
      <c r="AM416" s="1">
        <f t="shared" si="80"/>
        <v>0.12361867424592887</v>
      </c>
      <c r="AN416" s="1">
        <f t="shared" si="81"/>
        <v>0.12361867424592887</v>
      </c>
      <c r="AO416" s="1">
        <f t="shared" si="82"/>
        <v>0.12329378120363844</v>
      </c>
      <c r="AP416" s="1">
        <f t="shared" si="77"/>
        <v>2.4694513728042398</v>
      </c>
      <c r="AQ416" s="1">
        <f t="shared" si="83"/>
        <v>8.6754408309269709E-3</v>
      </c>
      <c r="AR416" s="1">
        <f t="shared" si="84"/>
        <v>8.6754408309269709E-3</v>
      </c>
      <c r="AS416" s="1">
        <f t="shared" si="85"/>
        <v>7.8472367701528743E-3</v>
      </c>
    </row>
    <row r="417" spans="35:45" ht="11.25" customHeight="1" x14ac:dyDescent="0.2">
      <c r="AI417" s="3" t="e">
        <f t="shared" si="78"/>
        <v>#N/A</v>
      </c>
      <c r="AJ417" s="3" t="e">
        <f t="shared" si="79"/>
        <v>#N/A</v>
      </c>
      <c r="AK417" s="1">
        <f t="shared" si="86"/>
        <v>61.199999999999598</v>
      </c>
      <c r="AL417" s="1">
        <f t="shared" si="76"/>
        <v>0.70835019587769155</v>
      </c>
      <c r="AM417" s="1">
        <f t="shared" si="80"/>
        <v>0.12278578331414991</v>
      </c>
      <c r="AN417" s="1">
        <f t="shared" si="81"/>
        <v>0.12278578331414991</v>
      </c>
      <c r="AO417" s="1">
        <f t="shared" si="82"/>
        <v>0.12246307926531352</v>
      </c>
      <c r="AP417" s="1">
        <f t="shared" si="77"/>
        <v>2.4608269791855988</v>
      </c>
      <c r="AQ417" s="1">
        <f t="shared" si="83"/>
        <v>8.8406640214727644E-3</v>
      </c>
      <c r="AR417" s="1">
        <f t="shared" si="84"/>
        <v>8.8406640214727644E-3</v>
      </c>
      <c r="AS417" s="1">
        <f t="shared" si="85"/>
        <v>7.9966868697386936E-3</v>
      </c>
    </row>
    <row r="418" spans="35:45" ht="11.25" customHeight="1" x14ac:dyDescent="0.2">
      <c r="AI418" s="3" t="e">
        <f t="shared" si="78"/>
        <v>#N/A</v>
      </c>
      <c r="AJ418" s="3" t="e">
        <f t="shared" si="79"/>
        <v>#N/A</v>
      </c>
      <c r="AK418" s="1">
        <f t="shared" si="86"/>
        <v>61.349999999999596</v>
      </c>
      <c r="AL418" s="1">
        <f t="shared" si="76"/>
        <v>0.71783702885819656</v>
      </c>
      <c r="AM418" s="1">
        <f t="shared" si="80"/>
        <v>0.12194767221362923</v>
      </c>
      <c r="AN418" s="1">
        <f t="shared" si="81"/>
        <v>0.12194767221362923</v>
      </c>
      <c r="AO418" s="1">
        <f t="shared" si="82"/>
        <v>0.12162717087782862</v>
      </c>
      <c r="AP418" s="1">
        <f t="shared" si="77"/>
        <v>2.4522025855669578</v>
      </c>
      <c r="AQ418" s="1">
        <f t="shared" si="83"/>
        <v>9.0085989028210172E-3</v>
      </c>
      <c r="AR418" s="1">
        <f t="shared" si="84"/>
        <v>9.0085989028210172E-3</v>
      </c>
      <c r="AS418" s="1">
        <f t="shared" si="85"/>
        <v>8.1485897875949679E-3</v>
      </c>
    </row>
    <row r="419" spans="35:45" ht="11.25" customHeight="1" x14ac:dyDescent="0.2">
      <c r="AI419" s="3" t="e">
        <f t="shared" si="78"/>
        <v>#N/A</v>
      </c>
      <c r="AJ419" s="3" t="e">
        <f t="shared" si="79"/>
        <v>#N/A</v>
      </c>
      <c r="AK419" s="1">
        <f t="shared" si="86"/>
        <v>61.499999999999595</v>
      </c>
      <c r="AL419" s="1">
        <f t="shared" si="76"/>
        <v>0.72732386183870168</v>
      </c>
      <c r="AM419" s="1">
        <f t="shared" si="80"/>
        <v>0.12110453606606342</v>
      </c>
      <c r="AN419" s="1">
        <f t="shared" si="81"/>
        <v>0.12110453606606342</v>
      </c>
      <c r="AO419" s="1">
        <f t="shared" si="82"/>
        <v>0.1207862506500639</v>
      </c>
      <c r="AP419" s="1">
        <f t="shared" si="77"/>
        <v>2.4435781919483168</v>
      </c>
      <c r="AQ419" s="1">
        <f t="shared" si="83"/>
        <v>9.1792792069472755E-3</v>
      </c>
      <c r="AR419" s="1">
        <f t="shared" si="84"/>
        <v>9.1792792069472755E-3</v>
      </c>
      <c r="AS419" s="1">
        <f t="shared" si="85"/>
        <v>8.3029760354621368E-3</v>
      </c>
    </row>
    <row r="420" spans="35:45" ht="11.25" customHeight="1" x14ac:dyDescent="0.2">
      <c r="AI420" s="3" t="e">
        <f t="shared" si="78"/>
        <v>#N/A</v>
      </c>
      <c r="AJ420" s="3" t="e">
        <f t="shared" si="79"/>
        <v>#N/A</v>
      </c>
      <c r="AK420" s="1">
        <f t="shared" si="86"/>
        <v>61.649999999999594</v>
      </c>
      <c r="AL420" s="1">
        <f t="shared" si="76"/>
        <v>0.73681069481920669</v>
      </c>
      <c r="AM420" s="1">
        <f t="shared" si="80"/>
        <v>0.12025656992209477</v>
      </c>
      <c r="AN420" s="1">
        <f t="shared" si="81"/>
        <v>0.12025656992209477</v>
      </c>
      <c r="AO420" s="1">
        <f t="shared" si="82"/>
        <v>0.11994051312003205</v>
      </c>
      <c r="AP420" s="1">
        <f t="shared" si="77"/>
        <v>2.4349537983296758</v>
      </c>
      <c r="AQ420" s="1">
        <f t="shared" si="83"/>
        <v>9.3527388261849236E-3</v>
      </c>
      <c r="AR420" s="1">
        <f t="shared" si="84"/>
        <v>9.3527388261849236E-3</v>
      </c>
      <c r="AS420" s="1">
        <f t="shared" si="85"/>
        <v>8.459876270129861E-3</v>
      </c>
    </row>
    <row r="421" spans="35:45" ht="11.25" customHeight="1" x14ac:dyDescent="0.2">
      <c r="AI421" s="3" t="e">
        <f t="shared" si="78"/>
        <v>#N/A</v>
      </c>
      <c r="AJ421" s="3" t="e">
        <f t="shared" si="79"/>
        <v>#N/A</v>
      </c>
      <c r="AK421" s="1">
        <f t="shared" si="86"/>
        <v>61.799999999999592</v>
      </c>
      <c r="AL421" s="1">
        <f t="shared" si="76"/>
        <v>0.7462975277997117</v>
      </c>
      <c r="AM421" s="1">
        <f t="shared" si="80"/>
        <v>0.11940396864140723</v>
      </c>
      <c r="AN421" s="1">
        <f t="shared" si="81"/>
        <v>0.11940396864140723</v>
      </c>
      <c r="AO421" s="1">
        <f t="shared" si="82"/>
        <v>0.11909015263528926</v>
      </c>
      <c r="AP421" s="1">
        <f t="shared" si="77"/>
        <v>2.4263294047110349</v>
      </c>
      <c r="AQ421" s="1">
        <f t="shared" si="83"/>
        <v>9.52901180704957E-3</v>
      </c>
      <c r="AR421" s="1">
        <f t="shared" si="84"/>
        <v>9.52901180704957E-3</v>
      </c>
      <c r="AS421" s="1">
        <f t="shared" si="85"/>
        <v>8.619321287850961E-3</v>
      </c>
    </row>
    <row r="422" spans="35:45" ht="11.25" customHeight="1" x14ac:dyDescent="0.2">
      <c r="AI422" s="3" t="e">
        <f t="shared" si="78"/>
        <v>#N/A</v>
      </c>
      <c r="AJ422" s="3" t="e">
        <f t="shared" si="79"/>
        <v>#N/A</v>
      </c>
      <c r="AK422" s="1">
        <f t="shared" si="86"/>
        <v>61.949999999999591</v>
      </c>
      <c r="AL422" s="1">
        <f t="shared" si="76"/>
        <v>0.75578436078021682</v>
      </c>
      <c r="AM422" s="1">
        <f t="shared" si="80"/>
        <v>0.11854692680834944</v>
      </c>
      <c r="AN422" s="1">
        <f t="shared" si="81"/>
        <v>0.11854692680834944</v>
      </c>
      <c r="AO422" s="1">
        <f t="shared" si="82"/>
        <v>0.11823536326877999</v>
      </c>
      <c r="AP422" s="1">
        <f t="shared" si="77"/>
        <v>2.4177050110923939</v>
      </c>
      <c r="AQ422" s="1">
        <f t="shared" si="83"/>
        <v>9.7081323417735899E-3</v>
      </c>
      <c r="AR422" s="1">
        <f t="shared" si="84"/>
        <v>9.7081323417735899E-3</v>
      </c>
      <c r="AS422" s="1">
        <f t="shared" si="85"/>
        <v>8.7813420166841238E-3</v>
      </c>
    </row>
    <row r="423" spans="35:45" ht="11.25" customHeight="1" x14ac:dyDescent="0.2">
      <c r="AI423" s="3" t="e">
        <f t="shared" si="78"/>
        <v>#N/A</v>
      </c>
      <c r="AJ423" s="3" t="e">
        <f t="shared" si="79"/>
        <v>#N/A</v>
      </c>
      <c r="AK423" s="1">
        <f t="shared" si="86"/>
        <v>62.099999999999589</v>
      </c>
      <c r="AL423" s="1">
        <f t="shared" si="76"/>
        <v>0.76527119376072184</v>
      </c>
      <c r="AM423" s="1">
        <f t="shared" si="80"/>
        <v>0.11768563872083249</v>
      </c>
      <c r="AN423" s="1">
        <f t="shared" si="81"/>
        <v>0.11768563872083249</v>
      </c>
      <c r="AO423" s="1">
        <f t="shared" si="82"/>
        <v>0.11737633880776403</v>
      </c>
      <c r="AP423" s="1">
        <f t="shared" si="77"/>
        <v>2.4090806174737529</v>
      </c>
      <c r="AQ423" s="1">
        <f t="shared" si="83"/>
        <v>9.8901347682367469E-3</v>
      </c>
      <c r="AR423" s="1">
        <f t="shared" si="84"/>
        <v>9.8901347682367469E-3</v>
      </c>
      <c r="AS423" s="1">
        <f t="shared" si="85"/>
        <v>8.9459695164311459E-3</v>
      </c>
    </row>
    <row r="424" spans="35:45" ht="11.25" customHeight="1" x14ac:dyDescent="0.2">
      <c r="AI424" s="3" t="e">
        <f t="shared" si="78"/>
        <v>#N/A</v>
      </c>
      <c r="AJ424" s="3" t="e">
        <f t="shared" si="79"/>
        <v>#N/A</v>
      </c>
      <c r="AK424" s="1">
        <f t="shared" si="86"/>
        <v>62.249999999999588</v>
      </c>
      <c r="AL424" s="1">
        <f t="shared" si="76"/>
        <v>0.77475802674122685</v>
      </c>
      <c r="AM424" s="1">
        <f t="shared" si="80"/>
        <v>0.11682029823711915</v>
      </c>
      <c r="AN424" s="1">
        <f t="shared" si="81"/>
        <v>0.11682029823711915</v>
      </c>
      <c r="AO424" s="1">
        <f t="shared" si="82"/>
        <v>0.11651327260100833</v>
      </c>
      <c r="AP424" s="1">
        <f t="shared" si="77"/>
        <v>2.4004562238551119</v>
      </c>
      <c r="AQ424" s="1">
        <f t="shared" si="83"/>
        <v>1.0075053544708612E-2</v>
      </c>
      <c r="AR424" s="1">
        <f t="shared" si="84"/>
        <v>1.0075053544708612E-2</v>
      </c>
      <c r="AS424" s="1">
        <f t="shared" si="85"/>
        <v>9.1132349557905713E-3</v>
      </c>
    </row>
    <row r="425" spans="35:45" ht="11.25" customHeight="1" x14ac:dyDescent="0.2">
      <c r="AI425" s="3" t="e">
        <f t="shared" si="78"/>
        <v>#N/A</v>
      </c>
      <c r="AJ425" s="3" t="e">
        <f t="shared" si="79"/>
        <v>#N/A</v>
      </c>
      <c r="AK425" s="1">
        <f t="shared" si="86"/>
        <v>62.399999999999586</v>
      </c>
      <c r="AL425" s="1">
        <f t="shared" si="76"/>
        <v>0.78424485972173197</v>
      </c>
      <c r="AM425" s="1">
        <f t="shared" si="80"/>
        <v>0.11595109876916254</v>
      </c>
      <c r="AN425" s="1">
        <f t="shared" si="81"/>
        <v>0.11595109876916254</v>
      </c>
      <c r="AO425" s="1">
        <f t="shared" si="82"/>
        <v>0.11564635755214313</v>
      </c>
      <c r="AP425" s="1">
        <f t="shared" si="77"/>
        <v>2.3918318302364709</v>
      </c>
      <c r="AQ425" s="1">
        <f t="shared" si="83"/>
        <v>1.0262923269555024E-2</v>
      </c>
      <c r="AR425" s="1">
        <f t="shared" si="84"/>
        <v>1.0262923269555024E-2</v>
      </c>
      <c r="AS425" s="1">
        <f t="shared" si="85"/>
        <v>9.2831696301828737E-3</v>
      </c>
    </row>
    <row r="426" spans="35:45" ht="11.25" customHeight="1" x14ac:dyDescent="0.2">
      <c r="AI426" s="3" t="e">
        <f t="shared" si="78"/>
        <v>#N/A</v>
      </c>
      <c r="AJ426" s="3" t="e">
        <f t="shared" si="79"/>
        <v>#N/A</v>
      </c>
      <c r="AK426" s="1">
        <f t="shared" si="86"/>
        <v>62.549999999999585</v>
      </c>
      <c r="AL426" s="1">
        <f t="shared" si="76"/>
        <v>0.79373169270223698</v>
      </c>
      <c r="AM426" s="1">
        <f t="shared" si="80"/>
        <v>0.11507823316492249</v>
      </c>
      <c r="AN426" s="1">
        <f t="shared" si="81"/>
        <v>0.11507823316492249</v>
      </c>
      <c r="AO426" s="1">
        <f t="shared" si="82"/>
        <v>0.11477578600228769</v>
      </c>
      <c r="AP426" s="1">
        <f t="shared" si="77"/>
        <v>2.38320743661783</v>
      </c>
      <c r="AQ426" s="1">
        <f t="shared" si="83"/>
        <v>1.045377865840913E-2</v>
      </c>
      <c r="AR426" s="1">
        <f t="shared" si="84"/>
        <v>1.045377865840913E-2</v>
      </c>
      <c r="AS426" s="1">
        <f t="shared" si="85"/>
        <v>9.4558049411008708E-3</v>
      </c>
    </row>
    <row r="427" spans="35:45" ht="11.25" customHeight="1" x14ac:dyDescent="0.2">
      <c r="AI427" s="3" t="e">
        <f t="shared" si="78"/>
        <v>#N/A</v>
      </c>
      <c r="AJ427" s="3" t="e">
        <f t="shared" si="79"/>
        <v>#N/A</v>
      </c>
      <c r="AK427" s="1">
        <f t="shared" si="86"/>
        <v>62.699999999999584</v>
      </c>
      <c r="AL427" s="1">
        <f t="shared" si="76"/>
        <v>0.80321852568274199</v>
      </c>
      <c r="AM427" s="1">
        <f t="shared" si="80"/>
        <v>0.11420189367949973</v>
      </c>
      <c r="AN427" s="1">
        <f t="shared" si="81"/>
        <v>0.11420189367949973</v>
      </c>
      <c r="AO427" s="1">
        <f t="shared" si="82"/>
        <v>0.11390174970126028</v>
      </c>
      <c r="AP427" s="1">
        <f t="shared" si="77"/>
        <v>2.374583042999189</v>
      </c>
      <c r="AQ427" s="1">
        <f t="shared" si="83"/>
        <v>1.0647654529738482E-2</v>
      </c>
      <c r="AR427" s="1">
        <f t="shared" si="84"/>
        <v>1.0647654529738482E-2</v>
      </c>
      <c r="AS427" s="1">
        <f t="shared" si="85"/>
        <v>9.6311723830546613E-3</v>
      </c>
    </row>
    <row r="428" spans="35:45" ht="11.25" customHeight="1" x14ac:dyDescent="0.2">
      <c r="AI428" s="3" t="e">
        <f t="shared" si="78"/>
        <v>#N/A</v>
      </c>
      <c r="AJ428" s="3" t="e">
        <f t="shared" si="79"/>
        <v>#N/A</v>
      </c>
      <c r="AK428" s="1">
        <f t="shared" si="86"/>
        <v>62.849999999999582</v>
      </c>
      <c r="AL428" s="1">
        <f t="shared" si="76"/>
        <v>0.81270535866324711</v>
      </c>
      <c r="AM428" s="1">
        <f t="shared" si="80"/>
        <v>0.1133222718596727</v>
      </c>
      <c r="AN428" s="1">
        <f t="shared" si="81"/>
        <v>0.1133222718596727</v>
      </c>
      <c r="AO428" s="1">
        <f t="shared" si="82"/>
        <v>0.11302443969241853</v>
      </c>
      <c r="AP428" s="1">
        <f t="shared" si="77"/>
        <v>2.365958649380548</v>
      </c>
      <c r="AQ428" s="1">
        <f t="shared" si="83"/>
        <v>1.0844585818792218E-2</v>
      </c>
      <c r="AR428" s="1">
        <f t="shared" si="84"/>
        <v>1.0844585818792218E-2</v>
      </c>
      <c r="AS428" s="1">
        <f t="shared" si="85"/>
        <v>9.8093035561873307E-3</v>
      </c>
    </row>
    <row r="429" spans="35:45" ht="11.25" customHeight="1" x14ac:dyDescent="0.2">
      <c r="AI429" s="3" t="e">
        <f t="shared" si="78"/>
        <v>#N/A</v>
      </c>
      <c r="AJ429" s="3" t="e">
        <f t="shared" si="79"/>
        <v>#N/A</v>
      </c>
      <c r="AK429" s="1">
        <f t="shared" si="86"/>
        <v>62.999999999999581</v>
      </c>
      <c r="AL429" s="1">
        <f t="shared" si="76"/>
        <v>0.82219219164375212</v>
      </c>
      <c r="AM429" s="1">
        <f t="shared" si="80"/>
        <v>0.11243955852835441</v>
      </c>
      <c r="AN429" s="1">
        <f t="shared" si="81"/>
        <v>0.11243955852835441</v>
      </c>
      <c r="AO429" s="1">
        <f t="shared" si="82"/>
        <v>0.11214404629715709</v>
      </c>
      <c r="AP429" s="1">
        <f t="shared" si="77"/>
        <v>2.357334255761907</v>
      </c>
      <c r="AQ429" s="1">
        <f t="shared" si="83"/>
        <v>1.1044607545265817E-2</v>
      </c>
      <c r="AR429" s="1">
        <f t="shared" si="84"/>
        <v>1.1044607545265817E-2</v>
      </c>
      <c r="AS429" s="1">
        <f t="shared" si="85"/>
        <v>9.9902301370266081E-3</v>
      </c>
    </row>
    <row r="430" spans="35:45" ht="11.25" customHeight="1" x14ac:dyDescent="0.2">
      <c r="AI430" s="3" t="e">
        <f t="shared" si="78"/>
        <v>#N/A</v>
      </c>
      <c r="AJ430" s="3" t="e">
        <f t="shared" si="79"/>
        <v>#N/A</v>
      </c>
      <c r="AK430" s="1">
        <f t="shared" si="86"/>
        <v>63.149999999999579</v>
      </c>
      <c r="AL430" s="1">
        <f t="shared" si="76"/>
        <v>0.83167902462425713</v>
      </c>
      <c r="AM430" s="1">
        <f t="shared" si="80"/>
        <v>0.11155394366024751</v>
      </c>
      <c r="AN430" s="1">
        <f t="shared" si="81"/>
        <v>0.11155394366024751</v>
      </c>
      <c r="AO430" s="1">
        <f t="shared" si="82"/>
        <v>0.11126075899088947</v>
      </c>
      <c r="AP430" s="1">
        <f t="shared" si="77"/>
        <v>2.3487098621432665</v>
      </c>
      <c r="AQ430" s="1">
        <f t="shared" si="83"/>
        <v>1.1247754827733991E-2</v>
      </c>
      <c r="AR430" s="1">
        <f t="shared" si="84"/>
        <v>1.1247754827733991E-2</v>
      </c>
      <c r="AS430" s="1">
        <f t="shared" si="85"/>
        <v>1.0173983891539918E-2</v>
      </c>
    </row>
    <row r="431" spans="35:45" ht="11.25" customHeight="1" x14ac:dyDescent="0.2">
      <c r="AI431" s="3" t="e">
        <f t="shared" si="78"/>
        <v>#N/A</v>
      </c>
      <c r="AJ431" s="3" t="e">
        <f t="shared" si="79"/>
        <v>#N/A</v>
      </c>
      <c r="AK431" s="1">
        <f t="shared" si="86"/>
        <v>63.299999999999578</v>
      </c>
      <c r="AL431" s="1">
        <f t="shared" si="76"/>
        <v>0.84116585760476226</v>
      </c>
      <c r="AM431" s="1">
        <f t="shared" si="80"/>
        <v>0.11066561637518291</v>
      </c>
      <c r="AN431" s="1">
        <f t="shared" si="81"/>
        <v>0.11066561637518291</v>
      </c>
      <c r="AO431" s="1">
        <f t="shared" si="82"/>
        <v>0.11037476639640421</v>
      </c>
      <c r="AP431" s="1">
        <f t="shared" si="77"/>
        <v>2.3400854685246255</v>
      </c>
      <c r="AQ431" s="1">
        <f t="shared" si="83"/>
        <v>1.145406286304218E-2</v>
      </c>
      <c r="AR431" s="1">
        <f t="shared" si="84"/>
        <v>1.145406286304218E-2</v>
      </c>
      <c r="AS431" s="1">
        <f t="shared" si="85"/>
        <v>1.036059665649326E-2</v>
      </c>
    </row>
    <row r="432" spans="35:45" ht="11.25" customHeight="1" x14ac:dyDescent="0.2">
      <c r="AI432" s="3" t="e">
        <f t="shared" si="78"/>
        <v>#N/A</v>
      </c>
      <c r="AJ432" s="3" t="e">
        <f t="shared" si="79"/>
        <v>#N/A</v>
      </c>
      <c r="AK432" s="1">
        <f t="shared" si="86"/>
        <v>63.449999999999577</v>
      </c>
      <c r="AL432" s="1">
        <f t="shared" si="76"/>
        <v>0.85065269058526727</v>
      </c>
      <c r="AM432" s="1">
        <f t="shared" si="80"/>
        <v>0.10977476482043613</v>
      </c>
      <c r="AN432" s="1">
        <f t="shared" si="81"/>
        <v>0.10977476482043613</v>
      </c>
      <c r="AO432" s="1">
        <f t="shared" si="82"/>
        <v>0.10948625616649058</v>
      </c>
      <c r="AP432" s="1">
        <f t="shared" si="77"/>
        <v>2.3314610749059845</v>
      </c>
      <c r="AQ432" s="1">
        <f t="shared" si="83"/>
        <v>1.1663566912983869E-2</v>
      </c>
      <c r="AR432" s="1">
        <f t="shared" si="84"/>
        <v>1.1663566912983869E-2</v>
      </c>
      <c r="AS432" s="1">
        <f t="shared" si="85"/>
        <v>1.0550100327400403E-2</v>
      </c>
    </row>
    <row r="433" spans="35:45" ht="11.25" customHeight="1" x14ac:dyDescent="0.2">
      <c r="AI433" s="3" t="e">
        <f t="shared" si="78"/>
        <v>#N/A</v>
      </c>
      <c r="AJ433" s="3" t="e">
        <f t="shared" si="79"/>
        <v>#N/A</v>
      </c>
      <c r="AK433" s="1">
        <f t="shared" si="86"/>
        <v>63.599999999999575</v>
      </c>
      <c r="AL433" s="1">
        <f t="shared" si="76"/>
        <v>0.86013952356577228</v>
      </c>
      <c r="AM433" s="1">
        <f t="shared" si="80"/>
        <v>0.10888157613964111</v>
      </c>
      <c r="AN433" s="1">
        <f t="shared" si="81"/>
        <v>0.10888157613964111</v>
      </c>
      <c r="AO433" s="1">
        <f t="shared" si="82"/>
        <v>0.10859541495293393</v>
      </c>
      <c r="AP433" s="1">
        <f t="shared" si="77"/>
        <v>2.3228366812873436</v>
      </c>
      <c r="AQ433" s="1">
        <f t="shared" si="83"/>
        <v>1.1876302311863984E-2</v>
      </c>
      <c r="AR433" s="1">
        <f t="shared" si="84"/>
        <v>1.1876302311863984E-2</v>
      </c>
      <c r="AS433" s="1">
        <f t="shared" si="85"/>
        <v>1.0742526865364215E-2</v>
      </c>
    </row>
    <row r="434" spans="35:45" ht="11.25" customHeight="1" x14ac:dyDescent="0.2">
      <c r="AI434" s="3" t="e">
        <f t="shared" si="78"/>
        <v>#N/A</v>
      </c>
      <c r="AJ434" s="3" t="e">
        <f t="shared" si="79"/>
        <v>#N/A</v>
      </c>
      <c r="AK434" s="1">
        <f t="shared" si="86"/>
        <v>63.749999999999574</v>
      </c>
      <c r="AL434" s="1">
        <f t="shared" si="76"/>
        <v>0.8696263565462774</v>
      </c>
      <c r="AM434" s="1">
        <f t="shared" si="80"/>
        <v>0.10798623639951543</v>
      </c>
      <c r="AN434" s="1">
        <f t="shared" si="81"/>
        <v>0.10798623639951543</v>
      </c>
      <c r="AO434" s="1">
        <f t="shared" si="82"/>
        <v>0.10770242833343364</v>
      </c>
      <c r="AP434" s="1">
        <f t="shared" si="77"/>
        <v>2.3142122876687026</v>
      </c>
      <c r="AQ434" s="1">
        <f t="shared" si="83"/>
        <v>1.2092304442073987E-2</v>
      </c>
      <c r="AR434" s="1">
        <f t="shared" si="84"/>
        <v>1.2092304442073987E-2</v>
      </c>
      <c r="AS434" s="1">
        <f t="shared" si="85"/>
        <v>1.0937908274983508E-2</v>
      </c>
    </row>
    <row r="435" spans="35:45" ht="11.25" customHeight="1" x14ac:dyDescent="0.2">
      <c r="AI435" s="3" t="e">
        <f t="shared" si="78"/>
        <v>#N/A</v>
      </c>
      <c r="AJ435" s="3" t="e">
        <f t="shared" si="79"/>
        <v>#N/A</v>
      </c>
      <c r="AK435" s="1">
        <f t="shared" si="86"/>
        <v>63.899999999999572</v>
      </c>
      <c r="AL435" s="1">
        <f t="shared" si="76"/>
        <v>0.87911318952678241</v>
      </c>
      <c r="AM435" s="1">
        <f t="shared" si="80"/>
        <v>0.10708893052546742</v>
      </c>
      <c r="AN435" s="1">
        <f t="shared" si="81"/>
        <v>0.10708893052546742</v>
      </c>
      <c r="AO435" s="1">
        <f t="shared" si="82"/>
        <v>0.10680748074737945</v>
      </c>
      <c r="AP435" s="1">
        <f t="shared" si="77"/>
        <v>2.3055878940500616</v>
      </c>
      <c r="AQ435" s="1">
        <f t="shared" si="83"/>
        <v>1.2311608735895985E-2</v>
      </c>
      <c r="AR435" s="1">
        <f t="shared" si="84"/>
        <v>1.2311608735895985E-2</v>
      </c>
      <c r="AS435" s="1">
        <f t="shared" si="85"/>
        <v>1.1136276605984909E-2</v>
      </c>
    </row>
    <row r="436" spans="35:45" ht="11.25" customHeight="1" x14ac:dyDescent="0.2">
      <c r="AI436" s="3" t="e">
        <f t="shared" si="78"/>
        <v>#N/A</v>
      </c>
      <c r="AJ436" s="3" t="e">
        <f t="shared" si="79"/>
        <v>#N/A</v>
      </c>
      <c r="AK436" s="1">
        <f t="shared" si="86"/>
        <v>64.049999999999571</v>
      </c>
      <c r="AL436" s="1">
        <f t="shared" si="76"/>
        <v>0.88860002250728742</v>
      </c>
      <c r="AM436" s="1">
        <f t="shared" si="80"/>
        <v>0.10618984224608496</v>
      </c>
      <c r="AN436" s="1">
        <f t="shared" si="81"/>
        <v>0.10618984224608496</v>
      </c>
      <c r="AO436" s="1">
        <f t="shared" si="82"/>
        <v>0.10591075544048603</v>
      </c>
      <c r="AP436" s="1">
        <f t="shared" si="77"/>
        <v>2.2969635004314206</v>
      </c>
      <c r="AQ436" s="1">
        <f t="shared" si="83"/>
        <v>1.253425066134739E-2</v>
      </c>
      <c r="AR436" s="1">
        <f t="shared" si="84"/>
        <v>1.253425066134739E-2</v>
      </c>
      <c r="AS436" s="1">
        <f t="shared" si="85"/>
        <v>1.1337663940418867E-2</v>
      </c>
    </row>
    <row r="437" spans="35:45" ht="11.25" customHeight="1" x14ac:dyDescent="0.2">
      <c r="AI437" s="3" t="e">
        <f t="shared" si="78"/>
        <v>#N/A</v>
      </c>
      <c r="AJ437" s="3" t="e">
        <f t="shared" si="79"/>
        <v>#N/A</v>
      </c>
      <c r="AK437" s="1">
        <f t="shared" si="86"/>
        <v>64.199999999999577</v>
      </c>
      <c r="AL437" s="1">
        <f t="shared" si="76"/>
        <v>0.89808685548779299</v>
      </c>
      <c r="AM437" s="1">
        <f t="shared" si="80"/>
        <v>0.10528915402430172</v>
      </c>
      <c r="AN437" s="1">
        <f t="shared" si="81"/>
        <v>0.10528915402430172</v>
      </c>
      <c r="AO437" s="1">
        <f t="shared" si="82"/>
        <v>0.10501243439614032</v>
      </c>
      <c r="AP437" s="1">
        <f t="shared" si="77"/>
        <v>2.2883391068127792</v>
      </c>
      <c r="AQ437" s="1">
        <f t="shared" si="83"/>
        <v>1.2760265706984741E-2</v>
      </c>
      <c r="AR437" s="1">
        <f t="shared" si="84"/>
        <v>1.2760265706984741E-2</v>
      </c>
      <c r="AS437" s="1">
        <f t="shared" si="85"/>
        <v>1.1542102378914182E-2</v>
      </c>
    </row>
    <row r="438" spans="35:45" ht="11.25" customHeight="1" x14ac:dyDescent="0.2">
      <c r="AI438" s="3" t="e">
        <f t="shared" si="78"/>
        <v>#N/A</v>
      </c>
      <c r="AJ438" s="3" t="e">
        <f t="shared" si="79"/>
        <v>#N/A</v>
      </c>
      <c r="AK438" s="1">
        <f t="shared" si="86"/>
        <v>64.349999999999582</v>
      </c>
      <c r="AL438" s="1">
        <f t="shared" si="76"/>
        <v>0.90757368846829845</v>
      </c>
      <c r="AM438" s="1">
        <f t="shared" si="80"/>
        <v>0.10438704702409041</v>
      </c>
      <c r="AN438" s="1">
        <f t="shared" si="81"/>
        <v>0.10438704702409041</v>
      </c>
      <c r="AO438" s="1">
        <f t="shared" si="82"/>
        <v>0.1041126983021821</v>
      </c>
      <c r="AP438" s="1">
        <f t="shared" si="77"/>
        <v>2.2797147131941378</v>
      </c>
      <c r="AQ438" s="1">
        <f t="shared" si="83"/>
        <v>1.2989689383013925E-2</v>
      </c>
      <c r="AR438" s="1">
        <f t="shared" si="84"/>
        <v>1.2989689383013925E-2</v>
      </c>
      <c r="AS438" s="1">
        <f t="shared" si="85"/>
        <v>1.1749624041682238E-2</v>
      </c>
    </row>
    <row r="439" spans="35:45" ht="11.25" customHeight="1" x14ac:dyDescent="0.2">
      <c r="AI439" s="3" t="e">
        <f t="shared" si="78"/>
        <v>#N/A</v>
      </c>
      <c r="AJ439" s="3" t="e">
        <f t="shared" si="79"/>
        <v>#N/A</v>
      </c>
      <c r="AK439" s="1">
        <f t="shared" si="86"/>
        <v>64.499999999999588</v>
      </c>
      <c r="AL439" s="1">
        <f t="shared" si="76"/>
        <v>0.91706052144880401</v>
      </c>
      <c r="AM439" s="1">
        <f t="shared" si="80"/>
        <v>0.10348370102164495</v>
      </c>
      <c r="AN439" s="1">
        <f t="shared" si="81"/>
        <v>0.10348370102164495</v>
      </c>
      <c r="AO439" s="1">
        <f t="shared" si="82"/>
        <v>0.10321172646231981</v>
      </c>
      <c r="AP439" s="1">
        <f t="shared" si="77"/>
        <v>2.2710903195754963</v>
      </c>
      <c r="AQ439" s="1">
        <f t="shared" si="83"/>
        <v>1.3222557205400109E-2</v>
      </c>
      <c r="AR439" s="1">
        <f t="shared" si="84"/>
        <v>1.3222557205400109E-2</v>
      </c>
      <c r="AS439" s="1">
        <f t="shared" si="85"/>
        <v>1.1960261054143891E-2</v>
      </c>
    </row>
    <row r="440" spans="35:45" ht="11.25" customHeight="1" x14ac:dyDescent="0.2">
      <c r="AI440" s="3" t="e">
        <f t="shared" si="78"/>
        <v>#N/A</v>
      </c>
      <c r="AJ440" s="3" t="e">
        <f t="shared" si="79"/>
        <v>#N/A</v>
      </c>
      <c r="AK440" s="1">
        <f t="shared" si="86"/>
        <v>64.649999999999594</v>
      </c>
      <c r="AL440" s="1">
        <f t="shared" si="76"/>
        <v>0.92654735442930947</v>
      </c>
      <c r="AM440" s="1">
        <f t="shared" si="80"/>
        <v>0.10257929437873514</v>
      </c>
      <c r="AN440" s="1">
        <f t="shared" si="81"/>
        <v>0.10257929437873514</v>
      </c>
      <c r="AO440" s="1">
        <f t="shared" si="82"/>
        <v>0.10230969676955508</v>
      </c>
      <c r="AP440" s="1">
        <f t="shared" si="77"/>
        <v>2.2624659259568549</v>
      </c>
      <c r="AQ440" s="1">
        <f t="shared" si="83"/>
        <v>1.3458904692814633E-2</v>
      </c>
      <c r="AR440" s="1">
        <f t="shared" si="84"/>
        <v>1.3458904692814633E-2</v>
      </c>
      <c r="AS440" s="1">
        <f t="shared" si="85"/>
        <v>1.217404554416782E-2</v>
      </c>
    </row>
    <row r="441" spans="35:45" ht="11.25" customHeight="1" x14ac:dyDescent="0.2">
      <c r="AI441" s="3" t="e">
        <f t="shared" si="78"/>
        <v>#N/A</v>
      </c>
      <c r="AJ441" s="3" t="e">
        <f t="shared" si="79"/>
        <v>#N/A</v>
      </c>
      <c r="AK441" s="1">
        <f t="shared" si="86"/>
        <v>64.799999999999599</v>
      </c>
      <c r="AL441" s="1">
        <f t="shared" si="76"/>
        <v>0.93603418740981492</v>
      </c>
      <c r="AM441" s="1">
        <f t="shared" si="80"/>
        <v>0.10167400396055015</v>
      </c>
      <c r="AN441" s="1">
        <f t="shared" si="81"/>
        <v>0.10167400396055015</v>
      </c>
      <c r="AO441" s="1">
        <f t="shared" si="82"/>
        <v>0.1014067856242422</v>
      </c>
      <c r="AP441" s="1">
        <f t="shared" si="77"/>
        <v>2.2538415323382139</v>
      </c>
      <c r="AQ441" s="1">
        <f t="shared" si="83"/>
        <v>1.3698767335548756E-2</v>
      </c>
      <c r="AR441" s="1">
        <f t="shared" si="84"/>
        <v>1.3698767335548756E-2</v>
      </c>
      <c r="AS441" s="1">
        <f t="shared" si="85"/>
        <v>1.2391009613951941E-2</v>
      </c>
    </row>
    <row r="442" spans="35:45" ht="11.25" customHeight="1" x14ac:dyDescent="0.2">
      <c r="AI442" s="3" t="e">
        <f t="shared" si="78"/>
        <v>#N/A</v>
      </c>
      <c r="AJ442" s="3" t="e">
        <f t="shared" si="79"/>
        <v>#N/A</v>
      </c>
      <c r="AK442" s="1">
        <f t="shared" si="86"/>
        <v>64.949999999999605</v>
      </c>
      <c r="AL442" s="1">
        <f t="shared" si="76"/>
        <v>0.94552102039032049</v>
      </c>
      <c r="AM442" s="1">
        <f t="shared" si="80"/>
        <v>0.10076800509573047</v>
      </c>
      <c r="AN442" s="1">
        <f t="shared" si="81"/>
        <v>0.10076800509573047</v>
      </c>
      <c r="AO442" s="1">
        <f t="shared" si="82"/>
        <v>0.10050316789422516</v>
      </c>
      <c r="AP442" s="1">
        <f t="shared" si="77"/>
        <v>2.2452171387195725</v>
      </c>
      <c r="AQ442" s="1">
        <f t="shared" si="83"/>
        <v>1.3942180609044508E-2</v>
      </c>
      <c r="AR442" s="1">
        <f t="shared" si="84"/>
        <v>1.3942180609044508E-2</v>
      </c>
      <c r="AS442" s="1">
        <f t="shared" si="85"/>
        <v>1.2611185352262525E-2</v>
      </c>
    </row>
    <row r="443" spans="35:45" ht="11.25" customHeight="1" x14ac:dyDescent="0.2">
      <c r="AI443" s="3" t="e">
        <f t="shared" si="78"/>
        <v>#N/A</v>
      </c>
      <c r="AJ443" s="3" t="e">
        <f t="shared" si="79"/>
        <v>#N/A</v>
      </c>
      <c r="AK443" s="1">
        <f t="shared" si="86"/>
        <v>65.099999999999611</v>
      </c>
      <c r="AL443" s="1">
        <f t="shared" si="76"/>
        <v>0.95500785337082594</v>
      </c>
      <c r="AM443" s="1">
        <f t="shared" si="80"/>
        <v>9.9861471554163472E-2</v>
      </c>
      <c r="AN443" s="1">
        <f t="shared" si="81"/>
        <v>9.9861471554163472E-2</v>
      </c>
      <c r="AO443" s="1">
        <f t="shared" si="82"/>
        <v>9.9599016892691489E-2</v>
      </c>
      <c r="AP443" s="1">
        <f t="shared" si="77"/>
        <v>2.2365927451009311</v>
      </c>
      <c r="AQ443" s="1">
        <f t="shared" si="83"/>
        <v>1.4189179955437226E-2</v>
      </c>
      <c r="AR443" s="1">
        <f t="shared" si="84"/>
        <v>1.4189179955437226E-2</v>
      </c>
      <c r="AS443" s="1">
        <f t="shared" si="85"/>
        <v>1.2834604817738789E-2</v>
      </c>
    </row>
    <row r="444" spans="35:45" ht="11.25" customHeight="1" x14ac:dyDescent="0.2">
      <c r="AI444" s="3" t="e">
        <f t="shared" si="78"/>
        <v>#N/A</v>
      </c>
      <c r="AJ444" s="3" t="e">
        <f t="shared" si="79"/>
        <v>#N/A</v>
      </c>
      <c r="AK444" s="1">
        <f t="shared" si="86"/>
        <v>65.249999999999616</v>
      </c>
      <c r="AL444" s="1">
        <f t="shared" si="76"/>
        <v>0.9644946863513314</v>
      </c>
      <c r="AM444" s="1">
        <f t="shared" si="80"/>
        <v>9.8954575429299751E-2</v>
      </c>
      <c r="AN444" s="1">
        <f t="shared" si="81"/>
        <v>9.8954575429299751E-2</v>
      </c>
      <c r="AO444" s="1">
        <f t="shared" si="82"/>
        <v>9.8694504260797955E-2</v>
      </c>
      <c r="AP444" s="1">
        <f t="shared" si="77"/>
        <v>2.2279683514822897</v>
      </c>
      <c r="AQ444" s="1">
        <f t="shared" si="83"/>
        <v>1.4439800766208322E-2</v>
      </c>
      <c r="AR444" s="1">
        <f t="shared" si="84"/>
        <v>1.4439800766208322E-2</v>
      </c>
      <c r="AS444" s="1">
        <f t="shared" si="85"/>
        <v>1.3061300023201718E-2</v>
      </c>
    </row>
    <row r="445" spans="35:45" ht="11.25" customHeight="1" x14ac:dyDescent="0.2">
      <c r="AI445" s="3" t="e">
        <f t="shared" si="78"/>
        <v>#N/A</v>
      </c>
      <c r="AJ445" s="3" t="e">
        <f t="shared" si="79"/>
        <v>#N/A</v>
      </c>
      <c r="AK445" s="1">
        <f t="shared" si="86"/>
        <v>65.399999999999622</v>
      </c>
      <c r="AL445" s="1">
        <f t="shared" si="76"/>
        <v>0.97398151933183696</v>
      </c>
      <c r="AM445" s="1">
        <f t="shared" si="80"/>
        <v>9.8047487158137159E-2</v>
      </c>
      <c r="AN445" s="1">
        <f t="shared" si="81"/>
        <v>9.8047487158137159E-2</v>
      </c>
      <c r="AO445" s="1">
        <f t="shared" si="82"/>
        <v>9.7789799987602025E-2</v>
      </c>
      <c r="AP445" s="1">
        <f t="shared" si="77"/>
        <v>2.2193439578636482</v>
      </c>
      <c r="AQ445" s="1">
        <f t="shared" si="83"/>
        <v>1.4694078364907437E-2</v>
      </c>
      <c r="AR445" s="1">
        <f t="shared" si="84"/>
        <v>1.4694078364907437E-2</v>
      </c>
      <c r="AS445" s="1">
        <f t="shared" si="85"/>
        <v>1.3291302920025656E-2</v>
      </c>
    </row>
    <row r="446" spans="35:45" ht="11.25" customHeight="1" x14ac:dyDescent="0.2">
      <c r="AI446" s="3" t="e">
        <f t="shared" si="78"/>
        <v>#N/A</v>
      </c>
      <c r="AJ446" s="3" t="e">
        <f t="shared" si="79"/>
        <v>#N/A</v>
      </c>
      <c r="AK446" s="1">
        <f t="shared" si="86"/>
        <v>65.549999999999628</v>
      </c>
      <c r="AL446" s="1">
        <f t="shared" si="76"/>
        <v>0.98346835231234242</v>
      </c>
      <c r="AM446" s="1">
        <f t="shared" si="80"/>
        <v>9.7140375445725624E-2</v>
      </c>
      <c r="AN446" s="1">
        <f t="shared" si="81"/>
        <v>9.7140375445725624E-2</v>
      </c>
      <c r="AO446" s="1">
        <f t="shared" si="82"/>
        <v>9.6885072334765149E-2</v>
      </c>
      <c r="AP446" s="1">
        <f t="shared" si="77"/>
        <v>2.2107195642450068</v>
      </c>
      <c r="AQ446" s="1">
        <f t="shared" si="83"/>
        <v>1.4952048025956843E-2</v>
      </c>
      <c r="AR446" s="1">
        <f t="shared" si="84"/>
        <v>1.4952048025956843E-2</v>
      </c>
      <c r="AS446" s="1">
        <f t="shared" si="85"/>
        <v>1.3524645415147541E-2</v>
      </c>
    </row>
    <row r="447" spans="35:45" ht="11.25" customHeight="1" x14ac:dyDescent="0.2">
      <c r="AI447" s="3" t="e">
        <f t="shared" si="78"/>
        <v>#N/A</v>
      </c>
      <c r="AJ447" s="3" t="e">
        <f t="shared" si="79"/>
        <v>#N/A</v>
      </c>
      <c r="AK447" s="1">
        <f t="shared" si="86"/>
        <v>65.699999999999633</v>
      </c>
      <c r="AL447" s="1">
        <f t="shared" si="76"/>
        <v>0.99295518529284799</v>
      </c>
      <c r="AM447" s="1">
        <f t="shared" si="80"/>
        <v>9.6233407187451547E-2</v>
      </c>
      <c r="AN447" s="1">
        <f t="shared" si="81"/>
        <v>9.6233407187451547E-2</v>
      </c>
      <c r="AO447" s="1">
        <f t="shared" si="82"/>
        <v>9.5980487759041375E-2</v>
      </c>
      <c r="AP447" s="1">
        <f t="shared" si="77"/>
        <v>2.2020951706263654</v>
      </c>
      <c r="AQ447" s="1">
        <f t="shared" si="83"/>
        <v>1.5213744927744521E-2</v>
      </c>
      <c r="AR447" s="1">
        <f t="shared" si="84"/>
        <v>1.5213744927744521E-2</v>
      </c>
      <c r="AS447" s="1">
        <f t="shared" si="85"/>
        <v>1.3761359328637967E-2</v>
      </c>
    </row>
    <row r="448" spans="35:45" ht="11.25" customHeight="1" x14ac:dyDescent="0.2">
      <c r="AI448" s="3" t="e">
        <f t="shared" si="78"/>
        <v>#N/A</v>
      </c>
      <c r="AJ448" s="3" t="e">
        <f t="shared" si="79"/>
        <v>#N/A</v>
      </c>
      <c r="AK448" s="1">
        <f t="shared" si="86"/>
        <v>65.849999999999639</v>
      </c>
      <c r="AL448" s="1">
        <f t="shared" si="76"/>
        <v>1.0024420182733536</v>
      </c>
      <c r="AM448" s="1">
        <f t="shared" si="80"/>
        <v>9.5326747495683151E-2</v>
      </c>
      <c r="AN448" s="1">
        <f t="shared" si="81"/>
        <v>9.5326747495683151E-2</v>
      </c>
      <c r="AO448" s="1">
        <f t="shared" si="82"/>
        <v>9.507621093885267E-2</v>
      </c>
      <c r="AP448" s="1">
        <f t="shared" si="77"/>
        <v>2.1934707770077244</v>
      </c>
      <c r="AQ448" s="1">
        <f t="shared" si="83"/>
        <v>1.5479204154011938E-2</v>
      </c>
      <c r="AR448" s="1">
        <f t="shared" si="84"/>
        <v>1.5479204154011938E-2</v>
      </c>
      <c r="AS448" s="1">
        <f t="shared" si="85"/>
        <v>1.4001476394956478E-2</v>
      </c>
    </row>
    <row r="449" spans="35:45" ht="11.25" customHeight="1" x14ac:dyDescent="0.2">
      <c r="AI449" s="3" t="e">
        <f t="shared" si="78"/>
        <v>#N/A</v>
      </c>
      <c r="AJ449" s="3" t="e">
        <f t="shared" si="79"/>
        <v>#N/A</v>
      </c>
      <c r="AK449" s="1">
        <f t="shared" si="86"/>
        <v>65.999999999999645</v>
      </c>
      <c r="AL449" s="1">
        <f t="shared" si="76"/>
        <v>1.0119288512538589</v>
      </c>
      <c r="AM449" s="1">
        <f t="shared" si="80"/>
        <v>9.4420559605401522E-2</v>
      </c>
      <c r="AN449" s="1">
        <f t="shared" si="81"/>
        <v>9.4420559605401522E-2</v>
      </c>
      <c r="AO449" s="1">
        <f t="shared" si="82"/>
        <v>9.417240468016802E-2</v>
      </c>
      <c r="AP449" s="1">
        <f t="shared" si="77"/>
        <v>2.184846383389083</v>
      </c>
      <c r="AQ449" s="1">
        <f t="shared" si="83"/>
        <v>1.5748460688858046E-2</v>
      </c>
      <c r="AR449" s="1">
        <f t="shared" si="84"/>
        <v>1.5748460688858046E-2</v>
      </c>
      <c r="AS449" s="1">
        <f t="shared" si="85"/>
        <v>1.424502825843251E-2</v>
      </c>
    </row>
    <row r="450" spans="35:45" ht="11.25" customHeight="1" x14ac:dyDescent="0.2">
      <c r="AI450" s="3" t="e">
        <f t="shared" si="78"/>
        <v>#N/A</v>
      </c>
      <c r="AJ450" s="3" t="e">
        <f t="shared" si="79"/>
        <v>#N/A</v>
      </c>
      <c r="AK450" s="1">
        <f t="shared" si="86"/>
        <v>66.14999999999965</v>
      </c>
      <c r="AL450" s="1">
        <f t="shared" si="76"/>
        <v>1.0214156842343645</v>
      </c>
      <c r="AM450" s="1">
        <f t="shared" si="80"/>
        <v>9.3515004767619203E-2</v>
      </c>
      <c r="AN450" s="1">
        <f t="shared" si="81"/>
        <v>9.3515004767619203E-2</v>
      </c>
      <c r="AO450" s="1">
        <f t="shared" si="82"/>
        <v>9.3269229810202067E-2</v>
      </c>
      <c r="AP450" s="1">
        <f t="shared" si="77"/>
        <v>2.1762219897704416</v>
      </c>
      <c r="AQ450" s="1">
        <f t="shared" si="83"/>
        <v>1.6021549393563372E-2</v>
      </c>
      <c r="AR450" s="1">
        <f t="shared" si="84"/>
        <v>1.6021549393563372E-2</v>
      </c>
      <c r="AS450" s="1">
        <f t="shared" si="85"/>
        <v>1.4492046452301982E-2</v>
      </c>
    </row>
    <row r="451" spans="35:45" ht="11.25" customHeight="1" x14ac:dyDescent="0.2">
      <c r="AI451" s="3" t="e">
        <f t="shared" si="78"/>
        <v>#N/A</v>
      </c>
      <c r="AJ451" s="3" t="e">
        <f t="shared" si="79"/>
        <v>#N/A</v>
      </c>
      <c r="AK451" s="1">
        <f t="shared" si="86"/>
        <v>66.299999999999656</v>
      </c>
      <c r="AL451" s="1">
        <f t="shared" si="76"/>
        <v>1.03090251721487</v>
      </c>
      <c r="AM451" s="1">
        <f t="shared" si="80"/>
        <v>9.2610242443669222E-2</v>
      </c>
      <c r="AN451" s="1">
        <f t="shared" si="81"/>
        <v>9.2610242443669222E-2</v>
      </c>
      <c r="AO451" s="1">
        <f t="shared" si="82"/>
        <v>9.2366845371193593E-2</v>
      </c>
      <c r="AP451" s="1">
        <f t="shared" si="77"/>
        <v>2.1675975961518001</v>
      </c>
      <c r="AQ451" s="1">
        <f t="shared" si="83"/>
        <v>1.6298505007006359E-2</v>
      </c>
      <c r="AR451" s="1">
        <f t="shared" si="84"/>
        <v>1.6298505007006359E-2</v>
      </c>
      <c r="AS451" s="1">
        <f t="shared" si="85"/>
        <v>1.4742562399083885E-2</v>
      </c>
    </row>
    <row r="452" spans="35:45" ht="11.25" customHeight="1" x14ac:dyDescent="0.2">
      <c r="AI452" s="3" t="e">
        <f t="shared" si="78"/>
        <v>#N/A</v>
      </c>
      <c r="AJ452" s="3" t="e">
        <f t="shared" si="79"/>
        <v>#N/A</v>
      </c>
      <c r="AK452" s="1">
        <f t="shared" si="86"/>
        <v>66.449999999999662</v>
      </c>
      <c r="AL452" s="1">
        <f t="shared" si="76"/>
        <v>1.0403893501953754</v>
      </c>
      <c r="AM452" s="1">
        <f t="shared" si="80"/>
        <v>9.170642998990175E-2</v>
      </c>
      <c r="AN452" s="1">
        <f t="shared" si="81"/>
        <v>9.170642998990175E-2</v>
      </c>
      <c r="AO452" s="1">
        <f t="shared" si="82"/>
        <v>9.1465408305930779E-2</v>
      </c>
      <c r="AP452" s="1">
        <f t="shared" si="77"/>
        <v>2.1589732025331587</v>
      </c>
      <c r="AQ452" s="1">
        <f t="shared" si="83"/>
        <v>1.6579362104723883E-2</v>
      </c>
      <c r="AR452" s="1">
        <f t="shared" si="84"/>
        <v>1.6579362104723883E-2</v>
      </c>
      <c r="AS452" s="1">
        <f t="shared" si="85"/>
        <v>1.4996607373549105E-2</v>
      </c>
    </row>
    <row r="453" spans="35:45" ht="11.25" customHeight="1" x14ac:dyDescent="0.2">
      <c r="AI453" s="3" t="e">
        <f t="shared" si="78"/>
        <v>#N/A</v>
      </c>
      <c r="AJ453" s="3" t="e">
        <f t="shared" si="79"/>
        <v>#N/A</v>
      </c>
      <c r="AK453" s="1">
        <f t="shared" si="86"/>
        <v>66.599999999999667</v>
      </c>
      <c r="AL453" s="1">
        <f t="shared" si="76"/>
        <v>1.0498761831758809</v>
      </c>
      <c r="AM453" s="1">
        <f t="shared" si="80"/>
        <v>9.0803722685439681E-2</v>
      </c>
      <c r="AN453" s="1">
        <f t="shared" si="81"/>
        <v>9.0803722685439681E-2</v>
      </c>
      <c r="AO453" s="1">
        <f t="shared" si="82"/>
        <v>9.0565073485433883E-2</v>
      </c>
      <c r="AP453" s="1">
        <f t="shared" si="77"/>
        <v>2.1503488089145173</v>
      </c>
      <c r="AQ453" s="1">
        <f t="shared" si="83"/>
        <v>1.6864155125140279E-2</v>
      </c>
      <c r="AR453" s="1">
        <f t="shared" si="84"/>
        <v>1.6864155125140279E-2</v>
      </c>
      <c r="AS453" s="1">
        <f t="shared" si="85"/>
        <v>1.5254212526445486E-2</v>
      </c>
    </row>
    <row r="454" spans="35:45" ht="11.25" customHeight="1" x14ac:dyDescent="0.2">
      <c r="AI454" s="3" t="e">
        <f t="shared" si="78"/>
        <v>#N/A</v>
      </c>
      <c r="AJ454" s="3" t="e">
        <f t="shared" si="79"/>
        <v>#N/A</v>
      </c>
      <c r="AK454" s="1">
        <f t="shared" si="86"/>
        <v>66.749999999999673</v>
      </c>
      <c r="AL454" s="1">
        <f t="shared" si="76"/>
        <v>1.0593630161563865</v>
      </c>
      <c r="AM454" s="1">
        <f t="shared" si="80"/>
        <v>8.9902273996411708E-2</v>
      </c>
      <c r="AN454" s="1">
        <f t="shared" si="81"/>
        <v>8.9902273996411708E-2</v>
      </c>
      <c r="AO454" s="1">
        <f t="shared" si="82"/>
        <v>8.9665993972493849E-2</v>
      </c>
      <c r="AP454" s="1">
        <f t="shared" si="77"/>
        <v>2.1417244152958759</v>
      </c>
      <c r="AQ454" s="1">
        <f t="shared" si="83"/>
        <v>1.7152918324325746E-2</v>
      </c>
      <c r="AR454" s="1">
        <f t="shared" si="84"/>
        <v>1.7152918324325746E-2</v>
      </c>
      <c r="AS454" s="1">
        <f t="shared" si="85"/>
        <v>1.5515408843575235E-2</v>
      </c>
    </row>
    <row r="455" spans="35:45" ht="11.25" customHeight="1" x14ac:dyDescent="0.2">
      <c r="AI455" s="3" t="e">
        <f t="shared" si="78"/>
        <v>#N/A</v>
      </c>
      <c r="AJ455" s="3" t="e">
        <f t="shared" si="79"/>
        <v>#N/A</v>
      </c>
      <c r="AK455" s="1">
        <f t="shared" si="86"/>
        <v>66.899999999999679</v>
      </c>
      <c r="AL455" s="1">
        <f t="shared" si="76"/>
        <v>1.0688498491368918</v>
      </c>
      <c r="AM455" s="1">
        <f t="shared" si="80"/>
        <v>8.9002234944235425E-2</v>
      </c>
      <c r="AN455" s="1">
        <f t="shared" si="81"/>
        <v>8.9002234944235425E-2</v>
      </c>
      <c r="AO455" s="1">
        <f t="shared" si="82"/>
        <v>8.876832039161571E-2</v>
      </c>
      <c r="AP455" s="1">
        <f t="shared" si="77"/>
        <v>2.1331000216772349</v>
      </c>
      <c r="AQ455" s="1">
        <f t="shared" si="83"/>
        <v>1.7445685776135141E-2</v>
      </c>
      <c r="AR455" s="1">
        <f t="shared" si="84"/>
        <v>1.7445685776135141E-2</v>
      </c>
      <c r="AS455" s="1">
        <f t="shared" si="85"/>
        <v>1.5780227145920474E-2</v>
      </c>
    </row>
    <row r="456" spans="35:45" ht="11.25" customHeight="1" x14ac:dyDescent="0.2">
      <c r="AI456" s="3" t="e">
        <f t="shared" si="78"/>
        <v>#N/A</v>
      </c>
      <c r="AJ456" s="3" t="e">
        <f t="shared" si="79"/>
        <v>#N/A</v>
      </c>
      <c r="AK456" s="1">
        <f t="shared" si="86"/>
        <v>67.049999999999685</v>
      </c>
      <c r="AL456" s="1">
        <f t="shared" si="76"/>
        <v>1.0783366821173974</v>
      </c>
      <c r="AM456" s="1">
        <f t="shared" si="80"/>
        <v>8.8103754743995566E-2</v>
      </c>
      <c r="AN456" s="1">
        <f t="shared" si="81"/>
        <v>8.8103754743995566E-2</v>
      </c>
      <c r="AO456" s="1">
        <f t="shared" si="82"/>
        <v>8.7872201565718955E-2</v>
      </c>
      <c r="AP456" s="1">
        <f t="shared" si="77"/>
        <v>2.1244756280585935</v>
      </c>
      <c r="AQ456" s="1">
        <f t="shared" si="83"/>
        <v>1.7742491353056607E-2</v>
      </c>
      <c r="AR456" s="1">
        <f t="shared" si="84"/>
        <v>1.7742491353056607E-2</v>
      </c>
      <c r="AS456" s="1">
        <f t="shared" si="85"/>
        <v>1.6048698072320153E-2</v>
      </c>
    </row>
    <row r="457" spans="35:45" ht="11.25" customHeight="1" x14ac:dyDescent="0.2">
      <c r="AI457" s="3" t="e">
        <f t="shared" si="78"/>
        <v>#N/A</v>
      </c>
      <c r="AJ457" s="3" t="e">
        <f t="shared" si="79"/>
        <v>#N/A</v>
      </c>
      <c r="AK457" s="1">
        <f t="shared" si="86"/>
        <v>67.19999999999969</v>
      </c>
      <c r="AL457" s="1">
        <f t="shared" ref="AL457:AL520" si="87">ABS(($AL$5-AK457)/$AL$6)</f>
        <v>1.087823515097903</v>
      </c>
      <c r="AM457" s="1">
        <f t="shared" si="80"/>
        <v>8.7206980188270222E-2</v>
      </c>
      <c r="AN457" s="1">
        <f t="shared" si="81"/>
        <v>8.7206980188270222E-2</v>
      </c>
      <c r="AO457" s="1">
        <f t="shared" si="82"/>
        <v>8.6977783901583297E-2</v>
      </c>
      <c r="AP457" s="1">
        <f t="shared" ref="AP457:AP520" si="88">ABS(($AP$5-AK457)/$AP$6)</f>
        <v>2.115851234439952</v>
      </c>
      <c r="AQ457" s="1">
        <f t="shared" si="83"/>
        <v>1.8043368722325811E-2</v>
      </c>
      <c r="AR457" s="1">
        <f t="shared" si="84"/>
        <v>1.8043368722325811E-2</v>
      </c>
      <c r="AS457" s="1">
        <f t="shared" si="85"/>
        <v>1.6320852075955249E-2</v>
      </c>
    </row>
    <row r="458" spans="35:45" ht="11.25" customHeight="1" x14ac:dyDescent="0.2">
      <c r="AI458" s="3" t="e">
        <f t="shared" ref="AI458:AI521" si="89">IF($M$18,AI457,NA())</f>
        <v>#N/A</v>
      </c>
      <c r="AJ458" s="3" t="e">
        <f t="shared" ref="AJ458:AJ521" si="90">IF($M$18,AJ457,NA())</f>
        <v>#N/A</v>
      </c>
      <c r="AK458" s="1">
        <f t="shared" si="86"/>
        <v>67.349999999999696</v>
      </c>
      <c r="AL458" s="1">
        <f t="shared" si="87"/>
        <v>1.0973103480784083</v>
      </c>
      <c r="AM458" s="1">
        <f t="shared" ref="AM458:AM521" si="91">$AL$3*ABS((TDIST(AL458,$AL$7,1)-TDIST(AL458+$AL$1,$AL$7,1))/($AL$1))</f>
        <v>8.6312056105652957E-2</v>
      </c>
      <c r="AN458" s="1">
        <f t="shared" ref="AN458:AN521" si="92">IF(($D$10&gt;$AJ$5)=($D$10&gt;AK458),AM458,0)</f>
        <v>8.6312056105652957E-2</v>
      </c>
      <c r="AO458" s="1">
        <f t="shared" ref="AO458:AO521" si="93">AM458*$AN$5/$AN$7</f>
        <v>8.608521184716561E-2</v>
      </c>
      <c r="AP458" s="1">
        <f t="shared" si="88"/>
        <v>2.1072268408213106</v>
      </c>
      <c r="AQ458" s="1">
        <f t="shared" ref="AQ458:AQ521" si="94">$AL$3*ABS((TDIST(AP458,$AP$7,1)-TDIST(AP458+$AL$1,$AP$7,1))/($AL$1))</f>
        <v>1.8348351308733465E-2</v>
      </c>
      <c r="AR458" s="1">
        <f t="shared" ref="AR458:AR521" si="95">IF(($D$19&gt;$AJ$5)=($D$19&gt;AK458),AQ458,0)</f>
        <v>1.8348351308733465E-2</v>
      </c>
      <c r="AS458" s="1">
        <f t="shared" ref="AS458:AS521" si="96">AQ458*$AN$5/$AR$7</f>
        <v>1.6596719390706879E-2</v>
      </c>
    </row>
    <row r="459" spans="35:45" ht="11.25" customHeight="1" x14ac:dyDescent="0.2">
      <c r="AI459" s="3" t="e">
        <f t="shared" si="89"/>
        <v>#N/A</v>
      </c>
      <c r="AJ459" s="3" t="e">
        <f t="shared" si="90"/>
        <v>#N/A</v>
      </c>
      <c r="AK459" s="1">
        <f t="shared" si="86"/>
        <v>67.499999999999702</v>
      </c>
      <c r="AL459" s="1">
        <f t="shared" si="87"/>
        <v>1.1067971810589139</v>
      </c>
      <c r="AM459" s="1">
        <f t="shared" si="91"/>
        <v>8.5419124962182735E-2</v>
      </c>
      <c r="AN459" s="1">
        <f t="shared" si="92"/>
        <v>8.5419124962182735E-2</v>
      </c>
      <c r="AO459" s="1">
        <f t="shared" si="93"/>
        <v>8.5194627494077399E-2</v>
      </c>
      <c r="AP459" s="1">
        <f t="shared" si="88"/>
        <v>2.0986024472026692</v>
      </c>
      <c r="AQ459" s="1">
        <f t="shared" si="94"/>
        <v>1.8657472318911458E-2</v>
      </c>
      <c r="AR459" s="1">
        <f t="shared" si="95"/>
        <v>1.8657472318911458E-2</v>
      </c>
      <c r="AS459" s="1">
        <f t="shared" si="96"/>
        <v>1.6876330053123945E-2</v>
      </c>
    </row>
    <row r="460" spans="35:45" ht="11.25" customHeight="1" x14ac:dyDescent="0.2">
      <c r="AI460" s="3" t="e">
        <f t="shared" si="89"/>
        <v>#N/A</v>
      </c>
      <c r="AJ460" s="3" t="e">
        <f t="shared" si="90"/>
        <v>#N/A</v>
      </c>
      <c r="AK460" s="1">
        <f t="shared" si="86"/>
        <v>67.649999999999707</v>
      </c>
      <c r="AL460" s="1">
        <f t="shared" si="87"/>
        <v>1.1162840140394195</v>
      </c>
      <c r="AM460" s="1">
        <f t="shared" si="91"/>
        <v>8.4528326981248014E-2</v>
      </c>
      <c r="AN460" s="1">
        <f t="shared" si="92"/>
        <v>8.4528326981248014E-2</v>
      </c>
      <c r="AO460" s="1">
        <f t="shared" si="93"/>
        <v>8.4306170697173791E-2</v>
      </c>
      <c r="AP460" s="1">
        <f t="shared" si="88"/>
        <v>2.0899780535840278</v>
      </c>
      <c r="AQ460" s="1">
        <f t="shared" si="94"/>
        <v>1.8970764682907371E-2</v>
      </c>
      <c r="AR460" s="1">
        <f t="shared" si="95"/>
        <v>1.8970764682907371E-2</v>
      </c>
      <c r="AS460" s="1">
        <f t="shared" si="96"/>
        <v>1.7159713849575261E-2</v>
      </c>
    </row>
    <row r="461" spans="35:45" ht="11.25" customHeight="1" x14ac:dyDescent="0.2">
      <c r="AI461" s="3" t="e">
        <f t="shared" si="89"/>
        <v>#N/A</v>
      </c>
      <c r="AJ461" s="3" t="e">
        <f t="shared" si="90"/>
        <v>#N/A</v>
      </c>
      <c r="AK461" s="1">
        <f t="shared" si="86"/>
        <v>67.799999999999713</v>
      </c>
      <c r="AL461" s="1">
        <f t="shared" si="87"/>
        <v>1.1257708470199248</v>
      </c>
      <c r="AM461" s="1">
        <f t="shared" si="91"/>
        <v>8.3639800196877445E-2</v>
      </c>
      <c r="AN461" s="1">
        <f t="shared" si="92"/>
        <v>8.3639800196877445E-2</v>
      </c>
      <c r="AO461" s="1">
        <f t="shared" si="93"/>
        <v>8.3419979127704144E-2</v>
      </c>
      <c r="AP461" s="1">
        <f t="shared" si="88"/>
        <v>2.0813536599653863</v>
      </c>
      <c r="AQ461" s="1">
        <f t="shared" si="94"/>
        <v>1.9288261063760137E-2</v>
      </c>
      <c r="AR461" s="1">
        <f t="shared" si="95"/>
        <v>1.9288261063760137E-2</v>
      </c>
      <c r="AS461" s="1">
        <f t="shared" si="96"/>
        <v>1.7446900324911068E-2</v>
      </c>
    </row>
    <row r="462" spans="35:45" ht="11.25" customHeight="1" x14ac:dyDescent="0.2">
      <c r="AI462" s="3" t="e">
        <f t="shared" si="89"/>
        <v>#N/A</v>
      </c>
      <c r="AJ462" s="3" t="e">
        <f t="shared" si="90"/>
        <v>#N/A</v>
      </c>
      <c r="AK462" s="1">
        <f t="shared" si="86"/>
        <v>67.949999999999719</v>
      </c>
      <c r="AL462" s="1">
        <f t="shared" si="87"/>
        <v>1.1352576800004304</v>
      </c>
      <c r="AM462" s="1">
        <f t="shared" si="91"/>
        <v>8.2753680301639321E-2</v>
      </c>
      <c r="AN462" s="1">
        <f t="shared" si="92"/>
        <v>8.2753680301639321E-2</v>
      </c>
      <c r="AO462" s="1">
        <f t="shared" si="93"/>
        <v>8.2536188121611231E-2</v>
      </c>
      <c r="AP462" s="1">
        <f t="shared" si="88"/>
        <v>2.0727292663467449</v>
      </c>
      <c r="AQ462" s="1">
        <f t="shared" si="94"/>
        <v>1.9609993846675389E-2</v>
      </c>
      <c r="AR462" s="1">
        <f t="shared" si="95"/>
        <v>1.9609993846675389E-2</v>
      </c>
      <c r="AS462" s="1">
        <f t="shared" si="96"/>
        <v>1.7737918772671772E-2</v>
      </c>
    </row>
    <row r="463" spans="35:45" ht="11.25" customHeight="1" x14ac:dyDescent="0.2">
      <c r="AI463" s="3" t="e">
        <f t="shared" si="89"/>
        <v>#N/A</v>
      </c>
      <c r="AJ463" s="3" t="e">
        <f t="shared" si="90"/>
        <v>#N/A</v>
      </c>
      <c r="AK463" s="1">
        <f t="shared" si="86"/>
        <v>68.099999999999724</v>
      </c>
      <c r="AL463" s="1">
        <f t="shared" si="87"/>
        <v>1.1447445129809359</v>
      </c>
      <c r="AM463" s="1">
        <f t="shared" si="91"/>
        <v>8.1870100682168712E-2</v>
      </c>
      <c r="AN463" s="1">
        <f t="shared" si="92"/>
        <v>8.1870100682168712E-2</v>
      </c>
      <c r="AO463" s="1">
        <f t="shared" si="93"/>
        <v>8.1654930714965074E-2</v>
      </c>
      <c r="AP463" s="1">
        <f t="shared" si="88"/>
        <v>2.0641048727281039</v>
      </c>
      <c r="AQ463" s="1">
        <f t="shared" si="94"/>
        <v>1.9935995102943194E-2</v>
      </c>
      <c r="AR463" s="1">
        <f t="shared" si="95"/>
        <v>1.9935995102943194E-2</v>
      </c>
      <c r="AS463" s="1">
        <f t="shared" si="96"/>
        <v>1.8032798202450257E-2</v>
      </c>
    </row>
    <row r="464" spans="35:45" ht="11.25" customHeight="1" x14ac:dyDescent="0.2">
      <c r="AI464" s="3" t="e">
        <f t="shared" si="89"/>
        <v>#N/A</v>
      </c>
      <c r="AJ464" s="3" t="e">
        <f t="shared" si="90"/>
        <v>#N/A</v>
      </c>
      <c r="AK464" s="1">
        <f t="shared" si="86"/>
        <v>68.24999999999973</v>
      </c>
      <c r="AL464" s="1">
        <f t="shared" si="87"/>
        <v>1.1542313459614415</v>
      </c>
      <c r="AM464" s="1">
        <f t="shared" si="91"/>
        <v>8.0989192283720257E-2</v>
      </c>
      <c r="AN464" s="1">
        <f t="shared" si="92"/>
        <v>8.0989192283720257E-2</v>
      </c>
      <c r="AO464" s="1">
        <f t="shared" si="93"/>
        <v>8.0776337508871643E-2</v>
      </c>
      <c r="AP464" s="1">
        <f t="shared" si="88"/>
        <v>2.0554804791094625</v>
      </c>
      <c r="AQ464" s="1">
        <f t="shared" si="94"/>
        <v>2.0266296595489175E-2</v>
      </c>
      <c r="AR464" s="1">
        <f t="shared" si="95"/>
        <v>2.0266296595489175E-2</v>
      </c>
      <c r="AS464" s="1">
        <f t="shared" si="96"/>
        <v>1.8331567344913102E-2</v>
      </c>
    </row>
    <row r="465" spans="35:45" ht="11.25" customHeight="1" x14ac:dyDescent="0.2">
      <c r="AI465" s="3" t="e">
        <f t="shared" si="89"/>
        <v>#N/A</v>
      </c>
      <c r="AJ465" s="3" t="e">
        <f t="shared" si="90"/>
        <v>#N/A</v>
      </c>
      <c r="AK465" s="1">
        <f t="shared" si="86"/>
        <v>68.399999999999736</v>
      </c>
      <c r="AL465" s="1">
        <f t="shared" si="87"/>
        <v>1.1637181789419468</v>
      </c>
      <c r="AM465" s="1">
        <f t="shared" si="91"/>
        <v>8.0111083843315001E-2</v>
      </c>
      <c r="AN465" s="1">
        <f t="shared" si="92"/>
        <v>8.0111083843315001E-2</v>
      </c>
      <c r="AO465" s="1">
        <f t="shared" si="93"/>
        <v>7.9900536902006936E-2</v>
      </c>
      <c r="AP465" s="1">
        <f t="shared" si="88"/>
        <v>2.0468560854908211</v>
      </c>
      <c r="AQ465" s="1">
        <f t="shared" si="94"/>
        <v>2.0600929742098373E-2</v>
      </c>
      <c r="AR465" s="1">
        <f t="shared" si="95"/>
        <v>2.0600929742098373E-2</v>
      </c>
      <c r="AS465" s="1">
        <f t="shared" si="96"/>
        <v>1.8634254618535264E-2</v>
      </c>
    </row>
    <row r="466" spans="35:45" ht="11.25" customHeight="1" x14ac:dyDescent="0.2">
      <c r="AI466" s="3" t="e">
        <f t="shared" si="89"/>
        <v>#N/A</v>
      </c>
      <c r="AJ466" s="3" t="e">
        <f t="shared" si="90"/>
        <v>#N/A</v>
      </c>
      <c r="AK466" s="1">
        <f t="shared" si="86"/>
        <v>68.549999999999741</v>
      </c>
      <c r="AL466" s="1">
        <f t="shared" si="87"/>
        <v>1.1732050119224524</v>
      </c>
      <c r="AM466" s="1">
        <f t="shared" si="91"/>
        <v>7.9235901642715767E-2</v>
      </c>
      <c r="AN466" s="1">
        <f t="shared" si="92"/>
        <v>7.9235901642715767E-2</v>
      </c>
      <c r="AO466" s="1">
        <f t="shared" si="93"/>
        <v>7.9027654844241679E-2</v>
      </c>
      <c r="AP466" s="1">
        <f t="shared" si="88"/>
        <v>2.0382316918721797</v>
      </c>
      <c r="AQ466" s="1">
        <f t="shared" si="94"/>
        <v>2.0939925628460365E-2</v>
      </c>
      <c r="AR466" s="1">
        <f t="shared" si="95"/>
        <v>2.0939925628460365E-2</v>
      </c>
      <c r="AS466" s="1">
        <f t="shared" si="96"/>
        <v>1.8940888141399846E-2</v>
      </c>
    </row>
    <row r="467" spans="35:45" ht="11.25" customHeight="1" x14ac:dyDescent="0.2">
      <c r="AI467" s="3" t="e">
        <f t="shared" si="89"/>
        <v>#N/A</v>
      </c>
      <c r="AJ467" s="3" t="e">
        <f t="shared" si="90"/>
        <v>#N/A</v>
      </c>
      <c r="AK467" s="1">
        <f t="shared" si="86"/>
        <v>68.699999999999747</v>
      </c>
      <c r="AL467" s="1">
        <f t="shared" si="87"/>
        <v>1.182691844902958</v>
      </c>
      <c r="AM467" s="1">
        <f t="shared" si="91"/>
        <v>7.8363769627776136E-2</v>
      </c>
      <c r="AN467" s="1">
        <f t="shared" si="92"/>
        <v>7.8363769627776136E-2</v>
      </c>
      <c r="AO467" s="1">
        <f t="shared" si="93"/>
        <v>7.8157814955676488E-2</v>
      </c>
      <c r="AP467" s="1">
        <f t="shared" si="88"/>
        <v>2.0296072982535383</v>
      </c>
      <c r="AQ467" s="1">
        <f t="shared" si="94"/>
        <v>2.128331496223379E-2</v>
      </c>
      <c r="AR467" s="1">
        <f t="shared" si="95"/>
        <v>2.128331496223379E-2</v>
      </c>
      <c r="AS467" s="1">
        <f t="shared" si="96"/>
        <v>1.9251495689647881E-2</v>
      </c>
    </row>
    <row r="468" spans="35:45" ht="11.25" customHeight="1" x14ac:dyDescent="0.2">
      <c r="AI468" s="3" t="e">
        <f t="shared" si="89"/>
        <v>#N/A</v>
      </c>
      <c r="AJ468" s="3" t="e">
        <f t="shared" si="90"/>
        <v>#N/A</v>
      </c>
      <c r="AK468" s="1">
        <f t="shared" si="86"/>
        <v>68.849999999999753</v>
      </c>
      <c r="AL468" s="1">
        <f t="shared" si="87"/>
        <v>1.1921786778834633</v>
      </c>
      <c r="AM468" s="1">
        <f t="shared" si="91"/>
        <v>7.7494809218592309E-2</v>
      </c>
      <c r="AN468" s="1">
        <f t="shared" si="92"/>
        <v>7.7494809218592309E-2</v>
      </c>
      <c r="AO468" s="1">
        <f t="shared" si="93"/>
        <v>7.7291138337292814E-2</v>
      </c>
      <c r="AP468" s="1">
        <f t="shared" si="88"/>
        <v>2.0209829046348968</v>
      </c>
      <c r="AQ468" s="1">
        <f t="shared" si="94"/>
        <v>2.1631128067634009E-2</v>
      </c>
      <c r="AR468" s="1">
        <f t="shared" si="95"/>
        <v>2.1631128067634009E-2</v>
      </c>
      <c r="AS468" s="1">
        <f t="shared" si="96"/>
        <v>1.9566104692582666E-2</v>
      </c>
    </row>
    <row r="469" spans="35:45" ht="11.25" customHeight="1" x14ac:dyDescent="0.2">
      <c r="AI469" s="3" t="e">
        <f t="shared" si="89"/>
        <v>#N/A</v>
      </c>
      <c r="AJ469" s="3" t="e">
        <f t="shared" si="90"/>
        <v>#N/A</v>
      </c>
      <c r="AK469" s="1">
        <f t="shared" si="86"/>
        <v>68.999999999999758</v>
      </c>
      <c r="AL469" s="1">
        <f t="shared" si="87"/>
        <v>1.2016655108639689</v>
      </c>
      <c r="AM469" s="1">
        <f t="shared" si="91"/>
        <v>7.6629139462158768E-2</v>
      </c>
      <c r="AN469" s="1">
        <f t="shared" si="92"/>
        <v>7.6629139462158768E-2</v>
      </c>
      <c r="AO469" s="1">
        <f t="shared" si="93"/>
        <v>7.642774372320732E-2</v>
      </c>
      <c r="AP469" s="1">
        <f t="shared" si="88"/>
        <v>2.0123585110162554</v>
      </c>
      <c r="AQ469" s="1">
        <f t="shared" si="94"/>
        <v>2.1983394875163542E-2</v>
      </c>
      <c r="AR469" s="1">
        <f t="shared" si="95"/>
        <v>2.1983394875163542E-2</v>
      </c>
      <c r="AS469" s="1">
        <f t="shared" si="96"/>
        <v>1.9884742223380596E-2</v>
      </c>
    </row>
    <row r="470" spans="35:45" ht="11.25" customHeight="1" x14ac:dyDescent="0.2">
      <c r="AI470" s="3" t="e">
        <f t="shared" si="89"/>
        <v>#N/A</v>
      </c>
      <c r="AJ470" s="3" t="e">
        <f t="shared" si="90"/>
        <v>#N/A</v>
      </c>
      <c r="AK470" s="1">
        <f t="shared" si="86"/>
        <v>69.149999999999764</v>
      </c>
      <c r="AL470" s="1">
        <f t="shared" si="87"/>
        <v>1.2111523438444745</v>
      </c>
      <c r="AM470" s="1">
        <f t="shared" si="91"/>
        <v>7.5766877010718936E-2</v>
      </c>
      <c r="AN470" s="1">
        <f t="shared" si="92"/>
        <v>7.5766877010718936E-2</v>
      </c>
      <c r="AO470" s="1">
        <f t="shared" si="93"/>
        <v>7.5567747459079473E-2</v>
      </c>
      <c r="AP470" s="1">
        <f t="shared" si="88"/>
        <v>2.0037341173976144</v>
      </c>
      <c r="AQ470" s="1">
        <f t="shared" si="94"/>
        <v>2.2340144897048386E-2</v>
      </c>
      <c r="AR470" s="1">
        <f t="shared" si="95"/>
        <v>2.2340144897048386E-2</v>
      </c>
      <c r="AS470" s="1">
        <f t="shared" si="96"/>
        <v>2.0207434976872465E-2</v>
      </c>
    </row>
    <row r="471" spans="35:45" ht="11.25" customHeight="1" x14ac:dyDescent="0.2">
      <c r="AI471" s="3" t="e">
        <f t="shared" si="89"/>
        <v>#N/A</v>
      </c>
      <c r="AJ471" s="3" t="e">
        <f t="shared" si="90"/>
        <v>#N/A</v>
      </c>
      <c r="AK471" s="1">
        <f t="shared" si="86"/>
        <v>69.29999999999977</v>
      </c>
      <c r="AL471" s="1">
        <f t="shared" si="87"/>
        <v>1.2206391768249798</v>
      </c>
      <c r="AM471" s="1">
        <f t="shared" si="91"/>
        <v>7.4908136035167758E-2</v>
      </c>
      <c r="AN471" s="1">
        <f t="shared" si="92"/>
        <v>7.4908136035167758E-2</v>
      </c>
      <c r="AO471" s="1">
        <f t="shared" si="93"/>
        <v>7.4711263415741719E-2</v>
      </c>
      <c r="AP471" s="1">
        <f t="shared" si="88"/>
        <v>1.9951097237789728</v>
      </c>
      <c r="AQ471" s="1">
        <f t="shared" si="94"/>
        <v>2.2701407215580671E-2</v>
      </c>
      <c r="AR471" s="1">
        <f t="shared" si="95"/>
        <v>2.2701407215580671E-2</v>
      </c>
      <c r="AS471" s="1">
        <f t="shared" si="96"/>
        <v>2.053420925899898E-2</v>
      </c>
    </row>
    <row r="472" spans="35:45" ht="11.25" customHeight="1" x14ac:dyDescent="0.2">
      <c r="AI472" s="3" t="e">
        <f t="shared" si="89"/>
        <v>#N/A</v>
      </c>
      <c r="AJ472" s="3" t="e">
        <f t="shared" si="90"/>
        <v>#N/A</v>
      </c>
      <c r="AK472" s="1">
        <f t="shared" si="86"/>
        <v>69.449999999999775</v>
      </c>
      <c r="AL472" s="1">
        <f t="shared" si="87"/>
        <v>1.2301260098054854</v>
      </c>
      <c r="AM472" s="1">
        <f t="shared" si="91"/>
        <v>7.4053028188414402E-2</v>
      </c>
      <c r="AN472" s="1">
        <f t="shared" si="92"/>
        <v>7.4053028188414402E-2</v>
      </c>
      <c r="AO472" s="1">
        <f t="shared" si="93"/>
        <v>7.3858402952658456E-2</v>
      </c>
      <c r="AP472" s="1">
        <f t="shared" si="88"/>
        <v>1.9864853301603316</v>
      </c>
      <c r="AQ472" s="1">
        <f t="shared" si="94"/>
        <v>2.3067210460775422E-2</v>
      </c>
      <c r="AR472" s="1">
        <f t="shared" si="95"/>
        <v>2.3067210460775422E-2</v>
      </c>
      <c r="AS472" s="1">
        <f t="shared" si="96"/>
        <v>2.0865090966600549E-2</v>
      </c>
    </row>
    <row r="473" spans="35:45" ht="11.25" customHeight="1" x14ac:dyDescent="0.2">
      <c r="AI473" s="3" t="e">
        <f t="shared" si="89"/>
        <v>#N/A</v>
      </c>
      <c r="AJ473" s="3" t="e">
        <f t="shared" si="90"/>
        <v>#N/A</v>
      </c>
      <c r="AK473" s="1">
        <f t="shared" si="86"/>
        <v>69.599999999999781</v>
      </c>
      <c r="AL473" s="1">
        <f t="shared" si="87"/>
        <v>1.2396128427859909</v>
      </c>
      <c r="AM473" s="1">
        <f t="shared" si="91"/>
        <v>7.3201662793564978E-2</v>
      </c>
      <c r="AN473" s="1">
        <f t="shared" si="92"/>
        <v>7.3201662793564978E-2</v>
      </c>
      <c r="AO473" s="1">
        <f t="shared" si="93"/>
        <v>7.3009275105614169E-2</v>
      </c>
      <c r="AP473" s="1">
        <f t="shared" si="88"/>
        <v>1.9778609365416902</v>
      </c>
      <c r="AQ473" s="1">
        <f t="shared" si="94"/>
        <v>2.3437582797186662E-2</v>
      </c>
      <c r="AR473" s="1">
        <f t="shared" si="95"/>
        <v>2.3437582797186662E-2</v>
      </c>
      <c r="AS473" s="1">
        <f t="shared" si="96"/>
        <v>2.1200105575491977E-2</v>
      </c>
    </row>
    <row r="474" spans="35:45" ht="11.25" customHeight="1" x14ac:dyDescent="0.2">
      <c r="AI474" s="3" t="e">
        <f t="shared" si="89"/>
        <v>#N/A</v>
      </c>
      <c r="AJ474" s="3" t="e">
        <f t="shared" si="90"/>
        <v>#N/A</v>
      </c>
      <c r="AK474" s="1">
        <f t="shared" si="86"/>
        <v>69.749999999999787</v>
      </c>
      <c r="AL474" s="1">
        <f t="shared" si="87"/>
        <v>1.2490996757664963</v>
      </c>
      <c r="AM474" s="1">
        <f t="shared" si="91"/>
        <v>7.2354146508080128E-2</v>
      </c>
      <c r="AN474" s="1">
        <f t="shared" si="92"/>
        <v>7.2354146508080128E-2</v>
      </c>
      <c r="AO474" s="1">
        <f t="shared" si="93"/>
        <v>7.2163986251753715E-2</v>
      </c>
      <c r="AP474" s="1">
        <f t="shared" si="88"/>
        <v>1.9692365429230487</v>
      </c>
      <c r="AQ474" s="1">
        <f t="shared" si="94"/>
        <v>2.3812551898372281E-2</v>
      </c>
      <c r="AR474" s="1">
        <f t="shared" si="95"/>
        <v>2.3812551898372281E-2</v>
      </c>
      <c r="AS474" s="1">
        <f t="shared" si="96"/>
        <v>2.153927811736505E-2</v>
      </c>
    </row>
    <row r="475" spans="35:45" ht="11.25" customHeight="1" x14ac:dyDescent="0.2">
      <c r="AI475" s="3" t="e">
        <f t="shared" si="89"/>
        <v>#N/A</v>
      </c>
      <c r="AJ475" s="3" t="e">
        <f t="shared" si="90"/>
        <v>#N/A</v>
      </c>
      <c r="AK475" s="1">
        <f t="shared" si="86"/>
        <v>69.899999999999793</v>
      </c>
      <c r="AL475" s="1">
        <f t="shared" si="87"/>
        <v>1.2585865087470018</v>
      </c>
      <c r="AM475" s="1">
        <f t="shared" si="91"/>
        <v>7.1510583667389035E-2</v>
      </c>
      <c r="AN475" s="1">
        <f t="shared" si="92"/>
        <v>7.1510583667389035E-2</v>
      </c>
      <c r="AO475" s="1">
        <f t="shared" si="93"/>
        <v>7.1322640452293223E-2</v>
      </c>
      <c r="AP475" s="1">
        <f t="shared" si="88"/>
        <v>1.9606121493044075</v>
      </c>
      <c r="AQ475" s="1">
        <f t="shared" si="94"/>
        <v>2.4192144945783811E-2</v>
      </c>
      <c r="AR475" s="1">
        <f t="shared" si="95"/>
        <v>2.4192144945783811E-2</v>
      </c>
      <c r="AS475" s="1">
        <f t="shared" si="96"/>
        <v>2.1882633178784316E-2</v>
      </c>
    </row>
    <row r="476" spans="35:45" ht="11.25" customHeight="1" x14ac:dyDescent="0.2">
      <c r="AI476" s="3" t="e">
        <f t="shared" si="89"/>
        <v>#N/A</v>
      </c>
      <c r="AJ476" s="3" t="e">
        <f t="shared" si="90"/>
        <v>#N/A</v>
      </c>
      <c r="AK476" s="1">
        <f t="shared" si="86"/>
        <v>70.049999999999798</v>
      </c>
      <c r="AL476" s="1">
        <f t="shared" si="87"/>
        <v>1.2680733417275074</v>
      </c>
      <c r="AM476" s="1">
        <f t="shared" si="91"/>
        <v>7.0671076058959045E-2</v>
      </c>
      <c r="AN476" s="1">
        <f t="shared" si="92"/>
        <v>7.0671076058959045E-2</v>
      </c>
      <c r="AO476" s="1">
        <f t="shared" si="93"/>
        <v>7.0485339227183488E-2</v>
      </c>
      <c r="AP476" s="1">
        <f t="shared" si="88"/>
        <v>1.9519877556857661</v>
      </c>
      <c r="AQ476" s="1">
        <f t="shared" si="94"/>
        <v>2.4576388597125076E-2</v>
      </c>
      <c r="AR476" s="1">
        <f t="shared" si="95"/>
        <v>2.4576388597125076E-2</v>
      </c>
      <c r="AS476" s="1">
        <f t="shared" si="96"/>
        <v>2.2230194872566372E-2</v>
      </c>
    </row>
    <row r="477" spans="35:45" ht="11.25" customHeight="1" x14ac:dyDescent="0.2">
      <c r="AI477" s="3" t="e">
        <f t="shared" si="89"/>
        <v>#N/A</v>
      </c>
      <c r="AJ477" s="3" t="e">
        <f t="shared" si="90"/>
        <v>#N/A</v>
      </c>
      <c r="AK477" s="1">
        <f t="shared" si="86"/>
        <v>70.199999999999804</v>
      </c>
      <c r="AL477" s="1">
        <f t="shared" si="87"/>
        <v>1.277560174708013</v>
      </c>
      <c r="AM477" s="1">
        <f t="shared" si="91"/>
        <v>6.9835722879552073E-2</v>
      </c>
      <c r="AN477" s="1">
        <f t="shared" si="92"/>
        <v>6.9835722879552073E-2</v>
      </c>
      <c r="AO477" s="1">
        <f t="shared" si="93"/>
        <v>6.9652181512478761E-2</v>
      </c>
      <c r="AP477" s="1">
        <f t="shared" si="88"/>
        <v>1.9433633620671247</v>
      </c>
      <c r="AQ477" s="1">
        <f t="shared" si="94"/>
        <v>2.4965308970115174E-2</v>
      </c>
      <c r="AR477" s="1">
        <f t="shared" si="95"/>
        <v>2.4965308970115174E-2</v>
      </c>
      <c r="AS477" s="1">
        <f t="shared" si="96"/>
        <v>2.2581986823092922E-2</v>
      </c>
    </row>
    <row r="478" spans="35:45" ht="11.25" customHeight="1" x14ac:dyDescent="0.2">
      <c r="AI478" s="3" t="e">
        <f t="shared" si="89"/>
        <v>#N/A</v>
      </c>
      <c r="AJ478" s="3" t="e">
        <f t="shared" si="90"/>
        <v>#N/A</v>
      </c>
      <c r="AK478" s="1">
        <f t="shared" ref="AK478:AK541" si="97">AK477+$AJ$4</f>
        <v>70.34999999999981</v>
      </c>
      <c r="AL478" s="1">
        <f t="shared" si="87"/>
        <v>1.2870470076885183</v>
      </c>
      <c r="AM478" s="1">
        <f t="shared" si="91"/>
        <v>6.9004621024992815E-2</v>
      </c>
      <c r="AN478" s="1">
        <f t="shared" si="92"/>
        <v>6.9004621024992815E-2</v>
      </c>
      <c r="AO478" s="1">
        <f t="shared" si="93"/>
        <v>6.8823263949343336E-2</v>
      </c>
      <c r="AP478" s="1">
        <f t="shared" si="88"/>
        <v>1.9347389684484833</v>
      </c>
      <c r="AQ478" s="1">
        <f t="shared" si="94"/>
        <v>2.5358931626945358E-2</v>
      </c>
      <c r="AR478" s="1">
        <f t="shared" si="95"/>
        <v>2.5358931626945358E-2</v>
      </c>
      <c r="AS478" s="1">
        <f t="shared" si="96"/>
        <v>2.293803215225149E-2</v>
      </c>
    </row>
    <row r="479" spans="35:45" ht="11.25" customHeight="1" x14ac:dyDescent="0.2">
      <c r="AI479" s="3" t="e">
        <f t="shared" si="89"/>
        <v>#N/A</v>
      </c>
      <c r="AJ479" s="3" t="e">
        <f t="shared" si="90"/>
        <v>#N/A</v>
      </c>
      <c r="AK479" s="1">
        <f t="shared" si="97"/>
        <v>70.499999999999815</v>
      </c>
      <c r="AL479" s="1">
        <f t="shared" si="87"/>
        <v>1.2965338406690239</v>
      </c>
      <c r="AM479" s="1">
        <f t="shared" si="91"/>
        <v>6.8177864737672941E-2</v>
      </c>
      <c r="AN479" s="1">
        <f t="shared" si="92"/>
        <v>6.8177864737672941E-2</v>
      </c>
      <c r="AO479" s="1">
        <f t="shared" si="93"/>
        <v>6.7998680532482217E-2</v>
      </c>
      <c r="AP479" s="1">
        <f t="shared" si="88"/>
        <v>1.9261145748298421</v>
      </c>
      <c r="AQ479" s="1">
        <f t="shared" si="94"/>
        <v>2.5757281549854127E-2</v>
      </c>
      <c r="AR479" s="1">
        <f t="shared" si="95"/>
        <v>2.5757281549854127E-2</v>
      </c>
      <c r="AS479" s="1">
        <f t="shared" si="96"/>
        <v>2.3298353457342248E-2</v>
      </c>
    </row>
    <row r="480" spans="35:45" ht="11.25" customHeight="1" x14ac:dyDescent="0.2">
      <c r="AI480" s="3" t="e">
        <f t="shared" si="89"/>
        <v>#N/A</v>
      </c>
      <c r="AJ480" s="3" t="e">
        <f t="shared" si="90"/>
        <v>#N/A</v>
      </c>
      <c r="AK480" s="1">
        <f t="shared" si="97"/>
        <v>70.649999999999821</v>
      </c>
      <c r="AL480" s="1">
        <f t="shared" si="87"/>
        <v>1.3060206736495295</v>
      </c>
      <c r="AM480" s="1">
        <f t="shared" si="91"/>
        <v>6.7355545823044594E-2</v>
      </c>
      <c r="AN480" s="1">
        <f t="shared" si="92"/>
        <v>6.7355545823044594E-2</v>
      </c>
      <c r="AO480" s="1">
        <f t="shared" si="93"/>
        <v>6.7178522826065623E-2</v>
      </c>
      <c r="AP480" s="1">
        <f t="shared" si="88"/>
        <v>1.9174901812112006</v>
      </c>
      <c r="AQ480" s="1">
        <f t="shared" si="94"/>
        <v>2.6160383130580112E-2</v>
      </c>
      <c r="AR480" s="1">
        <f t="shared" si="95"/>
        <v>2.6160383130580112E-2</v>
      </c>
      <c r="AS480" s="1">
        <f t="shared" si="96"/>
        <v>2.3662972801537775E-2</v>
      </c>
    </row>
    <row r="481" spans="35:45" ht="11.25" customHeight="1" x14ac:dyDescent="0.2">
      <c r="AI481" s="3" t="e">
        <f t="shared" si="89"/>
        <v>#N/A</v>
      </c>
      <c r="AJ481" s="3" t="e">
        <f t="shared" si="90"/>
        <v>#N/A</v>
      </c>
      <c r="AK481" s="1">
        <f t="shared" si="97"/>
        <v>70.799999999999827</v>
      </c>
      <c r="AL481" s="1">
        <f t="shared" si="87"/>
        <v>1.3155075066300348</v>
      </c>
      <c r="AM481" s="1">
        <f t="shared" si="91"/>
        <v>6.6537753586892734E-2</v>
      </c>
      <c r="AN481" s="1">
        <f t="shared" si="92"/>
        <v>6.6537753586892734E-2</v>
      </c>
      <c r="AO481" s="1">
        <f t="shared" si="93"/>
        <v>6.6362879901166183E-2</v>
      </c>
      <c r="AP481" s="1">
        <f t="shared" si="88"/>
        <v>1.9088657875925592</v>
      </c>
      <c r="AQ481" s="1">
        <f t="shared" si="94"/>
        <v>2.6568260172721292E-2</v>
      </c>
      <c r="AR481" s="1">
        <f t="shared" si="95"/>
        <v>2.6568260172721292E-2</v>
      </c>
      <c r="AS481" s="1">
        <f t="shared" si="96"/>
        <v>2.4031911716017061E-2</v>
      </c>
    </row>
    <row r="482" spans="35:45" ht="11.25" customHeight="1" x14ac:dyDescent="0.2">
      <c r="AI482" s="3" t="e">
        <f t="shared" si="89"/>
        <v>#N/A</v>
      </c>
      <c r="AJ482" s="3" t="e">
        <f t="shared" si="90"/>
        <v>#N/A</v>
      </c>
      <c r="AK482" s="1">
        <f t="shared" si="97"/>
        <v>70.949999999999832</v>
      </c>
      <c r="AL482" s="1">
        <f t="shared" si="87"/>
        <v>1.3249943396105404</v>
      </c>
      <c r="AM482" s="1">
        <f t="shared" si="91"/>
        <v>6.5724574819792103E-2</v>
      </c>
      <c r="AN482" s="1">
        <f t="shared" si="92"/>
        <v>6.5724574819792103E-2</v>
      </c>
      <c r="AO482" s="1">
        <f t="shared" si="93"/>
        <v>6.5551838320256725E-2</v>
      </c>
      <c r="AP482" s="1">
        <f t="shared" si="88"/>
        <v>1.9002413939739178</v>
      </c>
      <c r="AQ482" s="1">
        <f t="shared" si="94"/>
        <v>2.6980935800280381E-2</v>
      </c>
      <c r="AR482" s="1">
        <f t="shared" si="95"/>
        <v>2.6980935800280381E-2</v>
      </c>
      <c r="AS482" s="1">
        <f t="shared" si="96"/>
        <v>2.4405191117241629E-2</v>
      </c>
    </row>
    <row r="483" spans="35:45" ht="11.25" customHeight="1" x14ac:dyDescent="0.2">
      <c r="AI483" s="3" t="e">
        <f t="shared" si="89"/>
        <v>#N/A</v>
      </c>
      <c r="AJ483" s="3" t="e">
        <f t="shared" si="90"/>
        <v>#N/A</v>
      </c>
      <c r="AK483" s="1">
        <f t="shared" si="97"/>
        <v>71.099999999999838</v>
      </c>
      <c r="AL483" s="1">
        <f t="shared" si="87"/>
        <v>1.3344811725910459</v>
      </c>
      <c r="AM483" s="1">
        <f t="shared" si="91"/>
        <v>6.4916093853173429E-2</v>
      </c>
      <c r="AN483" s="1">
        <f t="shared" si="92"/>
        <v>6.4916093853173429E-2</v>
      </c>
      <c r="AO483" s="1">
        <f t="shared" si="93"/>
        <v>6.4745482193129172E-2</v>
      </c>
      <c r="AP483" s="1">
        <f t="shared" si="88"/>
        <v>1.8916170003552766</v>
      </c>
      <c r="AQ483" s="1">
        <f t="shared" si="94"/>
        <v>2.7398432533298767E-2</v>
      </c>
      <c r="AR483" s="1">
        <f t="shared" si="95"/>
        <v>2.7398432533298767E-2</v>
      </c>
      <c r="AS483" s="1">
        <f t="shared" si="96"/>
        <v>2.4782831375369067E-2</v>
      </c>
    </row>
    <row r="484" spans="35:45" ht="11.25" customHeight="1" x14ac:dyDescent="0.2">
      <c r="AI484" s="3" t="e">
        <f t="shared" si="89"/>
        <v>#N/A</v>
      </c>
      <c r="AJ484" s="3" t="e">
        <f t="shared" si="90"/>
        <v>#N/A</v>
      </c>
      <c r="AK484" s="1">
        <f t="shared" si="97"/>
        <v>71.249999999999844</v>
      </c>
      <c r="AL484" s="1">
        <f t="shared" si="87"/>
        <v>1.3439680055715513</v>
      </c>
      <c r="AM484" s="1">
        <f t="shared" si="91"/>
        <v>6.4112392498261173E-2</v>
      </c>
      <c r="AN484" s="1">
        <f t="shared" si="92"/>
        <v>6.4112392498261173E-2</v>
      </c>
      <c r="AO484" s="1">
        <f t="shared" si="93"/>
        <v>6.3943893115992773E-2</v>
      </c>
      <c r="AP484" s="1">
        <f t="shared" si="88"/>
        <v>1.8829926067366352</v>
      </c>
      <c r="AQ484" s="1">
        <f t="shared" si="94"/>
        <v>2.7820772199871335E-2</v>
      </c>
      <c r="AR484" s="1">
        <f t="shared" si="95"/>
        <v>2.7820772199871335E-2</v>
      </c>
      <c r="AS484" s="1">
        <f t="shared" si="96"/>
        <v>2.5164852234667377E-2</v>
      </c>
    </row>
    <row r="485" spans="35:45" ht="11.25" customHeight="1" x14ac:dyDescent="0.2">
      <c r="AI485" s="3" t="e">
        <f t="shared" si="89"/>
        <v>#N/A</v>
      </c>
      <c r="AJ485" s="3" t="e">
        <f t="shared" si="90"/>
        <v>#N/A</v>
      </c>
      <c r="AK485" s="1">
        <f t="shared" si="97"/>
        <v>71.399999999999849</v>
      </c>
      <c r="AL485" s="1">
        <f t="shared" si="87"/>
        <v>1.3534548385520568</v>
      </c>
      <c r="AM485" s="1">
        <f t="shared" si="91"/>
        <v>6.3313550122678919E-2</v>
      </c>
      <c r="AN485" s="1">
        <f t="shared" si="92"/>
        <v>6.3313550122678919E-2</v>
      </c>
      <c r="AO485" s="1">
        <f t="shared" si="93"/>
        <v>6.3147150247878106E-2</v>
      </c>
      <c r="AP485" s="1">
        <f t="shared" si="88"/>
        <v>1.8743682131179937</v>
      </c>
      <c r="AQ485" s="1">
        <f t="shared" si="94"/>
        <v>2.824797594752626E-2</v>
      </c>
      <c r="AR485" s="1">
        <f t="shared" si="95"/>
        <v>2.824797594752626E-2</v>
      </c>
      <c r="AS485" s="1">
        <f t="shared" si="96"/>
        <v>2.5551272823808396E-2</v>
      </c>
    </row>
    <row r="486" spans="35:45" ht="11.25" customHeight="1" x14ac:dyDescent="0.2">
      <c r="AI486" s="3" t="e">
        <f t="shared" si="89"/>
        <v>#N/A</v>
      </c>
      <c r="AJ486" s="3" t="e">
        <f t="shared" si="90"/>
        <v>#N/A</v>
      </c>
      <c r="AK486" s="1">
        <f t="shared" si="97"/>
        <v>71.549999999999855</v>
      </c>
      <c r="AL486" s="1">
        <f t="shared" si="87"/>
        <v>1.3629416715325624</v>
      </c>
      <c r="AM486" s="1">
        <f t="shared" si="91"/>
        <v>6.2519643607150677E-2</v>
      </c>
      <c r="AN486" s="1">
        <f t="shared" si="92"/>
        <v>6.2519643607150677E-2</v>
      </c>
      <c r="AO486" s="1">
        <f t="shared" si="93"/>
        <v>6.2355330267452255E-2</v>
      </c>
      <c r="AP486" s="1">
        <f t="shared" si="88"/>
        <v>1.8657438194993525</v>
      </c>
      <c r="AQ486" s="1">
        <f t="shared" si="94"/>
        <v>2.8680064233788105E-2</v>
      </c>
      <c r="AR486" s="1">
        <f t="shared" si="95"/>
        <v>2.8680064233788105E-2</v>
      </c>
      <c r="AS486" s="1">
        <f t="shared" si="96"/>
        <v>2.5942111647331786E-2</v>
      </c>
    </row>
    <row r="487" spans="35:45" ht="11.25" customHeight="1" x14ac:dyDescent="0.2">
      <c r="AI487" s="3" t="e">
        <f t="shared" si="89"/>
        <v>#N/A</v>
      </c>
      <c r="AJ487" s="3" t="e">
        <f t="shared" si="90"/>
        <v>#N/A</v>
      </c>
      <c r="AK487" s="1">
        <f t="shared" si="97"/>
        <v>71.699999999999861</v>
      </c>
      <c r="AL487" s="1">
        <f t="shared" si="87"/>
        <v>1.3724285045130677</v>
      </c>
      <c r="AM487" s="1">
        <f t="shared" si="91"/>
        <v>6.1730747343835546E-2</v>
      </c>
      <c r="AN487" s="1">
        <f t="shared" si="92"/>
        <v>6.1730747343835546E-2</v>
      </c>
      <c r="AO487" s="1">
        <f t="shared" si="93"/>
        <v>6.1568507371357759E-2</v>
      </c>
      <c r="AP487" s="1">
        <f t="shared" si="88"/>
        <v>1.8571194258807111</v>
      </c>
      <c r="AQ487" s="1">
        <f t="shared" si="94"/>
        <v>2.9117056746519321E-2</v>
      </c>
      <c r="AR487" s="1">
        <f t="shared" si="95"/>
        <v>2.9117056746519321E-2</v>
      </c>
      <c r="AS487" s="1">
        <f t="shared" si="96"/>
        <v>2.6337386513591174E-2</v>
      </c>
    </row>
    <row r="488" spans="35:45" ht="11.25" customHeight="1" x14ac:dyDescent="0.2">
      <c r="AI488" s="3" t="e">
        <f t="shared" si="89"/>
        <v>#N/A</v>
      </c>
      <c r="AJ488" s="3" t="e">
        <f t="shared" si="90"/>
        <v>#N/A</v>
      </c>
      <c r="AK488" s="1">
        <f t="shared" si="97"/>
        <v>71.849999999999866</v>
      </c>
      <c r="AL488" s="1">
        <f t="shared" si="87"/>
        <v>1.3819153374935733</v>
      </c>
      <c r="AM488" s="1">
        <f t="shared" si="91"/>
        <v>6.0946933320704666E-2</v>
      </c>
      <c r="AN488" s="1">
        <f t="shared" si="92"/>
        <v>6.0946933320704666E-2</v>
      </c>
      <c r="AO488" s="1">
        <f t="shared" si="93"/>
        <v>6.078675335836789E-2</v>
      </c>
      <c r="AP488" s="1">
        <f t="shared" si="88"/>
        <v>1.8484950322620697</v>
      </c>
      <c r="AQ488" s="1">
        <f t="shared" si="94"/>
        <v>2.9558972468590738E-2</v>
      </c>
      <c r="AR488" s="1">
        <f t="shared" si="95"/>
        <v>2.9558972468590738E-2</v>
      </c>
      <c r="AS488" s="1">
        <f t="shared" si="96"/>
        <v>2.673711459325084E-2</v>
      </c>
    </row>
    <row r="489" spans="35:45" ht="11.25" customHeight="1" x14ac:dyDescent="0.2">
      <c r="AI489" s="3" t="e">
        <f t="shared" si="89"/>
        <v>#N/A</v>
      </c>
      <c r="AJ489" s="3" t="e">
        <f t="shared" si="90"/>
        <v>#N/A</v>
      </c>
      <c r="AK489" s="1">
        <f t="shared" si="97"/>
        <v>71.999999999999872</v>
      </c>
      <c r="AL489" s="1">
        <f t="shared" si="87"/>
        <v>1.3914021704740789</v>
      </c>
      <c r="AM489" s="1">
        <f t="shared" si="91"/>
        <v>6.0168271026062037E-2</v>
      </c>
      <c r="AN489" s="1">
        <f t="shared" si="92"/>
        <v>6.0168271026062037E-2</v>
      </c>
      <c r="AO489" s="1">
        <f t="shared" si="93"/>
        <v>6.0010137534158361E-2</v>
      </c>
      <c r="AP489" s="1">
        <f t="shared" si="88"/>
        <v>1.8398706386434283</v>
      </c>
      <c r="AQ489" s="1">
        <f t="shared" si="94"/>
        <v>3.000582962542353E-2</v>
      </c>
      <c r="AR489" s="1">
        <f t="shared" si="95"/>
        <v>3.000582962542353E-2</v>
      </c>
      <c r="AS489" s="1">
        <f t="shared" si="96"/>
        <v>2.7141312371835605E-2</v>
      </c>
    </row>
    <row r="490" spans="35:45" ht="11.25" customHeight="1" x14ac:dyDescent="0.2">
      <c r="AI490" s="3" t="e">
        <f t="shared" si="89"/>
        <v>#N/A</v>
      </c>
      <c r="AJ490" s="3" t="e">
        <f t="shared" si="90"/>
        <v>#N/A</v>
      </c>
      <c r="AK490" s="1">
        <f t="shared" si="97"/>
        <v>72.149999999999878</v>
      </c>
      <c r="AL490" s="1">
        <f t="shared" si="87"/>
        <v>1.4008890034545844</v>
      </c>
      <c r="AM490" s="1">
        <f t="shared" si="91"/>
        <v>5.9394827539582806E-2</v>
      </c>
      <c r="AN490" s="1">
        <f t="shared" si="92"/>
        <v>5.9394827539582806E-2</v>
      </c>
      <c r="AO490" s="1">
        <f t="shared" si="93"/>
        <v>5.9238726802106359E-2</v>
      </c>
      <c r="AP490" s="1">
        <f t="shared" si="88"/>
        <v>1.8312462450247871</v>
      </c>
      <c r="AQ490" s="1">
        <f t="shared" si="94"/>
        <v>3.0457645610604267E-2</v>
      </c>
      <c r="AR490" s="1">
        <f t="shared" si="95"/>
        <v>3.0457645610604267E-2</v>
      </c>
      <c r="AS490" s="1">
        <f t="shared" si="96"/>
        <v>2.7549995582447081E-2</v>
      </c>
    </row>
    <row r="491" spans="35:45" ht="11.25" customHeight="1" x14ac:dyDescent="0.2">
      <c r="AI491" s="3" t="e">
        <f t="shared" si="89"/>
        <v>#N/A</v>
      </c>
      <c r="AJ491" s="3" t="e">
        <f t="shared" si="90"/>
        <v>#N/A</v>
      </c>
      <c r="AK491" s="1">
        <f t="shared" si="97"/>
        <v>72.299999999999883</v>
      </c>
      <c r="AL491" s="1">
        <f t="shared" si="87"/>
        <v>1.4103758364350898</v>
      </c>
      <c r="AM491" s="1">
        <f t="shared" si="91"/>
        <v>5.8626667515104813E-2</v>
      </c>
      <c r="AN491" s="1">
        <f t="shared" si="92"/>
        <v>5.8626667515104813E-2</v>
      </c>
      <c r="AO491" s="1">
        <f t="shared" si="93"/>
        <v>5.8472585646127333E-2</v>
      </c>
      <c r="AP491" s="1">
        <f t="shared" si="88"/>
        <v>1.8226218514061456</v>
      </c>
      <c r="AQ491" s="1">
        <f t="shared" si="94"/>
        <v>3.0914437066098532E-2</v>
      </c>
      <c r="AR491" s="1">
        <f t="shared" si="95"/>
        <v>3.0914437066098532E-2</v>
      </c>
      <c r="AS491" s="1">
        <f t="shared" si="96"/>
        <v>2.7963179278319657E-2</v>
      </c>
    </row>
    <row r="492" spans="35:45" ht="11.25" customHeight="1" x14ac:dyDescent="0.2">
      <c r="AI492" s="3" t="e">
        <f t="shared" si="89"/>
        <v>#N/A</v>
      </c>
      <c r="AJ492" s="3" t="e">
        <f t="shared" si="90"/>
        <v>#N/A</v>
      </c>
      <c r="AK492" s="1">
        <f t="shared" si="97"/>
        <v>72.449999999999889</v>
      </c>
      <c r="AL492" s="1">
        <f t="shared" si="87"/>
        <v>1.4198626694155954</v>
      </c>
      <c r="AM492" s="1">
        <f t="shared" si="91"/>
        <v>5.7863853204498383E-2</v>
      </c>
      <c r="AN492" s="1">
        <f t="shared" si="92"/>
        <v>5.7863853204498383E-2</v>
      </c>
      <c r="AO492" s="1">
        <f t="shared" si="93"/>
        <v>5.771177615448201E-2</v>
      </c>
      <c r="AP492" s="1">
        <f t="shared" si="88"/>
        <v>1.8139974577875042</v>
      </c>
      <c r="AQ492" s="1">
        <f t="shared" si="94"/>
        <v>3.1376219777334846E-2</v>
      </c>
      <c r="AR492" s="1">
        <f t="shared" si="95"/>
        <v>3.1376219777334846E-2</v>
      </c>
      <c r="AS492" s="1">
        <f t="shared" si="96"/>
        <v>2.8380877737920272E-2</v>
      </c>
    </row>
    <row r="493" spans="35:45" ht="11.25" customHeight="1" x14ac:dyDescent="0.2">
      <c r="AI493" s="3" t="e">
        <f t="shared" si="89"/>
        <v>#N/A</v>
      </c>
      <c r="AJ493" s="3" t="e">
        <f t="shared" si="90"/>
        <v>#N/A</v>
      </c>
      <c r="AK493" s="1">
        <f t="shared" si="97"/>
        <v>72.599999999999895</v>
      </c>
      <c r="AL493" s="1">
        <f t="shared" si="87"/>
        <v>1.4293495023961009</v>
      </c>
      <c r="AM493" s="1">
        <f t="shared" si="91"/>
        <v>5.7106444451560101E-2</v>
      </c>
      <c r="AN493" s="1">
        <f t="shared" si="92"/>
        <v>5.7106444451560101E-2</v>
      </c>
      <c r="AO493" s="1">
        <f t="shared" si="93"/>
        <v>5.6956358013686273E-2</v>
      </c>
      <c r="AP493" s="1">
        <f t="shared" si="88"/>
        <v>1.8053730641688628</v>
      </c>
      <c r="AQ493" s="1">
        <f t="shared" si="94"/>
        <v>3.1843008700127573E-2</v>
      </c>
      <c r="AR493" s="1">
        <f t="shared" si="95"/>
        <v>3.1843008700127573E-2</v>
      </c>
      <c r="AS493" s="1">
        <f t="shared" si="96"/>
        <v>2.880310448930113E-2</v>
      </c>
    </row>
    <row r="494" spans="35:45" ht="11.25" customHeight="1" x14ac:dyDescent="0.2">
      <c r="AI494" s="3" t="e">
        <f t="shared" si="89"/>
        <v>#N/A</v>
      </c>
      <c r="AJ494" s="3" t="e">
        <f t="shared" si="90"/>
        <v>#N/A</v>
      </c>
      <c r="AK494" s="1">
        <f t="shared" si="97"/>
        <v>72.749999999999901</v>
      </c>
      <c r="AL494" s="1">
        <f t="shared" si="87"/>
        <v>1.4388363353766063</v>
      </c>
      <c r="AM494" s="1">
        <f t="shared" si="91"/>
        <v>5.635449873919729E-2</v>
      </c>
      <c r="AN494" s="1">
        <f t="shared" si="92"/>
        <v>5.635449873919729E-2</v>
      </c>
      <c r="AO494" s="1">
        <f t="shared" si="93"/>
        <v>5.6206388555571592E-2</v>
      </c>
      <c r="AP494" s="1">
        <f t="shared" si="88"/>
        <v>1.7967486705502216</v>
      </c>
      <c r="AQ494" s="1">
        <f t="shared" si="94"/>
        <v>3.2314817928480455E-2</v>
      </c>
      <c r="AR494" s="1">
        <f t="shared" si="95"/>
        <v>3.2314817928480455E-2</v>
      </c>
      <c r="AS494" s="1">
        <f t="shared" si="96"/>
        <v>2.922987228097686E-2</v>
      </c>
    </row>
    <row r="495" spans="35:45" ht="11.25" customHeight="1" x14ac:dyDescent="0.2">
      <c r="AI495" s="3" t="e">
        <f t="shared" si="89"/>
        <v>#N/A</v>
      </c>
      <c r="AJ495" s="3" t="e">
        <f t="shared" si="90"/>
        <v>#N/A</v>
      </c>
      <c r="AK495" s="1">
        <f t="shared" si="97"/>
        <v>72.899999999999906</v>
      </c>
      <c r="AL495" s="1">
        <f t="shared" si="87"/>
        <v>1.4483231683571118</v>
      </c>
      <c r="AM495" s="1">
        <f t="shared" si="91"/>
        <v>5.5608071131141301E-2</v>
      </c>
      <c r="AN495" s="1">
        <f t="shared" si="92"/>
        <v>5.5608071131141301E-2</v>
      </c>
      <c r="AO495" s="1">
        <f t="shared" si="93"/>
        <v>5.5461922699151518E-2</v>
      </c>
      <c r="AP495" s="1">
        <f t="shared" si="88"/>
        <v>1.7881242769315802</v>
      </c>
      <c r="AQ495" s="1">
        <f t="shared" si="94"/>
        <v>3.2791660677378154E-2</v>
      </c>
      <c r="AR495" s="1">
        <f t="shared" si="95"/>
        <v>3.2791660677378154E-2</v>
      </c>
      <c r="AS495" s="1">
        <f t="shared" si="96"/>
        <v>2.9661193066358896E-2</v>
      </c>
    </row>
    <row r="496" spans="35:45" ht="11.25" customHeight="1" x14ac:dyDescent="0.2">
      <c r="AI496" s="3" t="e">
        <f t="shared" si="89"/>
        <v>#N/A</v>
      </c>
      <c r="AJ496" s="3" t="e">
        <f t="shared" si="90"/>
        <v>#N/A</v>
      </c>
      <c r="AK496" s="1">
        <f t="shared" si="97"/>
        <v>73.049999999999912</v>
      </c>
      <c r="AL496" s="1">
        <f t="shared" si="87"/>
        <v>1.4578100013376174</v>
      </c>
      <c r="AM496" s="1">
        <f t="shared" si="91"/>
        <v>5.4867214446252532E-2</v>
      </c>
      <c r="AN496" s="1">
        <f t="shared" si="92"/>
        <v>5.4867214446252532E-2</v>
      </c>
      <c r="AO496" s="1">
        <f t="shared" si="93"/>
        <v>5.4723013124468568E-2</v>
      </c>
      <c r="AP496" s="1">
        <f t="shared" si="88"/>
        <v>1.7794998833129387</v>
      </c>
      <c r="AQ496" s="1">
        <f t="shared" si="94"/>
        <v>3.3273549240597777E-2</v>
      </c>
      <c r="AR496" s="1">
        <f t="shared" si="95"/>
        <v>3.3273549240597777E-2</v>
      </c>
      <c r="AS496" s="1">
        <f t="shared" si="96"/>
        <v>3.0097077965594514E-2</v>
      </c>
    </row>
    <row r="497" spans="35:45" ht="11.25" customHeight="1" x14ac:dyDescent="0.2">
      <c r="AI497" s="3" t="e">
        <f t="shared" si="89"/>
        <v>#N/A</v>
      </c>
      <c r="AJ497" s="3" t="e">
        <f t="shared" si="90"/>
        <v>#N/A</v>
      </c>
      <c r="AK497" s="1">
        <f t="shared" si="97"/>
        <v>73.199999999999918</v>
      </c>
      <c r="AL497" s="1">
        <f t="shared" si="87"/>
        <v>1.4672968343181227</v>
      </c>
      <c r="AM497" s="1">
        <f t="shared" si="91"/>
        <v>5.4131979049243384E-2</v>
      </c>
      <c r="AN497" s="1">
        <f t="shared" si="92"/>
        <v>5.4131979049243384E-2</v>
      </c>
      <c r="AO497" s="1">
        <f t="shared" si="93"/>
        <v>5.3989710063867255E-2</v>
      </c>
      <c r="AP497" s="1">
        <f t="shared" si="88"/>
        <v>1.7708754896942975</v>
      </c>
      <c r="AQ497" s="1">
        <f t="shared" si="94"/>
        <v>3.3760495025403348E-2</v>
      </c>
      <c r="AR497" s="1">
        <f t="shared" si="95"/>
        <v>3.3760495025403348E-2</v>
      </c>
      <c r="AS497" s="1">
        <f t="shared" si="96"/>
        <v>3.0537537296949198E-2</v>
      </c>
    </row>
    <row r="498" spans="35:45" ht="11.25" customHeight="1" x14ac:dyDescent="0.2">
      <c r="AI498" s="3" t="e">
        <f t="shared" si="89"/>
        <v>#N/A</v>
      </c>
      <c r="AJ498" s="3" t="e">
        <f t="shared" si="90"/>
        <v>#N/A</v>
      </c>
      <c r="AK498" s="1">
        <f t="shared" si="97"/>
        <v>73.349999999999923</v>
      </c>
      <c r="AL498" s="1">
        <f t="shared" si="87"/>
        <v>1.4767836672986283</v>
      </c>
      <c r="AM498" s="1">
        <f t="shared" si="91"/>
        <v>5.3402413093261991E-2</v>
      </c>
      <c r="AN498" s="1">
        <f t="shared" si="92"/>
        <v>5.3402413093261991E-2</v>
      </c>
      <c r="AO498" s="1">
        <f t="shared" si="93"/>
        <v>5.3262061543940219E-2</v>
      </c>
      <c r="AP498" s="1">
        <f t="shared" si="88"/>
        <v>1.7622510960756561</v>
      </c>
      <c r="AQ498" s="1">
        <f t="shared" si="94"/>
        <v>3.4252508474275072E-2</v>
      </c>
      <c r="AR498" s="1">
        <f t="shared" si="95"/>
        <v>3.4252508474275072E-2</v>
      </c>
      <c r="AS498" s="1">
        <f t="shared" si="96"/>
        <v>3.0982580506008051E-2</v>
      </c>
    </row>
    <row r="499" spans="35:45" ht="11.25" customHeight="1" x14ac:dyDescent="0.2">
      <c r="AI499" s="3" t="e">
        <f t="shared" si="89"/>
        <v>#N/A</v>
      </c>
      <c r="AJ499" s="3" t="e">
        <f t="shared" si="90"/>
        <v>#N/A</v>
      </c>
      <c r="AK499" s="1">
        <f t="shared" si="97"/>
        <v>73.499999999999929</v>
      </c>
      <c r="AL499" s="1">
        <f t="shared" si="87"/>
        <v>1.4862705002791339</v>
      </c>
      <c r="AM499" s="1">
        <f t="shared" si="91"/>
        <v>5.267856236390589E-2</v>
      </c>
      <c r="AN499" s="1">
        <f t="shared" si="92"/>
        <v>5.267856236390589E-2</v>
      </c>
      <c r="AO499" s="1">
        <f t="shared" si="93"/>
        <v>5.2540113229951856E-2</v>
      </c>
      <c r="AP499" s="1">
        <f t="shared" si="88"/>
        <v>1.7536267024570147</v>
      </c>
      <c r="AQ499" s="1">
        <f t="shared" si="94"/>
        <v>3.4749599052974471E-2</v>
      </c>
      <c r="AR499" s="1">
        <f t="shared" si="95"/>
        <v>3.4749599052974471E-2</v>
      </c>
      <c r="AS499" s="1">
        <f t="shared" si="96"/>
        <v>3.1432216154880281E-2</v>
      </c>
    </row>
    <row r="500" spans="35:45" ht="11.25" customHeight="1" x14ac:dyDescent="0.2">
      <c r="AI500" s="3" t="e">
        <f t="shared" si="89"/>
        <v>#N/A</v>
      </c>
      <c r="AJ500" s="3" t="e">
        <f t="shared" si="90"/>
        <v>#N/A</v>
      </c>
      <c r="AK500" s="1">
        <f t="shared" si="97"/>
        <v>73.649999999999935</v>
      </c>
      <c r="AL500" s="1">
        <f t="shared" si="87"/>
        <v>1.4957573332596392</v>
      </c>
      <c r="AM500" s="1">
        <f t="shared" si="91"/>
        <v>5.1960470443535023E-2</v>
      </c>
      <c r="AN500" s="1">
        <f t="shared" si="92"/>
        <v>5.1960470443535023E-2</v>
      </c>
      <c r="AO500" s="1">
        <f t="shared" si="93"/>
        <v>5.1823908589719497E-2</v>
      </c>
      <c r="AP500" s="1">
        <f t="shared" si="88"/>
        <v>1.7450023088383733</v>
      </c>
      <c r="AQ500" s="1">
        <f t="shared" si="94"/>
        <v>3.5251775284128588E-2</v>
      </c>
      <c r="AR500" s="1">
        <f t="shared" si="95"/>
        <v>3.5251775284128588E-2</v>
      </c>
      <c r="AS500" s="1">
        <f t="shared" si="96"/>
        <v>3.1886451952577298E-2</v>
      </c>
    </row>
    <row r="501" spans="35:45" ht="11.25" customHeight="1" x14ac:dyDescent="0.2">
      <c r="AI501" s="3" t="e">
        <f t="shared" si="89"/>
        <v>#N/A</v>
      </c>
      <c r="AJ501" s="3" t="e">
        <f t="shared" si="90"/>
        <v>#N/A</v>
      </c>
      <c r="AK501" s="1">
        <f t="shared" si="97"/>
        <v>73.79999999999994</v>
      </c>
      <c r="AL501" s="1">
        <f t="shared" si="87"/>
        <v>1.5052441662401448</v>
      </c>
      <c r="AM501" s="1">
        <f t="shared" si="91"/>
        <v>5.1248178610796558E-2</v>
      </c>
      <c r="AN501" s="1">
        <f t="shared" si="92"/>
        <v>5.1248178610796558E-2</v>
      </c>
      <c r="AO501" s="1">
        <f t="shared" si="93"/>
        <v>5.1113488793402301E-2</v>
      </c>
      <c r="AP501" s="1">
        <f t="shared" si="88"/>
        <v>1.7363779152197321</v>
      </c>
      <c r="AQ501" s="1">
        <f t="shared" si="94"/>
        <v>3.5759044662853061E-2</v>
      </c>
      <c r="AR501" s="1">
        <f t="shared" si="95"/>
        <v>3.5759044662853061E-2</v>
      </c>
      <c r="AS501" s="1">
        <f t="shared" si="96"/>
        <v>3.2345294678690843E-2</v>
      </c>
    </row>
    <row r="502" spans="35:45" ht="11.25" customHeight="1" x14ac:dyDescent="0.2">
      <c r="AI502" s="3" t="e">
        <f t="shared" si="89"/>
        <v>#N/A</v>
      </c>
      <c r="AJ502" s="3" t="e">
        <f t="shared" si="90"/>
        <v>#N/A</v>
      </c>
      <c r="AK502" s="1">
        <f t="shared" si="97"/>
        <v>73.949999999999946</v>
      </c>
      <c r="AL502" s="1">
        <f t="shared" si="87"/>
        <v>1.5147309992206504</v>
      </c>
      <c r="AM502" s="1">
        <f t="shared" si="91"/>
        <v>5.054172594165518E-2</v>
      </c>
      <c r="AN502" s="1">
        <f t="shared" si="92"/>
        <v>5.054172594165518E-2</v>
      </c>
      <c r="AO502" s="1">
        <f t="shared" si="93"/>
        <v>5.0408892814265985E-2</v>
      </c>
      <c r="AP502" s="1">
        <f t="shared" si="88"/>
        <v>1.7277535216010906</v>
      </c>
      <c r="AQ502" s="1">
        <f t="shared" si="94"/>
        <v>3.6271413691169034E-2</v>
      </c>
      <c r="AR502" s="1">
        <f t="shared" si="95"/>
        <v>3.6271413691169034E-2</v>
      </c>
      <c r="AS502" s="1">
        <f t="shared" si="96"/>
        <v>3.2808750214524285E-2</v>
      </c>
    </row>
    <row r="503" spans="35:45" ht="11.25" customHeight="1" x14ac:dyDescent="0.2">
      <c r="AI503" s="3" t="e">
        <f t="shared" si="89"/>
        <v>#N/A</v>
      </c>
      <c r="AJ503" s="3" t="e">
        <f t="shared" si="90"/>
        <v>#N/A</v>
      </c>
      <c r="AK503" s="1">
        <f t="shared" si="97"/>
        <v>74.099999999999952</v>
      </c>
      <c r="AL503" s="1">
        <f t="shared" si="87"/>
        <v>1.5242178322011559</v>
      </c>
      <c r="AM503" s="1">
        <f t="shared" si="91"/>
        <v>4.9841149273310847E-2</v>
      </c>
      <c r="AN503" s="1">
        <f t="shared" si="92"/>
        <v>4.9841149273310847E-2</v>
      </c>
      <c r="AO503" s="1">
        <f t="shared" si="93"/>
        <v>4.9710157392695443E-2</v>
      </c>
      <c r="AP503" s="1">
        <f t="shared" si="88"/>
        <v>1.7191291279824492</v>
      </c>
      <c r="AQ503" s="1">
        <f t="shared" si="94"/>
        <v>3.6788887778638195E-2</v>
      </c>
      <c r="AR503" s="1">
        <f t="shared" si="95"/>
        <v>3.6788887778638195E-2</v>
      </c>
      <c r="AS503" s="1">
        <f t="shared" si="96"/>
        <v>3.3276823453213582E-2</v>
      </c>
    </row>
    <row r="504" spans="35:45" ht="11.25" customHeight="1" x14ac:dyDescent="0.2">
      <c r="AI504" s="3" t="e">
        <f t="shared" si="89"/>
        <v>#N/A</v>
      </c>
      <c r="AJ504" s="3" t="e">
        <f t="shared" si="90"/>
        <v>#N/A</v>
      </c>
      <c r="AK504" s="1">
        <f t="shared" si="97"/>
        <v>74.249999999999957</v>
      </c>
      <c r="AL504" s="1">
        <f t="shared" si="87"/>
        <v>1.5337046651816613</v>
      </c>
      <c r="AM504" s="1">
        <f t="shared" si="91"/>
        <v>4.9146483294126853E-2</v>
      </c>
      <c r="AN504" s="1">
        <f t="shared" si="92"/>
        <v>4.9146483294126853E-2</v>
      </c>
      <c r="AO504" s="1">
        <f t="shared" si="93"/>
        <v>4.9017317125886459E-2</v>
      </c>
      <c r="AP504" s="1">
        <f t="shared" si="88"/>
        <v>1.710504734363808</v>
      </c>
      <c r="AQ504" s="1">
        <f t="shared" si="94"/>
        <v>3.7311471346723739E-2</v>
      </c>
      <c r="AR504" s="1">
        <f t="shared" si="95"/>
        <v>3.7311471346723739E-2</v>
      </c>
      <c r="AS504" s="1">
        <f t="shared" si="96"/>
        <v>3.374951839412535E-2</v>
      </c>
    </row>
    <row r="505" spans="35:45" ht="11.25" customHeight="1" x14ac:dyDescent="0.2">
      <c r="AI505" s="3" t="e">
        <f t="shared" si="89"/>
        <v>#N/A</v>
      </c>
      <c r="AJ505" s="3" t="e">
        <f t="shared" si="90"/>
        <v>#N/A</v>
      </c>
      <c r="AK505" s="1">
        <f t="shared" si="97"/>
        <v>74.399999999999963</v>
      </c>
      <c r="AL505" s="1">
        <f t="shared" si="87"/>
        <v>1.5431914981621668</v>
      </c>
      <c r="AM505" s="1">
        <f t="shared" si="91"/>
        <v>4.8457760503106684E-2</v>
      </c>
      <c r="AN505" s="1">
        <f t="shared" si="92"/>
        <v>4.8457760503106684E-2</v>
      </c>
      <c r="AO505" s="1">
        <f t="shared" si="93"/>
        <v>4.8330404427429037E-2</v>
      </c>
      <c r="AP505" s="1">
        <f t="shared" si="88"/>
        <v>1.7018803407451666</v>
      </c>
      <c r="AQ505" s="1">
        <f t="shared" si="94"/>
        <v>3.783916767030604E-2</v>
      </c>
      <c r="AR505" s="1">
        <f t="shared" si="95"/>
        <v>3.783916767030604E-2</v>
      </c>
      <c r="AS505" s="1">
        <f t="shared" si="96"/>
        <v>3.4226837999502338E-2</v>
      </c>
    </row>
    <row r="506" spans="35:45" ht="11.25" customHeight="1" x14ac:dyDescent="0.2">
      <c r="AI506" s="3" t="e">
        <f t="shared" si="89"/>
        <v>#N/A</v>
      </c>
      <c r="AJ506" s="3" t="e">
        <f t="shared" si="90"/>
        <v>#N/A</v>
      </c>
      <c r="AK506" s="1">
        <f t="shared" si="97"/>
        <v>74.549999999999969</v>
      </c>
      <c r="AL506" s="1">
        <f t="shared" si="87"/>
        <v>1.5526783311426724</v>
      </c>
      <c r="AM506" s="1">
        <f t="shared" si="91"/>
        <v>4.777501125596828E-2</v>
      </c>
      <c r="AN506" s="1">
        <f t="shared" si="92"/>
        <v>4.777501125596828E-2</v>
      </c>
      <c r="AO506" s="1">
        <f t="shared" si="93"/>
        <v>4.7649449573260609E-2</v>
      </c>
      <c r="AP506" s="1">
        <f t="shared" si="88"/>
        <v>1.6932559471265252</v>
      </c>
      <c r="AQ506" s="1">
        <f t="shared" si="94"/>
        <v>3.8371978997864264E-2</v>
      </c>
      <c r="AR506" s="1">
        <f t="shared" si="95"/>
        <v>3.8371978997864264E-2</v>
      </c>
      <c r="AS506" s="1">
        <f t="shared" si="96"/>
        <v>3.4708784303171855E-2</v>
      </c>
    </row>
    <row r="507" spans="35:45" ht="11.25" customHeight="1" x14ac:dyDescent="0.2">
      <c r="AI507" s="3" t="e">
        <f t="shared" si="89"/>
        <v>#N/A</v>
      </c>
      <c r="AJ507" s="3" t="e">
        <f t="shared" si="90"/>
        <v>#N/A</v>
      </c>
      <c r="AK507" s="1">
        <f t="shared" si="97"/>
        <v>74.699999999999974</v>
      </c>
      <c r="AL507" s="1">
        <f t="shared" si="87"/>
        <v>1.5621651641231777</v>
      </c>
      <c r="AM507" s="1">
        <f t="shared" si="91"/>
        <v>4.7098263832867637E-2</v>
      </c>
      <c r="AN507" s="1">
        <f t="shared" si="92"/>
        <v>4.7098263832867637E-2</v>
      </c>
      <c r="AO507" s="1">
        <f t="shared" si="93"/>
        <v>4.697448076921161E-2</v>
      </c>
      <c r="AP507" s="1">
        <f t="shared" si="88"/>
        <v>1.6846315535078837</v>
      </c>
      <c r="AQ507" s="1">
        <f t="shared" si="94"/>
        <v>3.8909906374118286E-2</v>
      </c>
      <c r="AR507" s="1">
        <f t="shared" si="95"/>
        <v>3.8909906374118286E-2</v>
      </c>
      <c r="AS507" s="1">
        <f t="shared" si="96"/>
        <v>3.519535825011922E-2</v>
      </c>
    </row>
    <row r="508" spans="35:45" ht="11.25" customHeight="1" x14ac:dyDescent="0.2">
      <c r="AI508" s="3" t="e">
        <f t="shared" si="89"/>
        <v>#N/A</v>
      </c>
      <c r="AJ508" s="3" t="e">
        <f t="shared" si="90"/>
        <v>#N/A</v>
      </c>
      <c r="AK508" s="1">
        <f t="shared" si="97"/>
        <v>74.84999999999998</v>
      </c>
      <c r="AL508" s="1">
        <f t="shared" si="87"/>
        <v>1.5716519971036833</v>
      </c>
      <c r="AM508" s="1">
        <f t="shared" si="91"/>
        <v>4.6427544388438768E-2</v>
      </c>
      <c r="AN508" s="1">
        <f t="shared" si="92"/>
        <v>4.6427544388438768E-2</v>
      </c>
      <c r="AO508" s="1">
        <f t="shared" si="93"/>
        <v>4.630552410117679E-2</v>
      </c>
      <c r="AP508" s="1">
        <f t="shared" si="88"/>
        <v>1.6760071598892425</v>
      </c>
      <c r="AQ508" s="1">
        <f t="shared" si="94"/>
        <v>3.9452949788798541E-2</v>
      </c>
      <c r="AR508" s="1">
        <f t="shared" si="95"/>
        <v>3.9452949788798541E-2</v>
      </c>
      <c r="AS508" s="1">
        <f t="shared" si="96"/>
        <v>3.5686559831055245E-2</v>
      </c>
    </row>
    <row r="509" spans="35:45" ht="11.25" customHeight="1" x14ac:dyDescent="0.2">
      <c r="AI509" s="3" t="e">
        <f t="shared" si="89"/>
        <v>#N/A</v>
      </c>
      <c r="AJ509" s="3" t="e">
        <f t="shared" si="90"/>
        <v>#N/A</v>
      </c>
      <c r="AK509" s="1">
        <f t="shared" si="97"/>
        <v>74.999999999999986</v>
      </c>
      <c r="AL509" s="1">
        <f t="shared" si="87"/>
        <v>1.5811388300841889</v>
      </c>
      <c r="AM509" s="1">
        <f t="shared" si="91"/>
        <v>4.5762877030064431E-2</v>
      </c>
      <c r="AN509" s="1">
        <f t="shared" si="92"/>
        <v>4.5762877030064431E-2</v>
      </c>
      <c r="AO509" s="1">
        <f t="shared" si="93"/>
        <v>4.564260361318017E-2</v>
      </c>
      <c r="AP509" s="1">
        <f t="shared" si="88"/>
        <v>1.6673827662706011</v>
      </c>
      <c r="AQ509" s="1">
        <f t="shared" si="94"/>
        <v>4.0001108020659704E-2</v>
      </c>
      <c r="AR509" s="1">
        <f t="shared" si="95"/>
        <v>4.0001108020659704E-2</v>
      </c>
      <c r="AS509" s="1">
        <f t="shared" si="96"/>
        <v>3.6182387941321233E-2</v>
      </c>
    </row>
    <row r="510" spans="35:45" ht="11.25" customHeight="1" x14ac:dyDescent="0.2">
      <c r="AI510" s="3" t="e">
        <f t="shared" si="89"/>
        <v>#N/A</v>
      </c>
      <c r="AJ510" s="3" t="e">
        <f t="shared" si="90"/>
        <v>#N/A</v>
      </c>
      <c r="AK510" s="1">
        <f t="shared" si="97"/>
        <v>75.149999999999991</v>
      </c>
      <c r="AL510" s="1">
        <f t="shared" si="87"/>
        <v>1.5906256630646942</v>
      </c>
      <c r="AM510" s="1">
        <f t="shared" si="91"/>
        <v>4.5104283812047452E-2</v>
      </c>
      <c r="AN510" s="1">
        <f t="shared" si="92"/>
        <v>4.5104283812047452E-2</v>
      </c>
      <c r="AO510" s="1">
        <f t="shared" si="93"/>
        <v>4.498574130156175E-2</v>
      </c>
      <c r="AP510" s="1">
        <f t="shared" si="88"/>
        <v>1.6587583726519597</v>
      </c>
      <c r="AQ510" s="1">
        <f t="shared" si="94"/>
        <v>4.0554378704094063E-2</v>
      </c>
      <c r="AR510" s="1">
        <f t="shared" si="95"/>
        <v>4.0554378704094063E-2</v>
      </c>
      <c r="AS510" s="1">
        <f t="shared" si="96"/>
        <v>3.6682840441143054E-2</v>
      </c>
    </row>
    <row r="511" spans="35:45" ht="11.25" customHeight="1" x14ac:dyDescent="0.2">
      <c r="AI511" s="3" t="e">
        <f t="shared" si="89"/>
        <v>#N/A</v>
      </c>
      <c r="AJ511" s="3" t="e">
        <f t="shared" si="90"/>
        <v>#N/A</v>
      </c>
      <c r="AK511" s="1">
        <f t="shared" si="97"/>
        <v>75.3</v>
      </c>
      <c r="AL511" s="1">
        <f t="shared" si="87"/>
        <v>1.6001124960451998</v>
      </c>
      <c r="AM511" s="1">
        <f t="shared" si="91"/>
        <v>4.4451784811383455E-2</v>
      </c>
      <c r="AN511" s="1">
        <f t="shared" si="92"/>
        <v>4.4451784811383455E-2</v>
      </c>
      <c r="AO511" s="1">
        <f t="shared" si="93"/>
        <v>4.4334957190551035E-2</v>
      </c>
      <c r="AP511" s="1">
        <f t="shared" si="88"/>
        <v>1.6501339790333183</v>
      </c>
      <c r="AQ511" s="1">
        <f t="shared" si="94"/>
        <v>4.1112758246142356E-2</v>
      </c>
      <c r="AR511" s="1">
        <f t="shared" si="95"/>
        <v>4.1112758246142356E-2</v>
      </c>
      <c r="AS511" s="1">
        <f t="shared" si="96"/>
        <v>3.7187914080564592E-2</v>
      </c>
    </row>
    <row r="512" spans="35:45" ht="11.25" customHeight="1" x14ac:dyDescent="0.2">
      <c r="AI512" s="3" t="e">
        <f t="shared" si="89"/>
        <v>#N/A</v>
      </c>
      <c r="AJ512" s="3" t="e">
        <f t="shared" si="90"/>
        <v>#N/A</v>
      </c>
      <c r="AK512" s="1">
        <f t="shared" si="97"/>
        <v>75.45</v>
      </c>
      <c r="AL512" s="1">
        <f t="shared" si="87"/>
        <v>1.6095993290257053</v>
      </c>
      <c r="AM512" s="1">
        <f t="shared" si="91"/>
        <v>4.3805398098895054E-2</v>
      </c>
      <c r="AN512" s="1">
        <f t="shared" si="92"/>
        <v>4.3805398098895054E-2</v>
      </c>
      <c r="AO512" s="1">
        <f t="shared" si="93"/>
        <v>4.3690269303477143E-2</v>
      </c>
      <c r="AP512" s="1">
        <f t="shared" si="88"/>
        <v>1.6415095854146771</v>
      </c>
      <c r="AQ512" s="1">
        <f t="shared" si="94"/>
        <v>4.1676241886723364E-2</v>
      </c>
      <c r="AR512" s="1">
        <f t="shared" si="95"/>
        <v>4.1676241886723364E-2</v>
      </c>
      <c r="AS512" s="1">
        <f t="shared" si="96"/>
        <v>3.7697604553927476E-2</v>
      </c>
    </row>
    <row r="513" spans="35:45" ht="11.25" customHeight="1" x14ac:dyDescent="0.2">
      <c r="AI513" s="3" t="e">
        <f t="shared" si="89"/>
        <v>#N/A</v>
      </c>
      <c r="AJ513" s="3" t="e">
        <f t="shared" si="90"/>
        <v>#N/A</v>
      </c>
      <c r="AK513" s="1">
        <f t="shared" si="97"/>
        <v>75.600000000000009</v>
      </c>
      <c r="AL513" s="1">
        <f t="shared" si="87"/>
        <v>1.6190861620062107</v>
      </c>
      <c r="AM513" s="1">
        <f t="shared" si="91"/>
        <v>4.316513975893832E-2</v>
      </c>
      <c r="AN513" s="1">
        <f t="shared" si="92"/>
        <v>4.316513975893832E-2</v>
      </c>
      <c r="AO513" s="1">
        <f t="shared" si="93"/>
        <v>4.3051693682423432E-2</v>
      </c>
      <c r="AP513" s="1">
        <f t="shared" si="88"/>
        <v>1.6328851917960356</v>
      </c>
      <c r="AQ513" s="1">
        <f t="shared" si="94"/>
        <v>4.2244823613424298E-2</v>
      </c>
      <c r="AR513" s="1">
        <f t="shared" si="95"/>
        <v>4.2244823613424298E-2</v>
      </c>
      <c r="AS513" s="1">
        <f t="shared" si="96"/>
        <v>3.8211906422796066E-2</v>
      </c>
    </row>
    <row r="514" spans="35:45" ht="11.25" customHeight="1" x14ac:dyDescent="0.2">
      <c r="AI514" s="3" t="e">
        <f t="shared" si="89"/>
        <v>#N/A</v>
      </c>
      <c r="AJ514" s="3" t="e">
        <f t="shared" si="90"/>
        <v>#N/A</v>
      </c>
      <c r="AK514" s="1">
        <f t="shared" si="97"/>
        <v>75.750000000000014</v>
      </c>
      <c r="AL514" s="1">
        <f t="shared" si="87"/>
        <v>1.6285729949867163</v>
      </c>
      <c r="AM514" s="1">
        <f t="shared" si="91"/>
        <v>4.2531024031788878E-2</v>
      </c>
      <c r="AN514" s="1">
        <f t="shared" si="92"/>
        <v>4.2531024031788878E-2</v>
      </c>
      <c r="AO514" s="1">
        <f t="shared" si="93"/>
        <v>4.2419244530239417E-2</v>
      </c>
      <c r="AP514" s="1">
        <f t="shared" si="88"/>
        <v>1.6242607981773942</v>
      </c>
      <c r="AQ514" s="1">
        <f t="shared" si="94"/>
        <v>4.2818496141794338E-2</v>
      </c>
      <c r="AR514" s="1">
        <f t="shared" si="95"/>
        <v>4.2818496141794338E-2</v>
      </c>
      <c r="AS514" s="1">
        <f t="shared" si="96"/>
        <v>3.8730813098132227E-2</v>
      </c>
    </row>
    <row r="515" spans="35:45" ht="11.25" customHeight="1" x14ac:dyDescent="0.2">
      <c r="AI515" s="3" t="e">
        <f t="shared" si="89"/>
        <v>#N/A</v>
      </c>
      <c r="AJ515" s="3" t="e">
        <f t="shared" si="90"/>
        <v>#N/A</v>
      </c>
      <c r="AK515" s="1">
        <f t="shared" si="97"/>
        <v>75.90000000000002</v>
      </c>
      <c r="AL515" s="1">
        <f t="shared" si="87"/>
        <v>1.6380598279672218</v>
      </c>
      <c r="AM515" s="1">
        <f t="shared" si="91"/>
        <v>4.190306319123982E-2</v>
      </c>
      <c r="AN515" s="1">
        <f t="shared" si="92"/>
        <v>4.190306319123982E-2</v>
      </c>
      <c r="AO515" s="1">
        <f t="shared" si="93"/>
        <v>4.1792934088460368E-2</v>
      </c>
      <c r="AP515" s="1">
        <f t="shared" si="88"/>
        <v>1.615636404558753</v>
      </c>
      <c r="AQ515" s="1">
        <f t="shared" si="94"/>
        <v>4.3397250961418887E-2</v>
      </c>
      <c r="AR515" s="1">
        <f t="shared" si="95"/>
        <v>4.3397250961418887E-2</v>
      </c>
      <c r="AS515" s="1">
        <f t="shared" si="96"/>
        <v>3.9254316881971153E-2</v>
      </c>
    </row>
    <row r="516" spans="35:45" ht="11.25" customHeight="1" x14ac:dyDescent="0.2">
      <c r="AI516" s="3" t="e">
        <f t="shared" si="89"/>
        <v>#N/A</v>
      </c>
      <c r="AJ516" s="3" t="e">
        <f t="shared" si="90"/>
        <v>#N/A</v>
      </c>
      <c r="AK516" s="1">
        <f t="shared" si="97"/>
        <v>76.050000000000026</v>
      </c>
      <c r="AL516" s="1">
        <f t="shared" si="87"/>
        <v>1.6475466609477274</v>
      </c>
      <c r="AM516" s="1">
        <f t="shared" si="91"/>
        <v>4.1281267655346454E-2</v>
      </c>
      <c r="AN516" s="1">
        <f t="shared" si="92"/>
        <v>4.1281267655346454E-2</v>
      </c>
      <c r="AO516" s="1">
        <f t="shared" si="93"/>
        <v>4.1172772747760981E-2</v>
      </c>
      <c r="AP516" s="1">
        <f t="shared" si="88"/>
        <v>1.6070120109401116</v>
      </c>
      <c r="AQ516" s="1">
        <f t="shared" si="94"/>
        <v>4.3981078250154848E-2</v>
      </c>
      <c r="AR516" s="1">
        <f t="shared" si="95"/>
        <v>4.3981078250154848E-2</v>
      </c>
      <c r="AS516" s="1">
        <f t="shared" si="96"/>
        <v>3.9782408889844134E-2</v>
      </c>
    </row>
    <row r="517" spans="35:45" ht="11.25" customHeight="1" x14ac:dyDescent="0.2">
      <c r="AI517" s="3" t="e">
        <f t="shared" si="89"/>
        <v>#N/A</v>
      </c>
      <c r="AJ517" s="3" t="e">
        <f t="shared" si="90"/>
        <v>#N/A</v>
      </c>
      <c r="AK517" s="1">
        <f t="shared" si="97"/>
        <v>76.200000000000031</v>
      </c>
      <c r="AL517" s="1">
        <f t="shared" si="87"/>
        <v>1.6570334939282327</v>
      </c>
      <c r="AM517" s="1">
        <f t="shared" si="91"/>
        <v>4.0665646036386338E-2</v>
      </c>
      <c r="AN517" s="1">
        <f t="shared" si="92"/>
        <v>4.0665646036386338E-2</v>
      </c>
      <c r="AO517" s="1">
        <f t="shared" si="93"/>
        <v>4.0558769097784143E-2</v>
      </c>
      <c r="AP517" s="1">
        <f t="shared" si="88"/>
        <v>1.5983876173214702</v>
      </c>
      <c r="AQ517" s="1">
        <f t="shared" si="94"/>
        <v>4.4569966871632616E-2</v>
      </c>
      <c r="AR517" s="1">
        <f t="shared" si="95"/>
        <v>4.4569966871632616E-2</v>
      </c>
      <c r="AS517" s="1">
        <f t="shared" si="96"/>
        <v>4.0315079048519081E-2</v>
      </c>
    </row>
    <row r="518" spans="35:45" ht="11.25" customHeight="1" x14ac:dyDescent="0.2">
      <c r="AI518" s="3" t="e">
        <f t="shared" si="89"/>
        <v>#N/A</v>
      </c>
      <c r="AJ518" s="3" t="e">
        <f t="shared" si="90"/>
        <v>#N/A</v>
      </c>
      <c r="AK518" s="1">
        <f t="shared" si="97"/>
        <v>76.350000000000037</v>
      </c>
      <c r="AL518" s="1">
        <f t="shared" si="87"/>
        <v>1.6665203269087383</v>
      </c>
      <c r="AM518" s="1">
        <f t="shared" si="91"/>
        <v>4.0056205077021456E-2</v>
      </c>
      <c r="AN518" s="1">
        <f t="shared" si="92"/>
        <v>4.0056205077021456E-2</v>
      </c>
      <c r="AO518" s="1">
        <f t="shared" si="93"/>
        <v>3.9950929863470853E-2</v>
      </c>
      <c r="AP518" s="1">
        <f t="shared" si="88"/>
        <v>1.5897632237028287</v>
      </c>
      <c r="AQ518" s="1">
        <f t="shared" si="94"/>
        <v>4.5163904379974529E-2</v>
      </c>
      <c r="AR518" s="1">
        <f t="shared" si="95"/>
        <v>4.5163904379974529E-2</v>
      </c>
      <c r="AS518" s="1">
        <f t="shared" si="96"/>
        <v>4.0852316100268488E-2</v>
      </c>
    </row>
    <row r="519" spans="35:45" ht="11.25" customHeight="1" x14ac:dyDescent="0.2">
      <c r="AI519" s="3" t="e">
        <f t="shared" si="89"/>
        <v>#N/A</v>
      </c>
      <c r="AJ519" s="3" t="e">
        <f t="shared" si="90"/>
        <v>#N/A</v>
      </c>
      <c r="AK519" s="1">
        <f t="shared" si="97"/>
        <v>76.500000000000043</v>
      </c>
      <c r="AL519" s="1">
        <f t="shared" si="87"/>
        <v>1.6760071598892439</v>
      </c>
      <c r="AM519" s="1">
        <f t="shared" si="91"/>
        <v>3.9452949783524982E-2</v>
      </c>
      <c r="AN519" s="1">
        <f t="shared" si="92"/>
        <v>3.9452949783524982E-2</v>
      </c>
      <c r="AO519" s="1">
        <f t="shared" si="93"/>
        <v>3.9349260037936866E-2</v>
      </c>
      <c r="AP519" s="1">
        <f t="shared" si="88"/>
        <v>1.5811388300841875</v>
      </c>
      <c r="AQ519" s="1">
        <f t="shared" si="94"/>
        <v>4.5762877037558436E-2</v>
      </c>
      <c r="AR519" s="1">
        <f t="shared" si="95"/>
        <v>4.5762877037558436E-2</v>
      </c>
      <c r="AS519" s="1">
        <f t="shared" si="96"/>
        <v>4.139410761893722E-2</v>
      </c>
    </row>
    <row r="520" spans="35:45" ht="11.25" customHeight="1" x14ac:dyDescent="0.2">
      <c r="AI520" s="3" t="e">
        <f t="shared" si="89"/>
        <v>#N/A</v>
      </c>
      <c r="AJ520" s="3" t="e">
        <f t="shared" si="90"/>
        <v>#N/A</v>
      </c>
      <c r="AK520" s="1">
        <f t="shared" si="97"/>
        <v>76.650000000000048</v>
      </c>
      <c r="AL520" s="1">
        <f t="shared" si="87"/>
        <v>1.6854939928697492</v>
      </c>
      <c r="AM520" s="1">
        <f t="shared" si="91"/>
        <v>3.8855883414123937E-2</v>
      </c>
      <c r="AN520" s="1">
        <f t="shared" si="92"/>
        <v>3.8855883414123937E-2</v>
      </c>
      <c r="AO520" s="1">
        <f t="shared" si="93"/>
        <v>3.8753762870845969E-2</v>
      </c>
      <c r="AP520" s="1">
        <f t="shared" si="88"/>
        <v>1.5725144364655461</v>
      </c>
      <c r="AQ520" s="1">
        <f t="shared" si="94"/>
        <v>4.636686964543113E-2</v>
      </c>
      <c r="AR520" s="1">
        <f t="shared" si="95"/>
        <v>4.636686964543113E-2</v>
      </c>
      <c r="AS520" s="1">
        <f t="shared" si="96"/>
        <v>4.1940439856545567E-2</v>
      </c>
    </row>
    <row r="521" spans="35:45" ht="11.25" customHeight="1" x14ac:dyDescent="0.2">
      <c r="AI521" s="3" t="e">
        <f t="shared" si="89"/>
        <v>#N/A</v>
      </c>
      <c r="AJ521" s="3" t="e">
        <f t="shared" si="90"/>
        <v>#N/A</v>
      </c>
      <c r="AK521" s="1">
        <f t="shared" si="97"/>
        <v>76.800000000000054</v>
      </c>
      <c r="AL521" s="1">
        <f t="shared" ref="AL521:AL584" si="98">ABS(($AL$5-AK521)/$AL$6)</f>
        <v>1.6949808258502548</v>
      </c>
      <c r="AM521" s="1">
        <f t="shared" si="91"/>
        <v>3.8265007460680511E-2</v>
      </c>
      <c r="AN521" s="1">
        <f t="shared" si="92"/>
        <v>3.8265007460680511E-2</v>
      </c>
      <c r="AO521" s="1">
        <f t="shared" si="93"/>
        <v>3.8164439850139453E-2</v>
      </c>
      <c r="AP521" s="1">
        <f t="shared" ref="AP521:AP584" si="99">ABS(($AP$5-AK521)/$AP$6)</f>
        <v>1.5638900428469047</v>
      </c>
      <c r="AQ521" s="1">
        <f t="shared" si="94"/>
        <v>4.6975865741760714E-2</v>
      </c>
      <c r="AR521" s="1">
        <f t="shared" si="95"/>
        <v>4.6975865741760714E-2</v>
      </c>
      <c r="AS521" s="1">
        <f t="shared" si="96"/>
        <v>4.2491297922796295E-2</v>
      </c>
    </row>
    <row r="522" spans="35:45" ht="11.25" customHeight="1" x14ac:dyDescent="0.2">
      <c r="AI522" s="3" t="e">
        <f t="shared" ref="AI522:AI585" si="100">IF($M$18,AI521,NA())</f>
        <v>#N/A</v>
      </c>
      <c r="AJ522" s="3" t="e">
        <f t="shared" ref="AJ522:AJ585" si="101">IF($M$18,AJ521,NA())</f>
        <v>#N/A</v>
      </c>
      <c r="AK522" s="1">
        <f t="shared" si="97"/>
        <v>76.95000000000006</v>
      </c>
      <c r="AL522" s="1">
        <f t="shared" si="98"/>
        <v>1.7044676588307603</v>
      </c>
      <c r="AM522" s="1">
        <f t="shared" ref="AM522:AM585" si="102">$AL$3*ABS((TDIST(AL522,$AL$7,1)-TDIST(AL522+$AL$1,$AL$7,1))/($AL$1))</f>
        <v>3.7680321786637272E-2</v>
      </c>
      <c r="AN522" s="1">
        <f t="shared" ref="AN522:AN585" si="103">IF(($D$10&gt;$AJ$5)=($D$10&gt;AK522),AM522,0)</f>
        <v>3.7680321786637272E-2</v>
      </c>
      <c r="AO522" s="1">
        <f t="shared" ref="AO522:AO585" si="104">AM522*$AN$5/$AN$7</f>
        <v>3.7581290839618794E-2</v>
      </c>
      <c r="AP522" s="1">
        <f t="shared" si="99"/>
        <v>1.5552656492282633</v>
      </c>
      <c r="AQ522" s="1">
        <f t="shared" ref="AQ522:AQ585" si="105">$AL$3*ABS((TDIST(AP522,$AP$7,1)-TDIST(AP522+$AL$1,$AP$7,1))/($AL$1))</f>
        <v>4.7589847432805144E-2</v>
      </c>
      <c r="AR522" s="1">
        <f t="shared" ref="AR522:AR585" si="106">IF(($D$19&gt;$AJ$5)=($D$19&gt;AK522),AQ522,0)</f>
        <v>4.7589847432805144E-2</v>
      </c>
      <c r="AS522" s="1">
        <f t="shared" ref="AS522:AS585" si="107">AQ522*$AN$5/$AR$7</f>
        <v>4.3046665632179855E-2</v>
      </c>
    </row>
    <row r="523" spans="35:45" ht="11.25" customHeight="1" x14ac:dyDescent="0.2">
      <c r="AI523" s="3" t="e">
        <f t="shared" si="100"/>
        <v>#N/A</v>
      </c>
      <c r="AJ523" s="3" t="e">
        <f t="shared" si="101"/>
        <v>#N/A</v>
      </c>
      <c r="AK523" s="1">
        <f t="shared" si="97"/>
        <v>77.100000000000065</v>
      </c>
      <c r="AL523" s="1">
        <f t="shared" si="98"/>
        <v>1.7139544918112657</v>
      </c>
      <c r="AM523" s="1">
        <f t="shared" si="102"/>
        <v>3.7101824542640209E-2</v>
      </c>
      <c r="AN523" s="1">
        <f t="shared" si="103"/>
        <v>3.7101824542640209E-2</v>
      </c>
      <c r="AO523" s="1">
        <f t="shared" si="104"/>
        <v>3.7004313994790435E-2</v>
      </c>
      <c r="AP523" s="1">
        <f t="shared" si="99"/>
        <v>1.5466412556096221</v>
      </c>
      <c r="AQ523" s="1">
        <f t="shared" si="105"/>
        <v>4.8208795364046431E-2</v>
      </c>
      <c r="AR523" s="1">
        <f t="shared" si="106"/>
        <v>4.8208795364046431E-2</v>
      </c>
      <c r="AS523" s="1">
        <f t="shared" si="107"/>
        <v>4.3606525477864228E-2</v>
      </c>
    </row>
    <row r="524" spans="35:45" ht="11.25" customHeight="1" x14ac:dyDescent="0.2">
      <c r="AI524" s="3" t="e">
        <f t="shared" si="100"/>
        <v>#N/A</v>
      </c>
      <c r="AJ524" s="3" t="e">
        <f t="shared" si="101"/>
        <v>#N/A</v>
      </c>
      <c r="AK524" s="1">
        <f t="shared" si="97"/>
        <v>77.250000000000071</v>
      </c>
      <c r="AL524" s="1">
        <f t="shared" si="98"/>
        <v>1.7234413247917713</v>
      </c>
      <c r="AM524" s="1">
        <f t="shared" si="102"/>
        <v>3.6529512305594196E-2</v>
      </c>
      <c r="AN524" s="1">
        <f t="shared" si="103"/>
        <v>3.6529512305594196E-2</v>
      </c>
      <c r="AO524" s="1">
        <f t="shared" si="104"/>
        <v>3.6433505901555766E-2</v>
      </c>
      <c r="AP524" s="1">
        <f t="shared" si="99"/>
        <v>1.5380168619909806</v>
      </c>
      <c r="AQ524" s="1">
        <f t="shared" si="105"/>
        <v>4.8832688830935389E-2</v>
      </c>
      <c r="AR524" s="1">
        <f t="shared" si="106"/>
        <v>4.8832688830935389E-2</v>
      </c>
      <c r="AS524" s="1">
        <f t="shared" si="107"/>
        <v>4.4170858731867421E-2</v>
      </c>
    </row>
    <row r="525" spans="35:45" ht="11.25" customHeight="1" x14ac:dyDescent="0.2">
      <c r="AI525" s="3" t="e">
        <f t="shared" si="100"/>
        <v>#N/A</v>
      </c>
      <c r="AJ525" s="3" t="e">
        <f t="shared" si="101"/>
        <v>#N/A</v>
      </c>
      <c r="AK525" s="1">
        <f t="shared" si="97"/>
        <v>77.400000000000077</v>
      </c>
      <c r="AL525" s="1">
        <f t="shared" si="98"/>
        <v>1.7329281577722768</v>
      </c>
      <c r="AM525" s="1">
        <f t="shared" si="102"/>
        <v>3.5963379988179771E-2</v>
      </c>
      <c r="AN525" s="1">
        <f t="shared" si="103"/>
        <v>3.5963379988179771E-2</v>
      </c>
      <c r="AO525" s="1">
        <f t="shared" si="104"/>
        <v>3.586886148596577E-2</v>
      </c>
      <c r="AP525" s="1">
        <f t="shared" si="99"/>
        <v>1.5293924683723392</v>
      </c>
      <c r="AQ525" s="1">
        <f t="shared" si="105"/>
        <v>4.9461505707837361E-2</v>
      </c>
      <c r="AR525" s="1">
        <f t="shared" si="106"/>
        <v>4.9461505707837361E-2</v>
      </c>
      <c r="AS525" s="1">
        <f t="shared" si="107"/>
        <v>4.4739645380786397E-2</v>
      </c>
    </row>
    <row r="526" spans="35:45" ht="11.25" customHeight="1" x14ac:dyDescent="0.2">
      <c r="AI526" s="3" t="e">
        <f t="shared" si="100"/>
        <v>#N/A</v>
      </c>
      <c r="AJ526" s="3" t="e">
        <f t="shared" si="101"/>
        <v>#N/A</v>
      </c>
      <c r="AK526" s="1">
        <f t="shared" si="97"/>
        <v>77.550000000000082</v>
      </c>
      <c r="AL526" s="1">
        <f t="shared" si="98"/>
        <v>1.7424149907527822</v>
      </c>
      <c r="AM526" s="1">
        <f t="shared" si="102"/>
        <v>3.5403421002333506E-2</v>
      </c>
      <c r="AN526" s="1">
        <f t="shared" si="103"/>
        <v>3.5403421002333506E-2</v>
      </c>
      <c r="AO526" s="1">
        <f t="shared" si="104"/>
        <v>3.5310374177271675E-2</v>
      </c>
      <c r="AP526" s="1">
        <f t="shared" si="99"/>
        <v>1.520768074753698</v>
      </c>
      <c r="AQ526" s="1">
        <f t="shared" si="105"/>
        <v>5.0095222328683242E-2</v>
      </c>
      <c r="AR526" s="1">
        <f t="shared" si="106"/>
        <v>5.0095222328683242E-2</v>
      </c>
      <c r="AS526" s="1">
        <f t="shared" si="107"/>
        <v>4.5312864017841813E-2</v>
      </c>
    </row>
    <row r="527" spans="35:45" ht="11.25" customHeight="1" x14ac:dyDescent="0.2">
      <c r="AI527" s="3" t="e">
        <f t="shared" si="100"/>
        <v>#N/A</v>
      </c>
      <c r="AJ527" s="3" t="e">
        <f t="shared" si="101"/>
        <v>#N/A</v>
      </c>
      <c r="AK527" s="1">
        <f t="shared" si="97"/>
        <v>77.700000000000088</v>
      </c>
      <c r="AL527" s="1">
        <f t="shared" si="98"/>
        <v>1.7519018237332877</v>
      </c>
      <c r="AM527" s="1">
        <f t="shared" si="102"/>
        <v>3.4849627191524395E-2</v>
      </c>
      <c r="AN527" s="1">
        <f t="shared" si="103"/>
        <v>3.4849627191524395E-2</v>
      </c>
      <c r="AO527" s="1">
        <f t="shared" si="104"/>
        <v>3.475803584037937E-2</v>
      </c>
      <c r="AP527" s="1">
        <f t="shared" si="99"/>
        <v>1.5121436811350566</v>
      </c>
      <c r="AQ527" s="1">
        <f t="shared" si="105"/>
        <v>5.0733813617975798E-2</v>
      </c>
      <c r="AR527" s="1">
        <f t="shared" si="106"/>
        <v>5.0733813617975798E-2</v>
      </c>
      <c r="AS527" s="1">
        <f t="shared" si="107"/>
        <v>4.5890491961377726E-2</v>
      </c>
    </row>
    <row r="528" spans="35:45" ht="11.25" customHeight="1" x14ac:dyDescent="0.2">
      <c r="AI528" s="3" t="e">
        <f t="shared" si="100"/>
        <v>#N/A</v>
      </c>
      <c r="AJ528" s="3" t="e">
        <f t="shared" si="101"/>
        <v>#N/A</v>
      </c>
      <c r="AK528" s="1">
        <f t="shared" si="97"/>
        <v>77.850000000000094</v>
      </c>
      <c r="AL528" s="1">
        <f t="shared" si="98"/>
        <v>1.7613886567137933</v>
      </c>
      <c r="AM528" s="1">
        <f t="shared" si="102"/>
        <v>3.4301988910967467E-2</v>
      </c>
      <c r="AN528" s="1">
        <f t="shared" si="103"/>
        <v>3.4301988910967467E-2</v>
      </c>
      <c r="AO528" s="1">
        <f t="shared" si="104"/>
        <v>3.421183685585219E-2</v>
      </c>
      <c r="AP528" s="1">
        <f t="shared" si="99"/>
        <v>1.5035192875164152</v>
      </c>
      <c r="AQ528" s="1">
        <f t="shared" si="105"/>
        <v>5.1377253020290503E-2</v>
      </c>
      <c r="AR528" s="1">
        <f t="shared" si="106"/>
        <v>5.1377253020290503E-2</v>
      </c>
      <c r="AS528" s="1">
        <f t="shared" si="107"/>
        <v>4.6472505191092722E-2</v>
      </c>
    </row>
    <row r="529" spans="35:45" ht="11.25" customHeight="1" x14ac:dyDescent="0.2">
      <c r="AI529" s="3" t="e">
        <f t="shared" si="100"/>
        <v>#N/A</v>
      </c>
      <c r="AJ529" s="3" t="e">
        <f t="shared" si="101"/>
        <v>#N/A</v>
      </c>
      <c r="AK529" s="1">
        <f t="shared" si="97"/>
        <v>78.000000000000099</v>
      </c>
      <c r="AL529" s="1">
        <f t="shared" si="98"/>
        <v>1.7708754896942989</v>
      </c>
      <c r="AM529" s="1">
        <f t="shared" si="102"/>
        <v>3.376049502984424E-2</v>
      </c>
      <c r="AN529" s="1">
        <f t="shared" si="103"/>
        <v>3.376049502984424E-2</v>
      </c>
      <c r="AO529" s="1">
        <f t="shared" si="104"/>
        <v>3.3671766122125524E-2</v>
      </c>
      <c r="AP529" s="1">
        <f t="shared" si="99"/>
        <v>1.4948948938977737</v>
      </c>
      <c r="AQ529" s="1">
        <f t="shared" si="105"/>
        <v>5.2025512458642176E-2</v>
      </c>
      <c r="AR529" s="1">
        <f t="shared" si="106"/>
        <v>5.2025512458642176E-2</v>
      </c>
      <c r="AS529" s="1">
        <f t="shared" si="107"/>
        <v>4.7058878310381039E-2</v>
      </c>
    </row>
    <row r="530" spans="35:45" ht="11.25" customHeight="1" x14ac:dyDescent="0.2">
      <c r="AI530" s="3" t="e">
        <f t="shared" si="100"/>
        <v>#N/A</v>
      </c>
      <c r="AJ530" s="3" t="e">
        <f t="shared" si="101"/>
        <v>#N/A</v>
      </c>
      <c r="AK530" s="1">
        <f t="shared" si="97"/>
        <v>78.150000000000105</v>
      </c>
      <c r="AL530" s="1">
        <f t="shared" si="98"/>
        <v>1.7803623226748042</v>
      </c>
      <c r="AM530" s="1">
        <f t="shared" si="102"/>
        <v>3.3225132993752737E-2</v>
      </c>
      <c r="AN530" s="1">
        <f t="shared" si="103"/>
        <v>3.3225132993752737E-2</v>
      </c>
      <c r="AO530" s="1">
        <f t="shared" si="104"/>
        <v>3.3137811117792723E-2</v>
      </c>
      <c r="AP530" s="1">
        <f t="shared" si="99"/>
        <v>1.4862705002791325</v>
      </c>
      <c r="AQ530" s="1">
        <f t="shared" si="105"/>
        <v>5.267856236390589E-2</v>
      </c>
      <c r="AR530" s="1">
        <f t="shared" si="106"/>
        <v>5.267856236390589E-2</v>
      </c>
      <c r="AS530" s="1">
        <f t="shared" si="107"/>
        <v>4.7649584572944846E-2</v>
      </c>
    </row>
    <row r="531" spans="35:45" ht="11.25" customHeight="1" x14ac:dyDescent="0.2">
      <c r="AI531" s="3" t="e">
        <f t="shared" si="100"/>
        <v>#N/A</v>
      </c>
      <c r="AJ531" s="3" t="e">
        <f t="shared" si="101"/>
        <v>#N/A</v>
      </c>
      <c r="AK531" s="1">
        <f t="shared" si="97"/>
        <v>78.300000000000111</v>
      </c>
      <c r="AL531" s="1">
        <f t="shared" si="98"/>
        <v>1.7898491556553098</v>
      </c>
      <c r="AM531" s="1">
        <f t="shared" si="102"/>
        <v>3.2695888839695542E-2</v>
      </c>
      <c r="AN531" s="1">
        <f t="shared" si="103"/>
        <v>3.2695888839695542E-2</v>
      </c>
      <c r="AO531" s="1">
        <f t="shared" si="104"/>
        <v>3.2609957916553745E-2</v>
      </c>
      <c r="AP531" s="1">
        <f t="shared" si="99"/>
        <v>1.4776461066604911</v>
      </c>
      <c r="AQ531" s="1">
        <f t="shared" si="105"/>
        <v>5.3336371631518276E-2</v>
      </c>
      <c r="AR531" s="1">
        <f t="shared" si="106"/>
        <v>5.3336371631518276E-2</v>
      </c>
      <c r="AS531" s="1">
        <f t="shared" si="107"/>
        <v>4.8244595843629022E-2</v>
      </c>
    </row>
    <row r="532" spans="35:45" ht="11.25" customHeight="1" x14ac:dyDescent="0.2">
      <c r="AI532" s="3" t="e">
        <f t="shared" si="100"/>
        <v>#N/A</v>
      </c>
      <c r="AJ532" s="3" t="e">
        <f t="shared" si="101"/>
        <v>#N/A</v>
      </c>
      <c r="AK532" s="1">
        <f t="shared" si="97"/>
        <v>78.450000000000117</v>
      </c>
      <c r="AL532" s="1">
        <f t="shared" si="98"/>
        <v>1.7993359886358153</v>
      </c>
      <c r="AM532" s="1">
        <f t="shared" si="102"/>
        <v>3.2172747230496679E-2</v>
      </c>
      <c r="AN532" s="1">
        <f t="shared" si="103"/>
        <v>3.2172747230496679E-2</v>
      </c>
      <c r="AO532" s="1">
        <f t="shared" si="104"/>
        <v>3.2088191221541572E-2</v>
      </c>
      <c r="AP532" s="1">
        <f t="shared" si="99"/>
        <v>1.4690217130418497</v>
      </c>
      <c r="AQ532" s="1">
        <f t="shared" si="105"/>
        <v>5.3998907620367298E-2</v>
      </c>
      <c r="AR532" s="1">
        <f t="shared" si="106"/>
        <v>5.3998907620367298E-2</v>
      </c>
      <c r="AS532" s="1">
        <f t="shared" si="107"/>
        <v>4.8843882597416968E-2</v>
      </c>
    </row>
    <row r="533" spans="35:45" ht="11.25" customHeight="1" x14ac:dyDescent="0.2">
      <c r="AI533" s="3" t="e">
        <f t="shared" si="100"/>
        <v>#N/A</v>
      </c>
      <c r="AJ533" s="3" t="e">
        <f t="shared" si="101"/>
        <v>#N/A</v>
      </c>
      <c r="AK533" s="1">
        <f t="shared" si="97"/>
        <v>78.600000000000122</v>
      </c>
      <c r="AL533" s="1">
        <f t="shared" si="98"/>
        <v>1.8088228216163207</v>
      </c>
      <c r="AM533" s="1">
        <f t="shared" si="102"/>
        <v>3.1655691462573188E-2</v>
      </c>
      <c r="AN533" s="1">
        <f t="shared" si="103"/>
        <v>3.1655691462573188E-2</v>
      </c>
      <c r="AO533" s="1">
        <f t="shared" si="104"/>
        <v>3.1572494373073412E-2</v>
      </c>
      <c r="AP533" s="1">
        <f t="shared" si="99"/>
        <v>1.4603973194232085</v>
      </c>
      <c r="AQ533" s="1">
        <f t="shared" si="105"/>
        <v>5.4666136153347367E-2</v>
      </c>
      <c r="AR533" s="1">
        <f t="shared" si="106"/>
        <v>5.4666136153347367E-2</v>
      </c>
      <c r="AS533" s="1">
        <f t="shared" si="107"/>
        <v>4.9447413919932702E-2</v>
      </c>
    </row>
    <row r="534" spans="35:45" ht="11.25" customHeight="1" x14ac:dyDescent="0.2">
      <c r="AI534" s="3" t="e">
        <f t="shared" si="100"/>
        <v>#N/A</v>
      </c>
      <c r="AJ534" s="3" t="e">
        <f t="shared" si="101"/>
        <v>#N/A</v>
      </c>
      <c r="AK534" s="1">
        <f t="shared" si="97"/>
        <v>78.750000000000128</v>
      </c>
      <c r="AL534" s="1">
        <f t="shared" si="98"/>
        <v>1.8183096545968263</v>
      </c>
      <c r="AM534" s="1">
        <f t="shared" si="102"/>
        <v>3.1144703558638742E-2</v>
      </c>
      <c r="AN534" s="1">
        <f t="shared" si="103"/>
        <v>3.1144703558638742E-2</v>
      </c>
      <c r="AO534" s="1">
        <f t="shared" si="104"/>
        <v>3.1062849441110599E-2</v>
      </c>
      <c r="AP534" s="1">
        <f t="shared" si="99"/>
        <v>1.4517729258045671</v>
      </c>
      <c r="AQ534" s="1">
        <f t="shared" si="105"/>
        <v>5.5338021447415287E-2</v>
      </c>
      <c r="AR534" s="1">
        <f t="shared" si="106"/>
        <v>5.5338021447415287E-2</v>
      </c>
      <c r="AS534" s="1">
        <f t="shared" si="107"/>
        <v>5.0055157444174041E-2</v>
      </c>
    </row>
    <row r="535" spans="35:45" ht="11.25" customHeight="1" x14ac:dyDescent="0.2">
      <c r="AI535" s="3" t="e">
        <f t="shared" si="100"/>
        <v>#N/A</v>
      </c>
      <c r="AJ535" s="3" t="e">
        <f t="shared" si="101"/>
        <v>#N/A</v>
      </c>
      <c r="AK535" s="1">
        <f t="shared" si="97"/>
        <v>78.900000000000134</v>
      </c>
      <c r="AL535" s="1">
        <f t="shared" si="98"/>
        <v>1.8277964875773318</v>
      </c>
      <c r="AM535" s="1">
        <f t="shared" si="102"/>
        <v>3.0639764237172518E-2</v>
      </c>
      <c r="AN535" s="1">
        <f t="shared" si="103"/>
        <v>3.0639764237172518E-2</v>
      </c>
      <c r="AO535" s="1">
        <f t="shared" si="104"/>
        <v>3.0559237194807767E-2</v>
      </c>
      <c r="AP535" s="1">
        <f t="shared" si="99"/>
        <v>1.4431485321859256</v>
      </c>
      <c r="AQ535" s="1">
        <f t="shared" si="105"/>
        <v>5.6014526171876966E-2</v>
      </c>
      <c r="AR535" s="1">
        <f t="shared" si="106"/>
        <v>5.6014526171876966E-2</v>
      </c>
      <c r="AS535" s="1">
        <f t="shared" si="107"/>
        <v>5.0667079403234949E-2</v>
      </c>
    </row>
    <row r="536" spans="35:45" ht="11.25" customHeight="1" x14ac:dyDescent="0.2">
      <c r="AI536" s="3" t="e">
        <f t="shared" si="100"/>
        <v>#N/A</v>
      </c>
      <c r="AJ536" s="3" t="e">
        <f t="shared" si="101"/>
        <v>#N/A</v>
      </c>
      <c r="AK536" s="1">
        <f t="shared" si="97"/>
        <v>79.050000000000139</v>
      </c>
      <c r="AL536" s="1">
        <f t="shared" si="98"/>
        <v>1.8372833205578372</v>
      </c>
      <c r="AM536" s="1">
        <f t="shared" si="102"/>
        <v>3.0140852971538568E-2</v>
      </c>
      <c r="AN536" s="1">
        <f t="shared" si="103"/>
        <v>3.0140852971538568E-2</v>
      </c>
      <c r="AO536" s="1">
        <f t="shared" si="104"/>
        <v>3.0061637161476813E-2</v>
      </c>
      <c r="AP536" s="1">
        <f t="shared" si="99"/>
        <v>1.4345241385672842</v>
      </c>
      <c r="AQ536" s="1">
        <f t="shared" si="105"/>
        <v>5.6695611426738068E-2</v>
      </c>
      <c r="AR536" s="1">
        <f t="shared" si="106"/>
        <v>5.6695611426738068E-2</v>
      </c>
      <c r="AS536" s="1">
        <f t="shared" si="107"/>
        <v>5.1283144610722961E-2</v>
      </c>
    </row>
    <row r="537" spans="35:45" ht="11.25" customHeight="1" x14ac:dyDescent="0.2">
      <c r="AI537" s="3" t="e">
        <f t="shared" si="100"/>
        <v>#N/A</v>
      </c>
      <c r="AJ537" s="3" t="e">
        <f t="shared" si="101"/>
        <v>#N/A</v>
      </c>
      <c r="AK537" s="1">
        <f t="shared" si="97"/>
        <v>79.200000000000145</v>
      </c>
      <c r="AL537" s="1">
        <f t="shared" si="98"/>
        <v>1.8467701535383427</v>
      </c>
      <c r="AM537" s="1">
        <f t="shared" si="102"/>
        <v>2.9647948022182291E-2</v>
      </c>
      <c r="AN537" s="1">
        <f t="shared" si="103"/>
        <v>2.9647948022182291E-2</v>
      </c>
      <c r="AO537" s="1">
        <f t="shared" si="104"/>
        <v>2.9570027658698757E-2</v>
      </c>
      <c r="AP537" s="1">
        <f t="shared" si="99"/>
        <v>1.425899744948643</v>
      </c>
      <c r="AQ537" s="1">
        <f t="shared" si="105"/>
        <v>5.7381236697739979E-2</v>
      </c>
      <c r="AR537" s="1">
        <f t="shared" si="106"/>
        <v>5.7381236697739979E-2</v>
      </c>
      <c r="AS537" s="1">
        <f t="shared" si="107"/>
        <v>5.1903316420087643E-2</v>
      </c>
    </row>
    <row r="538" spans="35:45" ht="11.25" customHeight="1" x14ac:dyDescent="0.2">
      <c r="AI538" s="3" t="e">
        <f t="shared" si="100"/>
        <v>#N/A</v>
      </c>
      <c r="AJ538" s="3" t="e">
        <f t="shared" si="101"/>
        <v>#N/A</v>
      </c>
      <c r="AK538" s="1">
        <f t="shared" si="97"/>
        <v>79.350000000000151</v>
      </c>
      <c r="AL538" s="1">
        <f t="shared" si="98"/>
        <v>1.8562569865188483</v>
      </c>
      <c r="AM538" s="1">
        <f t="shared" si="102"/>
        <v>2.9161026468271789E-2</v>
      </c>
      <c r="AN538" s="1">
        <f t="shared" si="103"/>
        <v>2.9161026468271789E-2</v>
      </c>
      <c r="AO538" s="1">
        <f t="shared" si="104"/>
        <v>2.908438582588195E-2</v>
      </c>
      <c r="AP538" s="1">
        <f t="shared" si="99"/>
        <v>1.4172753513300016</v>
      </c>
      <c r="AQ538" s="1">
        <f t="shared" si="105"/>
        <v>5.8071359848033133E-2</v>
      </c>
      <c r="AR538" s="1">
        <f t="shared" si="106"/>
        <v>5.8071359848033133E-2</v>
      </c>
      <c r="AS538" s="1">
        <f t="shared" si="107"/>
        <v>5.2527556717088836E-2</v>
      </c>
    </row>
    <row r="539" spans="35:45" ht="11.25" customHeight="1" x14ac:dyDescent="0.2">
      <c r="AI539" s="3" t="e">
        <f t="shared" si="100"/>
        <v>#N/A</v>
      </c>
      <c r="AJ539" s="3" t="e">
        <f t="shared" si="101"/>
        <v>#N/A</v>
      </c>
      <c r="AK539" s="1">
        <f t="shared" si="97"/>
        <v>79.500000000000156</v>
      </c>
      <c r="AL539" s="1">
        <f t="shared" si="98"/>
        <v>1.8657438194993536</v>
      </c>
      <c r="AM539" s="1">
        <f t="shared" si="102"/>
        <v>2.8680064226016544E-2</v>
      </c>
      <c r="AN539" s="1">
        <f t="shared" si="103"/>
        <v>2.8680064226016544E-2</v>
      </c>
      <c r="AO539" s="1">
        <f t="shared" si="104"/>
        <v>2.8604687642532579E-2</v>
      </c>
      <c r="AP539" s="1">
        <f t="shared" si="99"/>
        <v>1.4086509577113602</v>
      </c>
      <c r="AQ539" s="1">
        <f t="shared" si="105"/>
        <v>5.8765937153704151E-2</v>
      </c>
      <c r="AR539" s="1">
        <f t="shared" si="106"/>
        <v>5.8765937153704151E-2</v>
      </c>
      <c r="AS539" s="1">
        <f t="shared" si="107"/>
        <v>5.3155825951932197E-2</v>
      </c>
    </row>
    <row r="540" spans="35:45" ht="11.25" customHeight="1" x14ac:dyDescent="0.2">
      <c r="AI540" s="3" t="e">
        <f t="shared" si="100"/>
        <v>#N/A</v>
      </c>
      <c r="AJ540" s="3" t="e">
        <f t="shared" si="101"/>
        <v>#N/A</v>
      </c>
      <c r="AK540" s="1">
        <f t="shared" si="97"/>
        <v>79.650000000000162</v>
      </c>
      <c r="AL540" s="1">
        <f t="shared" si="98"/>
        <v>1.8752306524798592</v>
      </c>
      <c r="AM540" s="1">
        <f t="shared" si="102"/>
        <v>2.8205036104456127E-2</v>
      </c>
      <c r="AN540" s="1">
        <f t="shared" si="103"/>
        <v>2.8205036104456127E-2</v>
      </c>
      <c r="AO540" s="1">
        <f t="shared" si="104"/>
        <v>2.8130907983896787E-2</v>
      </c>
      <c r="AP540" s="1">
        <f t="shared" si="99"/>
        <v>1.4000265640927188</v>
      </c>
      <c r="AQ540" s="1">
        <f t="shared" si="105"/>
        <v>5.9464923217178445E-2</v>
      </c>
      <c r="AR540" s="1">
        <f t="shared" si="106"/>
        <v>5.9464923217178445E-2</v>
      </c>
      <c r="AS540" s="1">
        <f t="shared" si="107"/>
        <v>5.3788083060938817E-2</v>
      </c>
    </row>
    <row r="541" spans="35:45" ht="11.25" customHeight="1" x14ac:dyDescent="0.2">
      <c r="AI541" s="3" t="e">
        <f t="shared" si="100"/>
        <v>#N/A</v>
      </c>
      <c r="AJ541" s="3" t="e">
        <f t="shared" si="101"/>
        <v>#N/A</v>
      </c>
      <c r="AK541" s="1">
        <f t="shared" si="97"/>
        <v>79.800000000000168</v>
      </c>
      <c r="AL541" s="1">
        <f t="shared" si="98"/>
        <v>1.8847174854603648</v>
      </c>
      <c r="AM541" s="1">
        <f t="shared" si="102"/>
        <v>2.773591580407242E-2</v>
      </c>
      <c r="AN541" s="1">
        <f t="shared" si="103"/>
        <v>2.773591580407242E-2</v>
      </c>
      <c r="AO541" s="1">
        <f t="shared" si="104"/>
        <v>2.7663020619576515E-2</v>
      </c>
      <c r="AP541" s="1">
        <f t="shared" si="99"/>
        <v>1.3914021704740775</v>
      </c>
      <c r="AQ541" s="1">
        <f t="shared" si="105"/>
        <v>6.0168271026062037E-2</v>
      </c>
      <c r="AR541" s="1">
        <f t="shared" si="106"/>
        <v>6.0168271026062037E-2</v>
      </c>
      <c r="AS541" s="1">
        <f t="shared" si="107"/>
        <v>5.4424285519769723E-2</v>
      </c>
    </row>
    <row r="542" spans="35:45" ht="11.25" customHeight="1" x14ac:dyDescent="0.2">
      <c r="AI542" s="3" t="e">
        <f t="shared" si="100"/>
        <v>#N/A</v>
      </c>
      <c r="AJ542" s="3" t="e">
        <f t="shared" si="101"/>
        <v>#N/A</v>
      </c>
      <c r="AK542" s="1">
        <f t="shared" ref="AK542:AK605" si="108">AK541+$AJ$4</f>
        <v>79.950000000000173</v>
      </c>
      <c r="AL542" s="1">
        <f t="shared" si="98"/>
        <v>1.8942043184408703</v>
      </c>
      <c r="AM542" s="1">
        <f t="shared" si="102"/>
        <v>2.7272675983125438E-2</v>
      </c>
      <c r="AN542" s="1">
        <f t="shared" si="103"/>
        <v>2.7272675983125438E-2</v>
      </c>
      <c r="AO542" s="1">
        <f t="shared" si="104"/>
        <v>2.7200998279690997E-2</v>
      </c>
      <c r="AP542" s="1">
        <f t="shared" si="99"/>
        <v>1.3827777768554361</v>
      </c>
      <c r="AQ542" s="1">
        <f t="shared" si="105"/>
        <v>6.087593192760643E-2</v>
      </c>
      <c r="AR542" s="1">
        <f t="shared" si="106"/>
        <v>6.087593192760643E-2</v>
      </c>
      <c r="AS542" s="1">
        <f t="shared" si="107"/>
        <v>5.506438932032845E-2</v>
      </c>
    </row>
    <row r="543" spans="35:45" ht="11.25" customHeight="1" x14ac:dyDescent="0.2">
      <c r="AI543" s="3" t="e">
        <f t="shared" si="100"/>
        <v>#N/A</v>
      </c>
      <c r="AJ543" s="3" t="e">
        <f t="shared" si="101"/>
        <v>#N/A</v>
      </c>
      <c r="AK543" s="1">
        <f t="shared" si="108"/>
        <v>80.100000000000179</v>
      </c>
      <c r="AL543" s="1">
        <f t="shared" si="98"/>
        <v>1.9036911514213757</v>
      </c>
      <c r="AM543" s="1">
        <f t="shared" si="102"/>
        <v>2.6815288265147341E-2</v>
      </c>
      <c r="AN543" s="1">
        <f t="shared" si="103"/>
        <v>2.6815288265147341E-2</v>
      </c>
      <c r="AO543" s="1">
        <f t="shared" si="104"/>
        <v>2.6744812662351066E-2</v>
      </c>
      <c r="AP543" s="1">
        <f t="shared" si="99"/>
        <v>1.3741533832367947</v>
      </c>
      <c r="AQ543" s="1">
        <f t="shared" si="105"/>
        <v>6.1587855634814836E-2</v>
      </c>
      <c r="AR543" s="1">
        <f t="shared" si="106"/>
        <v>6.1587855634814836E-2</v>
      </c>
      <c r="AS543" s="1">
        <f t="shared" si="107"/>
        <v>5.5708348976284336E-2</v>
      </c>
    </row>
    <row r="544" spans="35:45" ht="11.25" customHeight="1" x14ac:dyDescent="0.2">
      <c r="AI544" s="3" t="e">
        <f t="shared" si="100"/>
        <v>#N/A</v>
      </c>
      <c r="AJ544" s="3" t="e">
        <f t="shared" si="101"/>
        <v>#N/A</v>
      </c>
      <c r="AK544" s="1">
        <f t="shared" si="108"/>
        <v>80.250000000000185</v>
      </c>
      <c r="AL544" s="1">
        <f t="shared" si="98"/>
        <v>1.9131779844018812</v>
      </c>
      <c r="AM544" s="1">
        <f t="shared" si="102"/>
        <v>2.6363723258926441E-2</v>
      </c>
      <c r="AN544" s="1">
        <f t="shared" si="103"/>
        <v>2.6363723258926441E-2</v>
      </c>
      <c r="AO544" s="1">
        <f t="shared" si="104"/>
        <v>2.6294434453590646E-2</v>
      </c>
      <c r="AP544" s="1">
        <f t="shared" si="99"/>
        <v>1.3655289896181535</v>
      </c>
      <c r="AQ544" s="1">
        <f t="shared" si="105"/>
        <v>6.2303990108203422E-2</v>
      </c>
      <c r="AR544" s="1">
        <f t="shared" si="106"/>
        <v>6.2303990108203422E-2</v>
      </c>
      <c r="AS544" s="1">
        <f t="shared" si="107"/>
        <v>5.6356117416121475E-2</v>
      </c>
    </row>
    <row r="545" spans="35:45" ht="11.25" customHeight="1" x14ac:dyDescent="0.2">
      <c r="AI545" s="3" t="e">
        <f t="shared" si="100"/>
        <v>#N/A</v>
      </c>
      <c r="AJ545" s="3" t="e">
        <f t="shared" si="101"/>
        <v>#N/A</v>
      </c>
      <c r="AK545" s="1">
        <f t="shared" si="108"/>
        <v>80.40000000000019</v>
      </c>
      <c r="AL545" s="1">
        <f t="shared" si="98"/>
        <v>1.9226648173823868</v>
      </c>
      <c r="AM545" s="1">
        <f t="shared" si="102"/>
        <v>2.5917950641496379E-2</v>
      </c>
      <c r="AN545" s="1">
        <f t="shared" si="103"/>
        <v>2.5917950641496379E-2</v>
      </c>
      <c r="AO545" s="1">
        <f t="shared" si="104"/>
        <v>2.5849833410137815E-2</v>
      </c>
      <c r="AP545" s="1">
        <f t="shared" si="99"/>
        <v>1.3569045959995121</v>
      </c>
      <c r="AQ545" s="1">
        <f t="shared" si="105"/>
        <v>6.3024281776735691E-2</v>
      </c>
      <c r="AR545" s="1">
        <f t="shared" si="106"/>
        <v>6.3024281776735691E-2</v>
      </c>
      <c r="AS545" s="1">
        <f t="shared" si="107"/>
        <v>5.7007646182981521E-2</v>
      </c>
    </row>
    <row r="546" spans="35:45" ht="11.25" customHeight="1" x14ac:dyDescent="0.2">
      <c r="AI546" s="3" t="e">
        <f t="shared" si="100"/>
        <v>#N/A</v>
      </c>
      <c r="AJ546" s="3" t="e">
        <f t="shared" si="101"/>
        <v>#N/A</v>
      </c>
      <c r="AK546" s="1">
        <f t="shared" si="108"/>
        <v>80.550000000000196</v>
      </c>
      <c r="AL546" s="1">
        <f t="shared" si="98"/>
        <v>1.9321516503628922</v>
      </c>
      <c r="AM546" s="1">
        <f t="shared" si="102"/>
        <v>2.5477939114559867E-2</v>
      </c>
      <c r="AN546" s="1">
        <f t="shared" si="103"/>
        <v>2.5477939114559867E-2</v>
      </c>
      <c r="AO546" s="1">
        <f t="shared" si="104"/>
        <v>2.541097831595308E-2</v>
      </c>
      <c r="AP546" s="1">
        <f t="shared" si="99"/>
        <v>1.3482802023808707</v>
      </c>
      <c r="AQ546" s="1">
        <f t="shared" si="105"/>
        <v>6.3748675280805855E-2</v>
      </c>
      <c r="AR546" s="1">
        <f t="shared" si="106"/>
        <v>6.3748675280805855E-2</v>
      </c>
      <c r="AS546" s="1">
        <f t="shared" si="107"/>
        <v>5.766288520218326E-2</v>
      </c>
    </row>
    <row r="547" spans="35:45" ht="11.25" customHeight="1" x14ac:dyDescent="0.2">
      <c r="AI547" s="3" t="e">
        <f t="shared" si="100"/>
        <v>#N/A</v>
      </c>
      <c r="AJ547" s="3" t="e">
        <f t="shared" si="101"/>
        <v>#N/A</v>
      </c>
      <c r="AK547" s="1">
        <f t="shared" si="108"/>
        <v>80.700000000000202</v>
      </c>
      <c r="AL547" s="1">
        <f t="shared" si="98"/>
        <v>1.9416384833433977</v>
      </c>
      <c r="AM547" s="1">
        <f t="shared" si="102"/>
        <v>2.5043656511902768E-2</v>
      </c>
      <c r="AN547" s="1">
        <f t="shared" si="103"/>
        <v>2.5043656511902768E-2</v>
      </c>
      <c r="AO547" s="1">
        <f t="shared" si="104"/>
        <v>2.4977837089361143E-2</v>
      </c>
      <c r="AP547" s="1">
        <f t="shared" si="99"/>
        <v>1.3396558087622292</v>
      </c>
      <c r="AQ547" s="1">
        <f t="shared" si="105"/>
        <v>6.4477113632110949E-2</v>
      </c>
      <c r="AR547" s="1">
        <f t="shared" si="106"/>
        <v>6.4477113632110949E-2</v>
      </c>
      <c r="AS547" s="1">
        <f t="shared" si="107"/>
        <v>5.8321782925832434E-2</v>
      </c>
    </row>
    <row r="548" spans="35:45" ht="11.25" customHeight="1" x14ac:dyDescent="0.2">
      <c r="AI548" s="3" t="e">
        <f t="shared" si="100"/>
        <v>#N/A</v>
      </c>
      <c r="AJ548" s="3" t="e">
        <f t="shared" si="101"/>
        <v>#N/A</v>
      </c>
      <c r="AK548" s="1">
        <f t="shared" si="108"/>
        <v>80.850000000000207</v>
      </c>
      <c r="AL548" s="1">
        <f t="shared" si="98"/>
        <v>1.9511253163239033</v>
      </c>
      <c r="AM548" s="1">
        <f t="shared" si="102"/>
        <v>2.4615069757483177E-2</v>
      </c>
      <c r="AN548" s="1">
        <f t="shared" si="103"/>
        <v>2.4615069757483177E-2</v>
      </c>
      <c r="AO548" s="1">
        <f t="shared" si="104"/>
        <v>2.4550376741250129E-2</v>
      </c>
      <c r="AP548" s="1">
        <f t="shared" si="99"/>
        <v>1.331031415143588</v>
      </c>
      <c r="AQ548" s="1">
        <f t="shared" si="105"/>
        <v>6.5209538165911241E-2</v>
      </c>
      <c r="AR548" s="1">
        <f t="shared" si="106"/>
        <v>6.5209538165911241E-2</v>
      </c>
      <c r="AS548" s="1">
        <f t="shared" si="107"/>
        <v>5.8984286289639663E-2</v>
      </c>
    </row>
    <row r="549" spans="35:45" ht="11.25" customHeight="1" x14ac:dyDescent="0.2">
      <c r="AI549" s="3" t="e">
        <f t="shared" si="100"/>
        <v>#N/A</v>
      </c>
      <c r="AJ549" s="3" t="e">
        <f t="shared" si="101"/>
        <v>#N/A</v>
      </c>
      <c r="AK549" s="1">
        <f t="shared" si="108"/>
        <v>81.000000000000213</v>
      </c>
      <c r="AL549" s="1">
        <f t="shared" si="98"/>
        <v>1.9606121493044086</v>
      </c>
      <c r="AM549" s="1">
        <f t="shared" si="102"/>
        <v>2.419214494911448E-2</v>
      </c>
      <c r="AN549" s="1">
        <f t="shared" si="103"/>
        <v>2.419214494911448E-2</v>
      </c>
      <c r="AO549" s="1">
        <f t="shared" si="104"/>
        <v>2.412856345853473E-2</v>
      </c>
      <c r="AP549" s="1">
        <f t="shared" si="99"/>
        <v>1.3224070215249466</v>
      </c>
      <c r="AQ549" s="1">
        <f t="shared" si="105"/>
        <v>6.5945888443885714E-2</v>
      </c>
      <c r="AR549" s="1">
        <f t="shared" si="106"/>
        <v>6.5945888443885714E-2</v>
      </c>
      <c r="AS549" s="1">
        <f t="shared" si="107"/>
        <v>5.9650340625049862E-2</v>
      </c>
    </row>
    <row r="550" spans="35:45" ht="11.25" customHeight="1" x14ac:dyDescent="0.2">
      <c r="AI550" s="3" t="e">
        <f t="shared" si="100"/>
        <v>#N/A</v>
      </c>
      <c r="AJ550" s="3" t="e">
        <f t="shared" si="101"/>
        <v>#N/A</v>
      </c>
      <c r="AK550" s="1">
        <f t="shared" si="108"/>
        <v>81.150000000000219</v>
      </c>
      <c r="AL550" s="1">
        <f t="shared" si="98"/>
        <v>1.9700989822849142</v>
      </c>
      <c r="AM550" s="1">
        <f t="shared" si="102"/>
        <v>2.3774847354579576E-2</v>
      </c>
      <c r="AN550" s="1">
        <f t="shared" si="103"/>
        <v>2.3774847354579576E-2</v>
      </c>
      <c r="AO550" s="1">
        <f t="shared" si="104"/>
        <v>2.3712362600280618E-2</v>
      </c>
      <c r="AP550" s="1">
        <f t="shared" si="99"/>
        <v>1.3137826279063052</v>
      </c>
      <c r="AQ550" s="1">
        <f t="shared" si="105"/>
        <v>6.6686102436763761E-2</v>
      </c>
      <c r="AR550" s="1">
        <f t="shared" si="106"/>
        <v>6.6686102436763761E-2</v>
      </c>
      <c r="AS550" s="1">
        <f t="shared" si="107"/>
        <v>6.0319889824438921E-2</v>
      </c>
    </row>
    <row r="551" spans="35:45" ht="11.25" customHeight="1" x14ac:dyDescent="0.2">
      <c r="AI551" s="3" t="e">
        <f t="shared" si="100"/>
        <v>#N/A</v>
      </c>
      <c r="AJ551" s="3" t="e">
        <f t="shared" si="101"/>
        <v>#N/A</v>
      </c>
      <c r="AK551" s="1">
        <f t="shared" si="108"/>
        <v>81.300000000000225</v>
      </c>
      <c r="AL551" s="1">
        <f t="shared" si="98"/>
        <v>1.9795858152654198</v>
      </c>
      <c r="AM551" s="1">
        <f t="shared" si="102"/>
        <v>2.3363141464644022E-2</v>
      </c>
      <c r="AN551" s="1">
        <f t="shared" si="103"/>
        <v>2.3363141464644022E-2</v>
      </c>
      <c r="AO551" s="1">
        <f t="shared" si="104"/>
        <v>2.3301738750578272E-2</v>
      </c>
      <c r="AP551" s="1">
        <f t="shared" si="99"/>
        <v>1.3051582342876638</v>
      </c>
      <c r="AQ551" s="1">
        <f t="shared" si="105"/>
        <v>6.7430116358346837E-2</v>
      </c>
      <c r="AR551" s="1">
        <f t="shared" si="106"/>
        <v>6.7430116358346837E-2</v>
      </c>
      <c r="AS551" s="1">
        <f t="shared" si="107"/>
        <v>6.0992876190980538E-2</v>
      </c>
    </row>
    <row r="552" spans="35:45" ht="11.25" customHeight="1" x14ac:dyDescent="0.2">
      <c r="AI552" s="3" t="e">
        <f t="shared" si="100"/>
        <v>#N/A</v>
      </c>
      <c r="AJ552" s="3" t="e">
        <f t="shared" si="101"/>
        <v>#N/A</v>
      </c>
      <c r="AK552" s="1">
        <f t="shared" si="108"/>
        <v>81.45000000000023</v>
      </c>
      <c r="AL552" s="1">
        <f t="shared" si="98"/>
        <v>1.9890726482459251</v>
      </c>
      <c r="AM552" s="1">
        <f t="shared" si="102"/>
        <v>2.2956991010125716E-2</v>
      </c>
      <c r="AN552" s="1">
        <f t="shared" si="103"/>
        <v>2.2956991010125716E-2</v>
      </c>
      <c r="AO552" s="1">
        <f t="shared" si="104"/>
        <v>2.28966557355678E-2</v>
      </c>
      <c r="AP552" s="1">
        <f t="shared" si="99"/>
        <v>1.2965338406690226</v>
      </c>
      <c r="AQ552" s="1">
        <f t="shared" si="105"/>
        <v>6.81778647115827E-2</v>
      </c>
      <c r="AR552" s="1">
        <f t="shared" si="106"/>
        <v>6.81778647115827E-2</v>
      </c>
      <c r="AS552" s="1">
        <f t="shared" si="107"/>
        <v>6.1669240480321998E-2</v>
      </c>
    </row>
    <row r="553" spans="35:45" ht="11.25" customHeight="1" x14ac:dyDescent="0.2">
      <c r="AI553" s="3" t="e">
        <f t="shared" si="100"/>
        <v>#N/A</v>
      </c>
      <c r="AJ553" s="3" t="e">
        <f t="shared" si="101"/>
        <v>#N/A</v>
      </c>
      <c r="AK553" s="1">
        <f t="shared" si="108"/>
        <v>81.600000000000236</v>
      </c>
      <c r="AL553" s="1">
        <f t="shared" si="98"/>
        <v>1.9985594812264307</v>
      </c>
      <c r="AM553" s="1">
        <f t="shared" si="102"/>
        <v>2.2556358968556234E-2</v>
      </c>
      <c r="AN553" s="1">
        <f t="shared" si="103"/>
        <v>2.2556358968556234E-2</v>
      </c>
      <c r="AO553" s="1">
        <f t="shared" si="104"/>
        <v>2.2497076630082762E-2</v>
      </c>
      <c r="AP553" s="1">
        <f t="shared" si="99"/>
        <v>1.2879094470503811</v>
      </c>
      <c r="AQ553" s="1">
        <f t="shared" si="105"/>
        <v>6.8929280384044653E-2</v>
      </c>
      <c r="AR553" s="1">
        <f t="shared" si="106"/>
        <v>6.8929280384044653E-2</v>
      </c>
      <c r="AS553" s="1">
        <f t="shared" si="107"/>
        <v>6.2348921986948386E-2</v>
      </c>
    </row>
    <row r="554" spans="35:45" ht="11.25" customHeight="1" x14ac:dyDescent="0.2">
      <c r="AI554" s="3" t="e">
        <f t="shared" si="100"/>
        <v>#N/A</v>
      </c>
      <c r="AJ554" s="3" t="e">
        <f t="shared" si="101"/>
        <v>#N/A</v>
      </c>
      <c r="AK554" s="1">
        <f t="shared" si="108"/>
        <v>81.750000000000242</v>
      </c>
      <c r="AL554" s="1">
        <f t="shared" si="98"/>
        <v>2.0080463142069362</v>
      </c>
      <c r="AM554" s="1">
        <f t="shared" si="102"/>
        <v>2.2161207655913007E-2</v>
      </c>
      <c r="AN554" s="1">
        <f t="shared" si="103"/>
        <v>2.2161207655913007E-2</v>
      </c>
      <c r="AO554" s="1">
        <f t="shared" si="104"/>
        <v>2.2102963849141261E-2</v>
      </c>
      <c r="AP554" s="1">
        <f t="shared" si="99"/>
        <v>1.2792850534317397</v>
      </c>
      <c r="AQ554" s="1">
        <f t="shared" si="105"/>
        <v>6.9684294448091308E-2</v>
      </c>
      <c r="AR554" s="1">
        <f t="shared" si="106"/>
        <v>6.9684294448091308E-2</v>
      </c>
      <c r="AS554" s="1">
        <f t="shared" si="107"/>
        <v>6.3031858363420276E-2</v>
      </c>
    </row>
    <row r="555" spans="35:45" ht="11.25" customHeight="1" x14ac:dyDescent="0.2">
      <c r="AI555" s="3" t="e">
        <f t="shared" si="100"/>
        <v>#N/A</v>
      </c>
      <c r="AJ555" s="3" t="e">
        <f t="shared" si="101"/>
        <v>#N/A</v>
      </c>
      <c r="AK555" s="1">
        <f t="shared" si="108"/>
        <v>81.900000000000247</v>
      </c>
      <c r="AL555" s="1">
        <f t="shared" si="98"/>
        <v>2.0175331471874416</v>
      </c>
      <c r="AM555" s="1">
        <f t="shared" si="102"/>
        <v>2.1771498683181845E-2</v>
      </c>
      <c r="AN555" s="1">
        <f t="shared" si="103"/>
        <v>2.1771498683181845E-2</v>
      </c>
      <c r="AO555" s="1">
        <f t="shared" si="104"/>
        <v>2.171427910462263E-2</v>
      </c>
      <c r="AP555" s="1">
        <f t="shared" si="99"/>
        <v>1.2706606598130985</v>
      </c>
      <c r="AQ555" s="1">
        <f t="shared" si="105"/>
        <v>7.0442836305195641E-2</v>
      </c>
      <c r="AR555" s="1">
        <f t="shared" si="106"/>
        <v>7.0442836305195641E-2</v>
      </c>
      <c r="AS555" s="1">
        <f t="shared" si="107"/>
        <v>6.371798575092423E-2</v>
      </c>
    </row>
    <row r="556" spans="35:45" ht="11.25" customHeight="1" x14ac:dyDescent="0.2">
      <c r="AI556" s="3" t="e">
        <f t="shared" si="100"/>
        <v>#N/A</v>
      </c>
      <c r="AJ556" s="3" t="e">
        <f t="shared" si="101"/>
        <v>#N/A</v>
      </c>
      <c r="AK556" s="1">
        <f t="shared" si="108"/>
        <v>82.050000000000253</v>
      </c>
      <c r="AL556" s="1">
        <f t="shared" si="98"/>
        <v>2.0270199801679474</v>
      </c>
      <c r="AM556" s="1">
        <f t="shared" si="102"/>
        <v>2.1387193028521434E-2</v>
      </c>
      <c r="AN556" s="1">
        <f t="shared" si="103"/>
        <v>2.1387193028521434E-2</v>
      </c>
      <c r="AO556" s="1">
        <f t="shared" si="104"/>
        <v>2.1330983477242271E-2</v>
      </c>
      <c r="AP556" s="1">
        <f t="shared" si="99"/>
        <v>1.2620362661944571</v>
      </c>
      <c r="AQ556" s="1">
        <f t="shared" si="105"/>
        <v>7.12048336870552E-2</v>
      </c>
      <c r="AR556" s="1">
        <f t="shared" si="106"/>
        <v>7.12048336870552E-2</v>
      </c>
      <c r="AS556" s="1">
        <f t="shared" si="107"/>
        <v>6.4407238780277168E-2</v>
      </c>
    </row>
    <row r="557" spans="35:45" ht="11.25" customHeight="1" x14ac:dyDescent="0.2">
      <c r="AI557" s="3" t="e">
        <f t="shared" si="100"/>
        <v>#N/A</v>
      </c>
      <c r="AJ557" s="3" t="e">
        <f t="shared" si="101"/>
        <v>#N/A</v>
      </c>
      <c r="AK557" s="1">
        <f t="shared" si="108"/>
        <v>82.200000000000259</v>
      </c>
      <c r="AL557" s="1">
        <f t="shared" si="98"/>
        <v>2.0365068131484527</v>
      </c>
      <c r="AM557" s="1">
        <f t="shared" si="102"/>
        <v>2.100825104683901E-2</v>
      </c>
      <c r="AN557" s="1">
        <f t="shared" si="103"/>
        <v>2.100825104683901E-2</v>
      </c>
      <c r="AO557" s="1">
        <f t="shared" si="104"/>
        <v>2.0953037426102147E-2</v>
      </c>
      <c r="AP557" s="1">
        <f t="shared" si="99"/>
        <v>1.2534118725758157</v>
      </c>
      <c r="AQ557" s="1">
        <f t="shared" si="105"/>
        <v>7.1970212593419611E-2</v>
      </c>
      <c r="AR557" s="1">
        <f t="shared" si="106"/>
        <v>7.1970212593419611E-2</v>
      </c>
      <c r="AS557" s="1">
        <f t="shared" si="107"/>
        <v>6.5099550515689053E-2</v>
      </c>
    </row>
    <row r="558" spans="35:45" ht="11.25" customHeight="1" x14ac:dyDescent="0.2">
      <c r="AI558" s="3" t="e">
        <f t="shared" si="100"/>
        <v>#N/A</v>
      </c>
      <c r="AJ558" s="3" t="e">
        <f t="shared" si="101"/>
        <v>#N/A</v>
      </c>
      <c r="AK558" s="1">
        <f t="shared" si="108"/>
        <v>82.350000000000264</v>
      </c>
      <c r="AL558" s="1">
        <f t="shared" si="98"/>
        <v>2.0459936461289581</v>
      </c>
      <c r="AM558" s="1">
        <f t="shared" si="102"/>
        <v>2.0634632499072492E-2</v>
      </c>
      <c r="AN558" s="1">
        <f t="shared" si="103"/>
        <v>2.0634632499072492E-2</v>
      </c>
      <c r="AO558" s="1">
        <f t="shared" si="104"/>
        <v>2.0580400817895979E-2</v>
      </c>
      <c r="AP558" s="1">
        <f t="shared" si="99"/>
        <v>1.2447874789571742</v>
      </c>
      <c r="AQ558" s="1">
        <f t="shared" si="105"/>
        <v>7.2738897289315027E-2</v>
      </c>
      <c r="AR558" s="1">
        <f t="shared" si="106"/>
        <v>7.2738897289315027E-2</v>
      </c>
      <c r="AS558" s="1">
        <f t="shared" si="107"/>
        <v>6.5794852452252403E-2</v>
      </c>
    </row>
    <row r="559" spans="35:45" ht="11.25" customHeight="1" x14ac:dyDescent="0.2">
      <c r="AI559" s="3" t="e">
        <f t="shared" si="100"/>
        <v>#N/A</v>
      </c>
      <c r="AJ559" s="3" t="e">
        <f t="shared" si="101"/>
        <v>#N/A</v>
      </c>
      <c r="AK559" s="1">
        <f t="shared" si="108"/>
        <v>82.50000000000027</v>
      </c>
      <c r="AL559" s="1">
        <f t="shared" si="98"/>
        <v>2.0554804791094639</v>
      </c>
      <c r="AM559" s="1">
        <f t="shared" si="102"/>
        <v>2.0266296592991173E-2</v>
      </c>
      <c r="AN559" s="1">
        <f t="shared" si="103"/>
        <v>2.0266296592991173E-2</v>
      </c>
      <c r="AO559" s="1">
        <f t="shared" si="104"/>
        <v>2.0213032967602684E-2</v>
      </c>
      <c r="AP559" s="1">
        <f t="shared" si="99"/>
        <v>1.236163085338533</v>
      </c>
      <c r="AQ559" s="1">
        <f t="shared" si="105"/>
        <v>7.3510810402188639E-2</v>
      </c>
      <c r="AR559" s="1">
        <f t="shared" si="106"/>
        <v>7.3510810402188639E-2</v>
      </c>
      <c r="AS559" s="1">
        <f t="shared" si="107"/>
        <v>6.6493074603812832E-2</v>
      </c>
    </row>
    <row r="560" spans="35:45" ht="11.25" customHeight="1" x14ac:dyDescent="0.2">
      <c r="AI560" s="3" t="e">
        <f t="shared" si="100"/>
        <v>#N/A</v>
      </c>
      <c r="AJ560" s="3" t="e">
        <f t="shared" si="101"/>
        <v>#N/A</v>
      </c>
      <c r="AK560" s="1">
        <f t="shared" si="108"/>
        <v>82.650000000000276</v>
      </c>
      <c r="AL560" s="1">
        <f t="shared" si="98"/>
        <v>2.0649673120899692</v>
      </c>
      <c r="AM560" s="1">
        <f t="shared" si="102"/>
        <v>1.9903201985138619E-2</v>
      </c>
      <c r="AN560" s="1">
        <f t="shared" si="103"/>
        <v>1.9903201985138619E-2</v>
      </c>
      <c r="AO560" s="1">
        <f t="shared" si="104"/>
        <v>1.9850892640424177E-2</v>
      </c>
      <c r="AP560" s="1">
        <f t="shared" si="99"/>
        <v>1.2275386917198916</v>
      </c>
      <c r="AQ560" s="1">
        <f t="shared" si="105"/>
        <v>7.4285872848633958E-2</v>
      </c>
      <c r="AR560" s="1">
        <f t="shared" si="106"/>
        <v>7.4285872848633958E-2</v>
      </c>
      <c r="AS560" s="1">
        <f t="shared" si="107"/>
        <v>6.7194145436689515E-2</v>
      </c>
    </row>
    <row r="561" spans="35:45" ht="11.25" customHeight="1" x14ac:dyDescent="0.2">
      <c r="AI561" s="3" t="e">
        <f t="shared" si="100"/>
        <v>#N/A</v>
      </c>
      <c r="AJ561" s="3" t="e">
        <f t="shared" si="101"/>
        <v>#N/A</v>
      </c>
      <c r="AK561" s="1">
        <f t="shared" si="108"/>
        <v>82.800000000000281</v>
      </c>
      <c r="AL561" s="1">
        <f t="shared" si="98"/>
        <v>2.0744541450704745</v>
      </c>
      <c r="AM561" s="1">
        <f t="shared" si="102"/>
        <v>1.9545306831764142E-2</v>
      </c>
      <c r="AN561" s="1">
        <f t="shared" si="103"/>
        <v>1.9545306831764142E-2</v>
      </c>
      <c r="AO561" s="1">
        <f t="shared" si="104"/>
        <v>1.9493938102582993E-2</v>
      </c>
      <c r="AP561" s="1">
        <f t="shared" si="99"/>
        <v>1.2189142981012502</v>
      </c>
      <c r="AQ561" s="1">
        <f t="shared" si="105"/>
        <v>7.5064003727254303E-2</v>
      </c>
      <c r="AR561" s="1">
        <f t="shared" si="106"/>
        <v>7.5064003727254303E-2</v>
      </c>
      <c r="AS561" s="1">
        <f t="shared" si="107"/>
        <v>6.7897991772766536E-2</v>
      </c>
    </row>
    <row r="562" spans="35:45" ht="11.25" customHeight="1" x14ac:dyDescent="0.2">
      <c r="AI562" s="3" t="e">
        <f t="shared" si="100"/>
        <v>#N/A</v>
      </c>
      <c r="AJ562" s="3" t="e">
        <f t="shared" si="101"/>
        <v>#N/A</v>
      </c>
      <c r="AK562" s="1">
        <f t="shared" si="108"/>
        <v>82.950000000000287</v>
      </c>
      <c r="AL562" s="1">
        <f t="shared" si="98"/>
        <v>2.0839409780509803</v>
      </c>
      <c r="AM562" s="1">
        <f t="shared" si="102"/>
        <v>1.9192568792569809E-2</v>
      </c>
      <c r="AN562" s="1">
        <f t="shared" si="103"/>
        <v>1.9192568792569809E-2</v>
      </c>
      <c r="AO562" s="1">
        <f t="shared" si="104"/>
        <v>1.9142127125059437E-2</v>
      </c>
      <c r="AP562" s="1">
        <f t="shared" si="99"/>
        <v>1.2102899044826088</v>
      </c>
      <c r="AQ562" s="1">
        <f t="shared" si="105"/>
        <v>7.5845120663387E-2</v>
      </c>
      <c r="AR562" s="1">
        <f t="shared" si="106"/>
        <v>7.5845120663387E-2</v>
      </c>
      <c r="AS562" s="1">
        <f t="shared" si="107"/>
        <v>6.8604539101307843E-2</v>
      </c>
    </row>
    <row r="563" spans="35:45" ht="11.25" customHeight="1" x14ac:dyDescent="0.2">
      <c r="AI563" s="3" t="e">
        <f t="shared" si="100"/>
        <v>#N/A</v>
      </c>
      <c r="AJ563" s="3" t="e">
        <f t="shared" si="101"/>
        <v>#N/A</v>
      </c>
      <c r="AK563" s="1">
        <f t="shared" si="108"/>
        <v>83.100000000000293</v>
      </c>
      <c r="AL563" s="1">
        <f t="shared" si="98"/>
        <v>2.0934278110314857</v>
      </c>
      <c r="AM563" s="1">
        <f t="shared" si="102"/>
        <v>1.8844945074703023E-2</v>
      </c>
      <c r="AN563" s="1">
        <f t="shared" si="103"/>
        <v>1.8844945074703023E-2</v>
      </c>
      <c r="AO563" s="1">
        <f t="shared" si="104"/>
        <v>1.8795417027468543E-2</v>
      </c>
      <c r="AP563" s="1">
        <f t="shared" si="99"/>
        <v>1.2016655108639676</v>
      </c>
      <c r="AQ563" s="1">
        <f t="shared" si="105"/>
        <v>7.6629139462158768E-2</v>
      </c>
      <c r="AR563" s="1">
        <f t="shared" si="106"/>
        <v>7.6629139462158768E-2</v>
      </c>
      <c r="AS563" s="1">
        <f t="shared" si="107"/>
        <v>6.9313711265133846E-2</v>
      </c>
    </row>
    <row r="564" spans="35:45" ht="11.25" customHeight="1" x14ac:dyDescent="0.2">
      <c r="AI564" s="3" t="e">
        <f t="shared" si="100"/>
        <v>#N/A</v>
      </c>
      <c r="AJ564" s="3" t="e">
        <f t="shared" si="101"/>
        <v>#N/A</v>
      </c>
      <c r="AK564" s="1">
        <f t="shared" si="108"/>
        <v>83.250000000000298</v>
      </c>
      <c r="AL564" s="1">
        <f t="shared" si="98"/>
        <v>2.102914644011991</v>
      </c>
      <c r="AM564" s="1">
        <f t="shared" si="102"/>
        <v>1.8502392448160872E-2</v>
      </c>
      <c r="AN564" s="1">
        <f t="shared" si="103"/>
        <v>1.8502392448160872E-2</v>
      </c>
      <c r="AO564" s="1">
        <f t="shared" si="104"/>
        <v>1.8453764693423951E-2</v>
      </c>
      <c r="AP564" s="1">
        <f t="shared" si="99"/>
        <v>1.1930411172453261</v>
      </c>
      <c r="AQ564" s="1">
        <f t="shared" si="105"/>
        <v>7.7415974201189286E-2</v>
      </c>
      <c r="AR564" s="1">
        <f t="shared" si="106"/>
        <v>7.7415974201189286E-2</v>
      </c>
      <c r="AS564" s="1">
        <f t="shared" si="107"/>
        <v>7.0025430544474965E-2</v>
      </c>
    </row>
    <row r="565" spans="35:45" ht="11.25" customHeight="1" x14ac:dyDescent="0.2">
      <c r="AI565" s="3" t="e">
        <f t="shared" si="100"/>
        <v>#N/A</v>
      </c>
      <c r="AJ565" s="3" t="e">
        <f t="shared" si="101"/>
        <v>#N/A</v>
      </c>
      <c r="AK565" s="1">
        <f t="shared" si="108"/>
        <v>83.400000000000304</v>
      </c>
      <c r="AL565" s="1">
        <f t="shared" si="98"/>
        <v>2.1124014769924968</v>
      </c>
      <c r="AM565" s="1">
        <f t="shared" si="102"/>
        <v>1.8164867266190484E-2</v>
      </c>
      <c r="AN565" s="1">
        <f t="shared" si="103"/>
        <v>1.8164867266190484E-2</v>
      </c>
      <c r="AO565" s="1">
        <f t="shared" si="104"/>
        <v>1.8117126590884637E-2</v>
      </c>
      <c r="AP565" s="1">
        <f t="shared" si="99"/>
        <v>1.1844167236266847</v>
      </c>
      <c r="AQ565" s="1">
        <f t="shared" si="105"/>
        <v>7.8205537382136647E-2</v>
      </c>
      <c r="AR565" s="1">
        <f t="shared" si="106"/>
        <v>7.8205537382136647E-2</v>
      </c>
      <c r="AS565" s="1">
        <f t="shared" si="107"/>
        <v>7.0739617794049803E-2</v>
      </c>
    </row>
    <row r="566" spans="35:45" ht="11.25" customHeight="1" x14ac:dyDescent="0.2">
      <c r="AI566" s="3" t="e">
        <f t="shared" si="100"/>
        <v>#N/A</v>
      </c>
      <c r="AJ566" s="3" t="e">
        <f t="shared" si="101"/>
        <v>#N/A</v>
      </c>
      <c r="AK566" s="1">
        <f t="shared" si="108"/>
        <v>83.55000000000031</v>
      </c>
      <c r="AL566" s="1">
        <f t="shared" si="98"/>
        <v>2.1218883099730022</v>
      </c>
      <c r="AM566" s="1">
        <f t="shared" si="102"/>
        <v>1.783232549720792E-2</v>
      </c>
      <c r="AN566" s="1">
        <f t="shared" si="103"/>
        <v>1.783232549720792E-2</v>
      </c>
      <c r="AO566" s="1">
        <f t="shared" si="104"/>
        <v>1.7785458803989913E-2</v>
      </c>
      <c r="AP566" s="1">
        <f t="shared" si="99"/>
        <v>1.1757923300080435</v>
      </c>
      <c r="AQ566" s="1">
        <f t="shared" si="105"/>
        <v>7.8997739829667069E-2</v>
      </c>
      <c r="AR566" s="1">
        <f t="shared" si="106"/>
        <v>7.8997739829667069E-2</v>
      </c>
      <c r="AS566" s="1">
        <f t="shared" si="107"/>
        <v>7.1456192351679701E-2</v>
      </c>
    </row>
    <row r="567" spans="35:45" ht="11.25" customHeight="1" x14ac:dyDescent="0.2">
      <c r="AI567" s="3" t="e">
        <f t="shared" si="100"/>
        <v>#N/A</v>
      </c>
      <c r="AJ567" s="3" t="e">
        <f t="shared" si="101"/>
        <v>#N/A</v>
      </c>
      <c r="AK567" s="1">
        <f t="shared" si="108"/>
        <v>83.700000000000315</v>
      </c>
      <c r="AL567" s="1">
        <f t="shared" si="98"/>
        <v>2.1313751429535075</v>
      </c>
      <c r="AM567" s="1">
        <f t="shared" si="102"/>
        <v>1.7504722758798771E-2</v>
      </c>
      <c r="AN567" s="1">
        <f t="shared" si="103"/>
        <v>1.7504722758798771E-2</v>
      </c>
      <c r="AO567" s="1">
        <f t="shared" si="104"/>
        <v>1.7458717066970671E-2</v>
      </c>
      <c r="AP567" s="1">
        <f t="shared" si="99"/>
        <v>1.1671679363894021</v>
      </c>
      <c r="AQ567" s="1">
        <f t="shared" si="105"/>
        <v>7.9792490643715297E-2</v>
      </c>
      <c r="AR567" s="1">
        <f t="shared" si="106"/>
        <v>7.9792490643715297E-2</v>
      </c>
      <c r="AS567" s="1">
        <f t="shared" si="107"/>
        <v>7.2175071995106629E-2</v>
      </c>
    </row>
    <row r="568" spans="35:45" ht="11.25" customHeight="1" x14ac:dyDescent="0.2">
      <c r="AI568" s="3" t="e">
        <f t="shared" si="100"/>
        <v>#N/A</v>
      </c>
      <c r="AJ568" s="3" t="e">
        <f t="shared" si="101"/>
        <v>#N/A</v>
      </c>
      <c r="AK568" s="1">
        <f t="shared" si="108"/>
        <v>83.850000000000321</v>
      </c>
      <c r="AL568" s="1">
        <f t="shared" si="98"/>
        <v>2.1408619759340133</v>
      </c>
      <c r="AM568" s="1">
        <f t="shared" si="102"/>
        <v>1.7182014318134483E-2</v>
      </c>
      <c r="AN568" s="1">
        <f t="shared" si="103"/>
        <v>1.7182014318134483E-2</v>
      </c>
      <c r="AO568" s="1">
        <f t="shared" si="104"/>
        <v>1.7136856764564619E-2</v>
      </c>
      <c r="AP568" s="1">
        <f t="shared" si="99"/>
        <v>1.1585435427707607</v>
      </c>
      <c r="AQ568" s="1">
        <f t="shared" si="105"/>
        <v>8.0589697328825594E-2</v>
      </c>
      <c r="AR568" s="1">
        <f t="shared" si="106"/>
        <v>8.0589697328825594E-2</v>
      </c>
      <c r="AS568" s="1">
        <f t="shared" si="107"/>
        <v>7.2896173058986602E-2</v>
      </c>
    </row>
    <row r="569" spans="35:45" ht="11.25" customHeight="1" x14ac:dyDescent="0.2">
      <c r="AI569" s="3" t="e">
        <f t="shared" si="100"/>
        <v>#N/A</v>
      </c>
      <c r="AJ569" s="3" t="e">
        <f t="shared" si="101"/>
        <v>#N/A</v>
      </c>
      <c r="AK569" s="1">
        <f t="shared" si="108"/>
        <v>84.000000000000327</v>
      </c>
      <c r="AL569" s="1">
        <f t="shared" si="98"/>
        <v>2.1503488089145186</v>
      </c>
      <c r="AM569" s="1">
        <f t="shared" si="102"/>
        <v>1.6864155124862723E-2</v>
      </c>
      <c r="AN569" s="1">
        <f t="shared" si="103"/>
        <v>1.6864155124862723E-2</v>
      </c>
      <c r="AO569" s="1">
        <f t="shared" si="104"/>
        <v>1.6819832964820185E-2</v>
      </c>
      <c r="AP569" s="1">
        <f t="shared" si="99"/>
        <v>1.1499191491521192</v>
      </c>
      <c r="AQ569" s="1">
        <f t="shared" si="105"/>
        <v>8.1389265755849038E-2</v>
      </c>
      <c r="AR569" s="1">
        <f t="shared" si="106"/>
        <v>8.1389265755849038E-2</v>
      </c>
      <c r="AS569" s="1">
        <f t="shared" si="107"/>
        <v>7.3619410400243557E-2</v>
      </c>
    </row>
    <row r="570" spans="35:45" ht="11.25" customHeight="1" x14ac:dyDescent="0.2">
      <c r="AI570" s="3" t="e">
        <f t="shared" si="100"/>
        <v>#N/A</v>
      </c>
      <c r="AJ570" s="3" t="e">
        <f t="shared" si="101"/>
        <v>#N/A</v>
      </c>
      <c r="AK570" s="1">
        <f t="shared" si="108"/>
        <v>84.150000000000333</v>
      </c>
      <c r="AL570" s="1">
        <f t="shared" si="98"/>
        <v>2.159835641895024</v>
      </c>
      <c r="AM570" s="1">
        <f t="shared" si="102"/>
        <v>1.6551099843165051E-2</v>
      </c>
      <c r="AN570" s="1">
        <f t="shared" si="103"/>
        <v>1.6551099843165051E-2</v>
      </c>
      <c r="AO570" s="1">
        <f t="shared" si="104"/>
        <v>1.6507600451069963E-2</v>
      </c>
      <c r="AP570" s="1">
        <f t="shared" si="99"/>
        <v>1.141294755533478</v>
      </c>
      <c r="AQ570" s="1">
        <f t="shared" si="105"/>
        <v>8.2191100112538606E-2</v>
      </c>
      <c r="AR570" s="1">
        <f t="shared" si="106"/>
        <v>8.2191100112538606E-2</v>
      </c>
      <c r="AS570" s="1">
        <f t="shared" si="107"/>
        <v>7.4344697353380895E-2</v>
      </c>
    </row>
    <row r="571" spans="35:45" ht="11.25" customHeight="1" x14ac:dyDescent="0.2">
      <c r="AI571" s="3" t="e">
        <f t="shared" si="100"/>
        <v>#N/A</v>
      </c>
      <c r="AJ571" s="3" t="e">
        <f t="shared" si="101"/>
        <v>#N/A</v>
      </c>
      <c r="AK571" s="1">
        <f t="shared" si="108"/>
        <v>84.300000000000338</v>
      </c>
      <c r="AL571" s="1">
        <f t="shared" si="98"/>
        <v>2.1693224748755298</v>
      </c>
      <c r="AM571" s="1">
        <f t="shared" si="102"/>
        <v>1.6242802868271511E-2</v>
      </c>
      <c r="AN571" s="1">
        <f t="shared" si="103"/>
        <v>1.6242802868271511E-2</v>
      </c>
      <c r="AO571" s="1">
        <f t="shared" si="104"/>
        <v>1.6200113738401876E-2</v>
      </c>
      <c r="AP571" s="1">
        <f t="shared" si="99"/>
        <v>1.1326703619148366</v>
      </c>
      <c r="AQ571" s="1">
        <f t="shared" si="105"/>
        <v>8.2995103031224815E-2</v>
      </c>
      <c r="AR571" s="1">
        <f t="shared" si="106"/>
        <v>8.2995103031224815E-2</v>
      </c>
      <c r="AS571" s="1">
        <f t="shared" si="107"/>
        <v>7.5071945845968505E-2</v>
      </c>
    </row>
    <row r="572" spans="35:45" ht="11.25" customHeight="1" x14ac:dyDescent="0.2">
      <c r="AI572" s="3" t="e">
        <f t="shared" si="100"/>
        <v>#N/A</v>
      </c>
      <c r="AJ572" s="3" t="e">
        <f t="shared" si="101"/>
        <v>#N/A</v>
      </c>
      <c r="AK572" s="1">
        <f t="shared" si="108"/>
        <v>84.450000000000344</v>
      </c>
      <c r="AL572" s="1">
        <f t="shared" si="98"/>
        <v>2.1788093078560351</v>
      </c>
      <c r="AM572" s="1">
        <f t="shared" si="102"/>
        <v>1.5939218335897509E-2</v>
      </c>
      <c r="AN572" s="1">
        <f t="shared" si="103"/>
        <v>1.5939218335897509E-2</v>
      </c>
      <c r="AO572" s="1">
        <f t="shared" si="104"/>
        <v>1.5897327083071268E-2</v>
      </c>
      <c r="AP572" s="1">
        <f t="shared" si="99"/>
        <v>1.1240459682961952</v>
      </c>
      <c r="AQ572" s="1">
        <f t="shared" si="105"/>
        <v>8.38011754478174E-2</v>
      </c>
      <c r="AR572" s="1">
        <f t="shared" si="106"/>
        <v>8.38011754478174E-2</v>
      </c>
      <c r="AS572" s="1">
        <f t="shared" si="107"/>
        <v>7.580106627110493E-2</v>
      </c>
    </row>
    <row r="573" spans="35:45" ht="11.25" customHeight="1" x14ac:dyDescent="0.2">
      <c r="AI573" s="3" t="e">
        <f t="shared" si="100"/>
        <v>#N/A</v>
      </c>
      <c r="AJ573" s="3" t="e">
        <f t="shared" si="101"/>
        <v>#N/A</v>
      </c>
      <c r="AK573" s="1">
        <f t="shared" si="108"/>
        <v>84.60000000000035</v>
      </c>
      <c r="AL573" s="1">
        <f t="shared" si="98"/>
        <v>2.1882961408365404</v>
      </c>
      <c r="AM573" s="1">
        <f t="shared" si="102"/>
        <v>1.5640300163738408E-2</v>
      </c>
      <c r="AN573" s="1">
        <f t="shared" si="103"/>
        <v>1.5640300163738408E-2</v>
      </c>
      <c r="AO573" s="1">
        <f t="shared" si="104"/>
        <v>1.5599194523886428E-2</v>
      </c>
      <c r="AP573" s="1">
        <f t="shared" si="99"/>
        <v>1.115421574677554</v>
      </c>
      <c r="AQ573" s="1">
        <f t="shared" si="105"/>
        <v>8.4609216850495272E-2</v>
      </c>
      <c r="AR573" s="1">
        <f t="shared" si="106"/>
        <v>8.4609216850495272E-2</v>
      </c>
      <c r="AS573" s="1">
        <f t="shared" si="107"/>
        <v>7.6531967712366006E-2</v>
      </c>
    </row>
    <row r="574" spans="35:45" ht="11.25" customHeight="1" x14ac:dyDescent="0.2">
      <c r="AI574" s="3" t="e">
        <f t="shared" si="100"/>
        <v>#N/A</v>
      </c>
      <c r="AJ574" s="3" t="e">
        <f t="shared" si="101"/>
        <v>#N/A</v>
      </c>
      <c r="AK574" s="1">
        <f t="shared" si="108"/>
        <v>84.750000000000355</v>
      </c>
      <c r="AL574" s="1">
        <f t="shared" si="98"/>
        <v>2.1977829738170462</v>
      </c>
      <c r="AM574" s="1">
        <f t="shared" si="102"/>
        <v>1.5346002057298191E-2</v>
      </c>
      <c r="AN574" s="1">
        <f t="shared" si="103"/>
        <v>1.5346002057298191E-2</v>
      </c>
      <c r="AO574" s="1">
        <f t="shared" si="104"/>
        <v>1.5305669888021955E-2</v>
      </c>
      <c r="AP574" s="1">
        <f t="shared" si="99"/>
        <v>1.1067971810589126</v>
      </c>
      <c r="AQ574" s="1">
        <f t="shared" si="105"/>
        <v>8.5419124977725858E-2</v>
      </c>
      <c r="AR574" s="1">
        <f t="shared" si="106"/>
        <v>8.5419124977725858E-2</v>
      </c>
      <c r="AS574" s="1">
        <f t="shared" si="107"/>
        <v>7.7264557670652934E-2</v>
      </c>
    </row>
    <row r="575" spans="35:45" ht="11.25" customHeight="1" x14ac:dyDescent="0.2">
      <c r="AI575" s="3" t="e">
        <f t="shared" si="100"/>
        <v>#N/A</v>
      </c>
      <c r="AJ575" s="3" t="e">
        <f t="shared" si="101"/>
        <v>#N/A</v>
      </c>
      <c r="AK575" s="1">
        <f t="shared" si="108"/>
        <v>84.900000000000361</v>
      </c>
      <c r="AL575" s="1">
        <f t="shared" si="98"/>
        <v>2.2072698067975516</v>
      </c>
      <c r="AM575" s="1">
        <f t="shared" si="102"/>
        <v>1.5056277551939168E-2</v>
      </c>
      <c r="AN575" s="1">
        <f t="shared" si="103"/>
        <v>1.5056277551939168E-2</v>
      </c>
      <c r="AO575" s="1">
        <f t="shared" si="104"/>
        <v>1.5016706832957933E-2</v>
      </c>
      <c r="AP575" s="1">
        <f t="shared" si="99"/>
        <v>1.0981727874402711</v>
      </c>
      <c r="AQ575" s="1">
        <f t="shared" si="105"/>
        <v>8.6230796085828842E-2</v>
      </c>
      <c r="AR575" s="1">
        <f t="shared" si="106"/>
        <v>8.6230796085828842E-2</v>
      </c>
      <c r="AS575" s="1">
        <f t="shared" si="107"/>
        <v>7.7998742306212926E-2</v>
      </c>
    </row>
    <row r="576" spans="35:45" ht="11.25" customHeight="1" x14ac:dyDescent="0.2">
      <c r="AI576" s="3" t="e">
        <f t="shared" si="100"/>
        <v>#N/A</v>
      </c>
      <c r="AJ576" s="3" t="e">
        <f t="shared" si="101"/>
        <v>#N/A</v>
      </c>
      <c r="AK576" s="1">
        <f t="shared" si="108"/>
        <v>85.050000000000367</v>
      </c>
      <c r="AL576" s="1">
        <f t="shared" si="98"/>
        <v>2.2167566397780574</v>
      </c>
      <c r="AM576" s="1">
        <f t="shared" si="102"/>
        <v>1.4771079996089842E-2</v>
      </c>
      <c r="AN576" s="1">
        <f t="shared" si="103"/>
        <v>1.4771079996089842E-2</v>
      </c>
      <c r="AO576" s="1">
        <f t="shared" si="104"/>
        <v>1.4732258829731937E-2</v>
      </c>
      <c r="AP576" s="1">
        <f t="shared" si="99"/>
        <v>1.0895483938216297</v>
      </c>
      <c r="AQ576" s="1">
        <f t="shared" si="105"/>
        <v>8.7044124879032125E-2</v>
      </c>
      <c r="AR576" s="1">
        <f t="shared" si="106"/>
        <v>8.7044124879032125E-2</v>
      </c>
      <c r="AS576" s="1">
        <f t="shared" si="107"/>
        <v>7.8734426375372438E-2</v>
      </c>
    </row>
    <row r="577" spans="35:45" ht="11.25" customHeight="1" x14ac:dyDescent="0.2">
      <c r="AI577" s="3" t="e">
        <f t="shared" si="100"/>
        <v>#N/A</v>
      </c>
      <c r="AJ577" s="3" t="e">
        <f t="shared" si="101"/>
        <v>#N/A</v>
      </c>
      <c r="AK577" s="1">
        <f t="shared" si="108"/>
        <v>85.200000000000372</v>
      </c>
      <c r="AL577" s="1">
        <f t="shared" si="98"/>
        <v>2.2262434727585627</v>
      </c>
      <c r="AM577" s="1">
        <f t="shared" si="102"/>
        <v>1.4490362612723517E-2</v>
      </c>
      <c r="AN577" s="1">
        <f t="shared" si="103"/>
        <v>1.4490362612723517E-2</v>
      </c>
      <c r="AO577" s="1">
        <f t="shared" si="104"/>
        <v>1.4452279224256065E-2</v>
      </c>
      <c r="AP577" s="1">
        <f t="shared" si="99"/>
        <v>1.0809240002029885</v>
      </c>
      <c r="AQ577" s="1">
        <f t="shared" si="105"/>
        <v>8.7859004594958989E-2</v>
      </c>
      <c r="AR577" s="1">
        <f t="shared" si="106"/>
        <v>8.7859004594958989E-2</v>
      </c>
      <c r="AS577" s="1">
        <f t="shared" si="107"/>
        <v>7.9471513307863187E-2</v>
      </c>
    </row>
    <row r="578" spans="35:45" ht="11.25" customHeight="1" x14ac:dyDescent="0.2">
      <c r="AI578" s="3" t="e">
        <f t="shared" si="100"/>
        <v>#N/A</v>
      </c>
      <c r="AJ578" s="3" t="e">
        <f t="shared" si="101"/>
        <v>#N/A</v>
      </c>
      <c r="AK578" s="1">
        <f t="shared" si="108"/>
        <v>85.350000000000378</v>
      </c>
      <c r="AL578" s="1">
        <f t="shared" si="98"/>
        <v>2.2357303057390681</v>
      </c>
      <c r="AM578" s="1">
        <f t="shared" si="102"/>
        <v>1.4214078488880566E-2</v>
      </c>
      <c r="AN578" s="1">
        <f t="shared" si="103"/>
        <v>1.4214078488880566E-2</v>
      </c>
      <c r="AO578" s="1">
        <f t="shared" si="104"/>
        <v>1.4176721226866737E-2</v>
      </c>
      <c r="AP578" s="1">
        <f t="shared" si="99"/>
        <v>1.0722996065843471</v>
      </c>
      <c r="AQ578" s="1">
        <f t="shared" si="105"/>
        <v>8.8675326732623461E-2</v>
      </c>
      <c r="AR578" s="1">
        <f t="shared" si="106"/>
        <v>8.8675326732623461E-2</v>
      </c>
      <c r="AS578" s="1">
        <f t="shared" si="107"/>
        <v>8.0209904960784645E-2</v>
      </c>
    </row>
    <row r="579" spans="35:45" ht="11.25" customHeight="1" x14ac:dyDescent="0.2">
      <c r="AI579" s="3" t="e">
        <f t="shared" si="100"/>
        <v>#N/A</v>
      </c>
      <c r="AJ579" s="3" t="e">
        <f t="shared" si="101"/>
        <v>#N/A</v>
      </c>
      <c r="AK579" s="1">
        <f t="shared" si="108"/>
        <v>85.500000000000384</v>
      </c>
      <c r="AL579" s="1">
        <f t="shared" si="98"/>
        <v>2.2452171387195738</v>
      </c>
      <c r="AM579" s="1">
        <f t="shared" si="102"/>
        <v>1.3942180610709842E-2</v>
      </c>
      <c r="AN579" s="1">
        <f t="shared" si="103"/>
        <v>1.3942180610709842E-2</v>
      </c>
      <c r="AO579" s="1">
        <f t="shared" si="104"/>
        <v>1.390553794727402E-2</v>
      </c>
      <c r="AP579" s="1">
        <f t="shared" si="99"/>
        <v>1.0636752129657057</v>
      </c>
      <c r="AQ579" s="1">
        <f t="shared" si="105"/>
        <v>8.9492981542038663E-2</v>
      </c>
      <c r="AR579" s="1">
        <f t="shared" si="106"/>
        <v>8.9492981542038663E-2</v>
      </c>
      <c r="AS579" s="1">
        <f t="shared" si="107"/>
        <v>8.0949502061471654E-2</v>
      </c>
    </row>
    <row r="580" spans="35:45" ht="11.25" customHeight="1" x14ac:dyDescent="0.2">
      <c r="AI580" s="3" t="e">
        <f t="shared" si="100"/>
        <v>#N/A</v>
      </c>
      <c r="AJ580" s="3" t="e">
        <f t="shared" si="101"/>
        <v>#N/A</v>
      </c>
      <c r="AK580" s="1">
        <f t="shared" si="108"/>
        <v>85.650000000000389</v>
      </c>
      <c r="AL580" s="1">
        <f t="shared" si="98"/>
        <v>2.2547039717000792</v>
      </c>
      <c r="AM580" s="1">
        <f t="shared" si="102"/>
        <v>1.3674621877207693E-2</v>
      </c>
      <c r="AN580" s="1">
        <f t="shared" si="103"/>
        <v>1.3674621877207693E-2</v>
      </c>
      <c r="AO580" s="1">
        <f t="shared" si="104"/>
        <v>1.3638682408264526E-2</v>
      </c>
      <c r="AP580" s="1">
        <f t="shared" si="99"/>
        <v>1.0550508193470642</v>
      </c>
      <c r="AQ580" s="1">
        <f t="shared" si="105"/>
        <v>9.0311857703362364E-2</v>
      </c>
      <c r="AR580" s="1">
        <f t="shared" si="106"/>
        <v>9.0311857703362364E-2</v>
      </c>
      <c r="AS580" s="1">
        <f t="shared" si="107"/>
        <v>8.169020391727054E-2</v>
      </c>
    </row>
    <row r="581" spans="35:45" ht="11.25" customHeight="1" x14ac:dyDescent="0.2">
      <c r="AI581" s="3" t="e">
        <f t="shared" si="100"/>
        <v>#N/A</v>
      </c>
      <c r="AJ581" s="3" t="e">
        <f t="shared" si="101"/>
        <v>#N/A</v>
      </c>
      <c r="AK581" s="1">
        <f t="shared" si="108"/>
        <v>85.800000000000395</v>
      </c>
      <c r="AL581" s="1">
        <f t="shared" si="98"/>
        <v>2.2641908046805845</v>
      </c>
      <c r="AM581" s="1">
        <f t="shared" si="102"/>
        <v>1.341135511846725E-2</v>
      </c>
      <c r="AN581" s="1">
        <f t="shared" si="103"/>
        <v>1.341135511846725E-2</v>
      </c>
      <c r="AO581" s="1">
        <f t="shared" si="104"/>
        <v>1.3376107563902737E-2</v>
      </c>
      <c r="AP581" s="1">
        <f t="shared" si="99"/>
        <v>1.046426425728423</v>
      </c>
      <c r="AQ581" s="1">
        <f t="shared" si="105"/>
        <v>9.1131842304692512E-2</v>
      </c>
      <c r="AR581" s="1">
        <f t="shared" si="106"/>
        <v>9.1131842304692512E-2</v>
      </c>
      <c r="AS581" s="1">
        <f t="shared" si="107"/>
        <v>8.2431908395454334E-2</v>
      </c>
    </row>
    <row r="582" spans="35:45" ht="11.25" customHeight="1" x14ac:dyDescent="0.2">
      <c r="AI582" s="3" t="e">
        <f t="shared" si="100"/>
        <v>#N/A</v>
      </c>
      <c r="AJ582" s="3" t="e">
        <f t="shared" si="101"/>
        <v>#N/A</v>
      </c>
      <c r="AK582" s="1">
        <f t="shared" si="108"/>
        <v>85.950000000000401</v>
      </c>
      <c r="AL582" s="1">
        <f t="shared" si="98"/>
        <v>2.2736776376610903</v>
      </c>
      <c r="AM582" s="1">
        <f t="shared" si="102"/>
        <v>1.3152333110319492E-2</v>
      </c>
      <c r="AN582" s="1">
        <f t="shared" si="103"/>
        <v>1.3152333110319492E-2</v>
      </c>
      <c r="AO582" s="1">
        <f t="shared" si="104"/>
        <v>1.3117766314133604E-2</v>
      </c>
      <c r="AP582" s="1">
        <f t="shared" si="99"/>
        <v>1.0378020321097816</v>
      </c>
      <c r="AQ582" s="1">
        <f t="shared" si="105"/>
        <v>9.1952821186236378E-2</v>
      </c>
      <c r="AR582" s="1">
        <f t="shared" si="106"/>
        <v>9.1952821186236378E-2</v>
      </c>
      <c r="AS582" s="1">
        <f t="shared" si="107"/>
        <v>8.3174512234535744E-2</v>
      </c>
    </row>
    <row r="583" spans="35:45" ht="11.25" customHeight="1" x14ac:dyDescent="0.2">
      <c r="AI583" s="3" t="e">
        <f t="shared" si="100"/>
        <v>#N/A</v>
      </c>
      <c r="AJ583" s="3" t="e">
        <f t="shared" si="101"/>
        <v>#N/A</v>
      </c>
      <c r="AK583" s="1">
        <f t="shared" si="108"/>
        <v>86.100000000000406</v>
      </c>
      <c r="AL583" s="1">
        <f t="shared" si="98"/>
        <v>2.2831644706415957</v>
      </c>
      <c r="AM583" s="1">
        <f t="shared" si="102"/>
        <v>1.2897508602574548E-2</v>
      </c>
      <c r="AN583" s="1">
        <f t="shared" si="103"/>
        <v>1.2897508602574548E-2</v>
      </c>
      <c r="AO583" s="1">
        <f t="shared" si="104"/>
        <v>1.2863611532949605E-2</v>
      </c>
      <c r="AP583" s="1">
        <f t="shared" si="99"/>
        <v>1.0291776384911402</v>
      </c>
      <c r="AQ583" s="1">
        <f t="shared" si="105"/>
        <v>9.277467862056632E-2</v>
      </c>
      <c r="AR583" s="1">
        <f t="shared" si="106"/>
        <v>9.277467862056632E-2</v>
      </c>
      <c r="AS583" s="1">
        <f t="shared" si="107"/>
        <v>8.3917910755047384E-2</v>
      </c>
    </row>
    <row r="584" spans="35:45" ht="11.25" customHeight="1" x14ac:dyDescent="0.2">
      <c r="AI584" s="3" t="e">
        <f t="shared" si="100"/>
        <v>#N/A</v>
      </c>
      <c r="AJ584" s="3" t="e">
        <f t="shared" si="101"/>
        <v>#N/A</v>
      </c>
      <c r="AK584" s="1">
        <f t="shared" si="108"/>
        <v>86.250000000000412</v>
      </c>
      <c r="AL584" s="1">
        <f t="shared" si="98"/>
        <v>2.292651303622101</v>
      </c>
      <c r="AM584" s="1">
        <f t="shared" si="102"/>
        <v>1.2646834322352363E-2</v>
      </c>
      <c r="AN584" s="1">
        <f t="shared" si="103"/>
        <v>1.2646834322352363E-2</v>
      </c>
      <c r="AO584" s="1">
        <f t="shared" si="104"/>
        <v>1.2613596071712675E-2</v>
      </c>
      <c r="AP584" s="1">
        <f t="shared" si="99"/>
        <v>1.020553244872499</v>
      </c>
      <c r="AQ584" s="1">
        <f t="shared" si="105"/>
        <v>9.3597297569081306E-2</v>
      </c>
      <c r="AR584" s="1">
        <f t="shared" si="106"/>
        <v>9.3597297569081306E-2</v>
      </c>
      <c r="AS584" s="1">
        <f t="shared" si="107"/>
        <v>8.4661998091520127E-2</v>
      </c>
    </row>
    <row r="585" spans="35:45" ht="11.25" customHeight="1" x14ac:dyDescent="0.2">
      <c r="AI585" s="3" t="e">
        <f t="shared" si="100"/>
        <v>#N/A</v>
      </c>
      <c r="AJ585" s="3" t="e">
        <f t="shared" si="101"/>
        <v>#N/A</v>
      </c>
      <c r="AK585" s="1">
        <f t="shared" si="108"/>
        <v>86.400000000000418</v>
      </c>
      <c r="AL585" s="1">
        <f t="shared" ref="AL585:AL648" si="109">ABS(($AL$5-AK585)/$AL$6)</f>
        <v>2.3021381366026068</v>
      </c>
      <c r="AM585" s="1">
        <f t="shared" si="102"/>
        <v>1.240026300149133E-2</v>
      </c>
      <c r="AN585" s="1">
        <f t="shared" si="103"/>
        <v>1.240026300149133E-2</v>
      </c>
      <c r="AO585" s="1">
        <f t="shared" si="104"/>
        <v>1.2367672786490794E-2</v>
      </c>
      <c r="AP585" s="1">
        <f t="shared" ref="AP585:AP648" si="110">ABS(($AP$5-AK585)/$AP$6)</f>
        <v>1.0119288512538576</v>
      </c>
      <c r="AQ585" s="1">
        <f t="shared" si="105"/>
        <v>9.4420559563213047E-2</v>
      </c>
      <c r="AR585" s="1">
        <f t="shared" si="106"/>
        <v>9.4420559563213047E-2</v>
      </c>
      <c r="AS585" s="1">
        <f t="shared" si="107"/>
        <v>8.5406667085029905E-2</v>
      </c>
    </row>
    <row r="586" spans="35:45" ht="11.25" customHeight="1" x14ac:dyDescent="0.2">
      <c r="AI586" s="3" t="e">
        <f t="shared" ref="AI586:AI649" si="111">IF($M$18,AI585,NA())</f>
        <v>#N/A</v>
      </c>
      <c r="AJ586" s="3" t="e">
        <f t="shared" ref="AJ586:AJ649" si="112">IF($M$18,AJ585,NA())</f>
        <v>#N/A</v>
      </c>
      <c r="AK586" s="1">
        <f t="shared" si="108"/>
        <v>86.550000000000423</v>
      </c>
      <c r="AL586" s="1">
        <f t="shared" si="109"/>
        <v>2.3116249695831121</v>
      </c>
      <c r="AM586" s="1">
        <f t="shared" ref="AM586:AM649" si="113">$AL$3*ABS((TDIST(AL586,$AL$7,1)-TDIST(AL586+$AL$1,$AL$7,1))/($AL$1))</f>
        <v>1.2157747391119966E-2</v>
      </c>
      <c r="AN586" s="1">
        <f t="shared" ref="AN586:AN649" si="114">IF(($D$10&gt;$AJ$5)=($D$10&gt;AK586),AM586,0)</f>
        <v>1.2157747391119966E-2</v>
      </c>
      <c r="AO586" s="1">
        <f t="shared" ref="AO586:AO649" si="115">AM586*$AN$5/$AN$7</f>
        <v>1.2125794552591369E-2</v>
      </c>
      <c r="AP586" s="1">
        <f t="shared" si="110"/>
        <v>1.0033044576352161</v>
      </c>
      <c r="AQ586" s="1">
        <f t="shared" ref="AQ586:AQ649" si="116">$AL$3*ABS((TDIST(AP586,$AP$7,1)-TDIST(AP586+$AL$1,$AP$7,1))/($AL$1))</f>
        <v>9.5244344834322092E-2</v>
      </c>
      <c r="AR586" s="1">
        <f t="shared" ref="AR586:AR649" si="117">IF(($D$19&gt;$AJ$5)=($D$19&gt;AK586),AQ586,0)</f>
        <v>9.5244344834322092E-2</v>
      </c>
      <c r="AS586" s="1">
        <f t="shared" ref="AS586:AS649" si="118">AQ586*$AN$5/$AR$7</f>
        <v>8.6151809400693238E-2</v>
      </c>
    </row>
    <row r="587" spans="35:45" ht="11.25" customHeight="1" x14ac:dyDescent="0.2">
      <c r="AI587" s="3" t="e">
        <f t="shared" si="111"/>
        <v>#N/A</v>
      </c>
      <c r="AJ587" s="3" t="e">
        <f t="shared" si="112"/>
        <v>#N/A</v>
      </c>
      <c r="AK587" s="1">
        <f t="shared" si="108"/>
        <v>86.700000000000429</v>
      </c>
      <c r="AL587" s="1">
        <f t="shared" si="109"/>
        <v>2.3211118025636175</v>
      </c>
      <c r="AM587" s="1">
        <f t="shared" si="113"/>
        <v>1.1919240266097808E-2</v>
      </c>
      <c r="AN587" s="1">
        <f t="shared" si="114"/>
        <v>1.1919240266097808E-2</v>
      </c>
      <c r="AO587" s="1">
        <f t="shared" si="115"/>
        <v>1.1887914268990453E-2</v>
      </c>
      <c r="AP587" s="1">
        <f t="shared" si="110"/>
        <v>0.99468006401657483</v>
      </c>
      <c r="AQ587" s="1">
        <f t="shared" si="116"/>
        <v>9.6068532211557311E-2</v>
      </c>
      <c r="AR587" s="1">
        <f t="shared" si="117"/>
        <v>9.6068532211557311E-2</v>
      </c>
      <c r="AS587" s="1">
        <f t="shared" si="118"/>
        <v>8.6897315435277664E-2</v>
      </c>
    </row>
    <row r="588" spans="35:45" ht="11.25" customHeight="1" x14ac:dyDescent="0.2">
      <c r="AI588" s="3" t="e">
        <f t="shared" si="111"/>
        <v>#N/A</v>
      </c>
      <c r="AJ588" s="3" t="e">
        <f t="shared" si="112"/>
        <v>#N/A</v>
      </c>
      <c r="AK588" s="1">
        <f t="shared" si="108"/>
        <v>86.850000000000435</v>
      </c>
      <c r="AL588" s="1">
        <f t="shared" si="109"/>
        <v>2.3305986355441233</v>
      </c>
      <c r="AM588" s="1">
        <f t="shared" si="113"/>
        <v>1.1684694458113931E-2</v>
      </c>
      <c r="AN588" s="1">
        <f t="shared" si="114"/>
        <v>1.1684694458113931E-2</v>
      </c>
      <c r="AO588" s="1">
        <f t="shared" si="115"/>
        <v>1.1653984891344284E-2</v>
      </c>
      <c r="AP588" s="1">
        <f t="shared" si="110"/>
        <v>0.9860556703979334</v>
      </c>
      <c r="AQ588" s="1">
        <f t="shared" si="116"/>
        <v>9.6892999252862211E-2</v>
      </c>
      <c r="AR588" s="1">
        <f t="shared" si="117"/>
        <v>9.6892999252862211E-2</v>
      </c>
      <c r="AS588" s="1">
        <f t="shared" si="118"/>
        <v>8.7643074435701351E-2</v>
      </c>
    </row>
    <row r="589" spans="35:45" ht="11.25" customHeight="1" x14ac:dyDescent="0.2">
      <c r="AI589" s="3" t="e">
        <f t="shared" si="111"/>
        <v>#N/A</v>
      </c>
      <c r="AJ589" s="3" t="e">
        <f t="shared" si="112"/>
        <v>#N/A</v>
      </c>
      <c r="AK589" s="1">
        <f t="shared" si="108"/>
        <v>87.000000000000441</v>
      </c>
      <c r="AL589" s="1">
        <f t="shared" si="109"/>
        <v>2.3400854685246286</v>
      </c>
      <c r="AM589" s="1">
        <f t="shared" si="113"/>
        <v>1.1454062864429959E-2</v>
      </c>
      <c r="AN589" s="1">
        <f t="shared" si="114"/>
        <v>1.1454062864429959E-2</v>
      </c>
      <c r="AO589" s="1">
        <f t="shared" si="115"/>
        <v>1.1423959440709307E-2</v>
      </c>
      <c r="AP589" s="1">
        <f t="shared" si="110"/>
        <v>0.97743127677929209</v>
      </c>
      <c r="AQ589" s="1">
        <f t="shared" si="116"/>
        <v>9.7717622251636271E-2</v>
      </c>
      <c r="AR589" s="1">
        <f t="shared" si="117"/>
        <v>9.7717622251636271E-2</v>
      </c>
      <c r="AS589" s="1">
        <f t="shared" si="118"/>
        <v>8.8388974505058643E-2</v>
      </c>
    </row>
    <row r="590" spans="35:45" ht="11.25" customHeight="1" x14ac:dyDescent="0.2">
      <c r="AI590" s="3" t="e">
        <f t="shared" si="111"/>
        <v>#N/A</v>
      </c>
      <c r="AJ590" s="3" t="e">
        <f t="shared" si="112"/>
        <v>#N/A</v>
      </c>
      <c r="AK590" s="1">
        <f t="shared" si="108"/>
        <v>87.150000000000446</v>
      </c>
      <c r="AL590" s="1">
        <f t="shared" si="109"/>
        <v>2.349572301505134</v>
      </c>
      <c r="AM590" s="1">
        <f t="shared" si="113"/>
        <v>1.1227298449614787E-2</v>
      </c>
      <c r="AN590" s="1">
        <f t="shared" si="114"/>
        <v>1.1227298449614787E-2</v>
      </c>
      <c r="AO590" s="1">
        <f t="shared" si="115"/>
        <v>1.1197791005272347E-2</v>
      </c>
      <c r="AP590" s="1">
        <f t="shared" si="110"/>
        <v>0.96880688316065067</v>
      </c>
      <c r="AQ590" s="1">
        <f t="shared" si="116"/>
        <v>9.8542276225632719E-2</v>
      </c>
      <c r="AR590" s="1">
        <f t="shared" si="117"/>
        <v>9.8542276225632719E-2</v>
      </c>
      <c r="AS590" s="1">
        <f t="shared" si="118"/>
        <v>8.9134902592577642E-2</v>
      </c>
    </row>
    <row r="591" spans="35:45" ht="11.25" customHeight="1" x14ac:dyDescent="0.2">
      <c r="AI591" s="3" t="e">
        <f t="shared" si="111"/>
        <v>#N/A</v>
      </c>
      <c r="AJ591" s="3" t="e">
        <f t="shared" si="112"/>
        <v>#N/A</v>
      </c>
      <c r="AK591" s="1">
        <f t="shared" si="108"/>
        <v>87.300000000000452</v>
      </c>
      <c r="AL591" s="1">
        <f t="shared" si="109"/>
        <v>2.3590591344856398</v>
      </c>
      <c r="AM591" s="1">
        <f t="shared" si="113"/>
        <v>1.1004354281765605E-2</v>
      </c>
      <c r="AN591" s="1">
        <f t="shared" si="114"/>
        <v>1.1004354281765605E-2</v>
      </c>
      <c r="AO591" s="1">
        <f t="shared" si="115"/>
        <v>1.097543277647643E-2</v>
      </c>
      <c r="AP591" s="1">
        <f t="shared" si="110"/>
        <v>0.96018248954200935</v>
      </c>
      <c r="AQ591" s="1">
        <f t="shared" si="116"/>
        <v>9.936683496691856E-2</v>
      </c>
      <c r="AR591" s="1">
        <f t="shared" si="117"/>
        <v>9.936683496691856E-2</v>
      </c>
      <c r="AS591" s="1">
        <f t="shared" si="118"/>
        <v>8.98807445388108E-2</v>
      </c>
    </row>
    <row r="592" spans="35:45" ht="11.25" customHeight="1" x14ac:dyDescent="0.2">
      <c r="AI592" s="3" t="e">
        <f t="shared" si="111"/>
        <v>#N/A</v>
      </c>
      <c r="AJ592" s="3" t="e">
        <f t="shared" si="112"/>
        <v>#N/A</v>
      </c>
      <c r="AK592" s="1">
        <f t="shared" si="108"/>
        <v>87.450000000000458</v>
      </c>
      <c r="AL592" s="1">
        <f t="shared" si="109"/>
        <v>2.3685459674661451</v>
      </c>
      <c r="AM592" s="1">
        <f t="shared" si="113"/>
        <v>1.078518353070379E-2</v>
      </c>
      <c r="AN592" s="1">
        <f t="shared" si="114"/>
        <v>1.078518353070379E-2</v>
      </c>
      <c r="AO592" s="1">
        <f t="shared" si="115"/>
        <v>1.0756838047221417E-2</v>
      </c>
      <c r="AP592" s="1">
        <f t="shared" si="110"/>
        <v>0.95155809592336793</v>
      </c>
      <c r="AQ592" s="1">
        <f t="shared" si="116"/>
        <v>0.10019117108184261</v>
      </c>
      <c r="AR592" s="1">
        <f t="shared" si="117"/>
        <v>0.10019117108184261</v>
      </c>
      <c r="AS592" s="1">
        <f t="shared" si="118"/>
        <v>9.0626385111787403E-2</v>
      </c>
    </row>
    <row r="593" spans="35:45" ht="11.25" customHeight="1" x14ac:dyDescent="0.2">
      <c r="AI593" s="3" t="e">
        <f t="shared" si="111"/>
        <v>#N/A</v>
      </c>
      <c r="AJ593" s="3" t="e">
        <f t="shared" si="112"/>
        <v>#N/A</v>
      </c>
      <c r="AK593" s="1">
        <f t="shared" si="108"/>
        <v>87.600000000000463</v>
      </c>
      <c r="AL593" s="1">
        <f t="shared" si="109"/>
        <v>2.3780328004466504</v>
      </c>
      <c r="AM593" s="1">
        <f t="shared" si="113"/>
        <v>1.0569739490109975E-2</v>
      </c>
      <c r="AN593" s="1">
        <f t="shared" si="114"/>
        <v>1.0569739490109975E-2</v>
      </c>
      <c r="AO593" s="1">
        <f t="shared" si="115"/>
        <v>1.0541960233940901E-2</v>
      </c>
      <c r="AP593" s="1">
        <f t="shared" si="110"/>
        <v>0.94293370230472662</v>
      </c>
      <c r="AQ593" s="1">
        <f t="shared" si="116"/>
        <v>0.10101515600213773</v>
      </c>
      <c r="AR593" s="1">
        <f t="shared" si="117"/>
        <v>0.10101515600213773</v>
      </c>
      <c r="AS593" s="1">
        <f t="shared" si="118"/>
        <v>9.1371708017055894E-2</v>
      </c>
    </row>
    <row r="594" spans="35:45" ht="11.25" customHeight="1" x14ac:dyDescent="0.2">
      <c r="AI594" s="3" t="e">
        <f t="shared" si="111"/>
        <v>#N/A</v>
      </c>
      <c r="AJ594" s="3" t="e">
        <f t="shared" si="112"/>
        <v>#N/A</v>
      </c>
      <c r="AK594" s="1">
        <f t="shared" si="108"/>
        <v>87.750000000000469</v>
      </c>
      <c r="AL594" s="1">
        <f t="shared" si="109"/>
        <v>2.3875196334271562</v>
      </c>
      <c r="AM594" s="1">
        <f t="shared" si="113"/>
        <v>1.0357975583144552E-2</v>
      </c>
      <c r="AN594" s="1">
        <f t="shared" si="114"/>
        <v>1.0357975583144552E-2</v>
      </c>
      <c r="AO594" s="1">
        <f t="shared" si="115"/>
        <v>1.0330752882207937E-2</v>
      </c>
      <c r="AP594" s="1">
        <f t="shared" si="110"/>
        <v>0.9343093086860853</v>
      </c>
      <c r="AQ594" s="1">
        <f t="shared" si="116"/>
        <v>0.10183866002932973</v>
      </c>
      <c r="AR594" s="1">
        <f t="shared" si="117"/>
        <v>0.10183866002932973</v>
      </c>
      <c r="AS594" s="1">
        <f t="shared" si="118"/>
        <v>9.2116595937853291E-2</v>
      </c>
    </row>
    <row r="595" spans="35:45" ht="11.25" customHeight="1" x14ac:dyDescent="0.2">
      <c r="AI595" s="3" t="e">
        <f t="shared" si="111"/>
        <v>#N/A</v>
      </c>
      <c r="AJ595" s="3" t="e">
        <f t="shared" si="112"/>
        <v>#N/A</v>
      </c>
      <c r="AK595" s="1">
        <f t="shared" si="108"/>
        <v>87.900000000000475</v>
      </c>
      <c r="AL595" s="1">
        <f t="shared" si="109"/>
        <v>2.3970064664076616</v>
      </c>
      <c r="AM595" s="1">
        <f t="shared" si="113"/>
        <v>1.0149845380419409E-2</v>
      </c>
      <c r="AN595" s="1">
        <f t="shared" si="114"/>
        <v>1.0149845380419409E-2</v>
      </c>
      <c r="AO595" s="1">
        <f t="shared" si="115"/>
        <v>1.0123169684659547E-2</v>
      </c>
      <c r="AP595" s="1">
        <f t="shared" si="110"/>
        <v>0.92568491506744388</v>
      </c>
      <c r="AQ595" s="1">
        <f t="shared" si="116"/>
        <v>0.1026615523302965</v>
      </c>
      <c r="AR595" s="1">
        <f t="shared" si="117"/>
        <v>0.1026615523302965</v>
      </c>
      <c r="AS595" s="1">
        <f t="shared" si="118"/>
        <v>9.2860930531088265E-2</v>
      </c>
    </row>
    <row r="596" spans="35:45" ht="11.25" customHeight="1" x14ac:dyDescent="0.2">
      <c r="AI596" s="3" t="e">
        <f t="shared" si="111"/>
        <v>#N/A</v>
      </c>
      <c r="AJ596" s="3" t="e">
        <f t="shared" si="112"/>
        <v>#N/A</v>
      </c>
      <c r="AK596" s="1">
        <f t="shared" si="108"/>
        <v>88.05000000000048</v>
      </c>
      <c r="AL596" s="1">
        <f t="shared" si="109"/>
        <v>2.4064932993881669</v>
      </c>
      <c r="AM596" s="1">
        <f t="shared" si="113"/>
        <v>9.9453026106144371E-3</v>
      </c>
      <c r="AN596" s="1">
        <f t="shared" si="114"/>
        <v>9.9453026106144371E-3</v>
      </c>
      <c r="AO596" s="1">
        <f t="shared" si="115"/>
        <v>9.9191644915853222E-3</v>
      </c>
      <c r="AP596" s="1">
        <f t="shared" si="110"/>
        <v>0.91706052144880257</v>
      </c>
      <c r="AQ596" s="1">
        <f t="shared" si="116"/>
        <v>0.10348370102830629</v>
      </c>
      <c r="AR596" s="1">
        <f t="shared" si="117"/>
        <v>0.10348370102830629</v>
      </c>
      <c r="AS596" s="1">
        <f t="shared" si="118"/>
        <v>9.3604592509688417E-2</v>
      </c>
    </row>
    <row r="597" spans="35:45" ht="11.25" customHeight="1" x14ac:dyDescent="0.2">
      <c r="AI597" s="3" t="e">
        <f t="shared" si="111"/>
        <v>#N/A</v>
      </c>
      <c r="AJ597" s="3" t="e">
        <f t="shared" si="112"/>
        <v>#N/A</v>
      </c>
      <c r="AK597" s="1">
        <f t="shared" si="108"/>
        <v>88.200000000000486</v>
      </c>
      <c r="AL597" s="1">
        <f t="shared" si="109"/>
        <v>2.4159801323686727</v>
      </c>
      <c r="AM597" s="1">
        <f t="shared" si="113"/>
        <v>9.7443011757430975E-3</v>
      </c>
      <c r="AN597" s="1">
        <f t="shared" si="114"/>
        <v>9.7443011757430975E-3</v>
      </c>
      <c r="AO597" s="1">
        <f t="shared" si="115"/>
        <v>9.7186913261528719E-3</v>
      </c>
      <c r="AP597" s="1">
        <f t="shared" si="110"/>
        <v>0.90843612783016114</v>
      </c>
      <c r="AQ597" s="1">
        <f t="shared" si="116"/>
        <v>0.10430497316749054</v>
      </c>
      <c r="AR597" s="1">
        <f t="shared" si="117"/>
        <v>0.10430497316749054</v>
      </c>
      <c r="AS597" s="1">
        <f t="shared" si="118"/>
        <v>9.4347461610464728E-2</v>
      </c>
    </row>
    <row r="598" spans="35:45" ht="11.25" customHeight="1" x14ac:dyDescent="0.2">
      <c r="AI598" s="3" t="e">
        <f t="shared" si="111"/>
        <v>#N/A</v>
      </c>
      <c r="AJ598" s="3" t="e">
        <f t="shared" si="112"/>
        <v>#N/A</v>
      </c>
      <c r="AK598" s="1">
        <f t="shared" si="108"/>
        <v>88.350000000000492</v>
      </c>
      <c r="AL598" s="1">
        <f t="shared" si="109"/>
        <v>2.4254669653491781</v>
      </c>
      <c r="AM598" s="1">
        <f t="shared" si="113"/>
        <v>9.5467951548994234E-3</v>
      </c>
      <c r="AN598" s="1">
        <f t="shared" si="114"/>
        <v>9.5467951548994234E-3</v>
      </c>
      <c r="AO598" s="1">
        <f t="shared" si="115"/>
        <v>9.5217043881449751E-3</v>
      </c>
      <c r="AP598" s="1">
        <f t="shared" si="110"/>
        <v>0.89981173421151983</v>
      </c>
      <c r="AQ598" s="1">
        <f t="shared" si="116"/>
        <v>0.10512523481054359</v>
      </c>
      <c r="AR598" s="1">
        <f t="shared" si="117"/>
        <v>0.10512523481054359</v>
      </c>
      <c r="AS598" s="1">
        <f t="shared" si="118"/>
        <v>9.5089416682484287E-2</v>
      </c>
    </row>
    <row r="599" spans="35:45" ht="11.25" customHeight="1" x14ac:dyDescent="0.2">
      <c r="AI599" s="3" t="e">
        <f t="shared" si="111"/>
        <v>#N/A</v>
      </c>
      <c r="AJ599" s="3" t="e">
        <f t="shared" si="112"/>
        <v>#N/A</v>
      </c>
      <c r="AK599" s="1">
        <f t="shared" si="108"/>
        <v>88.500000000000497</v>
      </c>
      <c r="AL599" s="1">
        <f t="shared" si="109"/>
        <v>2.4349537983296834</v>
      </c>
      <c r="AM599" s="1">
        <f t="shared" si="113"/>
        <v>9.3527388276420913E-3</v>
      </c>
      <c r="AN599" s="1">
        <f t="shared" si="114"/>
        <v>9.3527388276420913E-3</v>
      </c>
      <c r="AO599" s="1">
        <f t="shared" si="115"/>
        <v>9.3281580772821959E-3</v>
      </c>
      <c r="AP599" s="1">
        <f t="shared" si="110"/>
        <v>0.89118734059287841</v>
      </c>
      <c r="AQ599" s="1">
        <f t="shared" si="116"/>
        <v>0.10594435102762034</v>
      </c>
      <c r="AR599" s="1">
        <f t="shared" si="117"/>
        <v>0.10594435102762034</v>
      </c>
      <c r="AS599" s="1">
        <f t="shared" si="118"/>
        <v>9.5830335677027936E-2</v>
      </c>
    </row>
    <row r="600" spans="35:45" ht="11.25" customHeight="1" x14ac:dyDescent="0.2">
      <c r="AI600" s="3" t="e">
        <f t="shared" si="111"/>
        <v>#N/A</v>
      </c>
      <c r="AJ600" s="3" t="e">
        <f t="shared" si="112"/>
        <v>#N/A</v>
      </c>
      <c r="AK600" s="1">
        <f t="shared" si="108"/>
        <v>88.650000000000503</v>
      </c>
      <c r="AL600" s="1">
        <f t="shared" si="109"/>
        <v>2.4444406313101892</v>
      </c>
      <c r="AM600" s="1">
        <f t="shared" si="113"/>
        <v>9.1620866682351459E-3</v>
      </c>
      <c r="AN600" s="1">
        <f t="shared" si="114"/>
        <v>9.1620866682351459E-3</v>
      </c>
      <c r="AO600" s="1">
        <f t="shared" si="115"/>
        <v>9.1380069874787452E-3</v>
      </c>
      <c r="AP600" s="1">
        <f t="shared" si="110"/>
        <v>0.88256294697423709</v>
      </c>
      <c r="AQ600" s="1">
        <f t="shared" si="116"/>
        <v>0.10676218593630438</v>
      </c>
      <c r="AR600" s="1">
        <f t="shared" si="117"/>
        <v>0.10676218593630438</v>
      </c>
      <c r="AS600" s="1">
        <f t="shared" si="118"/>
        <v>9.6570095683742682E-2</v>
      </c>
    </row>
    <row r="601" spans="35:45" ht="11.25" customHeight="1" x14ac:dyDescent="0.2">
      <c r="AI601" s="3" t="e">
        <f t="shared" si="111"/>
        <v>#N/A</v>
      </c>
      <c r="AJ601" s="3" t="e">
        <f t="shared" si="112"/>
        <v>#N/A</v>
      </c>
      <c r="AK601" s="1">
        <f t="shared" si="108"/>
        <v>88.800000000000509</v>
      </c>
      <c r="AL601" s="1">
        <f t="shared" si="109"/>
        <v>2.4539274642906945</v>
      </c>
      <c r="AM601" s="1">
        <f t="shared" si="113"/>
        <v>8.9747933749301217E-3</v>
      </c>
      <c r="AN601" s="1">
        <f t="shared" si="114"/>
        <v>8.9747933749301217E-3</v>
      </c>
      <c r="AO601" s="1">
        <f t="shared" si="115"/>
        <v>8.9512059360476424E-3</v>
      </c>
      <c r="AP601" s="1">
        <f t="shared" si="110"/>
        <v>0.87393855335559567</v>
      </c>
      <c r="AQ601" s="1">
        <f t="shared" si="116"/>
        <v>0.10757860275267817</v>
      </c>
      <c r="AR601" s="1">
        <f t="shared" si="117"/>
        <v>0.10757860275267817</v>
      </c>
      <c r="AS601" s="1">
        <f t="shared" si="118"/>
        <v>9.7308572976836621E-2</v>
      </c>
    </row>
    <row r="602" spans="35:45" ht="11.25" customHeight="1" x14ac:dyDescent="0.2">
      <c r="AI602" s="3" t="e">
        <f t="shared" si="111"/>
        <v>#N/A</v>
      </c>
      <c r="AJ602" s="3" t="e">
        <f t="shared" si="112"/>
        <v>#N/A</v>
      </c>
      <c r="AK602" s="1">
        <f t="shared" si="108"/>
        <v>88.950000000000514</v>
      </c>
      <c r="AL602" s="1">
        <f t="shared" si="109"/>
        <v>2.4634142972712003</v>
      </c>
      <c r="AM602" s="1">
        <f t="shared" si="113"/>
        <v>8.7908138666353813E-3</v>
      </c>
      <c r="AN602" s="1">
        <f t="shared" si="114"/>
        <v>8.7908138666353813E-3</v>
      </c>
      <c r="AO602" s="1">
        <f t="shared" si="115"/>
        <v>8.7677099603788063E-3</v>
      </c>
      <c r="AP602" s="1">
        <f t="shared" si="110"/>
        <v>0.86531415973695436</v>
      </c>
      <c r="AQ602" s="1">
        <f t="shared" si="116"/>
        <v>0.10839346382685022</v>
      </c>
      <c r="AR602" s="1">
        <f t="shared" si="117"/>
        <v>0.10839346382685022</v>
      </c>
      <c r="AS602" s="1">
        <f t="shared" si="118"/>
        <v>9.8045643047214359E-2</v>
      </c>
    </row>
    <row r="603" spans="35:45" ht="11.25" customHeight="1" x14ac:dyDescent="0.2">
      <c r="AI603" s="3" t="e">
        <f t="shared" si="111"/>
        <v>#N/A</v>
      </c>
      <c r="AJ603" s="3" t="e">
        <f t="shared" si="112"/>
        <v>#N/A</v>
      </c>
      <c r="AK603" s="1">
        <f t="shared" si="108"/>
        <v>89.10000000000052</v>
      </c>
      <c r="AL603" s="1">
        <f t="shared" si="109"/>
        <v>2.4729011302517057</v>
      </c>
      <c r="AM603" s="1">
        <f t="shared" si="113"/>
        <v>8.6101032987367914E-3</v>
      </c>
      <c r="AN603" s="1">
        <f t="shared" si="114"/>
        <v>8.6101032987367914E-3</v>
      </c>
      <c r="AO603" s="1">
        <f t="shared" si="115"/>
        <v>8.587474333718155E-3</v>
      </c>
      <c r="AP603" s="1">
        <f t="shared" si="110"/>
        <v>0.85668976611831305</v>
      </c>
      <c r="AQ603" s="1">
        <f t="shared" si="116"/>
        <v>0.1092066306718209</v>
      </c>
      <c r="AR603" s="1">
        <f t="shared" si="117"/>
        <v>0.1092066306718209</v>
      </c>
      <c r="AS603" s="1">
        <f t="shared" si="118"/>
        <v>9.8781180628587179E-2</v>
      </c>
    </row>
    <row r="604" spans="35:45" ht="11.25" customHeight="1" x14ac:dyDescent="0.2">
      <c r="AI604" s="3" t="e">
        <f t="shared" si="111"/>
        <v>#N/A</v>
      </c>
      <c r="AJ604" s="3" t="e">
        <f t="shared" si="112"/>
        <v>#N/A</v>
      </c>
      <c r="AK604" s="1">
        <f t="shared" si="108"/>
        <v>89.250000000000526</v>
      </c>
      <c r="AL604" s="1">
        <f t="shared" si="109"/>
        <v>2.482387963232211</v>
      </c>
      <c r="AM604" s="1">
        <f t="shared" si="113"/>
        <v>8.4326170680937285E-3</v>
      </c>
      <c r="AN604" s="1">
        <f t="shared" si="114"/>
        <v>8.4326170680937285E-3</v>
      </c>
      <c r="AO604" s="1">
        <f t="shared" si="115"/>
        <v>8.4104545701504749E-3</v>
      </c>
      <c r="AP604" s="1">
        <f t="shared" si="110"/>
        <v>0.84806537249967162</v>
      </c>
      <c r="AQ604" s="1">
        <f t="shared" si="116"/>
        <v>0.11001796397014374</v>
      </c>
      <c r="AR604" s="1">
        <f t="shared" si="117"/>
        <v>0.11001796397014374</v>
      </c>
      <c r="AS604" s="1">
        <f t="shared" si="118"/>
        <v>9.9515059703498485E-2</v>
      </c>
    </row>
    <row r="605" spans="35:45" ht="11.25" customHeight="1" x14ac:dyDescent="0.2">
      <c r="AI605" s="3" t="e">
        <f t="shared" si="111"/>
        <v>#N/A</v>
      </c>
      <c r="AJ605" s="3" t="e">
        <f t="shared" si="112"/>
        <v>#N/A</v>
      </c>
      <c r="AK605" s="1">
        <f t="shared" si="108"/>
        <v>89.400000000000531</v>
      </c>
      <c r="AL605" s="1">
        <f t="shared" si="109"/>
        <v>2.4918747962127168</v>
      </c>
      <c r="AM605" s="1">
        <f t="shared" si="113"/>
        <v>8.2583108291373053E-3</v>
      </c>
      <c r="AN605" s="1">
        <f t="shared" si="114"/>
        <v>8.2583108291373053E-3</v>
      </c>
      <c r="AO605" s="1">
        <f t="shared" si="115"/>
        <v>8.236606440655346E-3</v>
      </c>
      <c r="AP605" s="1">
        <f t="shared" si="110"/>
        <v>0.83944097888103031</v>
      </c>
      <c r="AQ605" s="1">
        <f t="shared" si="116"/>
        <v>0.1108273236827273</v>
      </c>
      <c r="AR605" s="1">
        <f t="shared" si="117"/>
        <v>0.1108273236827273</v>
      </c>
      <c r="AS605" s="1">
        <f t="shared" si="118"/>
        <v>0.10024715360173875</v>
      </c>
    </row>
    <row r="606" spans="35:45" ht="11.25" customHeight="1" x14ac:dyDescent="0.2">
      <c r="AI606" s="3" t="e">
        <f t="shared" si="111"/>
        <v>#N/A</v>
      </c>
      <c r="AJ606" s="3" t="e">
        <f t="shared" si="112"/>
        <v>#N/A</v>
      </c>
      <c r="AK606" s="1">
        <f t="shared" ref="AK606:AK669" si="119">AK605+$AJ$4</f>
        <v>89.550000000000537</v>
      </c>
      <c r="AL606" s="1">
        <f t="shared" si="109"/>
        <v>2.5013616291932221</v>
      </c>
      <c r="AM606" s="1">
        <f t="shared" si="113"/>
        <v>8.0871404928989366E-3</v>
      </c>
      <c r="AN606" s="1">
        <f t="shared" si="114"/>
        <v>8.0871404928989366E-3</v>
      </c>
      <c r="AO606" s="1">
        <f t="shared" si="115"/>
        <v>8.0658859721382554E-3</v>
      </c>
      <c r="AP606" s="1">
        <f t="shared" si="110"/>
        <v>0.83081658526238888</v>
      </c>
      <c r="AQ606" s="1">
        <f t="shared" si="116"/>
        <v>0.11163456902441027</v>
      </c>
      <c r="AR606" s="1">
        <f t="shared" si="117"/>
        <v>0.11163456902441027</v>
      </c>
      <c r="AS606" s="1">
        <f t="shared" si="118"/>
        <v>0.10097733497825243</v>
      </c>
    </row>
    <row r="607" spans="35:45" ht="11.25" customHeight="1" x14ac:dyDescent="0.2">
      <c r="AI607" s="3" t="e">
        <f t="shared" si="111"/>
        <v>#N/A</v>
      </c>
      <c r="AJ607" s="3" t="e">
        <f t="shared" si="112"/>
        <v>#N/A</v>
      </c>
      <c r="AK607" s="1">
        <f t="shared" si="119"/>
        <v>89.700000000000543</v>
      </c>
      <c r="AL607" s="1">
        <f t="shared" si="109"/>
        <v>2.5108484621737275</v>
      </c>
      <c r="AM607" s="1">
        <f t="shared" si="113"/>
        <v>7.9190622463698457E-3</v>
      </c>
      <c r="AN607" s="1">
        <f t="shared" si="114"/>
        <v>7.9190622463698457E-3</v>
      </c>
      <c r="AO607" s="1">
        <f t="shared" si="115"/>
        <v>7.8982494667392232E-3</v>
      </c>
      <c r="AP607" s="1">
        <f t="shared" si="110"/>
        <v>0.82219219164374757</v>
      </c>
      <c r="AQ607" s="1">
        <f t="shared" si="116"/>
        <v>0.11243955852391352</v>
      </c>
      <c r="AR607" s="1">
        <f t="shared" si="117"/>
        <v>0.11243955852391352</v>
      </c>
      <c r="AS607" s="1">
        <f t="shared" si="118"/>
        <v>0.10170547586736663</v>
      </c>
    </row>
    <row r="608" spans="35:45" ht="11.25" customHeight="1" x14ac:dyDescent="0.2">
      <c r="AI608" s="3" t="e">
        <f t="shared" si="111"/>
        <v>#N/A</v>
      </c>
      <c r="AJ608" s="3" t="e">
        <f t="shared" si="112"/>
        <v>#N/A</v>
      </c>
      <c r="AK608" s="1">
        <f t="shared" si="119"/>
        <v>89.850000000000549</v>
      </c>
      <c r="AL608" s="1">
        <f t="shared" si="109"/>
        <v>2.5203352951542333</v>
      </c>
      <c r="AM608" s="1">
        <f t="shared" si="113"/>
        <v>7.754032553264345E-3</v>
      </c>
      <c r="AN608" s="1">
        <f t="shared" si="114"/>
        <v>7.754032553264345E-3</v>
      </c>
      <c r="AO608" s="1">
        <f t="shared" si="115"/>
        <v>7.7336535025940784E-3</v>
      </c>
      <c r="AP608" s="1">
        <f t="shared" si="110"/>
        <v>0.81356779802510615</v>
      </c>
      <c r="AQ608" s="1">
        <f t="shared" si="116"/>
        <v>0.11324215007935123</v>
      </c>
      <c r="AR608" s="1">
        <f t="shared" si="117"/>
        <v>0.11324215007935123</v>
      </c>
      <c r="AS608" s="1">
        <f t="shared" si="118"/>
        <v>0.10243144773300289</v>
      </c>
    </row>
    <row r="609" spans="35:45" ht="11.25" customHeight="1" x14ac:dyDescent="0.2">
      <c r="AI609" s="3" t="e">
        <f t="shared" si="111"/>
        <v>#N/A</v>
      </c>
      <c r="AJ609" s="3" t="e">
        <f t="shared" si="112"/>
        <v>#N/A</v>
      </c>
      <c r="AK609" s="1">
        <f t="shared" si="119"/>
        <v>90.000000000000554</v>
      </c>
      <c r="AL609" s="1">
        <f t="shared" si="109"/>
        <v>2.5298221281347386</v>
      </c>
      <c r="AM609" s="1">
        <f t="shared" si="113"/>
        <v>7.5920081628669256E-3</v>
      </c>
      <c r="AN609" s="1">
        <f t="shared" si="114"/>
        <v>7.5920081628669256E-3</v>
      </c>
      <c r="AO609" s="1">
        <f t="shared" si="115"/>
        <v>7.5720549426582986E-3</v>
      </c>
      <c r="AP609" s="1">
        <f t="shared" si="110"/>
        <v>0.80494340440646484</v>
      </c>
      <c r="AQ609" s="1">
        <f t="shared" si="116"/>
        <v>0.11404220097821494</v>
      </c>
      <c r="AR609" s="1">
        <f t="shared" si="117"/>
        <v>0.11404220097821494</v>
      </c>
      <c r="AS609" s="1">
        <f t="shared" si="118"/>
        <v>0.10315512148675336</v>
      </c>
    </row>
    <row r="610" spans="35:45" ht="11.25" customHeight="1" x14ac:dyDescent="0.2">
      <c r="AI610" s="3" t="e">
        <f t="shared" si="111"/>
        <v>#N/A</v>
      </c>
      <c r="AJ610" s="3" t="e">
        <f t="shared" si="112"/>
        <v>#N/A</v>
      </c>
      <c r="AK610" s="1">
        <f t="shared" si="119"/>
        <v>90.15000000000056</v>
      </c>
      <c r="AL610" s="1">
        <f t="shared" si="109"/>
        <v>2.539308961115244</v>
      </c>
      <c r="AM610" s="1">
        <f t="shared" si="113"/>
        <v>7.4329461187405688E-3</v>
      </c>
      <c r="AN610" s="1">
        <f t="shared" si="114"/>
        <v>7.4329461187405688E-3</v>
      </c>
      <c r="AO610" s="1">
        <f t="shared" si="115"/>
        <v>7.4134109433924324E-3</v>
      </c>
      <c r="AP610" s="1">
        <f t="shared" si="110"/>
        <v>0.79631901078782341</v>
      </c>
      <c r="AQ610" s="1">
        <f t="shared" si="116"/>
        <v>0.11483956793956196</v>
      </c>
      <c r="AR610" s="1">
        <f t="shared" si="117"/>
        <v>0.11483956793956196</v>
      </c>
      <c r="AS610" s="1">
        <f t="shared" si="118"/>
        <v>0.10387636752604182</v>
      </c>
    </row>
    <row r="611" spans="35:45" ht="11.25" customHeight="1" x14ac:dyDescent="0.2">
      <c r="AI611" s="3" t="e">
        <f t="shared" si="111"/>
        <v>#N/A</v>
      </c>
      <c r="AJ611" s="3" t="e">
        <f t="shared" si="112"/>
        <v>#N/A</v>
      </c>
      <c r="AK611" s="1">
        <f t="shared" si="119"/>
        <v>90.300000000000566</v>
      </c>
      <c r="AL611" s="1">
        <f t="shared" si="109"/>
        <v>2.5487957940957497</v>
      </c>
      <c r="AM611" s="1">
        <f t="shared" si="113"/>
        <v>7.2768037650411399E-3</v>
      </c>
      <c r="AN611" s="1">
        <f t="shared" si="114"/>
        <v>7.2768037650411399E-3</v>
      </c>
      <c r="AO611" s="1">
        <f t="shared" si="115"/>
        <v>7.2576789610598958E-3</v>
      </c>
      <c r="AP611" s="1">
        <f t="shared" si="110"/>
        <v>0.7876946171691821</v>
      </c>
      <c r="AQ611" s="1">
        <f t="shared" si="116"/>
        <v>0.11563410714954259</v>
      </c>
      <c r="AR611" s="1">
        <f t="shared" si="117"/>
        <v>0.11563410714954259</v>
      </c>
      <c r="AS611" s="1">
        <f t="shared" si="118"/>
        <v>0.10459505576625912</v>
      </c>
    </row>
    <row r="612" spans="35:45" ht="11.25" customHeight="1" x14ac:dyDescent="0.2">
      <c r="AI612" s="3" t="e">
        <f t="shared" si="111"/>
        <v>#N/A</v>
      </c>
      <c r="AJ612" s="3" t="e">
        <f t="shared" si="112"/>
        <v>#N/A</v>
      </c>
      <c r="AK612" s="1">
        <f t="shared" si="119"/>
        <v>90.450000000000571</v>
      </c>
      <c r="AL612" s="1">
        <f t="shared" si="109"/>
        <v>2.5582826270762551</v>
      </c>
      <c r="AM612" s="1">
        <f t="shared" si="113"/>
        <v>7.1235387548787554E-3</v>
      </c>
      <c r="AN612" s="1">
        <f t="shared" si="114"/>
        <v>7.1235387548787554E-3</v>
      </c>
      <c r="AO612" s="1">
        <f t="shared" si="115"/>
        <v>7.10481676006637E-3</v>
      </c>
      <c r="AP612" s="1">
        <f t="shared" si="110"/>
        <v>0.77907022355054067</v>
      </c>
      <c r="AQ612" s="1">
        <f t="shared" si="116"/>
        <v>0.11642567435465878</v>
      </c>
      <c r="AR612" s="1">
        <f t="shared" si="117"/>
        <v>0.11642567435465878</v>
      </c>
      <c r="AS612" s="1">
        <f t="shared" si="118"/>
        <v>0.10531105572511899</v>
      </c>
    </row>
    <row r="613" spans="35:45" ht="11.25" customHeight="1" x14ac:dyDescent="0.2">
      <c r="AI613" s="3" t="e">
        <f t="shared" si="111"/>
        <v>#N/A</v>
      </c>
      <c r="AJ613" s="3" t="e">
        <f t="shared" si="112"/>
        <v>#N/A</v>
      </c>
      <c r="AK613" s="1">
        <f t="shared" si="119"/>
        <v>90.600000000000577</v>
      </c>
      <c r="AL613" s="1">
        <f t="shared" si="109"/>
        <v>2.5677694600567604</v>
      </c>
      <c r="AM613" s="1">
        <f t="shared" si="113"/>
        <v>6.9731090559382869E-3</v>
      </c>
      <c r="AN613" s="1">
        <f t="shared" si="114"/>
        <v>6.9731090559382869E-3</v>
      </c>
      <c r="AO613" s="1">
        <f t="shared" si="115"/>
        <v>6.9547824185655256E-3</v>
      </c>
      <c r="AP613" s="1">
        <f t="shared" si="110"/>
        <v>0.77044582993189936</v>
      </c>
      <c r="AQ613" s="1">
        <f t="shared" si="116"/>
        <v>0.11721412482623705</v>
      </c>
      <c r="AR613" s="1">
        <f t="shared" si="117"/>
        <v>0.11721412482623705</v>
      </c>
      <c r="AS613" s="1">
        <f t="shared" si="118"/>
        <v>0.10602423649052251</v>
      </c>
    </row>
    <row r="614" spans="35:45" ht="11.25" customHeight="1" x14ac:dyDescent="0.2">
      <c r="AI614" s="3" t="e">
        <f t="shared" si="111"/>
        <v>#N/A</v>
      </c>
      <c r="AJ614" s="3" t="e">
        <f t="shared" si="112"/>
        <v>#N/A</v>
      </c>
      <c r="AK614" s="1">
        <f t="shared" si="119"/>
        <v>90.750000000000583</v>
      </c>
      <c r="AL614" s="1">
        <f t="shared" si="109"/>
        <v>2.5772562930372662</v>
      </c>
      <c r="AM614" s="1">
        <f t="shared" si="113"/>
        <v>6.8254729540528913E-3</v>
      </c>
      <c r="AN614" s="1">
        <f t="shared" si="114"/>
        <v>6.8254729540528913E-3</v>
      </c>
      <c r="AO614" s="1">
        <f t="shared" si="115"/>
        <v>6.8075343320231681E-3</v>
      </c>
      <c r="AP614" s="1">
        <f t="shared" si="110"/>
        <v>0.76182143631325805</v>
      </c>
      <c r="AQ614" s="1">
        <f t="shared" si="116"/>
        <v>0.11799931344258496</v>
      </c>
      <c r="AR614" s="1">
        <f t="shared" si="117"/>
        <v>0.11799931344258496</v>
      </c>
      <c r="AS614" s="1">
        <f t="shared" si="118"/>
        <v>0.10673446679487147</v>
      </c>
    </row>
    <row r="615" spans="35:45" ht="11.25" customHeight="1" x14ac:dyDescent="0.2">
      <c r="AI615" s="3" t="e">
        <f t="shared" si="111"/>
        <v>#N/A</v>
      </c>
      <c r="AJ615" s="3" t="e">
        <f t="shared" si="112"/>
        <v>#N/A</v>
      </c>
      <c r="AK615" s="1">
        <f t="shared" si="119"/>
        <v>90.900000000000588</v>
      </c>
      <c r="AL615" s="1">
        <f t="shared" si="109"/>
        <v>2.5867431260177716</v>
      </c>
      <c r="AM615" s="1">
        <f t="shared" si="113"/>
        <v>6.6805890626756015E-3</v>
      </c>
      <c r="AN615" s="1">
        <f t="shared" si="114"/>
        <v>6.6805890626756015E-3</v>
      </c>
      <c r="AO615" s="1">
        <f t="shared" si="115"/>
        <v>6.6630312226639314E-3</v>
      </c>
      <c r="AP615" s="1">
        <f t="shared" si="110"/>
        <v>0.75319704269461663</v>
      </c>
      <c r="AQ615" s="1">
        <f t="shared" si="116"/>
        <v>0.11878109477780896</v>
      </c>
      <c r="AR615" s="1">
        <f t="shared" si="117"/>
        <v>0.11878109477780896</v>
      </c>
      <c r="AS615" s="1">
        <f t="shared" si="118"/>
        <v>0.10744161509540728</v>
      </c>
    </row>
    <row r="616" spans="35:45" ht="11.25" customHeight="1" x14ac:dyDescent="0.2">
      <c r="AI616" s="3" t="e">
        <f t="shared" si="111"/>
        <v>#N/A</v>
      </c>
      <c r="AJ616" s="3" t="e">
        <f t="shared" si="112"/>
        <v>#N/A</v>
      </c>
      <c r="AK616" s="1">
        <f t="shared" si="119"/>
        <v>91.050000000000594</v>
      </c>
      <c r="AL616" s="1">
        <f t="shared" si="109"/>
        <v>2.5962299589982769</v>
      </c>
      <c r="AM616" s="1">
        <f t="shared" si="113"/>
        <v>6.538416329401886E-3</v>
      </c>
      <c r="AN616" s="1">
        <f t="shared" si="114"/>
        <v>6.538416329401886E-3</v>
      </c>
      <c r="AO616" s="1">
        <f t="shared" si="115"/>
        <v>6.5212321459766969E-3</v>
      </c>
      <c r="AP616" s="1">
        <f t="shared" si="110"/>
        <v>0.74457264907597531</v>
      </c>
      <c r="AQ616" s="1">
        <f t="shared" si="116"/>
        <v>0.11955932303742145</v>
      </c>
      <c r="AR616" s="1">
        <f t="shared" si="117"/>
        <v>0.11955932303742145</v>
      </c>
      <c r="AS616" s="1">
        <f t="shared" si="118"/>
        <v>0.10814554951596522</v>
      </c>
    </row>
    <row r="617" spans="35:45" ht="11.25" customHeight="1" x14ac:dyDescent="0.2">
      <c r="AI617" s="3" t="e">
        <f t="shared" si="111"/>
        <v>#N/A</v>
      </c>
      <c r="AJ617" s="3" t="e">
        <f t="shared" si="112"/>
        <v>#N/A</v>
      </c>
      <c r="AK617" s="1">
        <f t="shared" si="119"/>
        <v>91.2000000000006</v>
      </c>
      <c r="AL617" s="1">
        <f t="shared" si="109"/>
        <v>2.6057167919787827</v>
      </c>
      <c r="AM617" s="1">
        <f t="shared" si="113"/>
        <v>6.3989140357614827E-3</v>
      </c>
      <c r="AN617" s="1">
        <f t="shared" si="114"/>
        <v>6.3989140357614827E-3</v>
      </c>
      <c r="AO617" s="1">
        <f t="shared" si="115"/>
        <v>6.382096490506973E-3</v>
      </c>
      <c r="AP617" s="1">
        <f t="shared" si="110"/>
        <v>0.73594825545733389</v>
      </c>
      <c r="AQ617" s="1">
        <f t="shared" si="116"/>
        <v>0.12033385221821291</v>
      </c>
      <c r="AR617" s="1">
        <f t="shared" si="117"/>
        <v>0.12033385221821291</v>
      </c>
      <c r="AS617" s="1">
        <f t="shared" si="118"/>
        <v>0.10884613799158435</v>
      </c>
    </row>
    <row r="618" spans="35:45" ht="11.25" customHeight="1" x14ac:dyDescent="0.2">
      <c r="AI618" s="3" t="e">
        <f t="shared" si="111"/>
        <v>#N/A</v>
      </c>
      <c r="AJ618" s="3" t="e">
        <f t="shared" si="112"/>
        <v>#N/A</v>
      </c>
      <c r="AK618" s="1">
        <f t="shared" si="119"/>
        <v>91.350000000000605</v>
      </c>
      <c r="AL618" s="1">
        <f t="shared" si="109"/>
        <v>2.615203624959288</v>
      </c>
      <c r="AM618" s="1">
        <f t="shared" si="113"/>
        <v>6.262041806204266E-3</v>
      </c>
      <c r="AN618" s="1">
        <f t="shared" si="114"/>
        <v>6.262041806204266E-3</v>
      </c>
      <c r="AO618" s="1">
        <f t="shared" si="115"/>
        <v>6.2455839868191454E-3</v>
      </c>
      <c r="AP618" s="1">
        <f t="shared" si="110"/>
        <v>0.72732386183869258</v>
      </c>
      <c r="AQ618" s="1">
        <f t="shared" si="116"/>
        <v>0.12110453606828386</v>
      </c>
      <c r="AR618" s="1">
        <f t="shared" si="117"/>
        <v>0.12110453606828386</v>
      </c>
      <c r="AS618" s="1">
        <f t="shared" si="118"/>
        <v>0.10954324823235509</v>
      </c>
    </row>
    <row r="619" spans="35:45" ht="11.25" customHeight="1" x14ac:dyDescent="0.2">
      <c r="AI619" s="3" t="e">
        <f t="shared" si="111"/>
        <v>#N/A</v>
      </c>
      <c r="AJ619" s="3" t="e">
        <f t="shared" si="112"/>
        <v>#N/A</v>
      </c>
      <c r="AK619" s="1">
        <f t="shared" si="119"/>
        <v>91.500000000000611</v>
      </c>
      <c r="AL619" s="1">
        <f t="shared" si="109"/>
        <v>2.6246904579397934</v>
      </c>
      <c r="AM619" s="1">
        <f t="shared" si="113"/>
        <v>6.1277596126799172E-3</v>
      </c>
      <c r="AN619" s="1">
        <f t="shared" si="114"/>
        <v>6.1277596126799172E-3</v>
      </c>
      <c r="AO619" s="1">
        <f t="shared" si="115"/>
        <v>6.1116547120641145E-3</v>
      </c>
      <c r="AP619" s="1">
        <f t="shared" si="110"/>
        <v>0.71869946822005115</v>
      </c>
      <c r="AQ619" s="1">
        <f t="shared" si="116"/>
        <v>0.1218712281847445</v>
      </c>
      <c r="AR619" s="1">
        <f t="shared" si="117"/>
        <v>0.1218712281847445</v>
      </c>
      <c r="AS619" s="1">
        <f t="shared" si="118"/>
        <v>0.11023674781179182</v>
      </c>
    </row>
    <row r="620" spans="35:45" ht="11.25" customHeight="1" x14ac:dyDescent="0.2">
      <c r="AI620" s="3" t="e">
        <f t="shared" si="111"/>
        <v>#N/A</v>
      </c>
      <c r="AJ620" s="3" t="e">
        <f t="shared" si="112"/>
        <v>#N/A</v>
      </c>
      <c r="AK620" s="1">
        <f t="shared" si="119"/>
        <v>91.650000000000617</v>
      </c>
      <c r="AL620" s="1">
        <f t="shared" si="109"/>
        <v>2.6341772909202992</v>
      </c>
      <c r="AM620" s="1">
        <f t="shared" si="113"/>
        <v>5.9960277805012896E-3</v>
      </c>
      <c r="AN620" s="1">
        <f t="shared" si="114"/>
        <v>5.9960277805012896E-3</v>
      </c>
      <c r="AO620" s="1">
        <f t="shared" si="115"/>
        <v>5.9802690958272453E-3</v>
      </c>
      <c r="AP620" s="1">
        <f t="shared" si="110"/>
        <v>0.71007507460140984</v>
      </c>
      <c r="AQ620" s="1">
        <f t="shared" si="116"/>
        <v>0.12263378203813957</v>
      </c>
      <c r="AR620" s="1">
        <f t="shared" si="117"/>
        <v>0.12263378203813957</v>
      </c>
      <c r="AS620" s="1">
        <f t="shared" si="118"/>
        <v>0.11092650418892618</v>
      </c>
    </row>
    <row r="621" spans="35:45" ht="11.25" customHeight="1" x14ac:dyDescent="0.2">
      <c r="AI621" s="3" t="e">
        <f t="shared" si="111"/>
        <v>#N/A</v>
      </c>
      <c r="AJ621" s="3" t="e">
        <f t="shared" si="112"/>
        <v>#N/A</v>
      </c>
      <c r="AK621" s="1">
        <f t="shared" si="119"/>
        <v>91.800000000000622</v>
      </c>
      <c r="AL621" s="1">
        <f t="shared" si="109"/>
        <v>2.6436641239008045</v>
      </c>
      <c r="AM621" s="1">
        <f t="shared" si="113"/>
        <v>5.8668069876852136E-3</v>
      </c>
      <c r="AN621" s="1">
        <f t="shared" si="114"/>
        <v>5.8668069876852136E-3</v>
      </c>
      <c r="AO621" s="1">
        <f t="shared" si="115"/>
        <v>5.8513879194709096E-3</v>
      </c>
      <c r="AP621" s="1">
        <f t="shared" si="110"/>
        <v>0.70145068098276842</v>
      </c>
      <c r="AQ621" s="1">
        <f t="shared" si="116"/>
        <v>0.1233920510190778</v>
      </c>
      <c r="AR621" s="1">
        <f t="shared" si="117"/>
        <v>0.1233920510190778</v>
      </c>
      <c r="AS621" s="1">
        <f t="shared" si="118"/>
        <v>0.11161238475048481</v>
      </c>
    </row>
    <row r="622" spans="35:45" ht="11.25" customHeight="1" x14ac:dyDescent="0.2">
      <c r="AI622" s="3" t="e">
        <f t="shared" si="111"/>
        <v>#N/A</v>
      </c>
      <c r="AJ622" s="3" t="e">
        <f t="shared" si="112"/>
        <v>#N/A</v>
      </c>
      <c r="AK622" s="1">
        <f t="shared" si="119"/>
        <v>91.950000000000628</v>
      </c>
      <c r="AL622" s="1">
        <f t="shared" si="109"/>
        <v>2.6531509568813099</v>
      </c>
      <c r="AM622" s="1">
        <f t="shared" si="113"/>
        <v>5.7400582713709736E-3</v>
      </c>
      <c r="AN622" s="1">
        <f t="shared" si="114"/>
        <v>5.7400582713709736E-3</v>
      </c>
      <c r="AO622" s="1">
        <f t="shared" si="115"/>
        <v>5.7249723225360916E-3</v>
      </c>
      <c r="AP622" s="1">
        <f t="shared" si="110"/>
        <v>0.6928262873641271</v>
      </c>
      <c r="AQ622" s="1">
        <f t="shared" si="116"/>
        <v>0.12414588850262476</v>
      </c>
      <c r="AR622" s="1">
        <f t="shared" si="117"/>
        <v>0.12414588850262476</v>
      </c>
      <c r="AS622" s="1">
        <f t="shared" si="118"/>
        <v>0.11229425686913506</v>
      </c>
    </row>
    <row r="623" spans="35:45" ht="11.25" customHeight="1" x14ac:dyDescent="0.2">
      <c r="AI623" s="3" t="e">
        <f t="shared" si="111"/>
        <v>#N/A</v>
      </c>
      <c r="AJ623" s="3" t="e">
        <f t="shared" si="112"/>
        <v>#N/A</v>
      </c>
      <c r="AK623" s="1">
        <f t="shared" si="119"/>
        <v>92.100000000000634</v>
      </c>
      <c r="AL623" s="1">
        <f t="shared" si="109"/>
        <v>2.6626377898618157</v>
      </c>
      <c r="AM623" s="1">
        <f t="shared" si="113"/>
        <v>5.6157430345163406E-3</v>
      </c>
      <c r="AN623" s="1">
        <f t="shared" si="114"/>
        <v>5.6157430345163406E-3</v>
      </c>
      <c r="AO623" s="1">
        <f t="shared" si="115"/>
        <v>5.6009838094208215E-3</v>
      </c>
      <c r="AP623" s="1">
        <f t="shared" si="110"/>
        <v>0.68420189374548579</v>
      </c>
      <c r="AQ623" s="1">
        <f t="shared" si="116"/>
        <v>0.12489514785940514</v>
      </c>
      <c r="AR623" s="1">
        <f t="shared" si="117"/>
        <v>0.12489514785940514</v>
      </c>
      <c r="AS623" s="1">
        <f t="shared" si="118"/>
        <v>0.11297198791352742</v>
      </c>
    </row>
    <row r="624" spans="35:45" ht="11.25" customHeight="1" x14ac:dyDescent="0.2">
      <c r="AI624" s="3" t="e">
        <f t="shared" si="111"/>
        <v>#N/A</v>
      </c>
      <c r="AJ624" s="3" t="e">
        <f t="shared" si="112"/>
        <v>#N/A</v>
      </c>
      <c r="AK624" s="1">
        <f t="shared" si="119"/>
        <v>92.250000000000639</v>
      </c>
      <c r="AL624" s="1">
        <f t="shared" si="109"/>
        <v>2.672124622842321</v>
      </c>
      <c r="AM624" s="1">
        <f t="shared" si="113"/>
        <v>5.4938230481874073E-3</v>
      </c>
      <c r="AN624" s="1">
        <f t="shared" si="114"/>
        <v>5.4938230481874073E-3</v>
      </c>
      <c r="AO624" s="1">
        <f t="shared" si="115"/>
        <v>5.4793842516639955E-3</v>
      </c>
      <c r="AP624" s="1">
        <f t="shared" si="110"/>
        <v>0.67557750012684437</v>
      </c>
      <c r="AQ624" s="1">
        <f t="shared" si="116"/>
        <v>0.1256396825399797</v>
      </c>
      <c r="AR624" s="1">
        <f t="shared" si="117"/>
        <v>0.1256396825399797</v>
      </c>
      <c r="AS624" s="1">
        <f t="shared" si="118"/>
        <v>0.11364544532461721</v>
      </c>
    </row>
    <row r="625" spans="35:45" ht="11.25" customHeight="1" x14ac:dyDescent="0.2">
      <c r="AI625" s="3" t="e">
        <f t="shared" si="111"/>
        <v>#N/A</v>
      </c>
      <c r="AJ625" s="3" t="e">
        <f t="shared" si="112"/>
        <v>#N/A</v>
      </c>
      <c r="AK625" s="1">
        <f t="shared" si="119"/>
        <v>92.400000000000645</v>
      </c>
      <c r="AL625" s="1">
        <f t="shared" si="109"/>
        <v>2.6816114558228263</v>
      </c>
      <c r="AM625" s="1">
        <f t="shared" si="113"/>
        <v>5.3742604471523903E-3</v>
      </c>
      <c r="AN625" s="1">
        <f t="shared" si="114"/>
        <v>5.3742604471523903E-3</v>
      </c>
      <c r="AO625" s="1">
        <f t="shared" si="115"/>
        <v>5.3601358835507554E-3</v>
      </c>
      <c r="AP625" s="1">
        <f t="shared" si="110"/>
        <v>0.66695310650820305</v>
      </c>
      <c r="AQ625" s="1">
        <f t="shared" si="116"/>
        <v>0.12637934611037238</v>
      </c>
      <c r="AR625" s="1">
        <f t="shared" si="117"/>
        <v>0.12637934611037238</v>
      </c>
      <c r="AS625" s="1">
        <f t="shared" si="118"/>
        <v>0.11431449664780026</v>
      </c>
    </row>
    <row r="626" spans="35:45" ht="11.25" customHeight="1" x14ac:dyDescent="0.2">
      <c r="AI626" s="3" t="e">
        <f t="shared" si="111"/>
        <v>#N/A</v>
      </c>
      <c r="AJ626" s="3" t="e">
        <f t="shared" si="112"/>
        <v>#N/A</v>
      </c>
      <c r="AK626" s="1">
        <f t="shared" si="119"/>
        <v>92.550000000000651</v>
      </c>
      <c r="AL626" s="1">
        <f t="shared" si="109"/>
        <v>2.6910982888033321</v>
      </c>
      <c r="AM626" s="1">
        <f t="shared" si="113"/>
        <v>5.2570177446961686E-3</v>
      </c>
      <c r="AN626" s="1">
        <f t="shared" si="114"/>
        <v>5.2570177446961686E-3</v>
      </c>
      <c r="AO626" s="1">
        <f t="shared" si="115"/>
        <v>5.2432013168880916E-3</v>
      </c>
      <c r="AP626" s="1">
        <f t="shared" si="110"/>
        <v>0.65832871288956163</v>
      </c>
      <c r="AQ626" s="1">
        <f t="shared" si="116"/>
        <v>0.12711399229647924</v>
      </c>
      <c r="AR626" s="1">
        <f t="shared" si="117"/>
        <v>0.12711399229647924</v>
      </c>
      <c r="AS626" s="1">
        <f t="shared" si="118"/>
        <v>0.11497900957308227</v>
      </c>
    </row>
    <row r="627" spans="35:45" ht="11.25" customHeight="1" x14ac:dyDescent="0.2">
      <c r="AI627" s="3" t="e">
        <f t="shared" si="111"/>
        <v>#N/A</v>
      </c>
      <c r="AJ627" s="3" t="e">
        <f t="shared" si="112"/>
        <v>#N/A</v>
      </c>
      <c r="AK627" s="1">
        <f t="shared" si="119"/>
        <v>92.700000000000657</v>
      </c>
      <c r="AL627" s="1">
        <f t="shared" si="109"/>
        <v>2.7005851217838375</v>
      </c>
      <c r="AM627" s="1">
        <f t="shared" si="113"/>
        <v>5.1420578259589456E-3</v>
      </c>
      <c r="AN627" s="1">
        <f t="shared" si="114"/>
        <v>5.1420578259589456E-3</v>
      </c>
      <c r="AO627" s="1">
        <f t="shared" si="115"/>
        <v>5.1285435343610148E-3</v>
      </c>
      <c r="AP627" s="1">
        <f t="shared" si="110"/>
        <v>0.64970431927092032</v>
      </c>
      <c r="AQ627" s="1">
        <f t="shared" si="116"/>
        <v>0.12784347503735916</v>
      </c>
      <c r="AR627" s="1">
        <f t="shared" si="117"/>
        <v>0.12784347503735916</v>
      </c>
      <c r="AS627" s="1">
        <f t="shared" si="118"/>
        <v>0.1156388519832821</v>
      </c>
    </row>
    <row r="628" spans="35:45" ht="11.25" customHeight="1" x14ac:dyDescent="0.2">
      <c r="AI628" s="3" t="e">
        <f t="shared" si="111"/>
        <v>#N/A</v>
      </c>
      <c r="AJ628" s="3" t="e">
        <f t="shared" si="112"/>
        <v>#N/A</v>
      </c>
      <c r="AK628" s="1">
        <f t="shared" si="119"/>
        <v>92.850000000000662</v>
      </c>
      <c r="AL628" s="1">
        <f t="shared" si="109"/>
        <v>2.7100719547643428</v>
      </c>
      <c r="AM628" s="1">
        <f t="shared" si="113"/>
        <v>5.0293439574078391E-3</v>
      </c>
      <c r="AN628" s="1">
        <f t="shared" si="114"/>
        <v>5.0293439574078391E-3</v>
      </c>
      <c r="AO628" s="1">
        <f t="shared" si="115"/>
        <v>5.0161258989792519E-3</v>
      </c>
      <c r="AP628" s="1">
        <f t="shared" si="110"/>
        <v>0.64107992565227889</v>
      </c>
      <c r="AQ628" s="1">
        <f t="shared" si="116"/>
        <v>0.12856764852964275</v>
      </c>
      <c r="AR628" s="1">
        <f t="shared" si="117"/>
        <v>0.12856764852964275</v>
      </c>
      <c r="AS628" s="1">
        <f t="shared" si="118"/>
        <v>0.11629389199420113</v>
      </c>
    </row>
    <row r="629" spans="35:45" ht="11.25" customHeight="1" x14ac:dyDescent="0.2">
      <c r="AI629" s="3" t="e">
        <f t="shared" si="111"/>
        <v>#N/A</v>
      </c>
      <c r="AJ629" s="3" t="e">
        <f t="shared" si="112"/>
        <v>#N/A</v>
      </c>
      <c r="AK629" s="1">
        <f t="shared" si="119"/>
        <v>93.000000000000668</v>
      </c>
      <c r="AL629" s="1">
        <f t="shared" si="109"/>
        <v>2.7195587877448486</v>
      </c>
      <c r="AM629" s="1">
        <f t="shared" si="113"/>
        <v>4.9188397838531572E-3</v>
      </c>
      <c r="AN629" s="1">
        <f t="shared" si="114"/>
        <v>4.9188397838531572E-3</v>
      </c>
      <c r="AO629" s="1">
        <f t="shared" si="115"/>
        <v>4.9059121511013616E-3</v>
      </c>
      <c r="AP629" s="1">
        <f t="shared" si="110"/>
        <v>0.63245553203363758</v>
      </c>
      <c r="AQ629" s="1">
        <f t="shared" si="116"/>
        <v>0.1292863672808231</v>
      </c>
      <c r="AR629" s="1">
        <f t="shared" si="117"/>
        <v>0.1292863672808231</v>
      </c>
      <c r="AS629" s="1">
        <f t="shared" si="118"/>
        <v>0.11694399800282665</v>
      </c>
    </row>
    <row r="630" spans="35:45" ht="11.25" customHeight="1" x14ac:dyDescent="0.2">
      <c r="AI630" s="3" t="e">
        <f t="shared" si="111"/>
        <v>#N/A</v>
      </c>
      <c r="AJ630" s="3" t="e">
        <f t="shared" si="112"/>
        <v>#N/A</v>
      </c>
      <c r="AK630" s="1">
        <f t="shared" si="119"/>
        <v>93.150000000000674</v>
      </c>
      <c r="AL630" s="1">
        <f t="shared" si="109"/>
        <v>2.7290456207253539</v>
      </c>
      <c r="AM630" s="1">
        <f t="shared" si="113"/>
        <v>4.8105093294198431E-3</v>
      </c>
      <c r="AN630" s="1">
        <f t="shared" si="114"/>
        <v>4.8105093294198431E-3</v>
      </c>
      <c r="AO630" s="1">
        <f t="shared" si="115"/>
        <v>4.7978664094036295E-3</v>
      </c>
      <c r="AP630" s="1">
        <f t="shared" si="110"/>
        <v>0.62383113841499616</v>
      </c>
      <c r="AQ630" s="1">
        <f t="shared" si="116"/>
        <v>0.12999948616032597</v>
      </c>
      <c r="AR630" s="1">
        <f t="shared" si="117"/>
        <v>0.12999948616032597</v>
      </c>
      <c r="AS630" s="1">
        <f t="shared" si="118"/>
        <v>0.11758903873352658</v>
      </c>
    </row>
    <row r="631" spans="35:45" ht="11.25" customHeight="1" x14ac:dyDescent="0.2">
      <c r="AI631" s="3" t="e">
        <f t="shared" si="111"/>
        <v>#N/A</v>
      </c>
      <c r="AJ631" s="3" t="e">
        <f t="shared" si="112"/>
        <v>#N/A</v>
      </c>
      <c r="AK631" s="1">
        <f t="shared" si="119"/>
        <v>93.300000000000679</v>
      </c>
      <c r="AL631" s="1">
        <f t="shared" si="109"/>
        <v>2.7385324537058597</v>
      </c>
      <c r="AM631" s="1">
        <f t="shared" si="113"/>
        <v>4.7043170084068442E-3</v>
      </c>
      <c r="AN631" s="1">
        <f t="shared" si="114"/>
        <v>4.7043170084068442E-3</v>
      </c>
      <c r="AO631" s="1">
        <f t="shared" si="115"/>
        <v>4.6919531817108933E-3</v>
      </c>
      <c r="AP631" s="1">
        <f t="shared" si="110"/>
        <v>0.61520674479635484</v>
      </c>
      <c r="AQ631" s="1">
        <f t="shared" si="116"/>
        <v>0.13070686044835966</v>
      </c>
      <c r="AR631" s="1">
        <f t="shared" si="117"/>
        <v>0.13070686044835966</v>
      </c>
      <c r="AS631" s="1">
        <f t="shared" si="118"/>
        <v>0.11822888328223588</v>
      </c>
    </row>
    <row r="632" spans="35:45" ht="11.25" customHeight="1" x14ac:dyDescent="0.2">
      <c r="AI632" s="3" t="e">
        <f t="shared" si="111"/>
        <v>#N/A</v>
      </c>
      <c r="AJ632" s="3" t="e">
        <f t="shared" si="112"/>
        <v>#N/A</v>
      </c>
      <c r="AK632" s="1">
        <f t="shared" si="119"/>
        <v>93.450000000000685</v>
      </c>
      <c r="AL632" s="1">
        <f t="shared" si="109"/>
        <v>2.7480192866863651</v>
      </c>
      <c r="AM632" s="1">
        <f t="shared" si="113"/>
        <v>4.6002276148787704E-3</v>
      </c>
      <c r="AN632" s="1">
        <f t="shared" si="114"/>
        <v>4.6002276148787704E-3</v>
      </c>
      <c r="AO632" s="1">
        <f t="shared" si="115"/>
        <v>4.58813735461556E-3</v>
      </c>
      <c r="AP632" s="1">
        <f t="shared" si="110"/>
        <v>0.60658235117771353</v>
      </c>
      <c r="AQ632" s="1">
        <f t="shared" si="116"/>
        <v>0.13140834587366257</v>
      </c>
      <c r="AR632" s="1">
        <f t="shared" si="117"/>
        <v>0.13140834587366257</v>
      </c>
      <c r="AS632" s="1">
        <f t="shared" si="118"/>
        <v>0.11886340115060051</v>
      </c>
    </row>
    <row r="633" spans="35:45" ht="11.25" customHeight="1" x14ac:dyDescent="0.2">
      <c r="AI633" s="3" t="e">
        <f t="shared" si="111"/>
        <v>#N/A</v>
      </c>
      <c r="AJ633" s="3" t="e">
        <f t="shared" si="112"/>
        <v>#N/A</v>
      </c>
      <c r="AK633" s="1">
        <f t="shared" si="119"/>
        <v>93.600000000000691</v>
      </c>
      <c r="AL633" s="1">
        <f t="shared" si="109"/>
        <v>2.7575061196668704</v>
      </c>
      <c r="AM633" s="1">
        <f t="shared" si="113"/>
        <v>4.4982063332824054E-3</v>
      </c>
      <c r="AN633" s="1">
        <f t="shared" si="114"/>
        <v>4.4982063332824054E-3</v>
      </c>
      <c r="AO633" s="1">
        <f t="shared" si="115"/>
        <v>4.4863842040662096E-3</v>
      </c>
      <c r="AP633" s="1">
        <f t="shared" si="110"/>
        <v>0.59795795755907211</v>
      </c>
      <c r="AQ633" s="1">
        <f t="shared" si="116"/>
        <v>0.13210379868233701</v>
      </c>
      <c r="AR633" s="1">
        <f t="shared" si="117"/>
        <v>0.13210379868233701</v>
      </c>
      <c r="AS633" s="1">
        <f t="shared" si="118"/>
        <v>0.11949246230824004</v>
      </c>
    </row>
    <row r="634" spans="35:45" ht="11.25" customHeight="1" x14ac:dyDescent="0.2">
      <c r="AI634" s="3" t="e">
        <f t="shared" si="111"/>
        <v>#N/A</v>
      </c>
      <c r="AJ634" s="3" t="e">
        <f t="shared" si="112"/>
        <v>#N/A</v>
      </c>
      <c r="AK634" s="1">
        <f t="shared" si="119"/>
        <v>93.750000000000696</v>
      </c>
      <c r="AL634" s="1">
        <f t="shared" si="109"/>
        <v>2.7669929526473762</v>
      </c>
      <c r="AM634" s="1">
        <f t="shared" si="113"/>
        <v>4.3982187350119486E-3</v>
      </c>
      <c r="AN634" s="1">
        <f t="shared" si="114"/>
        <v>4.3982187350119486E-3</v>
      </c>
      <c r="AO634" s="1">
        <f t="shared" si="115"/>
        <v>4.3866593919418724E-3</v>
      </c>
      <c r="AP634" s="1">
        <f t="shared" si="110"/>
        <v>0.58933356394043079</v>
      </c>
      <c r="AQ634" s="1">
        <f t="shared" si="116"/>
        <v>0.13279307568669907</v>
      </c>
      <c r="AR634" s="1">
        <f t="shared" si="117"/>
        <v>0.13279307568669907</v>
      </c>
      <c r="AS634" s="1">
        <f t="shared" si="118"/>
        <v>0.12011593723693399</v>
      </c>
    </row>
    <row r="635" spans="35:45" ht="11.25" customHeight="1" x14ac:dyDescent="0.2">
      <c r="AI635" s="3" t="e">
        <f t="shared" si="111"/>
        <v>#N/A</v>
      </c>
      <c r="AJ635" s="3" t="e">
        <f t="shared" si="112"/>
        <v>#N/A</v>
      </c>
      <c r="AK635" s="1">
        <f t="shared" si="119"/>
        <v>93.900000000000702</v>
      </c>
      <c r="AL635" s="1">
        <f t="shared" si="109"/>
        <v>2.7764797856278816</v>
      </c>
      <c r="AM635" s="1">
        <f t="shared" si="113"/>
        <v>4.3002307798661868E-3</v>
      </c>
      <c r="AN635" s="1">
        <f t="shared" si="114"/>
        <v>4.3002307798661868E-3</v>
      </c>
      <c r="AO635" s="1">
        <f t="shared" si="115"/>
        <v>4.2889289675053606E-3</v>
      </c>
      <c r="AP635" s="1">
        <f t="shared" si="110"/>
        <v>0.58070917032178937</v>
      </c>
      <c r="AQ635" s="1">
        <f t="shared" si="116"/>
        <v>0.13347603428526256</v>
      </c>
      <c r="AR635" s="1">
        <f t="shared" si="117"/>
        <v>0.13347603428526256</v>
      </c>
      <c r="AS635" s="1">
        <f t="shared" si="118"/>
        <v>0.12073369694869804</v>
      </c>
    </row>
    <row r="636" spans="35:45" ht="11.25" customHeight="1" x14ac:dyDescent="0.2">
      <c r="AI636" s="3" t="e">
        <f t="shared" si="111"/>
        <v>#N/A</v>
      </c>
      <c r="AJ636" s="3" t="e">
        <f t="shared" si="112"/>
        <v>#N/A</v>
      </c>
      <c r="AK636" s="1">
        <f t="shared" si="119"/>
        <v>94.050000000000708</v>
      </c>
      <c r="AL636" s="1">
        <f t="shared" si="109"/>
        <v>2.7859666186083869</v>
      </c>
      <c r="AM636" s="1">
        <f t="shared" si="113"/>
        <v>4.2042088197261074E-3</v>
      </c>
      <c r="AN636" s="1">
        <f t="shared" si="114"/>
        <v>4.2042088197261074E-3</v>
      </c>
      <c r="AO636" s="1">
        <f t="shared" si="115"/>
        <v>4.1931593710712251E-3</v>
      </c>
      <c r="AP636" s="1">
        <f t="shared" si="110"/>
        <v>0.57208477670314806</v>
      </c>
      <c r="AQ636" s="1">
        <f t="shared" si="116"/>
        <v>0.13415253256265913</v>
      </c>
      <c r="AR636" s="1">
        <f t="shared" si="117"/>
        <v>0.13415253256265913</v>
      </c>
      <c r="AS636" s="1">
        <f t="shared" si="118"/>
        <v>0.12134561307616522</v>
      </c>
    </row>
    <row r="637" spans="35:45" ht="11.25" customHeight="1" x14ac:dyDescent="0.2">
      <c r="AI637" s="3" t="e">
        <f t="shared" si="111"/>
        <v>#N/A</v>
      </c>
      <c r="AJ637" s="3" t="e">
        <f t="shared" si="112"/>
        <v>#N/A</v>
      </c>
      <c r="AK637" s="1">
        <f t="shared" si="119"/>
        <v>94.200000000000713</v>
      </c>
      <c r="AL637" s="1">
        <f t="shared" si="109"/>
        <v>2.7954534515888927</v>
      </c>
      <c r="AM637" s="1">
        <f t="shared" si="113"/>
        <v>4.1101195935935864E-3</v>
      </c>
      <c r="AN637" s="1">
        <f t="shared" si="114"/>
        <v>4.1101195935935864E-3</v>
      </c>
      <c r="AO637" s="1">
        <f t="shared" si="115"/>
        <v>4.0993174290574778E-3</v>
      </c>
      <c r="AP637" s="1">
        <f t="shared" si="110"/>
        <v>0.56346038308450663</v>
      </c>
      <c r="AQ637" s="1">
        <f t="shared" si="116"/>
        <v>0.13482242929185873</v>
      </c>
      <c r="AR637" s="1">
        <f t="shared" si="117"/>
        <v>0.13482242929185873</v>
      </c>
      <c r="AS637" s="1">
        <f t="shared" si="118"/>
        <v>0.12195155787459439</v>
      </c>
    </row>
    <row r="638" spans="35:45" ht="11.25" customHeight="1" x14ac:dyDescent="0.2">
      <c r="AI638" s="3" t="e">
        <f t="shared" si="111"/>
        <v>#N/A</v>
      </c>
      <c r="AJ638" s="3" t="e">
        <f t="shared" si="112"/>
        <v>#N/A</v>
      </c>
      <c r="AK638" s="1">
        <f t="shared" si="119"/>
        <v>94.350000000000719</v>
      </c>
      <c r="AL638" s="1">
        <f t="shared" si="109"/>
        <v>2.804940284569398</v>
      </c>
      <c r="AM638" s="1">
        <f t="shared" si="113"/>
        <v>4.017930235120093E-3</v>
      </c>
      <c r="AN638" s="1">
        <f t="shared" si="114"/>
        <v>4.017930235120093E-3</v>
      </c>
      <c r="AO638" s="1">
        <f t="shared" si="115"/>
        <v>4.007370361494512E-3</v>
      </c>
      <c r="AP638" s="1">
        <f t="shared" si="110"/>
        <v>0.55483598946586532</v>
      </c>
      <c r="AQ638" s="1">
        <f t="shared" si="116"/>
        <v>0.13548558401632604</v>
      </c>
      <c r="AR638" s="1">
        <f t="shared" si="117"/>
        <v>0.13548558401632604</v>
      </c>
      <c r="AS638" s="1">
        <f t="shared" si="118"/>
        <v>0.12255140429618359</v>
      </c>
    </row>
    <row r="639" spans="35:45" ht="11.25" customHeight="1" x14ac:dyDescent="0.2">
      <c r="AI639" s="3" t="e">
        <f t="shared" si="111"/>
        <v>#N/A</v>
      </c>
      <c r="AJ639" s="3" t="e">
        <f t="shared" si="112"/>
        <v>#N/A</v>
      </c>
      <c r="AK639" s="1">
        <f t="shared" si="119"/>
        <v>94.500000000000725</v>
      </c>
      <c r="AL639" s="1">
        <f t="shared" si="109"/>
        <v>2.8144271175499034</v>
      </c>
      <c r="AM639" s="1">
        <f t="shared" si="113"/>
        <v>3.9276082659626954E-3</v>
      </c>
      <c r="AN639" s="1">
        <f t="shared" si="114"/>
        <v>3.9276082659626954E-3</v>
      </c>
      <c r="AO639" s="1">
        <f t="shared" si="115"/>
        <v>3.9172857753985669E-3</v>
      </c>
      <c r="AP639" s="1">
        <f t="shared" si="110"/>
        <v>0.5462115958472239</v>
      </c>
      <c r="AQ639" s="1">
        <f t="shared" si="116"/>
        <v>0.13614185709442947</v>
      </c>
      <c r="AR639" s="1">
        <f t="shared" si="117"/>
        <v>0.13614185709442947</v>
      </c>
      <c r="AS639" s="1">
        <f t="shared" si="118"/>
        <v>0.12314502603023955</v>
      </c>
    </row>
    <row r="640" spans="35:45" ht="11.25" customHeight="1" x14ac:dyDescent="0.2">
      <c r="AI640" s="3" t="e">
        <f t="shared" si="111"/>
        <v>#N/A</v>
      </c>
      <c r="AJ640" s="3" t="e">
        <f t="shared" si="112"/>
        <v>#N/A</v>
      </c>
      <c r="AK640" s="1">
        <f t="shared" si="119"/>
        <v>94.65000000000073</v>
      </c>
      <c r="AL640" s="1">
        <f t="shared" si="109"/>
        <v>2.8239139505304092</v>
      </c>
      <c r="AM640" s="1">
        <f t="shared" si="113"/>
        <v>3.8391216017515106E-3</v>
      </c>
      <c r="AN640" s="1">
        <f t="shared" si="114"/>
        <v>3.8391216017515106E-3</v>
      </c>
      <c r="AO640" s="1">
        <f t="shared" si="115"/>
        <v>3.8290316707234968E-3</v>
      </c>
      <c r="AP640" s="1">
        <f t="shared" si="110"/>
        <v>0.53758720222858258</v>
      </c>
      <c r="AQ640" s="1">
        <f t="shared" si="116"/>
        <v>0.13679110973940919</v>
      </c>
      <c r="AR640" s="1">
        <f t="shared" si="117"/>
        <v>0.13679110973940919</v>
      </c>
      <c r="AS640" s="1">
        <f t="shared" si="118"/>
        <v>0.12373229753933006</v>
      </c>
    </row>
    <row r="641" spans="35:45" ht="11.25" customHeight="1" x14ac:dyDescent="0.2">
      <c r="AI641" s="3" t="e">
        <f t="shared" si="111"/>
        <v>#N/A</v>
      </c>
      <c r="AJ641" s="3" t="e">
        <f t="shared" si="112"/>
        <v>#N/A</v>
      </c>
      <c r="AK641" s="1">
        <f t="shared" si="119"/>
        <v>94.800000000000736</v>
      </c>
      <c r="AL641" s="1">
        <f t="shared" si="109"/>
        <v>2.8334007835109145</v>
      </c>
      <c r="AM641" s="1">
        <f t="shared" si="113"/>
        <v>3.7524385461049081E-3</v>
      </c>
      <c r="AN641" s="1">
        <f t="shared" si="114"/>
        <v>3.7524385461049081E-3</v>
      </c>
      <c r="AO641" s="1">
        <f t="shared" si="115"/>
        <v>3.7425764343917015E-3</v>
      </c>
      <c r="AP641" s="1">
        <f t="shared" si="110"/>
        <v>0.52896280860994116</v>
      </c>
      <c r="AQ641" s="1">
        <f t="shared" si="116"/>
        <v>0.13743320408154955</v>
      </c>
      <c r="AR641" s="1">
        <f t="shared" si="117"/>
        <v>0.13743320408154955</v>
      </c>
      <c r="AS641" s="1">
        <f t="shared" si="118"/>
        <v>0.12431309411552116</v>
      </c>
    </row>
    <row r="642" spans="35:45" ht="11.25" customHeight="1" x14ac:dyDescent="0.2">
      <c r="AI642" s="3" t="e">
        <f t="shared" si="111"/>
        <v>#N/A</v>
      </c>
      <c r="AJ642" s="3" t="e">
        <f t="shared" si="112"/>
        <v>#N/A</v>
      </c>
      <c r="AK642" s="1">
        <f t="shared" si="119"/>
        <v>94.950000000000742</v>
      </c>
      <c r="AL642" s="1">
        <f t="shared" si="109"/>
        <v>2.8428876164914199</v>
      </c>
      <c r="AM642" s="1">
        <f t="shared" si="113"/>
        <v>3.6675277969439035E-3</v>
      </c>
      <c r="AN642" s="1">
        <f t="shared" si="114"/>
        <v>3.6675277969439035E-3</v>
      </c>
      <c r="AO642" s="1">
        <f t="shared" si="115"/>
        <v>3.6578888465919261E-3</v>
      </c>
      <c r="AP642" s="1">
        <f t="shared" si="110"/>
        <v>0.52033841499129985</v>
      </c>
      <c r="AQ642" s="1">
        <f t="shared" si="116"/>
        <v>0.13806800318816312</v>
      </c>
      <c r="AR642" s="1">
        <f t="shared" si="117"/>
        <v>0.13806800318816312</v>
      </c>
      <c r="AS642" s="1">
        <f t="shared" si="118"/>
        <v>0.12488729189845342</v>
      </c>
    </row>
    <row r="643" spans="35:45" ht="11.25" customHeight="1" x14ac:dyDescent="0.2">
      <c r="AI643" s="3" t="e">
        <f t="shared" si="111"/>
        <v>#N/A</v>
      </c>
      <c r="AJ643" s="3" t="e">
        <f t="shared" si="112"/>
        <v>#N/A</v>
      </c>
      <c r="AK643" s="1">
        <f t="shared" si="119"/>
        <v>95.100000000000747</v>
      </c>
      <c r="AL643" s="1">
        <f t="shared" si="109"/>
        <v>2.8523744494719256</v>
      </c>
      <c r="AM643" s="1">
        <f t="shared" si="113"/>
        <v>3.5843584403859319E-3</v>
      </c>
      <c r="AN643" s="1">
        <f t="shared" si="114"/>
        <v>3.5843584403859319E-3</v>
      </c>
      <c r="AO643" s="1">
        <f t="shared" si="115"/>
        <v>3.5749380746890828E-3</v>
      </c>
      <c r="AP643" s="1">
        <f t="shared" si="110"/>
        <v>0.51171402137265853</v>
      </c>
      <c r="AQ643" s="1">
        <f t="shared" si="116"/>
        <v>0.1386953711923766</v>
      </c>
      <c r="AR643" s="1">
        <f t="shared" si="117"/>
        <v>0.1386953711923766</v>
      </c>
      <c r="AS643" s="1">
        <f t="shared" si="118"/>
        <v>0.12545476799183314</v>
      </c>
    </row>
    <row r="644" spans="35:45" ht="11.25" customHeight="1" x14ac:dyDescent="0.2">
      <c r="AI644" s="3" t="e">
        <f t="shared" si="111"/>
        <v>#N/A</v>
      </c>
      <c r="AJ644" s="3" t="e">
        <f t="shared" si="112"/>
        <v>#N/A</v>
      </c>
      <c r="AK644" s="1">
        <f t="shared" si="119"/>
        <v>95.250000000000753</v>
      </c>
      <c r="AL644" s="1">
        <f t="shared" si="109"/>
        <v>2.861861282452431</v>
      </c>
      <c r="AM644" s="1">
        <f t="shared" si="113"/>
        <v>3.5028999542663364E-3</v>
      </c>
      <c r="AN644" s="1">
        <f t="shared" si="114"/>
        <v>3.5028999542663364E-3</v>
      </c>
      <c r="AO644" s="1">
        <f t="shared" si="115"/>
        <v>3.4936936767364828E-3</v>
      </c>
      <c r="AP644" s="1">
        <f t="shared" si="110"/>
        <v>0.50308962775401711</v>
      </c>
      <c r="AQ644" s="1">
        <f t="shared" si="116"/>
        <v>0.13931517322873785</v>
      </c>
      <c r="AR644" s="1">
        <f t="shared" si="117"/>
        <v>0.13931517322873785</v>
      </c>
      <c r="AS644" s="1">
        <f t="shared" si="118"/>
        <v>0.12601540040518683</v>
      </c>
    </row>
    <row r="645" spans="35:45" ht="11.25" customHeight="1" x14ac:dyDescent="0.2">
      <c r="AI645" s="3" t="e">
        <f t="shared" si="111"/>
        <v>#N/A</v>
      </c>
      <c r="AJ645" s="3" t="e">
        <f t="shared" si="112"/>
        <v>#N/A</v>
      </c>
      <c r="AK645" s="1">
        <f t="shared" si="119"/>
        <v>95.400000000000759</v>
      </c>
      <c r="AL645" s="1">
        <f t="shared" si="109"/>
        <v>2.8713481154329363</v>
      </c>
      <c r="AM645" s="1">
        <f t="shared" si="113"/>
        <v>3.4231222038709486E-3</v>
      </c>
      <c r="AN645" s="1">
        <f t="shared" si="114"/>
        <v>3.4231222038709486E-3</v>
      </c>
      <c r="AO645" s="1">
        <f t="shared" si="115"/>
        <v>3.4141255972196345E-3</v>
      </c>
      <c r="AP645" s="1">
        <f t="shared" si="110"/>
        <v>0.49446523413537574</v>
      </c>
      <c r="AQ645" s="1">
        <f t="shared" si="116"/>
        <v>0.13992727557532444</v>
      </c>
      <c r="AR645" s="1">
        <f t="shared" si="117"/>
        <v>0.13992727557532444</v>
      </c>
      <c r="AS645" s="1">
        <f t="shared" si="118"/>
        <v>0.12656906818240315</v>
      </c>
    </row>
    <row r="646" spans="35:45" ht="11.25" customHeight="1" x14ac:dyDescent="0.2">
      <c r="AI646" s="3" t="e">
        <f t="shared" si="111"/>
        <v>#N/A</v>
      </c>
      <c r="AJ646" s="3" t="e">
        <f t="shared" si="112"/>
        <v>#N/A</v>
      </c>
      <c r="AK646" s="1">
        <f t="shared" si="119"/>
        <v>95.550000000000765</v>
      </c>
      <c r="AL646" s="1">
        <f t="shared" si="109"/>
        <v>2.8808349484134421</v>
      </c>
      <c r="AM646" s="1">
        <f t="shared" si="113"/>
        <v>3.3449954440177565E-3</v>
      </c>
      <c r="AN646" s="1">
        <f t="shared" si="114"/>
        <v>3.3449954440177565E-3</v>
      </c>
      <c r="AO646" s="1">
        <f t="shared" si="115"/>
        <v>3.3362041691324387E-3</v>
      </c>
      <c r="AP646" s="1">
        <f t="shared" si="110"/>
        <v>0.48584084051673437</v>
      </c>
      <c r="AQ646" s="1">
        <f t="shared" si="116"/>
        <v>0.14053154567594814</v>
      </c>
      <c r="AR646" s="1">
        <f t="shared" si="117"/>
        <v>0.14053154567594814</v>
      </c>
      <c r="AS646" s="1">
        <f t="shared" si="118"/>
        <v>0.12711565142181783</v>
      </c>
    </row>
    <row r="647" spans="35:45" ht="11.25" customHeight="1" x14ac:dyDescent="0.2">
      <c r="AI647" s="3" t="e">
        <f t="shared" si="111"/>
        <v>#N/A</v>
      </c>
      <c r="AJ647" s="3" t="e">
        <f t="shared" si="112"/>
        <v>#N/A</v>
      </c>
      <c r="AK647" s="1">
        <f t="shared" si="119"/>
        <v>95.70000000000077</v>
      </c>
      <c r="AL647" s="1">
        <f t="shared" si="109"/>
        <v>2.8903217813939475</v>
      </c>
      <c r="AM647" s="1">
        <f t="shared" si="113"/>
        <v>3.2684903160905276E-3</v>
      </c>
      <c r="AN647" s="1">
        <f t="shared" si="114"/>
        <v>3.2684903160905276E-3</v>
      </c>
      <c r="AO647" s="1">
        <f t="shared" si="115"/>
        <v>3.2599001110186075E-3</v>
      </c>
      <c r="AP647" s="1">
        <f t="shared" si="110"/>
        <v>0.47721644689809306</v>
      </c>
      <c r="AQ647" s="1">
        <f t="shared" si="116"/>
        <v>0.14112785215569798</v>
      </c>
      <c r="AR647" s="1">
        <f t="shared" si="117"/>
        <v>0.14112785215569798</v>
      </c>
      <c r="AS647" s="1">
        <f t="shared" si="118"/>
        <v>0.1276550312902727</v>
      </c>
    </row>
    <row r="648" spans="35:45" ht="11.25" customHeight="1" x14ac:dyDescent="0.2">
      <c r="AI648" s="3" t="e">
        <f t="shared" si="111"/>
        <v>#N/A</v>
      </c>
      <c r="AJ648" s="3" t="e">
        <f t="shared" si="112"/>
        <v>#N/A</v>
      </c>
      <c r="AK648" s="1">
        <f t="shared" si="119"/>
        <v>95.850000000000776</v>
      </c>
      <c r="AL648" s="1">
        <f t="shared" si="109"/>
        <v>2.8998086143744528</v>
      </c>
      <c r="AM648" s="1">
        <f t="shared" si="113"/>
        <v>3.193577850935797E-3</v>
      </c>
      <c r="AN648" s="1">
        <f t="shared" si="114"/>
        <v>3.193577850935797E-3</v>
      </c>
      <c r="AO648" s="1">
        <f t="shared" si="115"/>
        <v>3.1851845298610402E-3</v>
      </c>
      <c r="AP648" s="1">
        <f t="shared" si="110"/>
        <v>0.46859205327945169</v>
      </c>
      <c r="AQ648" s="1">
        <f t="shared" si="116"/>
        <v>0.14171606493862396</v>
      </c>
      <c r="AR648" s="1">
        <f t="shared" si="117"/>
        <v>0.14171606493862396</v>
      </c>
      <c r="AS648" s="1">
        <f t="shared" si="118"/>
        <v>0.12818709012956483</v>
      </c>
    </row>
    <row r="649" spans="35:45" ht="11.25" customHeight="1" x14ac:dyDescent="0.2">
      <c r="AI649" s="3" t="e">
        <f t="shared" si="111"/>
        <v>#N/A</v>
      </c>
      <c r="AJ649" s="3" t="e">
        <f t="shared" si="112"/>
        <v>#N/A</v>
      </c>
      <c r="AK649" s="1">
        <f t="shared" si="119"/>
        <v>96.000000000000782</v>
      </c>
      <c r="AL649" s="1">
        <f t="shared" ref="AL649:AL712" si="120">ABS(($AL$5-AK649)/$AL$6)</f>
        <v>2.9092954473549586</v>
      </c>
      <c r="AM649" s="1">
        <f t="shared" si="113"/>
        <v>3.120229459894347E-3</v>
      </c>
      <c r="AN649" s="1">
        <f t="shared" si="114"/>
        <v>3.120229459894347E-3</v>
      </c>
      <c r="AO649" s="1">
        <f t="shared" si="115"/>
        <v>3.1120289121368736E-3</v>
      </c>
      <c r="AP649" s="1">
        <f t="shared" ref="AP649:AP712" si="121">ABS(($AP$5-AK649)/$AP$6)</f>
        <v>0.45996765966081032</v>
      </c>
      <c r="AQ649" s="1">
        <f t="shared" si="116"/>
        <v>0.14229605522997343</v>
      </c>
      <c r="AR649" s="1">
        <f t="shared" si="117"/>
        <v>0.14229605522997343</v>
      </c>
      <c r="AS649" s="1">
        <f t="shared" si="118"/>
        <v>0.12871171144037871</v>
      </c>
    </row>
    <row r="650" spans="35:45" ht="11.25" customHeight="1" x14ac:dyDescent="0.2">
      <c r="AI650" s="3" t="e">
        <f t="shared" ref="AI650:AI713" si="122">IF($M$18,AI649,NA())</f>
        <v>#N/A</v>
      </c>
      <c r="AJ650" s="3" t="e">
        <f t="shared" ref="AJ650:AJ713" si="123">IF($M$18,AJ649,NA())</f>
        <v>#N/A</v>
      </c>
      <c r="AK650" s="1">
        <f t="shared" si="119"/>
        <v>96.150000000000787</v>
      </c>
      <c r="AL650" s="1">
        <f t="shared" si="120"/>
        <v>2.9187822803354639</v>
      </c>
      <c r="AM650" s="1">
        <f t="shared" ref="AM650:AM713" si="124">$AL$3*ABS((TDIST(AL650,$AL$7,1)-TDIST(AL650+$AL$1,$AL$7,1))/($AL$1))</f>
        <v>3.0484169406819195E-3</v>
      </c>
      <c r="AN650" s="1">
        <f t="shared" ref="AN650:AN713" si="125">IF(($D$10&gt;$AJ$5)=($D$10&gt;AK650),AM650,0)</f>
        <v>3.0484169406819195E-3</v>
      </c>
      <c r="AO650" s="1">
        <f t="shared" ref="AO650:AO713" si="126">AM650*$AN$5/$AN$7</f>
        <v>3.0404051296827376E-3</v>
      </c>
      <c r="AP650" s="1">
        <f t="shared" si="121"/>
        <v>0.45134326604216896</v>
      </c>
      <c r="AQ650" s="1">
        <f t="shared" ref="AQ650:AQ713" si="127">$AL$3*ABS((TDIST(AP650,$AP$7,1)-TDIST(AP650+$AL$1,$AP$7,1))/($AL$1))</f>
        <v>0.14286769560500898</v>
      </c>
      <c r="AR650" s="1">
        <f t="shared" ref="AR650:AR713" si="128">IF(($D$19&gt;$AJ$5)=($D$19&gt;AK650),AQ650,0)</f>
        <v>0.14286769560500898</v>
      </c>
      <c r="AS650" s="1">
        <f t="shared" ref="AS650:AS713" si="129">AQ650*$AN$5/$AR$7</f>
        <v>0.12922877996262505</v>
      </c>
    </row>
    <row r="651" spans="35:45" ht="11.25" customHeight="1" x14ac:dyDescent="0.2">
      <c r="AI651" s="3" t="e">
        <f t="shared" si="122"/>
        <v>#N/A</v>
      </c>
      <c r="AJ651" s="3" t="e">
        <f t="shared" si="123"/>
        <v>#N/A</v>
      </c>
      <c r="AK651" s="1">
        <f t="shared" si="119"/>
        <v>96.300000000000793</v>
      </c>
      <c r="AL651" s="1">
        <f t="shared" si="120"/>
        <v>2.9282691133159693</v>
      </c>
      <c r="AM651" s="1">
        <f t="shared" si="124"/>
        <v>2.978112473364658E-3</v>
      </c>
      <c r="AN651" s="1">
        <f t="shared" si="125"/>
        <v>2.978112473364658E-3</v>
      </c>
      <c r="AO651" s="1">
        <f t="shared" si="126"/>
        <v>2.9702854356807753E-3</v>
      </c>
      <c r="AP651" s="1">
        <f t="shared" si="121"/>
        <v>0.44271887242352759</v>
      </c>
      <c r="AQ651" s="1">
        <f t="shared" si="127"/>
        <v>0.14343086003121283</v>
      </c>
      <c r="AR651" s="1">
        <f t="shared" si="128"/>
        <v>0.14343086003121283</v>
      </c>
      <c r="AS651" s="1">
        <f t="shared" si="129"/>
        <v>0.12973818169552545</v>
      </c>
    </row>
    <row r="652" spans="35:45" ht="11.25" customHeight="1" x14ac:dyDescent="0.2">
      <c r="AI652" s="3" t="e">
        <f t="shared" si="122"/>
        <v>#N/A</v>
      </c>
      <c r="AJ652" s="3" t="e">
        <f t="shared" si="123"/>
        <v>#N/A</v>
      </c>
      <c r="AK652" s="1">
        <f t="shared" si="119"/>
        <v>96.450000000000799</v>
      </c>
      <c r="AL652" s="1">
        <f t="shared" si="120"/>
        <v>2.9377559462964751</v>
      </c>
      <c r="AM652" s="1">
        <f t="shared" si="124"/>
        <v>2.9092886190407174E-3</v>
      </c>
      <c r="AN652" s="1">
        <f t="shared" si="125"/>
        <v>2.9092886190407174E-3</v>
      </c>
      <c r="AO652" s="1">
        <f t="shared" si="126"/>
        <v>2.9016424633437178E-3</v>
      </c>
      <c r="AP652" s="1">
        <f t="shared" si="121"/>
        <v>0.43409447880488622</v>
      </c>
      <c r="AQ652" s="1">
        <f t="shared" si="127"/>
        <v>0.14398542394600253</v>
      </c>
      <c r="AR652" s="1">
        <f t="shared" si="128"/>
        <v>0.14398542394600253</v>
      </c>
      <c r="AS652" s="1">
        <f t="shared" si="129"/>
        <v>0.13023980396790888</v>
      </c>
    </row>
    <row r="653" spans="35:45" ht="11.25" customHeight="1" x14ac:dyDescent="0.2">
      <c r="AI653" s="3" t="e">
        <f t="shared" si="122"/>
        <v>#N/A</v>
      </c>
      <c r="AJ653" s="3" t="e">
        <f t="shared" si="123"/>
        <v>#N/A</v>
      </c>
      <c r="AK653" s="1">
        <f t="shared" si="119"/>
        <v>96.600000000000804</v>
      </c>
      <c r="AL653" s="1">
        <f t="shared" si="120"/>
        <v>2.9472427792769804</v>
      </c>
      <c r="AM653" s="1">
        <f t="shared" si="124"/>
        <v>2.8419183160065253E-3</v>
      </c>
      <c r="AN653" s="1">
        <f t="shared" si="125"/>
        <v>2.8419183160065253E-3</v>
      </c>
      <c r="AO653" s="1">
        <f t="shared" si="126"/>
        <v>2.834449222091221E-3</v>
      </c>
      <c r="AP653" s="1">
        <f t="shared" si="121"/>
        <v>0.42547008518624485</v>
      </c>
      <c r="AQ653" s="1">
        <f t="shared" si="127"/>
        <v>0.14453126428115579</v>
      </c>
      <c r="AR653" s="1">
        <f t="shared" si="128"/>
        <v>0.14453126428115579</v>
      </c>
      <c r="AS653" s="1">
        <f t="shared" si="129"/>
        <v>0.13073353546030492</v>
      </c>
    </row>
    <row r="654" spans="35:45" ht="11.25" customHeight="1" x14ac:dyDescent="0.2">
      <c r="AI654" s="3" t="e">
        <f t="shared" si="122"/>
        <v>#N/A</v>
      </c>
      <c r="AJ654" s="3" t="e">
        <f t="shared" si="123"/>
        <v>#N/A</v>
      </c>
      <c r="AK654" s="1">
        <f t="shared" si="119"/>
        <v>96.75000000000081</v>
      </c>
      <c r="AL654" s="1">
        <f t="shared" si="120"/>
        <v>2.9567296122574858</v>
      </c>
      <c r="AM654" s="1">
        <f t="shared" si="124"/>
        <v>2.7759748811272134E-3</v>
      </c>
      <c r="AN654" s="1">
        <f t="shared" si="125"/>
        <v>2.7759748811272134E-3</v>
      </c>
      <c r="AO654" s="1">
        <f t="shared" si="126"/>
        <v>2.7686790989166956E-3</v>
      </c>
      <c r="AP654" s="1">
        <f t="shared" si="121"/>
        <v>0.41684569156760348</v>
      </c>
      <c r="AQ654" s="1">
        <f t="shared" si="127"/>
        <v>0.14506825951610122</v>
      </c>
      <c r="AR654" s="1">
        <f t="shared" si="128"/>
        <v>0.14506825951610122</v>
      </c>
      <c r="AS654" s="1">
        <f t="shared" si="129"/>
        <v>0.131219266253147</v>
      </c>
    </row>
    <row r="655" spans="35:45" ht="11.25" customHeight="1" x14ac:dyDescent="0.2">
      <c r="AI655" s="3" t="e">
        <f t="shared" si="122"/>
        <v>#N/A</v>
      </c>
      <c r="AJ655" s="3" t="e">
        <f t="shared" si="123"/>
        <v>#N/A</v>
      </c>
      <c r="AK655" s="1">
        <f t="shared" si="119"/>
        <v>96.900000000000816</v>
      </c>
      <c r="AL655" s="1">
        <f t="shared" si="120"/>
        <v>2.9662164452379916</v>
      </c>
      <c r="AM655" s="1">
        <f t="shared" si="124"/>
        <v>2.7114320063671704E-3</v>
      </c>
      <c r="AN655" s="1">
        <f t="shared" si="125"/>
        <v>2.7114320063671704E-3</v>
      </c>
      <c r="AO655" s="1">
        <f t="shared" si="126"/>
        <v>2.7043058549269783E-3</v>
      </c>
      <c r="AP655" s="1">
        <f t="shared" si="121"/>
        <v>0.40822129794896211</v>
      </c>
      <c r="AQ655" s="1">
        <f t="shared" si="127"/>
        <v>0.14559628972898861</v>
      </c>
      <c r="AR655" s="1">
        <f t="shared" si="128"/>
        <v>0.14559628972898861</v>
      </c>
      <c r="AS655" s="1">
        <f t="shared" si="129"/>
        <v>0.13169688787296718</v>
      </c>
    </row>
    <row r="656" spans="35:45" ht="11.25" customHeight="1" x14ac:dyDescent="0.2">
      <c r="AI656" s="3" t="e">
        <f t="shared" si="122"/>
        <v>#N/A</v>
      </c>
      <c r="AJ656" s="3" t="e">
        <f t="shared" si="123"/>
        <v>#N/A</v>
      </c>
      <c r="AK656" s="1">
        <f t="shared" si="119"/>
        <v>97.050000000000821</v>
      </c>
      <c r="AL656" s="1">
        <f t="shared" si="120"/>
        <v>2.9757032782184969</v>
      </c>
      <c r="AM656" s="1">
        <f t="shared" si="124"/>
        <v>2.6482637568471523E-3</v>
      </c>
      <c r="AN656" s="1">
        <f t="shared" si="125"/>
        <v>2.6482637568471523E-3</v>
      </c>
      <c r="AO656" s="1">
        <f t="shared" si="126"/>
        <v>2.6413036234045478E-3</v>
      </c>
      <c r="AP656" s="1">
        <f t="shared" si="121"/>
        <v>0.39959690433032075</v>
      </c>
      <c r="AQ656" s="1">
        <f t="shared" si="127"/>
        <v>0.1461152366366569</v>
      </c>
      <c r="AR656" s="1">
        <f t="shared" si="128"/>
        <v>0.1461152366366569</v>
      </c>
      <c r="AS656" s="1">
        <f t="shared" si="129"/>
        <v>0.13216629332854871</v>
      </c>
    </row>
    <row r="657" spans="35:45" ht="11.25" customHeight="1" x14ac:dyDescent="0.2">
      <c r="AI657" s="3" t="e">
        <f t="shared" si="122"/>
        <v>#N/A</v>
      </c>
      <c r="AJ657" s="3" t="e">
        <f t="shared" si="123"/>
        <v>#N/A</v>
      </c>
      <c r="AK657" s="1">
        <f t="shared" si="119"/>
        <v>97.200000000000827</v>
      </c>
      <c r="AL657" s="1">
        <f t="shared" si="120"/>
        <v>2.9851901111990027</v>
      </c>
      <c r="AM657" s="1">
        <f t="shared" si="124"/>
        <v>2.586444569751406E-3</v>
      </c>
      <c r="AN657" s="1">
        <f t="shared" si="125"/>
        <v>2.586444569751406E-3</v>
      </c>
      <c r="AO657" s="1">
        <f t="shared" si="126"/>
        <v>2.579646908717521E-3</v>
      </c>
      <c r="AP657" s="1">
        <f t="shared" si="121"/>
        <v>0.39097251071167943</v>
      </c>
      <c r="AQ657" s="1">
        <f t="shared" si="127"/>
        <v>0.14662498364792495</v>
      </c>
      <c r="AR657" s="1">
        <f t="shared" si="128"/>
        <v>0.14662498364792495</v>
      </c>
      <c r="AS657" s="1">
        <f t="shared" si="129"/>
        <v>0.1326273771591292</v>
      </c>
    </row>
    <row r="658" spans="35:45" ht="11.25" customHeight="1" x14ac:dyDescent="0.2">
      <c r="AI658" s="3" t="e">
        <f t="shared" si="122"/>
        <v>#N/A</v>
      </c>
      <c r="AJ658" s="3" t="e">
        <f t="shared" si="123"/>
        <v>#N/A</v>
      </c>
      <c r="AK658" s="1">
        <f t="shared" si="119"/>
        <v>97.350000000000833</v>
      </c>
      <c r="AL658" s="1">
        <f t="shared" si="120"/>
        <v>2.994676944179508</v>
      </c>
      <c r="AM658" s="1">
        <f t="shared" si="124"/>
        <v>2.5259492496612634E-3</v>
      </c>
      <c r="AN658" s="1">
        <f t="shared" si="125"/>
        <v>2.5259492496612634E-3</v>
      </c>
      <c r="AO658" s="1">
        <f t="shared" si="126"/>
        <v>2.5193105816655121E-3</v>
      </c>
      <c r="AP658" s="1">
        <f t="shared" si="121"/>
        <v>0.38234811709303806</v>
      </c>
      <c r="AQ658" s="1">
        <f t="shared" si="127"/>
        <v>0.14712541589911862</v>
      </c>
      <c r="AR658" s="1">
        <f t="shared" si="128"/>
        <v>0.14712541589911862</v>
      </c>
      <c r="AS658" s="1">
        <f t="shared" si="129"/>
        <v>0.13308003546653624</v>
      </c>
    </row>
    <row r="659" spans="35:45" ht="11.25" customHeight="1" x14ac:dyDescent="0.2">
      <c r="AI659" s="3" t="e">
        <f t="shared" si="122"/>
        <v>#N/A</v>
      </c>
      <c r="AJ659" s="3" t="e">
        <f t="shared" si="123"/>
        <v>#N/A</v>
      </c>
      <c r="AK659" s="1">
        <f t="shared" si="119"/>
        <v>97.500000000000838</v>
      </c>
      <c r="AL659" s="1">
        <f t="shared" si="120"/>
        <v>3.0041637771600134</v>
      </c>
      <c r="AM659" s="1">
        <f t="shared" si="124"/>
        <v>2.4667529683990164E-3</v>
      </c>
      <c r="AN659" s="1">
        <f t="shared" si="125"/>
        <v>2.4667529683990164E-3</v>
      </c>
      <c r="AO659" s="1">
        <f t="shared" si="126"/>
        <v>2.4602698793239168E-3</v>
      </c>
      <c r="AP659" s="1">
        <f t="shared" si="121"/>
        <v>0.3737237234743967</v>
      </c>
      <c r="AQ659" s="1">
        <f t="shared" si="127"/>
        <v>0.14761642030514108</v>
      </c>
      <c r="AR659" s="1">
        <f t="shared" si="128"/>
        <v>0.14761642030514108</v>
      </c>
      <c r="AS659" s="1">
        <f t="shared" si="129"/>
        <v>0.1335241659613822</v>
      </c>
    </row>
    <row r="660" spans="35:45" ht="11.25" customHeight="1" x14ac:dyDescent="0.2">
      <c r="AI660" s="3" t="e">
        <f t="shared" si="122"/>
        <v>#N/A</v>
      </c>
      <c r="AJ660" s="3" t="e">
        <f t="shared" si="123"/>
        <v>#N/A</v>
      </c>
      <c r="AK660" s="1">
        <f t="shared" si="119"/>
        <v>97.650000000000844</v>
      </c>
      <c r="AL660" s="1">
        <f t="shared" si="120"/>
        <v>3.0136506101405192</v>
      </c>
      <c r="AM660" s="1">
        <f t="shared" si="124"/>
        <v>2.4088312623217478E-3</v>
      </c>
      <c r="AN660" s="1">
        <f t="shared" si="125"/>
        <v>2.4088312623217478E-3</v>
      </c>
      <c r="AO660" s="1">
        <f t="shared" si="126"/>
        <v>2.4025004023448559E-3</v>
      </c>
      <c r="AP660" s="1">
        <f t="shared" si="121"/>
        <v>0.36509932985575533</v>
      </c>
      <c r="AQ660" s="1">
        <f t="shared" si="127"/>
        <v>0.14809788560832257</v>
      </c>
      <c r="AR660" s="1">
        <f t="shared" si="128"/>
        <v>0.14809788560832257</v>
      </c>
      <c r="AS660" s="1">
        <f t="shared" si="129"/>
        <v>0.13395966800725057</v>
      </c>
    </row>
    <row r="661" spans="35:45" ht="11.25" customHeight="1" x14ac:dyDescent="0.2">
      <c r="AI661" s="3" t="e">
        <f t="shared" si="122"/>
        <v>#N/A</v>
      </c>
      <c r="AJ661" s="3" t="e">
        <f t="shared" si="123"/>
        <v>#N/A</v>
      </c>
      <c r="AK661" s="1">
        <f t="shared" si="119"/>
        <v>97.80000000000085</v>
      </c>
      <c r="AL661" s="1">
        <f t="shared" si="120"/>
        <v>3.0231374431210245</v>
      </c>
      <c r="AM661" s="1">
        <f t="shared" si="124"/>
        <v>2.352160030465178E-3</v>
      </c>
      <c r="AN661" s="1">
        <f t="shared" si="125"/>
        <v>2.352160030465178E-3</v>
      </c>
      <c r="AO661" s="1">
        <f t="shared" si="126"/>
        <v>2.3459781131059004E-3</v>
      </c>
      <c r="AP661" s="1">
        <f t="shared" si="121"/>
        <v>0.35647493623711396</v>
      </c>
      <c r="AQ661" s="1">
        <f t="shared" si="127"/>
        <v>0.14856970241616804</v>
      </c>
      <c r="AR661" s="1">
        <f t="shared" si="128"/>
        <v>0.14856970241616804</v>
      </c>
      <c r="AS661" s="1">
        <f t="shared" si="129"/>
        <v>0.13438644265483993</v>
      </c>
    </row>
    <row r="662" spans="35:45" ht="11.25" customHeight="1" x14ac:dyDescent="0.2">
      <c r="AI662" s="3" t="e">
        <f t="shared" si="122"/>
        <v>#N/A</v>
      </c>
      <c r="AJ662" s="3" t="e">
        <f t="shared" si="123"/>
        <v>#N/A</v>
      </c>
      <c r="AK662" s="1">
        <f t="shared" si="119"/>
        <v>97.950000000000855</v>
      </c>
      <c r="AL662" s="1">
        <f t="shared" si="120"/>
        <v>3.0326242761015298</v>
      </c>
      <c r="AM662" s="1">
        <f t="shared" si="124"/>
        <v>2.2967155299639937E-3</v>
      </c>
      <c r="AN662" s="1">
        <f t="shared" si="125"/>
        <v>2.2967155299639937E-3</v>
      </c>
      <c r="AO662" s="1">
        <f t="shared" si="126"/>
        <v>2.2906793311424371E-3</v>
      </c>
      <c r="AP662" s="1">
        <f t="shared" si="121"/>
        <v>0.34785054261847259</v>
      </c>
      <c r="AQ662" s="1">
        <f t="shared" si="127"/>
        <v>0.14903176324354558</v>
      </c>
      <c r="AR662" s="1">
        <f t="shared" si="128"/>
        <v>0.14903176324354558</v>
      </c>
      <c r="AS662" s="1">
        <f t="shared" si="129"/>
        <v>0.1348043926801249</v>
      </c>
    </row>
    <row r="663" spans="35:45" ht="11.25" customHeight="1" x14ac:dyDescent="0.2">
      <c r="AI663" s="3" t="e">
        <f t="shared" si="122"/>
        <v>#N/A</v>
      </c>
      <c r="AJ663" s="3" t="e">
        <f t="shared" si="123"/>
        <v>#N/A</v>
      </c>
      <c r="AK663" s="1">
        <f t="shared" si="119"/>
        <v>98.100000000000861</v>
      </c>
      <c r="AL663" s="1">
        <f t="shared" si="120"/>
        <v>3.0421111090820356</v>
      </c>
      <c r="AM663" s="1">
        <f t="shared" si="124"/>
        <v>2.2424743748028493E-3</v>
      </c>
      <c r="AN663" s="1">
        <f t="shared" si="125"/>
        <v>2.2424743748028493E-3</v>
      </c>
      <c r="AO663" s="1">
        <f t="shared" si="126"/>
        <v>2.2365807319019507E-3</v>
      </c>
      <c r="AP663" s="1">
        <f t="shared" si="121"/>
        <v>0.33922614899983122</v>
      </c>
      <c r="AQ663" s="1">
        <f t="shared" si="127"/>
        <v>0.14948396255487492</v>
      </c>
      <c r="AR663" s="1">
        <f t="shared" si="128"/>
        <v>0.14948396255487492</v>
      </c>
      <c r="AS663" s="1">
        <f t="shared" si="129"/>
        <v>0.13521342262251715</v>
      </c>
    </row>
    <row r="664" spans="35:45" ht="11.25" customHeight="1" x14ac:dyDescent="0.2">
      <c r="AI664" s="3" t="e">
        <f t="shared" si="122"/>
        <v>#N/A</v>
      </c>
      <c r="AJ664" s="3" t="e">
        <f t="shared" si="123"/>
        <v>#N/A</v>
      </c>
      <c r="AK664" s="1">
        <f t="shared" si="119"/>
        <v>98.250000000000867</v>
      </c>
      <c r="AL664" s="1">
        <f t="shared" si="120"/>
        <v>3.051597942062541</v>
      </c>
      <c r="AM664" s="1">
        <f t="shared" si="124"/>
        <v>2.1894135340642935E-3</v>
      </c>
      <c r="AN664" s="1">
        <f t="shared" si="125"/>
        <v>2.1894135340642935E-3</v>
      </c>
      <c r="AO664" s="1">
        <f t="shared" si="126"/>
        <v>2.1836593449965575E-3</v>
      </c>
      <c r="AP664" s="1">
        <f t="shared" si="121"/>
        <v>0.33060175538118985</v>
      </c>
      <c r="AQ664" s="1">
        <f t="shared" si="127"/>
        <v>0.14992619680853636</v>
      </c>
      <c r="AR664" s="1">
        <f t="shared" si="128"/>
        <v>0.14992619680853636</v>
      </c>
      <c r="AS664" s="1">
        <f t="shared" si="129"/>
        <v>0.13561343882503468</v>
      </c>
    </row>
    <row r="665" spans="35:45" ht="11.25" customHeight="1" x14ac:dyDescent="0.2">
      <c r="AI665" s="3" t="e">
        <f t="shared" si="122"/>
        <v>#N/A</v>
      </c>
      <c r="AJ665" s="3" t="e">
        <f t="shared" si="123"/>
        <v>#N/A</v>
      </c>
      <c r="AK665" s="1">
        <f t="shared" si="119"/>
        <v>98.400000000000873</v>
      </c>
      <c r="AL665" s="1">
        <f t="shared" si="120"/>
        <v>3.0610847750430463</v>
      </c>
      <c r="AM665" s="1">
        <f t="shared" si="124"/>
        <v>2.1375103280256431E-3</v>
      </c>
      <c r="AN665" s="1">
        <f t="shared" si="125"/>
        <v>2.1375103280256431E-3</v>
      </c>
      <c r="AO665" s="1">
        <f t="shared" si="126"/>
        <v>2.1318925503101349E-3</v>
      </c>
      <c r="AP665" s="1">
        <f t="shared" si="121"/>
        <v>0.32197736176254849</v>
      </c>
      <c r="AQ665" s="1">
        <f t="shared" si="127"/>
        <v>0.15035836450572049</v>
      </c>
      <c r="AR665" s="1">
        <f t="shared" si="128"/>
        <v>0.15035836450572049</v>
      </c>
      <c r="AS665" s="1">
        <f t="shared" si="129"/>
        <v>0.13600434947848827</v>
      </c>
    </row>
    <row r="666" spans="35:45" ht="11.25" customHeight="1" x14ac:dyDescent="0.2">
      <c r="AI666" s="3" t="e">
        <f t="shared" si="122"/>
        <v>#N/A</v>
      </c>
      <c r="AJ666" s="3" t="e">
        <f t="shared" si="123"/>
        <v>#N/A</v>
      </c>
      <c r="AK666" s="1">
        <f t="shared" si="119"/>
        <v>98.550000000000878</v>
      </c>
      <c r="AL666" s="1">
        <f t="shared" si="120"/>
        <v>3.0705716080235521</v>
      </c>
      <c r="AM666" s="1">
        <f t="shared" si="124"/>
        <v>2.0867424244033067E-3</v>
      </c>
      <c r="AN666" s="1">
        <f t="shared" si="125"/>
        <v>2.0867424244033067E-3</v>
      </c>
      <c r="AO666" s="1">
        <f t="shared" si="126"/>
        <v>2.0812580742525185E-3</v>
      </c>
      <c r="AP666" s="1">
        <f t="shared" si="121"/>
        <v>0.31335296814390712</v>
      </c>
      <c r="AQ666" s="1">
        <f t="shared" si="127"/>
        <v>0.15078036621041235</v>
      </c>
      <c r="AR666" s="1">
        <f t="shared" si="128"/>
        <v>0.15078036621041235</v>
      </c>
      <c r="AS666" s="1">
        <f t="shared" si="129"/>
        <v>0.13638606463955766</v>
      </c>
    </row>
    <row r="667" spans="35:45" ht="11.25" customHeight="1" x14ac:dyDescent="0.2">
      <c r="AI667" s="3" t="e">
        <f t="shared" si="122"/>
        <v>#N/A</v>
      </c>
      <c r="AJ667" s="3" t="e">
        <f t="shared" si="123"/>
        <v>#N/A</v>
      </c>
      <c r="AK667" s="1">
        <f t="shared" si="119"/>
        <v>98.700000000000884</v>
      </c>
      <c r="AL667" s="1">
        <f t="shared" si="120"/>
        <v>3.0800584410040575</v>
      </c>
      <c r="AM667" s="1">
        <f t="shared" si="124"/>
        <v>2.0370878378844076E-3</v>
      </c>
      <c r="AN667" s="1">
        <f t="shared" si="125"/>
        <v>2.0370878378844076E-3</v>
      </c>
      <c r="AO667" s="1">
        <f t="shared" si="126"/>
        <v>2.0317339892923542E-3</v>
      </c>
      <c r="AP667" s="1">
        <f t="shared" si="121"/>
        <v>0.30472857452526581</v>
      </c>
      <c r="AQ667" s="1">
        <f t="shared" si="127"/>
        <v>0.15119210461378429</v>
      </c>
      <c r="AR667" s="1">
        <f t="shared" si="128"/>
        <v>0.15119210461378429</v>
      </c>
      <c r="AS667" s="1">
        <f t="shared" si="129"/>
        <v>0.13675849628903722</v>
      </c>
    </row>
    <row r="668" spans="35:45" ht="11.25" customHeight="1" x14ac:dyDescent="0.2">
      <c r="AI668" s="3" t="e">
        <f t="shared" si="122"/>
        <v>#N/A</v>
      </c>
      <c r="AJ668" s="3" t="e">
        <f t="shared" si="123"/>
        <v>#N/A</v>
      </c>
      <c r="AK668" s="1">
        <f t="shared" si="119"/>
        <v>98.85000000000089</v>
      </c>
      <c r="AL668" s="1">
        <f t="shared" si="120"/>
        <v>3.0895452739845628</v>
      </c>
      <c r="AM668" s="1">
        <f t="shared" si="124"/>
        <v>1.9885249258333459E-3</v>
      </c>
      <c r="AN668" s="1">
        <f t="shared" si="125"/>
        <v>1.9885249258333459E-3</v>
      </c>
      <c r="AO668" s="1">
        <f t="shared" si="126"/>
        <v>1.9832987096749439E-3</v>
      </c>
      <c r="AP668" s="1">
        <f t="shared" si="121"/>
        <v>0.29610418090662444</v>
      </c>
      <c r="AQ668" s="1">
        <f t="shared" si="127"/>
        <v>0.15159348454751864</v>
      </c>
      <c r="AR668" s="1">
        <f t="shared" si="128"/>
        <v>0.15159348454751864</v>
      </c>
      <c r="AS668" s="1">
        <f t="shared" si="129"/>
        <v>0.13712155834388673</v>
      </c>
    </row>
    <row r="669" spans="35:45" ht="11.25" customHeight="1" x14ac:dyDescent="0.2">
      <c r="AI669" s="3" t="e">
        <f t="shared" si="122"/>
        <v>#N/A</v>
      </c>
      <c r="AJ669" s="3" t="e">
        <f t="shared" si="123"/>
        <v>#N/A</v>
      </c>
      <c r="AK669" s="1">
        <f t="shared" si="119"/>
        <v>99.000000000000895</v>
      </c>
      <c r="AL669" s="1">
        <f t="shared" si="120"/>
        <v>3.0990321069650686</v>
      </c>
      <c r="AM669" s="1">
        <f t="shared" si="124"/>
        <v>1.9410323853254197E-3</v>
      </c>
      <c r="AN669" s="1">
        <f t="shared" si="125"/>
        <v>1.9410323853254197E-3</v>
      </c>
      <c r="AO669" s="1">
        <f t="shared" si="126"/>
        <v>1.9359309884636638E-3</v>
      </c>
      <c r="AP669" s="1">
        <f t="shared" si="121"/>
        <v>0.28747978728798307</v>
      </c>
      <c r="AQ669" s="1">
        <f t="shared" si="127"/>
        <v>0.15198441304820065</v>
      </c>
      <c r="AR669" s="1">
        <f t="shared" si="128"/>
        <v>0.15198441304820065</v>
      </c>
      <c r="AS669" s="1">
        <f t="shared" si="129"/>
        <v>0.13747516671547708</v>
      </c>
    </row>
    <row r="670" spans="35:45" ht="11.25" customHeight="1" x14ac:dyDescent="0.2">
      <c r="AI670" s="3" t="e">
        <f t="shared" si="122"/>
        <v>#N/A</v>
      </c>
      <c r="AJ670" s="3" t="e">
        <f t="shared" si="123"/>
        <v>#N/A</v>
      </c>
      <c r="AK670" s="1">
        <f t="shared" ref="AK670:AK733" si="130">AK669+$AJ$4</f>
        <v>99.150000000000901</v>
      </c>
      <c r="AL670" s="1">
        <f t="shared" si="120"/>
        <v>3.1085189399455739</v>
      </c>
      <c r="AM670" s="1">
        <f t="shared" si="124"/>
        <v>1.8945892499028921E-3</v>
      </c>
      <c r="AN670" s="1">
        <f t="shared" si="125"/>
        <v>1.8945892499028921E-3</v>
      </c>
      <c r="AO670" s="1">
        <f t="shared" si="126"/>
        <v>1.8896099143045576E-3</v>
      </c>
      <c r="AP670" s="1">
        <f t="shared" si="121"/>
        <v>0.2788553936693417</v>
      </c>
      <c r="AQ670" s="1">
        <f t="shared" si="127"/>
        <v>0.15236479937508207</v>
      </c>
      <c r="AR670" s="1">
        <f t="shared" si="128"/>
        <v>0.15236479937508207</v>
      </c>
      <c r="AS670" s="1">
        <f t="shared" si="129"/>
        <v>0.13781923932565801</v>
      </c>
    </row>
    <row r="671" spans="35:45" ht="11.25" customHeight="1" x14ac:dyDescent="0.2">
      <c r="AI671" s="3" t="e">
        <f t="shared" si="122"/>
        <v>#N/A</v>
      </c>
      <c r="AJ671" s="3" t="e">
        <f t="shared" si="123"/>
        <v>#N/A</v>
      </c>
      <c r="AK671" s="1">
        <f t="shared" si="130"/>
        <v>99.300000000000907</v>
      </c>
      <c r="AL671" s="1">
        <f t="shared" si="120"/>
        <v>3.1180057729260793</v>
      </c>
      <c r="AM671" s="1">
        <f t="shared" si="124"/>
        <v>1.8491748882999703E-3</v>
      </c>
      <c r="AN671" s="1">
        <f t="shared" si="125"/>
        <v>1.8491748882999703E-3</v>
      </c>
      <c r="AO671" s="1">
        <f t="shared" si="126"/>
        <v>1.8443149101546651E-3</v>
      </c>
      <c r="AP671" s="1">
        <f t="shared" si="121"/>
        <v>0.27023100005070033</v>
      </c>
      <c r="AQ671" s="1">
        <f t="shared" si="127"/>
        <v>0.15273455505893097</v>
      </c>
      <c r="AR671" s="1">
        <f t="shared" si="128"/>
        <v>0.15273455505893097</v>
      </c>
      <c r="AS671" s="1">
        <f t="shared" si="129"/>
        <v>0.13815369615094444</v>
      </c>
    </row>
    <row r="672" spans="35:45" ht="11.25" customHeight="1" x14ac:dyDescent="0.2">
      <c r="AI672" s="3" t="e">
        <f t="shared" si="122"/>
        <v>#N/A</v>
      </c>
      <c r="AJ672" s="3" t="e">
        <f t="shared" si="123"/>
        <v>#N/A</v>
      </c>
      <c r="AK672" s="1">
        <f t="shared" si="130"/>
        <v>99.450000000000912</v>
      </c>
      <c r="AL672" s="1">
        <f t="shared" si="120"/>
        <v>3.1274926059065851</v>
      </c>
      <c r="AM672" s="1">
        <f t="shared" si="124"/>
        <v>1.8047689983539256E-3</v>
      </c>
      <c r="AN672" s="1">
        <f t="shared" si="125"/>
        <v>1.8047689983539256E-3</v>
      </c>
      <c r="AO672" s="1">
        <f t="shared" si="126"/>
        <v>1.8000257272091458E-3</v>
      </c>
      <c r="AP672" s="1">
        <f t="shared" si="121"/>
        <v>0.26160660643205896</v>
      </c>
      <c r="AQ672" s="1">
        <f t="shared" si="127"/>
        <v>0.15309359392645661</v>
      </c>
      <c r="AR672" s="1">
        <f t="shared" si="128"/>
        <v>0.15309359392645661</v>
      </c>
      <c r="AS672" s="1">
        <f t="shared" si="129"/>
        <v>0.13847845924460964</v>
      </c>
    </row>
    <row r="673" spans="35:45" ht="11.25" customHeight="1" x14ac:dyDescent="0.2">
      <c r="AI673" s="3" t="e">
        <f t="shared" si="122"/>
        <v>#N/A</v>
      </c>
      <c r="AJ673" s="3" t="e">
        <f t="shared" si="123"/>
        <v>#N/A</v>
      </c>
      <c r="AK673" s="1">
        <f t="shared" si="130"/>
        <v>99.600000000000918</v>
      </c>
      <c r="AL673" s="1">
        <f t="shared" si="120"/>
        <v>3.1369794388870904</v>
      </c>
      <c r="AM673" s="1">
        <f t="shared" si="124"/>
        <v>1.7613516070918295E-3</v>
      </c>
      <c r="AN673" s="1">
        <f t="shared" si="125"/>
        <v>1.7613516070918295E-3</v>
      </c>
      <c r="AO673" s="1">
        <f t="shared" si="126"/>
        <v>1.7567224449877873E-3</v>
      </c>
      <c r="AP673" s="1">
        <f t="shared" si="121"/>
        <v>0.2529822128134176</v>
      </c>
      <c r="AQ673" s="1">
        <f t="shared" si="127"/>
        <v>0.1534418321447184</v>
      </c>
      <c r="AR673" s="1">
        <f t="shared" si="128"/>
        <v>0.1534418321447184</v>
      </c>
      <c r="AS673" s="1">
        <f t="shared" si="129"/>
        <v>0.13879345277685468</v>
      </c>
    </row>
    <row r="674" spans="35:45" ht="11.25" customHeight="1" x14ac:dyDescent="0.2">
      <c r="AI674" s="3" t="e">
        <f t="shared" si="122"/>
        <v>#N/A</v>
      </c>
      <c r="AJ674" s="3" t="e">
        <f t="shared" si="123"/>
        <v>#N/A</v>
      </c>
      <c r="AK674" s="1">
        <f t="shared" si="130"/>
        <v>99.750000000000924</v>
      </c>
      <c r="AL674" s="1">
        <f t="shared" si="120"/>
        <v>3.1464662718675958</v>
      </c>
      <c r="AM674" s="1">
        <f t="shared" si="124"/>
        <v>1.7189030646763692E-3</v>
      </c>
      <c r="AN674" s="1">
        <f t="shared" si="125"/>
        <v>1.7189030646763692E-3</v>
      </c>
      <c r="AO674" s="1">
        <f t="shared" si="126"/>
        <v>1.7143854652967316E-3</v>
      </c>
      <c r="AP674" s="1">
        <f t="shared" si="121"/>
        <v>0.24435781919477625</v>
      </c>
      <c r="AQ674" s="1">
        <f t="shared" si="127"/>
        <v>0.15377918825221215</v>
      </c>
      <c r="AR674" s="1">
        <f t="shared" si="128"/>
        <v>0.15377918825221215</v>
      </c>
      <c r="AS674" s="1">
        <f t="shared" si="129"/>
        <v>0.13909860306292696</v>
      </c>
    </row>
    <row r="675" spans="35:45" ht="11.25" customHeight="1" x14ac:dyDescent="0.2">
      <c r="AI675" s="3" t="e">
        <f t="shared" si="122"/>
        <v>#N/A</v>
      </c>
      <c r="AJ675" s="3" t="e">
        <f t="shared" si="123"/>
        <v>#N/A</v>
      </c>
      <c r="AK675" s="1">
        <f t="shared" si="130"/>
        <v>99.900000000000929</v>
      </c>
      <c r="AL675" s="1">
        <f t="shared" si="120"/>
        <v>3.1559531048481015</v>
      </c>
      <c r="AM675" s="1">
        <f t="shared" si="124"/>
        <v>1.6774040432956244E-3</v>
      </c>
      <c r="AN675" s="1">
        <f t="shared" si="125"/>
        <v>1.6774040432956244E-3</v>
      </c>
      <c r="AO675" s="1">
        <f t="shared" si="126"/>
        <v>1.6729955111211702E-3</v>
      </c>
      <c r="AP675" s="1">
        <f t="shared" si="121"/>
        <v>0.23573342557613489</v>
      </c>
      <c r="AQ675" s="1">
        <f t="shared" si="127"/>
        <v>0.15410558319439716</v>
      </c>
      <c r="AR675" s="1">
        <f t="shared" si="128"/>
        <v>0.15410558319439716</v>
      </c>
      <c r="AS675" s="1">
        <f t="shared" si="129"/>
        <v>0.13939383859525581</v>
      </c>
    </row>
    <row r="676" spans="35:45" ht="11.25" customHeight="1" x14ac:dyDescent="0.2">
      <c r="AI676" s="3" t="e">
        <f t="shared" si="122"/>
        <v>#N/A</v>
      </c>
      <c r="AJ676" s="3" t="e">
        <f t="shared" si="123"/>
        <v>#N/A</v>
      </c>
      <c r="AK676" s="1">
        <f t="shared" si="130"/>
        <v>100.05000000000094</v>
      </c>
      <c r="AL676" s="1">
        <f t="shared" si="120"/>
        <v>3.1654399378286069</v>
      </c>
      <c r="AM676" s="1">
        <f t="shared" si="124"/>
        <v>1.6368355333726964E-3</v>
      </c>
      <c r="AN676" s="1">
        <f t="shared" si="125"/>
        <v>1.6368355333726964E-3</v>
      </c>
      <c r="AO676" s="1">
        <f t="shared" si="126"/>
        <v>1.6325336228449345E-3</v>
      </c>
      <c r="AP676" s="1">
        <f t="shared" si="121"/>
        <v>0.22710903195749352</v>
      </c>
      <c r="AQ676" s="1">
        <f t="shared" si="127"/>
        <v>0.15442094034368026</v>
      </c>
      <c r="AR676" s="1">
        <f t="shared" si="128"/>
        <v>0.15442094034368026</v>
      </c>
      <c r="AS676" s="1">
        <f t="shared" si="129"/>
        <v>0.13967909006152862</v>
      </c>
    </row>
    <row r="677" spans="35:45" ht="11.25" customHeight="1" x14ac:dyDescent="0.2">
      <c r="AI677" s="3" t="e">
        <f t="shared" si="122"/>
        <v>#N/A</v>
      </c>
      <c r="AJ677" s="3" t="e">
        <f t="shared" si="123"/>
        <v>#N/A</v>
      </c>
      <c r="AK677" s="1">
        <f t="shared" si="130"/>
        <v>100.20000000000094</v>
      </c>
      <c r="AL677" s="1">
        <f t="shared" si="120"/>
        <v>3.1749267708091122</v>
      </c>
      <c r="AM677" s="1">
        <f t="shared" si="124"/>
        <v>1.5971788399054415E-3</v>
      </c>
      <c r="AN677" s="1">
        <f t="shared" si="125"/>
        <v>1.5971788399054415E-3</v>
      </c>
      <c r="AO677" s="1">
        <f t="shared" si="126"/>
        <v>1.5929811545998505E-3</v>
      </c>
      <c r="AP677" s="1">
        <f t="shared" si="121"/>
        <v>0.21848463833885215</v>
      </c>
      <c r="AQ677" s="1">
        <f t="shared" si="127"/>
        <v>0.15472518555270653</v>
      </c>
      <c r="AR677" s="1">
        <f t="shared" si="128"/>
        <v>0.15472518555270653</v>
      </c>
      <c r="AS677" s="1">
        <f t="shared" si="129"/>
        <v>0.13995429039289423</v>
      </c>
    </row>
    <row r="678" spans="35:45" ht="11.25" customHeight="1" x14ac:dyDescent="0.2">
      <c r="AI678" s="3" t="e">
        <f t="shared" si="122"/>
        <v>#N/A</v>
      </c>
      <c r="AJ678" s="3" t="e">
        <f t="shared" si="123"/>
        <v>#N/A</v>
      </c>
      <c r="AK678" s="1">
        <f t="shared" si="130"/>
        <v>100.35000000000095</v>
      </c>
      <c r="AL678" s="1">
        <f t="shared" si="120"/>
        <v>3.184413603789618</v>
      </c>
      <c r="AM678" s="1">
        <f t="shared" si="124"/>
        <v>1.5584155787368159E-3</v>
      </c>
      <c r="AN678" s="1">
        <f t="shared" si="125"/>
        <v>1.5584155787368159E-3</v>
      </c>
      <c r="AO678" s="1">
        <f t="shared" si="126"/>
        <v>1.5543197705458842E-3</v>
      </c>
      <c r="AP678" s="1">
        <f t="shared" si="121"/>
        <v>0.20986024472021078</v>
      </c>
      <c r="AQ678" s="1">
        <f t="shared" si="127"/>
        <v>0.15501824716768198</v>
      </c>
      <c r="AR678" s="1">
        <f t="shared" si="128"/>
        <v>0.15501824716768198</v>
      </c>
      <c r="AS678" s="1">
        <f t="shared" si="129"/>
        <v>0.14021937477601371</v>
      </c>
    </row>
    <row r="679" spans="35:45" ht="11.25" customHeight="1" x14ac:dyDescent="0.2">
      <c r="AI679" s="3" t="e">
        <f t="shared" si="122"/>
        <v>#N/A</v>
      </c>
      <c r="AJ679" s="3" t="e">
        <f t="shared" si="123"/>
        <v>#N/A</v>
      </c>
      <c r="AK679" s="1">
        <f t="shared" si="130"/>
        <v>100.50000000000095</v>
      </c>
      <c r="AL679" s="1">
        <f t="shared" si="120"/>
        <v>3.1939004367701234</v>
      </c>
      <c r="AM679" s="1">
        <f t="shared" si="124"/>
        <v>1.5205276748808672E-3</v>
      </c>
      <c r="AN679" s="1">
        <f t="shared" si="125"/>
        <v>1.5205276748808672E-3</v>
      </c>
      <c r="AO679" s="1">
        <f t="shared" si="126"/>
        <v>1.5165314432015334E-3</v>
      </c>
      <c r="AP679" s="1">
        <f t="shared" si="121"/>
        <v>0.20123585110156944</v>
      </c>
      <c r="AQ679" s="1">
        <f t="shared" si="127"/>
        <v>0.15530005605945973</v>
      </c>
      <c r="AR679" s="1">
        <f t="shared" si="128"/>
        <v>0.15530005605945973</v>
      </c>
      <c r="AS679" s="1">
        <f t="shared" si="129"/>
        <v>0.14047428068117887</v>
      </c>
    </row>
    <row r="680" spans="35:45" ht="11.25" customHeight="1" x14ac:dyDescent="0.2">
      <c r="AI680" s="3" t="e">
        <f t="shared" si="122"/>
        <v>#N/A</v>
      </c>
      <c r="AJ680" s="3" t="e">
        <f t="shared" si="123"/>
        <v>#N/A</v>
      </c>
      <c r="AK680" s="1">
        <f t="shared" si="130"/>
        <v>100.65000000000096</v>
      </c>
      <c r="AL680" s="1">
        <f t="shared" si="120"/>
        <v>3.2033872697506287</v>
      </c>
      <c r="AM680" s="1">
        <f t="shared" si="124"/>
        <v>1.4834973571884597E-3</v>
      </c>
      <c r="AN680" s="1">
        <f t="shared" si="125"/>
        <v>1.4834973571884597E-3</v>
      </c>
      <c r="AO680" s="1">
        <f t="shared" si="126"/>
        <v>1.4795984481235727E-3</v>
      </c>
      <c r="AP680" s="1">
        <f t="shared" si="121"/>
        <v>0.19261145748292807</v>
      </c>
      <c r="AQ680" s="1">
        <f t="shared" si="127"/>
        <v>0.1555705456568468</v>
      </c>
      <c r="AR680" s="1">
        <f t="shared" si="128"/>
        <v>0.1555705456568468</v>
      </c>
      <c r="AS680" s="1">
        <f t="shared" si="129"/>
        <v>0.14071894789243952</v>
      </c>
    </row>
    <row r="681" spans="35:45" ht="11.25" customHeight="1" x14ac:dyDescent="0.2">
      <c r="AI681" s="3" t="e">
        <f t="shared" si="122"/>
        <v>#N/A</v>
      </c>
      <c r="AJ681" s="3" t="e">
        <f t="shared" si="123"/>
        <v>#N/A</v>
      </c>
      <c r="AK681" s="1">
        <f t="shared" si="130"/>
        <v>100.80000000000096</v>
      </c>
      <c r="AL681" s="1">
        <f t="shared" si="120"/>
        <v>3.2128741027311345</v>
      </c>
      <c r="AM681" s="1">
        <f t="shared" si="124"/>
        <v>1.4473071567860235E-3</v>
      </c>
      <c r="AN681" s="1">
        <f t="shared" si="125"/>
        <v>1.4473071567860235E-3</v>
      </c>
      <c r="AO681" s="1">
        <f t="shared" si="126"/>
        <v>1.4435033623499058E-3</v>
      </c>
      <c r="AP681" s="1">
        <f t="shared" si="121"/>
        <v>0.1839870638642867</v>
      </c>
      <c r="AQ681" s="1">
        <f t="shared" si="127"/>
        <v>0.15582965197546983</v>
      </c>
      <c r="AR681" s="1">
        <f t="shared" si="128"/>
        <v>0.15582965197546983</v>
      </c>
      <c r="AS681" s="1">
        <f t="shared" si="129"/>
        <v>0.14095331853371335</v>
      </c>
    </row>
    <row r="682" spans="35:45" ht="11.25" customHeight="1" x14ac:dyDescent="0.2">
      <c r="AI682" s="3" t="e">
        <f t="shared" si="122"/>
        <v>#N/A</v>
      </c>
      <c r="AJ682" s="3" t="e">
        <f t="shared" si="123"/>
        <v>#N/A</v>
      </c>
      <c r="AK682" s="1">
        <f t="shared" si="130"/>
        <v>100.95000000000097</v>
      </c>
      <c r="AL682" s="1">
        <f t="shared" si="120"/>
        <v>3.2223609357116398</v>
      </c>
      <c r="AM682" s="1">
        <f t="shared" si="124"/>
        <v>1.4119399026693569E-3</v>
      </c>
      <c r="AN682" s="1">
        <f t="shared" si="125"/>
        <v>1.4119399026693569E-3</v>
      </c>
      <c r="AO682" s="1">
        <f t="shared" si="126"/>
        <v>1.4082290600049476E-3</v>
      </c>
      <c r="AP682" s="1">
        <f t="shared" si="121"/>
        <v>0.17536267024564534</v>
      </c>
      <c r="AQ682" s="1">
        <f t="shared" si="127"/>
        <v>0.15607731363997956</v>
      </c>
      <c r="AR682" s="1">
        <f t="shared" si="128"/>
        <v>0.15607731363997956</v>
      </c>
      <c r="AS682" s="1">
        <f t="shared" si="129"/>
        <v>0.14117733708887079</v>
      </c>
    </row>
    <row r="683" spans="35:45" ht="11.25" customHeight="1" x14ac:dyDescent="0.2">
      <c r="AI683" s="3" t="e">
        <f t="shared" si="122"/>
        <v>#N/A</v>
      </c>
      <c r="AJ683" s="3" t="e">
        <f t="shared" si="123"/>
        <v>#N/A</v>
      </c>
      <c r="AK683" s="1">
        <f t="shared" si="130"/>
        <v>101.10000000000097</v>
      </c>
      <c r="AL683" s="1">
        <f t="shared" si="120"/>
        <v>3.2318477686921456</v>
      </c>
      <c r="AM683" s="1">
        <f t="shared" si="124"/>
        <v>1.3773787184249986E-3</v>
      </c>
      <c r="AN683" s="1">
        <f t="shared" si="125"/>
        <v>1.3773787184249986E-3</v>
      </c>
      <c r="AO683" s="1">
        <f t="shared" si="126"/>
        <v>1.3737587090296146E-3</v>
      </c>
      <c r="AP683" s="1">
        <f t="shared" si="121"/>
        <v>0.16673827662700397</v>
      </c>
      <c r="AQ683" s="1">
        <f t="shared" si="127"/>
        <v>0.15631347190181444</v>
      </c>
      <c r="AR683" s="1">
        <f t="shared" si="128"/>
        <v>0.15631347190181444</v>
      </c>
      <c r="AS683" s="1">
        <f t="shared" si="129"/>
        <v>0.1413909504178027</v>
      </c>
    </row>
    <row r="684" spans="35:45" ht="11.25" customHeight="1" x14ac:dyDescent="0.2">
      <c r="AI684" s="3" t="e">
        <f t="shared" si="122"/>
        <v>#N/A</v>
      </c>
      <c r="AJ684" s="3" t="e">
        <f t="shared" si="123"/>
        <v>#N/A</v>
      </c>
      <c r="AK684" s="1">
        <f t="shared" si="130"/>
        <v>101.25000000000098</v>
      </c>
      <c r="AL684" s="1">
        <f t="shared" si="120"/>
        <v>3.241334601672651</v>
      </c>
      <c r="AM684" s="1">
        <f t="shared" si="124"/>
        <v>1.3436070188908855E-3</v>
      </c>
      <c r="AN684" s="1">
        <f t="shared" si="125"/>
        <v>1.3436070188908855E-3</v>
      </c>
      <c r="AO684" s="1">
        <f t="shared" si="126"/>
        <v>1.3400757678507572E-3</v>
      </c>
      <c r="AP684" s="1">
        <f t="shared" si="121"/>
        <v>0.15811388300836263</v>
      </c>
      <c r="AQ684" s="1">
        <f t="shared" si="127"/>
        <v>0.15653807068805037</v>
      </c>
      <c r="AR684" s="1">
        <f t="shared" si="128"/>
        <v>0.15653807068805037</v>
      </c>
      <c r="AS684" s="1">
        <f t="shared" si="129"/>
        <v>0.14159410780060672</v>
      </c>
    </row>
    <row r="685" spans="35:45" ht="11.25" customHeight="1" x14ac:dyDescent="0.2">
      <c r="AI685" s="3" t="e">
        <f t="shared" si="122"/>
        <v>#N/A</v>
      </c>
      <c r="AJ685" s="3" t="e">
        <f t="shared" si="123"/>
        <v>#N/A</v>
      </c>
      <c r="AK685" s="1">
        <f t="shared" si="130"/>
        <v>101.40000000000099</v>
      </c>
      <c r="AL685" s="1">
        <f t="shared" si="120"/>
        <v>3.2508214346531563</v>
      </c>
      <c r="AM685" s="1">
        <f t="shared" si="124"/>
        <v>1.3106085070858919E-3</v>
      </c>
      <c r="AN685" s="1">
        <f t="shared" si="125"/>
        <v>1.3106085070858919E-3</v>
      </c>
      <c r="AO685" s="1">
        <f t="shared" si="126"/>
        <v>1.3071639823187702E-3</v>
      </c>
      <c r="AP685" s="1">
        <f t="shared" si="121"/>
        <v>0.14948948938972126</v>
      </c>
      <c r="AQ685" s="1">
        <f t="shared" si="127"/>
        <v>0.15675105659695987</v>
      </c>
      <c r="AR685" s="1">
        <f t="shared" si="128"/>
        <v>0.15675105659695987</v>
      </c>
      <c r="AS685" s="1">
        <f t="shared" si="129"/>
        <v>0.1417867609335704</v>
      </c>
    </row>
    <row r="686" spans="35:45" ht="11.25" customHeight="1" x14ac:dyDescent="0.2">
      <c r="AI686" s="3" t="e">
        <f t="shared" si="122"/>
        <v>#N/A</v>
      </c>
      <c r="AJ686" s="3" t="e">
        <f t="shared" si="123"/>
        <v>#N/A</v>
      </c>
      <c r="AK686" s="1">
        <f t="shared" si="130"/>
        <v>101.55000000000099</v>
      </c>
      <c r="AL686" s="1">
        <f t="shared" si="120"/>
        <v>3.2603082676336621</v>
      </c>
      <c r="AM686" s="1">
        <f t="shared" si="124"/>
        <v>1.2783671700204724E-3</v>
      </c>
      <c r="AN686" s="1">
        <f t="shared" si="125"/>
        <v>1.2783671700204724E-3</v>
      </c>
      <c r="AO686" s="1">
        <f t="shared" si="126"/>
        <v>1.275007381529246E-3</v>
      </c>
      <c r="AP686" s="1">
        <f t="shared" si="121"/>
        <v>0.14086509577107989</v>
      </c>
      <c r="AQ686" s="1">
        <f t="shared" si="127"/>
        <v>0.15695237893353919</v>
      </c>
      <c r="AR686" s="1">
        <f t="shared" si="128"/>
        <v>0.15695237893353919</v>
      </c>
      <c r="AS686" s="1">
        <f t="shared" si="129"/>
        <v>0.14196886396130662</v>
      </c>
    </row>
    <row r="687" spans="35:45" ht="11.25" customHeight="1" x14ac:dyDescent="0.2">
      <c r="AI687" s="3" t="e">
        <f t="shared" si="122"/>
        <v>#N/A</v>
      </c>
      <c r="AJ687" s="3" t="e">
        <f t="shared" si="123"/>
        <v>#N/A</v>
      </c>
      <c r="AK687" s="1">
        <f t="shared" si="130"/>
        <v>101.700000000001</v>
      </c>
      <c r="AL687" s="1">
        <f t="shared" si="120"/>
        <v>3.2697951006141674</v>
      </c>
      <c r="AM687" s="1">
        <f t="shared" si="124"/>
        <v>1.246867275764979E-3</v>
      </c>
      <c r="AN687" s="1">
        <f t="shared" si="125"/>
        <v>1.246867275764979E-3</v>
      </c>
      <c r="AO687" s="1">
        <f t="shared" si="126"/>
        <v>1.2435902748989954E-3</v>
      </c>
      <c r="AP687" s="1">
        <f t="shared" si="121"/>
        <v>0.13224070215243852</v>
      </c>
      <c r="AQ687" s="1">
        <f t="shared" si="127"/>
        <v>0.15714198972949234</v>
      </c>
      <c r="AR687" s="1">
        <f t="shared" si="128"/>
        <v>0.15714198972949234</v>
      </c>
      <c r="AS687" s="1">
        <f t="shared" si="129"/>
        <v>0.14214037349482994</v>
      </c>
    </row>
    <row r="688" spans="35:45" ht="11.25" customHeight="1" x14ac:dyDescent="0.2">
      <c r="AI688" s="3" t="e">
        <f t="shared" si="122"/>
        <v>#N/A</v>
      </c>
      <c r="AJ688" s="3" t="e">
        <f t="shared" si="123"/>
        <v>#N/A</v>
      </c>
      <c r="AK688" s="1">
        <f t="shared" si="130"/>
        <v>101.850000000001</v>
      </c>
      <c r="AL688" s="1">
        <f t="shared" si="120"/>
        <v>3.2792819335946728</v>
      </c>
      <c r="AM688" s="1">
        <f t="shared" si="124"/>
        <v>1.2160933705266525E-3</v>
      </c>
      <c r="AN688" s="1">
        <f t="shared" si="125"/>
        <v>1.2160933705266525E-3</v>
      </c>
      <c r="AO688" s="1">
        <f t="shared" si="126"/>
        <v>1.2128972492507228E-3</v>
      </c>
      <c r="AP688" s="1">
        <f t="shared" si="121"/>
        <v>0.12361630853379717</v>
      </c>
      <c r="AQ688" s="1">
        <f t="shared" si="127"/>
        <v>0.15731984376543551</v>
      </c>
      <c r="AR688" s="1">
        <f t="shared" si="128"/>
        <v>0.15731984376543551</v>
      </c>
      <c r="AS688" s="1">
        <f t="shared" si="129"/>
        <v>0.1423012486316412</v>
      </c>
    </row>
    <row r="689" spans="35:45" ht="11.25" customHeight="1" x14ac:dyDescent="0.2">
      <c r="AI689" s="3" t="e">
        <f t="shared" si="122"/>
        <v>#N/A</v>
      </c>
      <c r="AJ689" s="3" t="e">
        <f t="shared" si="123"/>
        <v>#N/A</v>
      </c>
      <c r="AK689" s="1">
        <f t="shared" si="130"/>
        <v>102.00000000000101</v>
      </c>
      <c r="AL689" s="1">
        <f t="shared" si="120"/>
        <v>3.2887687665751786</v>
      </c>
      <c r="AM689" s="1">
        <f t="shared" si="124"/>
        <v>1.1860302746250634E-3</v>
      </c>
      <c r="AN689" s="1">
        <f t="shared" si="125"/>
        <v>1.1860302746250634E-3</v>
      </c>
      <c r="AO689" s="1">
        <f t="shared" si="126"/>
        <v>1.1829131647990438E-3</v>
      </c>
      <c r="AP689" s="1">
        <f t="shared" si="121"/>
        <v>0.1149919149151558</v>
      </c>
      <c r="AQ689" s="1">
        <f t="shared" si="127"/>
        <v>0.1574858985842198</v>
      </c>
      <c r="AR689" s="1">
        <f t="shared" si="128"/>
        <v>0.1574858985842198</v>
      </c>
      <c r="AS689" s="1">
        <f t="shared" si="129"/>
        <v>0.14245145096777839</v>
      </c>
    </row>
    <row r="690" spans="35:45" ht="11.25" customHeight="1" x14ac:dyDescent="0.2">
      <c r="AI690" s="3" t="e">
        <f t="shared" si="122"/>
        <v>#N/A</v>
      </c>
      <c r="AJ690" s="3" t="e">
        <f t="shared" si="123"/>
        <v>#N/A</v>
      </c>
      <c r="AK690" s="1">
        <f t="shared" si="130"/>
        <v>102.15000000000101</v>
      </c>
      <c r="AL690" s="1">
        <f t="shared" si="120"/>
        <v>3.2982555995556839</v>
      </c>
      <c r="AM690" s="1">
        <f t="shared" si="124"/>
        <v>1.1566630781813245E-3</v>
      </c>
      <c r="AN690" s="1">
        <f t="shared" si="125"/>
        <v>1.1566630781813245E-3</v>
      </c>
      <c r="AO690" s="1">
        <f t="shared" si="126"/>
        <v>1.1536231508510271E-3</v>
      </c>
      <c r="AP690" s="1">
        <f t="shared" si="121"/>
        <v>0.10636752129651443</v>
      </c>
      <c r="AQ690" s="1">
        <f t="shared" si="127"/>
        <v>0.15764011451313564</v>
      </c>
      <c r="AR690" s="1">
        <f t="shared" si="128"/>
        <v>0.15764011451313564</v>
      </c>
      <c r="AS690" s="1">
        <f t="shared" si="129"/>
        <v>0.14259094461790134</v>
      </c>
    </row>
    <row r="691" spans="35:45" ht="11.25" customHeight="1" x14ac:dyDescent="0.2">
      <c r="AI691" s="3" t="e">
        <f t="shared" si="122"/>
        <v>#N/A</v>
      </c>
      <c r="AJ691" s="3" t="e">
        <f t="shared" si="123"/>
        <v>#N/A</v>
      </c>
      <c r="AK691" s="1">
        <f t="shared" si="130"/>
        <v>102.30000000000102</v>
      </c>
      <c r="AL691" s="1">
        <f t="shared" si="120"/>
        <v>3.3077424325361893</v>
      </c>
      <c r="AM691" s="1">
        <f t="shared" si="124"/>
        <v>1.1279771393920416E-3</v>
      </c>
      <c r="AN691" s="1">
        <f t="shared" si="125"/>
        <v>1.1279771393920416E-3</v>
      </c>
      <c r="AO691" s="1">
        <f t="shared" si="126"/>
        <v>1.1250126040846813E-3</v>
      </c>
      <c r="AP691" s="1">
        <f t="shared" si="121"/>
        <v>9.7743127677873076E-2</v>
      </c>
      <c r="AQ691" s="1">
        <f t="shared" si="127"/>
        <v>0.15778245467501506</v>
      </c>
      <c r="AR691" s="1">
        <f t="shared" si="128"/>
        <v>0.15778245467501506</v>
      </c>
      <c r="AS691" s="1">
        <f t="shared" si="129"/>
        <v>0.14271969622533409</v>
      </c>
    </row>
    <row r="692" spans="35:45" ht="11.25" customHeight="1" x14ac:dyDescent="0.2">
      <c r="AI692" s="3" t="e">
        <f t="shared" si="122"/>
        <v>#N/A</v>
      </c>
      <c r="AJ692" s="3" t="e">
        <f t="shared" si="123"/>
        <v>#N/A</v>
      </c>
      <c r="AK692" s="1">
        <f t="shared" si="130"/>
        <v>102.45000000000103</v>
      </c>
      <c r="AL692" s="1">
        <f t="shared" si="120"/>
        <v>3.3172292655166951</v>
      </c>
      <c r="AM692" s="1">
        <f t="shared" si="124"/>
        <v>1.0999580798542322E-3</v>
      </c>
      <c r="AN692" s="1">
        <f t="shared" si="125"/>
        <v>1.0999580798542322E-3</v>
      </c>
      <c r="AO692" s="1">
        <f t="shared" si="126"/>
        <v>1.0970671838861619E-3</v>
      </c>
      <c r="AP692" s="1">
        <f t="shared" si="121"/>
        <v>8.9118734059231708E-2</v>
      </c>
      <c r="AQ692" s="1">
        <f t="shared" si="127"/>
        <v>0.1579128850104361</v>
      </c>
      <c r="AR692" s="1">
        <f t="shared" si="128"/>
        <v>0.1579128850104361</v>
      </c>
      <c r="AS692" s="1">
        <f t="shared" si="129"/>
        <v>0.14283767498214961</v>
      </c>
    </row>
    <row r="693" spans="35:45" ht="11.25" customHeight="1" x14ac:dyDescent="0.2">
      <c r="AI693" s="3" t="e">
        <f t="shared" si="122"/>
        <v>#N/A</v>
      </c>
      <c r="AJ693" s="3" t="e">
        <f t="shared" si="123"/>
        <v>#N/A</v>
      </c>
      <c r="AK693" s="1">
        <f t="shared" si="130"/>
        <v>102.60000000000103</v>
      </c>
      <c r="AL693" s="1">
        <f t="shared" si="120"/>
        <v>3.3267160984972004</v>
      </c>
      <c r="AM693" s="1">
        <f t="shared" si="124"/>
        <v>1.072591782023957E-3</v>
      </c>
      <c r="AN693" s="1">
        <f t="shared" si="125"/>
        <v>1.072591782023957E-3</v>
      </c>
      <c r="AO693" s="1">
        <f t="shared" si="126"/>
        <v>1.0697728098150803E-3</v>
      </c>
      <c r="AP693" s="1">
        <f t="shared" si="121"/>
        <v>8.0494340440590353E-2</v>
      </c>
      <c r="AQ693" s="1">
        <f t="shared" si="127"/>
        <v>0.15803137428438419</v>
      </c>
      <c r="AR693" s="1">
        <f t="shared" si="128"/>
        <v>0.15803137428438419</v>
      </c>
      <c r="AS693" s="1">
        <f t="shared" si="129"/>
        <v>0.14294485263519516</v>
      </c>
    </row>
    <row r="694" spans="35:45" ht="11.25" customHeight="1" x14ac:dyDescent="0.2">
      <c r="AI694" s="3" t="e">
        <f t="shared" si="122"/>
        <v>#N/A</v>
      </c>
      <c r="AJ694" s="3" t="e">
        <f t="shared" si="123"/>
        <v>#N/A</v>
      </c>
      <c r="AK694" s="1">
        <f t="shared" si="130"/>
        <v>102.75000000000104</v>
      </c>
      <c r="AL694" s="1">
        <f t="shared" si="120"/>
        <v>3.3362029314777057</v>
      </c>
      <c r="AM694" s="1">
        <f t="shared" si="124"/>
        <v>1.0458643846106286E-3</v>
      </c>
      <c r="AN694" s="1">
        <f t="shared" si="125"/>
        <v>1.0458643846106286E-3</v>
      </c>
      <c r="AO694" s="1">
        <f t="shared" si="126"/>
        <v>1.0431156570109186E-3</v>
      </c>
      <c r="AP694" s="1">
        <f t="shared" si="121"/>
        <v>7.1869946821948985E-2</v>
      </c>
      <c r="AQ694" s="1">
        <f t="shared" si="127"/>
        <v>0.15813789411067702</v>
      </c>
      <c r="AR694" s="1">
        <f t="shared" si="128"/>
        <v>0.15813789411067702</v>
      </c>
      <c r="AS694" s="1">
        <f t="shared" si="129"/>
        <v>0.14304120350818544</v>
      </c>
    </row>
    <row r="695" spans="35:45" ht="11.25" customHeight="1" x14ac:dyDescent="0.2">
      <c r="AI695" s="3" t="e">
        <f t="shared" si="122"/>
        <v>#N/A</v>
      </c>
      <c r="AJ695" s="3" t="e">
        <f t="shared" si="123"/>
        <v>#N/A</v>
      </c>
      <c r="AK695" s="1">
        <f t="shared" si="130"/>
        <v>102.90000000000104</v>
      </c>
      <c r="AL695" s="1">
        <f t="shared" si="120"/>
        <v>3.3456897644582115</v>
      </c>
      <c r="AM695" s="1">
        <f t="shared" si="124"/>
        <v>1.0197622806861623E-3</v>
      </c>
      <c r="AN695" s="1">
        <f t="shared" si="125"/>
        <v>1.0197622806861623E-3</v>
      </c>
      <c r="AO695" s="1">
        <f t="shared" si="126"/>
        <v>1.0170821543071492E-3</v>
      </c>
      <c r="AP695" s="1">
        <f t="shared" si="121"/>
        <v>6.3245553203307631E-2</v>
      </c>
      <c r="AQ695" s="1">
        <f t="shared" si="127"/>
        <v>0.15823241894974416</v>
      </c>
      <c r="AR695" s="1">
        <f t="shared" si="128"/>
        <v>0.15823241894974416</v>
      </c>
      <c r="AS695" s="1">
        <f t="shared" si="129"/>
        <v>0.14312670449969428</v>
      </c>
    </row>
    <row r="696" spans="35:45" ht="11.25" customHeight="1" x14ac:dyDescent="0.2">
      <c r="AI696" s="3" t="e">
        <f t="shared" si="122"/>
        <v>#N/A</v>
      </c>
      <c r="AJ696" s="3" t="e">
        <f t="shared" si="123"/>
        <v>#N/A</v>
      </c>
      <c r="AK696" s="1">
        <f t="shared" si="130"/>
        <v>103.05000000000105</v>
      </c>
      <c r="AL696" s="1">
        <f t="shared" si="120"/>
        <v>3.3551765974387169</v>
      </c>
      <c r="AM696" s="1">
        <f t="shared" si="124"/>
        <v>9.9427211248948044E-4</v>
      </c>
      <c r="AN696" s="1">
        <f t="shared" si="125"/>
        <v>9.9427211248948044E-4</v>
      </c>
      <c r="AO696" s="1">
        <f t="shared" si="126"/>
        <v>9.9165897904939372E-4</v>
      </c>
      <c r="AP696" s="1">
        <f t="shared" si="121"/>
        <v>5.4621159584666262E-2</v>
      </c>
      <c r="AQ696" s="1">
        <f t="shared" si="127"/>
        <v>0.15831492613305187</v>
      </c>
      <c r="AR696" s="1">
        <f t="shared" si="128"/>
        <v>0.15831492613305187</v>
      </c>
      <c r="AS696" s="1">
        <f t="shared" si="129"/>
        <v>0.14320133510524757</v>
      </c>
    </row>
    <row r="697" spans="35:45" ht="11.25" customHeight="1" x14ac:dyDescent="0.2">
      <c r="AI697" s="3" t="e">
        <f t="shared" si="122"/>
        <v>#N/A</v>
      </c>
      <c r="AJ697" s="3" t="e">
        <f t="shared" si="123"/>
        <v>#N/A</v>
      </c>
      <c r="AK697" s="1">
        <f t="shared" si="130"/>
        <v>103.20000000000105</v>
      </c>
      <c r="AL697" s="1">
        <f t="shared" si="120"/>
        <v>3.3646634304192222</v>
      </c>
      <c r="AM697" s="1">
        <f t="shared" si="124"/>
        <v>9.6938076976117726E-4</v>
      </c>
      <c r="AN697" s="1">
        <f t="shared" si="125"/>
        <v>9.6938076976117726E-4</v>
      </c>
      <c r="AO697" s="1">
        <f t="shared" si="126"/>
        <v>9.6683305543446491E-4</v>
      </c>
      <c r="AP697" s="1">
        <f t="shared" si="121"/>
        <v>4.5996765966024901E-2</v>
      </c>
      <c r="AQ697" s="1">
        <f t="shared" si="127"/>
        <v>0.15838539586088274</v>
      </c>
      <c r="AR697" s="1">
        <f t="shared" si="128"/>
        <v>0.15838539586088274</v>
      </c>
      <c r="AS697" s="1">
        <f t="shared" si="129"/>
        <v>0.14326507741531508</v>
      </c>
    </row>
    <row r="698" spans="35:45" ht="11.25" customHeight="1" x14ac:dyDescent="0.2">
      <c r="AI698" s="3" t="e">
        <f t="shared" si="122"/>
        <v>#N/A</v>
      </c>
      <c r="AJ698" s="3" t="e">
        <f t="shared" si="123"/>
        <v>#N/A</v>
      </c>
      <c r="AK698" s="1">
        <f t="shared" si="130"/>
        <v>103.35000000000106</v>
      </c>
      <c r="AL698" s="1">
        <f t="shared" si="120"/>
        <v>3.374150263399728</v>
      </c>
      <c r="AM698" s="1">
        <f t="shared" si="124"/>
        <v>9.4507538486894582E-4</v>
      </c>
      <c r="AN698" s="1">
        <f t="shared" si="125"/>
        <v>9.4507538486894582E-4</v>
      </c>
      <c r="AO698" s="1">
        <f t="shared" si="126"/>
        <v>9.4259154964860506E-4</v>
      </c>
      <c r="AP698" s="1">
        <f t="shared" si="121"/>
        <v>3.7372372347383533E-2</v>
      </c>
      <c r="AQ698" s="1">
        <f t="shared" si="127"/>
        <v>0.15844381121343787</v>
      </c>
      <c r="AR698" s="1">
        <f t="shared" si="128"/>
        <v>0.15844381121343787</v>
      </c>
      <c r="AS698" s="1">
        <f t="shared" si="129"/>
        <v>0.14331791612535247</v>
      </c>
    </row>
    <row r="699" spans="35:45" ht="11.25" customHeight="1" x14ac:dyDescent="0.2">
      <c r="AI699" s="3" t="e">
        <f t="shared" si="122"/>
        <v>#N/A</v>
      </c>
      <c r="AJ699" s="3" t="e">
        <f t="shared" si="123"/>
        <v>#N/A</v>
      </c>
      <c r="AK699" s="1">
        <f t="shared" si="130"/>
        <v>103.50000000000107</v>
      </c>
      <c r="AL699" s="1">
        <f t="shared" si="120"/>
        <v>3.3836370963802334</v>
      </c>
      <c r="AM699" s="1">
        <f t="shared" si="124"/>
        <v>9.2134333056111128E-4</v>
      </c>
      <c r="AN699" s="1">
        <f t="shared" si="125"/>
        <v>9.2134333056111128E-4</v>
      </c>
      <c r="AO699" s="1">
        <f t="shared" si="126"/>
        <v>9.1892186762692317E-4</v>
      </c>
      <c r="AP699" s="1">
        <f t="shared" si="121"/>
        <v>2.8747978728742175E-2</v>
      </c>
      <c r="AQ699" s="1">
        <f t="shared" si="127"/>
        <v>0.15849015816638001</v>
      </c>
      <c r="AR699" s="1">
        <f t="shared" si="128"/>
        <v>0.15849015816638001</v>
      </c>
      <c r="AS699" s="1">
        <f t="shared" si="129"/>
        <v>0.14335983854986095</v>
      </c>
    </row>
    <row r="700" spans="35:45" ht="11.25" customHeight="1" x14ac:dyDescent="0.2">
      <c r="AI700" s="3" t="e">
        <f t="shared" si="122"/>
        <v>#N/A</v>
      </c>
      <c r="AJ700" s="3" t="e">
        <f t="shared" si="123"/>
        <v>#N/A</v>
      </c>
      <c r="AK700" s="1">
        <f t="shared" si="130"/>
        <v>103.65000000000107</v>
      </c>
      <c r="AL700" s="1">
        <f t="shared" si="120"/>
        <v>3.3931239293607387</v>
      </c>
      <c r="AM700" s="1">
        <f t="shared" si="124"/>
        <v>8.9817221562982219E-4</v>
      </c>
      <c r="AN700" s="1">
        <f t="shared" si="125"/>
        <v>8.9817221562982219E-4</v>
      </c>
      <c r="AO700" s="1">
        <f t="shared" si="126"/>
        <v>8.9581165072798402E-4</v>
      </c>
      <c r="AP700" s="1">
        <f t="shared" si="121"/>
        <v>2.012358511010081E-2</v>
      </c>
      <c r="AQ700" s="1">
        <f t="shared" si="127"/>
        <v>0.15852442558861313</v>
      </c>
      <c r="AR700" s="1">
        <f t="shared" si="128"/>
        <v>0.15852442558861313</v>
      </c>
      <c r="AS700" s="1">
        <f t="shared" si="129"/>
        <v>0.14339083462037847</v>
      </c>
    </row>
    <row r="701" spans="35:45" ht="11.25" customHeight="1" x14ac:dyDescent="0.2">
      <c r="AI701" s="3" t="e">
        <f t="shared" si="122"/>
        <v>#N/A</v>
      </c>
      <c r="AJ701" s="3" t="e">
        <f t="shared" si="123"/>
        <v>#N/A</v>
      </c>
      <c r="AK701" s="1">
        <f t="shared" si="130"/>
        <v>103.80000000000108</v>
      </c>
      <c r="AL701" s="1">
        <f t="shared" si="120"/>
        <v>3.4026107623412445</v>
      </c>
      <c r="AM701" s="1">
        <f t="shared" si="124"/>
        <v>8.7554988267325717E-4</v>
      </c>
      <c r="AN701" s="1">
        <f t="shared" si="125"/>
        <v>8.7554988267325717E-4</v>
      </c>
      <c r="AO701" s="1">
        <f t="shared" si="126"/>
        <v>8.7324877350189662E-4</v>
      </c>
      <c r="AP701" s="1">
        <f t="shared" si="121"/>
        <v>1.1499191491459447E-2</v>
      </c>
      <c r="AQ701" s="1">
        <f t="shared" si="127"/>
        <v>0.15854660524672326</v>
      </c>
      <c r="AR701" s="1">
        <f t="shared" si="128"/>
        <v>0.15854660524672326</v>
      </c>
      <c r="AS701" s="1">
        <f t="shared" si="129"/>
        <v>0.14341089688949693</v>
      </c>
    </row>
    <row r="702" spans="35:45" ht="11.25" customHeight="1" x14ac:dyDescent="0.2">
      <c r="AI702" s="3" t="e">
        <f t="shared" si="122"/>
        <v>#N/A</v>
      </c>
      <c r="AJ702" s="3" t="e">
        <f t="shared" si="123"/>
        <v>#N/A</v>
      </c>
      <c r="AK702" s="1">
        <f t="shared" si="130"/>
        <v>103.95000000000108</v>
      </c>
      <c r="AL702" s="1">
        <f t="shared" si="120"/>
        <v>3.4120975953217498</v>
      </c>
      <c r="AM702" s="1">
        <f t="shared" si="124"/>
        <v>8.5346440348993413E-4</v>
      </c>
      <c r="AN702" s="1">
        <f t="shared" si="125"/>
        <v>8.5346440348993413E-4</v>
      </c>
      <c r="AO702" s="1">
        <f t="shared" si="126"/>
        <v>8.5122133909672768E-4</v>
      </c>
      <c r="AP702" s="1">
        <f t="shared" si="121"/>
        <v>2.8747978728180849E-3</v>
      </c>
      <c r="AQ702" s="1">
        <f t="shared" si="127"/>
        <v>0.15855669181163989</v>
      </c>
      <c r="AR702" s="1">
        <f t="shared" si="128"/>
        <v>0.15855669181163989</v>
      </c>
      <c r="AS702" s="1">
        <f t="shared" si="129"/>
        <v>0.1434200205368874</v>
      </c>
    </row>
    <row r="703" spans="35:45" ht="11.25" customHeight="1" x14ac:dyDescent="0.2">
      <c r="AI703" s="3" t="e">
        <f t="shared" si="122"/>
        <v>#N/A</v>
      </c>
      <c r="AJ703" s="3" t="e">
        <f t="shared" si="123"/>
        <v>#N/A</v>
      </c>
      <c r="AK703" s="1">
        <f t="shared" si="130"/>
        <v>104.10000000000109</v>
      </c>
      <c r="AL703" s="1">
        <f t="shared" si="120"/>
        <v>3.4215844283022552</v>
      </c>
      <c r="AM703" s="1">
        <f t="shared" si="124"/>
        <v>8.3190407659371884E-4</v>
      </c>
      <c r="AN703" s="1">
        <f t="shared" si="125"/>
        <v>8.3190407659371884E-4</v>
      </c>
      <c r="AO703" s="1">
        <f t="shared" si="126"/>
        <v>8.2971767678004151E-4</v>
      </c>
      <c r="AP703" s="1">
        <f t="shared" si="121"/>
        <v>5.7495957458232778E-3</v>
      </c>
      <c r="AQ703" s="1">
        <f t="shared" si="127"/>
        <v>0.15855467350833763</v>
      </c>
      <c r="AR703" s="1">
        <f t="shared" si="128"/>
        <v>0</v>
      </c>
      <c r="AS703" s="1">
        <f t="shared" si="129"/>
        <v>0.14341819491163152</v>
      </c>
    </row>
    <row r="704" spans="35:45" ht="11.25" customHeight="1" x14ac:dyDescent="0.2">
      <c r="AI704" s="3" t="e">
        <f t="shared" si="122"/>
        <v>#N/A</v>
      </c>
      <c r="AJ704" s="3" t="e">
        <f t="shared" si="123"/>
        <v>#N/A</v>
      </c>
      <c r="AK704" s="1">
        <f t="shared" si="130"/>
        <v>104.25000000000109</v>
      </c>
      <c r="AL704" s="1">
        <f t="shared" si="120"/>
        <v>3.431071261282761</v>
      </c>
      <c r="AM704" s="1">
        <f t="shared" si="124"/>
        <v>8.1085742380943016E-4</v>
      </c>
      <c r="AN704" s="1">
        <f t="shared" si="125"/>
        <v>8.1085742380943016E-4</v>
      </c>
      <c r="AO704" s="1">
        <f t="shared" si="126"/>
        <v>8.0872633854345223E-4</v>
      </c>
      <c r="AP704" s="1">
        <f t="shared" si="121"/>
        <v>1.4373989364464641E-2</v>
      </c>
      <c r="AQ704" s="1">
        <f t="shared" si="127"/>
        <v>0.15854055549935353</v>
      </c>
      <c r="AR704" s="1">
        <f t="shared" si="128"/>
        <v>0</v>
      </c>
      <c r="AS704" s="1">
        <f t="shared" si="129"/>
        <v>0.14340542468342288</v>
      </c>
    </row>
    <row r="705" spans="35:45" ht="11.25" customHeight="1" x14ac:dyDescent="0.2">
      <c r="AI705" s="3" t="e">
        <f t="shared" si="122"/>
        <v>#N/A</v>
      </c>
      <c r="AJ705" s="3" t="e">
        <f t="shared" si="123"/>
        <v>#N/A</v>
      </c>
      <c r="AK705" s="1">
        <f t="shared" si="130"/>
        <v>104.4000000000011</v>
      </c>
      <c r="AL705" s="1">
        <f t="shared" si="120"/>
        <v>3.4405580942632663</v>
      </c>
      <c r="AM705" s="1">
        <f t="shared" si="124"/>
        <v>7.9031318654752131E-4</v>
      </c>
      <c r="AN705" s="1">
        <f t="shared" si="125"/>
        <v>7.9031318654752131E-4</v>
      </c>
      <c r="AO705" s="1">
        <f t="shared" si="126"/>
        <v>7.8823609538709644E-4</v>
      </c>
      <c r="AP705" s="1">
        <f t="shared" si="121"/>
        <v>2.2998382983106004E-2</v>
      </c>
      <c r="AQ705" s="1">
        <f t="shared" si="127"/>
        <v>0.15851434585156809</v>
      </c>
      <c r="AR705" s="1">
        <f t="shared" si="128"/>
        <v>0</v>
      </c>
      <c r="AS705" s="1">
        <f t="shared" si="129"/>
        <v>0.14338171714903439</v>
      </c>
    </row>
    <row r="706" spans="35:45" ht="11.25" customHeight="1" x14ac:dyDescent="0.2">
      <c r="AI706" s="3" t="e">
        <f t="shared" si="122"/>
        <v>#N/A</v>
      </c>
      <c r="AJ706" s="3" t="e">
        <f t="shared" si="123"/>
        <v>#N/A</v>
      </c>
      <c r="AK706" s="1">
        <f t="shared" si="130"/>
        <v>104.55000000000111</v>
      </c>
      <c r="AL706" s="1">
        <f t="shared" si="120"/>
        <v>3.4500449272437717</v>
      </c>
      <c r="AM706" s="1">
        <f t="shared" si="124"/>
        <v>7.7026032260785193E-4</v>
      </c>
      <c r="AN706" s="1">
        <f t="shared" si="125"/>
        <v>7.7026032260785193E-4</v>
      </c>
      <c r="AO706" s="1">
        <f t="shared" si="126"/>
        <v>7.6823593413180493E-4</v>
      </c>
      <c r="AP706" s="1">
        <f t="shared" si="121"/>
        <v>3.1622776601747365E-2</v>
      </c>
      <c r="AQ706" s="1">
        <f t="shared" si="127"/>
        <v>0.15847605086216632</v>
      </c>
      <c r="AR706" s="1">
        <f t="shared" si="128"/>
        <v>0</v>
      </c>
      <c r="AS706" s="1">
        <f t="shared" si="129"/>
        <v>0.14334707800448798</v>
      </c>
    </row>
    <row r="707" spans="35:45" ht="11.25" customHeight="1" x14ac:dyDescent="0.2">
      <c r="AI707" s="3" t="e">
        <f t="shared" si="122"/>
        <v>#N/A</v>
      </c>
      <c r="AJ707" s="3" t="e">
        <f t="shared" si="123"/>
        <v>#N/A</v>
      </c>
      <c r="AK707" s="1">
        <f t="shared" si="130"/>
        <v>104.70000000000111</v>
      </c>
      <c r="AL707" s="1">
        <f t="shared" si="120"/>
        <v>3.4595317602242774</v>
      </c>
      <c r="AM707" s="1">
        <f t="shared" si="124"/>
        <v>7.5068800408934627E-4</v>
      </c>
      <c r="AN707" s="1">
        <f t="shared" si="125"/>
        <v>7.5068800408934627E-4</v>
      </c>
      <c r="AO707" s="1">
        <f t="shared" si="126"/>
        <v>7.4871505533425525E-4</v>
      </c>
      <c r="AP707" s="1">
        <f t="shared" si="121"/>
        <v>4.0247170220388727E-2</v>
      </c>
      <c r="AQ707" s="1">
        <f t="shared" si="127"/>
        <v>0.15842567973045618</v>
      </c>
      <c r="AR707" s="1">
        <f t="shared" si="128"/>
        <v>0</v>
      </c>
      <c r="AS707" s="1">
        <f t="shared" si="129"/>
        <v>0.14330151557087645</v>
      </c>
    </row>
    <row r="708" spans="35:45" ht="11.25" customHeight="1" x14ac:dyDescent="0.2">
      <c r="AI708" s="3" t="e">
        <f t="shared" si="122"/>
        <v>#N/A</v>
      </c>
      <c r="AJ708" s="3" t="e">
        <f t="shared" si="123"/>
        <v>#N/A</v>
      </c>
      <c r="AK708" s="1">
        <f t="shared" si="130"/>
        <v>104.85000000000112</v>
      </c>
      <c r="AL708" s="1">
        <f t="shared" si="120"/>
        <v>3.4690185932047828</v>
      </c>
      <c r="AM708" s="1">
        <f t="shared" si="124"/>
        <v>7.3158561220316998E-4</v>
      </c>
      <c r="AN708" s="1">
        <f t="shared" si="125"/>
        <v>7.3158561220316998E-4</v>
      </c>
      <c r="AO708" s="1">
        <f t="shared" si="126"/>
        <v>7.2966286811377993E-4</v>
      </c>
      <c r="AP708" s="1">
        <f t="shared" si="121"/>
        <v>4.8871563839030088E-2</v>
      </c>
      <c r="AQ708" s="1">
        <f t="shared" si="127"/>
        <v>0.15836324454898687</v>
      </c>
      <c r="AR708" s="1">
        <f t="shared" si="128"/>
        <v>0</v>
      </c>
      <c r="AS708" s="1">
        <f t="shared" si="129"/>
        <v>0.14324504078632941</v>
      </c>
    </row>
    <row r="709" spans="35:45" ht="11.25" customHeight="1" x14ac:dyDescent="0.2">
      <c r="AI709" s="3" t="e">
        <f t="shared" si="122"/>
        <v>#N/A</v>
      </c>
      <c r="AJ709" s="3" t="e">
        <f t="shared" si="123"/>
        <v>#N/A</v>
      </c>
      <c r="AK709" s="1">
        <f t="shared" si="130"/>
        <v>105.00000000000112</v>
      </c>
      <c r="AL709" s="1">
        <f t="shared" si="120"/>
        <v>3.4785054261852881</v>
      </c>
      <c r="AM709" s="1">
        <f t="shared" si="124"/>
        <v>7.129427354729545E-4</v>
      </c>
      <c r="AN709" s="1">
        <f t="shared" si="125"/>
        <v>7.129427354729545E-4</v>
      </c>
      <c r="AO709" s="1">
        <f t="shared" si="126"/>
        <v>7.1106898835732169E-4</v>
      </c>
      <c r="AP709" s="1">
        <f t="shared" si="121"/>
        <v>5.7495957457671457E-2</v>
      </c>
      <c r="AQ709" s="1">
        <f t="shared" si="127"/>
        <v>0.15828876031687145</v>
      </c>
      <c r="AR709" s="1">
        <f t="shared" si="128"/>
        <v>0</v>
      </c>
      <c r="AS709" s="1">
        <f t="shared" si="129"/>
        <v>0.14317766721806424</v>
      </c>
    </row>
    <row r="710" spans="35:45" ht="11.25" customHeight="1" x14ac:dyDescent="0.2">
      <c r="AI710" s="3" t="e">
        <f t="shared" si="122"/>
        <v>#N/A</v>
      </c>
      <c r="AJ710" s="3" t="e">
        <f t="shared" si="123"/>
        <v>#N/A</v>
      </c>
      <c r="AK710" s="1">
        <f t="shared" si="130"/>
        <v>105.15000000000113</v>
      </c>
      <c r="AL710" s="1">
        <f t="shared" si="120"/>
        <v>3.4879922591657939</v>
      </c>
      <c r="AM710" s="1">
        <f t="shared" si="124"/>
        <v>6.9474916599646802E-4</v>
      </c>
      <c r="AN710" s="1">
        <f t="shared" si="125"/>
        <v>6.9474916599646802E-4</v>
      </c>
      <c r="AO710" s="1">
        <f t="shared" si="126"/>
        <v>6.9292323499092854E-4</v>
      </c>
      <c r="AP710" s="1">
        <f t="shared" si="121"/>
        <v>6.6120351076312811E-2</v>
      </c>
      <c r="AQ710" s="1">
        <f t="shared" si="127"/>
        <v>0.15820224490425971</v>
      </c>
      <c r="AR710" s="1">
        <f t="shared" si="128"/>
        <v>0</v>
      </c>
      <c r="AS710" s="1">
        <f t="shared" si="129"/>
        <v>0.14309941103025053</v>
      </c>
    </row>
    <row r="711" spans="35:45" ht="11.25" customHeight="1" x14ac:dyDescent="0.2">
      <c r="AI711" s="3" t="e">
        <f t="shared" si="122"/>
        <v>#N/A</v>
      </c>
      <c r="AJ711" s="3" t="e">
        <f t="shared" si="123"/>
        <v>#N/A</v>
      </c>
      <c r="AK711" s="1">
        <f t="shared" si="130"/>
        <v>105.30000000000113</v>
      </c>
      <c r="AL711" s="1">
        <f t="shared" si="120"/>
        <v>3.4974790921462993</v>
      </c>
      <c r="AM711" s="1">
        <f t="shared" si="124"/>
        <v>6.7699489660066892E-4</v>
      </c>
      <c r="AN711" s="1">
        <f t="shared" si="125"/>
        <v>6.7699489660066892E-4</v>
      </c>
      <c r="AO711" s="1">
        <f t="shared" si="126"/>
        <v>6.752156271422851E-4</v>
      </c>
      <c r="AP711" s="1">
        <f t="shared" si="121"/>
        <v>7.4744744694954179E-2</v>
      </c>
      <c r="AQ711" s="1">
        <f t="shared" si="127"/>
        <v>0.15810371907454268</v>
      </c>
      <c r="AR711" s="1">
        <f t="shared" si="128"/>
        <v>0</v>
      </c>
      <c r="AS711" s="1">
        <f t="shared" si="129"/>
        <v>0.14301029100409474</v>
      </c>
    </row>
    <row r="712" spans="35:45" ht="11.25" customHeight="1" x14ac:dyDescent="0.2">
      <c r="AI712" s="3" t="e">
        <f t="shared" si="122"/>
        <v>#N/A</v>
      </c>
      <c r="AJ712" s="3" t="e">
        <f t="shared" si="123"/>
        <v>#N/A</v>
      </c>
      <c r="AK712" s="1">
        <f t="shared" si="130"/>
        <v>105.45000000000114</v>
      </c>
      <c r="AL712" s="1">
        <f t="shared" si="120"/>
        <v>3.5069659251268051</v>
      </c>
      <c r="AM712" s="1">
        <f t="shared" si="124"/>
        <v>6.5967011725082819E-4</v>
      </c>
      <c r="AN712" s="1">
        <f t="shared" si="125"/>
        <v>6.5967011725082819E-4</v>
      </c>
      <c r="AO712" s="1">
        <f t="shared" si="126"/>
        <v>6.5793638055927195E-4</v>
      </c>
      <c r="AP712" s="1">
        <f t="shared" si="121"/>
        <v>8.3369138313595548E-2</v>
      </c>
      <c r="AQ712" s="1">
        <f t="shared" si="127"/>
        <v>0.15799320645104586</v>
      </c>
      <c r="AR712" s="1">
        <f t="shared" si="128"/>
        <v>0</v>
      </c>
      <c r="AS712" s="1">
        <f t="shared" si="129"/>
        <v>0.14291032850771315</v>
      </c>
    </row>
    <row r="713" spans="35:45" ht="11.25" customHeight="1" x14ac:dyDescent="0.2">
      <c r="AI713" s="3" t="e">
        <f t="shared" si="122"/>
        <v>#N/A</v>
      </c>
      <c r="AJ713" s="3" t="e">
        <f t="shared" si="123"/>
        <v>#N/A</v>
      </c>
      <c r="AK713" s="1">
        <f t="shared" si="130"/>
        <v>105.60000000000115</v>
      </c>
      <c r="AL713" s="1">
        <f t="shared" ref="AL713:AL776" si="131">ABS(($AL$5-AK713)/$AL$6)</f>
        <v>3.5164527581073104</v>
      </c>
      <c r="AM713" s="1">
        <f t="shared" si="124"/>
        <v>6.4276521243543383E-4</v>
      </c>
      <c r="AN713" s="1">
        <f t="shared" si="125"/>
        <v>6.4276521243543383E-4</v>
      </c>
      <c r="AO713" s="1">
        <f t="shared" si="126"/>
        <v>6.4107590500174342E-4</v>
      </c>
      <c r="AP713" s="1">
        <f t="shared" ref="AP713:AP776" si="132">ABS(($AP$5-AK713)/$AP$6)</f>
        <v>9.1993531932236902E-2</v>
      </c>
      <c r="AQ713" s="1">
        <f t="shared" si="127"/>
        <v>0.15787073353035197</v>
      </c>
      <c r="AR713" s="1">
        <f t="shared" si="128"/>
        <v>0</v>
      </c>
      <c r="AS713" s="1">
        <f t="shared" si="129"/>
        <v>0.14279954750818272</v>
      </c>
    </row>
    <row r="714" spans="35:45" ht="11.25" customHeight="1" x14ac:dyDescent="0.2">
      <c r="AI714" s="3" t="e">
        <f t="shared" ref="AI714:AI777" si="133">IF($M$18,AI713,NA())</f>
        <v>#N/A</v>
      </c>
      <c r="AJ714" s="3" t="e">
        <f t="shared" ref="AJ714:AJ777" si="134">IF($M$18,AJ713,NA())</f>
        <v>#N/A</v>
      </c>
      <c r="AK714" s="1">
        <f t="shared" si="130"/>
        <v>105.75000000000115</v>
      </c>
      <c r="AL714" s="1">
        <f t="shared" si="131"/>
        <v>3.5259395910878157</v>
      </c>
      <c r="AM714" s="1">
        <f t="shared" ref="AM714:AM777" si="135">$AL$3*ABS((TDIST(AL714,$AL$7,1)-TDIST(AL714+$AL$1,$AL$7,1))/($AL$1))</f>
        <v>6.2627075761000767E-4</v>
      </c>
      <c r="AN714" s="1">
        <f t="shared" ref="AN714:AN777" si="136">IF(($D$10&gt;$AJ$5)=($D$10&gt;AK714),AM714,0)</f>
        <v>6.2627075761000767E-4</v>
      </c>
      <c r="AO714" s="1">
        <f t="shared" ref="AO714:AO777" si="137">AM714*$AN$5/$AN$7</f>
        <v>6.246248006946904E-4</v>
      </c>
      <c r="AP714" s="1">
        <f t="shared" si="132"/>
        <v>0.10061792555087827</v>
      </c>
      <c r="AQ714" s="1">
        <f t="shared" ref="AQ714:AQ777" si="138">$AL$3*ABS((TDIST(AP714,$AP$7,1)-TDIST(AP714+$AL$1,$AP$7,1))/($AL$1))</f>
        <v>0.15773632964455331</v>
      </c>
      <c r="AR714" s="1">
        <f t="shared" ref="AR714:AR777" si="139">IF(($D$19&gt;$AJ$5)=($D$19&gt;AK714),AQ714,0)</f>
        <v>0</v>
      </c>
      <c r="AS714" s="1">
        <f t="shared" ref="AS714:AS777" si="140">AQ714*$AN$5/$AR$7</f>
        <v>0.14267797453739708</v>
      </c>
    </row>
    <row r="715" spans="35:45" ht="11.25" customHeight="1" x14ac:dyDescent="0.2">
      <c r="AI715" s="3" t="e">
        <f t="shared" si="133"/>
        <v>#N/A</v>
      </c>
      <c r="AJ715" s="3" t="e">
        <f t="shared" si="134"/>
        <v>#N/A</v>
      </c>
      <c r="AK715" s="1">
        <f t="shared" si="130"/>
        <v>105.90000000000116</v>
      </c>
      <c r="AL715" s="1">
        <f t="shared" si="131"/>
        <v>3.5354264240683215</v>
      </c>
      <c r="AM715" s="1">
        <f t="shared" si="135"/>
        <v>6.1017751641721102E-4</v>
      </c>
      <c r="AN715" s="1">
        <f t="shared" si="136"/>
        <v>6.1017751641721102E-4</v>
      </c>
      <c r="AO715" s="1">
        <f t="shared" si="137"/>
        <v>6.085738555556521E-4</v>
      </c>
      <c r="AP715" s="1">
        <f t="shared" si="132"/>
        <v>0.10924231916951962</v>
      </c>
      <c r="AQ715" s="1">
        <f t="shared" si="138"/>
        <v>0.15759002697013358</v>
      </c>
      <c r="AR715" s="1">
        <f t="shared" si="139"/>
        <v>0</v>
      </c>
      <c r="AS715" s="1">
        <f t="shared" si="140"/>
        <v>0.14254563870010045</v>
      </c>
    </row>
    <row r="716" spans="35:45" ht="11.25" customHeight="1" x14ac:dyDescent="0.2">
      <c r="AI716" s="3" t="e">
        <f t="shared" si="133"/>
        <v>#N/A</v>
      </c>
      <c r="AJ716" s="3" t="e">
        <f t="shared" si="134"/>
        <v>#N/A</v>
      </c>
      <c r="AK716" s="1">
        <f t="shared" si="130"/>
        <v>106.05000000000116</v>
      </c>
      <c r="AL716" s="1">
        <f t="shared" si="131"/>
        <v>3.5449132570488269</v>
      </c>
      <c r="AM716" s="1">
        <f t="shared" si="135"/>
        <v>5.9447643771613073E-4</v>
      </c>
      <c r="AN716" s="1">
        <f t="shared" si="136"/>
        <v>5.9447643771613073E-4</v>
      </c>
      <c r="AO716" s="1">
        <f t="shared" si="137"/>
        <v>5.929140422318099E-4</v>
      </c>
      <c r="AP716" s="1">
        <f t="shared" si="132"/>
        <v>0.11786671278816099</v>
      </c>
      <c r="AQ716" s="1">
        <f t="shared" si="138"/>
        <v>0.1574318605102043</v>
      </c>
      <c r="AR716" s="1">
        <f t="shared" si="139"/>
        <v>0</v>
      </c>
      <c r="AS716" s="1">
        <f t="shared" si="140"/>
        <v>0.14240257165781975</v>
      </c>
    </row>
    <row r="717" spans="35:45" ht="11.25" customHeight="1" x14ac:dyDescent="0.2">
      <c r="AI717" s="3" t="e">
        <f t="shared" si="133"/>
        <v>#N/A</v>
      </c>
      <c r="AJ717" s="3" t="e">
        <f t="shared" si="134"/>
        <v>#N/A</v>
      </c>
      <c r="AK717" s="1">
        <f t="shared" si="130"/>
        <v>106.20000000000117</v>
      </c>
      <c r="AL717" s="1">
        <f t="shared" si="131"/>
        <v>3.5544000900293322</v>
      </c>
      <c r="AM717" s="1">
        <f t="shared" si="135"/>
        <v>5.7915865234268299E-4</v>
      </c>
      <c r="AN717" s="1">
        <f t="shared" si="136"/>
        <v>5.7915865234268299E-4</v>
      </c>
      <c r="AO717" s="1">
        <f t="shared" si="137"/>
        <v>5.776365148689054E-4</v>
      </c>
      <c r="AP717" s="1">
        <f t="shared" si="132"/>
        <v>0.12649110640680236</v>
      </c>
      <c r="AQ717" s="1">
        <f t="shared" si="138"/>
        <v>0.15726186807230036</v>
      </c>
      <c r="AR717" s="1">
        <f t="shared" si="139"/>
        <v>0</v>
      </c>
      <c r="AS717" s="1">
        <f t="shared" si="140"/>
        <v>0.14224880760878006</v>
      </c>
    </row>
    <row r="718" spans="35:45" ht="11.25" customHeight="1" x14ac:dyDescent="0.2">
      <c r="AI718" s="3" t="e">
        <f t="shared" si="133"/>
        <v>#N/A</v>
      </c>
      <c r="AJ718" s="3" t="e">
        <f t="shared" si="134"/>
        <v>#N/A</v>
      </c>
      <c r="AK718" s="1">
        <f t="shared" si="130"/>
        <v>106.35000000000117</v>
      </c>
      <c r="AL718" s="1">
        <f t="shared" si="131"/>
        <v>3.563886923009838</v>
      </c>
      <c r="AM718" s="1">
        <f t="shared" si="135"/>
        <v>5.6421546996109062E-4</v>
      </c>
      <c r="AN718" s="1">
        <f t="shared" si="136"/>
        <v>5.6421546996109062E-4</v>
      </c>
      <c r="AO718" s="1">
        <f t="shared" si="137"/>
        <v>5.6273260597099238E-4</v>
      </c>
      <c r="AP718" s="1">
        <f t="shared" si="132"/>
        <v>0.13511550002544373</v>
      </c>
      <c r="AQ718" s="1">
        <f t="shared" si="138"/>
        <v>0.15708009026171865</v>
      </c>
      <c r="AR718" s="1">
        <f t="shared" si="139"/>
        <v>0</v>
      </c>
      <c r="AS718" s="1">
        <f t="shared" si="140"/>
        <v>0.14208438328187903</v>
      </c>
    </row>
    <row r="719" spans="35:45" ht="11.25" customHeight="1" x14ac:dyDescent="0.2">
      <c r="AI719" s="3" t="e">
        <f t="shared" si="133"/>
        <v>#N/A</v>
      </c>
      <c r="AJ719" s="3" t="e">
        <f t="shared" si="134"/>
        <v>#N/A</v>
      </c>
      <c r="AK719" s="1">
        <f t="shared" si="130"/>
        <v>106.50000000000118</v>
      </c>
      <c r="AL719" s="1">
        <f t="shared" si="131"/>
        <v>3.5733737559903433</v>
      </c>
      <c r="AM719" s="1">
        <f t="shared" si="135"/>
        <v>5.4963837692366738E-4</v>
      </c>
      <c r="AN719" s="1">
        <f t="shared" si="136"/>
        <v>5.4963837692366738E-4</v>
      </c>
      <c r="AO719" s="1">
        <f t="shared" si="137"/>
        <v>5.481938242658461E-4</v>
      </c>
      <c r="AP719" s="1">
        <f t="shared" si="132"/>
        <v>0.14373989364408507</v>
      </c>
      <c r="AQ719" s="1">
        <f t="shared" si="138"/>
        <v>0.1568865704570932</v>
      </c>
      <c r="AR719" s="1">
        <f t="shared" si="139"/>
        <v>0</v>
      </c>
      <c r="AS719" s="1">
        <f t="shared" si="140"/>
        <v>0.14190933791459395</v>
      </c>
    </row>
    <row r="720" spans="35:45" ht="11.25" customHeight="1" x14ac:dyDescent="0.2">
      <c r="AI720" s="3" t="e">
        <f t="shared" si="133"/>
        <v>#N/A</v>
      </c>
      <c r="AJ720" s="3" t="e">
        <f t="shared" si="134"/>
        <v>#N/A</v>
      </c>
      <c r="AK720" s="1">
        <f t="shared" si="130"/>
        <v>106.65000000000119</v>
      </c>
      <c r="AL720" s="1">
        <f t="shared" si="131"/>
        <v>3.5828605889708487</v>
      </c>
      <c r="AM720" s="1">
        <f t="shared" si="135"/>
        <v>5.3541903223108106E-4</v>
      </c>
      <c r="AN720" s="1">
        <f t="shared" si="136"/>
        <v>5.3541903223108106E-4</v>
      </c>
      <c r="AO720" s="1">
        <f t="shared" si="137"/>
        <v>5.3401185067584382E-4</v>
      </c>
      <c r="AP720" s="1">
        <f t="shared" si="132"/>
        <v>0.15236428726272644</v>
      </c>
      <c r="AQ720" s="1">
        <f t="shared" si="138"/>
        <v>0.1566813547992929</v>
      </c>
      <c r="AR720" s="1">
        <f t="shared" si="139"/>
        <v>0</v>
      </c>
      <c r="AS720" s="1">
        <f t="shared" si="140"/>
        <v>0.14172371324293914</v>
      </c>
    </row>
    <row r="721" spans="35:45" ht="11.25" customHeight="1" x14ac:dyDescent="0.2">
      <c r="AI721" s="3" t="e">
        <f t="shared" si="133"/>
        <v>#N/A</v>
      </c>
      <c r="AJ721" s="3" t="e">
        <f t="shared" si="134"/>
        <v>#N/A</v>
      </c>
      <c r="AK721" s="1">
        <f t="shared" si="130"/>
        <v>106.80000000000119</v>
      </c>
      <c r="AL721" s="1">
        <f t="shared" si="131"/>
        <v>3.5923474219513545</v>
      </c>
      <c r="AM721" s="1">
        <f t="shared" si="135"/>
        <v>5.215492655179059E-4</v>
      </c>
      <c r="AN721" s="1">
        <f t="shared" si="136"/>
        <v>5.215492655179059E-4</v>
      </c>
      <c r="AO721" s="1">
        <f t="shared" si="137"/>
        <v>5.2017853630881132E-4</v>
      </c>
      <c r="AP721" s="1">
        <f t="shared" si="132"/>
        <v>0.16098868088136781</v>
      </c>
      <c r="AQ721" s="1">
        <f t="shared" si="138"/>
        <v>0.1564644921647762</v>
      </c>
      <c r="AR721" s="1">
        <f t="shared" si="139"/>
        <v>0</v>
      </c>
      <c r="AS721" s="1">
        <f t="shared" si="140"/>
        <v>0.14152755347736445</v>
      </c>
    </row>
    <row r="722" spans="35:45" ht="11.25" customHeight="1" x14ac:dyDescent="0.2">
      <c r="AI722" s="3" t="e">
        <f t="shared" si="133"/>
        <v>#N/A</v>
      </c>
      <c r="AJ722" s="3" t="e">
        <f t="shared" si="134"/>
        <v>#N/A</v>
      </c>
      <c r="AK722" s="1">
        <f t="shared" si="130"/>
        <v>106.9500000000012</v>
      </c>
      <c r="AL722" s="1">
        <f t="shared" si="131"/>
        <v>3.6018342549318598</v>
      </c>
      <c r="AM722" s="1">
        <f t="shared" si="135"/>
        <v>5.0802107368292174E-4</v>
      </c>
      <c r="AN722" s="1">
        <f t="shared" si="136"/>
        <v>5.0802107368292174E-4</v>
      </c>
      <c r="AO722" s="1">
        <f t="shared" si="137"/>
        <v>5.066858990971781E-4</v>
      </c>
      <c r="AP722" s="1">
        <f t="shared" si="132"/>
        <v>0.16961307450000918</v>
      </c>
      <c r="AQ722" s="1">
        <f t="shared" si="138"/>
        <v>0.15623603415448883</v>
      </c>
      <c r="AR722" s="1">
        <f t="shared" si="139"/>
        <v>0</v>
      </c>
      <c r="AS722" s="1">
        <f t="shared" si="140"/>
        <v>0.14132090529271291</v>
      </c>
    </row>
    <row r="723" spans="35:45" ht="11.25" customHeight="1" x14ac:dyDescent="0.2">
      <c r="AI723" s="3" t="e">
        <f t="shared" si="133"/>
        <v>#N/A</v>
      </c>
      <c r="AJ723" s="3" t="e">
        <f t="shared" si="134"/>
        <v>#N/A</v>
      </c>
      <c r="AK723" s="1">
        <f t="shared" si="130"/>
        <v>107.1000000000012</v>
      </c>
      <c r="AL723" s="1">
        <f t="shared" si="131"/>
        <v>3.6113210879123652</v>
      </c>
      <c r="AM723" s="1">
        <f t="shared" si="135"/>
        <v>4.9482661820463014E-4</v>
      </c>
      <c r="AN723" s="1">
        <f t="shared" si="136"/>
        <v>4.9482661820463014E-4</v>
      </c>
      <c r="AO723" s="1">
        <f t="shared" si="137"/>
        <v>4.9352612112054924E-4</v>
      </c>
      <c r="AP723" s="1">
        <f t="shared" si="132"/>
        <v>0.17823746811865054</v>
      </c>
      <c r="AQ723" s="1">
        <f t="shared" si="138"/>
        <v>0.1559960350583367</v>
      </c>
      <c r="AR723" s="1">
        <f t="shared" si="139"/>
        <v>0</v>
      </c>
      <c r="AS723" s="1">
        <f t="shared" si="140"/>
        <v>0.14110381779608511</v>
      </c>
    </row>
    <row r="724" spans="35:45" ht="11.25" customHeight="1" x14ac:dyDescent="0.2">
      <c r="AI724" s="3" t="e">
        <f t="shared" si="133"/>
        <v>#N/A</v>
      </c>
      <c r="AJ724" s="3" t="e">
        <f t="shared" si="134"/>
        <v>#N/A</v>
      </c>
      <c r="AK724" s="1">
        <f t="shared" si="130"/>
        <v>107.25000000000121</v>
      </c>
      <c r="AL724" s="1">
        <f t="shared" si="131"/>
        <v>3.620807920892871</v>
      </c>
      <c r="AM724" s="1">
        <f t="shared" si="135"/>
        <v>4.8195822258687362E-4</v>
      </c>
      <c r="AN724" s="1">
        <f t="shared" si="136"/>
        <v>4.8195822258687362E-4</v>
      </c>
      <c r="AO724" s="1">
        <f t="shared" si="137"/>
        <v>4.806915460580377E-4</v>
      </c>
      <c r="AP724" s="1">
        <f t="shared" si="132"/>
        <v>0.18686186173729188</v>
      </c>
      <c r="AQ724" s="1">
        <f t="shared" si="138"/>
        <v>0.15574455185296543</v>
      </c>
      <c r="AR724" s="1">
        <f t="shared" si="139"/>
        <v>0</v>
      </c>
      <c r="AS724" s="1">
        <f t="shared" si="140"/>
        <v>0.14087634252483086</v>
      </c>
    </row>
    <row r="725" spans="35:45" ht="11.25" customHeight="1" x14ac:dyDescent="0.2">
      <c r="AI725" s="3" t="e">
        <f t="shared" si="133"/>
        <v>#N/A</v>
      </c>
      <c r="AJ725" s="3" t="e">
        <f t="shared" si="134"/>
        <v>#N/A</v>
      </c>
      <c r="AK725" s="1">
        <f t="shared" si="130"/>
        <v>107.40000000000121</v>
      </c>
      <c r="AL725" s="1">
        <f t="shared" si="131"/>
        <v>3.6302947538733763</v>
      </c>
      <c r="AM725" s="1">
        <f t="shared" si="135"/>
        <v>4.6940836903033509E-4</v>
      </c>
      <c r="AN725" s="1">
        <f t="shared" si="136"/>
        <v>4.6940836903033509E-4</v>
      </c>
      <c r="AO725" s="1">
        <f t="shared" si="137"/>
        <v>4.6817467586851189E-4</v>
      </c>
      <c r="AP725" s="1">
        <f t="shared" si="132"/>
        <v>0.19548625535593325</v>
      </c>
      <c r="AQ725" s="1">
        <f t="shared" si="138"/>
        <v>0.15548164415957189</v>
      </c>
      <c r="AR725" s="1">
        <f t="shared" si="139"/>
        <v>0</v>
      </c>
      <c r="AS725" s="1">
        <f t="shared" si="140"/>
        <v>0.14063853340838814</v>
      </c>
    </row>
    <row r="726" spans="35:45" ht="11.25" customHeight="1" x14ac:dyDescent="0.2">
      <c r="AI726" s="3" t="e">
        <f t="shared" si="133"/>
        <v>#N/A</v>
      </c>
      <c r="AJ726" s="3" t="e">
        <f t="shared" si="134"/>
        <v>#N/A</v>
      </c>
      <c r="AK726" s="1">
        <f t="shared" si="130"/>
        <v>107.55000000000122</v>
      </c>
      <c r="AL726" s="1">
        <f t="shared" si="131"/>
        <v>3.6397815868538816</v>
      </c>
      <c r="AM726" s="1">
        <f t="shared" si="135"/>
        <v>4.5716969616438688E-4</v>
      </c>
      <c r="AN726" s="1">
        <f t="shared" si="136"/>
        <v>4.5716969616438688E-4</v>
      </c>
      <c r="AO726" s="1">
        <f t="shared" si="137"/>
        <v>4.559681685284057E-4</v>
      </c>
      <c r="AP726" s="1">
        <f t="shared" si="132"/>
        <v>0.20411064897457462</v>
      </c>
      <c r="AQ726" s="1">
        <f t="shared" si="138"/>
        <v>0.15520737422614062</v>
      </c>
      <c r="AR726" s="1">
        <f t="shared" si="139"/>
        <v>0</v>
      </c>
      <c r="AS726" s="1">
        <f t="shared" si="140"/>
        <v>0.14039044675221538</v>
      </c>
    </row>
    <row r="727" spans="35:45" ht="11.25" customHeight="1" x14ac:dyDescent="0.2">
      <c r="AI727" s="3" t="e">
        <f t="shared" si="133"/>
        <v>#N/A</v>
      </c>
      <c r="AJ727" s="3" t="e">
        <f t="shared" si="134"/>
        <v>#N/A</v>
      </c>
      <c r="AK727" s="1">
        <f t="shared" si="130"/>
        <v>107.70000000000122</v>
      </c>
      <c r="AL727" s="1">
        <f t="shared" si="131"/>
        <v>3.6492684198343874</v>
      </c>
      <c r="AM727" s="1">
        <f t="shared" si="135"/>
        <v>4.4523499602216673E-4</v>
      </c>
      <c r="AN727" s="1">
        <f t="shared" si="136"/>
        <v>4.4523499602216673E-4</v>
      </c>
      <c r="AO727" s="1">
        <f t="shared" si="137"/>
        <v>4.4406483501474461E-4</v>
      </c>
      <c r="AP727" s="1">
        <f t="shared" si="132"/>
        <v>0.21273504259321599</v>
      </c>
      <c r="AQ727" s="1">
        <f t="shared" si="138"/>
        <v>0.15492180690301893</v>
      </c>
      <c r="AR727" s="1">
        <f t="shared" si="139"/>
        <v>0</v>
      </c>
      <c r="AS727" s="1">
        <f t="shared" si="140"/>
        <v>0.14013214121569831</v>
      </c>
    </row>
    <row r="728" spans="35:45" ht="11.25" customHeight="1" x14ac:dyDescent="0.2">
      <c r="AI728" s="3" t="e">
        <f t="shared" si="133"/>
        <v>#N/A</v>
      </c>
      <c r="AJ728" s="3" t="e">
        <f t="shared" si="134"/>
        <v>#N/A</v>
      </c>
      <c r="AK728" s="1">
        <f t="shared" si="130"/>
        <v>107.85000000000123</v>
      </c>
      <c r="AL728" s="1">
        <f t="shared" si="131"/>
        <v>3.6587552528148928</v>
      </c>
      <c r="AM728" s="1">
        <f t="shared" si="135"/>
        <v>4.3359721171171151E-4</v>
      </c>
      <c r="AN728" s="1">
        <f t="shared" si="136"/>
        <v>4.3359721171171151E-4</v>
      </c>
      <c r="AO728" s="1">
        <f t="shared" si="137"/>
        <v>4.324576369823999E-4</v>
      </c>
      <c r="AP728" s="1">
        <f t="shared" si="132"/>
        <v>0.22135943621185736</v>
      </c>
      <c r="AQ728" s="1">
        <f t="shared" si="138"/>
        <v>0.15462500961627157</v>
      </c>
      <c r="AR728" s="1">
        <f t="shared" si="139"/>
        <v>0</v>
      </c>
      <c r="AS728" s="1">
        <f t="shared" si="140"/>
        <v>0.13986367778804831</v>
      </c>
    </row>
    <row r="729" spans="35:45" ht="11.25" customHeight="1" x14ac:dyDescent="0.2">
      <c r="AI729" s="3" t="e">
        <f t="shared" si="133"/>
        <v>#N/A</v>
      </c>
      <c r="AJ729" s="3" t="e">
        <f t="shared" si="134"/>
        <v>#N/A</v>
      </c>
      <c r="AK729" s="1">
        <f t="shared" si="130"/>
        <v>108.00000000000124</v>
      </c>
      <c r="AL729" s="1">
        <f t="shared" si="131"/>
        <v>3.6682420857953981</v>
      </c>
      <c r="AM729" s="1">
        <f t="shared" si="135"/>
        <v>4.2224943422840278E-4</v>
      </c>
      <c r="AN729" s="1">
        <f t="shared" si="136"/>
        <v>4.2224943422840278E-4</v>
      </c>
      <c r="AO729" s="1">
        <f t="shared" si="137"/>
        <v>4.2113968358491215E-4</v>
      </c>
      <c r="AP729" s="1">
        <f t="shared" si="132"/>
        <v>0.2299838298304987</v>
      </c>
      <c r="AQ729" s="1">
        <f t="shared" si="138"/>
        <v>0.15431705234325577</v>
      </c>
      <c r="AR729" s="1">
        <f t="shared" si="139"/>
        <v>0</v>
      </c>
      <c r="AS729" s="1">
        <f t="shared" si="140"/>
        <v>0.13958511976620916</v>
      </c>
    </row>
    <row r="730" spans="35:45" ht="11.25" customHeight="1" x14ac:dyDescent="0.2">
      <c r="AI730" s="3" t="e">
        <f t="shared" si="133"/>
        <v>#N/A</v>
      </c>
      <c r="AJ730" s="3" t="e">
        <f t="shared" si="134"/>
        <v>#N/A</v>
      </c>
      <c r="AK730" s="1">
        <f t="shared" si="130"/>
        <v>108.15000000000124</v>
      </c>
      <c r="AL730" s="1">
        <f t="shared" si="131"/>
        <v>3.6777289187759039</v>
      </c>
      <c r="AM730" s="1">
        <f t="shared" si="135"/>
        <v>4.1118490033643582E-4</v>
      </c>
      <c r="AN730" s="1">
        <f t="shared" si="136"/>
        <v>4.1118490033643582E-4</v>
      </c>
      <c r="AO730" s="1">
        <f t="shared" si="137"/>
        <v>4.1010422936152777E-4</v>
      </c>
      <c r="AP730" s="1">
        <f t="shared" si="132"/>
        <v>0.23860822344914007</v>
      </c>
      <c r="AQ730" s="1">
        <f t="shared" si="138"/>
        <v>0.15399800756821236</v>
      </c>
      <c r="AR730" s="1">
        <f t="shared" si="139"/>
        <v>0</v>
      </c>
      <c r="AS730" s="1">
        <f t="shared" si="140"/>
        <v>0.13929653271468773</v>
      </c>
    </row>
    <row r="731" spans="35:45" ht="11.25" customHeight="1" x14ac:dyDescent="0.2">
      <c r="AI731" s="3" t="e">
        <f t="shared" si="133"/>
        <v>#N/A</v>
      </c>
      <c r="AJ731" s="3" t="e">
        <f t="shared" si="134"/>
        <v>#N/A</v>
      </c>
      <c r="AK731" s="1">
        <f t="shared" si="130"/>
        <v>108.30000000000125</v>
      </c>
      <c r="AL731" s="1">
        <f t="shared" si="131"/>
        <v>3.6872157517564093</v>
      </c>
      <c r="AM731" s="1">
        <f t="shared" si="135"/>
        <v>4.0039698973037829E-4</v>
      </c>
      <c r="AN731" s="1">
        <f t="shared" si="136"/>
        <v>4.0039698973037829E-4</v>
      </c>
      <c r="AO731" s="1">
        <f t="shared" si="137"/>
        <v>3.9934467140621772E-4</v>
      </c>
      <c r="AP731" s="1">
        <f t="shared" si="132"/>
        <v>0.24723261706778143</v>
      </c>
      <c r="AQ731" s="1">
        <f t="shared" si="138"/>
        <v>0.15366795026894309</v>
      </c>
      <c r="AR731" s="1">
        <f t="shared" si="139"/>
        <v>0</v>
      </c>
      <c r="AS731" s="1">
        <f t="shared" si="140"/>
        <v>0.13899798445350312</v>
      </c>
    </row>
    <row r="732" spans="35:45" ht="11.25" customHeight="1" x14ac:dyDescent="0.2">
      <c r="AI732" s="3" t="e">
        <f t="shared" si="133"/>
        <v>#N/A</v>
      </c>
      <c r="AJ732" s="3" t="e">
        <f t="shared" si="134"/>
        <v>#N/A</v>
      </c>
      <c r="AK732" s="1">
        <f t="shared" si="130"/>
        <v>108.45000000000125</v>
      </c>
      <c r="AL732" s="1">
        <f t="shared" si="131"/>
        <v>3.6967025847369146</v>
      </c>
      <c r="AM732" s="1">
        <f t="shared" si="135"/>
        <v>3.8987922252198964E-4</v>
      </c>
      <c r="AN732" s="1">
        <f t="shared" si="136"/>
        <v>3.8987922252198964E-4</v>
      </c>
      <c r="AO732" s="1">
        <f t="shared" si="137"/>
        <v>3.8885454686110208E-4</v>
      </c>
      <c r="AP732" s="1">
        <f t="shared" si="132"/>
        <v>0.2558570106864228</v>
      </c>
      <c r="AQ732" s="1">
        <f t="shared" si="138"/>
        <v>0.15332695788794481</v>
      </c>
      <c r="AR732" s="1">
        <f t="shared" si="139"/>
        <v>0</v>
      </c>
      <c r="AS732" s="1">
        <f t="shared" si="140"/>
        <v>0.13868954503207656</v>
      </c>
    </row>
    <row r="733" spans="35:45" ht="11.25" customHeight="1" x14ac:dyDescent="0.2">
      <c r="AI733" s="3" t="e">
        <f t="shared" si="133"/>
        <v>#N/A</v>
      </c>
      <c r="AJ733" s="3" t="e">
        <f t="shared" si="134"/>
        <v>#N/A</v>
      </c>
      <c r="AK733" s="1">
        <f t="shared" si="130"/>
        <v>108.60000000000126</v>
      </c>
      <c r="AL733" s="1">
        <f t="shared" si="131"/>
        <v>3.7061894177174204</v>
      </c>
      <c r="AM733" s="1">
        <f t="shared" si="135"/>
        <v>3.7962525657308371E-4</v>
      </c>
      <c r="AN733" s="1">
        <f t="shared" si="136"/>
        <v>3.7962525657308371E-4</v>
      </c>
      <c r="AO733" s="1">
        <f t="shared" si="137"/>
        <v>3.7862753025632239E-4</v>
      </c>
      <c r="AP733" s="1">
        <f t="shared" si="132"/>
        <v>0.26448140430506417</v>
      </c>
      <c r="AQ733" s="1">
        <f t="shared" si="138"/>
        <v>0.15297511028578015</v>
      </c>
      <c r="AR733" s="1">
        <f t="shared" si="139"/>
        <v>0</v>
      </c>
      <c r="AS733" s="1">
        <f t="shared" si="140"/>
        <v>0.13837128668705345</v>
      </c>
    </row>
    <row r="734" spans="35:45" ht="11.25" customHeight="1" x14ac:dyDescent="0.2">
      <c r="AI734" s="3" t="e">
        <f t="shared" si="133"/>
        <v>#N/A</v>
      </c>
      <c r="AJ734" s="3" t="e">
        <f t="shared" si="134"/>
        <v>#N/A</v>
      </c>
      <c r="AK734" s="1">
        <f t="shared" ref="AK734:AK797" si="141">AK733+$AJ$4</f>
        <v>108.75000000000126</v>
      </c>
      <c r="AL734" s="1">
        <f t="shared" si="131"/>
        <v>3.7156762506979257</v>
      </c>
      <c r="AM734" s="1">
        <f t="shared" si="135"/>
        <v>3.6962888537916613E-4</v>
      </c>
      <c r="AN734" s="1">
        <f t="shared" si="136"/>
        <v>3.6962888537916613E-4</v>
      </c>
      <c r="AO734" s="1">
        <f t="shared" si="137"/>
        <v>3.6865743139924119E-4</v>
      </c>
      <c r="AP734" s="1">
        <f t="shared" si="132"/>
        <v>0.27310579792370554</v>
      </c>
      <c r="AQ734" s="1">
        <f t="shared" si="138"/>
        <v>0.15261248971887298</v>
      </c>
      <c r="AR734" s="1">
        <f t="shared" si="139"/>
        <v>0</v>
      </c>
      <c r="AS734" s="1">
        <f t="shared" si="140"/>
        <v>0.13804328382221878</v>
      </c>
    </row>
    <row r="735" spans="35:45" ht="11.25" customHeight="1" x14ac:dyDescent="0.2">
      <c r="AI735" s="3" t="e">
        <f t="shared" si="133"/>
        <v>#N/A</v>
      </c>
      <c r="AJ735" s="3" t="e">
        <f t="shared" si="134"/>
        <v>#N/A</v>
      </c>
      <c r="AK735" s="1">
        <f t="shared" si="141"/>
        <v>108.90000000000127</v>
      </c>
      <c r="AL735" s="1">
        <f t="shared" si="131"/>
        <v>3.7251630836784311</v>
      </c>
      <c r="AM735" s="1">
        <f t="shared" si="135"/>
        <v>3.5988403507920472E-4</v>
      </c>
      <c r="AN735" s="1">
        <f t="shared" si="136"/>
        <v>3.5988403507920472E-4</v>
      </c>
      <c r="AO735" s="1">
        <f t="shared" si="137"/>
        <v>3.5893819239207135E-4</v>
      </c>
      <c r="AP735" s="1">
        <f t="shared" si="132"/>
        <v>0.28173019154234691</v>
      </c>
      <c r="AQ735" s="1">
        <f t="shared" si="138"/>
        <v>0.15223918079287913</v>
      </c>
      <c r="AR735" s="1">
        <f t="shared" si="139"/>
        <v>0</v>
      </c>
      <c r="AS735" s="1">
        <f t="shared" si="140"/>
        <v>0.1377056129663192</v>
      </c>
    </row>
    <row r="736" spans="35:45" ht="11.25" customHeight="1" x14ac:dyDescent="0.2">
      <c r="AI736" s="3" t="e">
        <f t="shared" si="133"/>
        <v>#N/A</v>
      </c>
      <c r="AJ736" s="3" t="e">
        <f t="shared" si="134"/>
        <v>#N/A</v>
      </c>
      <c r="AK736" s="1">
        <f t="shared" si="141"/>
        <v>109.05000000000128</v>
      </c>
      <c r="AL736" s="1">
        <f t="shared" si="131"/>
        <v>3.7346499166589369</v>
      </c>
      <c r="AM736" s="1">
        <f t="shared" si="135"/>
        <v>3.5038476239130853E-4</v>
      </c>
      <c r="AN736" s="1">
        <f t="shared" si="136"/>
        <v>3.5038476239130853E-4</v>
      </c>
      <c r="AO736" s="1">
        <f t="shared" si="137"/>
        <v>3.494638855729805E-4</v>
      </c>
      <c r="AP736" s="1">
        <f t="shared" si="132"/>
        <v>0.29035458516098822</v>
      </c>
      <c r="AQ736" s="1">
        <f t="shared" si="138"/>
        <v>0.15185527046490677</v>
      </c>
      <c r="AR736" s="1">
        <f t="shared" si="139"/>
        <v>0</v>
      </c>
      <c r="AS736" s="1">
        <f t="shared" si="140"/>
        <v>0.13735835277507147</v>
      </c>
    </row>
    <row r="737" spans="35:45" ht="11.25" customHeight="1" x14ac:dyDescent="0.2">
      <c r="AI737" s="3" t="e">
        <f t="shared" si="133"/>
        <v>#N/A</v>
      </c>
      <c r="AJ737" s="3" t="e">
        <f t="shared" si="134"/>
        <v>#N/A</v>
      </c>
      <c r="AK737" s="1">
        <f t="shared" si="141"/>
        <v>109.20000000000128</v>
      </c>
      <c r="AL737" s="1">
        <f t="shared" si="131"/>
        <v>3.7441367496394422</v>
      </c>
      <c r="AM737" s="1">
        <f t="shared" si="135"/>
        <v>3.4112525226217758E-4</v>
      </c>
      <c r="AN737" s="1">
        <f t="shared" si="136"/>
        <v>3.4112525226217758E-4</v>
      </c>
      <c r="AO737" s="1">
        <f t="shared" si="137"/>
        <v>3.4022871117171856E-4</v>
      </c>
      <c r="AP737" s="1">
        <f t="shared" si="132"/>
        <v>0.29897897877962959</v>
      </c>
      <c r="AQ737" s="1">
        <f t="shared" si="138"/>
        <v>0.15146084796135995</v>
      </c>
      <c r="AR737" s="1">
        <f t="shared" si="139"/>
        <v>0</v>
      </c>
      <c r="AS737" s="1">
        <f t="shared" si="140"/>
        <v>0.13700158395684905</v>
      </c>
    </row>
    <row r="738" spans="35:45" ht="11.25" customHeight="1" x14ac:dyDescent="0.2">
      <c r="AI738" s="3" t="e">
        <f t="shared" si="133"/>
        <v>#N/A</v>
      </c>
      <c r="AJ738" s="3" t="e">
        <f t="shared" si="134"/>
        <v>#N/A</v>
      </c>
      <c r="AK738" s="1">
        <f t="shared" si="141"/>
        <v>109.35000000000129</v>
      </c>
      <c r="AL738" s="1">
        <f t="shared" si="131"/>
        <v>3.753623582619948</v>
      </c>
      <c r="AM738" s="1">
        <f t="shared" si="135"/>
        <v>3.3209981506552438E-4</v>
      </c>
      <c r="AN738" s="1">
        <f t="shared" si="136"/>
        <v>3.3209981506552438E-4</v>
      </c>
      <c r="AO738" s="1">
        <f t="shared" si="137"/>
        <v>3.3122699451540205E-4</v>
      </c>
      <c r="AP738" s="1">
        <f t="shared" si="132"/>
        <v>0.30760337239827096</v>
      </c>
      <c r="AQ738" s="1">
        <f t="shared" si="138"/>
        <v>0.15105600476461589</v>
      </c>
      <c r="AR738" s="1">
        <f t="shared" si="139"/>
        <v>0</v>
      </c>
      <c r="AS738" s="1">
        <f t="shared" si="140"/>
        <v>0.13663538926063132</v>
      </c>
    </row>
    <row r="739" spans="35:45" ht="11.25" customHeight="1" x14ac:dyDescent="0.2">
      <c r="AI739" s="3" t="e">
        <f t="shared" si="133"/>
        <v>#N/A</v>
      </c>
      <c r="AJ739" s="3" t="e">
        <f t="shared" si="134"/>
        <v>#N/A</v>
      </c>
      <c r="AK739" s="1">
        <f t="shared" si="141"/>
        <v>109.50000000000129</v>
      </c>
      <c r="AL739" s="1">
        <f t="shared" si="131"/>
        <v>3.7631104156004533</v>
      </c>
      <c r="AM739" s="1">
        <f t="shared" si="135"/>
        <v>3.2330288473290947E-4</v>
      </c>
      <c r="AN739" s="1">
        <f t="shared" si="136"/>
        <v>3.2330288473290947E-4</v>
      </c>
      <c r="AO739" s="1">
        <f t="shared" si="137"/>
        <v>3.2245318416426256E-4</v>
      </c>
      <c r="AP739" s="1">
        <f t="shared" si="132"/>
        <v>0.31622776601691233</v>
      </c>
      <c r="AQ739" s="1">
        <f t="shared" si="138"/>
        <v>0.15064083457971833</v>
      </c>
      <c r="AR739" s="1">
        <f t="shared" si="139"/>
        <v>0</v>
      </c>
      <c r="AS739" s="1">
        <f t="shared" si="140"/>
        <v>0.13625985344587652</v>
      </c>
    </row>
    <row r="740" spans="35:45" ht="11.25" customHeight="1" x14ac:dyDescent="0.2">
      <c r="AI740" s="3" t="e">
        <f t="shared" si="133"/>
        <v>#N/A</v>
      </c>
      <c r="AJ740" s="3" t="e">
        <f t="shared" si="134"/>
        <v>#N/A</v>
      </c>
      <c r="AK740" s="1">
        <f t="shared" si="141"/>
        <v>109.6500000000013</v>
      </c>
      <c r="AL740" s="1">
        <f t="shared" si="131"/>
        <v>3.7725972485809587</v>
      </c>
      <c r="AM740" s="1">
        <f t="shared" si="135"/>
        <v>3.1472901612346685E-4</v>
      </c>
      <c r="AN740" s="1">
        <f t="shared" si="136"/>
        <v>3.1472901612346685E-4</v>
      </c>
      <c r="AO740" s="1">
        <f t="shared" si="137"/>
        <v>3.1390184928828467E-4</v>
      </c>
      <c r="AP740" s="1">
        <f t="shared" si="132"/>
        <v>0.32485215963555369</v>
      </c>
      <c r="AQ740" s="1">
        <f t="shared" si="138"/>
        <v>0.1502154332966299</v>
      </c>
      <c r="AR740" s="1">
        <f t="shared" si="139"/>
        <v>0</v>
      </c>
      <c r="AS740" s="1">
        <f t="shared" si="140"/>
        <v>0.13587506324837767</v>
      </c>
    </row>
    <row r="741" spans="35:45" ht="11.25" customHeight="1" x14ac:dyDescent="0.2">
      <c r="AI741" s="3" t="e">
        <f t="shared" si="133"/>
        <v>#N/A</v>
      </c>
      <c r="AJ741" s="3" t="e">
        <f t="shared" si="134"/>
        <v>#N/A</v>
      </c>
      <c r="AK741" s="1">
        <f t="shared" si="141"/>
        <v>109.8000000000013</v>
      </c>
      <c r="AL741" s="1">
        <f t="shared" si="131"/>
        <v>3.7820840815614645</v>
      </c>
      <c r="AM741" s="1">
        <f t="shared" si="135"/>
        <v>3.0637288309185579E-4</v>
      </c>
      <c r="AN741" s="1">
        <f t="shared" si="136"/>
        <v>3.0637288309185579E-4</v>
      </c>
      <c r="AO741" s="1">
        <f t="shared" si="137"/>
        <v>3.055676777402357E-4</v>
      </c>
      <c r="AP741" s="1">
        <f t="shared" si="132"/>
        <v>0.33347655325419506</v>
      </c>
      <c r="AQ741" s="1">
        <f t="shared" si="138"/>
        <v>0.14977989892583918</v>
      </c>
      <c r="AR741" s="1">
        <f t="shared" si="139"/>
        <v>0</v>
      </c>
      <c r="AS741" s="1">
        <f t="shared" si="140"/>
        <v>0.1354811073220171</v>
      </c>
    </row>
    <row r="742" spans="35:45" ht="11.25" customHeight="1" x14ac:dyDescent="0.2">
      <c r="AI742" s="3" t="e">
        <f t="shared" si="133"/>
        <v>#N/A</v>
      </c>
      <c r="AJ742" s="3" t="e">
        <f t="shared" si="134"/>
        <v>#N/A</v>
      </c>
      <c r="AK742" s="1">
        <f t="shared" si="141"/>
        <v>109.95000000000131</v>
      </c>
      <c r="AL742" s="1">
        <f t="shared" si="131"/>
        <v>3.7915709145419698</v>
      </c>
      <c r="AM742" s="1">
        <f t="shared" si="135"/>
        <v>2.9822927569752439E-4</v>
      </c>
      <c r="AN742" s="1">
        <f t="shared" si="136"/>
        <v>2.9822927569752439E-4</v>
      </c>
      <c r="AO742" s="1">
        <f t="shared" si="137"/>
        <v>2.9744547327226396E-4</v>
      </c>
      <c r="AP742" s="1">
        <f t="shared" si="132"/>
        <v>0.34210094687283643</v>
      </c>
      <c r="AQ742" s="1">
        <f t="shared" si="138"/>
        <v>0.1493343316072426</v>
      </c>
      <c r="AR742" s="1">
        <f t="shared" si="139"/>
        <v>0</v>
      </c>
      <c r="AS742" s="1">
        <f t="shared" si="140"/>
        <v>0.13507807624680016</v>
      </c>
    </row>
    <row r="743" spans="35:45" ht="11.25" customHeight="1" x14ac:dyDescent="0.2">
      <c r="AI743" s="3" t="e">
        <f t="shared" si="133"/>
        <v>#N/A</v>
      </c>
      <c r="AJ743" s="3" t="e">
        <f t="shared" si="134"/>
        <v>#N/A</v>
      </c>
      <c r="AK743" s="1">
        <f t="shared" si="141"/>
        <v>110.10000000000132</v>
      </c>
      <c r="AL743" s="1">
        <f t="shared" si="131"/>
        <v>3.8010577475224752</v>
      </c>
      <c r="AM743" s="1">
        <f t="shared" si="135"/>
        <v>2.9029309861310077E-4</v>
      </c>
      <c r="AN743" s="1">
        <f t="shared" si="136"/>
        <v>2.9029309861310077E-4</v>
      </c>
      <c r="AO743" s="1">
        <f t="shared" si="137"/>
        <v>2.8953015394847276E-4</v>
      </c>
      <c r="AP743" s="1">
        <f t="shared" si="132"/>
        <v>0.3507253404914778</v>
      </c>
      <c r="AQ743" s="1">
        <f t="shared" si="138"/>
        <v>0.148878833519106</v>
      </c>
      <c r="AR743" s="1">
        <f t="shared" si="139"/>
        <v>0</v>
      </c>
      <c r="AS743" s="1">
        <f t="shared" si="140"/>
        <v>0.134666062446508</v>
      </c>
    </row>
    <row r="744" spans="35:45" ht="11.25" customHeight="1" x14ac:dyDescent="0.2">
      <c r="AI744" s="3" t="e">
        <f t="shared" si="133"/>
        <v>#N/A</v>
      </c>
      <c r="AJ744" s="3" t="e">
        <f t="shared" si="134"/>
        <v>#N/A</v>
      </c>
      <c r="AK744" s="1">
        <f t="shared" si="141"/>
        <v>110.25000000000132</v>
      </c>
      <c r="AL744" s="1">
        <f t="shared" si="131"/>
        <v>3.8105445805029809</v>
      </c>
      <c r="AM744" s="1">
        <f t="shared" si="135"/>
        <v>2.8255936842039303E-4</v>
      </c>
      <c r="AN744" s="1">
        <f t="shared" si="136"/>
        <v>2.8255936842039303E-4</v>
      </c>
      <c r="AO744" s="1">
        <f t="shared" si="137"/>
        <v>2.8181674944802702E-4</v>
      </c>
      <c r="AP744" s="1">
        <f t="shared" si="132"/>
        <v>0.35934973411011917</v>
      </c>
      <c r="AQ744" s="1">
        <f t="shared" si="138"/>
        <v>0.14841350887806468</v>
      </c>
      <c r="AR744" s="1">
        <f t="shared" si="139"/>
        <v>0</v>
      </c>
      <c r="AS744" s="1">
        <f t="shared" si="140"/>
        <v>0.13424516018869762</v>
      </c>
    </row>
    <row r="745" spans="35:45" ht="11.25" customHeight="1" x14ac:dyDescent="0.2">
      <c r="AI745" s="3" t="e">
        <f t="shared" si="133"/>
        <v>#N/A</v>
      </c>
      <c r="AJ745" s="3" t="e">
        <f t="shared" si="134"/>
        <v>#N/A</v>
      </c>
      <c r="AK745" s="1">
        <f t="shared" si="141"/>
        <v>110.40000000000133</v>
      </c>
      <c r="AL745" s="1">
        <f t="shared" si="131"/>
        <v>3.8200314134834863</v>
      </c>
      <c r="AM745" s="1">
        <f t="shared" si="135"/>
        <v>2.7502321185614986E-4</v>
      </c>
      <c r="AN745" s="1">
        <f t="shared" si="136"/>
        <v>2.7502321185614986E-4</v>
      </c>
      <c r="AO745" s="1">
        <f t="shared" si="137"/>
        <v>2.743003993155246E-4</v>
      </c>
      <c r="AP745" s="1">
        <f t="shared" si="132"/>
        <v>0.36797412772876054</v>
      </c>
      <c r="AQ745" s="1">
        <f t="shared" si="138"/>
        <v>0.14793846386584872</v>
      </c>
      <c r="AR745" s="1">
        <f t="shared" si="139"/>
        <v>0</v>
      </c>
      <c r="AS745" s="1">
        <f t="shared" si="140"/>
        <v>0.13381546551842222</v>
      </c>
    </row>
    <row r="746" spans="35:45" ht="11.25" customHeight="1" x14ac:dyDescent="0.2">
      <c r="AI746" s="3" t="e">
        <f t="shared" si="133"/>
        <v>#N/A</v>
      </c>
      <c r="AJ746" s="3" t="e">
        <f t="shared" si="134"/>
        <v>#N/A</v>
      </c>
      <c r="AK746" s="1">
        <f t="shared" si="141"/>
        <v>110.55000000000133</v>
      </c>
      <c r="AL746" s="1">
        <f t="shared" si="131"/>
        <v>3.8295182464639916</v>
      </c>
      <c r="AM746" s="1">
        <f t="shared" si="135"/>
        <v>2.6767986351246791E-4</v>
      </c>
      <c r="AN746" s="1">
        <f t="shared" si="136"/>
        <v>2.6767986351246791E-4</v>
      </c>
      <c r="AO746" s="1">
        <f t="shared" si="137"/>
        <v>2.6697635066744716E-4</v>
      </c>
      <c r="AP746" s="1">
        <f t="shared" si="132"/>
        <v>0.37659852134740185</v>
      </c>
      <c r="AQ746" s="1">
        <f t="shared" si="138"/>
        <v>0.14745380661151938</v>
      </c>
      <c r="AR746" s="1">
        <f t="shared" si="139"/>
        <v>0</v>
      </c>
      <c r="AS746" s="1">
        <f t="shared" si="140"/>
        <v>0.13337707624216361</v>
      </c>
    </row>
    <row r="747" spans="35:45" ht="11.25" customHeight="1" x14ac:dyDescent="0.2">
      <c r="AI747" s="3" t="e">
        <f t="shared" si="133"/>
        <v>#N/A</v>
      </c>
      <c r="AJ747" s="3" t="e">
        <f t="shared" si="134"/>
        <v>#N/A</v>
      </c>
      <c r="AK747" s="1">
        <f t="shared" si="141"/>
        <v>110.70000000000134</v>
      </c>
      <c r="AL747" s="1">
        <f t="shared" si="131"/>
        <v>3.8390050794444974</v>
      </c>
      <c r="AM747" s="1">
        <f t="shared" si="135"/>
        <v>2.6052466361959833E-4</v>
      </c>
      <c r="AN747" s="1">
        <f t="shared" si="136"/>
        <v>2.6052466361959833E-4</v>
      </c>
      <c r="AO747" s="1">
        <f t="shared" si="137"/>
        <v>2.5983995598079392E-4</v>
      </c>
      <c r="AP747" s="1">
        <f t="shared" si="132"/>
        <v>0.38522291496604322</v>
      </c>
      <c r="AQ747" s="1">
        <f t="shared" si="138"/>
        <v>0.14695964713595797</v>
      </c>
      <c r="AR747" s="1">
        <f t="shared" si="139"/>
        <v>0</v>
      </c>
      <c r="AS747" s="1">
        <f t="shared" si="140"/>
        <v>0.13293009187762031</v>
      </c>
    </row>
    <row r="748" spans="35:45" ht="11.25" customHeight="1" x14ac:dyDescent="0.2">
      <c r="AI748" s="3" t="e">
        <f t="shared" si="133"/>
        <v>#N/A</v>
      </c>
      <c r="AJ748" s="3" t="e">
        <f t="shared" si="134"/>
        <v>#N/A</v>
      </c>
      <c r="AK748" s="1">
        <f t="shared" si="141"/>
        <v>110.85000000000134</v>
      </c>
      <c r="AL748" s="1">
        <f t="shared" si="131"/>
        <v>3.8484919124250028</v>
      </c>
      <c r="AM748" s="1">
        <f t="shared" si="135"/>
        <v>2.5355305636218066E-4</v>
      </c>
      <c r="AN748" s="1">
        <f t="shared" si="136"/>
        <v>2.5355305636218066E-4</v>
      </c>
      <c r="AO748" s="1">
        <f t="shared" si="137"/>
        <v>2.5288667141374108E-4</v>
      </c>
      <c r="AP748" s="1">
        <f t="shared" si="132"/>
        <v>0.39384730858468459</v>
      </c>
      <c r="AQ748" s="1">
        <f t="shared" si="138"/>
        <v>0.14645609731189776</v>
      </c>
      <c r="AR748" s="1">
        <f t="shared" si="139"/>
        <v>0</v>
      </c>
      <c r="AS748" s="1">
        <f t="shared" si="140"/>
        <v>0.13247461361755511</v>
      </c>
    </row>
    <row r="749" spans="35:45" ht="11.25" customHeight="1" x14ac:dyDescent="0.2">
      <c r="AI749" s="3" t="e">
        <f t="shared" si="133"/>
        <v>#N/A</v>
      </c>
      <c r="AJ749" s="3" t="e">
        <f t="shared" si="134"/>
        <v>#N/A</v>
      </c>
      <c r="AK749" s="1">
        <f t="shared" si="141"/>
        <v>111.00000000000135</v>
      </c>
      <c r="AL749" s="1">
        <f t="shared" si="131"/>
        <v>3.8579787454055081</v>
      </c>
      <c r="AM749" s="1">
        <f t="shared" si="135"/>
        <v>2.4676058739750428E-4</v>
      </c>
      <c r="AN749" s="1">
        <f t="shared" si="136"/>
        <v>2.4676058739750428E-4</v>
      </c>
      <c r="AO749" s="1">
        <f t="shared" si="137"/>
        <v>2.4611205433042535E-4</v>
      </c>
      <c r="AP749" s="1">
        <f t="shared" si="132"/>
        <v>0.40247170220332595</v>
      </c>
      <c r="AQ749" s="1">
        <f t="shared" si="138"/>
        <v>0.1459432708261765</v>
      </c>
      <c r="AR749" s="1">
        <f t="shared" si="139"/>
        <v>0</v>
      </c>
      <c r="AS749" s="1">
        <f t="shared" si="140"/>
        <v>0.13201074429565113</v>
      </c>
    </row>
    <row r="750" spans="35:45" ht="11.25" customHeight="1" x14ac:dyDescent="0.2">
      <c r="AI750" s="3" t="e">
        <f t="shared" si="133"/>
        <v>#N/A</v>
      </c>
      <c r="AJ750" s="3" t="e">
        <f t="shared" si="134"/>
        <v>#N/A</v>
      </c>
      <c r="AK750" s="1">
        <f t="shared" si="141"/>
        <v>111.15000000000136</v>
      </c>
      <c r="AL750" s="1">
        <f t="shared" si="131"/>
        <v>3.8674655783860139</v>
      </c>
      <c r="AM750" s="1">
        <f t="shared" si="135"/>
        <v>2.4014290214246885E-4</v>
      </c>
      <c r="AN750" s="1">
        <f t="shared" si="136"/>
        <v>2.4014290214246885E-4</v>
      </c>
      <c r="AO750" s="1">
        <f t="shared" si="137"/>
        <v>2.3951176159240679E-4</v>
      </c>
      <c r="AP750" s="1">
        <f t="shared" si="132"/>
        <v>0.41109609582196732</v>
      </c>
      <c r="AQ750" s="1">
        <f t="shared" si="138"/>
        <v>0.14542128311090249</v>
      </c>
      <c r="AR750" s="1">
        <f t="shared" si="139"/>
        <v>0</v>
      </c>
      <c r="AS750" s="1">
        <f t="shared" si="140"/>
        <v>0.13153858832424919</v>
      </c>
    </row>
    <row r="751" spans="35:45" ht="11.25" customHeight="1" x14ac:dyDescent="0.2">
      <c r="AI751" s="3" t="e">
        <f t="shared" si="133"/>
        <v>#N/A</v>
      </c>
      <c r="AJ751" s="3" t="e">
        <f t="shared" si="134"/>
        <v>#N/A</v>
      </c>
      <c r="AK751" s="1">
        <f t="shared" si="141"/>
        <v>111.30000000000136</v>
      </c>
      <c r="AL751" s="1">
        <f t="shared" si="131"/>
        <v>3.8769524113665192</v>
      </c>
      <c r="AM751" s="1">
        <f t="shared" si="135"/>
        <v>2.3369574395320884E-4</v>
      </c>
      <c r="AN751" s="1">
        <f t="shared" si="136"/>
        <v>2.3369574395320884E-4</v>
      </c>
      <c r="AO751" s="1">
        <f t="shared" si="137"/>
        <v>2.3308154774307773E-4</v>
      </c>
      <c r="AP751" s="1">
        <f t="shared" si="132"/>
        <v>0.41972048944060869</v>
      </c>
      <c r="AQ751" s="1">
        <f t="shared" si="138"/>
        <v>0.14489025132791153</v>
      </c>
      <c r="AR751" s="1">
        <f t="shared" si="139"/>
        <v>0</v>
      </c>
      <c r="AS751" s="1">
        <f t="shared" si="140"/>
        <v>0.13105825168028856</v>
      </c>
    </row>
    <row r="752" spans="35:45" ht="11.25" customHeight="1" x14ac:dyDescent="0.2">
      <c r="AI752" s="3" t="e">
        <f t="shared" si="133"/>
        <v>#N/A</v>
      </c>
      <c r="AJ752" s="3" t="e">
        <f t="shared" si="134"/>
        <v>#N/A</v>
      </c>
      <c r="AK752" s="1">
        <f t="shared" si="141"/>
        <v>111.45000000000137</v>
      </c>
      <c r="AL752" s="1">
        <f t="shared" si="131"/>
        <v>3.8864392443470246</v>
      </c>
      <c r="AM752" s="1">
        <f t="shared" si="135"/>
        <v>2.2741495167479669E-4</v>
      </c>
      <c r="AN752" s="1">
        <f t="shared" si="136"/>
        <v>2.2741495167479669E-4</v>
      </c>
      <c r="AO752" s="1">
        <f t="shared" si="137"/>
        <v>2.2681726256380553E-4</v>
      </c>
      <c r="AP752" s="1">
        <f t="shared" si="132"/>
        <v>0.42834488305925006</v>
      </c>
      <c r="AQ752" s="1">
        <f t="shared" si="138"/>
        <v>0.1443502943221375</v>
      </c>
      <c r="AR752" s="1">
        <f t="shared" si="139"/>
        <v>0</v>
      </c>
      <c r="AS752" s="1">
        <f t="shared" si="140"/>
        <v>0.130569841863129</v>
      </c>
    </row>
    <row r="753" spans="35:45" ht="11.25" customHeight="1" x14ac:dyDescent="0.2">
      <c r="AI753" s="3" t="e">
        <f t="shared" si="133"/>
        <v>#N/A</v>
      </c>
      <c r="AJ753" s="3" t="e">
        <f t="shared" si="134"/>
        <v>#N/A</v>
      </c>
      <c r="AK753" s="1">
        <f t="shared" si="141"/>
        <v>111.60000000000137</v>
      </c>
      <c r="AL753" s="1">
        <f t="shared" si="131"/>
        <v>3.8959260773275304</v>
      </c>
      <c r="AM753" s="1">
        <f t="shared" si="135"/>
        <v>2.2129645830116888E-4</v>
      </c>
      <c r="AN753" s="1">
        <f t="shared" si="136"/>
        <v>2.2129645830116888E-4</v>
      </c>
      <c r="AO753" s="1">
        <f t="shared" si="137"/>
        <v>2.207148497373808E-4</v>
      </c>
      <c r="AP753" s="1">
        <f t="shared" si="132"/>
        <v>0.43696927667789143</v>
      </c>
      <c r="AQ753" s="1">
        <f t="shared" si="138"/>
        <v>0.14380153254833769</v>
      </c>
      <c r="AR753" s="1">
        <f t="shared" si="139"/>
        <v>0</v>
      </c>
      <c r="AS753" s="1">
        <f t="shared" si="140"/>
        <v>0.13007346782827134</v>
      </c>
    </row>
    <row r="754" spans="35:45" ht="11.25" customHeight="1" x14ac:dyDescent="0.2">
      <c r="AI754" s="3" t="e">
        <f t="shared" si="133"/>
        <v>#N/A</v>
      </c>
      <c r="AJ754" s="3" t="e">
        <f t="shared" si="134"/>
        <v>#N/A</v>
      </c>
      <c r="AK754" s="1">
        <f t="shared" si="141"/>
        <v>111.75000000000138</v>
      </c>
      <c r="AL754" s="1">
        <f t="shared" si="131"/>
        <v>3.9054129103080357</v>
      </c>
      <c r="AM754" s="1">
        <f t="shared" si="135"/>
        <v>2.1533628864625967E-4</v>
      </c>
      <c r="AN754" s="1">
        <f t="shared" si="136"/>
        <v>2.1533628864625967E-4</v>
      </c>
      <c r="AO754" s="1">
        <f t="shared" si="137"/>
        <v>2.1477034452527168E-4</v>
      </c>
      <c r="AP754" s="1">
        <f t="shared" si="132"/>
        <v>0.4455936702965328</v>
      </c>
      <c r="AQ754" s="1">
        <f t="shared" si="138"/>
        <v>0.14324408804444741</v>
      </c>
      <c r="AR754" s="1">
        <f t="shared" si="139"/>
        <v>0</v>
      </c>
      <c r="AS754" s="1">
        <f t="shared" si="140"/>
        <v>0.12956923996325573</v>
      </c>
    </row>
    <row r="755" spans="35:45" ht="11.25" customHeight="1" x14ac:dyDescent="0.2">
      <c r="AI755" s="3" t="e">
        <f t="shared" si="133"/>
        <v>#N/A</v>
      </c>
      <c r="AJ755" s="3" t="e">
        <f t="shared" si="134"/>
        <v>#N/A</v>
      </c>
      <c r="AK755" s="1">
        <f t="shared" si="141"/>
        <v>111.90000000000138</v>
      </c>
      <c r="AL755" s="1">
        <f t="shared" si="131"/>
        <v>3.9148997432885411</v>
      </c>
      <c r="AM755" s="1">
        <f t="shared" si="135"/>
        <v>2.0953055792044366E-4</v>
      </c>
      <c r="AN755" s="1">
        <f t="shared" si="136"/>
        <v>2.0953055792044366E-4</v>
      </c>
      <c r="AO755" s="1">
        <f t="shared" si="137"/>
        <v>2.0897987234780798E-4</v>
      </c>
      <c r="AP755" s="1">
        <f t="shared" si="132"/>
        <v>0.45421806391517416</v>
      </c>
      <c r="AQ755" s="1">
        <f t="shared" si="138"/>
        <v>0.14267808439161198</v>
      </c>
      <c r="AR755" s="1">
        <f t="shared" si="139"/>
        <v>0</v>
      </c>
      <c r="AS755" s="1">
        <f t="shared" si="140"/>
        <v>0.1290572700515093</v>
      </c>
    </row>
    <row r="756" spans="35:45" ht="11.25" customHeight="1" x14ac:dyDescent="0.2">
      <c r="AI756" s="3" t="e">
        <f t="shared" si="133"/>
        <v>#N/A</v>
      </c>
      <c r="AJ756" s="3" t="e">
        <f t="shared" si="134"/>
        <v>#N/A</v>
      </c>
      <c r="AK756" s="1">
        <f t="shared" si="141"/>
        <v>112.05000000000139</v>
      </c>
      <c r="AL756" s="1">
        <f t="shared" si="131"/>
        <v>3.9243865762690469</v>
      </c>
      <c r="AM756" s="1">
        <f t="shared" si="135"/>
        <v>2.0387546956972084E-4</v>
      </c>
      <c r="AN756" s="1">
        <f t="shared" si="136"/>
        <v>2.0387546956972084E-4</v>
      </c>
      <c r="AO756" s="1">
        <f t="shared" si="137"/>
        <v>2.0333964662904507E-4</v>
      </c>
      <c r="AP756" s="1">
        <f t="shared" si="132"/>
        <v>0.46284245753381548</v>
      </c>
      <c r="AQ756" s="1">
        <f t="shared" si="138"/>
        <v>0.14210364663869154</v>
      </c>
      <c r="AR756" s="1">
        <f t="shared" si="139"/>
        <v>0</v>
      </c>
      <c r="AS756" s="1">
        <f t="shared" si="140"/>
        <v>0.12853767120405804</v>
      </c>
    </row>
    <row r="757" spans="35:45" ht="11.25" customHeight="1" x14ac:dyDescent="0.2">
      <c r="AI757" s="3" t="e">
        <f t="shared" si="133"/>
        <v>#N/A</v>
      </c>
      <c r="AJ757" s="3" t="e">
        <f t="shared" si="134"/>
        <v>#N/A</v>
      </c>
      <c r="AK757" s="1">
        <f t="shared" si="141"/>
        <v>112.2000000000014</v>
      </c>
      <c r="AL757" s="1">
        <f t="shared" si="131"/>
        <v>3.9338734092495522</v>
      </c>
      <c r="AM757" s="1">
        <f t="shared" si="135"/>
        <v>1.9836731359954007E-4</v>
      </c>
      <c r="AN757" s="1">
        <f t="shared" si="136"/>
        <v>1.9836731359954007E-4</v>
      </c>
      <c r="AO757" s="1">
        <f t="shared" si="137"/>
        <v>1.9784596712499271E-4</v>
      </c>
      <c r="AP757" s="1">
        <f t="shared" si="132"/>
        <v>0.47146685115245685</v>
      </c>
      <c r="AQ757" s="1">
        <f t="shared" si="138"/>
        <v>0.14152090129115888</v>
      </c>
      <c r="AR757" s="1">
        <f t="shared" si="139"/>
        <v>0</v>
      </c>
      <c r="AS757" s="1">
        <f t="shared" si="140"/>
        <v>0.12801055784948454</v>
      </c>
    </row>
    <row r="758" spans="35:45" ht="11.25" customHeight="1" x14ac:dyDescent="0.2">
      <c r="AI758" s="3" t="e">
        <f t="shared" si="133"/>
        <v>#N/A</v>
      </c>
      <c r="AJ758" s="3" t="e">
        <f t="shared" si="134"/>
        <v>#N/A</v>
      </c>
      <c r="AK758" s="1">
        <f t="shared" si="141"/>
        <v>112.3500000000014</v>
      </c>
      <c r="AL758" s="1">
        <f t="shared" si="131"/>
        <v>3.9433602422300575</v>
      </c>
      <c r="AM758" s="1">
        <f t="shared" si="135"/>
        <v>1.9300246493656956E-4</v>
      </c>
      <c r="AN758" s="1">
        <f t="shared" si="136"/>
        <v>1.9300246493656956E-4</v>
      </c>
      <c r="AO758" s="1">
        <f t="shared" si="137"/>
        <v>1.9249521828969122E-4</v>
      </c>
      <c r="AP758" s="1">
        <f t="shared" si="132"/>
        <v>0.48009124477109821</v>
      </c>
      <c r="AQ758" s="1">
        <f t="shared" si="138"/>
        <v>0.1409299762311633</v>
      </c>
      <c r="AR758" s="1">
        <f t="shared" si="139"/>
        <v>0</v>
      </c>
      <c r="AS758" s="1">
        <f t="shared" si="140"/>
        <v>0.12747604566162302</v>
      </c>
    </row>
    <row r="759" spans="35:45" ht="11.25" customHeight="1" x14ac:dyDescent="0.2">
      <c r="AI759" s="3" t="e">
        <f t="shared" si="133"/>
        <v>#N/A</v>
      </c>
      <c r="AJ759" s="3" t="e">
        <f t="shared" si="134"/>
        <v>#N/A</v>
      </c>
      <c r="AK759" s="1">
        <f t="shared" si="141"/>
        <v>112.50000000000141</v>
      </c>
      <c r="AL759" s="1">
        <f t="shared" si="131"/>
        <v>3.9528470752105633</v>
      </c>
      <c r="AM759" s="1">
        <f t="shared" si="135"/>
        <v>1.8777738143918588E-4</v>
      </c>
      <c r="AN759" s="1">
        <f t="shared" si="136"/>
        <v>1.8777738143918588E-4</v>
      </c>
      <c r="AO759" s="1">
        <f t="shared" si="137"/>
        <v>1.8728386729092915E-4</v>
      </c>
      <c r="AP759" s="1">
        <f t="shared" si="132"/>
        <v>0.48871563838973958</v>
      </c>
      <c r="AQ759" s="1">
        <f t="shared" si="138"/>
        <v>0.1403310006908853</v>
      </c>
      <c r="AR759" s="1">
        <f t="shared" si="139"/>
        <v>0</v>
      </c>
      <c r="AS759" s="1">
        <f t="shared" si="140"/>
        <v>0.12693425153545762</v>
      </c>
    </row>
    <row r="760" spans="35:45" ht="11.25" customHeight="1" x14ac:dyDescent="0.2">
      <c r="AI760" s="3" t="e">
        <f t="shared" si="133"/>
        <v>#N/A</v>
      </c>
      <c r="AJ760" s="3" t="e">
        <f t="shared" si="134"/>
        <v>#N/A</v>
      </c>
      <c r="AK760" s="1">
        <f t="shared" si="141"/>
        <v>112.65000000000141</v>
      </c>
      <c r="AL760" s="1">
        <f t="shared" si="131"/>
        <v>3.9623339081910687</v>
      </c>
      <c r="AM760" s="1">
        <f t="shared" si="135"/>
        <v>1.826886025563159E-4</v>
      </c>
      <c r="AN760" s="1">
        <f t="shared" si="136"/>
        <v>1.826886025563159E-4</v>
      </c>
      <c r="AO760" s="1">
        <f t="shared" si="137"/>
        <v>1.8220846267261008E-4</v>
      </c>
      <c r="AP760" s="1">
        <f t="shared" si="132"/>
        <v>0.49734003200838095</v>
      </c>
      <c r="AQ760" s="1">
        <f t="shared" si="138"/>
        <v>0.13972410518814368</v>
      </c>
      <c r="AR760" s="1">
        <f t="shared" si="139"/>
        <v>0</v>
      </c>
      <c r="AS760" s="1">
        <f t="shared" si="140"/>
        <v>0.12638529352887692</v>
      </c>
    </row>
    <row r="761" spans="35:45" ht="11.25" customHeight="1" x14ac:dyDescent="0.2">
      <c r="AI761" s="3" t="e">
        <f t="shared" si="133"/>
        <v>#N/A</v>
      </c>
      <c r="AJ761" s="3" t="e">
        <f t="shared" si="134"/>
        <v>#N/A</v>
      </c>
      <c r="AK761" s="1">
        <f t="shared" si="141"/>
        <v>112.80000000000142</v>
      </c>
      <c r="AL761" s="1">
        <f t="shared" si="131"/>
        <v>3.971820741171574</v>
      </c>
      <c r="AM761" s="1">
        <f t="shared" si="135"/>
        <v>1.7773274734876783E-4</v>
      </c>
      <c r="AN761" s="1">
        <f t="shared" si="136"/>
        <v>1.7773274734876783E-4</v>
      </c>
      <c r="AO761" s="1">
        <f t="shared" si="137"/>
        <v>1.7726563238128405E-4</v>
      </c>
      <c r="AP761" s="1">
        <f t="shared" si="132"/>
        <v>0.50596442562702226</v>
      </c>
      <c r="AQ761" s="1">
        <f t="shared" si="138"/>
        <v>0.13910942148864788</v>
      </c>
      <c r="AR761" s="1">
        <f t="shared" si="139"/>
        <v>0</v>
      </c>
      <c r="AS761" s="1">
        <f t="shared" si="140"/>
        <v>0.12582929082852978</v>
      </c>
    </row>
    <row r="762" spans="35:45" ht="11.25" customHeight="1" x14ac:dyDescent="0.2">
      <c r="AI762" s="3" t="e">
        <f t="shared" si="133"/>
        <v>#N/A</v>
      </c>
      <c r="AJ762" s="3" t="e">
        <f t="shared" si="134"/>
        <v>#N/A</v>
      </c>
      <c r="AK762" s="1">
        <f t="shared" si="141"/>
        <v>112.95000000000142</v>
      </c>
      <c r="AL762" s="1">
        <f t="shared" si="131"/>
        <v>3.9813075741520798</v>
      </c>
      <c r="AM762" s="1">
        <f t="shared" si="135"/>
        <v>1.7290651295833771E-4</v>
      </c>
      <c r="AN762" s="1">
        <f t="shared" si="136"/>
        <v>1.7290651295833771E-4</v>
      </c>
      <c r="AO762" s="1">
        <f t="shared" si="137"/>
        <v>1.7245208223927737E-4</v>
      </c>
      <c r="AP762" s="1">
        <f t="shared" si="132"/>
        <v>0.51458881924566369</v>
      </c>
      <c r="AQ762" s="1">
        <f t="shared" si="138"/>
        <v>0.13848708255270734</v>
      </c>
      <c r="AR762" s="1">
        <f t="shared" si="139"/>
        <v>0</v>
      </c>
      <c r="AS762" s="1">
        <f t="shared" si="140"/>
        <v>0.12526636370162222</v>
      </c>
    </row>
    <row r="763" spans="35:45" ht="11.25" customHeight="1" x14ac:dyDescent="0.2">
      <c r="AI763" s="3" t="e">
        <f t="shared" si="133"/>
        <v>#N/A</v>
      </c>
      <c r="AJ763" s="3" t="e">
        <f t="shared" si="134"/>
        <v>#N/A</v>
      </c>
      <c r="AK763" s="1">
        <f t="shared" si="141"/>
        <v>113.10000000000143</v>
      </c>
      <c r="AL763" s="1">
        <f t="shared" si="131"/>
        <v>3.9907944071325852</v>
      </c>
      <c r="AM763" s="1">
        <f t="shared" si="135"/>
        <v>1.6820667296415896E-4</v>
      </c>
      <c r="AN763" s="1">
        <f t="shared" si="136"/>
        <v>1.6820667296415896E-4</v>
      </c>
      <c r="AO763" s="1">
        <f t="shared" si="137"/>
        <v>1.6776459430536218E-4</v>
      </c>
      <c r="AP763" s="1">
        <f t="shared" si="132"/>
        <v>0.523213212864305</v>
      </c>
      <c r="AQ763" s="1">
        <f t="shared" si="138"/>
        <v>0.13785722247749985</v>
      </c>
      <c r="AR763" s="1">
        <f t="shared" si="139"/>
        <v>0</v>
      </c>
      <c r="AS763" s="1">
        <f t="shared" si="140"/>
        <v>0.12469663344369694</v>
      </c>
    </row>
    <row r="764" spans="35:45" ht="11.25" customHeight="1" x14ac:dyDescent="0.2">
      <c r="AI764" s="3" t="e">
        <f t="shared" si="133"/>
        <v>#N/A</v>
      </c>
      <c r="AJ764" s="3" t="e">
        <f t="shared" si="134"/>
        <v>#N/A</v>
      </c>
      <c r="AK764" s="1">
        <f t="shared" si="141"/>
        <v>113.25000000000144</v>
      </c>
      <c r="AL764" s="1">
        <f t="shared" si="131"/>
        <v>4.0002812401130905</v>
      </c>
      <c r="AM764" s="1">
        <f t="shared" si="135"/>
        <v>1.636300759092716E-4</v>
      </c>
      <c r="AN764" s="1">
        <f t="shared" si="136"/>
        <v>1.636300759092716E-4</v>
      </c>
      <c r="AO764" s="1">
        <f t="shared" si="137"/>
        <v>1.6320002540519797E-4</v>
      </c>
      <c r="AP764" s="1">
        <f t="shared" si="132"/>
        <v>0.53183760648294642</v>
      </c>
      <c r="AQ764" s="1">
        <f t="shared" si="138"/>
        <v>0.13721997647486714</v>
      </c>
      <c r="AR764" s="1">
        <f t="shared" si="139"/>
        <v>0</v>
      </c>
      <c r="AS764" s="1">
        <f t="shared" si="140"/>
        <v>0.12412022235854889</v>
      </c>
    </row>
    <row r="765" spans="35:45" ht="11.25" customHeight="1" x14ac:dyDescent="0.2">
      <c r="AI765" s="3" t="e">
        <f t="shared" si="133"/>
        <v>#N/A</v>
      </c>
      <c r="AJ765" s="3" t="e">
        <f t="shared" si="134"/>
        <v>#N/A</v>
      </c>
      <c r="AK765" s="1">
        <f t="shared" si="141"/>
        <v>113.40000000000144</v>
      </c>
      <c r="AL765" s="1">
        <f t="shared" si="131"/>
        <v>4.0097680730935963</v>
      </c>
      <c r="AM765" s="1">
        <f t="shared" si="135"/>
        <v>1.591736435236149E-4</v>
      </c>
      <c r="AN765" s="1">
        <f t="shared" si="136"/>
        <v>1.591736435236149E-4</v>
      </c>
      <c r="AO765" s="1">
        <f t="shared" si="137"/>
        <v>1.5875530535899458E-4</v>
      </c>
      <c r="AP765" s="1">
        <f t="shared" si="132"/>
        <v>0.54046200010158774</v>
      </c>
      <c r="AQ765" s="1">
        <f t="shared" si="138"/>
        <v>0.13657548077139478</v>
      </c>
      <c r="AR765" s="1">
        <f t="shared" si="139"/>
        <v>0</v>
      </c>
      <c r="AS765" s="1">
        <f t="shared" si="140"/>
        <v>0.12353725366784393</v>
      </c>
    </row>
    <row r="766" spans="35:45" ht="11.25" customHeight="1" x14ac:dyDescent="0.2">
      <c r="AI766" s="3" t="e">
        <f t="shared" si="133"/>
        <v>#N/A</v>
      </c>
      <c r="AJ766" s="3" t="e">
        <f t="shared" si="134"/>
        <v>#N/A</v>
      </c>
      <c r="AK766" s="1">
        <f t="shared" si="141"/>
        <v>113.55000000000145</v>
      </c>
      <c r="AL766" s="1">
        <f t="shared" si="131"/>
        <v>4.0192549060741021</v>
      </c>
      <c r="AM766" s="1">
        <f t="shared" si="135"/>
        <v>1.548343694793633E-4</v>
      </c>
      <c r="AN766" s="1">
        <f t="shared" si="136"/>
        <v>1.548343694793633E-4</v>
      </c>
      <c r="AO766" s="1">
        <f t="shared" si="137"/>
        <v>1.5442743574011939E-4</v>
      </c>
      <c r="AP766" s="1">
        <f t="shared" si="132"/>
        <v>0.54908639372022916</v>
      </c>
      <c r="AQ766" s="1">
        <f t="shared" si="138"/>
        <v>0.13592387261285307</v>
      </c>
      <c r="AR766" s="1">
        <f t="shared" si="139"/>
        <v>0</v>
      </c>
      <c r="AS766" s="1">
        <f t="shared" si="140"/>
        <v>0.12294785151513583</v>
      </c>
    </row>
    <row r="767" spans="35:45" ht="11.25" customHeight="1" x14ac:dyDescent="0.2">
      <c r="AI767" s="3" t="e">
        <f t="shared" si="133"/>
        <v>#N/A</v>
      </c>
      <c r="AJ767" s="3" t="e">
        <f t="shared" si="134"/>
        <v>#N/A</v>
      </c>
      <c r="AK767" s="1">
        <f t="shared" si="141"/>
        <v>113.70000000000145</v>
      </c>
      <c r="AL767" s="1">
        <f t="shared" si="131"/>
        <v>4.028741739054607</v>
      </c>
      <c r="AM767" s="1">
        <f t="shared" si="135"/>
        <v>1.5060931754886688E-4</v>
      </c>
      <c r="AN767" s="1">
        <f t="shared" si="136"/>
        <v>1.5060931754886688E-4</v>
      </c>
      <c r="AO767" s="1">
        <f t="shared" si="137"/>
        <v>1.50213488037879E-4</v>
      </c>
      <c r="AP767" s="1">
        <f t="shared" si="132"/>
        <v>0.55771078733887047</v>
      </c>
      <c r="AQ767" s="1">
        <f t="shared" si="138"/>
        <v>0.13526529018648148</v>
      </c>
      <c r="AR767" s="1">
        <f t="shared" si="139"/>
        <v>0</v>
      </c>
      <c r="AS767" s="1">
        <f t="shared" si="140"/>
        <v>0.12235214089556982</v>
      </c>
    </row>
    <row r="768" spans="35:45" ht="11.25" customHeight="1" x14ac:dyDescent="0.2">
      <c r="AI768" s="3" t="e">
        <f t="shared" si="133"/>
        <v>#N/A</v>
      </c>
      <c r="AJ768" s="3" t="e">
        <f t="shared" si="134"/>
        <v>#N/A</v>
      </c>
      <c r="AK768" s="1">
        <f t="shared" si="141"/>
        <v>113.85000000000146</v>
      </c>
      <c r="AL768" s="1">
        <f t="shared" si="131"/>
        <v>4.0382285720351128</v>
      </c>
      <c r="AM768" s="1">
        <f t="shared" si="135"/>
        <v>1.464956204131132E-4</v>
      </c>
      <c r="AN768" s="1">
        <f t="shared" si="136"/>
        <v>1.464956204131132E-4</v>
      </c>
      <c r="AO768" s="1">
        <f t="shared" si="137"/>
        <v>1.4611060246911268E-4</v>
      </c>
      <c r="AP768" s="1">
        <f t="shared" si="132"/>
        <v>0.5663351809575119</v>
      </c>
      <c r="AQ768" s="1">
        <f t="shared" si="138"/>
        <v>0.13459987256769779</v>
      </c>
      <c r="AR768" s="1">
        <f t="shared" si="139"/>
        <v>0</v>
      </c>
      <c r="AS768" s="1">
        <f t="shared" si="140"/>
        <v>0.12175024760767923</v>
      </c>
    </row>
    <row r="769" spans="35:45" ht="11.25" customHeight="1" x14ac:dyDescent="0.2">
      <c r="AI769" s="3" t="e">
        <f t="shared" si="133"/>
        <v>#N/A</v>
      </c>
      <c r="AJ769" s="3" t="e">
        <f t="shared" si="134"/>
        <v>#N/A</v>
      </c>
      <c r="AK769" s="1">
        <f t="shared" si="141"/>
        <v>114.00000000000146</v>
      </c>
      <c r="AL769" s="1">
        <f t="shared" si="131"/>
        <v>4.0477154050156186</v>
      </c>
      <c r="AM769" s="1">
        <f t="shared" si="135"/>
        <v>1.4249047799910327E-4</v>
      </c>
      <c r="AN769" s="1">
        <f t="shared" si="136"/>
        <v>1.4249047799910327E-4</v>
      </c>
      <c r="AO769" s="1">
        <f t="shared" si="137"/>
        <v>1.4211598631993797E-4</v>
      </c>
      <c r="AP769" s="1">
        <f t="shared" si="132"/>
        <v>0.57495957457615321</v>
      </c>
      <c r="AQ769" s="1">
        <f t="shared" si="138"/>
        <v>0.13392775967790982</v>
      </c>
      <c r="AR769" s="1">
        <f t="shared" si="139"/>
        <v>0</v>
      </c>
      <c r="AS769" s="1">
        <f t="shared" si="140"/>
        <v>0.12114229821522464</v>
      </c>
    </row>
    <row r="770" spans="35:45" ht="11.25" customHeight="1" x14ac:dyDescent="0.2">
      <c r="AI770" s="3" t="e">
        <f t="shared" si="133"/>
        <v>#N/A</v>
      </c>
      <c r="AJ770" s="3" t="e">
        <f t="shared" si="134"/>
        <v>#N/A</v>
      </c>
      <c r="AK770" s="1">
        <f t="shared" si="141"/>
        <v>114.15000000000147</v>
      </c>
      <c r="AL770" s="1">
        <f t="shared" si="131"/>
        <v>4.0572022379961235</v>
      </c>
      <c r="AM770" s="1">
        <f t="shared" si="135"/>
        <v>1.3859115622705598E-4</v>
      </c>
      <c r="AN770" s="1">
        <f t="shared" si="136"/>
        <v>1.3859115622705598E-4</v>
      </c>
      <c r="AO770" s="1">
        <f t="shared" si="137"/>
        <v>1.3822691269624787E-4</v>
      </c>
      <c r="AP770" s="1">
        <f t="shared" si="132"/>
        <v>0.58358396819479463</v>
      </c>
      <c r="AQ770" s="1">
        <f t="shared" si="138"/>
        <v>0.1332490922356655</v>
      </c>
      <c r="AR770" s="1">
        <f t="shared" si="139"/>
        <v>0</v>
      </c>
      <c r="AS770" s="1">
        <f t="shared" si="140"/>
        <v>0.12052842000300747</v>
      </c>
    </row>
    <row r="771" spans="35:45" ht="11.25" customHeight="1" x14ac:dyDescent="0.2">
      <c r="AI771" s="3" t="e">
        <f t="shared" si="133"/>
        <v>#N/A</v>
      </c>
      <c r="AJ771" s="3" t="e">
        <f t="shared" si="134"/>
        <v>#N/A</v>
      </c>
      <c r="AK771" s="1">
        <f t="shared" si="141"/>
        <v>114.30000000000148</v>
      </c>
      <c r="AL771" s="1">
        <f t="shared" si="131"/>
        <v>4.0666890709766292</v>
      </c>
      <c r="AM771" s="1">
        <f t="shared" si="135"/>
        <v>1.3479498545945678E-4</v>
      </c>
      <c r="AN771" s="1">
        <f t="shared" si="136"/>
        <v>1.3479498545945678E-4</v>
      </c>
      <c r="AO771" s="1">
        <f t="shared" si="137"/>
        <v>1.3444071897683547E-4</v>
      </c>
      <c r="AP771" s="1">
        <f t="shared" si="132"/>
        <v>0.59220836181343595</v>
      </c>
      <c r="AQ771" s="1">
        <f t="shared" si="138"/>
        <v>0.13256401169892129</v>
      </c>
      <c r="AR771" s="1">
        <f t="shared" si="139"/>
        <v>0</v>
      </c>
      <c r="AS771" s="1">
        <f t="shared" si="140"/>
        <v>0.11990874092464981</v>
      </c>
    </row>
    <row r="772" spans="35:45" ht="11.25" customHeight="1" x14ac:dyDescent="0.2">
      <c r="AI772" s="3" t="e">
        <f t="shared" si="133"/>
        <v>#N/A</v>
      </c>
      <c r="AJ772" s="3" t="e">
        <f t="shared" si="134"/>
        <v>#N/A</v>
      </c>
      <c r="AK772" s="1">
        <f t="shared" si="141"/>
        <v>114.45000000000148</v>
      </c>
      <c r="AL772" s="1">
        <f t="shared" si="131"/>
        <v>4.076175903957135</v>
      </c>
      <c r="AM772" s="1">
        <f t="shared" si="135"/>
        <v>1.3109935914743139E-4</v>
      </c>
      <c r="AN772" s="1">
        <f t="shared" si="136"/>
        <v>1.3109935914743139E-4</v>
      </c>
      <c r="AO772" s="1">
        <f t="shared" si="137"/>
        <v>1.3075480546332539E-4</v>
      </c>
      <c r="AP772" s="1">
        <f t="shared" si="132"/>
        <v>0.60083275543207726</v>
      </c>
      <c r="AQ772" s="1">
        <f t="shared" si="138"/>
        <v>0.13187266022063326</v>
      </c>
      <c r="AR772" s="1">
        <f t="shared" si="139"/>
        <v>0</v>
      </c>
      <c r="AS772" s="1">
        <f t="shared" si="140"/>
        <v>0.11928338956242496</v>
      </c>
    </row>
    <row r="773" spans="35:45" ht="11.25" customHeight="1" x14ac:dyDescent="0.2">
      <c r="AI773" s="3" t="e">
        <f t="shared" si="133"/>
        <v>#N/A</v>
      </c>
      <c r="AJ773" s="3" t="e">
        <f t="shared" si="134"/>
        <v>#N/A</v>
      </c>
      <c r="AK773" s="1">
        <f t="shared" si="141"/>
        <v>114.60000000000149</v>
      </c>
      <c r="AL773" s="1">
        <f t="shared" si="131"/>
        <v>4.0856627369376399</v>
      </c>
      <c r="AM773" s="1">
        <f t="shared" si="135"/>
        <v>1.2750173261427081E-4</v>
      </c>
      <c r="AN773" s="1">
        <f t="shared" si="136"/>
        <v>1.2750173261427081E-4</v>
      </c>
      <c r="AO773" s="1">
        <f t="shared" si="137"/>
        <v>1.2716663416689595E-4</v>
      </c>
      <c r="AP773" s="1">
        <f t="shared" si="132"/>
        <v>0.60945714905071868</v>
      </c>
      <c r="AQ773" s="1">
        <f t="shared" si="138"/>
        <v>0.13117518060212774</v>
      </c>
      <c r="AR773" s="1">
        <f t="shared" si="139"/>
        <v>0</v>
      </c>
      <c r="AS773" s="1">
        <f t="shared" si="140"/>
        <v>0.11865249508507954</v>
      </c>
    </row>
    <row r="774" spans="35:45" ht="11.25" customHeight="1" x14ac:dyDescent="0.2">
      <c r="AI774" s="3" t="e">
        <f t="shared" si="133"/>
        <v>#N/A</v>
      </c>
      <c r="AJ774" s="3" t="e">
        <f t="shared" si="134"/>
        <v>#N/A</v>
      </c>
      <c r="AK774" s="1">
        <f t="shared" si="141"/>
        <v>114.75000000000149</v>
      </c>
      <c r="AL774" s="1">
        <f t="shared" si="131"/>
        <v>4.0951495699181457</v>
      </c>
      <c r="AM774" s="1">
        <f t="shared" si="135"/>
        <v>1.2399962153592219E-4</v>
      </c>
      <c r="AN774" s="1">
        <f t="shared" si="136"/>
        <v>1.2399962153592219E-4</v>
      </c>
      <c r="AO774" s="1">
        <f t="shared" si="137"/>
        <v>1.2367372729276343E-4</v>
      </c>
      <c r="AP774" s="1">
        <f t="shared" si="132"/>
        <v>0.61808154266936</v>
      </c>
      <c r="AQ774" s="1">
        <f t="shared" si="138"/>
        <v>0.13047171621982656</v>
      </c>
      <c r="AR774" s="1">
        <f t="shared" si="139"/>
        <v>0</v>
      </c>
      <c r="AS774" s="1">
        <f t="shared" si="140"/>
        <v>0.11801618718155403</v>
      </c>
    </row>
    <row r="775" spans="35:45" ht="11.25" customHeight="1" x14ac:dyDescent="0.2">
      <c r="AI775" s="3" t="e">
        <f t="shared" si="133"/>
        <v>#N/A</v>
      </c>
      <c r="AJ775" s="3" t="e">
        <f t="shared" si="134"/>
        <v>#N/A</v>
      </c>
      <c r="AK775" s="1">
        <f t="shared" si="141"/>
        <v>114.9000000000015</v>
      </c>
      <c r="AL775" s="1">
        <f t="shared" si="131"/>
        <v>4.1046364028986515</v>
      </c>
      <c r="AM775" s="1">
        <f t="shared" si="135"/>
        <v>1.2059060072180331E-4</v>
      </c>
      <c r="AN775" s="1">
        <f t="shared" si="136"/>
        <v>1.2059060072180331E-4</v>
      </c>
      <c r="AO775" s="1">
        <f t="shared" si="137"/>
        <v>1.2027366602420097E-4</v>
      </c>
      <c r="AP775" s="1">
        <f t="shared" si="132"/>
        <v>0.62670593628800142</v>
      </c>
      <c r="AQ775" s="1">
        <f t="shared" si="138"/>
        <v>0.12976241102080621</v>
      </c>
      <c r="AR775" s="1">
        <f t="shared" si="139"/>
        <v>0</v>
      </c>
      <c r="AS775" s="1">
        <f t="shared" si="140"/>
        <v>0.1173745960569658</v>
      </c>
    </row>
    <row r="776" spans="35:45" ht="11.25" customHeight="1" x14ac:dyDescent="0.2">
      <c r="AI776" s="3" t="e">
        <f t="shared" si="133"/>
        <v>#N/A</v>
      </c>
      <c r="AJ776" s="3" t="e">
        <f t="shared" si="134"/>
        <v>#N/A</v>
      </c>
      <c r="AK776" s="1">
        <f t="shared" si="141"/>
        <v>115.0500000000015</v>
      </c>
      <c r="AL776" s="1">
        <f t="shared" si="131"/>
        <v>4.1141232358791564</v>
      </c>
      <c r="AM776" s="1">
        <f t="shared" si="135"/>
        <v>1.1727230290374882E-4</v>
      </c>
      <c r="AN776" s="1">
        <f t="shared" si="136"/>
        <v>1.1727230290374882E-4</v>
      </c>
      <c r="AO776" s="1">
        <f t="shared" si="137"/>
        <v>1.1696408931466757E-4</v>
      </c>
      <c r="AP776" s="1">
        <f t="shared" si="132"/>
        <v>0.63533032990664273</v>
      </c>
      <c r="AQ776" s="1">
        <f t="shared" si="138"/>
        <v>0.1290474094162164</v>
      </c>
      <c r="AR776" s="1">
        <f t="shared" si="139"/>
        <v>0</v>
      </c>
      <c r="AS776" s="1">
        <f t="shared" si="140"/>
        <v>0.11672785233620252</v>
      </c>
    </row>
    <row r="777" spans="35:45" ht="11.25" customHeight="1" x14ac:dyDescent="0.2">
      <c r="AI777" s="3" t="e">
        <f t="shared" si="133"/>
        <v>#N/A</v>
      </c>
      <c r="AJ777" s="3" t="e">
        <f t="shared" si="134"/>
        <v>#N/A</v>
      </c>
      <c r="AK777" s="1">
        <f t="shared" si="141"/>
        <v>115.20000000000151</v>
      </c>
      <c r="AL777" s="1">
        <f t="shared" ref="AL777:AL840" si="142">ABS(($AL$5-AK777)/$AL$6)</f>
        <v>4.1236100688596622</v>
      </c>
      <c r="AM777" s="1">
        <f t="shared" si="135"/>
        <v>1.1404241734931566E-4</v>
      </c>
      <c r="AN777" s="1">
        <f t="shared" si="136"/>
        <v>1.1404241734931566E-4</v>
      </c>
      <c r="AO777" s="1">
        <f t="shared" si="137"/>
        <v>1.137426925047581E-4</v>
      </c>
      <c r="AP777" s="1">
        <f t="shared" ref="AP777:AP840" si="143">ABS(($AP$5-AK777)/$AP$6)</f>
        <v>0.64395472352528416</v>
      </c>
      <c r="AQ777" s="1">
        <f t="shared" si="138"/>
        <v>0.12832685627017781</v>
      </c>
      <c r="AR777" s="1">
        <f t="shared" si="139"/>
        <v>0</v>
      </c>
      <c r="AS777" s="1">
        <f t="shared" si="140"/>
        <v>0.11607608705387978</v>
      </c>
    </row>
    <row r="778" spans="35:45" ht="11.25" customHeight="1" x14ac:dyDescent="0.2">
      <c r="AI778" s="3" t="e">
        <f t="shared" ref="AI778:AI841" si="144">IF($M$18,AI777,NA())</f>
        <v>#N/A</v>
      </c>
      <c r="AJ778" s="3" t="e">
        <f t="shared" ref="AJ778:AJ841" si="145">IF($M$18,AJ777,NA())</f>
        <v>#N/A</v>
      </c>
      <c r="AK778" s="1">
        <f t="shared" si="141"/>
        <v>115.35000000000151</v>
      </c>
      <c r="AL778" s="1">
        <f t="shared" si="142"/>
        <v>4.133096901840168</v>
      </c>
      <c r="AM778" s="1">
        <f t="shared" ref="AM778:AM841" si="146">$AL$3*ABS((TDIST(AL778,$AL$7,1)-TDIST(AL778+$AL$1,$AL$7,1))/($AL$1))</f>
        <v>1.1089868864747662E-4</v>
      </c>
      <c r="AN778" s="1">
        <f t="shared" ref="AN778:AN841" si="147">IF(($D$10&gt;$AJ$5)=($D$10&gt;AK778),AM778,0)</f>
        <v>1.1089868864747662E-4</v>
      </c>
      <c r="AO778" s="1">
        <f t="shared" ref="AO778:AO841" si="148">AM778*$AN$5/$AN$7</f>
        <v>1.1060722611108815E-4</v>
      </c>
      <c r="AP778" s="1">
        <f t="shared" si="143"/>
        <v>0.65257911714392547</v>
      </c>
      <c r="AQ778" s="1">
        <f t="shared" ref="AQ778:AQ841" si="149">$AL$3*ABS((TDIST(AP778,$AP$7,1)-TDIST(AP778+$AL$1,$AP$7,1))/($AL$1))</f>
        <v>0.12760089685093234</v>
      </c>
      <c r="AR778" s="1">
        <f t="shared" ref="AR778:AR841" si="150">IF(($D$19&gt;$AJ$5)=($D$19&gt;AK778),AQ778,0)</f>
        <v>0</v>
      </c>
      <c r="AS778" s="1">
        <f t="shared" ref="AS778:AS841" si="151">AQ778*$AN$5/$AR$7</f>
        <v>0.11541943161015483</v>
      </c>
    </row>
    <row r="779" spans="35:45" ht="11.25" customHeight="1" x14ac:dyDescent="0.2">
      <c r="AI779" s="3" t="e">
        <f t="shared" si="144"/>
        <v>#N/A</v>
      </c>
      <c r="AJ779" s="3" t="e">
        <f t="shared" si="145"/>
        <v>#N/A</v>
      </c>
      <c r="AK779" s="1">
        <f t="shared" si="141"/>
        <v>115.50000000000152</v>
      </c>
      <c r="AL779" s="1">
        <f t="shared" si="142"/>
        <v>4.1425837348206729</v>
      </c>
      <c r="AM779" s="1">
        <f t="shared" si="146"/>
        <v>1.0783891564013909E-4</v>
      </c>
      <c r="AN779" s="1">
        <f t="shared" si="147"/>
        <v>1.0783891564013909E-4</v>
      </c>
      <c r="AO779" s="1">
        <f t="shared" si="148"/>
        <v>1.0755549476062113E-4</v>
      </c>
      <c r="AP779" s="1">
        <f t="shared" si="143"/>
        <v>0.66120351076256689</v>
      </c>
      <c r="AQ779" s="1">
        <f t="shared" si="149"/>
        <v>0.1268696767464661</v>
      </c>
      <c r="AR779" s="1">
        <f t="shared" si="150"/>
        <v>0</v>
      </c>
      <c r="AS779" s="1">
        <f t="shared" si="151"/>
        <v>0.11475801769440463</v>
      </c>
    </row>
    <row r="780" spans="35:45" ht="11.25" customHeight="1" x14ac:dyDescent="0.2">
      <c r="AI780" s="3" t="e">
        <f t="shared" si="144"/>
        <v>#N/A</v>
      </c>
      <c r="AJ780" s="3" t="e">
        <f t="shared" si="145"/>
        <v>#N/A</v>
      </c>
      <c r="AK780" s="1">
        <f t="shared" si="141"/>
        <v>115.65000000000153</v>
      </c>
      <c r="AL780" s="1">
        <f t="shared" si="142"/>
        <v>4.1520705678011787</v>
      </c>
      <c r="AM780" s="1">
        <f t="shared" si="146"/>
        <v>1.0486095004249782E-4</v>
      </c>
      <c r="AN780" s="1">
        <f t="shared" si="147"/>
        <v>1.0486095004249782E-4</v>
      </c>
      <c r="AO780" s="1">
        <f t="shared" si="148"/>
        <v>1.0458535581464682E-4</v>
      </c>
      <c r="AP780" s="1">
        <f t="shared" si="143"/>
        <v>0.66982790438120821</v>
      </c>
      <c r="AQ780" s="1">
        <f t="shared" si="149"/>
        <v>0.12613334185340719</v>
      </c>
      <c r="AR780" s="1">
        <f t="shared" si="150"/>
        <v>0</v>
      </c>
      <c r="AS780" s="1">
        <f t="shared" si="151"/>
        <v>0.11409197727518353</v>
      </c>
    </row>
    <row r="781" spans="35:45" ht="11.25" customHeight="1" x14ac:dyDescent="0.2">
      <c r="AI781" s="3" t="e">
        <f t="shared" si="144"/>
        <v>#N/A</v>
      </c>
      <c r="AJ781" s="3" t="e">
        <f t="shared" si="145"/>
        <v>#N/A</v>
      </c>
      <c r="AK781" s="1">
        <f t="shared" si="141"/>
        <v>115.80000000000153</v>
      </c>
      <c r="AL781" s="1">
        <f t="shared" si="142"/>
        <v>4.1615574007816845</v>
      </c>
      <c r="AM781" s="1">
        <f t="shared" si="146"/>
        <v>1.0196269544990571E-4</v>
      </c>
      <c r="AN781" s="1">
        <f t="shared" si="147"/>
        <v>1.0196269544990571E-4</v>
      </c>
      <c r="AO781" s="1">
        <f t="shared" si="148"/>
        <v>1.016947183782624E-4</v>
      </c>
      <c r="AP781" s="1">
        <f t="shared" si="143"/>
        <v>0.67845229799984952</v>
      </c>
      <c r="AQ781" s="1">
        <f t="shared" si="149"/>
        <v>0.12539203831263279</v>
      </c>
      <c r="AR781" s="1">
        <f t="shared" si="150"/>
        <v>0</v>
      </c>
      <c r="AS781" s="1">
        <f t="shared" si="151"/>
        <v>0.11342144254197761</v>
      </c>
    </row>
    <row r="782" spans="35:45" ht="11.25" customHeight="1" x14ac:dyDescent="0.2">
      <c r="AI782" s="3" t="e">
        <f t="shared" si="144"/>
        <v>#N/A</v>
      </c>
      <c r="AJ782" s="3" t="e">
        <f t="shared" si="145"/>
        <v>#N/A</v>
      </c>
      <c r="AK782" s="1">
        <f t="shared" si="141"/>
        <v>115.95000000000154</v>
      </c>
      <c r="AL782" s="1">
        <f t="shared" si="142"/>
        <v>4.1710442337621894</v>
      </c>
      <c r="AM782" s="1">
        <f t="shared" si="146"/>
        <v>9.9142105981536895E-5</v>
      </c>
      <c r="AN782" s="1">
        <f t="shared" si="147"/>
        <v>9.9142105981536895E-5</v>
      </c>
      <c r="AO782" s="1">
        <f t="shared" si="148"/>
        <v>9.8881541947600231E-5</v>
      </c>
      <c r="AP782" s="1">
        <f t="shared" si="143"/>
        <v>0.68707669161849094</v>
      </c>
      <c r="AQ782" s="1">
        <f t="shared" si="149"/>
        <v>0.12464591246486023</v>
      </c>
      <c r="AR782" s="1">
        <f t="shared" si="150"/>
        <v>0</v>
      </c>
      <c r="AS782" s="1">
        <f t="shared" si="151"/>
        <v>0.1127465458650353</v>
      </c>
    </row>
    <row r="783" spans="35:45" ht="11.25" customHeight="1" x14ac:dyDescent="0.2">
      <c r="AI783" s="3" t="e">
        <f t="shared" si="144"/>
        <v>#N/A</v>
      </c>
      <c r="AJ783" s="3" t="e">
        <f t="shared" si="145"/>
        <v>#N/A</v>
      </c>
      <c r="AK783" s="1">
        <f t="shared" si="141"/>
        <v>116.10000000000154</v>
      </c>
      <c r="AL783" s="1">
        <f t="shared" si="142"/>
        <v>4.1805310667426951</v>
      </c>
      <c r="AM783" s="1">
        <f t="shared" si="146"/>
        <v>9.639718541627762E-5</v>
      </c>
      <c r="AN783" s="1">
        <f t="shared" si="147"/>
        <v>9.639718541627762E-5</v>
      </c>
      <c r="AO783" s="1">
        <f t="shared" si="148"/>
        <v>9.6143835547989742E-5</v>
      </c>
      <c r="AP783" s="1">
        <f t="shared" si="143"/>
        <v>0.69570108523713226</v>
      </c>
      <c r="AQ783" s="1">
        <f t="shared" si="149"/>
        <v>0.12389511078181314</v>
      </c>
      <c r="AR783" s="1">
        <f t="shared" si="150"/>
        <v>0</v>
      </c>
      <c r="AS783" s="1">
        <f t="shared" si="151"/>
        <v>0.11206741973310475</v>
      </c>
    </row>
    <row r="784" spans="35:45" ht="11.25" customHeight="1" x14ac:dyDescent="0.2">
      <c r="AI784" s="3" t="e">
        <f t="shared" si="144"/>
        <v>#N/A</v>
      </c>
      <c r="AJ784" s="3" t="e">
        <f t="shared" si="145"/>
        <v>#N/A</v>
      </c>
      <c r="AK784" s="1">
        <f t="shared" si="141"/>
        <v>116.25000000000155</v>
      </c>
      <c r="AL784" s="1">
        <f t="shared" si="142"/>
        <v>4.1900178997232009</v>
      </c>
      <c r="AM784" s="1">
        <f t="shared" si="146"/>
        <v>9.3725985880841606E-5</v>
      </c>
      <c r="AN784" s="1">
        <f t="shared" si="147"/>
        <v>9.3725985880841606E-5</v>
      </c>
      <c r="AO784" s="1">
        <f t="shared" si="148"/>
        <v>9.3479656425520674E-5</v>
      </c>
      <c r="AP784" s="1">
        <f t="shared" si="143"/>
        <v>0.70432547885577368</v>
      </c>
      <c r="AQ784" s="1">
        <f t="shared" si="149"/>
        <v>0.12313977984401703</v>
      </c>
      <c r="AR784" s="1">
        <f t="shared" si="150"/>
        <v>0</v>
      </c>
      <c r="AS784" s="1">
        <f t="shared" si="151"/>
        <v>0.11138419673334919</v>
      </c>
    </row>
    <row r="785" spans="35:45" ht="11.25" customHeight="1" x14ac:dyDescent="0.2">
      <c r="AI785" s="3" t="e">
        <f t="shared" si="144"/>
        <v>#N/A</v>
      </c>
      <c r="AJ785" s="3" t="e">
        <f t="shared" si="145"/>
        <v>#N/A</v>
      </c>
      <c r="AK785" s="1">
        <f t="shared" si="141"/>
        <v>116.40000000000155</v>
      </c>
      <c r="AL785" s="1">
        <f t="shared" si="142"/>
        <v>4.1995047327037058</v>
      </c>
      <c r="AM785" s="1">
        <f t="shared" si="146"/>
        <v>9.1126606879951208E-5</v>
      </c>
      <c r="AN785" s="1">
        <f t="shared" si="147"/>
        <v>9.1126606879951208E-5</v>
      </c>
      <c r="AO785" s="1">
        <f t="shared" si="148"/>
        <v>9.0887109079773126E-5</v>
      </c>
      <c r="AP785" s="1">
        <f t="shared" si="143"/>
        <v>0.71294987247441499</v>
      </c>
      <c r="AQ785" s="1">
        <f t="shared" si="149"/>
        <v>0.1223800662764063</v>
      </c>
      <c r="AR785" s="1">
        <f t="shared" si="150"/>
        <v>0</v>
      </c>
      <c r="AS785" s="1">
        <f t="shared" si="151"/>
        <v>0.11069700949310125</v>
      </c>
    </row>
    <row r="786" spans="35:45" ht="11.25" customHeight="1" x14ac:dyDescent="0.2">
      <c r="AI786" s="3" t="e">
        <f t="shared" si="144"/>
        <v>#N/A</v>
      </c>
      <c r="AJ786" s="3" t="e">
        <f t="shared" si="145"/>
        <v>#N/A</v>
      </c>
      <c r="AK786" s="1">
        <f t="shared" si="141"/>
        <v>116.55000000000156</v>
      </c>
      <c r="AL786" s="1">
        <f t="shared" si="142"/>
        <v>4.2089915656842116</v>
      </c>
      <c r="AM786" s="1">
        <f t="shared" si="146"/>
        <v>8.8597194191535403E-5</v>
      </c>
      <c r="AN786" s="1">
        <f t="shared" si="147"/>
        <v>8.8597194191535403E-5</v>
      </c>
      <c r="AO786" s="1">
        <f t="shared" si="148"/>
        <v>8.8364344161919175E-5</v>
      </c>
      <c r="AP786" s="1">
        <f t="shared" si="143"/>
        <v>0.72157426609305642</v>
      </c>
      <c r="AQ786" s="1">
        <f t="shared" si="149"/>
        <v>0.1216161167150176</v>
      </c>
      <c r="AR786" s="1">
        <f t="shared" si="150"/>
        <v>0</v>
      </c>
      <c r="AS786" s="1">
        <f t="shared" si="151"/>
        <v>0.11000599064973592</v>
      </c>
    </row>
    <row r="787" spans="35:45" ht="11.25" customHeight="1" x14ac:dyDescent="0.2">
      <c r="AI787" s="3" t="e">
        <f t="shared" si="144"/>
        <v>#N/A</v>
      </c>
      <c r="AJ787" s="3" t="e">
        <f t="shared" si="145"/>
        <v>#N/A</v>
      </c>
      <c r="AK787" s="1">
        <f t="shared" si="141"/>
        <v>116.70000000000157</v>
      </c>
      <c r="AL787" s="1">
        <f t="shared" si="142"/>
        <v>4.2184783986647174</v>
      </c>
      <c r="AM787" s="1">
        <f t="shared" si="146"/>
        <v>8.61359388752269E-5</v>
      </c>
      <c r="AN787" s="1">
        <f t="shared" si="147"/>
        <v>8.61359388752269E-5</v>
      </c>
      <c r="AO787" s="1">
        <f t="shared" si="148"/>
        <v>8.5909557485825807E-5</v>
      </c>
      <c r="AP787" s="1">
        <f t="shared" si="143"/>
        <v>0.73019865971169773</v>
      </c>
      <c r="AQ787" s="1">
        <f t="shared" si="149"/>
        <v>0.12084807774259687</v>
      </c>
      <c r="AR787" s="1">
        <f t="shared" si="150"/>
        <v>0</v>
      </c>
      <c r="AS787" s="1">
        <f t="shared" si="151"/>
        <v>0.10931127279242488</v>
      </c>
    </row>
    <row r="788" spans="35:45" ht="11.25" customHeight="1" x14ac:dyDescent="0.2">
      <c r="AI788" s="3" t="e">
        <f t="shared" si="144"/>
        <v>#N/A</v>
      </c>
      <c r="AJ788" s="3" t="e">
        <f t="shared" si="145"/>
        <v>#N/A</v>
      </c>
      <c r="AK788" s="1">
        <f t="shared" si="141"/>
        <v>116.85000000000157</v>
      </c>
      <c r="AL788" s="1">
        <f t="shared" si="142"/>
        <v>4.2279652316452223</v>
      </c>
      <c r="AM788" s="1">
        <f t="shared" si="146"/>
        <v>8.3741076207133509E-5</v>
      </c>
      <c r="AN788" s="1">
        <f t="shared" si="147"/>
        <v>8.3741076207133509E-5</v>
      </c>
      <c r="AO788" s="1">
        <f t="shared" si="148"/>
        <v>8.3520988965625931E-5</v>
      </c>
      <c r="AP788" s="1">
        <f t="shared" si="143"/>
        <v>0.73882305333033915</v>
      </c>
      <c r="AQ788" s="1">
        <f t="shared" si="149"/>
        <v>0.12007609585751311</v>
      </c>
      <c r="AR788" s="1">
        <f t="shared" si="150"/>
        <v>0</v>
      </c>
      <c r="AS788" s="1">
        <f t="shared" si="151"/>
        <v>0.10861298843401794</v>
      </c>
    </row>
    <row r="789" spans="35:45" ht="11.25" customHeight="1" x14ac:dyDescent="0.2">
      <c r="AI789" s="3" t="e">
        <f t="shared" si="144"/>
        <v>#N/A</v>
      </c>
      <c r="AJ789" s="3" t="e">
        <f t="shared" si="145"/>
        <v>#N/A</v>
      </c>
      <c r="AK789" s="1">
        <f t="shared" si="141"/>
        <v>117.00000000000158</v>
      </c>
      <c r="AL789" s="1">
        <f t="shared" si="142"/>
        <v>4.2374520646257281</v>
      </c>
      <c r="AM789" s="1">
        <f t="shared" si="146"/>
        <v>8.1410884710019296E-5</v>
      </c>
      <c r="AN789" s="1">
        <f t="shared" si="147"/>
        <v>8.1410884710019296E-5</v>
      </c>
      <c r="AO789" s="1">
        <f t="shared" si="148"/>
        <v>8.119692164844841E-5</v>
      </c>
      <c r="AP789" s="1">
        <f t="shared" si="143"/>
        <v>0.74744744694898047</v>
      </c>
      <c r="AQ789" s="1">
        <f t="shared" si="149"/>
        <v>0.11930031741158587</v>
      </c>
      <c r="AR789" s="1">
        <f t="shared" si="150"/>
        <v>0</v>
      </c>
      <c r="AS789" s="1">
        <f t="shared" si="151"/>
        <v>0.10791126995480586</v>
      </c>
    </row>
    <row r="790" spans="35:45" ht="11.25" customHeight="1" x14ac:dyDescent="0.2">
      <c r="AI790" s="3" t="e">
        <f t="shared" si="144"/>
        <v>#N/A</v>
      </c>
      <c r="AJ790" s="3" t="e">
        <f t="shared" si="145"/>
        <v>#N/A</v>
      </c>
      <c r="AK790" s="1">
        <f t="shared" si="141"/>
        <v>117.15000000000158</v>
      </c>
      <c r="AL790" s="1">
        <f t="shared" si="142"/>
        <v>4.2469388976062339</v>
      </c>
      <c r="AM790" s="1">
        <f t="shared" si="146"/>
        <v>7.9143685163427999E-5</v>
      </c>
      <c r="AN790" s="1">
        <f t="shared" si="147"/>
        <v>7.9143685163427999E-5</v>
      </c>
      <c r="AO790" s="1">
        <f t="shared" si="148"/>
        <v>7.8935680727143019E-5</v>
      </c>
      <c r="AP790" s="1">
        <f t="shared" si="143"/>
        <v>0.75607184056762189</v>
      </c>
      <c r="AQ790" s="1">
        <f t="shared" si="149"/>
        <v>0.1185208885834399</v>
      </c>
      <c r="AR790" s="1">
        <f t="shared" si="150"/>
        <v>0</v>
      </c>
      <c r="AS790" s="1">
        <f t="shared" si="151"/>
        <v>0.10720624957841876</v>
      </c>
    </row>
    <row r="791" spans="35:45" ht="11.25" customHeight="1" x14ac:dyDescent="0.2">
      <c r="AI791" s="3" t="e">
        <f t="shared" si="144"/>
        <v>#N/A</v>
      </c>
      <c r="AJ791" s="3" t="e">
        <f t="shared" si="145"/>
        <v>#N/A</v>
      </c>
      <c r="AK791" s="1">
        <f t="shared" si="141"/>
        <v>117.30000000000159</v>
      </c>
      <c r="AL791" s="1">
        <f t="shared" si="142"/>
        <v>4.2564257305867388</v>
      </c>
      <c r="AM791" s="1">
        <f t="shared" si="146"/>
        <v>7.6937839656090329E-5</v>
      </c>
      <c r="AN791" s="1">
        <f t="shared" si="147"/>
        <v>7.6937839656090329E-5</v>
      </c>
      <c r="AO791" s="1">
        <f t="shared" si="148"/>
        <v>7.6735632595178229E-5</v>
      </c>
      <c r="AP791" s="1">
        <f t="shared" si="143"/>
        <v>0.7646962341862632</v>
      </c>
      <c r="AQ791" s="1">
        <f t="shared" si="149"/>
        <v>0.11773795530523046</v>
      </c>
      <c r="AR791" s="1">
        <f t="shared" si="150"/>
        <v>0</v>
      </c>
      <c r="AS791" s="1">
        <f t="shared" si="151"/>
        <v>0.10649805930554648</v>
      </c>
    </row>
    <row r="792" spans="35:45" ht="11.25" customHeight="1" x14ac:dyDescent="0.2">
      <c r="AI792" s="3" t="e">
        <f t="shared" si="144"/>
        <v>#N/A</v>
      </c>
      <c r="AJ792" s="3" t="e">
        <f t="shared" si="145"/>
        <v>#N/A</v>
      </c>
      <c r="AK792" s="1">
        <f t="shared" si="141"/>
        <v>117.45000000000159</v>
      </c>
      <c r="AL792" s="1">
        <f t="shared" si="142"/>
        <v>4.2659125635672446</v>
      </c>
      <c r="AM792" s="1">
        <f t="shared" si="146"/>
        <v>7.4791750625320848E-5</v>
      </c>
      <c r="AN792" s="1">
        <f t="shared" si="147"/>
        <v>7.4791750625320848E-5</v>
      </c>
      <c r="AO792" s="1">
        <f t="shared" si="148"/>
        <v>7.4595183888562729E-5</v>
      </c>
      <c r="AP792" s="1">
        <f t="shared" si="143"/>
        <v>0.77332062780490451</v>
      </c>
      <c r="AQ792" s="1">
        <f t="shared" si="149"/>
        <v>0.11695166325154105</v>
      </c>
      <c r="AR792" s="1">
        <f t="shared" si="150"/>
        <v>0</v>
      </c>
      <c r="AS792" s="1">
        <f t="shared" si="151"/>
        <v>0.10578683090389635</v>
      </c>
    </row>
    <row r="793" spans="35:45" ht="11.25" customHeight="1" x14ac:dyDescent="0.2">
      <c r="AI793" s="3" t="e">
        <f t="shared" si="144"/>
        <v>#N/A</v>
      </c>
      <c r="AJ793" s="3" t="e">
        <f t="shared" si="145"/>
        <v>#N/A</v>
      </c>
      <c r="AK793" s="1">
        <f t="shared" si="141"/>
        <v>117.6000000000016</v>
      </c>
      <c r="AL793" s="1">
        <f t="shared" si="142"/>
        <v>4.2753993965477504</v>
      </c>
      <c r="AM793" s="1">
        <f t="shared" si="146"/>
        <v>7.2703859989656214E-5</v>
      </c>
      <c r="AN793" s="1">
        <f t="shared" si="147"/>
        <v>7.2703859989656214E-5</v>
      </c>
      <c r="AO793" s="1">
        <f t="shared" si="148"/>
        <v>7.2512780620763261E-5</v>
      </c>
      <c r="AP793" s="1">
        <f t="shared" si="143"/>
        <v>0.78194502142354594</v>
      </c>
      <c r="AQ793" s="1">
        <f t="shared" si="149"/>
        <v>0.11616215776832917</v>
      </c>
      <c r="AR793" s="1">
        <f t="shared" si="150"/>
        <v>0</v>
      </c>
      <c r="AS793" s="1">
        <f t="shared" si="151"/>
        <v>0.10507269584392204</v>
      </c>
    </row>
    <row r="794" spans="35:45" ht="11.25" customHeight="1" x14ac:dyDescent="0.2">
      <c r="AI794" s="3" t="e">
        <f t="shared" si="144"/>
        <v>#N/A</v>
      </c>
      <c r="AJ794" s="3" t="e">
        <f t="shared" si="145"/>
        <v>#N/A</v>
      </c>
      <c r="AK794" s="1">
        <f t="shared" si="141"/>
        <v>117.75000000000161</v>
      </c>
      <c r="AL794" s="1">
        <f t="shared" si="142"/>
        <v>4.2848862295282553</v>
      </c>
      <c r="AM794" s="1">
        <f t="shared" si="146"/>
        <v>7.0672648163044413E-5</v>
      </c>
      <c r="AN794" s="1">
        <f t="shared" si="147"/>
        <v>7.0672648163044413E-5</v>
      </c>
      <c r="AO794" s="1">
        <f t="shared" si="148"/>
        <v>7.0486907199484713E-5</v>
      </c>
      <c r="AP794" s="1">
        <f t="shared" si="143"/>
        <v>0.79056941504218725</v>
      </c>
      <c r="AQ794" s="1">
        <f t="shared" si="149"/>
        <v>0.11536958383739915</v>
      </c>
      <c r="AR794" s="1">
        <f t="shared" si="150"/>
        <v>0</v>
      </c>
      <c r="AS794" s="1">
        <f t="shared" si="151"/>
        <v>0.10435578526668811</v>
      </c>
    </row>
    <row r="795" spans="35:45" ht="11.25" customHeight="1" x14ac:dyDescent="0.2">
      <c r="AI795" s="3" t="e">
        <f t="shared" si="144"/>
        <v>#N/A</v>
      </c>
      <c r="AJ795" s="3" t="e">
        <f t="shared" si="145"/>
        <v>#N/A</v>
      </c>
      <c r="AK795" s="1">
        <f t="shared" si="141"/>
        <v>117.90000000000161</v>
      </c>
      <c r="AL795" s="1">
        <f t="shared" si="142"/>
        <v>4.2943730625087611</v>
      </c>
      <c r="AM795" s="1">
        <f t="shared" si="146"/>
        <v>6.8696633248740358E-5</v>
      </c>
      <c r="AN795" s="1">
        <f t="shared" si="147"/>
        <v>6.8696633248740358E-5</v>
      </c>
      <c r="AO795" s="1">
        <f t="shared" si="148"/>
        <v>6.8516085622684364E-5</v>
      </c>
      <c r="AP795" s="1">
        <f t="shared" si="143"/>
        <v>0.79919380866082868</v>
      </c>
      <c r="AQ795" s="1">
        <f t="shared" si="149"/>
        <v>0.11457408602755237</v>
      </c>
      <c r="AR795" s="1">
        <f t="shared" si="150"/>
        <v>0</v>
      </c>
      <c r="AS795" s="1">
        <f t="shared" si="151"/>
        <v>0.10363622993968363</v>
      </c>
    </row>
    <row r="796" spans="35:45" ht="11.25" customHeight="1" x14ac:dyDescent="0.2">
      <c r="AI796" s="3" t="e">
        <f t="shared" si="144"/>
        <v>#N/A</v>
      </c>
      <c r="AJ796" s="3" t="e">
        <f t="shared" si="145"/>
        <v>#N/A</v>
      </c>
      <c r="AK796" s="1">
        <f t="shared" si="141"/>
        <v>118.05000000000162</v>
      </c>
      <c r="AL796" s="1">
        <f t="shared" si="142"/>
        <v>4.3038598954892668</v>
      </c>
      <c r="AM796" s="1">
        <f t="shared" si="146"/>
        <v>6.6774370137791844E-5</v>
      </c>
      <c r="AN796" s="1">
        <f t="shared" si="147"/>
        <v>6.6774370137791844E-5</v>
      </c>
      <c r="AO796" s="1">
        <f t="shared" si="148"/>
        <v>6.6598874579427137E-5</v>
      </c>
      <c r="AP796" s="1">
        <f t="shared" si="143"/>
        <v>0.80781820227946999</v>
      </c>
      <c r="AQ796" s="1">
        <f t="shared" si="149"/>
        <v>0.11377580847682367</v>
      </c>
      <c r="AR796" s="1">
        <f t="shared" si="150"/>
        <v>0</v>
      </c>
      <c r="AS796" s="1">
        <f t="shared" si="151"/>
        <v>0.10291416024075439</v>
      </c>
    </row>
    <row r="797" spans="35:45" ht="11.25" customHeight="1" x14ac:dyDescent="0.2">
      <c r="AI797" s="3" t="e">
        <f t="shared" si="144"/>
        <v>#N/A</v>
      </c>
      <c r="AJ797" s="3" t="e">
        <f t="shared" si="145"/>
        <v>#N/A</v>
      </c>
      <c r="AK797" s="1">
        <f t="shared" si="141"/>
        <v>118.20000000000162</v>
      </c>
      <c r="AL797" s="1">
        <f t="shared" si="142"/>
        <v>4.3133467284697717</v>
      </c>
      <c r="AM797" s="1">
        <f t="shared" si="146"/>
        <v>6.4904449654417176E-5</v>
      </c>
      <c r="AN797" s="1">
        <f t="shared" si="147"/>
        <v>6.4904449654417176E-5</v>
      </c>
      <c r="AO797" s="1">
        <f t="shared" si="148"/>
        <v>6.4733868597509394E-5</v>
      </c>
      <c r="AP797" s="1">
        <f t="shared" si="143"/>
        <v>0.81644259589811141</v>
      </c>
      <c r="AQ797" s="1">
        <f t="shared" si="149"/>
        <v>0.11297489479922262</v>
      </c>
      <c r="AR797" s="1">
        <f t="shared" si="150"/>
        <v>0</v>
      </c>
      <c r="AS797" s="1">
        <f t="shared" si="151"/>
        <v>0.10218970607374721</v>
      </c>
    </row>
    <row r="798" spans="35:45" ht="11.25" customHeight="1" x14ac:dyDescent="0.2">
      <c r="AI798" s="3" t="e">
        <f t="shared" si="144"/>
        <v>#N/A</v>
      </c>
      <c r="AJ798" s="3" t="e">
        <f t="shared" si="145"/>
        <v>#N/A</v>
      </c>
      <c r="AK798" s="1">
        <f t="shared" ref="AK798:AK861" si="152">AK797+$AJ$4</f>
        <v>118.35000000000163</v>
      </c>
      <c r="AL798" s="1">
        <f t="shared" si="142"/>
        <v>4.3228335614502775</v>
      </c>
      <c r="AM798" s="1">
        <f t="shared" si="146"/>
        <v>6.3085497776192712E-5</v>
      </c>
      <c r="AN798" s="1">
        <f t="shared" si="147"/>
        <v>6.3085497776192712E-5</v>
      </c>
      <c r="AO798" s="1">
        <f t="shared" si="148"/>
        <v>6.2919697265695904E-5</v>
      </c>
      <c r="AP798" s="1">
        <f t="shared" si="143"/>
        <v>0.82506698951675272</v>
      </c>
      <c r="AQ798" s="1">
        <f t="shared" si="149"/>
        <v>0.11217148809583577</v>
      </c>
      <c r="AR798" s="1">
        <f t="shared" si="150"/>
        <v>0</v>
      </c>
      <c r="AS798" s="1">
        <f t="shared" si="151"/>
        <v>0.10146299687855223</v>
      </c>
    </row>
    <row r="799" spans="35:45" ht="11.25" customHeight="1" x14ac:dyDescent="0.2">
      <c r="AI799" s="3" t="e">
        <f t="shared" si="144"/>
        <v>#N/A</v>
      </c>
      <c r="AJ799" s="3" t="e">
        <f t="shared" si="145"/>
        <v>#N/A</v>
      </c>
      <c r="AK799" s="1">
        <f t="shared" si="152"/>
        <v>118.50000000000163</v>
      </c>
      <c r="AL799" s="1">
        <f t="shared" si="142"/>
        <v>4.3323203944307833</v>
      </c>
      <c r="AM799" s="1">
        <f t="shared" si="146"/>
        <v>6.1316174711125836E-5</v>
      </c>
      <c r="AN799" s="1">
        <f t="shared" si="147"/>
        <v>6.1316174711125836E-5</v>
      </c>
      <c r="AO799" s="1">
        <f t="shared" si="148"/>
        <v>6.1155024313218505E-5</v>
      </c>
      <c r="AP799" s="1">
        <f t="shared" si="143"/>
        <v>0.83369138313539415</v>
      </c>
      <c r="AQ799" s="1">
        <f t="shared" si="149"/>
        <v>0.11136573089709501</v>
      </c>
      <c r="AR799" s="1">
        <f t="shared" si="150"/>
        <v>0</v>
      </c>
      <c r="AS799" s="1">
        <f t="shared" si="151"/>
        <v>0.10073416157888271</v>
      </c>
    </row>
    <row r="800" spans="35:45" ht="11.25" customHeight="1" x14ac:dyDescent="0.2">
      <c r="AI800" s="3" t="e">
        <f t="shared" si="144"/>
        <v>#N/A</v>
      </c>
      <c r="AJ800" s="3" t="e">
        <f t="shared" si="145"/>
        <v>#N/A</v>
      </c>
      <c r="AK800" s="1">
        <f t="shared" si="152"/>
        <v>118.65000000000164</v>
      </c>
      <c r="AL800" s="1">
        <f t="shared" si="142"/>
        <v>4.3418072274112882</v>
      </c>
      <c r="AM800" s="1">
        <f t="shared" si="146"/>
        <v>5.9595174251741469E-5</v>
      </c>
      <c r="AN800" s="1">
        <f t="shared" si="147"/>
        <v>5.9595174251741469E-5</v>
      </c>
      <c r="AO800" s="1">
        <f t="shared" si="148"/>
        <v>5.943854696556012E-5</v>
      </c>
      <c r="AP800" s="1">
        <f t="shared" si="143"/>
        <v>0.84231577675403546</v>
      </c>
      <c r="AQ800" s="1">
        <f t="shared" si="149"/>
        <v>0.1105577650761802</v>
      </c>
      <c r="AR800" s="1">
        <f t="shared" si="150"/>
        <v>0</v>
      </c>
      <c r="AS800" s="1">
        <f t="shared" si="151"/>
        <v>0.10000332850394467</v>
      </c>
    </row>
    <row r="801" spans="35:45" ht="11.25" customHeight="1" x14ac:dyDescent="0.2">
      <c r="AI801" s="3" t="e">
        <f t="shared" si="144"/>
        <v>#N/A</v>
      </c>
      <c r="AJ801" s="3" t="e">
        <f t="shared" si="145"/>
        <v>#N/A</v>
      </c>
      <c r="AK801" s="1">
        <f t="shared" si="152"/>
        <v>118.80000000000165</v>
      </c>
      <c r="AL801" s="1">
        <f t="shared" si="142"/>
        <v>4.351294060391794</v>
      </c>
      <c r="AM801" s="1">
        <f t="shared" si="146"/>
        <v>5.7921222867333803E-5</v>
      </c>
      <c r="AN801" s="1">
        <f t="shared" si="147"/>
        <v>5.7921222867333803E-5</v>
      </c>
      <c r="AO801" s="1">
        <f t="shared" si="148"/>
        <v>5.7768995039092314E-5</v>
      </c>
      <c r="AP801" s="1">
        <f t="shared" si="143"/>
        <v>0.85094017037267677</v>
      </c>
      <c r="AQ801" s="1">
        <f t="shared" si="149"/>
        <v>0.10974773189120768</v>
      </c>
      <c r="AR801" s="1">
        <f t="shared" si="150"/>
        <v>0</v>
      </c>
      <c r="AS801" s="1">
        <f t="shared" si="151"/>
        <v>9.9270625426597842E-2</v>
      </c>
    </row>
    <row r="802" spans="35:45" ht="11.25" customHeight="1" x14ac:dyDescent="0.2">
      <c r="AI802" s="3" t="e">
        <f t="shared" si="144"/>
        <v>#N/A</v>
      </c>
      <c r="AJ802" s="3" t="e">
        <f t="shared" si="145"/>
        <v>#N/A</v>
      </c>
      <c r="AK802" s="1">
        <f t="shared" si="152"/>
        <v>118.95000000000165</v>
      </c>
      <c r="AL802" s="1">
        <f t="shared" si="142"/>
        <v>4.3607808933722998</v>
      </c>
      <c r="AM802" s="1">
        <f t="shared" si="146"/>
        <v>5.6293078988934979E-5</v>
      </c>
      <c r="AN802" s="1">
        <f t="shared" si="147"/>
        <v>5.6293078988934979E-5</v>
      </c>
      <c r="AO802" s="1">
        <f t="shared" si="148"/>
        <v>5.614513022792315E-5</v>
      </c>
      <c r="AP802" s="1">
        <f t="shared" si="143"/>
        <v>0.8595645639913182</v>
      </c>
      <c r="AQ802" s="1">
        <f t="shared" si="149"/>
        <v>0.10893577188308967</v>
      </c>
      <c r="AR802" s="1">
        <f t="shared" si="150"/>
        <v>0</v>
      </c>
      <c r="AS802" s="1">
        <f t="shared" si="151"/>
        <v>9.8536179470966045E-2</v>
      </c>
    </row>
    <row r="803" spans="35:45" ht="11.25" customHeight="1" x14ac:dyDescent="0.2">
      <c r="AI803" s="3" t="e">
        <f t="shared" si="144"/>
        <v>#N/A</v>
      </c>
      <c r="AJ803" s="3" t="e">
        <f t="shared" si="145"/>
        <v>#N/A</v>
      </c>
      <c r="AK803" s="1">
        <f t="shared" si="152"/>
        <v>119.10000000000166</v>
      </c>
      <c r="AL803" s="1">
        <f t="shared" si="142"/>
        <v>4.3702677263528056</v>
      </c>
      <c r="AM803" s="1">
        <f t="shared" si="146"/>
        <v>5.4709532297807402E-5</v>
      </c>
      <c r="AN803" s="1">
        <f t="shared" si="147"/>
        <v>5.4709532297807402E-5</v>
      </c>
      <c r="AO803" s="1">
        <f t="shared" si="148"/>
        <v>5.4565745394259483E-5</v>
      </c>
      <c r="AP803" s="1">
        <f t="shared" si="143"/>
        <v>0.86818895760995951</v>
      </c>
      <c r="AQ803" s="1">
        <f t="shared" si="149"/>
        <v>0.10812202486443212</v>
      </c>
      <c r="AR803" s="1">
        <f t="shared" si="150"/>
        <v>0</v>
      </c>
      <c r="AS803" s="1">
        <f t="shared" si="151"/>
        <v>9.7800117102394807E-2</v>
      </c>
    </row>
    <row r="804" spans="35:45" ht="11.25" customHeight="1" x14ac:dyDescent="0.2">
      <c r="AI804" s="3" t="e">
        <f t="shared" si="144"/>
        <v>#N/A</v>
      </c>
      <c r="AJ804" s="3" t="e">
        <f t="shared" si="145"/>
        <v>#N/A</v>
      </c>
      <c r="AK804" s="1">
        <f t="shared" si="152"/>
        <v>119.25000000000166</v>
      </c>
      <c r="AL804" s="1">
        <f t="shared" si="142"/>
        <v>4.3797545593333105</v>
      </c>
      <c r="AM804" s="1">
        <f t="shared" si="146"/>
        <v>5.3169402915544724E-5</v>
      </c>
      <c r="AN804" s="1">
        <f t="shared" si="147"/>
        <v>5.3169402915544724E-5</v>
      </c>
      <c r="AO804" s="1">
        <f t="shared" si="148"/>
        <v>5.3029663760636539E-5</v>
      </c>
      <c r="AP804" s="1">
        <f t="shared" si="143"/>
        <v>0.87681335122860093</v>
      </c>
      <c r="AQ804" s="1">
        <f t="shared" si="149"/>
        <v>0.10730662986402351</v>
      </c>
      <c r="AR804" s="1">
        <f t="shared" si="150"/>
        <v>0</v>
      </c>
      <c r="AS804" s="1">
        <f t="shared" si="151"/>
        <v>9.706256407723958E-2</v>
      </c>
    </row>
    <row r="805" spans="35:45" ht="11.25" customHeight="1" x14ac:dyDescent="0.2">
      <c r="AI805" s="3" t="e">
        <f t="shared" si="144"/>
        <v>#N/A</v>
      </c>
      <c r="AJ805" s="3" t="e">
        <f t="shared" si="145"/>
        <v>#N/A</v>
      </c>
      <c r="AK805" s="1">
        <f t="shared" si="152"/>
        <v>119.40000000000167</v>
      </c>
      <c r="AL805" s="1">
        <f t="shared" si="142"/>
        <v>4.3892413923138163</v>
      </c>
      <c r="AM805" s="1">
        <f t="shared" si="146"/>
        <v>5.1671540734034901E-5</v>
      </c>
      <c r="AN805" s="1">
        <f t="shared" si="147"/>
        <v>5.1671540734034901E-5</v>
      </c>
      <c r="AO805" s="1">
        <f t="shared" si="148"/>
        <v>5.1535738241641911E-5</v>
      </c>
      <c r="AP805" s="1">
        <f t="shared" si="143"/>
        <v>0.88543774484724225</v>
      </c>
      <c r="AQ805" s="1">
        <f t="shared" si="149"/>
        <v>0.10648972509130772</v>
      </c>
      <c r="AR805" s="1">
        <f t="shared" si="150"/>
        <v>0</v>
      </c>
      <c r="AS805" s="1">
        <f t="shared" si="151"/>
        <v>9.6323645410730296E-2</v>
      </c>
    </row>
    <row r="806" spans="35:45" ht="11.25" customHeight="1" x14ac:dyDescent="0.2">
      <c r="AI806" s="3" t="e">
        <f t="shared" si="144"/>
        <v>#N/A</v>
      </c>
      <c r="AJ806" s="3" t="e">
        <f t="shared" si="145"/>
        <v>#N/A</v>
      </c>
      <c r="AK806" s="1">
        <f t="shared" si="152"/>
        <v>119.55000000000167</v>
      </c>
      <c r="AL806" s="1">
        <f t="shared" si="142"/>
        <v>4.3987282252943221</v>
      </c>
      <c r="AM806" s="1">
        <f t="shared" si="146"/>
        <v>5.0214824728347061E-5</v>
      </c>
      <c r="AN806" s="1">
        <f t="shared" si="147"/>
        <v>5.0214824728347061E-5</v>
      </c>
      <c r="AO806" s="1">
        <f t="shared" si="148"/>
        <v>5.0082850758608343E-5</v>
      </c>
      <c r="AP806" s="1">
        <f t="shared" si="143"/>
        <v>0.89406213846588367</v>
      </c>
      <c r="AQ806" s="1">
        <f t="shared" si="149"/>
        <v>0.10567144792306138</v>
      </c>
      <c r="AR806" s="1">
        <f t="shared" si="150"/>
        <v>0</v>
      </c>
      <c r="AS806" s="1">
        <f t="shared" si="151"/>
        <v>9.5583485364920492E-2</v>
      </c>
    </row>
    <row r="807" spans="35:45" ht="11.25" customHeight="1" x14ac:dyDescent="0.2">
      <c r="AI807" s="3" t="e">
        <f t="shared" si="144"/>
        <v>#N/A</v>
      </c>
      <c r="AJ807" s="3" t="e">
        <f t="shared" si="145"/>
        <v>#N/A</v>
      </c>
      <c r="AK807" s="1">
        <f t="shared" si="152"/>
        <v>119.70000000000168</v>
      </c>
      <c r="AL807" s="1">
        <f t="shared" si="142"/>
        <v>4.408215058274827</v>
      </c>
      <c r="AM807" s="1">
        <f t="shared" si="146"/>
        <v>4.879816225172905E-5</v>
      </c>
      <c r="AN807" s="1">
        <f t="shared" si="147"/>
        <v>4.879816225172905E-5</v>
      </c>
      <c r="AO807" s="1">
        <f t="shared" si="148"/>
        <v>4.8669911536464092E-5</v>
      </c>
      <c r="AP807" s="1">
        <f t="shared" si="143"/>
        <v>0.90268653208452498</v>
      </c>
      <c r="AQ807" s="1">
        <f t="shared" si="149"/>
        <v>0.10485193484788269</v>
      </c>
      <c r="AR807" s="1">
        <f t="shared" si="150"/>
        <v>0</v>
      </c>
      <c r="AS807" s="1">
        <f t="shared" si="151"/>
        <v>9.4842207398475514E-2</v>
      </c>
    </row>
    <row r="808" spans="35:45" ht="11.25" customHeight="1" x14ac:dyDescent="0.2">
      <c r="AI808" s="3" t="e">
        <f t="shared" si="144"/>
        <v>#N/A</v>
      </c>
      <c r="AJ808" s="3" t="e">
        <f t="shared" si="145"/>
        <v>#N/A</v>
      </c>
      <c r="AK808" s="1">
        <f t="shared" si="152"/>
        <v>119.85000000000169</v>
      </c>
      <c r="AL808" s="1">
        <f t="shared" si="142"/>
        <v>4.4177018912553327</v>
      </c>
      <c r="AM808" s="1">
        <f t="shared" si="146"/>
        <v>4.7420488336025971E-5</v>
      </c>
      <c r="AN808" s="1">
        <f t="shared" si="147"/>
        <v>4.7420488336025971E-5</v>
      </c>
      <c r="AO808" s="1">
        <f t="shared" si="148"/>
        <v>4.729585840599017E-5</v>
      </c>
      <c r="AP808" s="1">
        <f t="shared" si="143"/>
        <v>0.91131092570316641</v>
      </c>
      <c r="AQ808" s="1">
        <f t="shared" si="149"/>
        <v>0.10403132143066429</v>
      </c>
      <c r="AR808" s="1">
        <f t="shared" si="150"/>
        <v>0</v>
      </c>
      <c r="AS808" s="1">
        <f t="shared" si="151"/>
        <v>9.4099934134537072E-2</v>
      </c>
    </row>
    <row r="809" spans="35:45" ht="11.25" customHeight="1" x14ac:dyDescent="0.2">
      <c r="AI809" s="3" t="e">
        <f t="shared" si="144"/>
        <v>#N/A</v>
      </c>
      <c r="AJ809" s="3" t="e">
        <f t="shared" si="145"/>
        <v>#N/A</v>
      </c>
      <c r="AK809" s="1">
        <f t="shared" si="152"/>
        <v>120.00000000000169</v>
      </c>
      <c r="AL809" s="1">
        <f t="shared" si="142"/>
        <v>4.4271887242358385</v>
      </c>
      <c r="AM809" s="1">
        <f t="shared" si="146"/>
        <v>4.6080765072600751E-5</v>
      </c>
      <c r="AN809" s="1">
        <f t="shared" si="147"/>
        <v>4.6080765072600751E-5</v>
      </c>
      <c r="AO809" s="1">
        <f t="shared" si="148"/>
        <v>4.5959656186367888E-5</v>
      </c>
      <c r="AP809" s="1">
        <f t="shared" si="143"/>
        <v>0.91993531932180772</v>
      </c>
      <c r="AQ809" s="1">
        <f t="shared" si="149"/>
        <v>0.1032097422704048</v>
      </c>
      <c r="AR809" s="1">
        <f t="shared" si="150"/>
        <v>0</v>
      </c>
      <c r="AS809" s="1">
        <f t="shared" si="151"/>
        <v>9.3356787322562237E-2</v>
      </c>
    </row>
    <row r="810" spans="35:45" ht="11.25" customHeight="1" x14ac:dyDescent="0.2">
      <c r="AI810" s="3" t="e">
        <f t="shared" si="144"/>
        <v>#N/A</v>
      </c>
      <c r="AJ810" s="3" t="e">
        <f t="shared" si="145"/>
        <v>#N/A</v>
      </c>
      <c r="AK810" s="1">
        <f t="shared" si="152"/>
        <v>120.1500000000017</v>
      </c>
      <c r="AL810" s="1">
        <f t="shared" si="142"/>
        <v>4.4366755572163434</v>
      </c>
      <c r="AM810" s="1">
        <f t="shared" si="146"/>
        <v>4.4777980959915479E-5</v>
      </c>
      <c r="AN810" s="1">
        <f t="shared" si="147"/>
        <v>4.4777980959915479E-5</v>
      </c>
      <c r="AO810" s="1">
        <f t="shared" si="148"/>
        <v>4.4660296034474945E-5</v>
      </c>
      <c r="AP810" s="1">
        <f t="shared" si="143"/>
        <v>0.92855971294044903</v>
      </c>
      <c r="AQ810" s="1">
        <f t="shared" si="149"/>
        <v>0.10238733097800434</v>
      </c>
      <c r="AR810" s="1">
        <f t="shared" si="150"/>
        <v>0</v>
      </c>
      <c r="AS810" s="1">
        <f t="shared" si="151"/>
        <v>9.2612887818238815E-2</v>
      </c>
    </row>
    <row r="811" spans="35:45" ht="11.25" customHeight="1" x14ac:dyDescent="0.2">
      <c r="AI811" s="3" t="e">
        <f t="shared" si="144"/>
        <v>#N/A</v>
      </c>
      <c r="AJ811" s="3" t="e">
        <f t="shared" si="145"/>
        <v>#N/A</v>
      </c>
      <c r="AK811" s="1">
        <f t="shared" si="152"/>
        <v>120.3000000000017</v>
      </c>
      <c r="AL811" s="1">
        <f t="shared" si="142"/>
        <v>4.4461623901968492</v>
      </c>
      <c r="AM811" s="1">
        <f t="shared" si="146"/>
        <v>4.3511150251654852E-5</v>
      </c>
      <c r="AN811" s="1">
        <f t="shared" si="147"/>
        <v>4.3511150251654852E-5</v>
      </c>
      <c r="AO811" s="1">
        <f t="shared" si="148"/>
        <v>4.3396794794722084E-5</v>
      </c>
      <c r="AP811" s="1">
        <f t="shared" si="143"/>
        <v>0.93718410655909046</v>
      </c>
      <c r="AQ811" s="1">
        <f t="shared" si="149"/>
        <v>0.10156422017182365</v>
      </c>
      <c r="AR811" s="1">
        <f t="shared" si="150"/>
        <v>0</v>
      </c>
      <c r="AS811" s="1">
        <f t="shared" si="151"/>
        <v>9.1868355579468278E-2</v>
      </c>
    </row>
    <row r="812" spans="35:45" ht="11.25" customHeight="1" x14ac:dyDescent="0.2">
      <c r="AI812" s="3" t="e">
        <f t="shared" si="144"/>
        <v>#N/A</v>
      </c>
      <c r="AJ812" s="3" t="e">
        <f t="shared" si="145"/>
        <v>#N/A</v>
      </c>
      <c r="AK812" s="1">
        <f t="shared" si="152"/>
        <v>120.45000000000171</v>
      </c>
      <c r="AL812" s="1">
        <f t="shared" si="142"/>
        <v>4.455649223177355</v>
      </c>
      <c r="AM812" s="1">
        <f t="shared" si="146"/>
        <v>4.2279312388333185E-5</v>
      </c>
      <c r="AN812" s="1">
        <f t="shared" si="147"/>
        <v>4.2279312388333185E-5</v>
      </c>
      <c r="AO812" s="1">
        <f t="shared" si="148"/>
        <v>4.2168194432153964E-5</v>
      </c>
      <c r="AP812" s="1">
        <f t="shared" si="143"/>
        <v>0.94580850017773177</v>
      </c>
      <c r="AQ812" s="1">
        <f t="shared" si="149"/>
        <v>0.10074054136888222</v>
      </c>
      <c r="AR812" s="1">
        <f t="shared" si="150"/>
        <v>0</v>
      </c>
      <c r="AS812" s="1">
        <f t="shared" si="151"/>
        <v>9.1123309567950866E-2</v>
      </c>
    </row>
    <row r="813" spans="35:45" ht="11.25" customHeight="1" x14ac:dyDescent="0.2">
      <c r="AI813" s="3" t="e">
        <f t="shared" si="144"/>
        <v>#N/A</v>
      </c>
      <c r="AJ813" s="3" t="e">
        <f t="shared" si="145"/>
        <v>#N/A</v>
      </c>
      <c r="AK813" s="1">
        <f t="shared" si="152"/>
        <v>120.60000000000171</v>
      </c>
      <c r="AL813" s="1">
        <f t="shared" si="142"/>
        <v>4.4651360561578599</v>
      </c>
      <c r="AM813" s="1">
        <f t="shared" si="146"/>
        <v>4.1081531347044158E-5</v>
      </c>
      <c r="AN813" s="1">
        <f t="shared" si="147"/>
        <v>4.1081531347044158E-5</v>
      </c>
      <c r="AO813" s="1">
        <f t="shared" si="148"/>
        <v>4.0973561383907861E-5</v>
      </c>
      <c r="AP813" s="1">
        <f t="shared" si="143"/>
        <v>0.95443289379637319</v>
      </c>
      <c r="AQ813" s="1">
        <f t="shared" si="149"/>
        <v>9.9916425018165E-2</v>
      </c>
      <c r="AR813" s="1">
        <f t="shared" si="150"/>
        <v>0</v>
      </c>
      <c r="AS813" s="1">
        <f t="shared" si="151"/>
        <v>9.0377867779312518E-2</v>
      </c>
    </row>
    <row r="814" spans="35:45" ht="11.25" customHeight="1" x14ac:dyDescent="0.2">
      <c r="AI814" s="3" t="e">
        <f t="shared" si="144"/>
        <v>#N/A</v>
      </c>
      <c r="AJ814" s="3" t="e">
        <f t="shared" si="145"/>
        <v>#N/A</v>
      </c>
      <c r="AK814" s="1">
        <f t="shared" si="152"/>
        <v>120.75000000000172</v>
      </c>
      <c r="AL814" s="1">
        <f t="shared" si="142"/>
        <v>4.4746228891383657</v>
      </c>
      <c r="AM814" s="1">
        <f t="shared" si="146"/>
        <v>3.9916895056804798E-5</v>
      </c>
      <c r="AN814" s="1">
        <f t="shared" si="147"/>
        <v>3.9916895056804798E-5</v>
      </c>
      <c r="AO814" s="1">
        <f t="shared" si="148"/>
        <v>3.9811985976094283E-5</v>
      </c>
      <c r="AP814" s="1">
        <f t="shared" si="143"/>
        <v>0.96305728741501451</v>
      </c>
      <c r="AQ814" s="1">
        <f t="shared" si="149"/>
        <v>9.9092000465095254E-2</v>
      </c>
      <c r="AR814" s="1">
        <f t="shared" si="150"/>
        <v>0</v>
      </c>
      <c r="AS814" s="1">
        <f t="shared" si="151"/>
        <v>8.9632147210969418E-2</v>
      </c>
    </row>
    <row r="815" spans="35:45" ht="11.25" customHeight="1" x14ac:dyDescent="0.2">
      <c r="AI815" s="3" t="e">
        <f t="shared" si="144"/>
        <v>#N/A</v>
      </c>
      <c r="AJ815" s="3" t="e">
        <f t="shared" si="145"/>
        <v>#N/A</v>
      </c>
      <c r="AK815" s="1">
        <f t="shared" si="152"/>
        <v>120.90000000000173</v>
      </c>
      <c r="AL815" s="1">
        <f t="shared" si="142"/>
        <v>4.4841097221188715</v>
      </c>
      <c r="AM815" s="1">
        <f t="shared" si="146"/>
        <v>3.8784514856183335E-5</v>
      </c>
      <c r="AN815" s="1">
        <f t="shared" si="147"/>
        <v>3.8784514856183335E-5</v>
      </c>
      <c r="AO815" s="1">
        <f t="shared" si="148"/>
        <v>3.8682581882850233E-5</v>
      </c>
      <c r="AP815" s="1">
        <f t="shared" si="143"/>
        <v>0.97168168103365593</v>
      </c>
      <c r="AQ815" s="1">
        <f t="shared" si="149"/>
        <v>9.8267395887141618E-2</v>
      </c>
      <c r="AR815" s="1">
        <f t="shared" si="150"/>
        <v>0</v>
      </c>
      <c r="AS815" s="1">
        <f t="shared" si="151"/>
        <v>8.8886263803882343E-2</v>
      </c>
    </row>
    <row r="816" spans="35:45" ht="11.25" customHeight="1" x14ac:dyDescent="0.2">
      <c r="AI816" s="3" t="e">
        <f t="shared" si="144"/>
        <v>#N/A</v>
      </c>
      <c r="AJ816" s="3" t="e">
        <f t="shared" si="145"/>
        <v>#N/A</v>
      </c>
      <c r="AK816" s="1">
        <f t="shared" si="152"/>
        <v>121.05000000000173</v>
      </c>
      <c r="AL816" s="1">
        <f t="shared" si="142"/>
        <v>4.4935965550993764</v>
      </c>
      <c r="AM816" s="1">
        <f t="shared" si="146"/>
        <v>3.768352490200245E-5</v>
      </c>
      <c r="AN816" s="1">
        <f t="shared" si="147"/>
        <v>3.768352490200245E-5</v>
      </c>
      <c r="AO816" s="1">
        <f t="shared" si="148"/>
        <v>3.7584485536596529E-5</v>
      </c>
      <c r="AP816" s="1">
        <f t="shared" si="143"/>
        <v>0.98030607465229724</v>
      </c>
      <c r="AQ816" s="1">
        <f t="shared" si="149"/>
        <v>9.7442738280495433E-2</v>
      </c>
      <c r="AR816" s="1">
        <f t="shared" si="150"/>
        <v>0</v>
      </c>
      <c r="AS816" s="1">
        <f t="shared" si="151"/>
        <v>8.8140332430505813E-2</v>
      </c>
    </row>
    <row r="817" spans="35:45" ht="11.25" customHeight="1" x14ac:dyDescent="0.2">
      <c r="AI817" s="3" t="e">
        <f t="shared" si="144"/>
        <v>#N/A</v>
      </c>
      <c r="AJ817" s="3" t="e">
        <f t="shared" si="145"/>
        <v>#N/A</v>
      </c>
      <c r="AK817" s="1">
        <f t="shared" si="152"/>
        <v>121.20000000000174</v>
      </c>
      <c r="AL817" s="1">
        <f t="shared" si="142"/>
        <v>4.5030833880798822</v>
      </c>
      <c r="AM817" s="1">
        <f t="shared" si="146"/>
        <v>3.6613081612736978E-5</v>
      </c>
      <c r="AN817" s="1">
        <f t="shared" si="147"/>
        <v>3.6613081612736978E-5</v>
      </c>
      <c r="AO817" s="1">
        <f t="shared" si="148"/>
        <v>3.651685557289833E-5</v>
      </c>
      <c r="AP817" s="1">
        <f t="shared" si="143"/>
        <v>0.98893046827093867</v>
      </c>
      <c r="AQ817" s="1">
        <f t="shared" si="149"/>
        <v>9.6618153444527621E-2</v>
      </c>
      <c r="AR817" s="1">
        <f t="shared" si="150"/>
        <v>0</v>
      </c>
      <c r="AS817" s="1">
        <f t="shared" si="151"/>
        <v>8.7394466880728813E-2</v>
      </c>
    </row>
    <row r="818" spans="35:45" ht="11.25" customHeight="1" x14ac:dyDescent="0.2">
      <c r="AI818" s="3" t="e">
        <f t="shared" si="144"/>
        <v>#N/A</v>
      </c>
      <c r="AJ818" s="3" t="e">
        <f t="shared" si="145"/>
        <v>#N/A</v>
      </c>
      <c r="AK818" s="1">
        <f t="shared" si="152"/>
        <v>121.35000000000174</v>
      </c>
      <c r="AL818" s="1">
        <f t="shared" si="142"/>
        <v>4.512570221060388</v>
      </c>
      <c r="AM818" s="1">
        <f t="shared" si="146"/>
        <v>3.5572363161649391E-5</v>
      </c>
      <c r="AN818" s="1">
        <f t="shared" si="147"/>
        <v>3.5572363161649391E-5</v>
      </c>
      <c r="AO818" s="1">
        <f t="shared" si="148"/>
        <v>3.5478872324932796E-5</v>
      </c>
      <c r="AP818" s="1">
        <f t="shared" si="143"/>
        <v>0.99755486188957998</v>
      </c>
      <c r="AQ818" s="1">
        <f t="shared" si="149"/>
        <v>9.5793765935159314E-2</v>
      </c>
      <c r="AR818" s="1">
        <f t="shared" si="150"/>
        <v>0</v>
      </c>
      <c r="AS818" s="1">
        <f t="shared" si="151"/>
        <v>8.6648779819696958E-2</v>
      </c>
    </row>
    <row r="819" spans="35:45" ht="11.25" customHeight="1" x14ac:dyDescent="0.2">
      <c r="AI819" s="3" t="e">
        <f t="shared" si="144"/>
        <v>#N/A</v>
      </c>
      <c r="AJ819" s="3" t="e">
        <f t="shared" si="145"/>
        <v>#N/A</v>
      </c>
      <c r="AK819" s="1">
        <f t="shared" si="152"/>
        <v>121.50000000000175</v>
      </c>
      <c r="AL819" s="1">
        <f t="shared" si="142"/>
        <v>4.5220570540408929</v>
      </c>
      <c r="AM819" s="1">
        <f t="shared" si="146"/>
        <v>3.4560568894302205E-5</v>
      </c>
      <c r="AN819" s="1">
        <f t="shared" si="147"/>
        <v>3.4560568894302205E-5</v>
      </c>
      <c r="AO819" s="1">
        <f t="shared" si="148"/>
        <v>3.4469737242532347E-5</v>
      </c>
      <c r="AP819" s="1">
        <f t="shared" si="143"/>
        <v>1.0061792555082214</v>
      </c>
      <c r="AQ819" s="1">
        <f t="shared" si="149"/>
        <v>9.4969699080404979E-2</v>
      </c>
      <c r="AR819" s="1">
        <f t="shared" si="150"/>
        <v>0</v>
      </c>
      <c r="AS819" s="1">
        <f t="shared" si="151"/>
        <v>8.5903382801871708E-2</v>
      </c>
    </row>
    <row r="820" spans="35:45" ht="11.25" customHeight="1" x14ac:dyDescent="0.2">
      <c r="AI820" s="3" t="e">
        <f t="shared" si="144"/>
        <v>#N/A</v>
      </c>
      <c r="AJ820" s="3" t="e">
        <f t="shared" si="145"/>
        <v>#N/A</v>
      </c>
      <c r="AK820" s="1">
        <f t="shared" si="152"/>
        <v>121.65000000000175</v>
      </c>
      <c r="AL820" s="1">
        <f t="shared" si="142"/>
        <v>4.5315438870213987</v>
      </c>
      <c r="AM820" s="1">
        <f t="shared" si="146"/>
        <v>3.3576918882815322E-5</v>
      </c>
      <c r="AN820" s="1">
        <f t="shared" si="147"/>
        <v>3.3576918882815322E-5</v>
      </c>
      <c r="AO820" s="1">
        <f t="shared" si="148"/>
        <v>3.3488672447613518E-5</v>
      </c>
      <c r="AP820" s="1">
        <f t="shared" si="143"/>
        <v>1.0148036491268626</v>
      </c>
      <c r="AQ820" s="1">
        <f t="shared" si="149"/>
        <v>9.4146074842704763E-2</v>
      </c>
      <c r="AR820" s="1">
        <f t="shared" si="150"/>
        <v>0</v>
      </c>
      <c r="AS820" s="1">
        <f t="shared" si="151"/>
        <v>8.5158386146505241E-2</v>
      </c>
    </row>
    <row r="821" spans="35:45" ht="11.25" customHeight="1" x14ac:dyDescent="0.2">
      <c r="AI821" s="3" t="e">
        <f t="shared" si="144"/>
        <v>#N/A</v>
      </c>
      <c r="AJ821" s="3" t="e">
        <f t="shared" si="145"/>
        <v>#N/A</v>
      </c>
      <c r="AK821" s="1">
        <f t="shared" si="152"/>
        <v>121.80000000000176</v>
      </c>
      <c r="AL821" s="1">
        <f t="shared" si="142"/>
        <v>4.5410307200019044</v>
      </c>
      <c r="AM821" s="1">
        <f t="shared" si="146"/>
        <v>3.262065334324292E-5</v>
      </c>
      <c r="AN821" s="1">
        <f t="shared" si="147"/>
        <v>3.262065334324292E-5</v>
      </c>
      <c r="AO821" s="1">
        <f t="shared" si="148"/>
        <v>3.2534920153085071E-5</v>
      </c>
      <c r="AP821" s="1">
        <f t="shared" si="143"/>
        <v>1.023428042745504</v>
      </c>
      <c r="AQ821" s="1">
        <f t="shared" si="149"/>
        <v>9.3323013936608135E-2</v>
      </c>
      <c r="AR821" s="1">
        <f t="shared" si="150"/>
        <v>0</v>
      </c>
      <c r="AS821" s="1">
        <f t="shared" si="151"/>
        <v>8.4413899044089399E-2</v>
      </c>
    </row>
    <row r="822" spans="35:45" ht="11.25" customHeight="1" x14ac:dyDescent="0.2">
      <c r="AI822" s="3" t="e">
        <f t="shared" si="144"/>
        <v>#N/A</v>
      </c>
      <c r="AJ822" s="3" t="e">
        <f t="shared" si="145"/>
        <v>#N/A</v>
      </c>
      <c r="AK822" s="1">
        <f t="shared" si="152"/>
        <v>121.95000000000176</v>
      </c>
      <c r="AL822" s="1">
        <f t="shared" si="142"/>
        <v>4.5505175529824093</v>
      </c>
      <c r="AM822" s="1">
        <f t="shared" si="146"/>
        <v>3.1691032222898969E-5</v>
      </c>
      <c r="AN822" s="1">
        <f t="shared" si="147"/>
        <v>3.1691032222898969E-5</v>
      </c>
      <c r="AO822" s="1">
        <f t="shared" si="148"/>
        <v>3.1607742251258128E-5</v>
      </c>
      <c r="AP822" s="1">
        <f t="shared" si="143"/>
        <v>1.0320524363641455</v>
      </c>
      <c r="AQ822" s="1">
        <f t="shared" si="149"/>
        <v>9.2500635723302693E-2</v>
      </c>
      <c r="AR822" s="1">
        <f t="shared" si="150"/>
        <v>0</v>
      </c>
      <c r="AS822" s="1">
        <f t="shared" si="151"/>
        <v>8.3670029460953366E-2</v>
      </c>
    </row>
    <row r="823" spans="35:45" ht="11.25" customHeight="1" x14ac:dyDescent="0.2">
      <c r="AI823" s="3" t="e">
        <f t="shared" si="144"/>
        <v>#N/A</v>
      </c>
      <c r="AJ823" s="3" t="e">
        <f t="shared" si="145"/>
        <v>#N/A</v>
      </c>
      <c r="AK823" s="1">
        <f t="shared" si="152"/>
        <v>122.10000000000177</v>
      </c>
      <c r="AL823" s="1">
        <f t="shared" si="142"/>
        <v>4.5600043859629151</v>
      </c>
      <c r="AM823" s="1">
        <f t="shared" si="146"/>
        <v>3.0787334650124671E-5</v>
      </c>
      <c r="AN823" s="1">
        <f t="shared" si="147"/>
        <v>3.0787334650124671E-5</v>
      </c>
      <c r="AO823" s="1">
        <f t="shared" si="148"/>
        <v>3.0706419765059707E-5</v>
      </c>
      <c r="AP823" s="1">
        <f t="shared" si="143"/>
        <v>1.0406768299827869</v>
      </c>
      <c r="AQ823" s="1">
        <f t="shared" si="149"/>
        <v>9.1679058176197259E-2</v>
      </c>
      <c r="AR823" s="1">
        <f t="shared" si="150"/>
        <v>0</v>
      </c>
      <c r="AS823" s="1">
        <f t="shared" si="151"/>
        <v>8.2926884108132259E-2</v>
      </c>
    </row>
    <row r="824" spans="35:45" ht="11.25" customHeight="1" x14ac:dyDescent="0.2">
      <c r="AI824" s="3" t="e">
        <f t="shared" si="144"/>
        <v>#N/A</v>
      </c>
      <c r="AJ824" s="3" t="e">
        <f t="shared" si="145"/>
        <v>#N/A</v>
      </c>
      <c r="AK824" s="1">
        <f t="shared" si="152"/>
        <v>122.25000000000178</v>
      </c>
      <c r="AL824" s="1">
        <f t="shared" si="142"/>
        <v>4.5694912189434209</v>
      </c>
      <c r="AM824" s="1">
        <f t="shared" si="146"/>
        <v>2.9908858509145649E-5</v>
      </c>
      <c r="AN824" s="1">
        <f t="shared" si="147"/>
        <v>2.9908858509145649E-5</v>
      </c>
      <c r="AO824" s="1">
        <f t="shared" si="148"/>
        <v>2.9830252424007261E-5</v>
      </c>
      <c r="AP824" s="1">
        <f t="shared" si="143"/>
        <v>1.0493012236014281</v>
      </c>
      <c r="AQ824" s="1">
        <f t="shared" si="149"/>
        <v>9.0858397974180605E-2</v>
      </c>
      <c r="AR824" s="1">
        <f t="shared" si="150"/>
        <v>0</v>
      </c>
      <c r="AS824" s="1">
        <f t="shared" si="151"/>
        <v>8.2184568525723062E-2</v>
      </c>
    </row>
    <row r="825" spans="35:45" ht="11.25" customHeight="1" x14ac:dyDescent="0.2">
      <c r="AI825" s="3" t="e">
        <f t="shared" si="144"/>
        <v>#N/A</v>
      </c>
      <c r="AJ825" s="3" t="e">
        <f t="shared" si="145"/>
        <v>#N/A</v>
      </c>
      <c r="AK825" s="1">
        <f t="shared" si="152"/>
        <v>122.40000000000178</v>
      </c>
      <c r="AL825" s="1">
        <f t="shared" si="142"/>
        <v>4.5789780519239258</v>
      </c>
      <c r="AM825" s="1">
        <f t="shared" si="146"/>
        <v>2.9054919945675772E-5</v>
      </c>
      <c r="AN825" s="1">
        <f t="shared" si="147"/>
        <v>2.9054919945675772E-5</v>
      </c>
      <c r="AO825" s="1">
        <f t="shared" si="148"/>
        <v>2.8978558171111876E-5</v>
      </c>
      <c r="AP825" s="1">
        <f t="shared" si="143"/>
        <v>1.0579256172200695</v>
      </c>
      <c r="AQ825" s="1">
        <f t="shared" si="149"/>
        <v>9.0038770244049715E-2</v>
      </c>
      <c r="AR825" s="1">
        <f t="shared" si="150"/>
        <v>0</v>
      </c>
      <c r="AS825" s="1">
        <f t="shared" si="151"/>
        <v>8.1443186849901886E-2</v>
      </c>
    </row>
    <row r="826" spans="35:45" ht="11.25" customHeight="1" x14ac:dyDescent="0.2">
      <c r="AI826" s="3" t="e">
        <f t="shared" si="144"/>
        <v>#N/A</v>
      </c>
      <c r="AJ826" s="3" t="e">
        <f t="shared" si="145"/>
        <v>#N/A</v>
      </c>
      <c r="AK826" s="1">
        <f t="shared" si="152"/>
        <v>122.55000000000179</v>
      </c>
      <c r="AL826" s="1">
        <f t="shared" si="142"/>
        <v>4.5884648849044316</v>
      </c>
      <c r="AM826" s="1">
        <f t="shared" si="146"/>
        <v>2.822485295071904E-5</v>
      </c>
      <c r="AN826" s="1">
        <f t="shared" si="147"/>
        <v>2.822485295071904E-5</v>
      </c>
      <c r="AO826" s="1">
        <f t="shared" si="148"/>
        <v>2.8150672747774006E-5</v>
      </c>
      <c r="AP826" s="1">
        <f t="shared" si="143"/>
        <v>1.0665500108387109</v>
      </c>
      <c r="AQ826" s="1">
        <f t="shared" si="149"/>
        <v>8.9220288769231715E-2</v>
      </c>
      <c r="AR826" s="1">
        <f t="shared" si="150"/>
        <v>0</v>
      </c>
      <c r="AS826" s="1">
        <f t="shared" si="151"/>
        <v>8.0702842001720315E-2</v>
      </c>
    </row>
    <row r="827" spans="35:45" ht="11.25" customHeight="1" x14ac:dyDescent="0.2">
      <c r="AI827" s="3" t="e">
        <f t="shared" si="144"/>
        <v>#N/A</v>
      </c>
      <c r="AJ827" s="3" t="e">
        <f t="shared" si="145"/>
        <v>#N/A</v>
      </c>
      <c r="AK827" s="1">
        <f t="shared" si="152"/>
        <v>122.70000000000179</v>
      </c>
      <c r="AL827" s="1">
        <f t="shared" si="142"/>
        <v>4.5979517178849374</v>
      </c>
      <c r="AM827" s="1">
        <f t="shared" si="146"/>
        <v>2.7418008893549499E-5</v>
      </c>
      <c r="AN827" s="1">
        <f t="shared" si="147"/>
        <v>2.7418008893549499E-5</v>
      </c>
      <c r="AO827" s="1">
        <f t="shared" si="148"/>
        <v>2.7345949227990803E-5</v>
      </c>
      <c r="AP827" s="1">
        <f t="shared" si="143"/>
        <v>1.0751744044573524</v>
      </c>
      <c r="AQ827" s="1">
        <f t="shared" si="149"/>
        <v>8.8403065844344653E-2</v>
      </c>
      <c r="AR827" s="1">
        <f t="shared" si="150"/>
        <v>0</v>
      </c>
      <c r="AS827" s="1">
        <f t="shared" si="151"/>
        <v>7.9963635555550555E-2</v>
      </c>
    </row>
    <row r="828" spans="35:45" ht="11.25" customHeight="1" x14ac:dyDescent="0.2">
      <c r="AI828" s="3" t="e">
        <f t="shared" si="144"/>
        <v>#N/A</v>
      </c>
      <c r="AJ828" s="3" t="e">
        <f t="shared" si="145"/>
        <v>#N/A</v>
      </c>
      <c r="AK828" s="1">
        <f t="shared" si="152"/>
        <v>122.8500000000018</v>
      </c>
      <c r="AL828" s="1">
        <f t="shared" si="142"/>
        <v>4.6074385508654423</v>
      </c>
      <c r="AM828" s="1">
        <f t="shared" si="146"/>
        <v>2.6633756099821073E-5</v>
      </c>
      <c r="AN828" s="1">
        <f t="shared" si="147"/>
        <v>2.6633756099821073E-5</v>
      </c>
      <c r="AO828" s="1">
        <f t="shared" si="148"/>
        <v>2.6563757597574745E-5</v>
      </c>
      <c r="AP828" s="1">
        <f t="shared" si="143"/>
        <v>1.0837987980759936</v>
      </c>
      <c r="AQ828" s="1">
        <f t="shared" si="149"/>
        <v>8.758721234070066E-2</v>
      </c>
      <c r="AR828" s="1">
        <f t="shared" si="150"/>
        <v>0</v>
      </c>
      <c r="AS828" s="1">
        <f t="shared" si="151"/>
        <v>7.9225667798335259E-2</v>
      </c>
    </row>
    <row r="829" spans="35:45" ht="11.25" customHeight="1" x14ac:dyDescent="0.2">
      <c r="AI829" s="3" t="e">
        <f t="shared" si="144"/>
        <v>#N/A</v>
      </c>
      <c r="AJ829" s="3" t="e">
        <f t="shared" si="145"/>
        <v>#N/A</v>
      </c>
      <c r="AK829" s="1">
        <f t="shared" si="152"/>
        <v>123.0000000000018</v>
      </c>
      <c r="AL829" s="1">
        <f t="shared" si="142"/>
        <v>4.6169253838459481</v>
      </c>
      <c r="AM829" s="1">
        <f t="shared" si="146"/>
        <v>2.5871479430219493E-5</v>
      </c>
      <c r="AN829" s="1">
        <f t="shared" si="147"/>
        <v>2.5871479430219493E-5</v>
      </c>
      <c r="AO829" s="1">
        <f t="shared" si="148"/>
        <v>2.5803484333912959E-5</v>
      </c>
      <c r="AP829" s="1">
        <f t="shared" si="143"/>
        <v>1.092423191694635</v>
      </c>
      <c r="AQ829" s="1">
        <f t="shared" si="149"/>
        <v>8.6772837653015245E-2</v>
      </c>
      <c r="AR829" s="1">
        <f t="shared" si="150"/>
        <v>0</v>
      </c>
      <c r="AS829" s="1">
        <f t="shared" si="151"/>
        <v>7.8489037681384308E-2</v>
      </c>
    </row>
    <row r="830" spans="35:45" ht="11.25" customHeight="1" x14ac:dyDescent="0.2">
      <c r="AI830" s="3" t="e">
        <f t="shared" si="144"/>
        <v>#N/A</v>
      </c>
      <c r="AJ830" s="3" t="e">
        <f t="shared" si="145"/>
        <v>#N/A</v>
      </c>
      <c r="AK830" s="1">
        <f t="shared" si="152"/>
        <v>123.15000000000181</v>
      </c>
      <c r="AL830" s="1">
        <f t="shared" si="142"/>
        <v>4.6264122168264539</v>
      </c>
      <c r="AM830" s="1">
        <f t="shared" si="146"/>
        <v>2.5130579887574535E-5</v>
      </c>
      <c r="AN830" s="1">
        <f t="shared" si="147"/>
        <v>2.5130579887574535E-5</v>
      </c>
      <c r="AO830" s="1">
        <f t="shared" si="148"/>
        <v>2.5064532014112038E-5</v>
      </c>
      <c r="AP830" s="1">
        <f t="shared" si="143"/>
        <v>1.1010475853132764</v>
      </c>
      <c r="AQ830" s="1">
        <f t="shared" si="149"/>
        <v>8.5960049646116587E-2</v>
      </c>
      <c r="AR830" s="1">
        <f t="shared" si="150"/>
        <v>0</v>
      </c>
      <c r="AS830" s="1">
        <f t="shared" si="151"/>
        <v>7.7753842772171497E-2</v>
      </c>
    </row>
    <row r="831" spans="35:45" ht="11.25" customHeight="1" x14ac:dyDescent="0.2">
      <c r="AI831" s="3" t="e">
        <f t="shared" si="144"/>
        <v>#N/A</v>
      </c>
      <c r="AJ831" s="3" t="e">
        <f t="shared" si="145"/>
        <v>#N/A</v>
      </c>
      <c r="AK831" s="1">
        <f t="shared" si="152"/>
        <v>123.30000000000182</v>
      </c>
      <c r="AL831" s="1">
        <f t="shared" si="142"/>
        <v>4.6358990498069588</v>
      </c>
      <c r="AM831" s="1">
        <f t="shared" si="146"/>
        <v>2.4410474184669928E-5</v>
      </c>
      <c r="AN831" s="1">
        <f t="shared" si="147"/>
        <v>2.4410474184669928E-5</v>
      </c>
      <c r="AO831" s="1">
        <f t="shared" si="148"/>
        <v>2.4346318883943828E-5</v>
      </c>
      <c r="AP831" s="1">
        <f t="shared" si="143"/>
        <v>1.1096719789319176</v>
      </c>
      <c r="AQ831" s="1">
        <f t="shared" si="149"/>
        <v>8.5148954532821008E-2</v>
      </c>
      <c r="AR831" s="1">
        <f t="shared" si="150"/>
        <v>0</v>
      </c>
      <c r="AS831" s="1">
        <f t="shared" si="151"/>
        <v>7.7020179143868675E-2</v>
      </c>
    </row>
    <row r="832" spans="35:45" ht="11.25" customHeight="1" x14ac:dyDescent="0.2">
      <c r="AI832" s="3" t="e">
        <f t="shared" si="144"/>
        <v>#N/A</v>
      </c>
      <c r="AJ832" s="3" t="e">
        <f t="shared" si="145"/>
        <v>#N/A</v>
      </c>
      <c r="AK832" s="1">
        <f t="shared" si="152"/>
        <v>123.45000000000182</v>
      </c>
      <c r="AL832" s="1">
        <f t="shared" si="142"/>
        <v>4.6453858827874646</v>
      </c>
      <c r="AM832" s="1">
        <f t="shared" si="146"/>
        <v>2.37105943787317E-5</v>
      </c>
      <c r="AN832" s="1">
        <f t="shared" si="147"/>
        <v>2.37105943787317E-5</v>
      </c>
      <c r="AO832" s="1">
        <f t="shared" si="148"/>
        <v>2.3648278493294399E-5</v>
      </c>
      <c r="AP832" s="1">
        <f t="shared" si="143"/>
        <v>1.118296372550559</v>
      </c>
      <c r="AQ832" s="1">
        <f t="shared" si="149"/>
        <v>8.4339657218102104E-2</v>
      </c>
      <c r="AR832" s="1">
        <f t="shared" si="150"/>
        <v>0</v>
      </c>
      <c r="AS832" s="1">
        <f t="shared" si="151"/>
        <v>7.6288141686658609E-2</v>
      </c>
    </row>
    <row r="833" spans="35:45" ht="11.25" customHeight="1" x14ac:dyDescent="0.2">
      <c r="AI833" s="3" t="e">
        <f t="shared" si="144"/>
        <v>#N/A</v>
      </c>
      <c r="AJ833" s="3" t="e">
        <f t="shared" si="145"/>
        <v>#N/A</v>
      </c>
      <c r="AK833" s="1">
        <f t="shared" si="152"/>
        <v>123.60000000000183</v>
      </c>
      <c r="AL833" s="1">
        <f t="shared" si="142"/>
        <v>4.6548727157679703</v>
      </c>
      <c r="AM833" s="1">
        <f t="shared" si="146"/>
        <v>2.30303874602445E-5</v>
      </c>
      <c r="AN833" s="1">
        <f t="shared" si="147"/>
        <v>2.30303874602445E-5</v>
      </c>
      <c r="AO833" s="1">
        <f t="shared" si="148"/>
        <v>2.2969859286061041E-5</v>
      </c>
      <c r="AP833" s="1">
        <f t="shared" si="143"/>
        <v>1.1269207661692004</v>
      </c>
      <c r="AQ833" s="1">
        <f t="shared" si="149"/>
        <v>8.3532260879426445E-2</v>
      </c>
      <c r="AR833" s="1">
        <f t="shared" si="150"/>
        <v>0</v>
      </c>
      <c r="AS833" s="1">
        <f t="shared" si="151"/>
        <v>7.5557823728134133E-2</v>
      </c>
    </row>
    <row r="834" spans="35:45" ht="11.25" customHeight="1" x14ac:dyDescent="0.2">
      <c r="AI834" s="3" t="e">
        <f t="shared" si="144"/>
        <v>#N/A</v>
      </c>
      <c r="AJ834" s="3" t="e">
        <f t="shared" si="145"/>
        <v>#N/A</v>
      </c>
      <c r="AK834" s="1">
        <f t="shared" si="152"/>
        <v>123.75000000000183</v>
      </c>
      <c r="AL834" s="1">
        <f t="shared" si="142"/>
        <v>4.6643595487484752</v>
      </c>
      <c r="AM834" s="1">
        <f t="shared" si="146"/>
        <v>2.2369315029181725E-5</v>
      </c>
      <c r="AN834" s="1">
        <f t="shared" si="147"/>
        <v>2.2369315029181725E-5</v>
      </c>
      <c r="AO834" s="1">
        <f t="shared" si="148"/>
        <v>2.2310524277233316E-5</v>
      </c>
      <c r="AP834" s="1">
        <f t="shared" si="143"/>
        <v>1.1355451597878419</v>
      </c>
      <c r="AQ834" s="1">
        <f t="shared" si="149"/>
        <v>8.2726867175475505E-2</v>
      </c>
      <c r="AR834" s="1">
        <f t="shared" si="150"/>
        <v>0</v>
      </c>
      <c r="AS834" s="1">
        <f t="shared" si="151"/>
        <v>7.4829317222094363E-2</v>
      </c>
    </row>
    <row r="835" spans="35:45" ht="11.25" customHeight="1" x14ac:dyDescent="0.2">
      <c r="AI835" s="3" t="e">
        <f t="shared" si="144"/>
        <v>#N/A</v>
      </c>
      <c r="AJ835" s="3" t="e">
        <f t="shared" si="145"/>
        <v>#N/A</v>
      </c>
      <c r="AK835" s="1">
        <f t="shared" si="152"/>
        <v>123.90000000000184</v>
      </c>
      <c r="AL835" s="1">
        <f t="shared" si="142"/>
        <v>4.673846381728981</v>
      </c>
      <c r="AM835" s="1">
        <f t="shared" si="146"/>
        <v>2.1726852865254888E-5</v>
      </c>
      <c r="AN835" s="1">
        <f t="shared" si="147"/>
        <v>2.1726852865254888E-5</v>
      </c>
      <c r="AO835" s="1">
        <f t="shared" si="148"/>
        <v>2.1669750624271895E-5</v>
      </c>
      <c r="AP835" s="1">
        <f t="shared" si="143"/>
        <v>1.1441695534064831</v>
      </c>
      <c r="AQ835" s="1">
        <f t="shared" si="149"/>
        <v>8.1923576178422053E-2</v>
      </c>
      <c r="AR835" s="1">
        <f t="shared" si="150"/>
        <v>0</v>
      </c>
      <c r="AS835" s="1">
        <f t="shared" si="151"/>
        <v>7.4102712687286285E-2</v>
      </c>
    </row>
    <row r="836" spans="35:45" ht="11.25" customHeight="1" x14ac:dyDescent="0.2">
      <c r="AI836" s="3" t="e">
        <f t="shared" si="144"/>
        <v>#N/A</v>
      </c>
      <c r="AJ836" s="3" t="e">
        <f t="shared" si="145"/>
        <v>#N/A</v>
      </c>
      <c r="AK836" s="1">
        <f t="shared" si="152"/>
        <v>124.05000000000184</v>
      </c>
      <c r="AL836" s="1">
        <f t="shared" si="142"/>
        <v>4.6833332147094868</v>
      </c>
      <c r="AM836" s="1">
        <f t="shared" si="146"/>
        <v>2.1102490623117276E-5</v>
      </c>
      <c r="AN836" s="1">
        <f t="shared" si="147"/>
        <v>2.1102490623117276E-5</v>
      </c>
      <c r="AO836" s="1">
        <f t="shared" si="148"/>
        <v>2.104702932311328E-5</v>
      </c>
      <c r="AP836" s="1">
        <f t="shared" si="143"/>
        <v>1.1527939470251245</v>
      </c>
      <c r="AQ836" s="1">
        <f t="shared" si="149"/>
        <v>8.1122486388363058E-2</v>
      </c>
      <c r="AR836" s="1">
        <f t="shared" si="150"/>
        <v>0</v>
      </c>
      <c r="AS836" s="1">
        <f t="shared" si="151"/>
        <v>7.337809922045993E-2</v>
      </c>
    </row>
    <row r="837" spans="35:45" ht="11.25" customHeight="1" x14ac:dyDescent="0.2">
      <c r="AI837" s="3" t="e">
        <f t="shared" si="144"/>
        <v>#N/A</v>
      </c>
      <c r="AJ837" s="3" t="e">
        <f t="shared" si="145"/>
        <v>#N/A</v>
      </c>
      <c r="AK837" s="1">
        <f t="shared" si="152"/>
        <v>124.20000000000185</v>
      </c>
      <c r="AL837" s="1">
        <f t="shared" si="142"/>
        <v>4.6928200476899917</v>
      </c>
      <c r="AM837" s="1">
        <f t="shared" si="146"/>
        <v>2.049573146021156E-5</v>
      </c>
      <c r="AN837" s="1">
        <f t="shared" si="147"/>
        <v>2.049573146021156E-5</v>
      </c>
      <c r="AO837" s="1">
        <f t="shared" si="148"/>
        <v>2.0441864836995488E-5</v>
      </c>
      <c r="AP837" s="1">
        <f t="shared" si="143"/>
        <v>1.1614183406437659</v>
      </c>
      <c r="AQ837" s="1">
        <f t="shared" si="149"/>
        <v>8.0323694683359648E-2</v>
      </c>
      <c r="AR837" s="1">
        <f t="shared" si="150"/>
        <v>0</v>
      </c>
      <c r="AS837" s="1">
        <f t="shared" si="151"/>
        <v>7.2655564451177643E-2</v>
      </c>
    </row>
    <row r="838" spans="35:45" ht="11.25" customHeight="1" x14ac:dyDescent="0.2">
      <c r="AI838" s="3" t="e">
        <f t="shared" si="144"/>
        <v>#N/A</v>
      </c>
      <c r="AJ838" s="3" t="e">
        <f t="shared" si="145"/>
        <v>#N/A</v>
      </c>
      <c r="AK838" s="1">
        <f t="shared" si="152"/>
        <v>124.35000000000186</v>
      </c>
      <c r="AL838" s="1">
        <f t="shared" si="142"/>
        <v>4.7023068806704975</v>
      </c>
      <c r="AM838" s="1">
        <f t="shared" si="146"/>
        <v>1.990609169538163E-5</v>
      </c>
      <c r="AN838" s="1">
        <f t="shared" si="147"/>
        <v>1.990609169538163E-5</v>
      </c>
      <c r="AO838" s="1">
        <f t="shared" si="148"/>
        <v>1.9853774755967132E-5</v>
      </c>
      <c r="AP838" s="1">
        <f t="shared" si="143"/>
        <v>1.1700427342624073</v>
      </c>
      <c r="AQ838" s="1">
        <f t="shared" si="149"/>
        <v>7.9527296229509048E-2</v>
      </c>
      <c r="AR838" s="1">
        <f t="shared" si="150"/>
        <v>0</v>
      </c>
      <c r="AS838" s="1">
        <f t="shared" si="151"/>
        <v>7.1935194460471183E-2</v>
      </c>
    </row>
    <row r="839" spans="35:45" ht="11.25" customHeight="1" x14ac:dyDescent="0.2">
      <c r="AI839" s="3" t="e">
        <f t="shared" si="144"/>
        <v>#N/A</v>
      </c>
      <c r="AJ839" s="3" t="e">
        <f t="shared" si="145"/>
        <v>#N/A</v>
      </c>
      <c r="AK839" s="1">
        <f t="shared" si="152"/>
        <v>124.50000000000186</v>
      </c>
      <c r="AL839" s="1">
        <f t="shared" si="142"/>
        <v>4.7117937136510033</v>
      </c>
      <c r="AM839" s="1">
        <f t="shared" si="146"/>
        <v>1.9333100486729031E-5</v>
      </c>
      <c r="AN839" s="1">
        <f t="shared" si="147"/>
        <v>1.9333100486729031E-5</v>
      </c>
      <c r="AO839" s="1">
        <f t="shared" si="148"/>
        <v>1.9282289475590504E-5</v>
      </c>
      <c r="AP839" s="1">
        <f t="shared" si="143"/>
        <v>1.1786671278810485</v>
      </c>
      <c r="AQ839" s="1">
        <f t="shared" si="149"/>
        <v>7.8733384649698479E-2</v>
      </c>
      <c r="AR839" s="1">
        <f t="shared" si="150"/>
        <v>0</v>
      </c>
      <c r="AS839" s="1">
        <f t="shared" si="151"/>
        <v>7.1217073933485364E-2</v>
      </c>
    </row>
    <row r="840" spans="35:45" ht="11.25" customHeight="1" x14ac:dyDescent="0.2">
      <c r="AI840" s="3" t="e">
        <f t="shared" si="144"/>
        <v>#N/A</v>
      </c>
      <c r="AJ840" s="3" t="e">
        <f t="shared" si="145"/>
        <v>#N/A</v>
      </c>
      <c r="AK840" s="1">
        <f t="shared" si="152"/>
        <v>124.65000000000187</v>
      </c>
      <c r="AL840" s="1">
        <f t="shared" si="142"/>
        <v>4.7212805466315082</v>
      </c>
      <c r="AM840" s="1">
        <f t="shared" si="146"/>
        <v>1.8776299502286549E-5</v>
      </c>
      <c r="AN840" s="1">
        <f t="shared" si="147"/>
        <v>1.8776299502286549E-5</v>
      </c>
      <c r="AO840" s="1">
        <f t="shared" si="148"/>
        <v>1.872695186848069E-5</v>
      </c>
      <c r="AP840" s="1">
        <f t="shared" si="143"/>
        <v>1.18729152149969</v>
      </c>
      <c r="AQ840" s="1">
        <f t="shared" si="149"/>
        <v>7.7942051971979787E-2</v>
      </c>
      <c r="AR840" s="1">
        <f t="shared" si="150"/>
        <v>0</v>
      </c>
      <c r="AS840" s="1">
        <f t="shared" si="151"/>
        <v>7.0501286112781128E-2</v>
      </c>
    </row>
    <row r="841" spans="35:45" ht="11.25" customHeight="1" x14ac:dyDescent="0.2">
      <c r="AI841" s="3" t="e">
        <f t="shared" si="144"/>
        <v>#N/A</v>
      </c>
      <c r="AJ841" s="3" t="e">
        <f t="shared" si="145"/>
        <v>#N/A</v>
      </c>
      <c r="AK841" s="1">
        <f t="shared" si="152"/>
        <v>124.80000000000187</v>
      </c>
      <c r="AL841" s="1">
        <f t="shared" ref="AL841:AL904" si="153">ABS(($AL$5-AK841)/$AL$6)</f>
        <v>4.730767379612014</v>
      </c>
      <c r="AM841" s="1">
        <f t="shared" si="146"/>
        <v>1.8235242600314092E-5</v>
      </c>
      <c r="AN841" s="1">
        <f t="shared" si="147"/>
        <v>1.8235242600314092E-5</v>
      </c>
      <c r="AO841" s="1">
        <f t="shared" si="148"/>
        <v>1.8187316965441697E-5</v>
      </c>
      <c r="AP841" s="1">
        <f t="shared" ref="AP841:AP904" si="154">ABS(($AP$5-AK841)/$AP$6)</f>
        <v>1.1959159151183314</v>
      </c>
      <c r="AQ841" s="1">
        <f t="shared" si="149"/>
        <v>7.7153388420292401E-2</v>
      </c>
      <c r="AR841" s="1">
        <f t="shared" si="150"/>
        <v>0</v>
      </c>
      <c r="AS841" s="1">
        <f t="shared" si="151"/>
        <v>6.9787912609037314E-2</v>
      </c>
    </row>
    <row r="842" spans="35:45" ht="11.25" customHeight="1" x14ac:dyDescent="0.2">
      <c r="AI842" s="3" t="e">
        <f t="shared" ref="AI842:AI905" si="155">IF($M$18,AI841,NA())</f>
        <v>#N/A</v>
      </c>
      <c r="AJ842" s="3" t="e">
        <f t="shared" ref="AJ842:AJ905" si="156">IF($M$18,AJ841,NA())</f>
        <v>#N/A</v>
      </c>
      <c r="AK842" s="1">
        <f t="shared" si="152"/>
        <v>124.95000000000188</v>
      </c>
      <c r="AL842" s="1">
        <f t="shared" si="153"/>
        <v>4.7402542125925198</v>
      </c>
      <c r="AM842" s="1">
        <f t="shared" ref="AM842:AM905" si="157">$AL$3*ABS((TDIST(AL842,$AL$7,1)-TDIST(AL842+$AL$1,$AL$7,1))/($AL$1))</f>
        <v>1.7709495524299083E-5</v>
      </c>
      <c r="AN842" s="1">
        <f t="shared" ref="AN842:AN905" si="158">IF(($D$10&gt;$AJ$5)=($D$10&gt;AK842),AM842,0)</f>
        <v>1.7709495524299083E-5</v>
      </c>
      <c r="AO842" s="1">
        <f t="shared" ref="AO842:AO905" si="159">AM842*$AN$5/$AN$7</f>
        <v>1.7662951651268447E-5</v>
      </c>
      <c r="AP842" s="1">
        <f t="shared" si="154"/>
        <v>1.2045403087369726</v>
      </c>
      <c r="AQ842" s="1">
        <f t="shared" ref="AQ842:AQ905" si="160">$AL$3*ABS((TDIST(AP842,$AP$7,1)-TDIST(AP842+$AL$1,$AP$7,1))/($AL$1))</f>
        <v>7.6367482688688426E-2</v>
      </c>
      <c r="AR842" s="1">
        <f t="shared" ref="AR842:AR905" si="161">IF(($D$19&gt;$AJ$5)=($D$19&gt;AK842),AQ842,0)</f>
        <v>0</v>
      </c>
      <c r="AS842" s="1">
        <f t="shared" ref="AS842:AS905" si="162">AQ842*$AN$5/$AR$7</f>
        <v>6.9077033649096592E-2</v>
      </c>
    </row>
    <row r="843" spans="35:45" ht="11.25" customHeight="1" x14ac:dyDescent="0.2">
      <c r="AI843" s="3" t="e">
        <f t="shared" si="155"/>
        <v>#N/A</v>
      </c>
      <c r="AJ843" s="3" t="e">
        <f t="shared" si="156"/>
        <v>#N/A</v>
      </c>
      <c r="AK843" s="1">
        <f t="shared" si="152"/>
        <v>125.10000000000188</v>
      </c>
      <c r="AL843" s="1">
        <f t="shared" si="153"/>
        <v>4.7497410455730247</v>
      </c>
      <c r="AM843" s="1">
        <f t="shared" si="157"/>
        <v>1.7198635596601558E-5</v>
      </c>
      <c r="AN843" s="1">
        <f t="shared" si="158"/>
        <v>1.7198635596601558E-5</v>
      </c>
      <c r="AO843" s="1">
        <f t="shared" si="159"/>
        <v>1.7153434359197024E-5</v>
      </c>
      <c r="AP843" s="1">
        <f t="shared" si="154"/>
        <v>1.213164702355614</v>
      </c>
      <c r="AQ843" s="1">
        <f t="shared" si="160"/>
        <v>7.5584421762586729E-2</v>
      </c>
      <c r="AR843" s="1">
        <f t="shared" si="161"/>
        <v>0</v>
      </c>
      <c r="AS843" s="1">
        <f t="shared" si="162"/>
        <v>6.8368727914283736E-2</v>
      </c>
    </row>
    <row r="844" spans="35:45" ht="11.25" customHeight="1" x14ac:dyDescent="0.2">
      <c r="AI844" s="3" t="e">
        <f t="shared" si="155"/>
        <v>#N/A</v>
      </c>
      <c r="AJ844" s="3" t="e">
        <f t="shared" si="156"/>
        <v>#N/A</v>
      </c>
      <c r="AK844" s="1">
        <f t="shared" si="152"/>
        <v>125.25000000000189</v>
      </c>
      <c r="AL844" s="1">
        <f t="shared" si="153"/>
        <v>4.7592278785535305</v>
      </c>
      <c r="AM844" s="1">
        <f t="shared" si="157"/>
        <v>1.6702251429243257E-5</v>
      </c>
      <c r="AN844" s="1">
        <f t="shared" si="158"/>
        <v>1.6702251429243257E-5</v>
      </c>
      <c r="AO844" s="1">
        <f t="shared" si="159"/>
        <v>1.6658354782453865E-5</v>
      </c>
      <c r="AP844" s="1">
        <f t="shared" si="154"/>
        <v>1.2217890959742554</v>
      </c>
      <c r="AQ844" s="1">
        <f t="shared" si="160"/>
        <v>7.4804290872698673E-2</v>
      </c>
      <c r="AR844" s="1">
        <f t="shared" si="161"/>
        <v>0</v>
      </c>
      <c r="AS844" s="1">
        <f t="shared" si="162"/>
        <v>6.766307249872977E-2</v>
      </c>
    </row>
    <row r="845" spans="35:45" ht="11.25" customHeight="1" x14ac:dyDescent="0.2">
      <c r="AI845" s="3" t="e">
        <f t="shared" si="155"/>
        <v>#N/A</v>
      </c>
      <c r="AJ845" s="3" t="e">
        <f t="shared" si="156"/>
        <v>#N/A</v>
      </c>
      <c r="AK845" s="1">
        <f t="shared" si="152"/>
        <v>125.4000000000019</v>
      </c>
      <c r="AL845" s="1">
        <f t="shared" si="153"/>
        <v>4.7687147115340363</v>
      </c>
      <c r="AM845" s="1">
        <f t="shared" si="157"/>
        <v>1.6219942633138146E-5</v>
      </c>
      <c r="AN845" s="1">
        <f t="shared" si="158"/>
        <v>1.6219942633138146E-5</v>
      </c>
      <c r="AO845" s="1">
        <f t="shared" si="159"/>
        <v>1.6177313584250493E-5</v>
      </c>
      <c r="AP845" s="1">
        <f t="shared" si="154"/>
        <v>1.2304134895928969</v>
      </c>
      <c r="AQ845" s="1">
        <f t="shared" si="160"/>
        <v>7.4027173706525659E-2</v>
      </c>
      <c r="AR845" s="1">
        <f t="shared" si="161"/>
        <v>0</v>
      </c>
      <c r="AS845" s="1">
        <f t="shared" si="162"/>
        <v>6.696014310067884E-2</v>
      </c>
    </row>
    <row r="846" spans="35:45" ht="11.25" customHeight="1" x14ac:dyDescent="0.2">
      <c r="AI846" s="3" t="e">
        <f t="shared" si="155"/>
        <v>#N/A</v>
      </c>
      <c r="AJ846" s="3" t="e">
        <f t="shared" si="156"/>
        <v>#N/A</v>
      </c>
      <c r="AK846" s="1">
        <f t="shared" si="152"/>
        <v>125.5500000000019</v>
      </c>
      <c r="AL846" s="1">
        <f t="shared" si="153"/>
        <v>4.7782015445145412</v>
      </c>
      <c r="AM846" s="1">
        <f t="shared" si="157"/>
        <v>1.5751319538300488E-5</v>
      </c>
      <c r="AN846" s="1">
        <f t="shared" si="158"/>
        <v>1.5751319538300488E-5</v>
      </c>
      <c r="AO846" s="1">
        <f t="shared" si="159"/>
        <v>1.5709922118726918E-5</v>
      </c>
      <c r="AP846" s="1">
        <f t="shared" si="154"/>
        <v>1.2390378832115381</v>
      </c>
      <c r="AQ846" s="1">
        <f t="shared" si="160"/>
        <v>7.3253152167440647E-2</v>
      </c>
      <c r="AR846" s="1">
        <f t="shared" si="161"/>
        <v>0</v>
      </c>
      <c r="AS846" s="1">
        <f t="shared" si="162"/>
        <v>6.6260013804569154E-2</v>
      </c>
    </row>
    <row r="847" spans="35:45" ht="11.25" customHeight="1" x14ac:dyDescent="0.2">
      <c r="AI847" s="3" t="e">
        <f t="shared" si="155"/>
        <v>#N/A</v>
      </c>
      <c r="AJ847" s="3" t="e">
        <f t="shared" si="156"/>
        <v>#N/A</v>
      </c>
      <c r="AK847" s="1">
        <f t="shared" si="152"/>
        <v>125.70000000000191</v>
      </c>
      <c r="AL847" s="1">
        <f t="shared" si="153"/>
        <v>4.7876883774950469</v>
      </c>
      <c r="AM847" s="1">
        <f t="shared" si="157"/>
        <v>1.5296002913307545E-5</v>
      </c>
      <c r="AN847" s="1">
        <f t="shared" si="158"/>
        <v>1.5296002913307545E-5</v>
      </c>
      <c r="AO847" s="1">
        <f t="shared" si="159"/>
        <v>1.525580215115165E-5</v>
      </c>
      <c r="AP847" s="1">
        <f t="shared" si="154"/>
        <v>1.2476622768301795</v>
      </c>
      <c r="AQ847" s="1">
        <f t="shared" si="160"/>
        <v>7.248230650402919E-2</v>
      </c>
      <c r="AR847" s="1">
        <f t="shared" si="161"/>
        <v>0</v>
      </c>
      <c r="AS847" s="1">
        <f t="shared" si="162"/>
        <v>6.5562757198026317E-2</v>
      </c>
    </row>
    <row r="848" spans="35:45" ht="11.25" customHeight="1" x14ac:dyDescent="0.2">
      <c r="AI848" s="3" t="e">
        <f t="shared" si="155"/>
        <v>#N/A</v>
      </c>
      <c r="AJ848" s="3" t="e">
        <f t="shared" si="156"/>
        <v>#N/A</v>
      </c>
      <c r="AK848" s="1">
        <f t="shared" si="152"/>
        <v>125.85000000000191</v>
      </c>
      <c r="AL848" s="1">
        <f t="shared" si="153"/>
        <v>4.7971752104755527</v>
      </c>
      <c r="AM848" s="1">
        <f t="shared" si="157"/>
        <v>1.4853623705836437E-5</v>
      </c>
      <c r="AN848" s="1">
        <f t="shared" si="158"/>
        <v>1.4853623705836437E-5</v>
      </c>
      <c r="AO848" s="1">
        <f t="shared" si="159"/>
        <v>1.4814585599140472E-5</v>
      </c>
      <c r="AP848" s="1">
        <f t="shared" si="154"/>
        <v>1.2562866704488209</v>
      </c>
      <c r="AQ848" s="1">
        <f t="shared" si="160"/>
        <v>7.1714715211279575E-2</v>
      </c>
      <c r="AR848" s="1">
        <f t="shared" si="161"/>
        <v>0</v>
      </c>
      <c r="AS848" s="1">
        <f t="shared" si="162"/>
        <v>6.4868444282486518E-2</v>
      </c>
    </row>
    <row r="849" spans="35:45" ht="11.25" customHeight="1" x14ac:dyDescent="0.2">
      <c r="AI849" s="3" t="e">
        <f t="shared" si="155"/>
        <v>#N/A</v>
      </c>
      <c r="AJ849" s="3" t="e">
        <f t="shared" si="156"/>
        <v>#N/A</v>
      </c>
      <c r="AK849" s="1">
        <f t="shared" si="152"/>
        <v>126.00000000000192</v>
      </c>
      <c r="AL849" s="1">
        <f t="shared" si="153"/>
        <v>4.8066620434560576</v>
      </c>
      <c r="AM849" s="1">
        <f t="shared" si="157"/>
        <v>1.4423822782049043E-5</v>
      </c>
      <c r="AN849" s="1">
        <f t="shared" si="158"/>
        <v>1.4423822782049043E-5</v>
      </c>
      <c r="AO849" s="1">
        <f t="shared" si="159"/>
        <v>1.4385914272726293E-5</v>
      </c>
      <c r="AP849" s="1">
        <f t="shared" si="154"/>
        <v>1.2649110640674623</v>
      </c>
      <c r="AQ849" s="1">
        <f t="shared" si="160"/>
        <v>7.0950455152707356E-2</v>
      </c>
      <c r="AR849" s="1">
        <f t="shared" si="161"/>
        <v>0</v>
      </c>
      <c r="AS849" s="1">
        <f t="shared" si="162"/>
        <v>6.4177144583662304E-2</v>
      </c>
    </row>
    <row r="850" spans="35:45" ht="11.25" customHeight="1" x14ac:dyDescent="0.2">
      <c r="AI850" s="3" t="e">
        <f t="shared" si="155"/>
        <v>#N/A</v>
      </c>
      <c r="AJ850" s="3" t="e">
        <f t="shared" si="156"/>
        <v>#N/A</v>
      </c>
      <c r="AK850" s="1">
        <f t="shared" si="152"/>
        <v>126.15000000000192</v>
      </c>
      <c r="AL850" s="1">
        <f t="shared" si="153"/>
        <v>4.8161488764365634</v>
      </c>
      <c r="AM850" s="1">
        <f t="shared" si="157"/>
        <v>1.4006250659132882E-5</v>
      </c>
      <c r="AN850" s="1">
        <f t="shared" si="158"/>
        <v>1.4006250659132882E-5</v>
      </c>
      <c r="AO850" s="1">
        <f t="shared" si="159"/>
        <v>1.3969439607602958E-5</v>
      </c>
      <c r="AP850" s="1">
        <f t="shared" si="154"/>
        <v>1.2735354576861035</v>
      </c>
      <c r="AQ850" s="1">
        <f t="shared" si="160"/>
        <v>7.0189601463765947E-2</v>
      </c>
      <c r="AR850" s="1">
        <f t="shared" si="161"/>
        <v>0</v>
      </c>
      <c r="AS850" s="1">
        <f t="shared" si="162"/>
        <v>6.3488926064174167E-2</v>
      </c>
    </row>
    <row r="851" spans="35:45" ht="11.25" customHeight="1" x14ac:dyDescent="0.2">
      <c r="AI851" s="3" t="e">
        <f t="shared" si="155"/>
        <v>#N/A</v>
      </c>
      <c r="AJ851" s="3" t="e">
        <f t="shared" si="156"/>
        <v>#N/A</v>
      </c>
      <c r="AK851" s="1">
        <f t="shared" si="152"/>
        <v>126.30000000000193</v>
      </c>
      <c r="AL851" s="1">
        <f t="shared" si="153"/>
        <v>4.8256357094170692</v>
      </c>
      <c r="AM851" s="1">
        <f t="shared" si="157"/>
        <v>1.3600567273214085E-5</v>
      </c>
      <c r="AN851" s="1">
        <f t="shared" si="158"/>
        <v>1.3600567273214085E-5</v>
      </c>
      <c r="AO851" s="1">
        <f t="shared" si="159"/>
        <v>1.3564822433648185E-5</v>
      </c>
      <c r="AP851" s="1">
        <f t="shared" si="154"/>
        <v>1.282159851304745</v>
      </c>
      <c r="AQ851" s="1">
        <f t="shared" si="160"/>
        <v>6.9432227589594206E-2</v>
      </c>
      <c r="AR851" s="1">
        <f t="shared" si="161"/>
        <v>0</v>
      </c>
      <c r="AS851" s="1">
        <f t="shared" si="162"/>
        <v>6.280385515769453E-2</v>
      </c>
    </row>
    <row r="852" spans="35:45" ht="11.25" customHeight="1" x14ac:dyDescent="0.2">
      <c r="AI852" s="3" t="e">
        <f t="shared" si="155"/>
        <v>#N/A</v>
      </c>
      <c r="AJ852" s="3" t="e">
        <f t="shared" si="156"/>
        <v>#N/A</v>
      </c>
      <c r="AK852" s="1">
        <f t="shared" si="152"/>
        <v>126.45000000000194</v>
      </c>
      <c r="AL852" s="1">
        <f t="shared" si="153"/>
        <v>4.8351225423975741</v>
      </c>
      <c r="AM852" s="1">
        <f t="shared" si="157"/>
        <v>1.3206441725992896E-5</v>
      </c>
      <c r="AN852" s="1">
        <f t="shared" si="158"/>
        <v>1.3206441725992896E-5</v>
      </c>
      <c r="AO852" s="1">
        <f t="shared" si="159"/>
        <v>1.3171732722224962E-5</v>
      </c>
      <c r="AP852" s="1">
        <f t="shared" si="154"/>
        <v>1.2907842449233864</v>
      </c>
      <c r="AQ852" s="1">
        <f t="shared" si="160"/>
        <v>6.8678405261146644E-2</v>
      </c>
      <c r="AR852" s="1">
        <f t="shared" si="161"/>
        <v>0</v>
      </c>
      <c r="AS852" s="1">
        <f t="shared" si="162"/>
        <v>6.2121996747356668E-2</v>
      </c>
    </row>
    <row r="853" spans="35:45" ht="11.25" customHeight="1" x14ac:dyDescent="0.2">
      <c r="AI853" s="3" t="e">
        <f t="shared" si="155"/>
        <v>#N/A</v>
      </c>
      <c r="AJ853" s="3" t="e">
        <f t="shared" si="156"/>
        <v>#N/A</v>
      </c>
      <c r="AK853" s="1">
        <f t="shared" si="152"/>
        <v>126.60000000000194</v>
      </c>
      <c r="AL853" s="1">
        <f t="shared" si="153"/>
        <v>4.8446093753780799</v>
      </c>
      <c r="AM853" s="1">
        <f t="shared" si="157"/>
        <v>1.2823552048794179E-5</v>
      </c>
      <c r="AN853" s="1">
        <f t="shared" si="158"/>
        <v>1.2823552048794179E-5</v>
      </c>
      <c r="AO853" s="1">
        <f t="shared" si="159"/>
        <v>1.2789849350852168E-5</v>
      </c>
      <c r="AP853" s="1">
        <f t="shared" si="154"/>
        <v>1.2994086385420276</v>
      </c>
      <c r="AQ853" s="1">
        <f t="shared" si="160"/>
        <v>6.7928204455780503E-2</v>
      </c>
      <c r="AR853" s="1">
        <f t="shared" si="161"/>
        <v>0</v>
      </c>
      <c r="AS853" s="1">
        <f t="shared" si="162"/>
        <v>6.1443414130104415E-2</v>
      </c>
    </row>
    <row r="854" spans="35:45" ht="11.25" customHeight="1" x14ac:dyDescent="0.2">
      <c r="AI854" s="3" t="e">
        <f t="shared" si="155"/>
        <v>#N/A</v>
      </c>
      <c r="AJ854" s="3" t="e">
        <f t="shared" si="156"/>
        <v>#N/A</v>
      </c>
      <c r="AK854" s="1">
        <f t="shared" si="152"/>
        <v>126.75000000000195</v>
      </c>
      <c r="AL854" s="1">
        <f t="shared" si="153"/>
        <v>4.8540962083585857</v>
      </c>
      <c r="AM854" s="1">
        <f t="shared" si="157"/>
        <v>1.2451584974952721E-5</v>
      </c>
      <c r="AN854" s="1">
        <f t="shared" si="158"/>
        <v>1.2451584974952721E-5</v>
      </c>
      <c r="AO854" s="1">
        <f t="shared" si="159"/>
        <v>1.2418859876188096E-5</v>
      </c>
      <c r="AP854" s="1">
        <f t="shared" si="154"/>
        <v>1.308033032160669</v>
      </c>
      <c r="AQ854" s="1">
        <f t="shared" si="160"/>
        <v>6.71816934999514E-2</v>
      </c>
      <c r="AR854" s="1">
        <f t="shared" si="161"/>
        <v>0</v>
      </c>
      <c r="AS854" s="1">
        <f t="shared" si="162"/>
        <v>6.0768169109583867E-2</v>
      </c>
    </row>
    <row r="855" spans="35:45" ht="11.25" customHeight="1" x14ac:dyDescent="0.2">
      <c r="AI855" s="3" t="e">
        <f t="shared" si="155"/>
        <v>#N/A</v>
      </c>
      <c r="AJ855" s="3" t="e">
        <f t="shared" si="156"/>
        <v>#N/A</v>
      </c>
      <c r="AK855" s="1">
        <f t="shared" si="152"/>
        <v>126.90000000000195</v>
      </c>
      <c r="AL855" s="1">
        <f t="shared" si="153"/>
        <v>4.8635830413390906</v>
      </c>
      <c r="AM855" s="1">
        <f t="shared" si="157"/>
        <v>1.2090235713350505E-5</v>
      </c>
      <c r="AN855" s="1">
        <f t="shared" si="158"/>
        <v>1.2090235713350505E-5</v>
      </c>
      <c r="AO855" s="1">
        <f t="shared" si="159"/>
        <v>1.2058460308162901E-5</v>
      </c>
      <c r="AP855" s="1">
        <f t="shared" si="154"/>
        <v>1.3166574257793104</v>
      </c>
      <c r="AQ855" s="1">
        <f t="shared" si="160"/>
        <v>6.6438939038127032E-2</v>
      </c>
      <c r="AR855" s="1">
        <f t="shared" si="161"/>
        <v>0</v>
      </c>
      <c r="AS855" s="1">
        <f t="shared" si="162"/>
        <v>6.0096321968024773E-2</v>
      </c>
    </row>
    <row r="856" spans="35:45" ht="11.25" customHeight="1" x14ac:dyDescent="0.2">
      <c r="AI856" s="3" t="e">
        <f t="shared" si="155"/>
        <v>#N/A</v>
      </c>
      <c r="AJ856" s="3" t="e">
        <f t="shared" si="156"/>
        <v>#N/A</v>
      </c>
      <c r="AK856" s="1">
        <f t="shared" si="152"/>
        <v>127.05000000000196</v>
      </c>
      <c r="AL856" s="1">
        <f t="shared" si="153"/>
        <v>4.8730698743195964</v>
      </c>
      <c r="AM856" s="1">
        <f t="shared" si="157"/>
        <v>1.1739207726426315E-5</v>
      </c>
      <c r="AN856" s="1">
        <f t="shared" si="158"/>
        <v>1.1739207726426315E-5</v>
      </c>
      <c r="AO856" s="1">
        <f t="shared" si="159"/>
        <v>1.1708354888571653E-5</v>
      </c>
      <c r="AP856" s="1">
        <f t="shared" si="154"/>
        <v>1.3252818193979519</v>
      </c>
      <c r="AQ856" s="1">
        <f t="shared" si="160"/>
        <v>6.5700005961732977E-2</v>
      </c>
      <c r="AR856" s="1">
        <f t="shared" si="161"/>
        <v>0</v>
      </c>
      <c r="AS856" s="1">
        <f t="shared" si="162"/>
        <v>5.9427931401969586E-2</v>
      </c>
    </row>
    <row r="857" spans="35:45" ht="11.25" customHeight="1" x14ac:dyDescent="0.2">
      <c r="AI857" s="3" t="e">
        <f t="shared" si="155"/>
        <v>#N/A</v>
      </c>
      <c r="AJ857" s="3" t="e">
        <f t="shared" si="156"/>
        <v>#N/A</v>
      </c>
      <c r="AK857" s="1">
        <f t="shared" si="152"/>
        <v>127.20000000000196</v>
      </c>
      <c r="AL857" s="1">
        <f t="shared" si="153"/>
        <v>4.8825567073001022</v>
      </c>
      <c r="AM857" s="1">
        <f t="shared" si="157"/>
        <v>1.1398212515706992E-5</v>
      </c>
      <c r="AN857" s="1">
        <f t="shared" si="158"/>
        <v>1.1398212515706992E-5</v>
      </c>
      <c r="AO857" s="1">
        <f t="shared" si="159"/>
        <v>1.1368255877169246E-5</v>
      </c>
      <c r="AP857" s="1">
        <f t="shared" si="154"/>
        <v>1.3339062130165931</v>
      </c>
      <c r="AQ857" s="1">
        <f t="shared" si="160"/>
        <v>6.4964957459112682E-2</v>
      </c>
      <c r="AR857" s="1">
        <f t="shared" si="161"/>
        <v>0</v>
      </c>
      <c r="AS857" s="1">
        <f t="shared" si="162"/>
        <v>5.8763054567463932E-2</v>
      </c>
    </row>
    <row r="858" spans="35:45" ht="11.25" customHeight="1" x14ac:dyDescent="0.2">
      <c r="AI858" s="3" t="e">
        <f t="shared" si="155"/>
        <v>#N/A</v>
      </c>
      <c r="AJ858" s="3" t="e">
        <f t="shared" si="156"/>
        <v>#N/A</v>
      </c>
      <c r="AK858" s="1">
        <f t="shared" si="152"/>
        <v>127.35000000000197</v>
      </c>
      <c r="AL858" s="1">
        <f t="shared" si="153"/>
        <v>4.8920435402806079</v>
      </c>
      <c r="AM858" s="1">
        <f t="shared" si="157"/>
        <v>1.1066969418655056E-5</v>
      </c>
      <c r="AN858" s="1">
        <f t="shared" si="158"/>
        <v>1.1066969418655056E-5</v>
      </c>
      <c r="AO858" s="1">
        <f t="shared" si="159"/>
        <v>1.103788334905194E-5</v>
      </c>
      <c r="AP858" s="1">
        <f t="shared" si="154"/>
        <v>1.3425306066352345</v>
      </c>
      <c r="AQ858" s="1">
        <f t="shared" si="160"/>
        <v>6.4233855011641694E-2</v>
      </c>
      <c r="AR858" s="1">
        <f t="shared" si="161"/>
        <v>0</v>
      </c>
      <c r="AS858" s="1">
        <f t="shared" si="162"/>
        <v>5.8101747076541872E-2</v>
      </c>
    </row>
    <row r="859" spans="35:45" ht="11.25" customHeight="1" x14ac:dyDescent="0.2">
      <c r="AI859" s="3" t="e">
        <f t="shared" si="155"/>
        <v>#N/A</v>
      </c>
      <c r="AJ859" s="3" t="e">
        <f t="shared" si="156"/>
        <v>#N/A</v>
      </c>
      <c r="AK859" s="1">
        <f t="shared" si="152"/>
        <v>127.50000000000198</v>
      </c>
      <c r="AL859" s="1">
        <f t="shared" si="153"/>
        <v>4.9015303732611128</v>
      </c>
      <c r="AM859" s="1">
        <f t="shared" si="157"/>
        <v>1.0745205394267722E-5</v>
      </c>
      <c r="AN859" s="1">
        <f t="shared" si="158"/>
        <v>1.0745205394267722E-5</v>
      </c>
      <c r="AO859" s="1">
        <f t="shared" si="159"/>
        <v>1.0716964980819879E-5</v>
      </c>
      <c r="AP859" s="1">
        <f t="shared" si="154"/>
        <v>1.3511550002538759</v>
      </c>
      <c r="AQ859" s="1">
        <f t="shared" si="160"/>
        <v>6.3506758512521522E-2</v>
      </c>
      <c r="AR859" s="1">
        <f t="shared" si="161"/>
        <v>0</v>
      </c>
      <c r="AS859" s="1">
        <f t="shared" si="162"/>
        <v>5.7444063104679019E-2</v>
      </c>
    </row>
    <row r="860" spans="35:45" ht="11.25" customHeight="1" x14ac:dyDescent="0.2">
      <c r="AI860" s="3" t="e">
        <f t="shared" si="155"/>
        <v>#N/A</v>
      </c>
      <c r="AJ860" s="3" t="e">
        <f t="shared" si="156"/>
        <v>#N/A</v>
      </c>
      <c r="AK860" s="1">
        <f t="shared" si="152"/>
        <v>127.65000000000198</v>
      </c>
      <c r="AL860" s="1">
        <f t="shared" si="153"/>
        <v>4.9110172062416186</v>
      </c>
      <c r="AM860" s="1">
        <f t="shared" si="157"/>
        <v>1.0432654829004712E-5</v>
      </c>
      <c r="AN860" s="1">
        <f t="shared" si="158"/>
        <v>1.0432654829004712E-5</v>
      </c>
      <c r="AO860" s="1">
        <f t="shared" si="159"/>
        <v>1.0405235857014945E-5</v>
      </c>
      <c r="AP860" s="1">
        <f t="shared" si="154"/>
        <v>1.3597793938725171</v>
      </c>
      <c r="AQ860" s="1">
        <f t="shared" si="160"/>
        <v>6.2783726044179922E-2</v>
      </c>
      <c r="AR860" s="1">
        <f t="shared" si="161"/>
        <v>0</v>
      </c>
      <c r="AS860" s="1">
        <f t="shared" si="162"/>
        <v>5.6790055189443391E-2</v>
      </c>
    </row>
    <row r="861" spans="35:45" ht="11.25" customHeight="1" x14ac:dyDescent="0.2">
      <c r="AI861" s="3" t="e">
        <f t="shared" si="155"/>
        <v>#N/A</v>
      </c>
      <c r="AJ861" s="3" t="e">
        <f t="shared" si="156"/>
        <v>#N/A</v>
      </c>
      <c r="AK861" s="1">
        <f t="shared" si="152"/>
        <v>127.80000000000199</v>
      </c>
      <c r="AL861" s="1">
        <f t="shared" si="153"/>
        <v>4.9205040392221244</v>
      </c>
      <c r="AM861" s="1">
        <f t="shared" si="157"/>
        <v>1.0129059347256165E-5</v>
      </c>
      <c r="AN861" s="1">
        <f t="shared" si="158"/>
        <v>1.0129059347256165E-5</v>
      </c>
      <c r="AO861" s="1">
        <f t="shared" si="159"/>
        <v>1.0102438281086798E-5</v>
      </c>
      <c r="AP861" s="1">
        <f t="shared" si="154"/>
        <v>1.3684037874911585</v>
      </c>
      <c r="AQ861" s="1">
        <f t="shared" si="160"/>
        <v>6.2064814034257232E-2</v>
      </c>
      <c r="AR861" s="1">
        <f t="shared" si="161"/>
        <v>0</v>
      </c>
      <c r="AS861" s="1">
        <f t="shared" si="162"/>
        <v>5.6139774371590463E-2</v>
      </c>
    </row>
    <row r="862" spans="35:45" ht="11.25" customHeight="1" x14ac:dyDescent="0.2">
      <c r="AI862" s="3" t="e">
        <f t="shared" si="155"/>
        <v>#N/A</v>
      </c>
      <c r="AJ862" s="3" t="e">
        <f t="shared" si="156"/>
        <v>#N/A</v>
      </c>
      <c r="AK862" s="1">
        <f t="shared" ref="AK862:AK925" si="163">AK861+$AJ$4</f>
        <v>127.95000000000199</v>
      </c>
      <c r="AL862" s="1">
        <f t="shared" si="153"/>
        <v>4.9299908722026293</v>
      </c>
      <c r="AM862" s="1">
        <f t="shared" si="157"/>
        <v>9.834167612052724E-6</v>
      </c>
      <c r="AN862" s="1">
        <f t="shared" si="158"/>
        <v>9.834167612052724E-6</v>
      </c>
      <c r="AO862" s="1">
        <f t="shared" si="159"/>
        <v>9.8083215766267384E-6</v>
      </c>
      <c r="AP862" s="1">
        <f t="shared" si="154"/>
        <v>1.3770281811098</v>
      </c>
      <c r="AQ862" s="1">
        <f t="shared" si="160"/>
        <v>6.1350077252275703E-2</v>
      </c>
      <c r="AR862" s="1">
        <f t="shared" si="161"/>
        <v>0</v>
      </c>
      <c r="AS862" s="1">
        <f t="shared" si="162"/>
        <v>5.5493270192050477E-2</v>
      </c>
    </row>
    <row r="863" spans="35:45" ht="11.25" customHeight="1" x14ac:dyDescent="0.2">
      <c r="AI863" s="3" t="e">
        <f t="shared" si="155"/>
        <v>#N/A</v>
      </c>
      <c r="AJ863" s="3" t="e">
        <f t="shared" si="156"/>
        <v>#N/A</v>
      </c>
      <c r="AK863" s="1">
        <f t="shared" si="163"/>
        <v>128.10000000000198</v>
      </c>
      <c r="AL863" s="1">
        <f t="shared" si="153"/>
        <v>4.9394777051831342</v>
      </c>
      <c r="AM863" s="1">
        <f t="shared" si="157"/>
        <v>9.547735150678392E-6</v>
      </c>
      <c r="AN863" s="1">
        <f t="shared" si="158"/>
        <v>9.547735150678392E-6</v>
      </c>
      <c r="AO863" s="1">
        <f t="shared" si="159"/>
        <v>9.52264191343888E-6</v>
      </c>
      <c r="AP863" s="1">
        <f t="shared" si="154"/>
        <v>1.3856525747284405</v>
      </c>
      <c r="AQ863" s="1">
        <f t="shared" si="160"/>
        <v>6.0639568796871934E-2</v>
      </c>
      <c r="AR863" s="1">
        <f t="shared" si="161"/>
        <v>0</v>
      </c>
      <c r="AS863" s="1">
        <f t="shared" si="162"/>
        <v>5.4850590680379681E-2</v>
      </c>
    </row>
    <row r="864" spans="35:45" ht="11.25" customHeight="1" x14ac:dyDescent="0.2">
      <c r="AI864" s="3" t="e">
        <f t="shared" si="155"/>
        <v>#N/A</v>
      </c>
      <c r="AJ864" s="3" t="e">
        <f t="shared" si="156"/>
        <v>#N/A</v>
      </c>
      <c r="AK864" s="1">
        <f t="shared" si="163"/>
        <v>128.25000000000199</v>
      </c>
      <c r="AL864" s="1">
        <f t="shared" si="153"/>
        <v>4.94896453816364</v>
      </c>
      <c r="AM864" s="1">
        <f t="shared" si="157"/>
        <v>9.2695241645285764E-6</v>
      </c>
      <c r="AN864" s="1">
        <f t="shared" si="158"/>
        <v>9.2695241645285764E-6</v>
      </c>
      <c r="AO864" s="1">
        <f t="shared" si="159"/>
        <v>9.2451621178979283E-6</v>
      </c>
      <c r="AP864" s="1">
        <f t="shared" si="154"/>
        <v>1.3942769683470819</v>
      </c>
      <c r="AQ864" s="1">
        <f t="shared" si="160"/>
        <v>5.9933340083584419E-2</v>
      </c>
      <c r="AR864" s="1">
        <f t="shared" si="161"/>
        <v>0</v>
      </c>
      <c r="AS864" s="1">
        <f t="shared" si="162"/>
        <v>5.4211782343713821E-2</v>
      </c>
    </row>
    <row r="865" spans="35:45" ht="11.25" customHeight="1" x14ac:dyDescent="0.2">
      <c r="AI865" s="3" t="e">
        <f t="shared" si="155"/>
        <v>#N/A</v>
      </c>
      <c r="AJ865" s="3" t="e">
        <f t="shared" si="156"/>
        <v>#N/A</v>
      </c>
      <c r="AK865" s="1">
        <f t="shared" si="163"/>
        <v>128.400000000002</v>
      </c>
      <c r="AL865" s="1">
        <f t="shared" si="153"/>
        <v>4.9584513711441449</v>
      </c>
      <c r="AM865" s="1">
        <f t="shared" si="157"/>
        <v>8.9993033628883424E-6</v>
      </c>
      <c r="AN865" s="1">
        <f t="shared" si="158"/>
        <v>8.9993033628883424E-6</v>
      </c>
      <c r="AO865" s="1">
        <f t="shared" si="159"/>
        <v>8.9756515071642912E-6</v>
      </c>
      <c r="AP865" s="1">
        <f t="shared" si="154"/>
        <v>1.4029013619657231</v>
      </c>
      <c r="AQ865" s="1">
        <f t="shared" si="160"/>
        <v>5.923144086872334E-2</v>
      </c>
      <c r="AR865" s="1">
        <f t="shared" si="161"/>
        <v>0</v>
      </c>
      <c r="AS865" s="1">
        <f t="shared" si="162"/>
        <v>5.3576890188359136E-2</v>
      </c>
    </row>
    <row r="866" spans="35:45" ht="11.25" customHeight="1" x14ac:dyDescent="0.2">
      <c r="AI866" s="3" t="e">
        <f t="shared" si="155"/>
        <v>#N/A</v>
      </c>
      <c r="AJ866" s="3" t="e">
        <f t="shared" si="156"/>
        <v>#N/A</v>
      </c>
      <c r="AK866" s="1">
        <f t="shared" si="163"/>
        <v>128.550000000002</v>
      </c>
      <c r="AL866" s="1">
        <f t="shared" si="153"/>
        <v>4.9679382041246507</v>
      </c>
      <c r="AM866" s="1">
        <f t="shared" si="157"/>
        <v>8.7368477825821639E-6</v>
      </c>
      <c r="AN866" s="1">
        <f t="shared" si="158"/>
        <v>8.7368477825821639E-6</v>
      </c>
      <c r="AO866" s="1">
        <f t="shared" si="159"/>
        <v>8.7138857093078264E-6</v>
      </c>
      <c r="AP866" s="1">
        <f t="shared" si="154"/>
        <v>1.4115257555843645</v>
      </c>
      <c r="AQ866" s="1">
        <f t="shared" si="160"/>
        <v>5.8533919254921685E-2</v>
      </c>
      <c r="AR866" s="1">
        <f t="shared" si="161"/>
        <v>0</v>
      </c>
      <c r="AS866" s="1">
        <f t="shared" si="162"/>
        <v>5.2945957724813551E-2</v>
      </c>
    </row>
    <row r="867" spans="35:45" ht="11.25" customHeight="1" x14ac:dyDescent="0.2">
      <c r="AI867" s="3" t="e">
        <f t="shared" si="155"/>
        <v>#N/A</v>
      </c>
      <c r="AJ867" s="3" t="e">
        <f t="shared" si="156"/>
        <v>#N/A</v>
      </c>
      <c r="AK867" s="1">
        <f t="shared" si="163"/>
        <v>128.70000000000201</v>
      </c>
      <c r="AL867" s="1">
        <f t="shared" si="153"/>
        <v>4.9774250371051565</v>
      </c>
      <c r="AM867" s="1">
        <f t="shared" si="157"/>
        <v>8.48193863079848E-6</v>
      </c>
      <c r="AN867" s="1">
        <f t="shared" si="158"/>
        <v>8.48193863079848E-6</v>
      </c>
      <c r="AO867" s="1">
        <f t="shared" si="159"/>
        <v>8.459646506545486E-6</v>
      </c>
      <c r="AP867" s="1">
        <f t="shared" si="154"/>
        <v>1.420150149203006</v>
      </c>
      <c r="AQ867" s="1">
        <f t="shared" si="160"/>
        <v>5.784082171056415E-2</v>
      </c>
      <c r="AR867" s="1">
        <f t="shared" si="161"/>
        <v>0</v>
      </c>
      <c r="AS867" s="1">
        <f t="shared" si="162"/>
        <v>5.23190269853408E-2</v>
      </c>
    </row>
    <row r="868" spans="35:45" ht="11.25" customHeight="1" x14ac:dyDescent="0.2">
      <c r="AI868" s="3" t="e">
        <f t="shared" si="155"/>
        <v>#N/A</v>
      </c>
      <c r="AJ868" s="3" t="e">
        <f t="shared" si="156"/>
        <v>#N/A</v>
      </c>
      <c r="AK868" s="1">
        <f t="shared" si="163"/>
        <v>128.85000000000201</v>
      </c>
      <c r="AL868" s="1">
        <f t="shared" si="153"/>
        <v>4.9869118700856614</v>
      </c>
      <c r="AM868" s="1">
        <f t="shared" si="157"/>
        <v>8.2343631104992722E-6</v>
      </c>
      <c r="AN868" s="1">
        <f t="shared" si="158"/>
        <v>8.2343631104992722E-6</v>
      </c>
      <c r="AO868" s="1">
        <f t="shared" si="159"/>
        <v>8.2127216611097414E-6</v>
      </c>
      <c r="AP868" s="1">
        <f t="shared" si="154"/>
        <v>1.4287745428216474</v>
      </c>
      <c r="AQ868" s="1">
        <f t="shared" si="160"/>
        <v>5.7152193059795131E-2</v>
      </c>
      <c r="AR868" s="1">
        <f t="shared" si="161"/>
        <v>0</v>
      </c>
      <c r="AS868" s="1">
        <f t="shared" si="162"/>
        <v>5.1696138514932322E-2</v>
      </c>
    </row>
    <row r="869" spans="35:45" ht="11.25" customHeight="1" x14ac:dyDescent="0.2">
      <c r="AI869" s="3" t="e">
        <f t="shared" si="155"/>
        <v>#N/A</v>
      </c>
      <c r="AJ869" s="3" t="e">
        <f t="shared" si="156"/>
        <v>#N/A</v>
      </c>
      <c r="AK869" s="1">
        <f t="shared" si="163"/>
        <v>129.00000000000202</v>
      </c>
      <c r="AL869" s="1">
        <f t="shared" si="153"/>
        <v>4.9963987030661672</v>
      </c>
      <c r="AM869" s="1">
        <f t="shared" si="157"/>
        <v>7.9939142744932202E-6</v>
      </c>
      <c r="AN869" s="1">
        <f t="shared" si="158"/>
        <v>7.9939142744932202E-6</v>
      </c>
      <c r="AO869" s="1">
        <f t="shared" si="159"/>
        <v>7.9729047697052771E-6</v>
      </c>
      <c r="AP869" s="1">
        <f t="shared" si="154"/>
        <v>1.4373989364402886</v>
      </c>
      <c r="AQ869" s="1">
        <f t="shared" si="160"/>
        <v>5.6468076545801438E-2</v>
      </c>
      <c r="AR869" s="1">
        <f t="shared" si="161"/>
        <v>0</v>
      </c>
      <c r="AS869" s="1">
        <f t="shared" si="162"/>
        <v>5.1077331428548617E-2</v>
      </c>
    </row>
    <row r="870" spans="35:45" ht="11.25" customHeight="1" x14ac:dyDescent="0.2">
      <c r="AI870" s="3" t="e">
        <f t="shared" si="155"/>
        <v>#N/A</v>
      </c>
      <c r="AJ870" s="3" t="e">
        <f t="shared" si="156"/>
        <v>#N/A</v>
      </c>
      <c r="AK870" s="1">
        <f t="shared" si="163"/>
        <v>129.15000000000202</v>
      </c>
      <c r="AL870" s="1">
        <f t="shared" si="153"/>
        <v>5.005885536046673</v>
      </c>
      <c r="AM870" s="1">
        <f t="shared" si="157"/>
        <v>7.7603908599254735E-6</v>
      </c>
      <c r="AN870" s="1">
        <f t="shared" si="158"/>
        <v>7.7603908599254735E-6</v>
      </c>
      <c r="AO870" s="1">
        <f t="shared" si="159"/>
        <v>7.7399950984337429E-6</v>
      </c>
      <c r="AP870" s="1">
        <f t="shared" si="154"/>
        <v>1.44602333005893</v>
      </c>
      <c r="AQ870" s="1">
        <f t="shared" si="160"/>
        <v>5.5788513700916198E-2</v>
      </c>
      <c r="AR870" s="1">
        <f t="shared" si="161"/>
        <v>0</v>
      </c>
      <c r="AS870" s="1">
        <f t="shared" si="162"/>
        <v>5.0462643293623793E-2</v>
      </c>
    </row>
    <row r="871" spans="35:45" ht="11.25" customHeight="1" x14ac:dyDescent="0.2">
      <c r="AI871" s="3" t="e">
        <f t="shared" si="155"/>
        <v>#N/A</v>
      </c>
      <c r="AJ871" s="3" t="e">
        <f t="shared" si="156"/>
        <v>#N/A</v>
      </c>
      <c r="AK871" s="1">
        <f t="shared" si="163"/>
        <v>129.30000000000203</v>
      </c>
      <c r="AL871" s="1">
        <f t="shared" si="153"/>
        <v>5.0153723690271779</v>
      </c>
      <c r="AM871" s="1">
        <f t="shared" si="157"/>
        <v>7.5335971432656046E-6</v>
      </c>
      <c r="AN871" s="1">
        <f t="shared" si="158"/>
        <v>7.5335971432656046E-6</v>
      </c>
      <c r="AO871" s="1">
        <f t="shared" si="159"/>
        <v>7.5137974381628245E-6</v>
      </c>
      <c r="AP871" s="1">
        <f t="shared" si="154"/>
        <v>1.4546477236775714</v>
      </c>
      <c r="AQ871" s="1">
        <f t="shared" si="160"/>
        <v>5.5113544520368762E-2</v>
      </c>
      <c r="AR871" s="1">
        <f t="shared" si="161"/>
        <v>0</v>
      </c>
      <c r="AS871" s="1">
        <f t="shared" si="162"/>
        <v>4.9852110287228336E-2</v>
      </c>
    </row>
    <row r="872" spans="35:45" ht="11.25" customHeight="1" x14ac:dyDescent="0.2">
      <c r="AI872" s="3" t="e">
        <f t="shared" si="155"/>
        <v>#N/A</v>
      </c>
      <c r="AJ872" s="3" t="e">
        <f t="shared" si="156"/>
        <v>#N/A</v>
      </c>
      <c r="AK872" s="1">
        <f t="shared" si="163"/>
        <v>129.45000000000203</v>
      </c>
      <c r="AL872" s="1">
        <f t="shared" si="153"/>
        <v>5.0248592020076837</v>
      </c>
      <c r="AM872" s="1">
        <f t="shared" si="157"/>
        <v>7.3133427921446073E-6</v>
      </c>
      <c r="AN872" s="1">
        <f t="shared" si="158"/>
        <v>7.3133427921446073E-6</v>
      </c>
      <c r="AO872" s="1">
        <f t="shared" si="159"/>
        <v>7.2941219567526529E-6</v>
      </c>
      <c r="AP872" s="1">
        <f t="shared" si="154"/>
        <v>1.4632721172962129</v>
      </c>
      <c r="AQ872" s="1">
        <f t="shared" si="160"/>
        <v>5.4443207423426898E-2</v>
      </c>
      <c r="AR872" s="1">
        <f t="shared" si="161"/>
        <v>0</v>
      </c>
      <c r="AS872" s="1">
        <f t="shared" si="162"/>
        <v>4.9245767160920863E-2</v>
      </c>
    </row>
    <row r="873" spans="35:45" ht="11.25" customHeight="1" x14ac:dyDescent="0.2">
      <c r="AI873" s="3" t="e">
        <f t="shared" si="155"/>
        <v>#N/A</v>
      </c>
      <c r="AJ873" s="3" t="e">
        <f t="shared" si="156"/>
        <v>#N/A</v>
      </c>
      <c r="AK873" s="1">
        <f t="shared" si="163"/>
        <v>129.60000000000204</v>
      </c>
      <c r="AL873" s="1">
        <f t="shared" si="153"/>
        <v>5.0343460349881894</v>
      </c>
      <c r="AM873" s="1">
        <f t="shared" si="157"/>
        <v>7.0994427216303463E-6</v>
      </c>
      <c r="AN873" s="1">
        <f t="shared" si="158"/>
        <v>7.0994427216303463E-6</v>
      </c>
      <c r="AO873" s="1">
        <f t="shared" si="159"/>
        <v>7.0807840557089796E-6</v>
      </c>
      <c r="AP873" s="1">
        <f t="shared" si="154"/>
        <v>1.4718965109148541</v>
      </c>
      <c r="AQ873" s="1">
        <f t="shared" si="160"/>
        <v>5.3777539177346512E-2</v>
      </c>
      <c r="AR873" s="1">
        <f t="shared" si="161"/>
        <v>0</v>
      </c>
      <c r="AS873" s="1">
        <f t="shared" si="162"/>
        <v>4.8643647171958064E-2</v>
      </c>
    </row>
    <row r="874" spans="35:45" ht="11.25" customHeight="1" x14ac:dyDescent="0.2">
      <c r="AI874" s="3" t="e">
        <f t="shared" si="155"/>
        <v>#N/A</v>
      </c>
      <c r="AJ874" s="3" t="e">
        <f t="shared" si="156"/>
        <v>#N/A</v>
      </c>
      <c r="AK874" s="1">
        <f t="shared" si="163"/>
        <v>129.75000000000205</v>
      </c>
      <c r="AL874" s="1">
        <f t="shared" si="153"/>
        <v>5.0438328679686943</v>
      </c>
      <c r="AM874" s="1">
        <f t="shared" si="157"/>
        <v>6.8917169546365274E-6</v>
      </c>
      <c r="AN874" s="1">
        <f t="shared" si="158"/>
        <v>6.8917169546365274E-6</v>
      </c>
      <c r="AO874" s="1">
        <f t="shared" si="159"/>
        <v>6.87360423095902E-6</v>
      </c>
      <c r="AP874" s="1">
        <f t="shared" si="154"/>
        <v>1.4805209045334955</v>
      </c>
      <c r="AQ874" s="1">
        <f t="shared" si="160"/>
        <v>5.3116575043365977E-2</v>
      </c>
      <c r="AR874" s="1">
        <f t="shared" si="161"/>
        <v>0</v>
      </c>
      <c r="AS874" s="1">
        <f t="shared" si="162"/>
        <v>4.8045782215351579E-2</v>
      </c>
    </row>
    <row r="875" spans="35:45" ht="11.25" customHeight="1" x14ac:dyDescent="0.2">
      <c r="AI875" s="3" t="e">
        <f t="shared" si="155"/>
        <v>#N/A</v>
      </c>
      <c r="AJ875" s="3" t="e">
        <f t="shared" si="156"/>
        <v>#N/A</v>
      </c>
      <c r="AK875" s="1">
        <f t="shared" si="163"/>
        <v>129.90000000000205</v>
      </c>
      <c r="AL875" s="1">
        <f t="shared" si="153"/>
        <v>5.0533197009492001</v>
      </c>
      <c r="AM875" s="1">
        <f t="shared" si="157"/>
        <v>6.6899904827721251E-6</v>
      </c>
      <c r="AN875" s="1">
        <f t="shared" si="158"/>
        <v>6.6899904827721251E-6</v>
      </c>
      <c r="AO875" s="1">
        <f t="shared" si="159"/>
        <v>6.6724079340665972E-6</v>
      </c>
      <c r="AP875" s="1">
        <f t="shared" si="154"/>
        <v>1.4891452981521369</v>
      </c>
      <c r="AQ875" s="1">
        <f t="shared" si="160"/>
        <v>5.2460348660132716E-2</v>
      </c>
      <c r="AR875" s="1">
        <f t="shared" si="161"/>
        <v>0</v>
      </c>
      <c r="AS875" s="1">
        <f t="shared" si="162"/>
        <v>4.745220271842332E-2</v>
      </c>
    </row>
    <row r="876" spans="35:45" ht="11.25" customHeight="1" x14ac:dyDescent="0.2">
      <c r="AI876" s="3" t="e">
        <f t="shared" si="155"/>
        <v>#N/A</v>
      </c>
      <c r="AJ876" s="3" t="e">
        <f t="shared" si="156"/>
        <v>#N/A</v>
      </c>
      <c r="AK876" s="1">
        <f t="shared" si="163"/>
        <v>130.05000000000206</v>
      </c>
      <c r="AL876" s="1">
        <f t="shared" si="153"/>
        <v>5.0628065339297059</v>
      </c>
      <c r="AM876" s="1">
        <f t="shared" si="157"/>
        <v>6.4940931422002336E-6</v>
      </c>
      <c r="AN876" s="1">
        <f t="shared" si="158"/>
        <v>6.4940931422002336E-6</v>
      </c>
      <c r="AO876" s="1">
        <f t="shared" si="159"/>
        <v>6.4770254484172594E-6</v>
      </c>
      <c r="AP876" s="1">
        <f t="shared" si="154"/>
        <v>1.4977696917707781</v>
      </c>
      <c r="AQ876" s="1">
        <f t="shared" si="160"/>
        <v>5.1808892214677549E-2</v>
      </c>
      <c r="AR876" s="1">
        <f t="shared" si="161"/>
        <v>0</v>
      </c>
      <c r="AS876" s="1">
        <f t="shared" si="162"/>
        <v>4.6862937795457714E-2</v>
      </c>
    </row>
    <row r="877" spans="35:45" ht="11.25" customHeight="1" x14ac:dyDescent="0.2">
      <c r="AI877" s="3" t="e">
        <f t="shared" si="155"/>
        <v>#N/A</v>
      </c>
      <c r="AJ877" s="3" t="e">
        <f t="shared" si="156"/>
        <v>#N/A</v>
      </c>
      <c r="AK877" s="1">
        <f t="shared" si="163"/>
        <v>130.20000000000206</v>
      </c>
      <c r="AL877" s="1">
        <f t="shared" si="153"/>
        <v>5.0722933669102108</v>
      </c>
      <c r="AM877" s="1">
        <f t="shared" si="157"/>
        <v>6.3038594733016485E-6</v>
      </c>
      <c r="AN877" s="1">
        <f t="shared" si="158"/>
        <v>6.3038594733016485E-6</v>
      </c>
      <c r="AO877" s="1">
        <f t="shared" si="159"/>
        <v>6.2872917492506866E-6</v>
      </c>
      <c r="AP877" s="1">
        <f t="shared" si="154"/>
        <v>1.5063940853894195</v>
      </c>
      <c r="AQ877" s="1">
        <f t="shared" si="160"/>
        <v>5.1162236238133652E-2</v>
      </c>
      <c r="AR877" s="1">
        <f t="shared" si="161"/>
        <v>0</v>
      </c>
      <c r="AS877" s="1">
        <f t="shared" si="162"/>
        <v>4.6278015062922381E-2</v>
      </c>
    </row>
    <row r="878" spans="35:45" ht="11.25" customHeight="1" x14ac:dyDescent="0.2">
      <c r="AI878" s="3" t="e">
        <f t="shared" si="155"/>
        <v>#N/A</v>
      </c>
      <c r="AJ878" s="3" t="e">
        <f t="shared" si="156"/>
        <v>#N/A</v>
      </c>
      <c r="AK878" s="1">
        <f t="shared" si="163"/>
        <v>130.35000000000207</v>
      </c>
      <c r="AL878" s="1">
        <f t="shared" si="153"/>
        <v>5.0817801998907166</v>
      </c>
      <c r="AM878" s="1">
        <f t="shared" si="157"/>
        <v>6.1191286030050493E-6</v>
      </c>
      <c r="AN878" s="1">
        <f t="shared" si="158"/>
        <v>6.1191286030050493E-6</v>
      </c>
      <c r="AO878" s="1">
        <f t="shared" si="159"/>
        <v>6.1030463863001395E-6</v>
      </c>
      <c r="AP878" s="1">
        <f t="shared" si="154"/>
        <v>1.515018479008061</v>
      </c>
      <c r="AQ878" s="1">
        <f t="shared" si="160"/>
        <v>5.0520409825560719E-2</v>
      </c>
      <c r="AR878" s="1">
        <f t="shared" si="161"/>
        <v>0</v>
      </c>
      <c r="AS878" s="1">
        <f t="shared" si="162"/>
        <v>4.5697460838306746E-2</v>
      </c>
    </row>
    <row r="879" spans="35:45" ht="11.25" customHeight="1" x14ac:dyDescent="0.2">
      <c r="AI879" s="3" t="e">
        <f t="shared" si="155"/>
        <v>#N/A</v>
      </c>
      <c r="AJ879" s="3" t="e">
        <f t="shared" si="156"/>
        <v>#N/A</v>
      </c>
      <c r="AK879" s="1">
        <f t="shared" si="163"/>
        <v>130.50000000000207</v>
      </c>
      <c r="AL879" s="1">
        <f t="shared" si="153"/>
        <v>5.0912670328712224</v>
      </c>
      <c r="AM879" s="1">
        <f t="shared" si="157"/>
        <v>5.93974411651233E-6</v>
      </c>
      <c r="AN879" s="1">
        <f t="shared" si="158"/>
        <v>5.93974411651233E-6</v>
      </c>
      <c r="AO879" s="1">
        <f t="shared" si="159"/>
        <v>5.9241333558549135E-6</v>
      </c>
      <c r="AP879" s="1">
        <f t="shared" si="154"/>
        <v>1.5236428726267024</v>
      </c>
      <c r="AQ879" s="1">
        <f t="shared" si="160"/>
        <v>4.9883440539910673E-2</v>
      </c>
      <c r="AR879" s="1">
        <f t="shared" si="161"/>
        <v>0</v>
      </c>
      <c r="AS879" s="1">
        <f t="shared" si="162"/>
        <v>4.5121300053255667E-2</v>
      </c>
    </row>
    <row r="880" spans="35:45" ht="11.25" customHeight="1" x14ac:dyDescent="0.2">
      <c r="AI880" s="3" t="e">
        <f t="shared" si="155"/>
        <v>#N/A</v>
      </c>
      <c r="AJ880" s="3" t="e">
        <f t="shared" si="156"/>
        <v>#N/A</v>
      </c>
      <c r="AK880" s="1">
        <f t="shared" si="163"/>
        <v>130.65000000000208</v>
      </c>
      <c r="AL880" s="1">
        <f t="shared" si="153"/>
        <v>5.1007538658517273</v>
      </c>
      <c r="AM880" s="1">
        <f t="shared" si="157"/>
        <v>5.7655539424409318E-6</v>
      </c>
      <c r="AN880" s="1">
        <f t="shared" si="158"/>
        <v>5.7655539424409318E-6</v>
      </c>
      <c r="AO880" s="1">
        <f t="shared" si="159"/>
        <v>5.7504009862045415E-6</v>
      </c>
      <c r="AP880" s="1">
        <f t="shared" si="154"/>
        <v>1.5322672662453436</v>
      </c>
      <c r="AQ880" s="1">
        <f t="shared" si="160"/>
        <v>4.9251354461432584E-2</v>
      </c>
      <c r="AR880" s="1">
        <f t="shared" si="161"/>
        <v>0</v>
      </c>
      <c r="AS880" s="1">
        <f t="shared" si="162"/>
        <v>4.4549556298257922E-2</v>
      </c>
    </row>
    <row r="881" spans="35:45" ht="11.25" customHeight="1" x14ac:dyDescent="0.2">
      <c r="AI881" s="3" t="e">
        <f t="shared" si="155"/>
        <v>#N/A</v>
      </c>
      <c r="AJ881" s="3" t="e">
        <f t="shared" si="156"/>
        <v>#N/A</v>
      </c>
      <c r="AK881" s="1">
        <f t="shared" si="163"/>
        <v>130.80000000000209</v>
      </c>
      <c r="AL881" s="1">
        <f t="shared" si="153"/>
        <v>5.1102406988322331</v>
      </c>
      <c r="AM881" s="1">
        <f t="shared" si="157"/>
        <v>5.5964102329178586E-6</v>
      </c>
      <c r="AN881" s="1">
        <f t="shared" si="158"/>
        <v>5.5964102329178586E-6</v>
      </c>
      <c r="AO881" s="1">
        <f t="shared" si="159"/>
        <v>5.5817018180479445E-6</v>
      </c>
      <c r="AP881" s="1">
        <f t="shared" si="154"/>
        <v>1.540891659863985</v>
      </c>
      <c r="AQ881" s="1">
        <f t="shared" si="160"/>
        <v>4.862417617879089E-2</v>
      </c>
      <c r="AR881" s="1">
        <f t="shared" si="161"/>
        <v>0</v>
      </c>
      <c r="AS881" s="1">
        <f t="shared" si="162"/>
        <v>4.3982251814612287E-2</v>
      </c>
    </row>
    <row r="882" spans="35:45" ht="11.25" customHeight="1" x14ac:dyDescent="0.2">
      <c r="AI882" s="3" t="e">
        <f t="shared" si="155"/>
        <v>#N/A</v>
      </c>
      <c r="AJ882" s="3" t="e">
        <f t="shared" si="156"/>
        <v>#N/A</v>
      </c>
      <c r="AK882" s="1">
        <f t="shared" si="163"/>
        <v>130.95000000000209</v>
      </c>
      <c r="AL882" s="1">
        <f t="shared" si="153"/>
        <v>5.1197275318127389</v>
      </c>
      <c r="AM882" s="1">
        <f t="shared" si="157"/>
        <v>5.4321692508226514E-6</v>
      </c>
      <c r="AN882" s="1">
        <f t="shared" si="158"/>
        <v>5.4321692508226514E-6</v>
      </c>
      <c r="AO882" s="1">
        <f t="shared" si="159"/>
        <v>5.4178924920327519E-6</v>
      </c>
      <c r="AP882" s="1">
        <f t="shared" si="154"/>
        <v>1.5495160534826264</v>
      </c>
      <c r="AQ882" s="1">
        <f t="shared" si="160"/>
        <v>4.8001928825702755E-2</v>
      </c>
      <c r="AR882" s="1">
        <f t="shared" si="161"/>
        <v>0</v>
      </c>
      <c r="AS882" s="1">
        <f t="shared" si="162"/>
        <v>4.3419407527567365E-2</v>
      </c>
    </row>
    <row r="883" spans="35:45" ht="11.25" customHeight="1" x14ac:dyDescent="0.2">
      <c r="AI883" s="3" t="e">
        <f t="shared" si="155"/>
        <v>#N/A</v>
      </c>
      <c r="AJ883" s="3" t="e">
        <f t="shared" si="156"/>
        <v>#N/A</v>
      </c>
      <c r="AK883" s="1">
        <f t="shared" si="163"/>
        <v>131.1000000000021</v>
      </c>
      <c r="AL883" s="1">
        <f t="shared" si="153"/>
        <v>5.1292143647932438</v>
      </c>
      <c r="AM883" s="1">
        <f t="shared" si="157"/>
        <v>5.2726912565899051E-6</v>
      </c>
      <c r="AN883" s="1">
        <f t="shared" si="158"/>
        <v>5.2726912565899051E-6</v>
      </c>
      <c r="AO883" s="1">
        <f t="shared" si="159"/>
        <v>5.2588336358553259E-6</v>
      </c>
      <c r="AP883" s="1">
        <f t="shared" si="154"/>
        <v>1.5581404471012676</v>
      </c>
      <c r="AQ883" s="1">
        <f t="shared" si="160"/>
        <v>4.7384634081493182E-2</v>
      </c>
      <c r="AR883" s="1">
        <f t="shared" si="161"/>
        <v>0</v>
      </c>
      <c r="AS883" s="1">
        <f t="shared" si="162"/>
        <v>4.2861043046823637E-2</v>
      </c>
    </row>
    <row r="884" spans="35:45" ht="11.25" customHeight="1" x14ac:dyDescent="0.2">
      <c r="AI884" s="3" t="e">
        <f t="shared" si="155"/>
        <v>#N/A</v>
      </c>
      <c r="AJ884" s="3" t="e">
        <f t="shared" si="156"/>
        <v>#N/A</v>
      </c>
      <c r="AK884" s="1">
        <f t="shared" si="163"/>
        <v>131.2500000000021</v>
      </c>
      <c r="AL884" s="1">
        <f t="shared" si="153"/>
        <v>5.1387011977737496</v>
      </c>
      <c r="AM884" s="1">
        <f t="shared" si="157"/>
        <v>5.1178404094113453E-6</v>
      </c>
      <c r="AN884" s="1">
        <f t="shared" si="158"/>
        <v>5.1178404094113453E-6</v>
      </c>
      <c r="AO884" s="1">
        <f t="shared" si="159"/>
        <v>5.104389765722491E-6</v>
      </c>
      <c r="AP884" s="1">
        <f t="shared" si="154"/>
        <v>1.5667648407199091</v>
      </c>
      <c r="AQ884" s="1">
        <f t="shared" si="160"/>
        <v>4.6772312192189247E-2</v>
      </c>
      <c r="AR884" s="1">
        <f t="shared" si="161"/>
        <v>0</v>
      </c>
      <c r="AS884" s="1">
        <f t="shared" si="162"/>
        <v>4.230717668561397E-2</v>
      </c>
    </row>
    <row r="885" spans="35:45" ht="11.25" customHeight="1" x14ac:dyDescent="0.2">
      <c r="AI885" s="3" t="e">
        <f t="shared" si="155"/>
        <v>#N/A</v>
      </c>
      <c r="AJ885" s="3" t="e">
        <f t="shared" si="156"/>
        <v>#N/A</v>
      </c>
      <c r="AK885" s="1">
        <f t="shared" si="163"/>
        <v>131.40000000000211</v>
      </c>
      <c r="AL885" s="1">
        <f t="shared" si="153"/>
        <v>5.1481880307542554</v>
      </c>
      <c r="AM885" s="1">
        <f t="shared" si="157"/>
        <v>4.967484646584456E-6</v>
      </c>
      <c r="AN885" s="1">
        <f t="shared" si="158"/>
        <v>4.967484646584456E-6</v>
      </c>
      <c r="AO885" s="1">
        <f t="shared" si="159"/>
        <v>4.9544291660172639E-6</v>
      </c>
      <c r="AP885" s="1">
        <f t="shared" si="154"/>
        <v>1.5753892343385505</v>
      </c>
      <c r="AQ885" s="1">
        <f t="shared" si="160"/>
        <v>4.6164982004659461E-2</v>
      </c>
      <c r="AR885" s="1">
        <f t="shared" si="161"/>
        <v>0</v>
      </c>
      <c r="AS885" s="1">
        <f t="shared" si="162"/>
        <v>4.1757825491583828E-2</v>
      </c>
    </row>
    <row r="886" spans="35:45" ht="11.25" customHeight="1" x14ac:dyDescent="0.2">
      <c r="AI886" s="3" t="e">
        <f t="shared" si="155"/>
        <v>#N/A</v>
      </c>
      <c r="AJ886" s="3" t="e">
        <f t="shared" si="156"/>
        <v>#N/A</v>
      </c>
      <c r="AK886" s="1">
        <f t="shared" si="163"/>
        <v>131.55000000000211</v>
      </c>
      <c r="AL886" s="1">
        <f t="shared" si="153"/>
        <v>5.1576748637347603</v>
      </c>
      <c r="AM886" s="1">
        <f t="shared" si="157"/>
        <v>4.8214955981484983E-6</v>
      </c>
      <c r="AN886" s="1">
        <f t="shared" si="158"/>
        <v>4.8214955981484983E-6</v>
      </c>
      <c r="AO886" s="1">
        <f t="shared" si="159"/>
        <v>4.8088238041592184E-6</v>
      </c>
      <c r="AP886" s="1">
        <f t="shared" si="154"/>
        <v>1.5840136279571919</v>
      </c>
      <c r="AQ886" s="1">
        <f t="shared" si="160"/>
        <v>4.5562660931086629E-2</v>
      </c>
      <c r="AR886" s="1">
        <f t="shared" si="161"/>
        <v>0</v>
      </c>
      <c r="AS886" s="1">
        <f t="shared" si="162"/>
        <v>4.1213005214655762E-2</v>
      </c>
    </row>
    <row r="887" spans="35:45" ht="11.25" customHeight="1" x14ac:dyDescent="0.2">
      <c r="AI887" s="3" t="e">
        <f t="shared" si="155"/>
        <v>#N/A</v>
      </c>
      <c r="AJ887" s="3" t="e">
        <f t="shared" si="156"/>
        <v>#N/A</v>
      </c>
      <c r="AK887" s="1">
        <f t="shared" si="163"/>
        <v>131.70000000000212</v>
      </c>
      <c r="AL887" s="1">
        <f t="shared" si="153"/>
        <v>5.167161696715266</v>
      </c>
      <c r="AM887" s="1">
        <f t="shared" si="157"/>
        <v>4.6797484764483552E-6</v>
      </c>
      <c r="AN887" s="1">
        <f t="shared" si="158"/>
        <v>4.6797484764483552E-6</v>
      </c>
      <c r="AO887" s="1">
        <f t="shared" si="159"/>
        <v>4.6674492204585801E-6</v>
      </c>
      <c r="AP887" s="1">
        <f t="shared" si="154"/>
        <v>1.5926380215758331</v>
      </c>
      <c r="AQ887" s="1">
        <f t="shared" si="160"/>
        <v>4.4965365043336813E-2</v>
      </c>
      <c r="AR887" s="1">
        <f t="shared" si="161"/>
        <v>0</v>
      </c>
      <c r="AS887" s="1">
        <f t="shared" si="162"/>
        <v>4.0672730392389396E-2</v>
      </c>
    </row>
    <row r="888" spans="35:45" ht="11.25" customHeight="1" x14ac:dyDescent="0.2">
      <c r="AI888" s="3" t="e">
        <f t="shared" si="155"/>
        <v>#N/A</v>
      </c>
      <c r="AJ888" s="3" t="e">
        <f t="shared" si="156"/>
        <v>#N/A</v>
      </c>
      <c r="AK888" s="1">
        <f t="shared" si="163"/>
        <v>131.85000000000213</v>
      </c>
      <c r="AL888" s="1">
        <f t="shared" si="153"/>
        <v>5.1766485296957718</v>
      </c>
      <c r="AM888" s="1">
        <f t="shared" si="157"/>
        <v>4.542121979674419E-6</v>
      </c>
      <c r="AN888" s="1">
        <f t="shared" si="158"/>
        <v>4.542121979674419E-6</v>
      </c>
      <c r="AO888" s="1">
        <f t="shared" si="159"/>
        <v>4.5301844319096306E-6</v>
      </c>
      <c r="AP888" s="1">
        <f t="shared" si="154"/>
        <v>1.6012624151944745</v>
      </c>
      <c r="AQ888" s="1">
        <f t="shared" si="160"/>
        <v>4.4373109026607516E-2</v>
      </c>
      <c r="AR888" s="1">
        <f t="shared" si="161"/>
        <v>0</v>
      </c>
      <c r="AS888" s="1">
        <f t="shared" si="162"/>
        <v>4.0137014308054594E-2</v>
      </c>
    </row>
    <row r="889" spans="35:45" ht="11.25" customHeight="1" x14ac:dyDescent="0.2">
      <c r="AI889" s="3" t="e">
        <f t="shared" si="155"/>
        <v>#N/A</v>
      </c>
      <c r="AJ889" s="3" t="e">
        <f t="shared" si="156"/>
        <v>#N/A</v>
      </c>
      <c r="AK889" s="1">
        <f t="shared" si="163"/>
        <v>132.00000000000213</v>
      </c>
      <c r="AL889" s="1">
        <f t="shared" si="153"/>
        <v>5.1861353626762767</v>
      </c>
      <c r="AM889" s="1">
        <f t="shared" si="157"/>
        <v>4.4084982025514399E-6</v>
      </c>
      <c r="AN889" s="1">
        <f t="shared" si="158"/>
        <v>4.4084982025514399E-6</v>
      </c>
      <c r="AO889" s="1">
        <f t="shared" si="159"/>
        <v>4.3969118431142775E-6</v>
      </c>
      <c r="AP889" s="1">
        <f t="shared" si="154"/>
        <v>1.609886808813116</v>
      </c>
      <c r="AQ889" s="1">
        <f t="shared" si="160"/>
        <v>4.3785906200521918E-2</v>
      </c>
      <c r="AR889" s="1">
        <f t="shared" si="161"/>
        <v>0</v>
      </c>
      <c r="AS889" s="1">
        <f t="shared" si="162"/>
        <v>3.9605869009711962E-2</v>
      </c>
    </row>
    <row r="890" spans="35:45" ht="11.25" customHeight="1" x14ac:dyDescent="0.2">
      <c r="AI890" s="3" t="e">
        <f t="shared" si="155"/>
        <v>#N/A</v>
      </c>
      <c r="AJ890" s="3" t="e">
        <f t="shared" si="156"/>
        <v>#N/A</v>
      </c>
      <c r="AK890" s="1">
        <f t="shared" si="163"/>
        <v>132.15000000000214</v>
      </c>
      <c r="AL890" s="1">
        <f t="shared" si="153"/>
        <v>5.1956221956567825</v>
      </c>
      <c r="AM890" s="1">
        <f t="shared" si="157"/>
        <v>4.2787625396581812E-6</v>
      </c>
      <c r="AN890" s="1">
        <f t="shared" si="158"/>
        <v>4.2787625396581812E-6</v>
      </c>
      <c r="AO890" s="1">
        <f t="shared" si="159"/>
        <v>4.2675171498558104E-6</v>
      </c>
      <c r="AP890" s="1">
        <f t="shared" si="154"/>
        <v>1.6185112024317574</v>
      </c>
      <c r="AQ890" s="1">
        <f t="shared" si="160"/>
        <v>4.3203768577693147E-2</v>
      </c>
      <c r="AR890" s="1">
        <f t="shared" si="161"/>
        <v>0</v>
      </c>
      <c r="AS890" s="1">
        <f t="shared" si="162"/>
        <v>3.9079305363186205E-2</v>
      </c>
    </row>
    <row r="891" spans="35:45" ht="11.25" customHeight="1" x14ac:dyDescent="0.2">
      <c r="AI891" s="3" t="e">
        <f t="shared" si="155"/>
        <v>#N/A</v>
      </c>
      <c r="AJ891" s="3" t="e">
        <f t="shared" si="156"/>
        <v>#N/A</v>
      </c>
      <c r="AK891" s="1">
        <f t="shared" si="163"/>
        <v>132.30000000000214</v>
      </c>
      <c r="AL891" s="1">
        <f t="shared" si="153"/>
        <v>5.2051090286372883</v>
      </c>
      <c r="AM891" s="1">
        <f t="shared" si="157"/>
        <v>4.1528035960485055E-6</v>
      </c>
      <c r="AN891" s="1">
        <f t="shared" si="158"/>
        <v>4.1528035960485055E-6</v>
      </c>
      <c r="AO891" s="1">
        <f t="shared" si="159"/>
        <v>4.1418892499548835E-6</v>
      </c>
      <c r="AP891" s="1">
        <f t="shared" si="154"/>
        <v>1.6271355960503986</v>
      </c>
      <c r="AQ891" s="1">
        <f t="shared" si="160"/>
        <v>4.262670682209091E-2</v>
      </c>
      <c r="AR891" s="1">
        <f t="shared" si="161"/>
        <v>0</v>
      </c>
      <c r="AS891" s="1">
        <f t="shared" si="162"/>
        <v>3.8557333014407363E-2</v>
      </c>
    </row>
    <row r="892" spans="35:45" ht="11.25" customHeight="1" x14ac:dyDescent="0.2">
      <c r="AI892" s="3" t="e">
        <f t="shared" si="155"/>
        <v>#N/A</v>
      </c>
      <c r="AJ892" s="3" t="e">
        <f t="shared" si="156"/>
        <v>#N/A</v>
      </c>
      <c r="AK892" s="1">
        <f t="shared" si="163"/>
        <v>132.45000000000215</v>
      </c>
      <c r="AL892" s="1">
        <f t="shared" si="153"/>
        <v>5.2145958616177932</v>
      </c>
      <c r="AM892" s="1">
        <f t="shared" si="157"/>
        <v>4.0305131042421463E-6</v>
      </c>
      <c r="AN892" s="1">
        <f t="shared" si="158"/>
        <v>4.0305131042421463E-6</v>
      </c>
      <c r="AO892" s="1">
        <f t="shared" si="159"/>
        <v>4.0199201604784598E-6</v>
      </c>
      <c r="AP892" s="1">
        <f t="shared" si="154"/>
        <v>1.63575998966904</v>
      </c>
      <c r="AQ892" s="1">
        <f t="shared" si="160"/>
        <v>4.2054730344243119E-2</v>
      </c>
      <c r="AR892" s="1">
        <f t="shared" si="161"/>
        <v>0</v>
      </c>
      <c r="AS892" s="1">
        <f t="shared" si="162"/>
        <v>3.8039960475523923E-2</v>
      </c>
    </row>
    <row r="893" spans="35:45" ht="11.25" customHeight="1" x14ac:dyDescent="0.2">
      <c r="AI893" s="3" t="e">
        <f t="shared" si="155"/>
        <v>#N/A</v>
      </c>
      <c r="AJ893" s="3" t="e">
        <f t="shared" si="156"/>
        <v>#N/A</v>
      </c>
      <c r="AK893" s="1">
        <f t="shared" si="163"/>
        <v>132.60000000000215</v>
      </c>
      <c r="AL893" s="1">
        <f t="shared" si="153"/>
        <v>5.224082694598299</v>
      </c>
      <c r="AM893" s="1">
        <f t="shared" si="157"/>
        <v>3.9117858324402139E-6</v>
      </c>
      <c r="AN893" s="1">
        <f t="shared" si="158"/>
        <v>3.9117858324402139E-6</v>
      </c>
      <c r="AO893" s="1">
        <f t="shared" si="159"/>
        <v>3.9015049261965363E-6</v>
      </c>
      <c r="AP893" s="1">
        <f t="shared" si="154"/>
        <v>1.6443843832876814</v>
      </c>
      <c r="AQ893" s="1">
        <f t="shared" si="160"/>
        <v>4.1487847240451181E-2</v>
      </c>
      <c r="AR893" s="1">
        <f t="shared" si="161"/>
        <v>0</v>
      </c>
      <c r="AS893" s="1">
        <f t="shared" si="162"/>
        <v>3.7527195069920999E-2</v>
      </c>
    </row>
    <row r="894" spans="35:45" ht="11.25" customHeight="1" x14ac:dyDescent="0.2">
      <c r="AI894" s="3" t="e">
        <f t="shared" si="155"/>
        <v>#N/A</v>
      </c>
      <c r="AJ894" s="3" t="e">
        <f t="shared" si="156"/>
        <v>#N/A</v>
      </c>
      <c r="AK894" s="1">
        <f t="shared" si="163"/>
        <v>132.75000000000216</v>
      </c>
      <c r="AL894" s="1">
        <f t="shared" si="153"/>
        <v>5.2335695275788048</v>
      </c>
      <c r="AM894" s="1">
        <f t="shared" si="157"/>
        <v>3.7965195068522797E-6</v>
      </c>
      <c r="AN894" s="1">
        <f t="shared" si="158"/>
        <v>3.7965195068522797E-6</v>
      </c>
      <c r="AO894" s="1">
        <f t="shared" si="159"/>
        <v>3.7865415421133739E-6</v>
      </c>
      <c r="AP894" s="1">
        <f t="shared" si="154"/>
        <v>1.6530087769063226</v>
      </c>
      <c r="AQ894" s="1">
        <f t="shared" si="160"/>
        <v>4.0926064349966484E-2</v>
      </c>
      <c r="AR894" s="1">
        <f t="shared" si="161"/>
        <v>0</v>
      </c>
      <c r="AS894" s="1">
        <f t="shared" si="162"/>
        <v>3.7019042983938384E-2</v>
      </c>
    </row>
    <row r="895" spans="35:45" ht="11.25" customHeight="1" x14ac:dyDescent="0.2">
      <c r="AI895" s="3" t="e">
        <f t="shared" si="155"/>
        <v>#N/A</v>
      </c>
      <c r="AJ895" s="3" t="e">
        <f t="shared" si="156"/>
        <v>#N/A</v>
      </c>
      <c r="AK895" s="1">
        <f t="shared" si="163"/>
        <v>132.90000000000217</v>
      </c>
      <c r="AL895" s="1">
        <f t="shared" si="153"/>
        <v>5.2430563605593097</v>
      </c>
      <c r="AM895" s="1">
        <f t="shared" si="157"/>
        <v>3.6846147289581945E-6</v>
      </c>
      <c r="AN895" s="1">
        <f t="shared" si="158"/>
        <v>3.6846147289581945E-6</v>
      </c>
      <c r="AO895" s="1">
        <f t="shared" si="159"/>
        <v>3.6749308709467602E-6</v>
      </c>
      <c r="AP895" s="1">
        <f t="shared" si="154"/>
        <v>1.6616331705249641</v>
      </c>
      <c r="AQ895" s="1">
        <f t="shared" si="160"/>
        <v>4.0369387291627756E-2</v>
      </c>
      <c r="AR895" s="1">
        <f t="shared" si="161"/>
        <v>0</v>
      </c>
      <c r="AS895" s="1">
        <f t="shared" si="162"/>
        <v>3.6515509300010365E-2</v>
      </c>
    </row>
    <row r="896" spans="35:45" ht="11.25" customHeight="1" x14ac:dyDescent="0.2">
      <c r="AI896" s="3" t="e">
        <f t="shared" si="155"/>
        <v>#N/A</v>
      </c>
      <c r="AJ896" s="3" t="e">
        <f t="shared" si="156"/>
        <v>#N/A</v>
      </c>
      <c r="AK896" s="1">
        <f t="shared" si="163"/>
        <v>133.05000000000217</v>
      </c>
      <c r="AL896" s="1">
        <f t="shared" si="153"/>
        <v>5.2525431935398155</v>
      </c>
      <c r="AM896" s="1">
        <f t="shared" si="157"/>
        <v>3.5759748944131546E-6</v>
      </c>
      <c r="AN896" s="1">
        <f t="shared" si="158"/>
        <v>3.5759748944131546E-6</v>
      </c>
      <c r="AO896" s="1">
        <f t="shared" si="159"/>
        <v>3.566576562246214E-6</v>
      </c>
      <c r="AP896" s="1">
        <f t="shared" si="154"/>
        <v>1.6702575641436055</v>
      </c>
      <c r="AQ896" s="1">
        <f t="shared" si="160"/>
        <v>3.9817820420007255E-2</v>
      </c>
      <c r="AR896" s="1">
        <f t="shared" si="161"/>
        <v>0</v>
      </c>
      <c r="AS896" s="1">
        <f t="shared" si="162"/>
        <v>3.6016597956998402E-2</v>
      </c>
    </row>
    <row r="897" spans="35:45" ht="11.25" customHeight="1" x14ac:dyDescent="0.2">
      <c r="AI897" s="3" t="e">
        <f t="shared" si="155"/>
        <v>#N/A</v>
      </c>
      <c r="AJ897" s="3" t="e">
        <f t="shared" si="156"/>
        <v>#N/A</v>
      </c>
      <c r="AK897" s="1">
        <f t="shared" si="163"/>
        <v>133.20000000000218</v>
      </c>
      <c r="AL897" s="1">
        <f t="shared" si="153"/>
        <v>5.2620300265203213</v>
      </c>
      <c r="AM897" s="1">
        <f t="shared" si="157"/>
        <v>3.4705061244041523E-6</v>
      </c>
      <c r="AN897" s="1">
        <f t="shared" si="158"/>
        <v>3.4705061244041523E-6</v>
      </c>
      <c r="AO897" s="1">
        <f t="shared" si="159"/>
        <v>3.4613849839298413E-6</v>
      </c>
      <c r="AP897" s="1">
        <f t="shared" si="154"/>
        <v>1.6788819577622469</v>
      </c>
      <c r="AQ897" s="1">
        <f t="shared" si="160"/>
        <v>3.9271366918114392E-2</v>
      </c>
      <c r="AR897" s="1">
        <f t="shared" si="161"/>
        <v>0</v>
      </c>
      <c r="AS897" s="1">
        <f t="shared" si="162"/>
        <v>3.5522311834044779E-2</v>
      </c>
    </row>
    <row r="898" spans="35:45" ht="11.25" customHeight="1" x14ac:dyDescent="0.2">
      <c r="AI898" s="3" t="e">
        <f t="shared" si="155"/>
        <v>#N/A</v>
      </c>
      <c r="AJ898" s="3" t="e">
        <f t="shared" si="156"/>
        <v>#N/A</v>
      </c>
      <c r="AK898" s="1">
        <f t="shared" si="163"/>
        <v>133.35000000000218</v>
      </c>
      <c r="AL898" s="1">
        <f t="shared" si="153"/>
        <v>5.2715168595008262</v>
      </c>
      <c r="AM898" s="1">
        <f t="shared" si="157"/>
        <v>3.3681171810144431E-6</v>
      </c>
      <c r="AN898" s="1">
        <f t="shared" si="158"/>
        <v>3.3681171810144431E-6</v>
      </c>
      <c r="AO898" s="1">
        <f t="shared" si="159"/>
        <v>3.359265137871241E-6</v>
      </c>
      <c r="AP898" s="1">
        <f t="shared" si="154"/>
        <v>1.6875063513808881</v>
      </c>
      <c r="AQ898" s="1">
        <f t="shared" si="160"/>
        <v>3.87300287837955E-2</v>
      </c>
      <c r="AR898" s="1">
        <f t="shared" si="161"/>
        <v>0</v>
      </c>
      <c r="AS898" s="1">
        <f t="shared" si="162"/>
        <v>3.5032652738270706E-2</v>
      </c>
    </row>
    <row r="899" spans="35:45" ht="11.25" customHeight="1" x14ac:dyDescent="0.2">
      <c r="AI899" s="3" t="e">
        <f t="shared" si="155"/>
        <v>#N/A</v>
      </c>
      <c r="AJ899" s="3" t="e">
        <f t="shared" si="156"/>
        <v>#N/A</v>
      </c>
      <c r="AK899" s="1">
        <f t="shared" si="163"/>
        <v>133.50000000000219</v>
      </c>
      <c r="AL899" s="1">
        <f t="shared" si="153"/>
        <v>5.2810036924813319</v>
      </c>
      <c r="AM899" s="1">
        <f t="shared" si="157"/>
        <v>3.2687194036452535E-6</v>
      </c>
      <c r="AN899" s="1">
        <f t="shared" si="158"/>
        <v>3.2687194036452535E-6</v>
      </c>
      <c r="AO899" s="1">
        <f t="shared" si="159"/>
        <v>3.260128596488308E-6</v>
      </c>
      <c r="AP899" s="1">
        <f t="shared" si="154"/>
        <v>1.6961307449995295</v>
      </c>
      <c r="AQ899" s="1">
        <f t="shared" si="160"/>
        <v>3.8193806795594476E-2</v>
      </c>
      <c r="AR899" s="1">
        <f t="shared" si="161"/>
        <v>0</v>
      </c>
      <c r="AS899" s="1">
        <f t="shared" si="162"/>
        <v>3.4547621373896116E-2</v>
      </c>
    </row>
    <row r="900" spans="35:45" ht="11.25" customHeight="1" x14ac:dyDescent="0.2">
      <c r="AI900" s="3" t="e">
        <f t="shared" si="155"/>
        <v>#N/A</v>
      </c>
      <c r="AJ900" s="3" t="e">
        <f t="shared" si="156"/>
        <v>#N/A</v>
      </c>
      <c r="AK900" s="1">
        <f t="shared" si="163"/>
        <v>133.65000000000219</v>
      </c>
      <c r="AL900" s="1">
        <f t="shared" si="153"/>
        <v>5.2904905254618377</v>
      </c>
      <c r="AM900" s="1">
        <f t="shared" si="157"/>
        <v>3.1722266304958261E-6</v>
      </c>
      <c r="AN900" s="1">
        <f t="shared" si="158"/>
        <v>3.1722266304958261E-6</v>
      </c>
      <c r="AO900" s="1">
        <f t="shared" si="159"/>
        <v>3.1638894244296444E-6</v>
      </c>
      <c r="AP900" s="1">
        <f t="shared" si="154"/>
        <v>1.704755138618171</v>
      </c>
      <c r="AQ900" s="1">
        <f t="shared" si="160"/>
        <v>3.7662700655693993E-2</v>
      </c>
      <c r="AR900" s="1">
        <f t="shared" si="161"/>
        <v>0</v>
      </c>
      <c r="AS900" s="1">
        <f t="shared" si="162"/>
        <v>3.4067217471534912E-2</v>
      </c>
    </row>
    <row r="901" spans="35:45" ht="11.25" customHeight="1" x14ac:dyDescent="0.2">
      <c r="AI901" s="3" t="e">
        <f t="shared" si="155"/>
        <v>#N/A</v>
      </c>
      <c r="AJ901" s="3" t="e">
        <f t="shared" si="156"/>
        <v>#N/A</v>
      </c>
      <c r="AK901" s="1">
        <f t="shared" si="163"/>
        <v>133.8000000000022</v>
      </c>
      <c r="AL901" s="1">
        <f t="shared" si="153"/>
        <v>5.2999773584423426</v>
      </c>
      <c r="AM901" s="1">
        <f t="shared" si="157"/>
        <v>3.0785551366961335E-6</v>
      </c>
      <c r="AN901" s="1">
        <f t="shared" si="158"/>
        <v>3.0785551366961335E-6</v>
      </c>
      <c r="AO901" s="1">
        <f t="shared" si="159"/>
        <v>3.0704641168698718E-6</v>
      </c>
      <c r="AP901" s="1">
        <f t="shared" si="154"/>
        <v>1.7133795322368124</v>
      </c>
      <c r="AQ901" s="1">
        <f t="shared" si="160"/>
        <v>3.7136708874174744E-2</v>
      </c>
      <c r="AR901" s="1">
        <f t="shared" si="161"/>
        <v>0</v>
      </c>
      <c r="AS901" s="1">
        <f t="shared" si="162"/>
        <v>3.359143968350347E-2</v>
      </c>
    </row>
    <row r="902" spans="35:45" ht="11.25" customHeight="1" x14ac:dyDescent="0.2">
      <c r="AI902" s="3" t="e">
        <f t="shared" si="155"/>
        <v>#N/A</v>
      </c>
      <c r="AJ902" s="3" t="e">
        <f t="shared" si="156"/>
        <v>#N/A</v>
      </c>
      <c r="AK902" s="1">
        <f t="shared" si="163"/>
        <v>133.95000000000221</v>
      </c>
      <c r="AL902" s="1">
        <f t="shared" si="153"/>
        <v>5.3094641914228484</v>
      </c>
      <c r="AM902" s="1">
        <f t="shared" si="157"/>
        <v>2.9876235635626865E-6</v>
      </c>
      <c r="AN902" s="1">
        <f t="shared" si="158"/>
        <v>2.9876235635626865E-6</v>
      </c>
      <c r="AO902" s="1">
        <f t="shared" si="159"/>
        <v>2.9797715289513674E-6</v>
      </c>
      <c r="AP902" s="1">
        <f t="shared" si="154"/>
        <v>1.7220039258554536</v>
      </c>
      <c r="AQ902" s="1">
        <f t="shared" si="160"/>
        <v>3.6615828892250228E-2</v>
      </c>
      <c r="AR902" s="1">
        <f t="shared" si="161"/>
        <v>0</v>
      </c>
      <c r="AS902" s="1">
        <f t="shared" si="162"/>
        <v>3.3120285695290762E-2</v>
      </c>
    </row>
    <row r="903" spans="35:45" ht="11.25" customHeight="1" x14ac:dyDescent="0.2">
      <c r="AI903" s="3" t="e">
        <f t="shared" si="155"/>
        <v>#N/A</v>
      </c>
      <c r="AJ903" s="3" t="e">
        <f t="shared" si="156"/>
        <v>#N/A</v>
      </c>
      <c r="AK903" s="1">
        <f t="shared" si="163"/>
        <v>134.10000000000221</v>
      </c>
      <c r="AL903" s="1">
        <f t="shared" si="153"/>
        <v>5.3189510244033542</v>
      </c>
      <c r="AM903" s="1">
        <f t="shared" si="157"/>
        <v>2.8993528518184565E-6</v>
      </c>
      <c r="AN903" s="1">
        <f t="shared" si="158"/>
        <v>2.8993528518184565E-6</v>
      </c>
      <c r="AO903" s="1">
        <f t="shared" si="159"/>
        <v>2.8917328091796986E-6</v>
      </c>
      <c r="AP903" s="1">
        <f t="shared" si="154"/>
        <v>1.730628319474095</v>
      </c>
      <c r="AQ903" s="1">
        <f t="shared" si="160"/>
        <v>3.6100057028698444E-2</v>
      </c>
      <c r="AR903" s="1">
        <f t="shared" si="161"/>
        <v>0</v>
      </c>
      <c r="AS903" s="1">
        <f t="shared" si="162"/>
        <v>3.2653752177103958E-2</v>
      </c>
    </row>
    <row r="904" spans="35:45" ht="11.25" customHeight="1" x14ac:dyDescent="0.2">
      <c r="AI904" s="3" t="e">
        <f t="shared" si="155"/>
        <v>#N/A</v>
      </c>
      <c r="AJ904" s="3" t="e">
        <f t="shared" si="156"/>
        <v>#N/A</v>
      </c>
      <c r="AK904" s="1">
        <f t="shared" si="163"/>
        <v>134.25000000000222</v>
      </c>
      <c r="AL904" s="1">
        <f t="shared" si="153"/>
        <v>5.3284378573838591</v>
      </c>
      <c r="AM904" s="1">
        <f t="shared" si="157"/>
        <v>2.8136661837574657E-6</v>
      </c>
      <c r="AN904" s="1">
        <f t="shared" si="158"/>
        <v>2.8136661837574657E-6</v>
      </c>
      <c r="AO904" s="1">
        <f t="shared" si="159"/>
        <v>2.8062713417402147E-6</v>
      </c>
      <c r="AP904" s="1">
        <f t="shared" si="154"/>
        <v>1.7392527130927364</v>
      </c>
      <c r="AQ904" s="1">
        <f t="shared" si="160"/>
        <v>3.5589388545087523E-2</v>
      </c>
      <c r="AR904" s="1">
        <f t="shared" si="161"/>
        <v>0</v>
      </c>
      <c r="AS904" s="1">
        <f t="shared" si="162"/>
        <v>3.2191834842867278E-2</v>
      </c>
    </row>
    <row r="905" spans="35:45" ht="11.25" customHeight="1" x14ac:dyDescent="0.2">
      <c r="AI905" s="3" t="e">
        <f t="shared" si="155"/>
        <v>#N/A</v>
      </c>
      <c r="AJ905" s="3" t="e">
        <f t="shared" si="156"/>
        <v>#N/A</v>
      </c>
      <c r="AK905" s="1">
        <f t="shared" si="163"/>
        <v>134.40000000000222</v>
      </c>
      <c r="AL905" s="1">
        <f t="shared" ref="AL905:AL968" si="164">ABS(($AL$5-AK905)/$AL$6)</f>
        <v>5.3379246903643649</v>
      </c>
      <c r="AM905" s="1">
        <f t="shared" si="157"/>
        <v>2.7304889177013779E-6</v>
      </c>
      <c r="AN905" s="1">
        <f t="shared" si="158"/>
        <v>2.7304889177013779E-6</v>
      </c>
      <c r="AO905" s="1">
        <f t="shared" si="159"/>
        <v>2.7233126811268986E-6</v>
      </c>
      <c r="AP905" s="1">
        <f t="shared" ref="AP905:AP968" si="165">ABS(($AP$5-AK905)/$AP$6)</f>
        <v>1.7478771067113776</v>
      </c>
      <c r="AQ905" s="1">
        <f t="shared" si="160"/>
        <v>3.5083817651326836E-2</v>
      </c>
      <c r="AR905" s="1">
        <f t="shared" si="161"/>
        <v>0</v>
      </c>
      <c r="AS905" s="1">
        <f t="shared" si="162"/>
        <v>3.1734528455243168E-2</v>
      </c>
    </row>
    <row r="906" spans="35:45" ht="11.25" customHeight="1" x14ac:dyDescent="0.2">
      <c r="AI906" s="3" t="e">
        <f t="shared" ref="AI906:AI969" si="166">IF($M$18,AI905,NA())</f>
        <v>#N/A</v>
      </c>
      <c r="AJ906" s="3" t="e">
        <f t="shared" ref="AJ906:AJ969" si="167">IF($M$18,AJ905,NA())</f>
        <v>#N/A</v>
      </c>
      <c r="AK906" s="1">
        <f t="shared" si="163"/>
        <v>134.55000000000223</v>
      </c>
      <c r="AL906" s="1">
        <f t="shared" si="164"/>
        <v>5.3474115233448707</v>
      </c>
      <c r="AM906" s="1">
        <f t="shared" ref="AM906:AM969" si="168">$AL$3*ABS((TDIST(AL906,$AL$7,1)-TDIST(AL906+$AL$1,$AL$7,1))/($AL$1))</f>
        <v>2.6497485268437196E-6</v>
      </c>
      <c r="AN906" s="1">
        <f t="shared" ref="AN906:AN969" si="169">IF(($D$10&gt;$AJ$5)=($D$10&gt;AK906),AM906,0)</f>
        <v>2.6497485268437196E-6</v>
      </c>
      <c r="AO906" s="1">
        <f t="shared" ref="AO906:AO969" si="170">AM906*$AN$5/$AN$7</f>
        <v>2.6427844911473152E-6</v>
      </c>
      <c r="AP906" s="1">
        <f t="shared" si="165"/>
        <v>1.7565015003300191</v>
      </c>
      <c r="AQ906" s="1">
        <f t="shared" ref="AQ906:AQ969" si="171">$AL$3*ABS((TDIST(AP906,$AP$7,1)-TDIST(AP906+$AL$1,$AP$7,1))/($AL$1))</f>
        <v>3.4583337519822337E-2</v>
      </c>
      <c r="AR906" s="1">
        <f t="shared" ref="AR906:AR969" si="172">IF(($D$19&gt;$AJ$5)=($D$19&gt;AK906),AQ906,0)</f>
        <v>0</v>
      </c>
      <c r="AS906" s="1">
        <f t="shared" ref="AS906:AS969" si="173">AQ906*$AN$5/$AR$7</f>
        <v>3.1281826838436291E-2</v>
      </c>
    </row>
    <row r="907" spans="35:45" ht="11.25" customHeight="1" x14ac:dyDescent="0.2">
      <c r="AI907" s="3" t="e">
        <f t="shared" si="166"/>
        <v>#N/A</v>
      </c>
      <c r="AJ907" s="3" t="e">
        <f t="shared" si="167"/>
        <v>#N/A</v>
      </c>
      <c r="AK907" s="1">
        <f t="shared" si="163"/>
        <v>134.70000000000223</v>
      </c>
      <c r="AL907" s="1">
        <f t="shared" si="164"/>
        <v>5.3568983563253756</v>
      </c>
      <c r="AM907" s="1">
        <f t="shared" si="168"/>
        <v>2.571374543227121E-6</v>
      </c>
      <c r="AN907" s="1">
        <f t="shared" si="169"/>
        <v>2.571374543227121E-6</v>
      </c>
      <c r="AO907" s="1">
        <f t="shared" si="170"/>
        <v>2.5646164890470933E-6</v>
      </c>
      <c r="AP907" s="1">
        <f t="shared" si="165"/>
        <v>1.7651258939486605</v>
      </c>
      <c r="AQ907" s="1">
        <f t="shared" si="171"/>
        <v>3.4087940315452585E-2</v>
      </c>
      <c r="AR907" s="1">
        <f t="shared" si="172"/>
        <v>0</v>
      </c>
      <c r="AS907" s="1">
        <f t="shared" si="173"/>
        <v>3.0833722905307871E-2</v>
      </c>
    </row>
    <row r="908" spans="35:45" ht="11.25" customHeight="1" x14ac:dyDescent="0.2">
      <c r="AI908" s="3" t="e">
        <f t="shared" si="166"/>
        <v>#N/A</v>
      </c>
      <c r="AJ908" s="3" t="e">
        <f t="shared" si="167"/>
        <v>#N/A</v>
      </c>
      <c r="AK908" s="1">
        <f t="shared" si="163"/>
        <v>134.85000000000224</v>
      </c>
      <c r="AL908" s="1">
        <f t="shared" si="164"/>
        <v>5.3663851893058814</v>
      </c>
      <c r="AM908" s="1">
        <f t="shared" si="168"/>
        <v>2.4952984997046181E-6</v>
      </c>
      <c r="AN908" s="1">
        <f t="shared" si="169"/>
        <v>2.4952984997046181E-6</v>
      </c>
      <c r="AO908" s="1">
        <f t="shared" si="170"/>
        <v>2.4887403876237611E-6</v>
      </c>
      <c r="AP908" s="1">
        <f t="shared" si="165"/>
        <v>1.7737502875673019</v>
      </c>
      <c r="AQ908" s="1">
        <f t="shared" si="171"/>
        <v>3.3597617198621865E-2</v>
      </c>
      <c r="AR908" s="1">
        <f t="shared" si="172"/>
        <v>0</v>
      </c>
      <c r="AS908" s="1">
        <f t="shared" si="173"/>
        <v>3.039020866013736E-2</v>
      </c>
    </row>
    <row r="909" spans="35:45" ht="11.25" customHeight="1" x14ac:dyDescent="0.2">
      <c r="AI909" s="3" t="e">
        <f t="shared" si="166"/>
        <v>#N/A</v>
      </c>
      <c r="AJ909" s="3" t="e">
        <f t="shared" si="167"/>
        <v>#N/A</v>
      </c>
      <c r="AK909" s="1">
        <f t="shared" si="163"/>
        <v>135.00000000000225</v>
      </c>
      <c r="AL909" s="1">
        <f t="shared" si="164"/>
        <v>5.3758720222863872</v>
      </c>
      <c r="AM909" s="1">
        <f t="shared" si="168"/>
        <v>2.421453876051417E-6</v>
      </c>
      <c r="AN909" s="1">
        <f t="shared" si="169"/>
        <v>2.421453876051417E-6</v>
      </c>
      <c r="AO909" s="1">
        <f t="shared" si="170"/>
        <v>2.4150898414801422E-6</v>
      </c>
      <c r="AP909" s="1">
        <f t="shared" si="165"/>
        <v>1.7823746811859431</v>
      </c>
      <c r="AQ909" s="1">
        <f t="shared" si="171"/>
        <v>3.3112358352183069E-2</v>
      </c>
      <c r="AR909" s="1">
        <f t="shared" si="172"/>
        <v>0</v>
      </c>
      <c r="AS909" s="1">
        <f t="shared" si="173"/>
        <v>2.995127522297511E-2</v>
      </c>
    </row>
    <row r="910" spans="35:45" ht="11.25" customHeight="1" x14ac:dyDescent="0.2">
      <c r="AI910" s="3" t="e">
        <f t="shared" si="166"/>
        <v>#N/A</v>
      </c>
      <c r="AJ910" s="3" t="e">
        <f t="shared" si="167"/>
        <v>#N/A</v>
      </c>
      <c r="AK910" s="1">
        <f t="shared" si="163"/>
        <v>135.15000000000225</v>
      </c>
      <c r="AL910" s="1">
        <f t="shared" si="164"/>
        <v>5.3853588552668921</v>
      </c>
      <c r="AM910" s="1">
        <f t="shared" si="168"/>
        <v>2.349776041747818E-6</v>
      </c>
      <c r="AN910" s="1">
        <f t="shared" si="169"/>
        <v>2.349776041747818E-6</v>
      </c>
      <c r="AO910" s="1">
        <f t="shared" si="170"/>
        <v>2.3436003899576537E-6</v>
      </c>
      <c r="AP910" s="1">
        <f t="shared" si="165"/>
        <v>1.7909990748045845</v>
      </c>
      <c r="AQ910" s="1">
        <f t="shared" si="171"/>
        <v>3.2632153035838662E-2</v>
      </c>
      <c r="AR910" s="1">
        <f t="shared" si="172"/>
        <v>0</v>
      </c>
      <c r="AS910" s="1">
        <f t="shared" si="173"/>
        <v>2.9516912878849933E-2</v>
      </c>
    </row>
    <row r="911" spans="35:45" ht="11.25" customHeight="1" x14ac:dyDescent="0.2">
      <c r="AI911" s="3" t="e">
        <f t="shared" si="166"/>
        <v>#N/A</v>
      </c>
      <c r="AJ911" s="3" t="e">
        <f t="shared" si="167"/>
        <v>#N/A</v>
      </c>
      <c r="AK911" s="1">
        <f t="shared" si="163"/>
        <v>135.30000000000226</v>
      </c>
      <c r="AL911" s="1">
        <f t="shared" si="164"/>
        <v>5.3948456882473979</v>
      </c>
      <c r="AM911" s="1">
        <f t="shared" si="168"/>
        <v>2.280202206504021E-6</v>
      </c>
      <c r="AN911" s="1">
        <f t="shared" si="169"/>
        <v>2.280202206504021E-6</v>
      </c>
      <c r="AO911" s="1">
        <f t="shared" si="170"/>
        <v>2.2742094077911454E-6</v>
      </c>
      <c r="AP911" s="1">
        <f t="shared" si="165"/>
        <v>1.799623468423226</v>
      </c>
      <c r="AQ911" s="1">
        <f t="shared" si="171"/>
        <v>3.2156989538401071E-2</v>
      </c>
      <c r="AR911" s="1">
        <f t="shared" si="172"/>
        <v>0</v>
      </c>
      <c r="AS911" s="1">
        <f t="shared" si="173"/>
        <v>2.9087111034586961E-2</v>
      </c>
    </row>
    <row r="912" spans="35:45" ht="11.25" customHeight="1" x14ac:dyDescent="0.2">
      <c r="AI912" s="3" t="e">
        <f t="shared" si="166"/>
        <v>#N/A</v>
      </c>
      <c r="AJ912" s="3" t="e">
        <f t="shared" si="167"/>
        <v>#N/A</v>
      </c>
      <c r="AK912" s="1">
        <f t="shared" si="163"/>
        <v>135.45000000000226</v>
      </c>
      <c r="AL912" s="1">
        <f t="shared" si="164"/>
        <v>5.4043325212279036</v>
      </c>
      <c r="AM912" s="1">
        <f t="shared" si="168"/>
        <v>2.2126713678033765E-6</v>
      </c>
      <c r="AN912" s="1">
        <f t="shared" si="169"/>
        <v>2.2126713678033765E-6</v>
      </c>
      <c r="AO912" s="1">
        <f t="shared" si="170"/>
        <v>2.2068560527900122E-6</v>
      </c>
      <c r="AP912" s="1">
        <f t="shared" si="165"/>
        <v>1.8082478620418672</v>
      </c>
      <c r="AQ912" s="1">
        <f t="shared" si="171"/>
        <v>3.1686855258283853E-2</v>
      </c>
      <c r="AR912" s="1">
        <f t="shared" si="172"/>
        <v>0</v>
      </c>
      <c r="AS912" s="1">
        <f t="shared" si="173"/>
        <v>2.8661858291614706E-2</v>
      </c>
    </row>
    <row r="913" spans="35:45" ht="11.25" customHeight="1" x14ac:dyDescent="0.2">
      <c r="AI913" s="3" t="e">
        <f t="shared" si="166"/>
        <v>#N/A</v>
      </c>
      <c r="AJ913" s="3" t="e">
        <f t="shared" si="167"/>
        <v>#N/A</v>
      </c>
      <c r="AK913" s="1">
        <f t="shared" si="163"/>
        <v>135.60000000000227</v>
      </c>
      <c r="AL913" s="1">
        <f t="shared" si="164"/>
        <v>5.4138193542084094</v>
      </c>
      <c r="AM913" s="1">
        <f t="shared" si="168"/>
        <v>2.1471242621302261E-6</v>
      </c>
      <c r="AN913" s="1">
        <f t="shared" si="169"/>
        <v>2.1471242621302261E-6</v>
      </c>
      <c r="AO913" s="1">
        <f t="shared" si="170"/>
        <v>2.1414812171942218E-6</v>
      </c>
      <c r="AP913" s="1">
        <f t="shared" si="165"/>
        <v>1.8168722556605086</v>
      </c>
      <c r="AQ913" s="1">
        <f t="shared" si="171"/>
        <v>3.1221736675746126E-2</v>
      </c>
      <c r="AR913" s="1">
        <f t="shared" si="172"/>
        <v>0</v>
      </c>
      <c r="AS913" s="1">
        <f t="shared" si="173"/>
        <v>2.8241142420859185E-2</v>
      </c>
    </row>
    <row r="914" spans="35:45" ht="11.25" customHeight="1" x14ac:dyDescent="0.2">
      <c r="AI914" s="3" t="e">
        <f t="shared" si="166"/>
        <v>#N/A</v>
      </c>
      <c r="AJ914" s="3" t="e">
        <f t="shared" si="167"/>
        <v>#N/A</v>
      </c>
      <c r="AK914" s="1">
        <f t="shared" si="163"/>
        <v>135.75000000000227</v>
      </c>
      <c r="AL914" s="1">
        <f t="shared" si="164"/>
        <v>5.4233061871889143</v>
      </c>
      <c r="AM914" s="1">
        <f t="shared" si="168"/>
        <v>2.0835033148509649E-6</v>
      </c>
      <c r="AN914" s="1">
        <f t="shared" si="169"/>
        <v>2.0835033148509649E-6</v>
      </c>
      <c r="AO914" s="1">
        <f t="shared" si="170"/>
        <v>2.0780274776870956E-6</v>
      </c>
      <c r="AP914" s="1">
        <f t="shared" si="165"/>
        <v>1.82549664927915</v>
      </c>
      <c r="AQ914" s="1">
        <f t="shared" si="171"/>
        <v>3.0761619431440845E-2</v>
      </c>
      <c r="AR914" s="1">
        <f t="shared" si="172"/>
        <v>0</v>
      </c>
      <c r="AS914" s="1">
        <f t="shared" si="173"/>
        <v>2.7824950433793554E-2</v>
      </c>
    </row>
    <row r="915" spans="35:45" ht="11.25" customHeight="1" x14ac:dyDescent="0.2">
      <c r="AI915" s="3" t="e">
        <f t="shared" si="166"/>
        <v>#N/A</v>
      </c>
      <c r="AJ915" s="3" t="e">
        <f t="shared" si="167"/>
        <v>#N/A</v>
      </c>
      <c r="AK915" s="1">
        <f t="shared" si="163"/>
        <v>135.90000000000228</v>
      </c>
      <c r="AL915" s="1">
        <f t="shared" si="164"/>
        <v>5.4327930201694201</v>
      </c>
      <c r="AM915" s="1">
        <f t="shared" si="168"/>
        <v>2.021752595660108E-6</v>
      </c>
      <c r="AN915" s="1">
        <f t="shared" si="169"/>
        <v>2.021752595660108E-6</v>
      </c>
      <c r="AO915" s="1">
        <f t="shared" si="170"/>
        <v>2.0164390509584731E-6</v>
      </c>
      <c r="AP915" s="1">
        <f t="shared" si="165"/>
        <v>1.8341210428977914</v>
      </c>
      <c r="AQ915" s="1">
        <f t="shared" si="171"/>
        <v>3.0306488252584973E-2</v>
      </c>
      <c r="AR915" s="1">
        <f t="shared" si="172"/>
        <v>0</v>
      </c>
      <c r="AS915" s="1">
        <f t="shared" si="173"/>
        <v>2.7413268515656466E-2</v>
      </c>
    </row>
    <row r="916" spans="35:45" ht="11.25" customHeight="1" x14ac:dyDescent="0.2">
      <c r="AI916" s="3" t="e">
        <f t="shared" si="166"/>
        <v>#N/A</v>
      </c>
      <c r="AJ916" s="3" t="e">
        <f t="shared" si="167"/>
        <v>#N/A</v>
      </c>
      <c r="AK916" s="1">
        <f t="shared" si="163"/>
        <v>136.05000000000229</v>
      </c>
      <c r="AL916" s="1">
        <f t="shared" si="164"/>
        <v>5.4422798531499259</v>
      </c>
      <c r="AM916" s="1">
        <f t="shared" si="168"/>
        <v>1.961817769909776E-6</v>
      </c>
      <c r="AN916" s="1">
        <f t="shared" si="169"/>
        <v>1.961817769909776E-6</v>
      </c>
      <c r="AO916" s="1">
        <f t="shared" si="170"/>
        <v>1.9566617451621122E-6</v>
      </c>
      <c r="AP916" s="1">
        <f t="shared" si="165"/>
        <v>1.8427454365164326</v>
      </c>
      <c r="AQ916" s="1">
        <f t="shared" si="171"/>
        <v>2.9856327103394698E-2</v>
      </c>
      <c r="AR916" s="1">
        <f t="shared" si="172"/>
        <v>0</v>
      </c>
      <c r="AS916" s="1">
        <f t="shared" si="173"/>
        <v>2.7006082161525946E-2</v>
      </c>
    </row>
    <row r="917" spans="35:45" ht="11.25" customHeight="1" x14ac:dyDescent="0.2">
      <c r="AI917" s="3" t="e">
        <f t="shared" si="166"/>
        <v>#N/A</v>
      </c>
      <c r="AJ917" s="3" t="e">
        <f t="shared" si="167"/>
        <v>#N/A</v>
      </c>
      <c r="AK917" s="1">
        <f t="shared" si="163"/>
        <v>136.20000000000229</v>
      </c>
      <c r="AL917" s="1">
        <f t="shared" si="164"/>
        <v>5.4517666861304308</v>
      </c>
      <c r="AM917" s="1">
        <f t="shared" si="168"/>
        <v>1.9036460563681646E-6</v>
      </c>
      <c r="AN917" s="1">
        <f t="shared" si="169"/>
        <v>1.9036460563681646E-6</v>
      </c>
      <c r="AO917" s="1">
        <f t="shared" si="170"/>
        <v>1.8986429177851767E-6</v>
      </c>
      <c r="AP917" s="1">
        <f t="shared" si="165"/>
        <v>1.8513698301350741</v>
      </c>
      <c r="AQ917" s="1">
        <f t="shared" si="171"/>
        <v>2.9411119062683344E-2</v>
      </c>
      <c r="AR917" s="1">
        <f t="shared" si="172"/>
        <v>0</v>
      </c>
      <c r="AS917" s="1">
        <f t="shared" si="173"/>
        <v>2.6603376065602456E-2</v>
      </c>
    </row>
    <row r="918" spans="35:45" ht="11.25" customHeight="1" x14ac:dyDescent="0.2">
      <c r="AI918" s="3" t="e">
        <f t="shared" si="166"/>
        <v>#N/A</v>
      </c>
      <c r="AJ918" s="3" t="e">
        <f t="shared" si="167"/>
        <v>#N/A</v>
      </c>
      <c r="AK918" s="1">
        <f t="shared" si="163"/>
        <v>136.3500000000023</v>
      </c>
      <c r="AL918" s="1">
        <f t="shared" si="164"/>
        <v>5.4612535191109366</v>
      </c>
      <c r="AM918" s="1">
        <f t="shared" si="168"/>
        <v>1.8471861826740798E-6</v>
      </c>
      <c r="AN918" s="1">
        <f t="shared" si="169"/>
        <v>1.8471861826740798E-6</v>
      </c>
      <c r="AO918" s="1">
        <f t="shared" si="170"/>
        <v>1.8423314312198465E-6</v>
      </c>
      <c r="AP918" s="1">
        <f t="shared" si="165"/>
        <v>1.8599942237537155</v>
      </c>
      <c r="AQ918" s="1">
        <f t="shared" si="171"/>
        <v>2.8970846469855704E-2</v>
      </c>
      <c r="AR918" s="1">
        <f t="shared" si="172"/>
        <v>0</v>
      </c>
      <c r="AS918" s="1">
        <f t="shared" si="173"/>
        <v>2.6205134253265819E-2</v>
      </c>
    </row>
    <row r="919" spans="35:45" ht="11.25" customHeight="1" x14ac:dyDescent="0.2">
      <c r="AI919" s="3" t="e">
        <f t="shared" si="166"/>
        <v>#N/A</v>
      </c>
      <c r="AJ919" s="3" t="e">
        <f t="shared" si="167"/>
        <v>#N/A</v>
      </c>
      <c r="AK919" s="1">
        <f t="shared" si="163"/>
        <v>136.5000000000023</v>
      </c>
      <c r="AL919" s="1">
        <f t="shared" si="164"/>
        <v>5.4707403520914424</v>
      </c>
      <c r="AM919" s="1">
        <f t="shared" si="168"/>
        <v>1.7923883440440822E-6</v>
      </c>
      <c r="AN919" s="1">
        <f t="shared" si="169"/>
        <v>1.7923883440440822E-6</v>
      </c>
      <c r="AO919" s="1">
        <f t="shared" si="170"/>
        <v>1.7876776115789867E-6</v>
      </c>
      <c r="AP919" s="1">
        <f t="shared" si="165"/>
        <v>1.8686186173723569</v>
      </c>
      <c r="AQ919" s="1">
        <f t="shared" si="171"/>
        <v>2.8535490845249534E-2</v>
      </c>
      <c r="AR919" s="1">
        <f t="shared" si="172"/>
        <v>0</v>
      </c>
      <c r="AS919" s="1">
        <f t="shared" si="173"/>
        <v>2.5811340009021362E-2</v>
      </c>
    </row>
    <row r="920" spans="35:45" ht="11.25" customHeight="1" x14ac:dyDescent="0.2">
      <c r="AI920" s="3" t="e">
        <f t="shared" si="166"/>
        <v>#N/A</v>
      </c>
      <c r="AJ920" s="3" t="e">
        <f t="shared" si="167"/>
        <v>#N/A</v>
      </c>
      <c r="AK920" s="1">
        <f t="shared" si="163"/>
        <v>136.65000000000231</v>
      </c>
      <c r="AL920" s="1">
        <f t="shared" si="164"/>
        <v>5.4802271850719473</v>
      </c>
      <c r="AM920" s="1">
        <f t="shared" si="168"/>
        <v>1.7392041608276665E-6</v>
      </c>
      <c r="AN920" s="1">
        <f t="shared" si="169"/>
        <v>1.7392041608276665E-6</v>
      </c>
      <c r="AO920" s="1">
        <f t="shared" si="170"/>
        <v>1.7346332063628796E-6</v>
      </c>
      <c r="AP920" s="1">
        <f t="shared" si="165"/>
        <v>1.8772430109909981</v>
      </c>
      <c r="AQ920" s="1">
        <f t="shared" si="171"/>
        <v>2.8105032973124722E-2</v>
      </c>
      <c r="AR920" s="1">
        <f t="shared" si="172"/>
        <v>0</v>
      </c>
      <c r="AS920" s="1">
        <f t="shared" si="173"/>
        <v>2.5421975951566467E-2</v>
      </c>
    </row>
    <row r="921" spans="35:45" ht="11.25" customHeight="1" x14ac:dyDescent="0.2">
      <c r="AI921" s="3" t="e">
        <f t="shared" si="166"/>
        <v>#N/A</v>
      </c>
      <c r="AJ921" s="3" t="e">
        <f t="shared" si="167"/>
        <v>#N/A</v>
      </c>
      <c r="AK921" s="1">
        <f t="shared" si="163"/>
        <v>136.80000000000231</v>
      </c>
      <c r="AL921" s="1">
        <f t="shared" si="164"/>
        <v>5.4897140180524531</v>
      </c>
      <c r="AM921" s="1">
        <f t="shared" si="168"/>
        <v>1.6875866406279474E-6</v>
      </c>
      <c r="AN921" s="1">
        <f t="shared" si="169"/>
        <v>1.6875866406279474E-6</v>
      </c>
      <c r="AO921" s="1">
        <f t="shared" si="170"/>
        <v>1.6831513466794658E-6</v>
      </c>
      <c r="AP921" s="1">
        <f t="shared" si="165"/>
        <v>1.8858674046096395</v>
      </c>
      <c r="AQ921" s="1">
        <f t="shared" si="171"/>
        <v>2.76794528802915E-2</v>
      </c>
      <c r="AR921" s="1">
        <f t="shared" si="172"/>
        <v>0</v>
      </c>
      <c r="AS921" s="1">
        <f t="shared" si="173"/>
        <v>2.5037024014459071E-2</v>
      </c>
    </row>
    <row r="922" spans="35:45" ht="11.25" customHeight="1" x14ac:dyDescent="0.2">
      <c r="AI922" s="3" t="e">
        <f t="shared" si="166"/>
        <v>#N/A</v>
      </c>
      <c r="AJ922" s="3" t="e">
        <f t="shared" si="167"/>
        <v>#N/A</v>
      </c>
      <c r="AK922" s="1">
        <f t="shared" si="163"/>
        <v>136.95000000000232</v>
      </c>
      <c r="AL922" s="1">
        <f t="shared" si="164"/>
        <v>5.4992008510329589</v>
      </c>
      <c r="AM922" s="1">
        <f t="shared" si="168"/>
        <v>1.6374901357806064E-6</v>
      </c>
      <c r="AN922" s="1">
        <f t="shared" si="169"/>
        <v>1.6374901357806064E-6</v>
      </c>
      <c r="AO922" s="1">
        <f t="shared" si="170"/>
        <v>1.6331865048350428E-6</v>
      </c>
      <c r="AP922" s="1">
        <f t="shared" si="165"/>
        <v>1.894491798228281</v>
      </c>
      <c r="AQ922" s="1">
        <f t="shared" si="171"/>
        <v>2.7258729915213831E-2</v>
      </c>
      <c r="AR922" s="1">
        <f t="shared" si="172"/>
        <v>0</v>
      </c>
      <c r="AS922" s="1">
        <f t="shared" si="173"/>
        <v>2.465646551766941E-2</v>
      </c>
    </row>
    <row r="923" spans="35:45" ht="11.25" customHeight="1" x14ac:dyDescent="0.2">
      <c r="AI923" s="3" t="e">
        <f t="shared" si="166"/>
        <v>#N/A</v>
      </c>
      <c r="AJ923" s="3" t="e">
        <f t="shared" si="167"/>
        <v>#N/A</v>
      </c>
      <c r="AK923" s="1">
        <f t="shared" si="163"/>
        <v>137.10000000000232</v>
      </c>
      <c r="AL923" s="1">
        <f t="shared" si="164"/>
        <v>5.5086876840134638</v>
      </c>
      <c r="AM923" s="1">
        <f t="shared" si="168"/>
        <v>1.5888703113614566E-6</v>
      </c>
      <c r="AN923" s="1">
        <f t="shared" si="169"/>
        <v>1.5888703113614566E-6</v>
      </c>
      <c r="AO923" s="1">
        <f t="shared" si="170"/>
        <v>1.5846944624259132E-6</v>
      </c>
      <c r="AP923" s="1">
        <f t="shared" si="165"/>
        <v>1.9031161918469222</v>
      </c>
      <c r="AQ923" s="1">
        <f t="shared" si="171"/>
        <v>2.6842842679453138E-2</v>
      </c>
      <c r="AR923" s="1">
        <f t="shared" si="172"/>
        <v>0</v>
      </c>
      <c r="AS923" s="1">
        <f t="shared" si="173"/>
        <v>2.4280281105568492E-2</v>
      </c>
    </row>
    <row r="924" spans="35:45" ht="11.25" customHeight="1" x14ac:dyDescent="0.2">
      <c r="AI924" s="3" t="e">
        <f t="shared" si="166"/>
        <v>#N/A</v>
      </c>
      <c r="AJ924" s="3" t="e">
        <f t="shared" si="167"/>
        <v>#N/A</v>
      </c>
      <c r="AK924" s="1">
        <f t="shared" si="163"/>
        <v>137.25000000000233</v>
      </c>
      <c r="AL924" s="1">
        <f t="shared" si="164"/>
        <v>5.5181745169939695</v>
      </c>
      <c r="AM924" s="1">
        <f t="shared" si="168"/>
        <v>1.5416841021825806E-6</v>
      </c>
      <c r="AN924" s="1">
        <f t="shared" si="169"/>
        <v>1.5416841021825806E-6</v>
      </c>
      <c r="AO924" s="1">
        <f t="shared" si="170"/>
        <v>1.5376322674475436E-6</v>
      </c>
      <c r="AP924" s="1">
        <f t="shared" si="165"/>
        <v>1.9117405854655636</v>
      </c>
      <c r="AQ924" s="1">
        <f t="shared" si="171"/>
        <v>2.6431769109547254E-2</v>
      </c>
      <c r="AR924" s="1">
        <f t="shared" si="172"/>
        <v>0</v>
      </c>
      <c r="AS924" s="1">
        <f t="shared" si="173"/>
        <v>2.3908450820990461E-2</v>
      </c>
    </row>
    <row r="925" spans="35:45" ht="11.25" customHeight="1" x14ac:dyDescent="0.2">
      <c r="AI925" s="3" t="e">
        <f t="shared" si="166"/>
        <v>#N/A</v>
      </c>
      <c r="AJ925" s="3" t="e">
        <f t="shared" si="167"/>
        <v>#N/A</v>
      </c>
      <c r="AK925" s="1">
        <f t="shared" si="163"/>
        <v>137.40000000000234</v>
      </c>
      <c r="AL925" s="1">
        <f t="shared" si="164"/>
        <v>5.5276613499744753</v>
      </c>
      <c r="AM925" s="1">
        <f t="shared" si="168"/>
        <v>1.4958896815537551E-6</v>
      </c>
      <c r="AN925" s="1">
        <f t="shared" si="169"/>
        <v>1.4958896815537551E-6</v>
      </c>
      <c r="AO925" s="1">
        <f t="shared" si="170"/>
        <v>1.4919582031380913E-6</v>
      </c>
      <c r="AP925" s="1">
        <f t="shared" si="165"/>
        <v>1.920364979084205</v>
      </c>
      <c r="AQ925" s="1">
        <f t="shared" si="171"/>
        <v>2.6025486498104655E-2</v>
      </c>
      <c r="AR925" s="1">
        <f t="shared" si="172"/>
        <v>0</v>
      </c>
      <c r="AS925" s="1">
        <f t="shared" si="173"/>
        <v>2.3540954124313038E-2</v>
      </c>
    </row>
    <row r="926" spans="35:45" ht="11.25" customHeight="1" x14ac:dyDescent="0.2">
      <c r="AI926" s="3" t="e">
        <f t="shared" si="166"/>
        <v>#N/A</v>
      </c>
      <c r="AJ926" s="3" t="e">
        <f t="shared" si="167"/>
        <v>#N/A</v>
      </c>
      <c r="AK926" s="1">
        <f t="shared" ref="AK926:AK989" si="174">AK925+$AJ$4</f>
        <v>137.55000000000234</v>
      </c>
      <c r="AL926" s="1">
        <f t="shared" si="164"/>
        <v>5.5371481829549802</v>
      </c>
      <c r="AM926" s="1">
        <f t="shared" si="168"/>
        <v>1.4514464247329792E-6</v>
      </c>
      <c r="AN926" s="1">
        <f t="shared" si="169"/>
        <v>1.4514464247329792E-6</v>
      </c>
      <c r="AO926" s="1">
        <f t="shared" si="170"/>
        <v>1.4476317515249902E-6</v>
      </c>
      <c r="AP926" s="1">
        <f t="shared" si="165"/>
        <v>1.9289893727028464</v>
      </c>
      <c r="AQ926" s="1">
        <f t="shared" si="171"/>
        <v>2.562397146993467E-2</v>
      </c>
      <c r="AR926" s="1">
        <f t="shared" si="172"/>
        <v>0</v>
      </c>
      <c r="AS926" s="1">
        <f t="shared" si="173"/>
        <v>2.317776987186649E-2</v>
      </c>
    </row>
    <row r="927" spans="35:45" ht="11.25" customHeight="1" x14ac:dyDescent="0.2">
      <c r="AI927" s="3" t="e">
        <f t="shared" si="166"/>
        <v>#N/A</v>
      </c>
      <c r="AJ927" s="3" t="e">
        <f t="shared" si="167"/>
        <v>#N/A</v>
      </c>
      <c r="AK927" s="1">
        <f t="shared" si="174"/>
        <v>137.70000000000235</v>
      </c>
      <c r="AL927" s="1">
        <f t="shared" si="164"/>
        <v>5.546635015935486</v>
      </c>
      <c r="AM927" s="1">
        <f t="shared" si="168"/>
        <v>1.4083148739948357E-6</v>
      </c>
      <c r="AN927" s="1">
        <f t="shared" si="169"/>
        <v>1.4083148739948357E-6</v>
      </c>
      <c r="AO927" s="1">
        <f t="shared" si="170"/>
        <v>1.4046135585851203E-6</v>
      </c>
      <c r="AP927" s="1">
        <f t="shared" si="165"/>
        <v>1.9376137663214876</v>
      </c>
      <c r="AQ927" s="1">
        <f t="shared" si="171"/>
        <v>2.5227200041166853E-2</v>
      </c>
      <c r="AR927" s="1">
        <f t="shared" si="172"/>
        <v>0</v>
      </c>
      <c r="AS927" s="1">
        <f t="shared" si="173"/>
        <v>2.2818876369409137E-2</v>
      </c>
    </row>
    <row r="928" spans="35:45" ht="11.25" customHeight="1" x14ac:dyDescent="0.2">
      <c r="AI928" s="3" t="e">
        <f t="shared" si="166"/>
        <v>#N/A</v>
      </c>
      <c r="AJ928" s="3" t="e">
        <f t="shared" si="167"/>
        <v>#N/A</v>
      </c>
      <c r="AK928" s="1">
        <f t="shared" si="174"/>
        <v>137.85000000000235</v>
      </c>
      <c r="AL928" s="1">
        <f t="shared" si="164"/>
        <v>5.5561218489159918</v>
      </c>
      <c r="AM928" s="1">
        <f t="shared" si="168"/>
        <v>1.3664567086539955E-6</v>
      </c>
      <c r="AN928" s="1">
        <f t="shared" si="169"/>
        <v>1.3664567086539955E-6</v>
      </c>
      <c r="AO928" s="1">
        <f t="shared" si="170"/>
        <v>1.3628654043470948E-6</v>
      </c>
      <c r="AP928" s="1">
        <f t="shared" si="165"/>
        <v>1.9462381599401291</v>
      </c>
      <c r="AQ928" s="1">
        <f t="shared" si="171"/>
        <v>2.4835147621332654E-2</v>
      </c>
      <c r="AR928" s="1">
        <f t="shared" si="172"/>
        <v>0</v>
      </c>
      <c r="AS928" s="1">
        <f t="shared" si="173"/>
        <v>2.2464251374010303E-2</v>
      </c>
    </row>
    <row r="929" spans="35:45" ht="11.25" customHeight="1" x14ac:dyDescent="0.2">
      <c r="AI929" s="3" t="e">
        <f t="shared" si="166"/>
        <v>#N/A</v>
      </c>
      <c r="AJ929" s="3" t="e">
        <f t="shared" si="167"/>
        <v>#N/A</v>
      </c>
      <c r="AK929" s="1">
        <f t="shared" si="174"/>
        <v>138.00000000000236</v>
      </c>
      <c r="AL929" s="1">
        <f t="shared" si="164"/>
        <v>5.5656086818964967</v>
      </c>
      <c r="AM929" s="1">
        <f t="shared" si="168"/>
        <v>1.3258347105316834E-6</v>
      </c>
      <c r="AN929" s="1">
        <f t="shared" si="169"/>
        <v>1.3258347105316834E-6</v>
      </c>
      <c r="AO929" s="1">
        <f t="shared" si="170"/>
        <v>1.3223501684484871E-6</v>
      </c>
      <c r="AP929" s="1">
        <f t="shared" si="165"/>
        <v>1.9548625535587705</v>
      </c>
      <c r="AQ929" s="1">
        <f t="shared" si="171"/>
        <v>2.4447789025161537E-2</v>
      </c>
      <c r="AR929" s="1">
        <f t="shared" si="172"/>
        <v>0</v>
      </c>
      <c r="AS929" s="1">
        <f t="shared" si="173"/>
        <v>2.2113872104720305E-2</v>
      </c>
    </row>
    <row r="930" spans="35:45" ht="11.25" customHeight="1" x14ac:dyDescent="0.2">
      <c r="AI930" s="3" t="e">
        <f t="shared" si="166"/>
        <v>#N/A</v>
      </c>
      <c r="AJ930" s="3" t="e">
        <f t="shared" si="167"/>
        <v>#N/A</v>
      </c>
      <c r="AK930" s="1">
        <f t="shared" si="174"/>
        <v>138.15000000000236</v>
      </c>
      <c r="AL930" s="1">
        <f t="shared" si="164"/>
        <v>5.5750955148770025</v>
      </c>
      <c r="AM930" s="1">
        <f t="shared" si="168"/>
        <v>1.2864127333354382E-6</v>
      </c>
      <c r="AN930" s="1">
        <f t="shared" si="169"/>
        <v>1.2864127333354382E-6</v>
      </c>
      <c r="AO930" s="1">
        <f t="shared" si="170"/>
        <v>1.2830317995960663E-6</v>
      </c>
      <c r="AP930" s="1">
        <f t="shared" si="165"/>
        <v>1.9634869471774119</v>
      </c>
      <c r="AQ930" s="1">
        <f t="shared" si="171"/>
        <v>2.4065098503667226E-2</v>
      </c>
      <c r="AR930" s="1">
        <f t="shared" si="172"/>
        <v>0</v>
      </c>
      <c r="AS930" s="1">
        <f t="shared" si="173"/>
        <v>2.1767715270689054E-2</v>
      </c>
    </row>
    <row r="931" spans="35:45" ht="11.25" customHeight="1" x14ac:dyDescent="0.2">
      <c r="AI931" s="3" t="e">
        <f t="shared" si="166"/>
        <v>#N/A</v>
      </c>
      <c r="AJ931" s="3" t="e">
        <f t="shared" si="167"/>
        <v>#N/A</v>
      </c>
      <c r="AK931" s="1">
        <f t="shared" si="174"/>
        <v>138.30000000000237</v>
      </c>
      <c r="AL931" s="1">
        <f t="shared" si="164"/>
        <v>5.5845823478575083</v>
      </c>
      <c r="AM931" s="1">
        <f t="shared" si="168"/>
        <v>1.248155673588941E-6</v>
      </c>
      <c r="AN931" s="1">
        <f t="shared" si="169"/>
        <v>1.248155673588941E-6</v>
      </c>
      <c r="AO931" s="1">
        <f t="shared" si="170"/>
        <v>1.2448752865720279E-6</v>
      </c>
      <c r="AP931" s="1">
        <f t="shared" si="165"/>
        <v>1.9721113407960531</v>
      </c>
      <c r="AQ931" s="1">
        <f t="shared" si="171"/>
        <v>2.3687049758580603E-2</v>
      </c>
      <c r="AR931" s="1">
        <f t="shared" si="172"/>
        <v>0</v>
      </c>
      <c r="AS931" s="1">
        <f t="shared" si="173"/>
        <v>2.1425757084221092E-2</v>
      </c>
    </row>
    <row r="932" spans="35:45" ht="11.25" customHeight="1" x14ac:dyDescent="0.2">
      <c r="AI932" s="3" t="e">
        <f t="shared" si="166"/>
        <v>#N/A</v>
      </c>
      <c r="AJ932" s="3" t="e">
        <f t="shared" si="167"/>
        <v>#N/A</v>
      </c>
      <c r="AK932" s="1">
        <f t="shared" si="174"/>
        <v>138.45000000000238</v>
      </c>
      <c r="AL932" s="1">
        <f t="shared" si="164"/>
        <v>5.5940691808380132</v>
      </c>
      <c r="AM932" s="1">
        <f t="shared" si="168"/>
        <v>1.2110294392155636E-6</v>
      </c>
      <c r="AN932" s="1">
        <f t="shared" si="169"/>
        <v>1.2110294392155636E-6</v>
      </c>
      <c r="AO932" s="1">
        <f t="shared" si="170"/>
        <v>1.2078466269001098E-6</v>
      </c>
      <c r="AP932" s="1">
        <f t="shared" si="165"/>
        <v>1.9807357344146945</v>
      </c>
      <c r="AQ932" s="1">
        <f t="shared" si="171"/>
        <v>2.3313615953868272E-2</v>
      </c>
      <c r="AR932" s="1">
        <f t="shared" si="172"/>
        <v>0</v>
      </c>
      <c r="AS932" s="1">
        <f t="shared" si="173"/>
        <v>2.1087973271194545E-2</v>
      </c>
    </row>
    <row r="933" spans="35:45" ht="11.25" customHeight="1" x14ac:dyDescent="0.2">
      <c r="AI933" s="3" t="e">
        <f t="shared" si="166"/>
        <v>#N/A</v>
      </c>
      <c r="AJ933" s="3" t="e">
        <f t="shared" si="167"/>
        <v>#N/A</v>
      </c>
      <c r="AK933" s="1">
        <f t="shared" si="174"/>
        <v>138.60000000000238</v>
      </c>
      <c r="AL933" s="1">
        <f t="shared" si="164"/>
        <v>5.603556013818519</v>
      </c>
      <c r="AM933" s="1">
        <f t="shared" si="168"/>
        <v>1.1750009227467166E-6</v>
      </c>
      <c r="AN933" s="1">
        <f t="shared" si="169"/>
        <v>1.1750009227467166E-6</v>
      </c>
      <c r="AO933" s="1">
        <f t="shared" si="170"/>
        <v>1.1719128001243548E-6</v>
      </c>
      <c r="AP933" s="1">
        <f t="shared" si="165"/>
        <v>1.989360128033336</v>
      </c>
      <c r="AQ933" s="1">
        <f t="shared" si="171"/>
        <v>2.2944769747096361E-2</v>
      </c>
      <c r="AR933" s="1">
        <f t="shared" si="172"/>
        <v>0</v>
      </c>
      <c r="AS933" s="1">
        <f t="shared" si="173"/>
        <v>2.0754339099430773E-2</v>
      </c>
    </row>
    <row r="934" spans="35:45" ht="11.25" customHeight="1" x14ac:dyDescent="0.2">
      <c r="AI934" s="3" t="e">
        <f t="shared" si="166"/>
        <v>#N/A</v>
      </c>
      <c r="AJ934" s="3" t="e">
        <f t="shared" si="167"/>
        <v>#N/A</v>
      </c>
      <c r="AK934" s="1">
        <f t="shared" si="174"/>
        <v>138.75000000000239</v>
      </c>
      <c r="AL934" s="1">
        <f t="shared" si="164"/>
        <v>5.6130428467990248</v>
      </c>
      <c r="AM934" s="1">
        <f t="shared" si="168"/>
        <v>1.1400379730267132E-6</v>
      </c>
      <c r="AN934" s="1">
        <f t="shared" si="169"/>
        <v>1.1400379730267132E-6</v>
      </c>
      <c r="AO934" s="1">
        <f t="shared" si="170"/>
        <v>1.1370417395883381E-6</v>
      </c>
      <c r="AP934" s="1">
        <f t="shared" si="165"/>
        <v>1.9979845216519772</v>
      </c>
      <c r="AQ934" s="1">
        <f t="shared" si="171"/>
        <v>2.2580483299977638E-2</v>
      </c>
      <c r="AR934" s="1">
        <f t="shared" si="172"/>
        <v>0</v>
      </c>
      <c r="AS934" s="1">
        <f t="shared" si="173"/>
        <v>2.0424829388234582E-2</v>
      </c>
    </row>
    <row r="935" spans="35:45" ht="11.25" customHeight="1" x14ac:dyDescent="0.2">
      <c r="AI935" s="3" t="e">
        <f t="shared" si="166"/>
        <v>#N/A</v>
      </c>
      <c r="AJ935" s="3" t="e">
        <f t="shared" si="167"/>
        <v>#N/A</v>
      </c>
      <c r="AK935" s="1">
        <f t="shared" si="174"/>
        <v>138.90000000000239</v>
      </c>
      <c r="AL935" s="1">
        <f t="shared" si="164"/>
        <v>5.6225296797795297</v>
      </c>
      <c r="AM935" s="1">
        <f t="shared" si="168"/>
        <v>1.1061093665915267E-6</v>
      </c>
      <c r="AN935" s="1">
        <f t="shared" si="169"/>
        <v>1.1061093665915267E-6</v>
      </c>
      <c r="AO935" s="1">
        <f t="shared" si="170"/>
        <v>1.1032023038891479E-6</v>
      </c>
      <c r="AP935" s="1">
        <f t="shared" si="165"/>
        <v>2.0066089152706188</v>
      </c>
      <c r="AQ935" s="1">
        <f t="shared" si="171"/>
        <v>2.2220728284755298E-2</v>
      </c>
      <c r="AR935" s="1">
        <f t="shared" si="172"/>
        <v>0</v>
      </c>
      <c r="AS935" s="1">
        <f t="shared" si="173"/>
        <v>2.0099418514168597E-2</v>
      </c>
    </row>
    <row r="936" spans="35:45" ht="11.25" customHeight="1" x14ac:dyDescent="0.2">
      <c r="AI936" s="3" t="e">
        <f t="shared" si="166"/>
        <v>#N/A</v>
      </c>
      <c r="AJ936" s="3" t="e">
        <f t="shared" si="167"/>
        <v>#N/A</v>
      </c>
      <c r="AK936" s="1">
        <f t="shared" si="174"/>
        <v>139.0500000000024</v>
      </c>
      <c r="AL936" s="1">
        <f t="shared" si="164"/>
        <v>5.6320165127600355</v>
      </c>
      <c r="AM936" s="1">
        <f t="shared" si="168"/>
        <v>1.0731847838671639E-6</v>
      </c>
      <c r="AN936" s="1">
        <f t="shared" si="169"/>
        <v>1.0731847838671639E-6</v>
      </c>
      <c r="AO936" s="1">
        <f t="shared" si="170"/>
        <v>1.0703642531383135E-6</v>
      </c>
      <c r="AP936" s="1">
        <f t="shared" si="165"/>
        <v>2.0152333088892598</v>
      </c>
      <c r="AQ936" s="1">
        <f t="shared" si="171"/>
        <v>2.1865475915289201E-2</v>
      </c>
      <c r="AR936" s="1">
        <f t="shared" si="172"/>
        <v>0</v>
      </c>
      <c r="AS936" s="1">
        <f t="shared" si="173"/>
        <v>1.9778080439171848E-2</v>
      </c>
    </row>
    <row r="937" spans="35:45" ht="11.25" customHeight="1" x14ac:dyDescent="0.2">
      <c r="AI937" s="3" t="e">
        <f t="shared" si="166"/>
        <v>#N/A</v>
      </c>
      <c r="AJ937" s="3" t="e">
        <f t="shared" si="167"/>
        <v>#N/A</v>
      </c>
      <c r="AK937" s="1">
        <f t="shared" si="174"/>
        <v>139.2000000000024</v>
      </c>
      <c r="AL937" s="1">
        <f t="shared" si="164"/>
        <v>5.6415033457405412</v>
      </c>
      <c r="AM937" s="1">
        <f t="shared" si="168"/>
        <v>1.0412347813107518E-6</v>
      </c>
      <c r="AN937" s="1">
        <f t="shared" si="169"/>
        <v>1.0412347813107518E-6</v>
      </c>
      <c r="AO937" s="1">
        <f t="shared" si="170"/>
        <v>1.0384982211761103E-6</v>
      </c>
      <c r="AP937" s="1">
        <f t="shared" si="165"/>
        <v>2.0238577025079012</v>
      </c>
      <c r="AQ937" s="1">
        <f t="shared" si="171"/>
        <v>2.1514696981472792E-2</v>
      </c>
      <c r="AR937" s="1">
        <f t="shared" si="172"/>
        <v>0</v>
      </c>
      <c r="AS937" s="1">
        <f t="shared" si="173"/>
        <v>1.9460788741691038E-2</v>
      </c>
    </row>
    <row r="938" spans="35:45" ht="11.25" customHeight="1" x14ac:dyDescent="0.2">
      <c r="AI938" s="3" t="e">
        <f t="shared" si="166"/>
        <v>#N/A</v>
      </c>
      <c r="AJ938" s="3" t="e">
        <f t="shared" si="167"/>
        <v>#N/A</v>
      </c>
      <c r="AK938" s="1">
        <f t="shared" si="174"/>
        <v>139.35000000000241</v>
      </c>
      <c r="AL938" s="1">
        <f t="shared" si="164"/>
        <v>5.6509901787210461</v>
      </c>
      <c r="AM938" s="1">
        <f t="shared" si="168"/>
        <v>1.0102307683500659E-6</v>
      </c>
      <c r="AN938" s="1">
        <f t="shared" si="169"/>
        <v>1.0102307683500659E-6</v>
      </c>
      <c r="AO938" s="1">
        <f t="shared" si="170"/>
        <v>1.0075756925716954E-6</v>
      </c>
      <c r="AP938" s="1">
        <f t="shared" si="165"/>
        <v>2.0324820961265426</v>
      </c>
      <c r="AQ938" s="1">
        <f t="shared" si="171"/>
        <v>2.1168361811485514E-2</v>
      </c>
      <c r="AR938" s="1">
        <f t="shared" si="172"/>
        <v>0</v>
      </c>
      <c r="AS938" s="1">
        <f t="shared" si="173"/>
        <v>1.9147516582536571E-2</v>
      </c>
    </row>
    <row r="939" spans="35:45" ht="11.25" customHeight="1" x14ac:dyDescent="0.2">
      <c r="AI939" s="3" t="e">
        <f t="shared" si="166"/>
        <v>#N/A</v>
      </c>
      <c r="AJ939" s="3" t="e">
        <f t="shared" si="167"/>
        <v>#N/A</v>
      </c>
      <c r="AK939" s="1">
        <f t="shared" si="174"/>
        <v>139.50000000000242</v>
      </c>
      <c r="AL939" s="1">
        <f t="shared" si="164"/>
        <v>5.6604770117015519</v>
      </c>
      <c r="AM939" s="1">
        <f t="shared" si="168"/>
        <v>9.8014498137538272E-7</v>
      </c>
      <c r="AN939" s="1">
        <f t="shared" si="169"/>
        <v>9.8014498137538272E-7</v>
      </c>
      <c r="AO939" s="1">
        <f t="shared" si="170"/>
        <v>9.7756897668331469E-7</v>
      </c>
      <c r="AP939" s="1">
        <f t="shared" si="165"/>
        <v>2.041106489745184</v>
      </c>
      <c r="AQ939" s="1">
        <f t="shared" si="171"/>
        <v>2.0826440353949316E-2</v>
      </c>
      <c r="AR939" s="1">
        <f t="shared" si="172"/>
        <v>0</v>
      </c>
      <c r="AS939" s="1">
        <f t="shared" si="173"/>
        <v>1.8838236779195945E-2</v>
      </c>
    </row>
    <row r="940" spans="35:45" ht="11.25" customHeight="1" x14ac:dyDescent="0.2">
      <c r="AI940" s="3" t="e">
        <f t="shared" si="166"/>
        <v>#N/A</v>
      </c>
      <c r="AJ940" s="3" t="e">
        <f t="shared" si="167"/>
        <v>#N/A</v>
      </c>
      <c r="AK940" s="1">
        <f t="shared" si="174"/>
        <v>139.65000000000242</v>
      </c>
      <c r="AL940" s="1">
        <f t="shared" si="164"/>
        <v>5.6699638446820577</v>
      </c>
      <c r="AM940" s="1">
        <f t="shared" si="168"/>
        <v>9.5095046180979786E-7</v>
      </c>
      <c r="AN940" s="1">
        <f t="shared" si="169"/>
        <v>9.5095046180979786E-7</v>
      </c>
      <c r="AO940" s="1">
        <f t="shared" si="170"/>
        <v>9.4845118578625607E-7</v>
      </c>
      <c r="AP940" s="1">
        <f t="shared" si="165"/>
        <v>2.0497308833638255</v>
      </c>
      <c r="AQ940" s="1">
        <f t="shared" si="171"/>
        <v>2.0488902141985177E-2</v>
      </c>
      <c r="AR940" s="1">
        <f t="shared" si="172"/>
        <v>0</v>
      </c>
      <c r="AS940" s="1">
        <f t="shared" si="173"/>
        <v>1.853292177332164E-2</v>
      </c>
    </row>
    <row r="941" spans="35:45" ht="11.25" customHeight="1" x14ac:dyDescent="0.2">
      <c r="AI941" s="3" t="e">
        <f t="shared" si="166"/>
        <v>#N/A</v>
      </c>
      <c r="AJ941" s="3" t="e">
        <f t="shared" si="167"/>
        <v>#N/A</v>
      </c>
      <c r="AK941" s="1">
        <f t="shared" si="174"/>
        <v>139.80000000000243</v>
      </c>
      <c r="AL941" s="1">
        <f t="shared" si="164"/>
        <v>5.6794506776625626</v>
      </c>
      <c r="AM941" s="1">
        <f t="shared" si="168"/>
        <v>9.2262103262947203E-7</v>
      </c>
      <c r="AN941" s="1">
        <f t="shared" si="169"/>
        <v>9.2262103262947203E-7</v>
      </c>
      <c r="AO941" s="1">
        <f t="shared" si="170"/>
        <v>9.2019621165480455E-7</v>
      </c>
      <c r="AP941" s="1">
        <f t="shared" si="165"/>
        <v>2.0583552769824669</v>
      </c>
      <c r="AQ941" s="1">
        <f t="shared" si="171"/>
        <v>2.0155716344977259E-2</v>
      </c>
      <c r="AR941" s="1">
        <f t="shared" si="172"/>
        <v>0</v>
      </c>
      <c r="AS941" s="1">
        <f t="shared" si="173"/>
        <v>1.8231543677553586E-2</v>
      </c>
    </row>
    <row r="942" spans="35:45" ht="11.25" customHeight="1" x14ac:dyDescent="0.2">
      <c r="AI942" s="3" t="e">
        <f t="shared" si="166"/>
        <v>#N/A</v>
      </c>
      <c r="AJ942" s="3" t="e">
        <f t="shared" si="167"/>
        <v>#N/A</v>
      </c>
      <c r="AK942" s="1">
        <f t="shared" si="174"/>
        <v>139.95000000000243</v>
      </c>
      <c r="AL942" s="1">
        <f t="shared" si="164"/>
        <v>5.6889375106430684</v>
      </c>
      <c r="AM942" s="1">
        <f t="shared" si="168"/>
        <v>8.9513127520575041E-7</v>
      </c>
      <c r="AN942" s="1">
        <f t="shared" si="169"/>
        <v>8.9513127520575041E-7</v>
      </c>
      <c r="AO942" s="1">
        <f t="shared" si="170"/>
        <v>8.9277870246522467E-7</v>
      </c>
      <c r="AP942" s="1">
        <f t="shared" si="165"/>
        <v>2.0669796706011083</v>
      </c>
      <c r="AQ942" s="1">
        <f t="shared" si="171"/>
        <v>1.9826851776483245E-2</v>
      </c>
      <c r="AR942" s="1">
        <f t="shared" si="172"/>
        <v>0</v>
      </c>
      <c r="AS942" s="1">
        <f t="shared" si="173"/>
        <v>1.7934074282674323E-2</v>
      </c>
    </row>
    <row r="943" spans="35:45" ht="11.25" customHeight="1" x14ac:dyDescent="0.2">
      <c r="AI943" s="3" t="e">
        <f t="shared" si="166"/>
        <v>#N/A</v>
      </c>
      <c r="AJ943" s="3" t="e">
        <f t="shared" si="167"/>
        <v>#N/A</v>
      </c>
      <c r="AK943" s="1">
        <f t="shared" si="174"/>
        <v>140.10000000000244</v>
      </c>
      <c r="AL943" s="1">
        <f t="shared" si="164"/>
        <v>5.6984243436235742</v>
      </c>
      <c r="AM943" s="1">
        <f t="shared" si="168"/>
        <v>8.6845650917118951E-7</v>
      </c>
      <c r="AN943" s="1">
        <f t="shared" si="169"/>
        <v>8.6845650917118951E-7</v>
      </c>
      <c r="AO943" s="1">
        <f t="shared" si="170"/>
        <v>8.6617404271470399E-7</v>
      </c>
      <c r="AP943" s="1">
        <f t="shared" si="165"/>
        <v>2.0756040642197493</v>
      </c>
      <c r="AQ943" s="1">
        <f t="shared" si="171"/>
        <v>1.9502276886185221E-2</v>
      </c>
      <c r="AR943" s="1">
        <f t="shared" si="172"/>
        <v>0</v>
      </c>
      <c r="AS943" s="1">
        <f t="shared" si="173"/>
        <v>1.7640485050328322E-2</v>
      </c>
    </row>
    <row r="944" spans="35:45" ht="11.25" customHeight="1" x14ac:dyDescent="0.2">
      <c r="AI944" s="3" t="e">
        <f t="shared" si="166"/>
        <v>#N/A</v>
      </c>
      <c r="AJ944" s="3" t="e">
        <f t="shared" si="167"/>
        <v>#N/A</v>
      </c>
      <c r="AK944" s="1">
        <f t="shared" si="174"/>
        <v>140.25000000000244</v>
      </c>
      <c r="AL944" s="1">
        <f t="shared" si="164"/>
        <v>5.7079111766040791</v>
      </c>
      <c r="AM944" s="1">
        <f t="shared" si="168"/>
        <v>8.4257277051952035E-7</v>
      </c>
      <c r="AN944" s="1">
        <f t="shared" si="169"/>
        <v>8.4257277051952035E-7</v>
      </c>
      <c r="AO944" s="1">
        <f t="shared" si="170"/>
        <v>8.4035833137887272E-7</v>
      </c>
      <c r="AP944" s="1">
        <f t="shared" si="165"/>
        <v>2.0842284578383907</v>
      </c>
      <c r="AQ944" s="1">
        <f t="shared" si="171"/>
        <v>1.918195981595594E-2</v>
      </c>
      <c r="AR944" s="1">
        <f t="shared" si="172"/>
        <v>0</v>
      </c>
      <c r="AS944" s="1">
        <f t="shared" si="173"/>
        <v>1.7350747163735847E-2</v>
      </c>
    </row>
    <row r="945" spans="35:45" ht="11.25" customHeight="1" x14ac:dyDescent="0.2">
      <c r="AI945" s="3" t="e">
        <f t="shared" si="166"/>
        <v>#N/A</v>
      </c>
      <c r="AJ945" s="3" t="e">
        <f t="shared" si="167"/>
        <v>#N/A</v>
      </c>
      <c r="AK945" s="1">
        <f t="shared" si="174"/>
        <v>140.40000000000245</v>
      </c>
      <c r="AL945" s="1">
        <f t="shared" si="164"/>
        <v>5.7173980095845849</v>
      </c>
      <c r="AM945" s="1">
        <f t="shared" si="168"/>
        <v>8.1745679136579612E-7</v>
      </c>
      <c r="AN945" s="1">
        <f t="shared" si="169"/>
        <v>8.1745679136579612E-7</v>
      </c>
      <c r="AO945" s="1">
        <f t="shared" si="170"/>
        <v>8.1530836172514617E-7</v>
      </c>
      <c r="AP945" s="1">
        <f t="shared" si="165"/>
        <v>2.0928528514570321</v>
      </c>
      <c r="AQ945" s="1">
        <f t="shared" si="171"/>
        <v>1.8865868388617812E-2</v>
      </c>
      <c r="AR945" s="1">
        <f t="shared" si="172"/>
        <v>0</v>
      </c>
      <c r="AS945" s="1">
        <f t="shared" si="173"/>
        <v>1.7064831517525067E-2</v>
      </c>
    </row>
    <row r="946" spans="35:45" ht="11.25" customHeight="1" x14ac:dyDescent="0.2">
      <c r="AI946" s="3" t="e">
        <f t="shared" si="166"/>
        <v>#N/A</v>
      </c>
      <c r="AJ946" s="3" t="e">
        <f t="shared" si="167"/>
        <v>#N/A</v>
      </c>
      <c r="AK946" s="1">
        <f t="shared" si="174"/>
        <v>140.55000000000246</v>
      </c>
      <c r="AL946" s="1">
        <f t="shared" si="164"/>
        <v>5.7268848425650907</v>
      </c>
      <c r="AM946" s="1">
        <f t="shared" si="168"/>
        <v>7.9308598021899491E-7</v>
      </c>
      <c r="AN946" s="1">
        <f t="shared" si="169"/>
        <v>7.9308598021899491E-7</v>
      </c>
      <c r="AO946" s="1">
        <f t="shared" si="170"/>
        <v>7.9100160163717462E-7</v>
      </c>
      <c r="AP946" s="1">
        <f t="shared" si="165"/>
        <v>2.1014772450756736</v>
      </c>
      <c r="AQ946" s="1">
        <f t="shared" si="171"/>
        <v>1.8553970119183912E-2</v>
      </c>
      <c r="AR946" s="1">
        <f t="shared" si="172"/>
        <v>0</v>
      </c>
      <c r="AS946" s="1">
        <f t="shared" si="173"/>
        <v>1.6782708727899952E-2</v>
      </c>
    </row>
    <row r="947" spans="35:45" ht="11.25" customHeight="1" x14ac:dyDescent="0.2">
      <c r="AI947" s="3" t="e">
        <f t="shared" si="166"/>
        <v>#N/A</v>
      </c>
      <c r="AJ947" s="3" t="e">
        <f t="shared" si="167"/>
        <v>#N/A</v>
      </c>
      <c r="AK947" s="1">
        <f t="shared" si="174"/>
        <v>140.70000000000246</v>
      </c>
      <c r="AL947" s="1">
        <f t="shared" si="164"/>
        <v>5.7363716755455956</v>
      </c>
      <c r="AM947" s="1">
        <f t="shared" si="168"/>
        <v>7.6943840211486186E-7</v>
      </c>
      <c r="AN947" s="1">
        <f t="shared" si="169"/>
        <v>7.6943840211486186E-7</v>
      </c>
      <c r="AO947" s="1">
        <f t="shared" si="170"/>
        <v>7.6741617379989987E-7</v>
      </c>
      <c r="AP947" s="1">
        <f t="shared" si="165"/>
        <v>2.110101638694315</v>
      </c>
      <c r="AQ947" s="1">
        <f t="shared" si="171"/>
        <v>1.8246232255381131E-2</v>
      </c>
      <c r="AR947" s="1">
        <f t="shared" si="172"/>
        <v>0</v>
      </c>
      <c r="AS947" s="1">
        <f t="shared" si="173"/>
        <v>1.6504349169294854E-2</v>
      </c>
    </row>
    <row r="948" spans="35:45" ht="11.25" customHeight="1" x14ac:dyDescent="0.2">
      <c r="AI948" s="3" t="e">
        <f t="shared" si="166"/>
        <v>#N/A</v>
      </c>
      <c r="AJ948" s="3" t="e">
        <f t="shared" si="167"/>
        <v>#N/A</v>
      </c>
      <c r="AK948" s="1">
        <f t="shared" si="174"/>
        <v>140.85000000000247</v>
      </c>
      <c r="AL948" s="1">
        <f t="shared" si="164"/>
        <v>5.7458585085261014</v>
      </c>
      <c r="AM948" s="1">
        <f t="shared" si="168"/>
        <v>7.4649276031152725E-7</v>
      </c>
      <c r="AN948" s="1">
        <f t="shared" si="169"/>
        <v>7.4649276031152725E-7</v>
      </c>
      <c r="AO948" s="1">
        <f t="shared" si="170"/>
        <v>7.445308374432809E-7</v>
      </c>
      <c r="AP948" s="1">
        <f t="shared" si="165"/>
        <v>2.1187260323129564</v>
      </c>
      <c r="AQ948" s="1">
        <f t="shared" si="171"/>
        <v>1.7942621776123598E-2</v>
      </c>
      <c r="AR948" s="1">
        <f t="shared" si="172"/>
        <v>0</v>
      </c>
      <c r="AS948" s="1">
        <f t="shared" si="173"/>
        <v>1.622972297299367E-2</v>
      </c>
    </row>
    <row r="949" spans="35:45" ht="11.25" customHeight="1" x14ac:dyDescent="0.2">
      <c r="AI949" s="3" t="e">
        <f t="shared" si="166"/>
        <v>#N/A</v>
      </c>
      <c r="AJ949" s="3" t="e">
        <f t="shared" si="167"/>
        <v>#N/A</v>
      </c>
      <c r="AK949" s="1">
        <f t="shared" si="174"/>
        <v>141.00000000000247</v>
      </c>
      <c r="AL949" s="1">
        <f t="shared" si="164"/>
        <v>5.7553453415066071</v>
      </c>
      <c r="AM949" s="1">
        <f t="shared" si="168"/>
        <v>7.2422837805288706E-7</v>
      </c>
      <c r="AN949" s="1">
        <f t="shared" si="169"/>
        <v>7.2422837805288706E-7</v>
      </c>
      <c r="AO949" s="1">
        <f t="shared" si="170"/>
        <v>7.223249701536035E-7</v>
      </c>
      <c r="AP949" s="1">
        <f t="shared" si="165"/>
        <v>2.1273504259315978</v>
      </c>
      <c r="AQ949" s="1">
        <f t="shared" si="171"/>
        <v>1.7643105395537258E-2</v>
      </c>
      <c r="AR949" s="1">
        <f t="shared" si="172"/>
        <v>0</v>
      </c>
      <c r="AS949" s="1">
        <f t="shared" si="173"/>
        <v>1.5958800030770218E-2</v>
      </c>
    </row>
    <row r="950" spans="35:45" ht="11.25" customHeight="1" x14ac:dyDescent="0.2">
      <c r="AI950" s="3" t="e">
        <f t="shared" si="166"/>
        <v>#N/A</v>
      </c>
      <c r="AJ950" s="3" t="e">
        <f t="shared" si="167"/>
        <v>#N/A</v>
      </c>
      <c r="AK950" s="1">
        <f t="shared" si="174"/>
        <v>141.15000000000248</v>
      </c>
      <c r="AL950" s="1">
        <f t="shared" si="164"/>
        <v>5.764832174487112</v>
      </c>
      <c r="AM950" s="1">
        <f t="shared" si="168"/>
        <v>7.0262518100113971E-7</v>
      </c>
      <c r="AN950" s="1">
        <f t="shared" si="169"/>
        <v>7.0262518100113971E-7</v>
      </c>
      <c r="AO950" s="1">
        <f t="shared" si="170"/>
        <v>7.0077855035218797E-7</v>
      </c>
      <c r="AP950" s="1">
        <f t="shared" si="165"/>
        <v>2.1359748195502393</v>
      </c>
      <c r="AQ950" s="1">
        <f t="shared" si="171"/>
        <v>1.7347649610421897E-2</v>
      </c>
      <c r="AR950" s="1">
        <f t="shared" si="172"/>
        <v>0</v>
      </c>
      <c r="AS950" s="1">
        <f t="shared" si="173"/>
        <v>1.5691550037819264E-2</v>
      </c>
    </row>
    <row r="951" spans="35:45" ht="11.25" customHeight="1" x14ac:dyDescent="0.2">
      <c r="AI951" s="3" t="e">
        <f t="shared" si="166"/>
        <v>#N/A</v>
      </c>
      <c r="AJ951" s="3" t="e">
        <f t="shared" si="167"/>
        <v>#N/A</v>
      </c>
      <c r="AK951" s="1">
        <f t="shared" si="174"/>
        <v>141.30000000000248</v>
      </c>
      <c r="AL951" s="1">
        <f t="shared" si="164"/>
        <v>5.7743190074676178</v>
      </c>
      <c r="AM951" s="1">
        <f t="shared" si="168"/>
        <v>6.8166367899169636E-7</v>
      </c>
      <c r="AN951" s="1">
        <f t="shared" si="169"/>
        <v>6.8166367899169636E-7</v>
      </c>
      <c r="AO951" s="1">
        <f t="shared" si="170"/>
        <v>6.7987213909825031E-7</v>
      </c>
      <c r="AP951" s="1">
        <f t="shared" si="165"/>
        <v>2.1445992131688802</v>
      </c>
      <c r="AQ951" s="1">
        <f t="shared" si="171"/>
        <v>1.7056220686789688E-2</v>
      </c>
      <c r="AR951" s="1">
        <f t="shared" si="172"/>
        <v>0</v>
      </c>
      <c r="AS951" s="1">
        <f t="shared" si="173"/>
        <v>1.5427942480580194E-2</v>
      </c>
    </row>
    <row r="952" spans="35:45" ht="11.25" customHeight="1" x14ac:dyDescent="0.2">
      <c r="AI952" s="3" t="e">
        <f t="shared" si="166"/>
        <v>#N/A</v>
      </c>
      <c r="AJ952" s="3" t="e">
        <f t="shared" si="167"/>
        <v>#N/A</v>
      </c>
      <c r="AK952" s="1">
        <f t="shared" si="174"/>
        <v>141.45000000000249</v>
      </c>
      <c r="AL952" s="1">
        <f t="shared" si="164"/>
        <v>5.7838058404481236</v>
      </c>
      <c r="AM952" s="1">
        <f t="shared" si="168"/>
        <v>6.613249504901263E-7</v>
      </c>
      <c r="AN952" s="1">
        <f t="shared" si="169"/>
        <v>6.613249504901263E-7</v>
      </c>
      <c r="AO952" s="1">
        <f t="shared" si="170"/>
        <v>6.5958686458669832E-7</v>
      </c>
      <c r="AP952" s="1">
        <f t="shared" si="165"/>
        <v>2.1532236067875217</v>
      </c>
      <c r="AQ952" s="1">
        <f t="shared" si="171"/>
        <v>1.6768784673604209E-2</v>
      </c>
      <c r="AR952" s="1">
        <f t="shared" si="172"/>
        <v>0</v>
      </c>
      <c r="AS952" s="1">
        <f t="shared" si="173"/>
        <v>1.5167946649164415E-2</v>
      </c>
    </row>
    <row r="953" spans="35:45" ht="11.25" customHeight="1" x14ac:dyDescent="0.2">
      <c r="AI953" s="3" t="e">
        <f t="shared" si="166"/>
        <v>#N/A</v>
      </c>
      <c r="AJ953" s="3" t="e">
        <f t="shared" si="167"/>
        <v>#N/A</v>
      </c>
      <c r="AK953" s="1">
        <f t="shared" si="174"/>
        <v>141.6000000000025</v>
      </c>
      <c r="AL953" s="1">
        <f t="shared" si="164"/>
        <v>5.7932926734286285</v>
      </c>
      <c r="AM953" s="1">
        <f t="shared" si="168"/>
        <v>6.4159062559220574E-7</v>
      </c>
      <c r="AN953" s="1">
        <f t="shared" si="169"/>
        <v>6.4159062559220574E-7</v>
      </c>
      <c r="AO953" s="1">
        <f t="shared" si="170"/>
        <v>6.3990440519285913E-7</v>
      </c>
      <c r="AP953" s="1">
        <f t="shared" si="165"/>
        <v>2.1618480004061631</v>
      </c>
      <c r="AQ953" s="1">
        <f t="shared" si="171"/>
        <v>1.6485307441221897E-2</v>
      </c>
      <c r="AR953" s="1">
        <f t="shared" si="172"/>
        <v>0</v>
      </c>
      <c r="AS953" s="1">
        <f t="shared" si="173"/>
        <v>1.4911531672126993E-2</v>
      </c>
    </row>
    <row r="954" spans="35:45" ht="11.25" customHeight="1" x14ac:dyDescent="0.2">
      <c r="AI954" s="3" t="e">
        <f t="shared" si="166"/>
        <v>#N/A</v>
      </c>
      <c r="AJ954" s="3" t="e">
        <f t="shared" si="167"/>
        <v>#N/A</v>
      </c>
      <c r="AK954" s="1">
        <f t="shared" si="174"/>
        <v>141.7500000000025</v>
      </c>
      <c r="AL954" s="1">
        <f t="shared" si="164"/>
        <v>5.8027795064091343</v>
      </c>
      <c r="AM954" s="1">
        <f t="shared" si="168"/>
        <v>6.2244287033686759E-7</v>
      </c>
      <c r="AN954" s="1">
        <f t="shared" si="169"/>
        <v>6.2244287033686759E-7</v>
      </c>
      <c r="AO954" s="1">
        <f t="shared" si="170"/>
        <v>6.208069738266574E-7</v>
      </c>
      <c r="AP954" s="1">
        <f t="shared" si="165"/>
        <v>2.1704723940248045</v>
      </c>
      <c r="AQ954" s="1">
        <f t="shared" si="171"/>
        <v>1.6205754675008288E-2</v>
      </c>
      <c r="AR954" s="1">
        <f t="shared" si="172"/>
        <v>0</v>
      </c>
      <c r="AS954" s="1">
        <f t="shared" si="173"/>
        <v>1.4658666510692312E-2</v>
      </c>
    </row>
    <row r="955" spans="35:45" ht="11.25" customHeight="1" x14ac:dyDescent="0.2">
      <c r="AI955" s="3" t="e">
        <f t="shared" si="166"/>
        <v>#N/A</v>
      </c>
      <c r="AJ955" s="3" t="e">
        <f t="shared" si="167"/>
        <v>#N/A</v>
      </c>
      <c r="AK955" s="1">
        <f t="shared" si="174"/>
        <v>141.90000000000251</v>
      </c>
      <c r="AL955" s="1">
        <f t="shared" si="164"/>
        <v>5.8122663393896401</v>
      </c>
      <c r="AM955" s="1">
        <f t="shared" si="168"/>
        <v>6.0386437124996777E-7</v>
      </c>
      <c r="AN955" s="1">
        <f t="shared" si="169"/>
        <v>6.0386437124996777E-7</v>
      </c>
      <c r="AO955" s="1">
        <f t="shared" si="170"/>
        <v>6.0227730251700358E-7</v>
      </c>
      <c r="AP955" s="1">
        <f t="shared" si="165"/>
        <v>2.1790967876434459</v>
      </c>
      <c r="AQ955" s="1">
        <f t="shared" si="171"/>
        <v>1.5930091883109565E-2</v>
      </c>
      <c r="AR955" s="1">
        <f t="shared" si="172"/>
        <v>0</v>
      </c>
      <c r="AS955" s="1">
        <f t="shared" si="173"/>
        <v>1.4409319965783709E-2</v>
      </c>
    </row>
    <row r="956" spans="35:45" ht="11.25" customHeight="1" x14ac:dyDescent="0.2">
      <c r="AI956" s="3" t="e">
        <f t="shared" si="166"/>
        <v>#N/A</v>
      </c>
      <c r="AJ956" s="3" t="e">
        <f t="shared" si="167"/>
        <v>#N/A</v>
      </c>
      <c r="AK956" s="1">
        <f t="shared" si="174"/>
        <v>142.05000000000251</v>
      </c>
      <c r="AL956" s="1">
        <f t="shared" si="164"/>
        <v>5.821753172370145</v>
      </c>
      <c r="AM956" s="1">
        <f t="shared" si="168"/>
        <v>5.8583832090237348E-7</v>
      </c>
      <c r="AN956" s="1">
        <f t="shared" si="169"/>
        <v>5.8583832090237348E-7</v>
      </c>
      <c r="AO956" s="1">
        <f t="shared" si="170"/>
        <v>5.8429862800783851E-7</v>
      </c>
      <c r="AP956" s="1">
        <f t="shared" si="165"/>
        <v>2.1877211812620874</v>
      </c>
      <c r="AQ956" s="1">
        <f t="shared" si="171"/>
        <v>1.5658284430591918E-2</v>
      </c>
      <c r="AR956" s="1">
        <f t="shared" si="172"/>
        <v>0</v>
      </c>
      <c r="AS956" s="1">
        <f t="shared" si="173"/>
        <v>1.4163460708903714E-2</v>
      </c>
    </row>
    <row r="957" spans="35:45" ht="11.25" customHeight="1" x14ac:dyDescent="0.2">
      <c r="AI957" s="3" t="e">
        <f t="shared" si="166"/>
        <v>#N/A</v>
      </c>
      <c r="AJ957" s="3" t="e">
        <f t="shared" si="167"/>
        <v>#N/A</v>
      </c>
      <c r="AK957" s="1">
        <f t="shared" si="174"/>
        <v>142.20000000000252</v>
      </c>
      <c r="AL957" s="1">
        <f t="shared" si="164"/>
        <v>5.8312400053506508</v>
      </c>
      <c r="AM957" s="1">
        <f t="shared" si="168"/>
        <v>5.6834840223561836E-7</v>
      </c>
      <c r="AN957" s="1">
        <f t="shared" si="169"/>
        <v>5.6834840223561836E-7</v>
      </c>
      <c r="AO957" s="1">
        <f t="shared" si="170"/>
        <v>5.6685467612498336E-7</v>
      </c>
      <c r="AP957" s="1">
        <f t="shared" si="165"/>
        <v>2.1963455748807288</v>
      </c>
      <c r="AQ957" s="1">
        <f t="shared" si="171"/>
        <v>1.5390297546519216E-2</v>
      </c>
      <c r="AR957" s="1">
        <f t="shared" si="172"/>
        <v>0</v>
      </c>
      <c r="AS957" s="1">
        <f t="shared" si="173"/>
        <v>1.392105728853605E-2</v>
      </c>
    </row>
    <row r="958" spans="35:45" ht="11.25" customHeight="1" x14ac:dyDescent="0.2">
      <c r="AI958" s="3" t="e">
        <f t="shared" si="166"/>
        <v>#N/A</v>
      </c>
      <c r="AJ958" s="3" t="e">
        <f t="shared" si="167"/>
        <v>#N/A</v>
      </c>
      <c r="AK958" s="1">
        <f t="shared" si="174"/>
        <v>142.35000000000252</v>
      </c>
      <c r="AL958" s="1">
        <f t="shared" si="164"/>
        <v>5.8407268383311566</v>
      </c>
      <c r="AM958" s="1">
        <f t="shared" si="168"/>
        <v>5.513787756721791E-7</v>
      </c>
      <c r="AN958" s="1">
        <f t="shared" si="169"/>
        <v>5.513787756721791E-7</v>
      </c>
      <c r="AO958" s="1">
        <f t="shared" si="170"/>
        <v>5.4992964892029272E-7</v>
      </c>
      <c r="AP958" s="1">
        <f t="shared" si="165"/>
        <v>2.2049699684993698</v>
      </c>
      <c r="AQ958" s="1">
        <f t="shared" si="171"/>
        <v>1.5126096320483562E-2</v>
      </c>
      <c r="AR958" s="1">
        <f t="shared" si="172"/>
        <v>0</v>
      </c>
      <c r="AS958" s="1">
        <f t="shared" si="173"/>
        <v>1.3682078127007386E-2</v>
      </c>
    </row>
    <row r="959" spans="35:45" ht="11.25" customHeight="1" x14ac:dyDescent="0.2">
      <c r="AI959" s="3" t="e">
        <f t="shared" si="166"/>
        <v>#N/A</v>
      </c>
      <c r="AJ959" s="3" t="e">
        <f t="shared" si="167"/>
        <v>#N/A</v>
      </c>
      <c r="AK959" s="1">
        <f t="shared" si="174"/>
        <v>142.50000000000253</v>
      </c>
      <c r="AL959" s="1">
        <f t="shared" si="164"/>
        <v>5.8502136713116615</v>
      </c>
      <c r="AM959" s="1">
        <f t="shared" si="168"/>
        <v>5.3491406453380253E-7</v>
      </c>
      <c r="AN959" s="1">
        <f t="shared" si="169"/>
        <v>5.3491406453380253E-7</v>
      </c>
      <c r="AO959" s="1">
        <f t="shared" si="170"/>
        <v>5.3350821012830567E-7</v>
      </c>
      <c r="AP959" s="1">
        <f t="shared" si="165"/>
        <v>2.2135943621180112</v>
      </c>
      <c r="AQ959" s="1">
        <f t="shared" si="171"/>
        <v>1.4865645736467092E-2</v>
      </c>
      <c r="AR959" s="1">
        <f t="shared" si="172"/>
        <v>0</v>
      </c>
      <c r="AS959" s="1">
        <f t="shared" si="173"/>
        <v>1.3446491551116527E-2</v>
      </c>
    </row>
    <row r="960" spans="35:45" ht="11.25" customHeight="1" x14ac:dyDescent="0.2">
      <c r="AI960" s="3" t="e">
        <f t="shared" si="166"/>
        <v>#N/A</v>
      </c>
      <c r="AJ960" s="3" t="e">
        <f t="shared" si="167"/>
        <v>#N/A</v>
      </c>
      <c r="AK960" s="1">
        <f t="shared" si="174"/>
        <v>142.65000000000254</v>
      </c>
      <c r="AL960" s="1">
        <f t="shared" si="164"/>
        <v>5.8597005042921673</v>
      </c>
      <c r="AM960" s="1">
        <f t="shared" si="168"/>
        <v>5.1893934212213612E-7</v>
      </c>
      <c r="AN960" s="1">
        <f t="shared" si="169"/>
        <v>5.1893934212213612E-7</v>
      </c>
      <c r="AO960" s="1">
        <f t="shared" si="170"/>
        <v>5.1757547228083017E-7</v>
      </c>
      <c r="AP960" s="1">
        <f t="shared" si="165"/>
        <v>2.2222187557366526</v>
      </c>
      <c r="AQ960" s="1">
        <f t="shared" si="171"/>
        <v>1.4608910676311426E-2</v>
      </c>
      <c r="AR960" s="1">
        <f t="shared" si="172"/>
        <v>0</v>
      </c>
      <c r="AS960" s="1">
        <f t="shared" si="173"/>
        <v>1.3214265795272639E-2</v>
      </c>
    </row>
    <row r="961" spans="35:45" ht="11.25" customHeight="1" x14ac:dyDescent="0.2">
      <c r="AI961" s="3" t="e">
        <f t="shared" si="166"/>
        <v>#N/A</v>
      </c>
      <c r="AJ961" s="3" t="e">
        <f t="shared" si="167"/>
        <v>#N/A</v>
      </c>
      <c r="AK961" s="1">
        <f t="shared" si="174"/>
        <v>142.80000000000254</v>
      </c>
      <c r="AL961" s="1">
        <f t="shared" si="164"/>
        <v>5.8691873372726731</v>
      </c>
      <c r="AM961" s="1">
        <f t="shared" si="168"/>
        <v>5.0344011853889524E-7</v>
      </c>
      <c r="AN961" s="1">
        <f t="shared" si="169"/>
        <v>5.0344011853889524E-7</v>
      </c>
      <c r="AO961" s="1">
        <f t="shared" si="170"/>
        <v>5.0211698356174972E-7</v>
      </c>
      <c r="AP961" s="1">
        <f t="shared" si="165"/>
        <v>2.230843149355294</v>
      </c>
      <c r="AQ961" s="1">
        <f t="shared" si="171"/>
        <v>1.4355855928738226E-2</v>
      </c>
      <c r="AR961" s="1">
        <f t="shared" si="172"/>
        <v>0</v>
      </c>
      <c r="AS961" s="1">
        <f t="shared" si="173"/>
        <v>1.2985369009654657E-2</v>
      </c>
    </row>
    <row r="962" spans="35:45" ht="11.25" customHeight="1" x14ac:dyDescent="0.2">
      <c r="AI962" s="3" t="e">
        <f t="shared" si="166"/>
        <v>#N/A</v>
      </c>
      <c r="AJ962" s="3" t="e">
        <f t="shared" si="167"/>
        <v>#N/A</v>
      </c>
      <c r="AK962" s="1">
        <f t="shared" si="174"/>
        <v>142.95000000000255</v>
      </c>
      <c r="AL962" s="1">
        <f t="shared" si="164"/>
        <v>5.878674170253178</v>
      </c>
      <c r="AM962" s="1">
        <f t="shared" si="168"/>
        <v>4.8840232841447295E-7</v>
      </c>
      <c r="AN962" s="1">
        <f t="shared" si="169"/>
        <v>4.8840232841447295E-7</v>
      </c>
      <c r="AO962" s="1">
        <f t="shared" si="170"/>
        <v>4.8711871556788454E-7</v>
      </c>
      <c r="AP962" s="1">
        <f t="shared" si="165"/>
        <v>2.2394675429739355</v>
      </c>
      <c r="AQ962" s="1">
        <f t="shared" si="171"/>
        <v>1.4106446202671874E-2</v>
      </c>
      <c r="AR962" s="1">
        <f t="shared" si="172"/>
        <v>0</v>
      </c>
      <c r="AS962" s="1">
        <f t="shared" si="173"/>
        <v>1.2759769272262118E-2</v>
      </c>
    </row>
    <row r="963" spans="35:45" ht="11.25" customHeight="1" x14ac:dyDescent="0.2">
      <c r="AI963" s="3" t="e">
        <f t="shared" si="166"/>
        <v>#N/A</v>
      </c>
      <c r="AJ963" s="3" t="e">
        <f t="shared" si="167"/>
        <v>#N/A</v>
      </c>
      <c r="AK963" s="1">
        <f t="shared" si="174"/>
        <v>143.10000000000255</v>
      </c>
      <c r="AL963" s="1">
        <f t="shared" si="164"/>
        <v>5.8881610032336837</v>
      </c>
      <c r="AM963" s="1">
        <f t="shared" si="168"/>
        <v>4.7381231804362773E-7</v>
      </c>
      <c r="AN963" s="1">
        <f t="shared" si="169"/>
        <v>4.7381231804362773E-7</v>
      </c>
      <c r="AO963" s="1">
        <f t="shared" si="170"/>
        <v>4.7256705047848928E-7</v>
      </c>
      <c r="AP963" s="1">
        <f t="shared" si="165"/>
        <v>2.2480919365925769</v>
      </c>
      <c r="AQ963" s="1">
        <f t="shared" si="171"/>
        <v>1.3860646148680655E-2</v>
      </c>
      <c r="AR963" s="1">
        <f t="shared" si="172"/>
        <v>0</v>
      </c>
      <c r="AS963" s="1">
        <f t="shared" si="173"/>
        <v>1.2537434608309445E-2</v>
      </c>
    </row>
    <row r="964" spans="35:45" ht="11.25" customHeight="1" x14ac:dyDescent="0.2">
      <c r="AI964" s="3" t="e">
        <f t="shared" si="166"/>
        <v>#N/A</v>
      </c>
      <c r="AJ964" s="3" t="e">
        <f t="shared" si="167"/>
        <v>#N/A</v>
      </c>
      <c r="AK964" s="1">
        <f t="shared" si="174"/>
        <v>143.25000000000256</v>
      </c>
      <c r="AL964" s="1">
        <f t="shared" si="164"/>
        <v>5.8976478362141895</v>
      </c>
      <c r="AM964" s="1">
        <f t="shared" si="168"/>
        <v>4.596568339844196E-7</v>
      </c>
      <c r="AN964" s="1">
        <f t="shared" si="169"/>
        <v>4.596568339844196E-7</v>
      </c>
      <c r="AO964" s="1">
        <f t="shared" si="170"/>
        <v>4.5844876968415308E-7</v>
      </c>
      <c r="AP964" s="1">
        <f t="shared" si="165"/>
        <v>2.2567163302112183</v>
      </c>
      <c r="AQ964" s="1">
        <f t="shared" si="171"/>
        <v>1.3618420356895089E-2</v>
      </c>
      <c r="AR964" s="1">
        <f t="shared" si="172"/>
        <v>0</v>
      </c>
      <c r="AS964" s="1">
        <f t="shared" si="173"/>
        <v>1.2318332988343006E-2</v>
      </c>
    </row>
    <row r="965" spans="35:45" ht="11.25" customHeight="1" x14ac:dyDescent="0.2">
      <c r="AI965" s="3" t="e">
        <f t="shared" si="166"/>
        <v>#N/A</v>
      </c>
      <c r="AJ965" s="3" t="e">
        <f t="shared" si="167"/>
        <v>#N/A</v>
      </c>
      <c r="AK965" s="1">
        <f t="shared" si="174"/>
        <v>143.40000000000256</v>
      </c>
      <c r="AL965" s="1">
        <f t="shared" si="164"/>
        <v>5.9071346691946944</v>
      </c>
      <c r="AM965" s="1">
        <f t="shared" si="168"/>
        <v>4.4592301127386436E-7</v>
      </c>
      <c r="AN965" s="1">
        <f t="shared" si="169"/>
        <v>4.4592301127386436E-7</v>
      </c>
      <c r="AO965" s="1">
        <f t="shared" si="170"/>
        <v>4.4475104203342543E-7</v>
      </c>
      <c r="AP965" s="1">
        <f t="shared" si="165"/>
        <v>2.2653407238298593</v>
      </c>
      <c r="AQ965" s="1">
        <f t="shared" si="171"/>
        <v>1.3379733376991942E-2</v>
      </c>
      <c r="AR965" s="1">
        <f t="shared" si="172"/>
        <v>0</v>
      </c>
      <c r="AS965" s="1">
        <f t="shared" si="173"/>
        <v>1.2102432346317351E-2</v>
      </c>
    </row>
    <row r="966" spans="35:45" ht="11.25" customHeight="1" x14ac:dyDescent="0.2">
      <c r="AI966" s="3" t="e">
        <f t="shared" si="166"/>
        <v>#N/A</v>
      </c>
      <c r="AJ966" s="3" t="e">
        <f t="shared" si="167"/>
        <v>#N/A</v>
      </c>
      <c r="AK966" s="1">
        <f t="shared" si="174"/>
        <v>143.55000000000257</v>
      </c>
      <c r="AL966" s="1">
        <f t="shared" si="164"/>
        <v>5.9166215021752002</v>
      </c>
      <c r="AM966" s="1">
        <f t="shared" si="168"/>
        <v>4.3259836274261293E-7</v>
      </c>
      <c r="AN966" s="1">
        <f t="shared" si="169"/>
        <v>4.3259836274261293E-7</v>
      </c>
      <c r="AO966" s="1">
        <f t="shared" si="170"/>
        <v>4.314614131755783E-7</v>
      </c>
      <c r="AP966" s="1">
        <f t="shared" si="165"/>
        <v>2.2739651174485007</v>
      </c>
      <c r="AQ966" s="1">
        <f t="shared" si="171"/>
        <v>1.3144549724994348E-2</v>
      </c>
      <c r="AR966" s="1">
        <f t="shared" si="172"/>
        <v>0</v>
      </c>
      <c r="AS966" s="1">
        <f t="shared" si="173"/>
        <v>1.1889700585746153E-2</v>
      </c>
    </row>
    <row r="967" spans="35:45" ht="11.25" customHeight="1" x14ac:dyDescent="0.2">
      <c r="AI967" s="3" t="e">
        <f t="shared" si="166"/>
        <v>#N/A</v>
      </c>
      <c r="AJ967" s="3" t="e">
        <f t="shared" si="167"/>
        <v>#N/A</v>
      </c>
      <c r="AK967" s="1">
        <f t="shared" si="174"/>
        <v>143.70000000000258</v>
      </c>
      <c r="AL967" s="1">
        <f t="shared" si="164"/>
        <v>5.926108335155706</v>
      </c>
      <c r="AM967" s="1">
        <f t="shared" si="168"/>
        <v>4.196707670971978E-7</v>
      </c>
      <c r="AN967" s="1">
        <f t="shared" si="169"/>
        <v>4.196707670971978E-7</v>
      </c>
      <c r="AO967" s="1">
        <f t="shared" si="170"/>
        <v>4.1856779367417508E-7</v>
      </c>
      <c r="AP967" s="1">
        <f t="shared" si="165"/>
        <v>2.2825895110671421</v>
      </c>
      <c r="AQ967" s="1">
        <f t="shared" si="171"/>
        <v>1.2912833895345477E-2</v>
      </c>
      <c r="AR967" s="1">
        <f t="shared" si="172"/>
        <v>0</v>
      </c>
      <c r="AS967" s="1">
        <f t="shared" si="173"/>
        <v>1.1680105590623257E-2</v>
      </c>
    </row>
    <row r="968" spans="35:45" ht="11.25" customHeight="1" x14ac:dyDescent="0.2">
      <c r="AI968" s="3" t="e">
        <f t="shared" si="166"/>
        <v>#N/A</v>
      </c>
      <c r="AJ968" s="3" t="e">
        <f t="shared" si="167"/>
        <v>#N/A</v>
      </c>
      <c r="AK968" s="1">
        <f t="shared" si="174"/>
        <v>143.85000000000258</v>
      </c>
      <c r="AL968" s="1">
        <f t="shared" si="164"/>
        <v>5.9355951681362118</v>
      </c>
      <c r="AM968" s="1">
        <f t="shared" si="168"/>
        <v>4.0712845907962776E-7</v>
      </c>
      <c r="AN968" s="1">
        <f t="shared" si="169"/>
        <v>4.0712845907962776E-7</v>
      </c>
      <c r="AO968" s="1">
        <f t="shared" si="170"/>
        <v>4.0605844919252732E-7</v>
      </c>
      <c r="AP968" s="1">
        <f t="shared" si="165"/>
        <v>2.2912139046857836</v>
      </c>
      <c r="AQ968" s="1">
        <f t="shared" si="171"/>
        <v>1.2684550375965942E-2</v>
      </c>
      <c r="AR968" s="1">
        <f t="shared" si="172"/>
        <v>0</v>
      </c>
      <c r="AS968" s="1">
        <f t="shared" si="173"/>
        <v>1.1473615239042636E-2</v>
      </c>
    </row>
    <row r="969" spans="35:45" ht="11.25" customHeight="1" x14ac:dyDescent="0.2">
      <c r="AI969" s="3" t="e">
        <f t="shared" si="166"/>
        <v>#N/A</v>
      </c>
      <c r="AJ969" s="3" t="e">
        <f t="shared" si="167"/>
        <v>#N/A</v>
      </c>
      <c r="AK969" s="1">
        <f t="shared" si="174"/>
        <v>144.00000000000259</v>
      </c>
      <c r="AL969" s="1">
        <f t="shared" ref="AL969:AL1009" si="175">ABS(($AL$5-AK969)/$AL$6)</f>
        <v>5.9450820011167167</v>
      </c>
      <c r="AM969" s="1">
        <f t="shared" si="168"/>
        <v>3.9496001864654199E-7</v>
      </c>
      <c r="AN969" s="1">
        <f t="shared" si="169"/>
        <v>3.9496001864654199E-7</v>
      </c>
      <c r="AO969" s="1">
        <f t="shared" si="170"/>
        <v>3.9392198970128831E-7</v>
      </c>
      <c r="AP969" s="1">
        <f t="shared" ref="AP969:AP1009" si="176">ABS(($AP$5-AK969)/$AP$6)</f>
        <v>2.299838298304425</v>
      </c>
      <c r="AQ969" s="1">
        <f t="shared" si="171"/>
        <v>1.2459663645963959E-2</v>
      </c>
      <c r="AR969" s="1">
        <f t="shared" si="172"/>
        <v>0</v>
      </c>
      <c r="AS969" s="1">
        <f t="shared" si="173"/>
        <v>1.1270197401127136E-2</v>
      </c>
    </row>
    <row r="970" spans="35:45" ht="11.25" customHeight="1" x14ac:dyDescent="0.2">
      <c r="AI970" s="3" t="e">
        <f t="shared" ref="AI970:AI1009" si="177">IF($M$18,AI969,NA())</f>
        <v>#N/A</v>
      </c>
      <c r="AJ970" s="3" t="e">
        <f t="shared" ref="AJ970:AJ1009" si="178">IF($M$18,AJ969,NA())</f>
        <v>#N/A</v>
      </c>
      <c r="AK970" s="1">
        <f t="shared" si="174"/>
        <v>144.15000000000259</v>
      </c>
      <c r="AL970" s="1">
        <f t="shared" si="175"/>
        <v>5.9545688340972225</v>
      </c>
      <c r="AM970" s="1">
        <f t="shared" ref="AM970:AM1009" si="179">$AL$3*ABS((TDIST(AL970,$AL$7,1)-TDIST(AL970+$AL$1,$AL$7,1))/($AL$1))</f>
        <v>3.8315436188689932E-7</v>
      </c>
      <c r="AN970" s="1">
        <f t="shared" ref="AN970:AN1009" si="180">IF(($D$10&gt;$AJ$5)=($D$10&gt;AK970),AM970,0)</f>
        <v>3.8315436188689932E-7</v>
      </c>
      <c r="AO970" s="1">
        <f t="shared" ref="AO970:AO1009" si="181">AM970*$AN$5/$AN$7</f>
        <v>3.8214736042001232E-7</v>
      </c>
      <c r="AP970" s="1">
        <f t="shared" si="176"/>
        <v>2.3084626919230664</v>
      </c>
      <c r="AQ970" s="1">
        <f t="shared" ref="AQ970:AQ1009" si="182">$AL$3*ABS((TDIST(AP970,$AP$7,1)-TDIST(AP970+$AL$1,$AP$7,1))/($AL$1))</f>
        <v>1.2238138210468597E-2</v>
      </c>
      <c r="AR970" s="1">
        <f t="shared" ref="AR970:AR1009" si="183">IF(($D$19&gt;$AJ$5)=($D$19&gt;AK970),AQ970,0)</f>
        <v>0</v>
      </c>
      <c r="AS970" s="1">
        <f t="shared" ref="AS970:AS1009" si="184">AQ970*$AN$5/$AR$7</f>
        <v>1.1069819970536373E-2</v>
      </c>
    </row>
    <row r="971" spans="35:45" ht="11.25" customHeight="1" x14ac:dyDescent="0.2">
      <c r="AI971" s="3" t="e">
        <f t="shared" si="177"/>
        <v>#N/A</v>
      </c>
      <c r="AJ971" s="3" t="e">
        <f t="shared" si="178"/>
        <v>#N/A</v>
      </c>
      <c r="AK971" s="1">
        <f t="shared" si="174"/>
        <v>144.3000000000026</v>
      </c>
      <c r="AL971" s="1">
        <f t="shared" si="175"/>
        <v>5.9640556670777283</v>
      </c>
      <c r="AM971" s="1">
        <f t="shared" si="179"/>
        <v>3.7170072993008175E-7</v>
      </c>
      <c r="AN971" s="1">
        <f t="shared" si="180"/>
        <v>3.7170072993008175E-7</v>
      </c>
      <c r="AO971" s="1">
        <f t="shared" si="181"/>
        <v>3.7072383075440941E-7</v>
      </c>
      <c r="AP971" s="1">
        <f t="shared" si="176"/>
        <v>2.3170870855417078</v>
      </c>
      <c r="AQ971" s="1">
        <f t="shared" si="182"/>
        <v>1.2019938576274258E-2</v>
      </c>
      <c r="AR971" s="1">
        <f t="shared" si="183"/>
        <v>0</v>
      </c>
      <c r="AS971" s="1">
        <f t="shared" si="184"/>
        <v>1.0872450842436314E-2</v>
      </c>
    </row>
    <row r="972" spans="35:45" ht="11.25" customHeight="1" x14ac:dyDescent="0.2">
      <c r="AI972" s="3" t="e">
        <f t="shared" si="177"/>
        <v>#N/A</v>
      </c>
      <c r="AJ972" s="3" t="e">
        <f t="shared" si="178"/>
        <v>#N/A</v>
      </c>
      <c r="AK972" s="1">
        <f t="shared" si="174"/>
        <v>144.4500000000026</v>
      </c>
      <c r="AL972" s="1">
        <f t="shared" si="175"/>
        <v>5.9735425000582332</v>
      </c>
      <c r="AM972" s="1">
        <f t="shared" si="179"/>
        <v>3.6058868066614737E-7</v>
      </c>
      <c r="AN972" s="1">
        <f t="shared" si="180"/>
        <v>3.6058868066614737E-7</v>
      </c>
      <c r="AO972" s="1">
        <f t="shared" si="181"/>
        <v>3.5964098603835957E-7</v>
      </c>
      <c r="AP972" s="1">
        <f t="shared" si="176"/>
        <v>2.3257114791603488</v>
      </c>
      <c r="AQ972" s="1">
        <f t="shared" si="182"/>
        <v>1.1805029290767877E-2</v>
      </c>
      <c r="AR972" s="1">
        <f t="shared" si="183"/>
        <v>0</v>
      </c>
      <c r="AS972" s="1">
        <f t="shared" si="184"/>
        <v>1.0678057948710271E-2</v>
      </c>
    </row>
    <row r="973" spans="35:45" ht="11.25" customHeight="1" x14ac:dyDescent="0.2">
      <c r="AI973" s="3" t="e">
        <f t="shared" si="177"/>
        <v>#N/A</v>
      </c>
      <c r="AJ973" s="3" t="e">
        <f t="shared" si="178"/>
        <v>#N/A</v>
      </c>
      <c r="AK973" s="1">
        <f t="shared" si="174"/>
        <v>144.60000000000261</v>
      </c>
      <c r="AL973" s="1">
        <f t="shared" si="175"/>
        <v>5.983029333038739</v>
      </c>
      <c r="AM973" s="1">
        <f t="shared" si="179"/>
        <v>3.4980807890966034E-7</v>
      </c>
      <c r="AN973" s="1">
        <f t="shared" si="180"/>
        <v>3.4980807890966034E-7</v>
      </c>
      <c r="AO973" s="1">
        <f t="shared" si="181"/>
        <v>3.4888871772359367E-7</v>
      </c>
      <c r="AP973" s="1">
        <f t="shared" si="176"/>
        <v>2.3343358727789902</v>
      </c>
      <c r="AQ973" s="1">
        <f t="shared" si="182"/>
        <v>1.1593374937071688E-2</v>
      </c>
      <c r="AR973" s="1">
        <f t="shared" si="183"/>
        <v>0</v>
      </c>
      <c r="AS973" s="1">
        <f t="shared" si="184"/>
        <v>1.048660925356538E-2</v>
      </c>
    </row>
    <row r="974" spans="35:45" ht="11.25" customHeight="1" x14ac:dyDescent="0.2">
      <c r="AI974" s="3" t="e">
        <f t="shared" si="177"/>
        <v>#N/A</v>
      </c>
      <c r="AJ974" s="3" t="e">
        <f t="shared" si="178"/>
        <v>#N/A</v>
      </c>
      <c r="AK974" s="1">
        <f t="shared" si="174"/>
        <v>144.75000000000261</v>
      </c>
      <c r="AL974" s="1">
        <f t="shared" si="175"/>
        <v>5.9925161660192447</v>
      </c>
      <c r="AM974" s="1">
        <f t="shared" si="179"/>
        <v>3.3934908772183825E-7</v>
      </c>
      <c r="AN974" s="1">
        <f t="shared" si="180"/>
        <v>3.3934908772183825E-7</v>
      </c>
      <c r="AO974" s="1">
        <f t="shared" si="181"/>
        <v>3.3845721472464778E-7</v>
      </c>
      <c r="AP974" s="1">
        <f t="shared" si="176"/>
        <v>2.3429602663976317</v>
      </c>
      <c r="AQ974" s="1">
        <f t="shared" si="182"/>
        <v>1.1384940148961853E-2</v>
      </c>
      <c r="AR974" s="1">
        <f t="shared" si="183"/>
        <v>0</v>
      </c>
      <c r="AS974" s="1">
        <f t="shared" si="184"/>
        <v>1.0298072767027006E-2</v>
      </c>
    </row>
    <row r="975" spans="35:45" ht="11.25" customHeight="1" x14ac:dyDescent="0.2">
      <c r="AI975" s="3" t="e">
        <f t="shared" si="177"/>
        <v>#N/A</v>
      </c>
      <c r="AJ975" s="3" t="e">
        <f t="shared" si="178"/>
        <v>#N/A</v>
      </c>
      <c r="AK975" s="1">
        <f t="shared" si="174"/>
        <v>144.90000000000262</v>
      </c>
      <c r="AL975" s="1">
        <f t="shared" si="175"/>
        <v>6.0020029989997497</v>
      </c>
      <c r="AM975" s="1">
        <f t="shared" si="179"/>
        <v>3.2920215977716888E-7</v>
      </c>
      <c r="AN975" s="1">
        <f t="shared" si="180"/>
        <v>3.2920215977716888E-7</v>
      </c>
      <c r="AO975" s="1">
        <f t="shared" si="181"/>
        <v>3.2833695480817039E-7</v>
      </c>
      <c r="AP975" s="1">
        <f t="shared" si="176"/>
        <v>2.3515846600162731</v>
      </c>
      <c r="AQ975" s="1">
        <f t="shared" si="182"/>
        <v>1.1179689612950128E-2</v>
      </c>
      <c r="AR975" s="1">
        <f t="shared" si="183"/>
        <v>0</v>
      </c>
      <c r="AS975" s="1">
        <f t="shared" si="184"/>
        <v>1.0112416546821688E-2</v>
      </c>
    </row>
    <row r="976" spans="35:45" ht="11.25" customHeight="1" x14ac:dyDescent="0.2">
      <c r="AI976" s="3" t="e">
        <f t="shared" si="177"/>
        <v>#N/A</v>
      </c>
      <c r="AJ976" s="3" t="e">
        <f t="shared" si="178"/>
        <v>#N/A</v>
      </c>
      <c r="AK976" s="1">
        <f t="shared" si="174"/>
        <v>145.05000000000263</v>
      </c>
      <c r="AL976" s="1">
        <f t="shared" si="175"/>
        <v>6.0114898319802554</v>
      </c>
      <c r="AM976" s="1">
        <f t="shared" si="179"/>
        <v>3.1935802881473014E-7</v>
      </c>
      <c r="AN976" s="1">
        <f t="shared" si="180"/>
        <v>3.1935802881473014E-7</v>
      </c>
      <c r="AO976" s="1">
        <f t="shared" si="181"/>
        <v>3.1851869606670962E-7</v>
      </c>
      <c r="AP976" s="1">
        <f t="shared" si="176"/>
        <v>2.3602090536349145</v>
      </c>
      <c r="AQ976" s="1">
        <f t="shared" si="182"/>
        <v>1.0977588088684209E-2</v>
      </c>
      <c r="AR976" s="1">
        <f t="shared" si="183"/>
        <v>0</v>
      </c>
      <c r="AS976" s="1">
        <f t="shared" si="184"/>
        <v>9.9296087168299525E-3</v>
      </c>
    </row>
    <row r="977" spans="35:45" ht="11.25" customHeight="1" x14ac:dyDescent="0.2">
      <c r="AI977" s="3" t="e">
        <f t="shared" si="177"/>
        <v>#N/A</v>
      </c>
      <c r="AJ977" s="3" t="e">
        <f t="shared" si="178"/>
        <v>#N/A</v>
      </c>
      <c r="AK977" s="1">
        <f t="shared" si="174"/>
        <v>145.20000000000263</v>
      </c>
      <c r="AL977" s="1">
        <f t="shared" si="175"/>
        <v>6.0209766649607612</v>
      </c>
      <c r="AM977" s="1">
        <f t="shared" si="179"/>
        <v>3.0980770139867709E-7</v>
      </c>
      <c r="AN977" s="1">
        <f t="shared" si="180"/>
        <v>3.0980770139867709E-7</v>
      </c>
      <c r="AO977" s="1">
        <f t="shared" si="181"/>
        <v>3.0899346870085528E-7</v>
      </c>
      <c r="AP977" s="1">
        <f t="shared" si="176"/>
        <v>2.3688334472535559</v>
      </c>
      <c r="AQ977" s="1">
        <f t="shared" si="182"/>
        <v>1.0778600405200733E-2</v>
      </c>
      <c r="AR977" s="1">
        <f t="shared" si="183"/>
        <v>0</v>
      </c>
      <c r="AS977" s="1">
        <f t="shared" si="184"/>
        <v>9.749617463697029E-3</v>
      </c>
    </row>
    <row r="978" spans="35:45" ht="11.25" customHeight="1" x14ac:dyDescent="0.2">
      <c r="AI978" s="3" t="e">
        <f t="shared" si="177"/>
        <v>#N/A</v>
      </c>
      <c r="AJ978" s="3" t="e">
        <f t="shared" si="178"/>
        <v>#N/A</v>
      </c>
      <c r="AK978" s="1">
        <f t="shared" si="174"/>
        <v>145.35000000000264</v>
      </c>
      <c r="AL978" s="1">
        <f t="shared" si="175"/>
        <v>6.0304634979412661</v>
      </c>
      <c r="AM978" s="1">
        <f t="shared" si="179"/>
        <v>3.0054244940505968E-7</v>
      </c>
      <c r="AN978" s="1">
        <f t="shared" si="180"/>
        <v>3.0054244940505968E-7</v>
      </c>
      <c r="AO978" s="1">
        <f t="shared" si="181"/>
        <v>2.9975256752580276E-7</v>
      </c>
      <c r="AP978" s="1">
        <f t="shared" si="176"/>
        <v>2.3774578408721974</v>
      </c>
      <c r="AQ978" s="1">
        <f t="shared" si="182"/>
        <v>1.0582691477509232E-2</v>
      </c>
      <c r="AR978" s="1">
        <f t="shared" si="183"/>
        <v>0</v>
      </c>
      <c r="AS978" s="1">
        <f t="shared" si="184"/>
        <v>9.5724110518336097E-3</v>
      </c>
    </row>
    <row r="979" spans="35:45" ht="11.25" customHeight="1" x14ac:dyDescent="0.2">
      <c r="AI979" s="3" t="e">
        <f t="shared" si="177"/>
        <v>#N/A</v>
      </c>
      <c r="AJ979" s="3" t="e">
        <f t="shared" si="178"/>
        <v>#N/A</v>
      </c>
      <c r="AK979" s="1">
        <f t="shared" si="174"/>
        <v>145.50000000000264</v>
      </c>
      <c r="AL979" s="1">
        <f t="shared" si="175"/>
        <v>6.0399503309217719</v>
      </c>
      <c r="AM979" s="1">
        <f t="shared" si="179"/>
        <v>2.9155380165525485E-7</v>
      </c>
      <c r="AN979" s="1">
        <f t="shared" si="180"/>
        <v>2.9155380165525485E-7</v>
      </c>
      <c r="AO979" s="1">
        <f t="shared" si="181"/>
        <v>2.9078754362677389E-7</v>
      </c>
      <c r="AP979" s="1">
        <f t="shared" si="176"/>
        <v>2.3860822344908388</v>
      </c>
      <c r="AQ979" s="1">
        <f t="shared" si="182"/>
        <v>1.0389826309506467E-2</v>
      </c>
      <c r="AR979" s="1">
        <f t="shared" si="183"/>
        <v>0</v>
      </c>
      <c r="AS979" s="1">
        <f t="shared" si="184"/>
        <v>9.3979578260519631E-3</v>
      </c>
    </row>
    <row r="980" spans="35:45" ht="11.25" customHeight="1" x14ac:dyDescent="0.2">
      <c r="AI980" s="3" t="e">
        <f t="shared" si="177"/>
        <v>#N/A</v>
      </c>
      <c r="AJ980" s="3" t="e">
        <f t="shared" si="178"/>
        <v>#N/A</v>
      </c>
      <c r="AK980" s="1">
        <f t="shared" si="174"/>
        <v>145.65000000000265</v>
      </c>
      <c r="AL980" s="1">
        <f t="shared" si="175"/>
        <v>6.0494371639022777</v>
      </c>
      <c r="AM980" s="1">
        <f t="shared" si="179"/>
        <v>2.828335368580644E-7</v>
      </c>
      <c r="AN980" s="1">
        <f t="shared" si="180"/>
        <v>2.828335368580644E-7</v>
      </c>
      <c r="AO980" s="1">
        <f t="shared" si="181"/>
        <v>2.820901973196645E-7</v>
      </c>
      <c r="AP980" s="1">
        <f t="shared" si="176"/>
        <v>2.3947066281094798</v>
      </c>
      <c r="AQ980" s="1">
        <f t="shared" si="182"/>
        <v>1.0199970006605219E-2</v>
      </c>
      <c r="AR980" s="1">
        <f t="shared" si="183"/>
        <v>0</v>
      </c>
      <c r="AS980" s="1">
        <f t="shared" si="184"/>
        <v>9.2262262229891191E-3</v>
      </c>
    </row>
    <row r="981" spans="35:45" ht="11.25" customHeight="1" x14ac:dyDescent="0.2">
      <c r="AI981" s="3" t="e">
        <f t="shared" si="177"/>
        <v>#N/A</v>
      </c>
      <c r="AJ981" s="3" t="e">
        <f t="shared" si="178"/>
        <v>#N/A</v>
      </c>
      <c r="AK981" s="1">
        <f t="shared" si="174"/>
        <v>145.80000000000265</v>
      </c>
      <c r="AL981" s="1">
        <f t="shared" si="175"/>
        <v>6.0589239968827826</v>
      </c>
      <c r="AM981" s="1">
        <f t="shared" si="179"/>
        <v>2.7437367638558298E-7</v>
      </c>
      <c r="AN981" s="1">
        <f t="shared" si="180"/>
        <v>2.7437367638558298E-7</v>
      </c>
      <c r="AO981" s="1">
        <f t="shared" si="181"/>
        <v>2.7365257094589855E-7</v>
      </c>
      <c r="AP981" s="1">
        <f t="shared" si="176"/>
        <v>2.4033310217281212</v>
      </c>
      <c r="AQ981" s="1">
        <f t="shared" si="182"/>
        <v>1.0013087780660901E-2</v>
      </c>
      <c r="AR981" s="1">
        <f t="shared" si="183"/>
        <v>0</v>
      </c>
      <c r="AS981" s="1">
        <f t="shared" si="184"/>
        <v>9.0571847755631461E-3</v>
      </c>
    </row>
    <row r="982" spans="35:45" ht="11.25" customHeight="1" x14ac:dyDescent="0.2">
      <c r="AI982" s="3" t="e">
        <f t="shared" si="177"/>
        <v>#N/A</v>
      </c>
      <c r="AJ982" s="3" t="e">
        <f t="shared" si="178"/>
        <v>#N/A</v>
      </c>
      <c r="AK982" s="1">
        <f t="shared" si="174"/>
        <v>145.95000000000266</v>
      </c>
      <c r="AL982" s="1">
        <f t="shared" si="175"/>
        <v>6.0684108298632884</v>
      </c>
      <c r="AM982" s="1">
        <f t="shared" si="179"/>
        <v>2.6616647689765839E-7</v>
      </c>
      <c r="AN982" s="1">
        <f t="shared" si="180"/>
        <v>2.6616647689765839E-7</v>
      </c>
      <c r="AO982" s="1">
        <f t="shared" si="181"/>
        <v>2.6546694151627286E-7</v>
      </c>
      <c r="AP982" s="1">
        <f t="shared" si="176"/>
        <v>2.4119554153467626</v>
      </c>
      <c r="AQ982" s="1">
        <f t="shared" si="182"/>
        <v>9.8291449592696756E-3</v>
      </c>
      <c r="AR982" s="1">
        <f t="shared" si="183"/>
        <v>0</v>
      </c>
      <c r="AS982" s="1">
        <f t="shared" si="184"/>
        <v>8.8908021213836407E-3</v>
      </c>
    </row>
    <row r="983" spans="35:45" ht="11.25" customHeight="1" x14ac:dyDescent="0.2">
      <c r="AI983" s="3" t="e">
        <f t="shared" si="177"/>
        <v>#N/A</v>
      </c>
      <c r="AJ983" s="3" t="e">
        <f t="shared" si="178"/>
        <v>#N/A</v>
      </c>
      <c r="AK983" s="1">
        <f t="shared" si="174"/>
        <v>146.10000000000267</v>
      </c>
      <c r="AL983" s="1">
        <f t="shared" si="175"/>
        <v>6.0778976628437942</v>
      </c>
      <c r="AM983" s="1">
        <f t="shared" si="179"/>
        <v>2.5820442366409583E-7</v>
      </c>
      <c r="AN983" s="1">
        <f t="shared" si="180"/>
        <v>2.5820442366409583E-7</v>
      </c>
      <c r="AO983" s="1">
        <f t="shared" si="181"/>
        <v>2.5752581405071182E-7</v>
      </c>
      <c r="AP983" s="1">
        <f t="shared" si="176"/>
        <v>2.420579808965404</v>
      </c>
      <c r="AQ983" s="1">
        <f t="shared" si="182"/>
        <v>9.6481069877807357E-3</v>
      </c>
      <c r="AR983" s="1">
        <f t="shared" si="183"/>
        <v>0</v>
      </c>
      <c r="AS983" s="1">
        <f t="shared" si="184"/>
        <v>8.7270470045718879E-3</v>
      </c>
    </row>
    <row r="984" spans="35:45" ht="11.25" customHeight="1" x14ac:dyDescent="0.2">
      <c r="AI984" s="3" t="e">
        <f t="shared" si="177"/>
        <v>#N/A</v>
      </c>
      <c r="AJ984" s="3" t="e">
        <f t="shared" si="178"/>
        <v>#N/A</v>
      </c>
      <c r="AK984" s="1">
        <f t="shared" si="174"/>
        <v>146.25000000000267</v>
      </c>
      <c r="AL984" s="1">
        <f t="shared" si="175"/>
        <v>6.0873844958242991</v>
      </c>
      <c r="AM984" s="1">
        <f t="shared" si="179"/>
        <v>2.5048022377039459E-7</v>
      </c>
      <c r="AN984" s="1">
        <f t="shared" si="180"/>
        <v>2.5048022377039459E-7</v>
      </c>
      <c r="AO984" s="1">
        <f t="shared" si="181"/>
        <v>2.4982191480186084E-7</v>
      </c>
      <c r="AP984" s="1">
        <f t="shared" si="176"/>
        <v>2.4292042025840455</v>
      </c>
      <c r="AQ984" s="1">
        <f t="shared" si="182"/>
        <v>9.4699394438679807E-3</v>
      </c>
      <c r="AR984" s="1">
        <f t="shared" si="183"/>
        <v>0</v>
      </c>
      <c r="AS984" s="1">
        <f t="shared" si="184"/>
        <v>8.5658882889414565E-3</v>
      </c>
    </row>
    <row r="985" spans="35:45" ht="11.25" customHeight="1" x14ac:dyDescent="0.2">
      <c r="AI985" s="3" t="e">
        <f t="shared" si="177"/>
        <v>#N/A</v>
      </c>
      <c r="AJ985" s="3" t="e">
        <f t="shared" si="178"/>
        <v>#N/A</v>
      </c>
      <c r="AK985" s="1">
        <f t="shared" si="174"/>
        <v>146.40000000000268</v>
      </c>
      <c r="AL985" s="1">
        <f t="shared" si="175"/>
        <v>6.0968713288048049</v>
      </c>
      <c r="AM985" s="1">
        <f t="shared" si="179"/>
        <v>2.4298679978935351E-7</v>
      </c>
      <c r="AN985" s="1">
        <f t="shared" si="180"/>
        <v>2.4298679978935351E-7</v>
      </c>
      <c r="AO985" s="1">
        <f t="shared" si="181"/>
        <v>2.4234818494332368E-7</v>
      </c>
      <c r="AP985" s="1">
        <f t="shared" si="176"/>
        <v>2.4378285962026869</v>
      </c>
      <c r="AQ985" s="1">
        <f t="shared" si="182"/>
        <v>9.2946080412076287E-3</v>
      </c>
      <c r="AR985" s="1">
        <f t="shared" si="183"/>
        <v>0</v>
      </c>
      <c r="AS985" s="1">
        <f t="shared" si="184"/>
        <v>8.4072949613247221E-3</v>
      </c>
    </row>
    <row r="986" spans="35:45" ht="11.25" customHeight="1" x14ac:dyDescent="0.2">
      <c r="AI986" s="3" t="e">
        <f t="shared" si="177"/>
        <v>#N/A</v>
      </c>
      <c r="AJ986" s="3" t="e">
        <f t="shared" si="178"/>
        <v>#N/A</v>
      </c>
      <c r="AK986" s="1">
        <f t="shared" si="174"/>
        <v>146.55000000000268</v>
      </c>
      <c r="AL986" s="1">
        <f t="shared" si="175"/>
        <v>6.1063581617853107</v>
      </c>
      <c r="AM986" s="1">
        <f t="shared" si="179"/>
        <v>2.3571728346538133E-7</v>
      </c>
      <c r="AN986" s="1">
        <f t="shared" si="180"/>
        <v>2.3571728346538133E-7</v>
      </c>
      <c r="AO986" s="1">
        <f t="shared" si="181"/>
        <v>2.3509777427057192E-7</v>
      </c>
      <c r="AP986" s="1">
        <f t="shared" si="176"/>
        <v>2.4464529898213283</v>
      </c>
      <c r="AQ986" s="1">
        <f t="shared" si="182"/>
        <v>9.1220786371110068E-3</v>
      </c>
      <c r="AR986" s="1">
        <f t="shared" si="183"/>
        <v>0</v>
      </c>
      <c r="AS986" s="1">
        <f t="shared" si="184"/>
        <v>8.2512361384769941E-3</v>
      </c>
    </row>
    <row r="987" spans="35:45" ht="11.25" customHeight="1" x14ac:dyDescent="0.2">
      <c r="AI987" s="3" t="e">
        <f t="shared" si="177"/>
        <v>#N/A</v>
      </c>
      <c r="AJ987" s="3" t="e">
        <f t="shared" si="178"/>
        <v>#N/A</v>
      </c>
      <c r="AK987" s="1">
        <f t="shared" si="174"/>
        <v>146.70000000000269</v>
      </c>
      <c r="AL987" s="1">
        <f t="shared" si="175"/>
        <v>6.1158449947658156</v>
      </c>
      <c r="AM987" s="1">
        <f t="shared" si="179"/>
        <v>2.2866500945492323E-7</v>
      </c>
      <c r="AN987" s="1">
        <f t="shared" si="180"/>
        <v>2.2866500945492323E-7</v>
      </c>
      <c r="AO987" s="1">
        <f t="shared" si="181"/>
        <v>2.2806403495782273E-7</v>
      </c>
      <c r="AP987" s="1">
        <f t="shared" si="176"/>
        <v>2.4550773834399693</v>
      </c>
      <c r="AQ987" s="1">
        <f t="shared" si="182"/>
        <v>8.952317232385763E-3</v>
      </c>
      <c r="AR987" s="1">
        <f t="shared" si="183"/>
        <v>0</v>
      </c>
      <c r="AS987" s="1">
        <f t="shared" si="184"/>
        <v>8.0976810669509749E-3</v>
      </c>
    </row>
    <row r="988" spans="35:45" ht="11.25" customHeight="1" x14ac:dyDescent="0.2">
      <c r="AI988" s="3" t="e">
        <f t="shared" si="177"/>
        <v>#N/A</v>
      </c>
      <c r="AJ988" s="3" t="e">
        <f t="shared" si="178"/>
        <v>#N/A</v>
      </c>
      <c r="AK988" s="1">
        <f t="shared" si="174"/>
        <v>146.85000000000269</v>
      </c>
      <c r="AL988" s="1">
        <f t="shared" si="175"/>
        <v>6.1253318277463213</v>
      </c>
      <c r="AM988" s="1">
        <f t="shared" si="179"/>
        <v>2.2182350947346323E-7</v>
      </c>
      <c r="AN988" s="1">
        <f t="shared" si="180"/>
        <v>2.2182350947346323E-7</v>
      </c>
      <c r="AO988" s="1">
        <f t="shared" si="181"/>
        <v>2.2124051572042397E-7</v>
      </c>
      <c r="AP988" s="1">
        <f t="shared" si="176"/>
        <v>2.4637017770586107</v>
      </c>
      <c r="AQ988" s="1">
        <f t="shared" si="182"/>
        <v>8.7852899868096062E-3</v>
      </c>
      <c r="AR988" s="1">
        <f t="shared" si="183"/>
        <v>0</v>
      </c>
      <c r="AS988" s="1">
        <f t="shared" si="184"/>
        <v>7.9465991370932937E-3</v>
      </c>
    </row>
    <row r="989" spans="35:45" ht="11.25" customHeight="1" x14ac:dyDescent="0.2">
      <c r="AI989" s="3" t="e">
        <f t="shared" si="177"/>
        <v>#N/A</v>
      </c>
      <c r="AJ989" s="3" t="e">
        <f t="shared" si="178"/>
        <v>#N/A</v>
      </c>
      <c r="AK989" s="1">
        <f t="shared" si="174"/>
        <v>147.0000000000027</v>
      </c>
      <c r="AL989" s="1">
        <f t="shared" si="175"/>
        <v>6.1348186607268271</v>
      </c>
      <c r="AM989" s="1">
        <f t="shared" si="179"/>
        <v>2.1518650668498966E-7</v>
      </c>
      <c r="AN989" s="1">
        <f t="shared" si="180"/>
        <v>2.1518650668498966E-7</v>
      </c>
      <c r="AO989" s="1">
        <f t="shared" si="181"/>
        <v>2.1462095621906532E-7</v>
      </c>
      <c r="AP989" s="1">
        <f t="shared" si="176"/>
        <v>2.4723261706772521</v>
      </c>
      <c r="AQ989" s="1">
        <f t="shared" si="182"/>
        <v>8.6209632224609738E-3</v>
      </c>
      <c r="AR989" s="1">
        <f t="shared" si="183"/>
        <v>0</v>
      </c>
      <c r="AS989" s="1">
        <f t="shared" si="184"/>
        <v>7.7979598860572121E-3</v>
      </c>
    </row>
    <row r="990" spans="35:45" ht="11.25" customHeight="1" x14ac:dyDescent="0.2">
      <c r="AI990" s="3" t="e">
        <f t="shared" si="177"/>
        <v>#N/A</v>
      </c>
      <c r="AJ990" s="3" t="e">
        <f t="shared" si="178"/>
        <v>#N/A</v>
      </c>
      <c r="AK990" s="1">
        <f t="shared" ref="AK990:AK1009" si="185">AK989+$AJ$4</f>
        <v>147.15000000000271</v>
      </c>
      <c r="AL990" s="1">
        <f t="shared" si="175"/>
        <v>6.144305493707332</v>
      </c>
      <c r="AM990" s="1">
        <f t="shared" si="179"/>
        <v>2.0874790976958814E-7</v>
      </c>
      <c r="AN990" s="1">
        <f t="shared" si="180"/>
        <v>2.0874790976958814E-7</v>
      </c>
      <c r="AO990" s="1">
        <f t="shared" si="181"/>
        <v>2.0819928114296265E-7</v>
      </c>
      <c r="AP990" s="1">
        <f t="shared" si="176"/>
        <v>2.4809505642958936</v>
      </c>
      <c r="AQ990" s="1">
        <f t="shared" si="182"/>
        <v>8.4593034240659781E-3</v>
      </c>
      <c r="AR990" s="1">
        <f t="shared" si="183"/>
        <v>0</v>
      </c>
      <c r="AS990" s="1">
        <f t="shared" si="184"/>
        <v>7.651732998116445E-3</v>
      </c>
    </row>
    <row r="991" spans="35:45" ht="11.25" customHeight="1" x14ac:dyDescent="0.2">
      <c r="AI991" s="3" t="e">
        <f t="shared" si="177"/>
        <v>#N/A</v>
      </c>
      <c r="AJ991" s="3" t="e">
        <f t="shared" si="178"/>
        <v>#N/A</v>
      </c>
      <c r="AK991" s="1">
        <f t="shared" si="185"/>
        <v>147.30000000000271</v>
      </c>
      <c r="AL991" s="1">
        <f t="shared" si="175"/>
        <v>6.1537923266878378</v>
      </c>
      <c r="AM991" s="1">
        <f t="shared" si="179"/>
        <v>2.02501807765011E-7</v>
      </c>
      <c r="AN991" s="1">
        <f t="shared" si="180"/>
        <v>2.02501807765011E-7</v>
      </c>
      <c r="AO991" s="1">
        <f t="shared" si="181"/>
        <v>2.0196959506498481E-7</v>
      </c>
      <c r="AP991" s="1">
        <f t="shared" si="176"/>
        <v>2.489574957914535</v>
      </c>
      <c r="AQ991" s="1">
        <f t="shared" si="182"/>
        <v>8.3002772519741308E-3</v>
      </c>
      <c r="AR991" s="1">
        <f t="shared" si="183"/>
        <v>0</v>
      </c>
      <c r="AS991" s="1">
        <f t="shared" si="184"/>
        <v>7.5078883164021596E-3</v>
      </c>
    </row>
    <row r="992" spans="35:45" ht="11.25" customHeight="1" x14ac:dyDescent="0.2">
      <c r="AI992" s="3" t="e">
        <f t="shared" si="177"/>
        <v>#N/A</v>
      </c>
      <c r="AJ992" s="3" t="e">
        <f t="shared" si="178"/>
        <v>#N/A</v>
      </c>
      <c r="AK992" s="1">
        <f t="shared" si="185"/>
        <v>147.45000000000272</v>
      </c>
      <c r="AL992" s="1">
        <f t="shared" si="175"/>
        <v>6.1632791596683436</v>
      </c>
      <c r="AM992" s="1">
        <f t="shared" si="179"/>
        <v>1.9644246466578338E-7</v>
      </c>
      <c r="AN992" s="1">
        <f t="shared" si="180"/>
        <v>1.9644246466578338E-7</v>
      </c>
      <c r="AO992" s="1">
        <f t="shared" si="181"/>
        <v>1.9592617705495424E-7</v>
      </c>
      <c r="AP992" s="1">
        <f t="shared" si="176"/>
        <v>2.4981993515331764</v>
      </c>
      <c r="AQ992" s="1">
        <f t="shared" si="182"/>
        <v>8.1438515486809138E-3</v>
      </c>
      <c r="AR992" s="1">
        <f t="shared" si="183"/>
        <v>0</v>
      </c>
      <c r="AS992" s="1">
        <f t="shared" si="184"/>
        <v>7.3663958488028617E-3</v>
      </c>
    </row>
    <row r="993" spans="35:45" ht="11.25" customHeight="1" x14ac:dyDescent="0.2">
      <c r="AI993" s="3" t="e">
        <f t="shared" si="177"/>
        <v>#N/A</v>
      </c>
      <c r="AJ993" s="3" t="e">
        <f t="shared" si="178"/>
        <v>#N/A</v>
      </c>
      <c r="AK993" s="1">
        <f t="shared" si="185"/>
        <v>147.60000000000272</v>
      </c>
      <c r="AL993" s="1">
        <f t="shared" si="175"/>
        <v>6.1727659926488485</v>
      </c>
      <c r="AM993" s="1">
        <f t="shared" si="179"/>
        <v>1.905643144225325E-7</v>
      </c>
      <c r="AN993" s="1">
        <f t="shared" si="180"/>
        <v>1.905643144225325E-7</v>
      </c>
      <c r="AO993" s="1">
        <f t="shared" si="181"/>
        <v>1.9006347569211904E-7</v>
      </c>
      <c r="AP993" s="1">
        <f t="shared" si="176"/>
        <v>2.5068237451518178</v>
      </c>
      <c r="AQ993" s="1">
        <f t="shared" si="182"/>
        <v>7.9899933300153769E-3</v>
      </c>
      <c r="AR993" s="1">
        <f t="shared" si="183"/>
        <v>0</v>
      </c>
      <c r="AS993" s="1">
        <f t="shared" si="184"/>
        <v>7.2272257599932752E-3</v>
      </c>
    </row>
    <row r="994" spans="35:45" ht="11.25" customHeight="1" x14ac:dyDescent="0.2">
      <c r="AI994" s="3" t="e">
        <f t="shared" si="177"/>
        <v>#N/A</v>
      </c>
      <c r="AJ994" s="3" t="e">
        <f t="shared" si="178"/>
        <v>#N/A</v>
      </c>
      <c r="AK994" s="1">
        <f t="shared" si="185"/>
        <v>147.75000000000273</v>
      </c>
      <c r="AL994" s="1">
        <f t="shared" si="175"/>
        <v>6.1822528256293543</v>
      </c>
      <c r="AM994" s="1">
        <f t="shared" si="179"/>
        <v>1.8486195572320592E-7</v>
      </c>
      <c r="AN994" s="1">
        <f t="shared" si="180"/>
        <v>1.8486195572320592E-7</v>
      </c>
      <c r="AO994" s="1">
        <f t="shared" si="181"/>
        <v>1.8437610386008703E-7</v>
      </c>
      <c r="AP994" s="1">
        <f t="shared" si="176"/>
        <v>2.5154481387704588</v>
      </c>
      <c r="AQ994" s="1">
        <f t="shared" si="182"/>
        <v>7.838669811230381E-3</v>
      </c>
      <c r="AR994" s="1">
        <f t="shared" si="183"/>
        <v>0</v>
      </c>
      <c r="AS994" s="1">
        <f t="shared" si="184"/>
        <v>7.0903483950338674E-3</v>
      </c>
    </row>
    <row r="995" spans="35:45" ht="11.25" customHeight="1" x14ac:dyDescent="0.2">
      <c r="AI995" s="3" t="e">
        <f t="shared" si="177"/>
        <v>#N/A</v>
      </c>
      <c r="AJ995" s="3" t="e">
        <f t="shared" si="178"/>
        <v>#N/A</v>
      </c>
      <c r="AK995" s="1">
        <f t="shared" si="185"/>
        <v>147.90000000000273</v>
      </c>
      <c r="AL995" s="1">
        <f t="shared" si="175"/>
        <v>6.1917396586098601</v>
      </c>
      <c r="AM995" s="1">
        <f t="shared" si="179"/>
        <v>1.7933014734921338E-7</v>
      </c>
      <c r="AN995" s="1">
        <f t="shared" si="180"/>
        <v>1.7933014734921338E-7</v>
      </c>
      <c r="AO995" s="1">
        <f t="shared" si="181"/>
        <v>1.7885883411517264E-7</v>
      </c>
      <c r="AP995" s="1">
        <f t="shared" si="176"/>
        <v>2.5240725323891002</v>
      </c>
      <c r="AQ995" s="1">
        <f t="shared" si="182"/>
        <v>7.6898483930554207E-3</v>
      </c>
      <c r="AR995" s="1">
        <f t="shared" si="183"/>
        <v>0</v>
      </c>
      <c r="AS995" s="1">
        <f t="shared" si="184"/>
        <v>6.9557342667551482E-3</v>
      </c>
    </row>
    <row r="996" spans="35:45" ht="11.25" customHeight="1" x14ac:dyDescent="0.2">
      <c r="AI996" s="3" t="e">
        <f t="shared" si="177"/>
        <v>#N/A</v>
      </c>
      <c r="AJ996" s="3" t="e">
        <f t="shared" si="178"/>
        <v>#N/A</v>
      </c>
      <c r="AK996" s="1">
        <f t="shared" si="185"/>
        <v>148.05000000000274</v>
      </c>
      <c r="AL996" s="1">
        <f t="shared" si="175"/>
        <v>6.201226491590365</v>
      </c>
      <c r="AM996" s="1">
        <f t="shared" si="179"/>
        <v>1.7396380342780715E-7</v>
      </c>
      <c r="AN996" s="1">
        <f t="shared" si="180"/>
        <v>1.7396380342780715E-7</v>
      </c>
      <c r="AO996" s="1">
        <f t="shared" si="181"/>
        <v>1.7350659395125482E-7</v>
      </c>
      <c r="AP996" s="1">
        <f t="shared" si="176"/>
        <v>2.5326969260077417</v>
      </c>
      <c r="AQ996" s="1">
        <f t="shared" si="182"/>
        <v>7.5434966764070799E-3</v>
      </c>
      <c r="AR996" s="1">
        <f t="shared" si="183"/>
        <v>0</v>
      </c>
      <c r="AS996" s="1">
        <f t="shared" si="184"/>
        <v>6.8233540690637827E-3</v>
      </c>
    </row>
    <row r="997" spans="35:45" ht="11.25" customHeight="1" x14ac:dyDescent="0.2">
      <c r="AI997" s="3" t="e">
        <f t="shared" si="177"/>
        <v>#N/A</v>
      </c>
      <c r="AJ997" s="3" t="e">
        <f t="shared" si="178"/>
        <v>#N/A</v>
      </c>
      <c r="AK997" s="1">
        <f t="shared" si="185"/>
        <v>148.20000000000275</v>
      </c>
      <c r="AL997" s="1">
        <f t="shared" si="175"/>
        <v>6.2107133245708708</v>
      </c>
      <c r="AM997" s="1">
        <f t="shared" si="179"/>
        <v>1.6875798889092666E-7</v>
      </c>
      <c r="AN997" s="1">
        <f t="shared" si="180"/>
        <v>1.6875798889092666E-7</v>
      </c>
      <c r="AO997" s="1">
        <f t="shared" si="181"/>
        <v>1.6831446127055671E-7</v>
      </c>
      <c r="AP997" s="1">
        <f t="shared" si="176"/>
        <v>2.5413213196263831</v>
      </c>
      <c r="AQ997" s="1">
        <f t="shared" si="182"/>
        <v>7.399582469883037E-3</v>
      </c>
      <c r="AR997" s="1">
        <f t="shared" si="183"/>
        <v>0</v>
      </c>
      <c r="AS997" s="1">
        <f t="shared" si="184"/>
        <v>6.6931786837211831E-3</v>
      </c>
    </row>
    <row r="998" spans="35:45" ht="11.25" customHeight="1" x14ac:dyDescent="0.2">
      <c r="AI998" s="3" t="e">
        <f t="shared" si="177"/>
        <v>#N/A</v>
      </c>
      <c r="AJ998" s="3" t="e">
        <f t="shared" si="178"/>
        <v>#N/A</v>
      </c>
      <c r="AK998" s="1">
        <f t="shared" si="185"/>
        <v>148.35000000000275</v>
      </c>
      <c r="AL998" s="1">
        <f t="shared" si="175"/>
        <v>6.2202001575513766</v>
      </c>
      <c r="AM998" s="1">
        <f t="shared" si="179"/>
        <v>1.637079149414546E-7</v>
      </c>
      <c r="AN998" s="1">
        <f t="shared" si="180"/>
        <v>1.637079149414546E-7</v>
      </c>
      <c r="AO998" s="1">
        <f t="shared" si="181"/>
        <v>1.6327765986181721E-7</v>
      </c>
      <c r="AP998" s="1">
        <f t="shared" si="176"/>
        <v>2.5499457132450245</v>
      </c>
      <c r="AQ998" s="1">
        <f t="shared" si="182"/>
        <v>7.2580737806374196E-3</v>
      </c>
      <c r="AR998" s="1">
        <f t="shared" si="183"/>
        <v>0</v>
      </c>
      <c r="AS998" s="1">
        <f t="shared" si="184"/>
        <v>6.5651791720899456E-3</v>
      </c>
    </row>
    <row r="999" spans="35:45" ht="11.25" customHeight="1" x14ac:dyDescent="0.2">
      <c r="AI999" s="3" t="e">
        <f t="shared" si="177"/>
        <v>#N/A</v>
      </c>
      <c r="AJ999" s="3" t="e">
        <f t="shared" si="178"/>
        <v>#N/A</v>
      </c>
      <c r="AK999" s="1">
        <f t="shared" si="185"/>
        <v>148.50000000000276</v>
      </c>
      <c r="AL999" s="1">
        <f t="shared" si="175"/>
        <v>6.2296869905318815</v>
      </c>
      <c r="AM999" s="1">
        <f t="shared" si="179"/>
        <v>1.5880893492499013E-7</v>
      </c>
      <c r="AN999" s="1">
        <f t="shared" si="180"/>
        <v>1.5880893492499013E-7</v>
      </c>
      <c r="AO999" s="1">
        <f t="shared" si="181"/>
        <v>1.5839155528291407E-7</v>
      </c>
      <c r="AP999" s="1">
        <f t="shared" si="176"/>
        <v>2.5585701068636659</v>
      </c>
      <c r="AQ999" s="1">
        <f t="shared" si="182"/>
        <v>7.1189388331158177E-3</v>
      </c>
      <c r="AR999" s="1">
        <f t="shared" si="183"/>
        <v>0</v>
      </c>
      <c r="AS999" s="1">
        <f t="shared" si="184"/>
        <v>6.4393267920803245E-3</v>
      </c>
    </row>
    <row r="1000" spans="35:45" ht="11.25" customHeight="1" x14ac:dyDescent="0.2">
      <c r="AI1000" s="3" t="e">
        <f t="shared" si="177"/>
        <v>#N/A</v>
      </c>
      <c r="AJ1000" s="3" t="e">
        <f t="shared" si="178"/>
        <v>#N/A</v>
      </c>
      <c r="AK1000" s="1">
        <f t="shared" si="185"/>
        <v>148.65000000000276</v>
      </c>
      <c r="AL1000" s="1">
        <f t="shared" si="175"/>
        <v>6.2391738235123873</v>
      </c>
      <c r="AM1000" s="1">
        <f t="shared" si="179"/>
        <v>1.540565400269215E-7</v>
      </c>
      <c r="AN1000" s="1">
        <f t="shared" si="180"/>
        <v>1.540565400269215E-7</v>
      </c>
      <c r="AO1000" s="1">
        <f t="shared" si="181"/>
        <v>1.5365165056924532E-7</v>
      </c>
      <c r="AP1000" s="1">
        <f t="shared" si="176"/>
        <v>2.5671945004823074</v>
      </c>
      <c r="AQ1000" s="1">
        <f t="shared" si="182"/>
        <v>6.9821460639898913E-3</v>
      </c>
      <c r="AR1000" s="1">
        <f t="shared" si="183"/>
        <v>0</v>
      </c>
      <c r="AS1000" s="1">
        <f t="shared" si="184"/>
        <v>6.3155929935684047E-3</v>
      </c>
    </row>
    <row r="1001" spans="35:45" ht="11.25" customHeight="1" x14ac:dyDescent="0.2">
      <c r="AI1001" s="3" t="e">
        <f t="shared" si="177"/>
        <v>#N/A</v>
      </c>
      <c r="AJ1001" s="3" t="e">
        <f t="shared" si="178"/>
        <v>#N/A</v>
      </c>
      <c r="AK1001" s="1">
        <f t="shared" si="185"/>
        <v>148.80000000000277</v>
      </c>
      <c r="AL1001" s="1">
        <f t="shared" si="175"/>
        <v>6.248660656492893</v>
      </c>
      <c r="AM1001" s="1">
        <f t="shared" si="179"/>
        <v>1.4944635521566763E-7</v>
      </c>
      <c r="AN1001" s="1">
        <f t="shared" si="180"/>
        <v>1.4944635521566763E-7</v>
      </c>
      <c r="AO1001" s="1">
        <f t="shared" si="181"/>
        <v>1.4905358218763273E-7</v>
      </c>
      <c r="AP1001" s="1">
        <f t="shared" si="176"/>
        <v>2.5758188941009483</v>
      </c>
      <c r="AQ1001" s="1">
        <f t="shared" si="182"/>
        <v>6.8476641330167398E-3</v>
      </c>
      <c r="AR1001" s="1">
        <f t="shared" si="183"/>
        <v>0</v>
      </c>
      <c r="AS1001" s="1">
        <f t="shared" si="184"/>
        <v>6.1939494282187788E-3</v>
      </c>
    </row>
    <row r="1002" spans="35:45" ht="11.25" customHeight="1" x14ac:dyDescent="0.2">
      <c r="AI1002" s="3" t="e">
        <f t="shared" si="177"/>
        <v>#N/A</v>
      </c>
      <c r="AJ1002" s="3" t="e">
        <f t="shared" si="178"/>
        <v>#N/A</v>
      </c>
      <c r="AK1002" s="1">
        <f t="shared" si="185"/>
        <v>148.95000000000277</v>
      </c>
      <c r="AL1002" s="1">
        <f t="shared" si="175"/>
        <v>6.2581474894733979</v>
      </c>
      <c r="AM1002" s="1">
        <f t="shared" si="179"/>
        <v>1.449741353876194E-7</v>
      </c>
      <c r="AN1002" s="1">
        <f t="shared" si="180"/>
        <v>1.449741353876194E-7</v>
      </c>
      <c r="AO1002" s="1">
        <f t="shared" si="181"/>
        <v>1.4459311619139501E-7</v>
      </c>
      <c r="AP1002" s="1">
        <f t="shared" si="176"/>
        <v>2.5844432877195898</v>
      </c>
      <c r="AQ1002" s="1">
        <f t="shared" si="182"/>
        <v>6.7154619163428686E-3</v>
      </c>
      <c r="AR1002" s="1">
        <f t="shared" si="183"/>
        <v>0</v>
      </c>
      <c r="AS1002" s="1">
        <f t="shared" si="184"/>
        <v>6.074367943427755E-3</v>
      </c>
    </row>
    <row r="1003" spans="35:45" ht="11.25" customHeight="1" x14ac:dyDescent="0.2">
      <c r="AI1003" s="3" t="e">
        <f t="shared" si="177"/>
        <v>#N/A</v>
      </c>
      <c r="AJ1003" s="3" t="e">
        <f t="shared" si="178"/>
        <v>#N/A</v>
      </c>
      <c r="AK1003" s="1">
        <f t="shared" si="185"/>
        <v>149.10000000000278</v>
      </c>
      <c r="AL1003" s="1">
        <f t="shared" si="175"/>
        <v>6.2676343224539037</v>
      </c>
      <c r="AM1003" s="1">
        <f t="shared" si="179"/>
        <v>1.4063576149355209E-7</v>
      </c>
      <c r="AN1003" s="1">
        <f t="shared" si="180"/>
        <v>1.4063576149355209E-7</v>
      </c>
      <c r="AO1003" s="1">
        <f t="shared" si="181"/>
        <v>1.4026614435694076E-7</v>
      </c>
      <c r="AP1003" s="1">
        <f t="shared" si="176"/>
        <v>2.5930676813382312</v>
      </c>
      <c r="AQ1003" s="1">
        <f t="shared" si="182"/>
        <v>6.5855085216309783E-3</v>
      </c>
      <c r="AR1003" s="1">
        <f t="shared" si="183"/>
        <v>0</v>
      </c>
      <c r="AS1003" s="1">
        <f t="shared" si="184"/>
        <v>5.9568205960060594E-3</v>
      </c>
    </row>
    <row r="1004" spans="35:45" ht="11.25" customHeight="1" x14ac:dyDescent="0.2">
      <c r="AI1004" s="3" t="e">
        <f t="shared" si="177"/>
        <v>#N/A</v>
      </c>
      <c r="AJ1004" s="3" t="e">
        <f t="shared" si="178"/>
        <v>#N/A</v>
      </c>
      <c r="AK1004" s="1">
        <f t="shared" si="185"/>
        <v>149.25000000000279</v>
      </c>
      <c r="AL1004" s="1">
        <f t="shared" si="175"/>
        <v>6.2771211554344095</v>
      </c>
      <c r="AM1004" s="1">
        <f t="shared" si="179"/>
        <v>1.3642723678997529E-7</v>
      </c>
      <c r="AN1004" s="1">
        <f t="shared" si="180"/>
        <v>1.3642723678997529E-7</v>
      </c>
      <c r="AO1004" s="1">
        <f t="shared" si="181"/>
        <v>1.3606868044497039E-7</v>
      </c>
      <c r="AP1004" s="1">
        <f t="shared" si="176"/>
        <v>2.6016920749568726</v>
      </c>
      <c r="AQ1004" s="1">
        <f t="shared" si="182"/>
        <v>6.4577732833415169E-3</v>
      </c>
      <c r="AR1004" s="1">
        <f t="shared" si="183"/>
        <v>0</v>
      </c>
      <c r="AS1004" s="1">
        <f t="shared" si="184"/>
        <v>5.8412796479108383E-3</v>
      </c>
    </row>
    <row r="1005" spans="35:45" ht="11.25" customHeight="1" x14ac:dyDescent="0.2">
      <c r="AI1005" s="3" t="e">
        <f t="shared" si="177"/>
        <v>#N/A</v>
      </c>
      <c r="AJ1005" s="3" t="e">
        <f t="shared" si="178"/>
        <v>#N/A</v>
      </c>
      <c r="AK1005" s="1">
        <f t="shared" si="185"/>
        <v>149.40000000000279</v>
      </c>
      <c r="AL1005" s="1">
        <f t="shared" si="175"/>
        <v>6.2866079884149144</v>
      </c>
      <c r="AM1005" s="1">
        <f t="shared" si="179"/>
        <v>1.3234468341341386E-7</v>
      </c>
      <c r="AN1005" s="1">
        <f t="shared" si="180"/>
        <v>1.3234468341341386E-7</v>
      </c>
      <c r="AO1005" s="1">
        <f t="shared" si="181"/>
        <v>1.3199685678376075E-7</v>
      </c>
      <c r="AP1005" s="1">
        <f t="shared" si="176"/>
        <v>2.610316468575514</v>
      </c>
      <c r="AQ1005" s="1">
        <f t="shared" si="182"/>
        <v>6.3322257681450167E-3</v>
      </c>
      <c r="AR1005" s="1">
        <f t="shared" si="183"/>
        <v>0</v>
      </c>
      <c r="AS1005" s="1">
        <f t="shared" si="184"/>
        <v>5.7277175711413011E-3</v>
      </c>
    </row>
    <row r="1006" spans="35:45" ht="11.25" customHeight="1" x14ac:dyDescent="0.2">
      <c r="AI1006" s="3" t="e">
        <f t="shared" si="177"/>
        <v>#N/A</v>
      </c>
      <c r="AJ1006" s="3" t="e">
        <f t="shared" si="178"/>
        <v>#N/A</v>
      </c>
      <c r="AK1006" s="1">
        <f t="shared" si="185"/>
        <v>149.5500000000028</v>
      </c>
      <c r="AL1006" s="1">
        <f t="shared" si="175"/>
        <v>6.2960948213954202</v>
      </c>
      <c r="AM1006" s="1">
        <f t="shared" si="179"/>
        <v>1.2838433854017245E-7</v>
      </c>
      <c r="AN1006" s="1">
        <f t="shared" si="180"/>
        <v>1.2838433854017245E-7</v>
      </c>
      <c r="AO1006" s="1">
        <f t="shared" si="181"/>
        <v>1.2804692043902229E-7</v>
      </c>
      <c r="AP1006" s="1">
        <f t="shared" si="176"/>
        <v>2.6189408621941555</v>
      </c>
      <c r="AQ1006" s="1">
        <f t="shared" si="182"/>
        <v>6.2088357819303774E-3</v>
      </c>
      <c r="AR1006" s="1">
        <f t="shared" si="183"/>
        <v>0</v>
      </c>
      <c r="AS1006" s="1">
        <f t="shared" si="184"/>
        <v>5.6161070540779604E-3</v>
      </c>
    </row>
    <row r="1007" spans="35:45" ht="11.25" customHeight="1" x14ac:dyDescent="0.2">
      <c r="AI1007" s="3" t="e">
        <f t="shared" si="177"/>
        <v>#N/A</v>
      </c>
      <c r="AJ1007" s="3" t="e">
        <f t="shared" si="178"/>
        <v>#N/A</v>
      </c>
      <c r="AK1007" s="1">
        <f t="shared" si="185"/>
        <v>149.7000000000028</v>
      </c>
      <c r="AL1007" s="1">
        <f t="shared" si="175"/>
        <v>6.305581654375926</v>
      </c>
      <c r="AM1007" s="1">
        <f t="shared" si="179"/>
        <v>1.2454255138889751E-7</v>
      </c>
      <c r="AN1007" s="1">
        <f t="shared" si="180"/>
        <v>1.2454255138889751E-7</v>
      </c>
      <c r="AO1007" s="1">
        <f t="shared" si="181"/>
        <v>1.2421523022433905E-7</v>
      </c>
      <c r="AP1007" s="1">
        <f t="shared" si="176"/>
        <v>2.6275652558127969</v>
      </c>
      <c r="AQ1007" s="1">
        <f t="shared" si="182"/>
        <v>6.0875733643578345E-3</v>
      </c>
      <c r="AR1007" s="1">
        <f t="shared" si="183"/>
        <v>0</v>
      </c>
      <c r="AS1007" s="1">
        <f t="shared" si="184"/>
        <v>5.5064209965555999E-3</v>
      </c>
    </row>
    <row r="1008" spans="35:45" ht="11.25" customHeight="1" x14ac:dyDescent="0.2">
      <c r="AI1008" s="3" t="e">
        <f t="shared" si="177"/>
        <v>#N/A</v>
      </c>
      <c r="AJ1008" s="3" t="e">
        <f t="shared" si="178"/>
        <v>#N/A</v>
      </c>
      <c r="AK1008" s="1">
        <f t="shared" si="185"/>
        <v>149.85000000000281</v>
      </c>
      <c r="AL1008" s="1">
        <f t="shared" si="175"/>
        <v>6.3150684873564309</v>
      </c>
      <c r="AM1008" s="1">
        <f t="shared" si="179"/>
        <v>1.2081577958892372E-7</v>
      </c>
      <c r="AN1008" s="1">
        <f t="shared" si="180"/>
        <v>1.2081577958892372E-7</v>
      </c>
      <c r="AO1008" s="1">
        <f t="shared" si="181"/>
        <v>1.2049825307905964E-7</v>
      </c>
      <c r="AP1008" s="1">
        <f t="shared" si="176"/>
        <v>2.6361896494314383</v>
      </c>
      <c r="AQ1008" s="1">
        <f t="shared" si="182"/>
        <v>5.9684087995795498E-3</v>
      </c>
      <c r="AR1008" s="1">
        <f t="shared" si="183"/>
        <v>0</v>
      </c>
      <c r="AS1008" s="1">
        <f t="shared" si="184"/>
        <v>5.3986325195604203E-3</v>
      </c>
    </row>
    <row r="1009" spans="35:45" ht="11.25" customHeight="1" x14ac:dyDescent="0.2">
      <c r="AI1009" s="3" t="e">
        <f t="shared" si="177"/>
        <v>#N/A</v>
      </c>
      <c r="AJ1009" s="3" t="e">
        <f t="shared" si="178"/>
        <v>#N/A</v>
      </c>
      <c r="AK1009" s="1">
        <f t="shared" si="185"/>
        <v>150.00000000000281</v>
      </c>
      <c r="AL1009" s="1">
        <f t="shared" si="175"/>
        <v>6.3245553203369367</v>
      </c>
      <c r="AM1009" s="1">
        <f t="shared" si="179"/>
        <v>1.1720058622518765E-7</v>
      </c>
      <c r="AN1009" s="1">
        <f t="shared" si="180"/>
        <v>1.1720058622518765E-7</v>
      </c>
      <c r="AO1009" s="1">
        <f t="shared" si="181"/>
        <v>1.168925611209775E-7</v>
      </c>
      <c r="AP1009" s="1">
        <f t="shared" si="176"/>
        <v>2.6448140430500793</v>
      </c>
      <c r="AQ1009" s="1">
        <f t="shared" si="182"/>
        <v>5.8513126162396123E-3</v>
      </c>
      <c r="AR1009" s="1">
        <f t="shared" si="183"/>
        <v>0</v>
      </c>
      <c r="AS1009" s="1">
        <f t="shared" si="184"/>
        <v>5.2927149652300378E-3</v>
      </c>
    </row>
  </sheetData>
  <sheetProtection sheet="1" objects="1" scenarios="1" selectLockedCells="1" selectUnlockedCells="1"/>
  <phoneticPr fontId="2" type="noConversion"/>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314" r:id="rId4" name="Scroll Bar 18">
              <controlPr defaultSize="0" autoPict="0">
                <anchor moveWithCells="1">
                  <from>
                    <xdr:col>17</xdr:col>
                    <xdr:colOff>47625</xdr:colOff>
                    <xdr:row>4</xdr:row>
                    <xdr:rowOff>9525</xdr:rowOff>
                  </from>
                  <to>
                    <xdr:col>21</xdr:col>
                    <xdr:colOff>95250</xdr:colOff>
                    <xdr:row>4</xdr:row>
                    <xdr:rowOff>161925</xdr:rowOff>
                  </to>
                </anchor>
              </controlPr>
            </control>
          </mc:Choice>
        </mc:AlternateContent>
        <mc:AlternateContent xmlns:mc="http://schemas.openxmlformats.org/markup-compatibility/2006">
          <mc:Choice Requires="x14">
            <control shapeId="55301" r:id="rId5" name="Scroll Bar 5">
              <controlPr defaultSize="0" autoPict="0">
                <anchor moveWithCells="1">
                  <from>
                    <xdr:col>0</xdr:col>
                    <xdr:colOff>76200</xdr:colOff>
                    <xdr:row>10</xdr:row>
                    <xdr:rowOff>9525</xdr:rowOff>
                  </from>
                  <to>
                    <xdr:col>4</xdr:col>
                    <xdr:colOff>19050</xdr:colOff>
                    <xdr:row>11</xdr:row>
                    <xdr:rowOff>19050</xdr:rowOff>
                  </to>
                </anchor>
              </controlPr>
            </control>
          </mc:Choice>
        </mc:AlternateContent>
        <mc:AlternateContent xmlns:mc="http://schemas.openxmlformats.org/markup-compatibility/2006">
          <mc:Choice Requires="x14">
            <control shapeId="55302" r:id="rId6" name="Scroll Bar 6">
              <controlPr defaultSize="0" autoPict="0">
                <anchor moveWithCells="1">
                  <from>
                    <xdr:col>0</xdr:col>
                    <xdr:colOff>66675</xdr:colOff>
                    <xdr:row>19</xdr:row>
                    <xdr:rowOff>9525</xdr:rowOff>
                  </from>
                  <to>
                    <xdr:col>4</xdr:col>
                    <xdr:colOff>9525</xdr:colOff>
                    <xdr:row>20</xdr:row>
                    <xdr:rowOff>19050</xdr:rowOff>
                  </to>
                </anchor>
              </controlPr>
            </control>
          </mc:Choice>
        </mc:AlternateContent>
        <mc:AlternateContent xmlns:mc="http://schemas.openxmlformats.org/markup-compatibility/2006">
          <mc:Choice Requires="x14">
            <control shapeId="55306" r:id="rId7" name="Scroll Bar 10">
              <controlPr defaultSize="0" autoPict="0">
                <anchor moveWithCells="1">
                  <from>
                    <xdr:col>0</xdr:col>
                    <xdr:colOff>76200</xdr:colOff>
                    <xdr:row>13</xdr:row>
                    <xdr:rowOff>9525</xdr:rowOff>
                  </from>
                  <to>
                    <xdr:col>4</xdr:col>
                    <xdr:colOff>19050</xdr:colOff>
                    <xdr:row>14</xdr:row>
                    <xdr:rowOff>19050</xdr:rowOff>
                  </to>
                </anchor>
              </controlPr>
            </control>
          </mc:Choice>
        </mc:AlternateContent>
        <mc:AlternateContent xmlns:mc="http://schemas.openxmlformats.org/markup-compatibility/2006">
          <mc:Choice Requires="x14">
            <control shapeId="55307" r:id="rId8" name="Scroll Bar 11">
              <controlPr defaultSize="0" autoPict="0">
                <anchor moveWithCells="1">
                  <from>
                    <xdr:col>0</xdr:col>
                    <xdr:colOff>66675</xdr:colOff>
                    <xdr:row>22</xdr:row>
                    <xdr:rowOff>9525</xdr:rowOff>
                  </from>
                  <to>
                    <xdr:col>4</xdr:col>
                    <xdr:colOff>9525</xdr:colOff>
                    <xdr:row>23</xdr:row>
                    <xdr:rowOff>19050</xdr:rowOff>
                  </to>
                </anchor>
              </controlPr>
            </control>
          </mc:Choice>
        </mc:AlternateContent>
        <mc:AlternateContent xmlns:mc="http://schemas.openxmlformats.org/markup-compatibility/2006">
          <mc:Choice Requires="x14">
            <control shapeId="55310" r:id="rId9" name="Spinner 14">
              <controlPr defaultSize="0" autoPict="0">
                <anchor moveWithCells="1">
                  <from>
                    <xdr:col>3</xdr:col>
                    <xdr:colOff>9525</xdr:colOff>
                    <xdr:row>23</xdr:row>
                    <xdr:rowOff>66675</xdr:rowOff>
                  </from>
                  <to>
                    <xdr:col>3</xdr:col>
                    <xdr:colOff>171450</xdr:colOff>
                    <xdr:row>25</xdr:row>
                    <xdr:rowOff>66675</xdr:rowOff>
                  </to>
                </anchor>
              </controlPr>
            </control>
          </mc:Choice>
        </mc:AlternateContent>
        <mc:AlternateContent xmlns:mc="http://schemas.openxmlformats.org/markup-compatibility/2006">
          <mc:Choice Requires="x14">
            <control shapeId="55327" r:id="rId10" name="Spinner 31">
              <controlPr defaultSize="0" autoPict="0">
                <anchor moveWithCells="1">
                  <from>
                    <xdr:col>3</xdr:col>
                    <xdr:colOff>9525</xdr:colOff>
                    <xdr:row>14</xdr:row>
                    <xdr:rowOff>66675</xdr:rowOff>
                  </from>
                  <to>
                    <xdr:col>3</xdr:col>
                    <xdr:colOff>171450</xdr:colOff>
                    <xdr:row>16</xdr:row>
                    <xdr:rowOff>66675</xdr:rowOff>
                  </to>
                </anchor>
              </controlPr>
            </control>
          </mc:Choice>
        </mc:AlternateContent>
        <mc:AlternateContent xmlns:mc="http://schemas.openxmlformats.org/markup-compatibility/2006">
          <mc:Choice Requires="x14">
            <control shapeId="55330" r:id="rId11" name="Check Box 34">
              <controlPr defaultSize="0" autoFill="0" autoLine="0" autoPict="0">
                <anchor moveWithCells="1">
                  <from>
                    <xdr:col>0</xdr:col>
                    <xdr:colOff>123825</xdr:colOff>
                    <xdr:row>26</xdr:row>
                    <xdr:rowOff>104775</xdr:rowOff>
                  </from>
                  <to>
                    <xdr:col>3</xdr:col>
                    <xdr:colOff>523875</xdr:colOff>
                    <xdr:row>28</xdr:row>
                    <xdr:rowOff>38100</xdr:rowOff>
                  </to>
                </anchor>
              </controlPr>
            </control>
          </mc:Choice>
        </mc:AlternateContent>
        <mc:AlternateContent xmlns:mc="http://schemas.openxmlformats.org/markup-compatibility/2006">
          <mc:Choice Requires="x14">
            <control shapeId="55331" r:id="rId12" name="Check Box 35">
              <controlPr defaultSize="0" autoFill="0" autoLine="0" autoPict="0">
                <anchor moveWithCells="1">
                  <from>
                    <xdr:col>0</xdr:col>
                    <xdr:colOff>123825</xdr:colOff>
                    <xdr:row>28</xdr:row>
                    <xdr:rowOff>104775</xdr:rowOff>
                  </from>
                  <to>
                    <xdr:col>3</xdr:col>
                    <xdr:colOff>171450</xdr:colOff>
                    <xdr:row>30</xdr:row>
                    <xdr:rowOff>38100</xdr:rowOff>
                  </to>
                </anchor>
              </controlPr>
            </control>
          </mc:Choice>
        </mc:AlternateContent>
        <mc:AlternateContent xmlns:mc="http://schemas.openxmlformats.org/markup-compatibility/2006">
          <mc:Choice Requires="x14">
            <control shapeId="55332" r:id="rId13" name="Check Box 36">
              <controlPr defaultSize="0" autoFill="0" autoLine="0" autoPict="0">
                <anchor moveWithCells="1">
                  <from>
                    <xdr:col>0</xdr:col>
                    <xdr:colOff>123825</xdr:colOff>
                    <xdr:row>30</xdr:row>
                    <xdr:rowOff>104775</xdr:rowOff>
                  </from>
                  <to>
                    <xdr:col>3</xdr:col>
                    <xdr:colOff>285750</xdr:colOff>
                    <xdr:row>32</xdr:row>
                    <xdr:rowOff>38100</xdr:rowOff>
                  </to>
                </anchor>
              </controlPr>
            </control>
          </mc:Choice>
        </mc:AlternateContent>
        <mc:AlternateContent xmlns:mc="http://schemas.openxmlformats.org/markup-compatibility/2006">
          <mc:Choice Requires="x14">
            <control shapeId="55340" r:id="rId14" name="Check Box 44">
              <controlPr defaultSize="0" autoFill="0" autoLine="0" autoPict="0" macro="[0]!Revealpaired">
                <anchor moveWithCells="1">
                  <from>
                    <xdr:col>17</xdr:col>
                    <xdr:colOff>19050</xdr:colOff>
                    <xdr:row>0</xdr:row>
                    <xdr:rowOff>0</xdr:rowOff>
                  </from>
                  <to>
                    <xdr:col>18</xdr:col>
                    <xdr:colOff>171450</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1"/>
  <dimension ref="A1:AS1007"/>
  <sheetViews>
    <sheetView showGridLines="0" showRowColHeaders="0" topLeftCell="D1" workbookViewId="0">
      <selection activeCell="G7" sqref="G7"/>
    </sheetView>
  </sheetViews>
  <sheetFormatPr defaultRowHeight="11.25" customHeight="1" x14ac:dyDescent="0.2"/>
  <cols>
    <col min="1" max="3" width="9.140625" style="1" hidden="1" customWidth="1"/>
    <col min="4" max="4" width="0.5703125" style="1" customWidth="1"/>
    <col min="5" max="5" width="3.28515625" style="1" customWidth="1"/>
    <col min="6" max="6" width="6.85546875" style="1" customWidth="1"/>
    <col min="7" max="7" width="5.42578125" style="13" customWidth="1"/>
    <col min="8" max="8" width="3.28515625" style="1" customWidth="1"/>
    <col min="9" max="9" width="6.85546875" style="1" customWidth="1"/>
    <col min="10" max="10" width="4.28515625" style="1" customWidth="1"/>
    <col min="11" max="11" width="3" style="1" customWidth="1"/>
    <col min="12" max="12" width="5" style="1" customWidth="1"/>
    <col min="13" max="13" width="4.7109375" style="1" customWidth="1"/>
    <col min="14" max="16" width="6.85546875" style="1" customWidth="1"/>
    <col min="17" max="17" width="0.5703125" style="1" customWidth="1"/>
    <col min="18" max="18" width="6.85546875" style="1" customWidth="1"/>
    <col min="19" max="19" width="1.140625" style="137" customWidth="1"/>
    <col min="20" max="20" width="1.7109375" style="1" customWidth="1"/>
    <col min="21" max="21" width="3.7109375" style="1" customWidth="1"/>
    <col min="22" max="22" width="8.85546875" style="1" customWidth="1"/>
    <col min="23" max="23" width="11.7109375" style="1" customWidth="1"/>
    <col min="24" max="24" width="8.85546875" style="1" customWidth="1"/>
    <col min="25" max="25" width="8.140625" style="1" customWidth="1"/>
    <col min="26" max="26" width="4.85546875" style="1" customWidth="1"/>
    <col min="27" max="27" width="3.7109375" style="1" customWidth="1"/>
    <col min="28" max="28" width="8.5703125" style="1" customWidth="1"/>
    <col min="29" max="32" width="5.7109375" style="1" customWidth="1"/>
    <col min="33" max="16384" width="9.140625" style="1"/>
  </cols>
  <sheetData>
    <row r="1" spans="1:43" ht="11.25" customHeight="1" x14ac:dyDescent="0.2">
      <c r="F1" s="109"/>
      <c r="G1" s="110"/>
      <c r="H1" s="111" t="s">
        <v>523</v>
      </c>
      <c r="U1" s="208">
        <f>$P$10/1000000</f>
        <v>9.5000000000000005E-5</v>
      </c>
      <c r="V1" s="208">
        <f t="shared" ref="V1:AI1" si="0">$U$1</f>
        <v>9.5000000000000005E-5</v>
      </c>
      <c r="W1" s="208">
        <f t="shared" si="0"/>
        <v>9.5000000000000005E-5</v>
      </c>
      <c r="X1" s="208">
        <f t="shared" si="0"/>
        <v>9.5000000000000005E-5</v>
      </c>
      <c r="Y1" s="208">
        <f t="shared" si="0"/>
        <v>9.5000000000000005E-5</v>
      </c>
      <c r="Z1" s="51">
        <f t="shared" si="0"/>
        <v>9.5000000000000005E-5</v>
      </c>
      <c r="AA1" s="208">
        <f t="shared" si="0"/>
        <v>9.5000000000000005E-5</v>
      </c>
      <c r="AB1" s="208">
        <f t="shared" si="0"/>
        <v>9.5000000000000005E-5</v>
      </c>
      <c r="AC1" s="208">
        <f t="shared" si="0"/>
        <v>9.5000000000000005E-5</v>
      </c>
      <c r="AD1" s="208">
        <f t="shared" si="0"/>
        <v>9.5000000000000005E-5</v>
      </c>
      <c r="AE1" s="208">
        <f t="shared" si="0"/>
        <v>9.5000000000000005E-5</v>
      </c>
      <c r="AF1" s="208">
        <f t="shared" si="0"/>
        <v>9.5000000000000005E-5</v>
      </c>
      <c r="AG1" s="208">
        <f t="shared" si="0"/>
        <v>9.5000000000000005E-5</v>
      </c>
      <c r="AH1" s="208">
        <f t="shared" si="0"/>
        <v>9.5000000000000005E-5</v>
      </c>
      <c r="AI1" s="51">
        <f t="shared" si="0"/>
        <v>9.5000000000000005E-5</v>
      </c>
    </row>
    <row r="2" spans="1:43" ht="11.25" customHeight="1" x14ac:dyDescent="0.2">
      <c r="F2" s="112"/>
      <c r="G2" s="113"/>
      <c r="H2" s="1" t="s">
        <v>524</v>
      </c>
      <c r="P2" s="114" t="s">
        <v>731</v>
      </c>
      <c r="Q2" s="114"/>
      <c r="U2" s="208">
        <f>$U$1</f>
        <v>9.5000000000000005E-5</v>
      </c>
      <c r="V2" s="10"/>
      <c r="Z2" s="51">
        <f t="shared" ref="Z2:AA16" si="1">$U$1</f>
        <v>9.5000000000000005E-5</v>
      </c>
      <c r="AA2" s="208">
        <f t="shared" si="1"/>
        <v>9.5000000000000005E-5</v>
      </c>
      <c r="AI2" s="51">
        <f t="shared" ref="AI2:AI16" si="2">$U$1</f>
        <v>9.5000000000000005E-5</v>
      </c>
    </row>
    <row r="3" spans="1:43" ht="11.25" customHeight="1" x14ac:dyDescent="0.2">
      <c r="F3" s="112"/>
      <c r="G3" s="113"/>
      <c r="H3" s="1" t="s">
        <v>525</v>
      </c>
      <c r="U3" s="208">
        <f t="shared" ref="U3:U36" si="3">$U$1</f>
        <v>9.5000000000000005E-5</v>
      </c>
      <c r="Z3" s="51">
        <f t="shared" si="1"/>
        <v>9.5000000000000005E-5</v>
      </c>
      <c r="AA3" s="208">
        <f t="shared" si="1"/>
        <v>9.5000000000000005E-5</v>
      </c>
      <c r="AI3" s="51">
        <f t="shared" si="2"/>
        <v>9.5000000000000005E-5</v>
      </c>
    </row>
    <row r="4" spans="1:43" ht="11.25" customHeight="1" x14ac:dyDescent="0.2">
      <c r="A4" s="3" t="s">
        <v>1062</v>
      </c>
      <c r="B4" s="10">
        <v>621</v>
      </c>
      <c r="C4" s="1">
        <f>SUM(F7:F1006)</f>
        <v>621</v>
      </c>
      <c r="E4" s="52"/>
      <c r="F4" s="52"/>
      <c r="G4" s="71"/>
      <c r="H4" s="52"/>
      <c r="I4" s="52"/>
      <c r="J4" s="52"/>
      <c r="U4" s="208">
        <f t="shared" si="3"/>
        <v>9.5000000000000005E-5</v>
      </c>
      <c r="Z4" s="51">
        <f t="shared" si="1"/>
        <v>9.5000000000000005E-5</v>
      </c>
      <c r="AA4" s="208">
        <f t="shared" si="1"/>
        <v>9.5000000000000005E-5</v>
      </c>
      <c r="AI4" s="51">
        <f t="shared" si="2"/>
        <v>9.5000000000000005E-5</v>
      </c>
    </row>
    <row r="5" spans="1:43" ht="11.25" customHeight="1" x14ac:dyDescent="0.2">
      <c r="A5" s="3" t="s">
        <v>1063</v>
      </c>
      <c r="B5" s="10">
        <v>542</v>
      </c>
      <c r="C5" s="1">
        <f>SUM(I7:I1006)</f>
        <v>542</v>
      </c>
      <c r="E5" s="115" t="s">
        <v>536</v>
      </c>
      <c r="F5" s="356" t="s">
        <v>504</v>
      </c>
      <c r="G5" s="354" t="s">
        <v>537</v>
      </c>
      <c r="H5" s="355"/>
      <c r="I5" s="356" t="s">
        <v>505</v>
      </c>
      <c r="J5" s="8"/>
      <c r="K5" s="621">
        <v>3</v>
      </c>
      <c r="L5" s="73" t="s">
        <v>535</v>
      </c>
      <c r="M5" s="59"/>
      <c r="N5" s="59"/>
      <c r="O5" s="59"/>
      <c r="P5" s="59"/>
      <c r="Q5" s="59"/>
      <c r="R5" s="59"/>
      <c r="S5" s="94"/>
      <c r="T5" s="45"/>
      <c r="U5" s="208">
        <f t="shared" si="3"/>
        <v>9.5000000000000005E-5</v>
      </c>
      <c r="Z5" s="51">
        <f t="shared" si="1"/>
        <v>9.5000000000000005E-5</v>
      </c>
      <c r="AA5" s="208">
        <f t="shared" si="1"/>
        <v>9.5000000000000005E-5</v>
      </c>
      <c r="AI5" s="51">
        <f t="shared" si="2"/>
        <v>9.5000000000000005E-5</v>
      </c>
    </row>
    <row r="6" spans="1:43" ht="11.25" customHeight="1" x14ac:dyDescent="0.2">
      <c r="A6" s="3" t="s">
        <v>1064</v>
      </c>
      <c r="B6" s="10">
        <v>32235</v>
      </c>
      <c r="C6" s="1">
        <f>SUMSQ(F7:F1006)</f>
        <v>32235</v>
      </c>
      <c r="E6" s="135"/>
      <c r="F6" s="95" t="s">
        <v>735</v>
      </c>
      <c r="G6" s="49" t="s">
        <v>514</v>
      </c>
      <c r="H6" s="54"/>
      <c r="I6" s="96" t="s">
        <v>495</v>
      </c>
      <c r="J6" s="50"/>
      <c r="K6" s="116"/>
      <c r="L6" s="60"/>
      <c r="M6" s="60"/>
      <c r="N6" s="60"/>
      <c r="O6" s="60"/>
      <c r="P6" s="60"/>
      <c r="Q6" s="60"/>
      <c r="R6" s="60"/>
      <c r="S6" s="97"/>
      <c r="T6" s="45"/>
      <c r="U6" s="208">
        <f t="shared" si="3"/>
        <v>9.5000000000000005E-5</v>
      </c>
      <c r="Z6" s="51">
        <f t="shared" si="1"/>
        <v>9.5000000000000005E-5</v>
      </c>
      <c r="AA6" s="208">
        <f t="shared" si="1"/>
        <v>9.5000000000000005E-5</v>
      </c>
      <c r="AI6" s="51">
        <f t="shared" si="2"/>
        <v>9.5000000000000005E-5</v>
      </c>
    </row>
    <row r="7" spans="1:43" ht="11.25" customHeight="1" x14ac:dyDescent="0.2">
      <c r="A7" s="3" t="s">
        <v>1065</v>
      </c>
      <c r="B7" s="10">
        <v>33728</v>
      </c>
      <c r="C7" s="1">
        <f>SUMSQ(I7:I1006)</f>
        <v>33728</v>
      </c>
      <c r="E7" s="117">
        <v>1</v>
      </c>
      <c r="F7" s="320">
        <v>34</v>
      </c>
      <c r="G7" s="728" t="s">
        <v>515</v>
      </c>
      <c r="H7" s="724">
        <v>1</v>
      </c>
      <c r="I7" s="321">
        <v>66</v>
      </c>
      <c r="J7" s="337" t="str">
        <f>IF($G$7="","",$G$7)</f>
        <v>cm</v>
      </c>
      <c r="K7" s="340"/>
      <c r="L7" s="339"/>
      <c r="M7" s="60"/>
      <c r="N7" s="60"/>
      <c r="O7" s="60"/>
      <c r="P7" s="60"/>
      <c r="Q7" s="60"/>
      <c r="R7" s="60"/>
      <c r="S7" s="97"/>
      <c r="T7" s="121"/>
      <c r="U7" s="208">
        <f t="shared" si="3"/>
        <v>9.5000000000000005E-5</v>
      </c>
      <c r="Z7" s="51">
        <f t="shared" si="1"/>
        <v>9.5000000000000005E-5</v>
      </c>
      <c r="AA7" s="208">
        <f t="shared" si="1"/>
        <v>9.5000000000000005E-5</v>
      </c>
      <c r="AI7" s="51">
        <f t="shared" si="2"/>
        <v>9.5000000000000005E-5</v>
      </c>
    </row>
    <row r="8" spans="1:43" ht="11.25" customHeight="1" x14ac:dyDescent="0.2">
      <c r="A8" s="785" t="s">
        <v>481</v>
      </c>
      <c r="B8" s="10">
        <v>94</v>
      </c>
      <c r="C8" s="1">
        <f>P10</f>
        <v>95</v>
      </c>
      <c r="E8" s="117">
        <v>2</v>
      </c>
      <c r="F8" s="320">
        <v>54</v>
      </c>
      <c r="G8" s="723"/>
      <c r="H8" s="724">
        <v>2</v>
      </c>
      <c r="I8" s="321">
        <v>76</v>
      </c>
      <c r="J8" s="8"/>
      <c r="K8" s="61"/>
      <c r="L8" s="62"/>
      <c r="M8" s="62"/>
      <c r="N8" s="62"/>
      <c r="O8" s="62"/>
      <c r="P8" s="62"/>
      <c r="Q8" s="62"/>
      <c r="R8" s="62"/>
      <c r="S8" s="99"/>
      <c r="T8" s="45"/>
      <c r="U8" s="208">
        <f t="shared" si="3"/>
        <v>9.5000000000000005E-5</v>
      </c>
      <c r="Z8" s="51">
        <f t="shared" si="1"/>
        <v>9.5000000000000005E-5</v>
      </c>
      <c r="AA8" s="208">
        <f t="shared" si="1"/>
        <v>9.5000000000000005E-5</v>
      </c>
      <c r="AI8" s="51">
        <f t="shared" si="2"/>
        <v>9.5000000000000005E-5</v>
      </c>
      <c r="AP8" s="798" t="s">
        <v>1061</v>
      </c>
      <c r="AQ8" s="16"/>
    </row>
    <row r="9" spans="1:43" ht="11.25" customHeight="1" x14ac:dyDescent="0.2">
      <c r="A9" s="3" t="s">
        <v>1075</v>
      </c>
      <c r="B9" s="10">
        <v>13</v>
      </c>
      <c r="C9" s="1">
        <f>None</f>
        <v>13</v>
      </c>
      <c r="E9" s="117">
        <v>3</v>
      </c>
      <c r="F9" s="320">
        <v>33</v>
      </c>
      <c r="G9" s="723"/>
      <c r="H9" s="724">
        <v>3</v>
      </c>
      <c r="I9" s="321">
        <v>56</v>
      </c>
      <c r="J9" s="8"/>
      <c r="K9" s="597">
        <v>4</v>
      </c>
      <c r="L9" s="104" t="s">
        <v>520</v>
      </c>
      <c r="M9" s="105"/>
      <c r="N9" s="105"/>
      <c r="O9" s="15"/>
      <c r="P9" s="15"/>
      <c r="Q9" s="15"/>
      <c r="R9" s="105"/>
      <c r="S9" s="127"/>
      <c r="T9" s="45"/>
      <c r="U9" s="208">
        <f t="shared" si="3"/>
        <v>9.5000000000000005E-5</v>
      </c>
      <c r="Z9" s="51">
        <f t="shared" si="1"/>
        <v>9.5000000000000005E-5</v>
      </c>
      <c r="AA9" s="208">
        <f t="shared" si="1"/>
        <v>9.5000000000000005E-5</v>
      </c>
      <c r="AI9" s="51">
        <f t="shared" si="2"/>
        <v>9.5000000000000005E-5</v>
      </c>
      <c r="AP9" s="75"/>
      <c r="AQ9" s="799" t="s">
        <v>1045</v>
      </c>
    </row>
    <row r="10" spans="1:43" ht="11.25" customHeight="1" x14ac:dyDescent="0.2">
      <c r="A10" s="3" t="s">
        <v>1076</v>
      </c>
      <c r="B10" s="10">
        <v>9</v>
      </c>
      <c r="C10" s="1">
        <f>Ntwo</f>
        <v>9</v>
      </c>
      <c r="E10" s="117">
        <v>4</v>
      </c>
      <c r="F10" s="320">
        <v>44</v>
      </c>
      <c r="G10" s="723"/>
      <c r="H10" s="724">
        <v>4</v>
      </c>
      <c r="I10" s="321">
        <v>55</v>
      </c>
      <c r="J10" s="9"/>
      <c r="K10" s="75"/>
      <c r="L10" s="17"/>
      <c r="M10" s="17"/>
      <c r="N10" s="17"/>
      <c r="O10" s="48" t="s">
        <v>481</v>
      </c>
      <c r="P10" s="47">
        <v>95</v>
      </c>
      <c r="Q10" s="788"/>
      <c r="R10" s="17"/>
      <c r="S10" s="18"/>
      <c r="U10" s="208">
        <f t="shared" si="3"/>
        <v>9.5000000000000005E-5</v>
      </c>
      <c r="Z10" s="51">
        <f t="shared" si="1"/>
        <v>9.5000000000000005E-5</v>
      </c>
      <c r="AA10" s="208">
        <f t="shared" si="1"/>
        <v>9.5000000000000005E-5</v>
      </c>
      <c r="AI10" s="51">
        <f t="shared" si="2"/>
        <v>9.5000000000000005E-5</v>
      </c>
      <c r="AP10" s="75"/>
      <c r="AQ10" s="800" t="s">
        <v>1055</v>
      </c>
    </row>
    <row r="11" spans="1:43" ht="11.25" customHeight="1" x14ac:dyDescent="0.2">
      <c r="B11" s="3" t="s">
        <v>1066</v>
      </c>
      <c r="C11" s="783" t="b">
        <f>IF(AND(Q30&lt;&gt;"",O35&lt;&gt;"",W70&lt;&gt;""),AND(W53,Y56=1,Q30&lt;=200,ABS(O35)&lt;=10,B4=C4,B5=C5,B6=C6,B7=C7,B8=C8,B9=C9,B10=C10),FALSE)</f>
        <v>0</v>
      </c>
      <c r="E11" s="117">
        <v>5</v>
      </c>
      <c r="F11" s="320">
        <v>45</v>
      </c>
      <c r="G11" s="723"/>
      <c r="H11" s="724">
        <v>5</v>
      </c>
      <c r="I11" s="321">
        <v>48</v>
      </c>
      <c r="J11" s="9"/>
      <c r="K11" s="75"/>
      <c r="L11" s="17"/>
      <c r="M11" s="17"/>
      <c r="N11" s="17"/>
      <c r="O11" s="17"/>
      <c r="P11" s="17"/>
      <c r="Q11" s="17"/>
      <c r="R11" s="17"/>
      <c r="S11" s="18"/>
      <c r="U11" s="208">
        <f t="shared" si="3"/>
        <v>9.5000000000000005E-5</v>
      </c>
      <c r="Z11" s="51">
        <f t="shared" si="1"/>
        <v>9.5000000000000005E-5</v>
      </c>
      <c r="AA11" s="208">
        <f t="shared" si="1"/>
        <v>9.5000000000000005E-5</v>
      </c>
      <c r="AI11" s="51">
        <f t="shared" si="2"/>
        <v>9.5000000000000005E-5</v>
      </c>
      <c r="AP11" s="55"/>
      <c r="AQ11" s="80"/>
    </row>
    <row r="12" spans="1:43" ht="11.25" customHeight="1" x14ac:dyDescent="0.2">
      <c r="A12" s="779" t="s">
        <v>1054</v>
      </c>
      <c r="B12" s="779"/>
      <c r="C12" s="779"/>
      <c r="E12" s="117">
        <v>6</v>
      </c>
      <c r="F12" s="320">
        <v>53</v>
      </c>
      <c r="G12" s="723"/>
      <c r="H12" s="724">
        <v>6</v>
      </c>
      <c r="I12" s="321">
        <v>39</v>
      </c>
      <c r="J12" s="9"/>
      <c r="K12" s="55"/>
      <c r="L12" s="56"/>
      <c r="M12" s="56"/>
      <c r="N12" s="56"/>
      <c r="O12" s="106"/>
      <c r="P12" s="56"/>
      <c r="Q12" s="56"/>
      <c r="R12" s="56"/>
      <c r="S12" s="80"/>
      <c r="U12" s="208">
        <f t="shared" si="3"/>
        <v>9.5000000000000005E-5</v>
      </c>
      <c r="Z12" s="51">
        <f t="shared" si="1"/>
        <v>9.5000000000000005E-5</v>
      </c>
      <c r="AA12" s="208">
        <f t="shared" si="1"/>
        <v>9.5000000000000005E-5</v>
      </c>
      <c r="AI12" s="51">
        <f t="shared" si="2"/>
        <v>9.5000000000000005E-5</v>
      </c>
    </row>
    <row r="13" spans="1:43" ht="11.25" customHeight="1" x14ac:dyDescent="0.2">
      <c r="A13" s="777" t="s">
        <v>1047</v>
      </c>
      <c r="B13" s="775">
        <f>1-C13</f>
        <v>0.97499999999999998</v>
      </c>
      <c r="C13" s="776">
        <f>(100-P10)/200</f>
        <v>2.5000000000000001E-2</v>
      </c>
      <c r="E13" s="117">
        <v>7</v>
      </c>
      <c r="F13" s="320">
        <v>37</v>
      </c>
      <c r="G13" s="723"/>
      <c r="H13" s="724">
        <v>7</v>
      </c>
      <c r="I13" s="321">
        <v>65</v>
      </c>
      <c r="J13" s="9"/>
      <c r="K13" s="814">
        <v>5</v>
      </c>
      <c r="L13" s="128" t="s">
        <v>506</v>
      </c>
      <c r="M13" s="64"/>
      <c r="N13" s="63"/>
      <c r="O13" s="64"/>
      <c r="P13" s="63"/>
      <c r="Q13" s="63"/>
      <c r="R13" s="63"/>
      <c r="S13" s="129"/>
      <c r="U13" s="208">
        <f t="shared" si="3"/>
        <v>9.5000000000000005E-5</v>
      </c>
      <c r="Z13" s="51">
        <f t="shared" si="1"/>
        <v>9.5000000000000005E-5</v>
      </c>
      <c r="AA13" s="208">
        <f t="shared" si="1"/>
        <v>9.5000000000000005E-5</v>
      </c>
      <c r="AI13" s="51">
        <f t="shared" si="2"/>
        <v>9.5000000000000005E-5</v>
      </c>
    </row>
    <row r="14" spans="1:43" ht="11.25" customHeight="1" x14ac:dyDescent="0.2">
      <c r="A14" s="777" t="s">
        <v>1048</v>
      </c>
      <c r="B14" s="775">
        <f>100000*(B13-B17)</f>
        <v>500.00002137612353</v>
      </c>
      <c r="C14" s="776">
        <f>100000*(C13-C17)</f>
        <v>-500.00000052032902</v>
      </c>
      <c r="E14" s="117">
        <v>8</v>
      </c>
      <c r="F14" s="320">
        <v>29</v>
      </c>
      <c r="G14" s="723"/>
      <c r="H14" s="724">
        <v>8</v>
      </c>
      <c r="I14" s="321">
        <v>68</v>
      </c>
      <c r="J14" s="9"/>
      <c r="K14" s="65"/>
      <c r="L14" s="66"/>
      <c r="M14" s="66"/>
      <c r="N14" s="357" t="s">
        <v>504</v>
      </c>
      <c r="O14" s="66"/>
      <c r="P14" s="358" t="s">
        <v>505</v>
      </c>
      <c r="Q14" s="358"/>
      <c r="R14" s="66"/>
      <c r="S14" s="130"/>
      <c r="U14" s="208">
        <f t="shared" si="3"/>
        <v>9.5000000000000005E-5</v>
      </c>
      <c r="Z14" s="51">
        <f t="shared" si="1"/>
        <v>9.5000000000000005E-5</v>
      </c>
      <c r="AA14" s="208">
        <f t="shared" si="1"/>
        <v>9.5000000000000005E-5</v>
      </c>
      <c r="AI14" s="51">
        <f t="shared" si="2"/>
        <v>9.5000000000000005E-5</v>
      </c>
    </row>
    <row r="15" spans="1:43" ht="11.25" customHeight="1" x14ac:dyDescent="0.2">
      <c r="A15" s="366" t="s">
        <v>666</v>
      </c>
      <c r="B15" s="142">
        <f>IF(Q30="","",Q30)</f>
        <v>20</v>
      </c>
      <c r="E15" s="117">
        <v>9</v>
      </c>
      <c r="F15" s="320">
        <v>38</v>
      </c>
      <c r="G15" s="723"/>
      <c r="H15" s="724">
        <v>9</v>
      </c>
      <c r="I15" s="321">
        <v>69</v>
      </c>
      <c r="J15" s="9"/>
      <c r="K15" s="65"/>
      <c r="L15" s="66"/>
      <c r="M15" s="66"/>
      <c r="N15" s="131" t="str">
        <f>IF(F6="","",F6)</f>
        <v>Expt'l</v>
      </c>
      <c r="O15" s="220"/>
      <c r="P15" s="131" t="str">
        <f>IF(I6="","",I6)</f>
        <v>Control</v>
      </c>
      <c r="Q15" s="786"/>
      <c r="R15" s="66"/>
      <c r="S15" s="130"/>
      <c r="T15" s="45"/>
      <c r="U15" s="208">
        <f t="shared" si="3"/>
        <v>9.5000000000000005E-5</v>
      </c>
      <c r="Z15" s="51">
        <f t="shared" si="1"/>
        <v>9.5000000000000005E-5</v>
      </c>
      <c r="AA15" s="208">
        <f t="shared" si="1"/>
        <v>9.5000000000000005E-5</v>
      </c>
      <c r="AI15" s="51">
        <f t="shared" si="2"/>
        <v>9.5000000000000005E-5</v>
      </c>
    </row>
    <row r="16" spans="1:43" ht="11.25" customHeight="1" x14ac:dyDescent="0.3">
      <c r="A16" s="366" t="s">
        <v>1049</v>
      </c>
      <c r="B16" s="780">
        <v>0.11677025095317722</v>
      </c>
      <c r="C16" s="781">
        <v>4.0821467949377412</v>
      </c>
      <c r="E16" s="117">
        <v>10</v>
      </c>
      <c r="F16" s="320">
        <v>62</v>
      </c>
      <c r="G16" s="723"/>
      <c r="H16" s="724">
        <v>10</v>
      </c>
      <c r="I16" s="321"/>
      <c r="J16" s="9"/>
      <c r="K16" s="65"/>
      <c r="L16" s="66"/>
      <c r="M16" s="90" t="s">
        <v>690</v>
      </c>
      <c r="N16" s="322">
        <f>COUNTA(F7:F1006)</f>
        <v>13</v>
      </c>
      <c r="O16" s="90" t="s">
        <v>691</v>
      </c>
      <c r="P16" s="323">
        <f>COUNTA(I7:I1006)</f>
        <v>9</v>
      </c>
      <c r="Q16" s="787"/>
      <c r="R16" s="66"/>
      <c r="S16" s="130"/>
      <c r="T16" s="45"/>
      <c r="U16" s="208">
        <f t="shared" si="3"/>
        <v>9.5000000000000005E-5</v>
      </c>
      <c r="Z16" s="51">
        <f t="shared" si="1"/>
        <v>9.5000000000000005E-5</v>
      </c>
      <c r="AA16" s="208">
        <f t="shared" si="1"/>
        <v>9.5000000000000005E-5</v>
      </c>
      <c r="AI16" s="51">
        <f t="shared" si="2"/>
        <v>9.5000000000000005E-5</v>
      </c>
    </row>
    <row r="17" spans="1:45" ht="11.25" customHeight="1" x14ac:dyDescent="0.3">
      <c r="A17" s="366" t="s">
        <v>1050</v>
      </c>
      <c r="B17" s="789">
        <f>nct(O30,B16,B15)</f>
        <v>0.96999999978623874</v>
      </c>
      <c r="C17" s="790">
        <f>nct(O30,C16,B15)</f>
        <v>3.0000000005203292E-2</v>
      </c>
      <c r="E17" s="117">
        <v>11</v>
      </c>
      <c r="F17" s="320">
        <v>46</v>
      </c>
      <c r="G17" s="723"/>
      <c r="H17" s="724">
        <v>11</v>
      </c>
      <c r="I17" s="321"/>
      <c r="J17" s="9"/>
      <c r="K17" s="65"/>
      <c r="L17" s="66"/>
      <c r="M17" s="716" t="s">
        <v>774</v>
      </c>
      <c r="N17" s="324">
        <f>IF(None&gt;0,AVERAGE(F7:F1006),"")</f>
        <v>47.769230769230766</v>
      </c>
      <c r="O17" s="715" t="s">
        <v>692</v>
      </c>
      <c r="P17" s="324">
        <f>IF(Ntwo&gt;0,AVERAGE(I7:I1006),"")</f>
        <v>60.222222222222221</v>
      </c>
      <c r="Q17" s="66" t="str">
        <f>IF($G$7="","",$G$7)</f>
        <v>cm</v>
      </c>
      <c r="R17" s="236"/>
      <c r="S17" s="130"/>
      <c r="T17" s="45"/>
      <c r="U17" s="352">
        <f t="shared" si="3"/>
        <v>9.5000000000000005E-5</v>
      </c>
      <c r="Z17" s="51">
        <f t="shared" ref="Z17:AA36" si="4">$U$1</f>
        <v>9.5000000000000005E-5</v>
      </c>
      <c r="AA17" s="208">
        <f t="shared" si="4"/>
        <v>9.5000000000000005E-5</v>
      </c>
      <c r="AI17" s="51">
        <f t="shared" ref="AI17:AI36" si="5">$U$1</f>
        <v>9.5000000000000005E-5</v>
      </c>
    </row>
    <row r="18" spans="1:45" ht="11.25" customHeight="1" x14ac:dyDescent="0.3">
      <c r="A18" s="287" t="s">
        <v>1051</v>
      </c>
      <c r="B18" s="346">
        <f>O25-O29</f>
        <v>0.22024883375063453</v>
      </c>
      <c r="C18" s="778">
        <f>O25+O29</f>
        <v>24.685734072232275</v>
      </c>
      <c r="E18" s="117">
        <v>12</v>
      </c>
      <c r="F18" s="320">
        <v>77</v>
      </c>
      <c r="G18" s="723"/>
      <c r="H18" s="724">
        <v>12</v>
      </c>
      <c r="I18" s="321"/>
      <c r="J18" s="9"/>
      <c r="K18" s="67"/>
      <c r="L18" s="68"/>
      <c r="M18" s="342" t="s">
        <v>775</v>
      </c>
      <c r="N18" s="324">
        <f>IF(None&gt;1,STDEV(F7:F1006),"")</f>
        <v>14.63531030392959</v>
      </c>
      <c r="O18" s="343" t="s">
        <v>693</v>
      </c>
      <c r="P18" s="324">
        <f>IF(Ntwo&gt;1,STDEV(I7:I1006),"")</f>
        <v>11.659521621595131</v>
      </c>
      <c r="Q18" s="68" t="str">
        <f>IF($G$7="","",$G$7)</f>
        <v>cm</v>
      </c>
      <c r="R18" s="236"/>
      <c r="S18" s="134"/>
      <c r="T18" s="45"/>
      <c r="U18" s="208">
        <f t="shared" si="3"/>
        <v>9.5000000000000005E-5</v>
      </c>
      <c r="Z18" s="51">
        <f t="shared" si="4"/>
        <v>9.5000000000000005E-5</v>
      </c>
      <c r="AA18" s="208">
        <f t="shared" si="4"/>
        <v>9.5000000000000005E-5</v>
      </c>
      <c r="AI18" s="51">
        <f t="shared" si="5"/>
        <v>9.5000000000000005E-5</v>
      </c>
    </row>
    <row r="19" spans="1:45" ht="11.25" customHeight="1" x14ac:dyDescent="0.2">
      <c r="A19" s="293" t="s">
        <v>1053</v>
      </c>
      <c r="B19" s="137">
        <f>B18/W70</f>
        <v>1.6286016961751418E-2</v>
      </c>
      <c r="C19" s="264">
        <f>C18/W70</f>
        <v>1.8253548814194411</v>
      </c>
      <c r="E19" s="117">
        <v>13</v>
      </c>
      <c r="F19" s="320">
        <v>69</v>
      </c>
      <c r="G19" s="723"/>
      <c r="H19" s="724">
        <v>13</v>
      </c>
      <c r="I19" s="321"/>
      <c r="J19" s="9"/>
      <c r="K19" s="815" t="s">
        <v>730</v>
      </c>
      <c r="L19" s="336" t="s">
        <v>699</v>
      </c>
      <c r="M19" s="187"/>
      <c r="N19" s="187"/>
      <c r="O19" s="187"/>
      <c r="P19" s="187"/>
      <c r="Q19" s="187"/>
      <c r="R19" s="187"/>
      <c r="S19" s="188"/>
      <c r="U19" s="208">
        <f t="shared" si="3"/>
        <v>9.5000000000000005E-5</v>
      </c>
      <c r="Z19" s="51">
        <f t="shared" si="4"/>
        <v>9.5000000000000005E-5</v>
      </c>
      <c r="AA19" s="208">
        <f t="shared" si="4"/>
        <v>9.5000000000000005E-5</v>
      </c>
      <c r="AI19" s="51">
        <f t="shared" si="5"/>
        <v>9.5000000000000005E-5</v>
      </c>
    </row>
    <row r="20" spans="1:45" ht="11.25" customHeight="1" x14ac:dyDescent="0.3">
      <c r="A20" s="295" t="s">
        <v>1052</v>
      </c>
      <c r="B20" s="52">
        <f>B19/SQRT(1/N16+1/P16)</f>
        <v>3.7557482472011072E-2</v>
      </c>
      <c r="C20" s="148">
        <f>C19/SQRT(1/N16+1/P16)</f>
        <v>4.20948437700374</v>
      </c>
      <c r="E20" s="117">
        <v>14</v>
      </c>
      <c r="F20" s="320"/>
      <c r="G20" s="723"/>
      <c r="H20" s="724">
        <v>14</v>
      </c>
      <c r="I20" s="321"/>
      <c r="J20" s="9"/>
      <c r="K20" s="189"/>
      <c r="L20" s="190"/>
      <c r="M20" s="368" t="s">
        <v>694</v>
      </c>
      <c r="N20" s="718">
        <f>IF(None&gt;1,(N18/SQRT(None))*TINV(1-$P$10/100,(None-1)),"")</f>
        <v>8.8440295034382039</v>
      </c>
      <c r="O20" s="717" t="s">
        <v>695</v>
      </c>
      <c r="P20" s="718">
        <f>IF(Ntwo&gt;1,(P18/SQRT(Ntwo))*TINV(1-$P$10/100,(Ntwo-1)),"")</f>
        <v>8.9623016913002527</v>
      </c>
      <c r="Q20" s="200" t="str">
        <f>IF($G$7="","",$G$7)</f>
        <v>cm</v>
      </c>
      <c r="R20" s="281"/>
      <c r="S20" s="191"/>
      <c r="U20" s="208">
        <f t="shared" si="3"/>
        <v>9.5000000000000005E-5</v>
      </c>
      <c r="Z20" s="51">
        <f t="shared" si="4"/>
        <v>9.5000000000000005E-5</v>
      </c>
      <c r="AA20" s="208">
        <f t="shared" si="4"/>
        <v>9.5000000000000005E-5</v>
      </c>
      <c r="AI20" s="51">
        <f t="shared" si="5"/>
        <v>9.5000000000000005E-5</v>
      </c>
    </row>
    <row r="21" spans="1:45" ht="11.25" customHeight="1" x14ac:dyDescent="0.2">
      <c r="B21" s="3" t="s">
        <v>1078</v>
      </c>
      <c r="C21" s="1" t="b">
        <f>(Y56=1)</f>
        <v>1</v>
      </c>
      <c r="E21" s="229">
        <v>15</v>
      </c>
      <c r="F21" s="320"/>
      <c r="G21" s="723"/>
      <c r="H21" s="724">
        <v>15</v>
      </c>
      <c r="I21" s="321"/>
      <c r="J21" s="9"/>
      <c r="K21" s="189"/>
      <c r="L21" s="190"/>
      <c r="M21" s="193" t="s">
        <v>700</v>
      </c>
      <c r="N21" s="132">
        <f>IF(None&gt;1,N17-N20,"")</f>
        <v>38.925201265792566</v>
      </c>
      <c r="O21" s="327" t="s">
        <v>696</v>
      </c>
      <c r="P21" s="132">
        <f>IF(Ntwo&gt;1,P17-P20,"")</f>
        <v>51.259920530921967</v>
      </c>
      <c r="Q21" s="294" t="s">
        <v>530</v>
      </c>
      <c r="R21" s="281"/>
      <c r="S21" s="328"/>
      <c r="U21" s="208">
        <f t="shared" si="3"/>
        <v>9.5000000000000005E-5</v>
      </c>
      <c r="Z21" s="51">
        <f t="shared" si="4"/>
        <v>9.5000000000000005E-5</v>
      </c>
      <c r="AA21" s="208">
        <f t="shared" si="4"/>
        <v>9.5000000000000005E-5</v>
      </c>
      <c r="AI21" s="51">
        <f t="shared" si="5"/>
        <v>9.5000000000000005E-5</v>
      </c>
    </row>
    <row r="22" spans="1:45" ht="11.25" customHeight="1" x14ac:dyDescent="0.2">
      <c r="B22" s="172"/>
      <c r="C22" s="172"/>
      <c r="E22" s="117">
        <v>16</v>
      </c>
      <c r="F22" s="320"/>
      <c r="G22" s="723"/>
      <c r="H22" s="724">
        <v>16</v>
      </c>
      <c r="I22" s="321"/>
      <c r="J22" s="9"/>
      <c r="K22" s="189"/>
      <c r="L22" s="190"/>
      <c r="M22" s="193"/>
      <c r="N22" s="133">
        <f>IF(None&gt;1,N17+N20,"")</f>
        <v>56.613260272668967</v>
      </c>
      <c r="O22" s="329" t="s">
        <v>531</v>
      </c>
      <c r="P22" s="133">
        <f>IF(Ntwo&gt;1,P17+P20,"")</f>
        <v>69.184523913522469</v>
      </c>
      <c r="Q22" s="341" t="s">
        <v>531</v>
      </c>
      <c r="R22" s="281"/>
      <c r="S22" s="330"/>
      <c r="U22" s="208">
        <f t="shared" si="3"/>
        <v>9.5000000000000005E-5</v>
      </c>
      <c r="Z22" s="51">
        <f t="shared" si="4"/>
        <v>9.5000000000000005E-5</v>
      </c>
      <c r="AA22" s="208">
        <f t="shared" si="4"/>
        <v>9.5000000000000005E-5</v>
      </c>
      <c r="AI22" s="51">
        <f t="shared" si="5"/>
        <v>9.5000000000000005E-5</v>
      </c>
    </row>
    <row r="23" spans="1:45" ht="11.25" customHeight="1" x14ac:dyDescent="0.3">
      <c r="A23" s="3"/>
      <c r="E23" s="117">
        <v>17</v>
      </c>
      <c r="F23" s="320"/>
      <c r="G23" s="723"/>
      <c r="H23" s="724">
        <v>17</v>
      </c>
      <c r="I23" s="321"/>
      <c r="J23" s="9"/>
      <c r="K23" s="189"/>
      <c r="L23" s="190"/>
      <c r="M23" s="190"/>
      <c r="N23" s="719" t="s">
        <v>733</v>
      </c>
      <c r="O23" s="720">
        <f>IF(AND(N20&lt;&gt;"",P20&lt;&gt;""),(N20+P20)/2,"")</f>
        <v>8.9031655973692274</v>
      </c>
      <c r="P23" s="200" t="str">
        <f>IF($G$7="","",$G$7)</f>
        <v>cm</v>
      </c>
      <c r="Q23" s="200"/>
      <c r="R23" s="190"/>
      <c r="S23" s="191"/>
      <c r="U23" s="208">
        <f t="shared" si="3"/>
        <v>9.5000000000000005E-5</v>
      </c>
      <c r="Z23" s="51">
        <f t="shared" si="4"/>
        <v>9.5000000000000005E-5</v>
      </c>
      <c r="AA23" s="208">
        <f t="shared" si="4"/>
        <v>9.5000000000000005E-5</v>
      </c>
      <c r="AI23" s="51">
        <f t="shared" si="5"/>
        <v>9.5000000000000005E-5</v>
      </c>
    </row>
    <row r="24" spans="1:45" ht="11.25" customHeight="1" x14ac:dyDescent="0.2">
      <c r="E24" s="117">
        <v>18</v>
      </c>
      <c r="F24" s="320"/>
      <c r="G24" s="723"/>
      <c r="H24" s="724">
        <v>18</v>
      </c>
      <c r="I24" s="321"/>
      <c r="J24" s="9"/>
      <c r="K24" s="189"/>
      <c r="L24" s="190"/>
      <c r="M24" s="190"/>
      <c r="N24" s="331" t="str">
        <f>IF(AND(N20&lt;&gt;"",P20&lt;&gt;"",NOT(AND(N20=0,P20=0))),IF((MIN(N17+N20,P17+P20)-MAX(N17-N20,P17-P20))/O23&gt;=0,"Overlap","Gap"),"")</f>
        <v>Overlap</v>
      </c>
      <c r="O24" s="325">
        <f>IF(AND(N20&lt;&gt;"",P20&lt;&gt;"",NOT(AND(N20=0,P20=0))),ABS((MIN(N17+N20,P17+P20)-MAX(N17-N20,P17-P20))/O23),"")</f>
        <v>0.60128497928072278</v>
      </c>
      <c r="P24" s="335"/>
      <c r="Q24" s="335"/>
      <c r="R24" s="190"/>
      <c r="S24" s="191"/>
      <c r="U24" s="208">
        <f t="shared" si="3"/>
        <v>9.5000000000000005E-5</v>
      </c>
      <c r="Z24" s="51">
        <f t="shared" si="4"/>
        <v>9.5000000000000005E-5</v>
      </c>
      <c r="AA24" s="208">
        <f t="shared" si="4"/>
        <v>9.5000000000000005E-5</v>
      </c>
      <c r="AI24" s="51">
        <f t="shared" si="5"/>
        <v>9.5000000000000005E-5</v>
      </c>
    </row>
    <row r="25" spans="1:45" ht="11.25" customHeight="1" x14ac:dyDescent="0.2">
      <c r="E25" s="117">
        <v>19</v>
      </c>
      <c r="F25" s="320"/>
      <c r="G25" s="723"/>
      <c r="H25" s="724">
        <v>19</v>
      </c>
      <c r="I25" s="321"/>
      <c r="J25" s="9"/>
      <c r="K25" s="189"/>
      <c r="L25" s="190"/>
      <c r="M25" s="190"/>
      <c r="N25" s="332" t="s">
        <v>512</v>
      </c>
      <c r="O25" s="353">
        <f>IF(AND(N17&lt;&gt;"",P17&lt;&gt;""),P17-N17,"")</f>
        <v>12.452991452991455</v>
      </c>
      <c r="P25" s="190" t="str">
        <f>IF($G$7="","",$G$7)</f>
        <v>cm</v>
      </c>
      <c r="Q25" s="190"/>
      <c r="R25" s="190"/>
      <c r="S25" s="191"/>
      <c r="U25" s="208">
        <f t="shared" si="3"/>
        <v>9.5000000000000005E-5</v>
      </c>
      <c r="Z25" s="51">
        <f t="shared" si="4"/>
        <v>9.5000000000000005E-5</v>
      </c>
      <c r="AA25" s="208">
        <f t="shared" si="4"/>
        <v>9.5000000000000005E-5</v>
      </c>
      <c r="AI25" s="51">
        <f t="shared" si="5"/>
        <v>9.5000000000000005E-5</v>
      </c>
    </row>
    <row r="26" spans="1:45" ht="11.25" customHeight="1" x14ac:dyDescent="0.2">
      <c r="E26" s="117">
        <v>20</v>
      </c>
      <c r="F26" s="320"/>
      <c r="G26" s="723"/>
      <c r="H26" s="724">
        <v>20</v>
      </c>
      <c r="I26" s="321"/>
      <c r="J26" s="9"/>
      <c r="K26" s="816">
        <v>7</v>
      </c>
      <c r="L26" s="100" t="s">
        <v>732</v>
      </c>
      <c r="M26" s="82"/>
      <c r="N26" s="82"/>
      <c r="O26" s="82"/>
      <c r="P26" s="82"/>
      <c r="Q26" s="82"/>
      <c r="R26" s="82"/>
      <c r="S26" s="101"/>
      <c r="U26" s="208">
        <f t="shared" si="3"/>
        <v>9.5000000000000005E-5</v>
      </c>
      <c r="Z26" s="51">
        <f t="shared" si="4"/>
        <v>9.5000000000000005E-5</v>
      </c>
      <c r="AA26" s="208">
        <f t="shared" si="4"/>
        <v>9.5000000000000005E-5</v>
      </c>
      <c r="AI26" s="51">
        <f t="shared" si="5"/>
        <v>9.5000000000000005E-5</v>
      </c>
    </row>
    <row r="27" spans="1:45" ht="11.25" customHeight="1" x14ac:dyDescent="0.2">
      <c r="E27" s="117">
        <v>21</v>
      </c>
      <c r="F27" s="320"/>
      <c r="G27" s="723"/>
      <c r="H27" s="724">
        <v>21</v>
      </c>
      <c r="I27" s="321"/>
      <c r="J27" s="9"/>
      <c r="K27" s="124"/>
      <c r="L27" s="84"/>
      <c r="M27" s="84"/>
      <c r="N27" s="84"/>
      <c r="O27" s="125" t="s">
        <v>701</v>
      </c>
      <c r="P27" s="84"/>
      <c r="Q27" s="84"/>
      <c r="R27" s="84"/>
      <c r="S27" s="102"/>
      <c r="U27" s="208">
        <f t="shared" si="3"/>
        <v>9.5000000000000005E-5</v>
      </c>
      <c r="Z27" s="51">
        <f t="shared" si="4"/>
        <v>9.5000000000000005E-5</v>
      </c>
      <c r="AA27" s="208">
        <f t="shared" si="4"/>
        <v>9.5000000000000005E-5</v>
      </c>
      <c r="AI27" s="51">
        <f t="shared" si="5"/>
        <v>9.5000000000000005E-5</v>
      </c>
    </row>
    <row r="28" spans="1:45" ht="11.25" customHeight="1" x14ac:dyDescent="0.2">
      <c r="E28" s="117">
        <v>22</v>
      </c>
      <c r="F28" s="320"/>
      <c r="G28" s="723"/>
      <c r="H28" s="724">
        <v>22</v>
      </c>
      <c r="I28" s="321"/>
      <c r="J28" s="9"/>
      <c r="K28" s="126"/>
      <c r="L28" s="87"/>
      <c r="M28" s="87"/>
      <c r="N28" s="87"/>
      <c r="O28" s="87"/>
      <c r="P28" s="87"/>
      <c r="Q28" s="87"/>
      <c r="R28" s="87"/>
      <c r="S28" s="103"/>
      <c r="U28" s="208">
        <f t="shared" si="3"/>
        <v>9.5000000000000005E-5</v>
      </c>
      <c r="Z28" s="51">
        <f t="shared" si="4"/>
        <v>9.5000000000000005E-5</v>
      </c>
      <c r="AA28" s="208">
        <f t="shared" si="4"/>
        <v>9.5000000000000005E-5</v>
      </c>
      <c r="AI28" s="51">
        <f t="shared" si="5"/>
        <v>9.5000000000000005E-5</v>
      </c>
    </row>
    <row r="29" spans="1:45" ht="11.25" customHeight="1" x14ac:dyDescent="0.3">
      <c r="E29" s="117">
        <v>23</v>
      </c>
      <c r="F29" s="320"/>
      <c r="G29" s="723"/>
      <c r="H29" s="724">
        <v>23</v>
      </c>
      <c r="I29" s="321"/>
      <c r="J29" s="9"/>
      <c r="K29" s="817">
        <v>8</v>
      </c>
      <c r="L29" s="726" t="s">
        <v>734</v>
      </c>
      <c r="M29" s="727"/>
      <c r="N29" s="721" t="s">
        <v>651</v>
      </c>
      <c r="O29" s="833">
        <f>IF(W70&lt;&gt;"",IF(Y56=1,W72,W82),"")</f>
        <v>12.23274261924082</v>
      </c>
      <c r="P29" s="200" t="str">
        <f>IF($G$7="","",$G$7)</f>
        <v>cm</v>
      </c>
      <c r="Q29" s="281"/>
      <c r="R29" s="281"/>
      <c r="S29" s="190"/>
      <c r="U29" s="208">
        <f t="shared" si="3"/>
        <v>9.5000000000000005E-5</v>
      </c>
      <c r="Z29" s="51">
        <f t="shared" si="4"/>
        <v>9.5000000000000005E-5</v>
      </c>
      <c r="AA29" s="208">
        <f t="shared" si="4"/>
        <v>9.5000000000000005E-5</v>
      </c>
      <c r="AI29" s="51">
        <f t="shared" si="5"/>
        <v>9.5000000000000005E-5</v>
      </c>
    </row>
    <row r="30" spans="1:45" ht="11.25" customHeight="1" x14ac:dyDescent="0.2">
      <c r="E30" s="229">
        <v>24</v>
      </c>
      <c r="F30" s="320"/>
      <c r="G30" s="723"/>
      <c r="H30" s="724">
        <v>24</v>
      </c>
      <c r="I30" s="321"/>
      <c r="J30" s="725"/>
      <c r="K30" s="189"/>
      <c r="L30" s="190"/>
      <c r="M30" s="190"/>
      <c r="N30" s="333" t="s">
        <v>697</v>
      </c>
      <c r="O30" s="326">
        <f>IF(W70&lt;&gt;"",IF(Y56=1,(P17-N17)/(W70*SQRT(1/None+1/Ntwo)),W76),"")</f>
        <v>2.1235209297378761</v>
      </c>
      <c r="P30" s="344" t="s">
        <v>702</v>
      </c>
      <c r="Q30" s="1000">
        <f>IF(W70&lt;&gt;"",IF(Y56=1,None+Ntwo-2,W77),"")</f>
        <v>20</v>
      </c>
      <c r="R30" s="1000"/>
      <c r="S30" s="191"/>
      <c r="U30" s="208">
        <f t="shared" si="3"/>
        <v>9.5000000000000005E-5</v>
      </c>
      <c r="Z30" s="51">
        <f t="shared" si="4"/>
        <v>9.5000000000000005E-5</v>
      </c>
      <c r="AA30" s="208">
        <f t="shared" si="4"/>
        <v>9.5000000000000005E-5</v>
      </c>
      <c r="AI30" s="51">
        <f t="shared" si="5"/>
        <v>9.5000000000000005E-5</v>
      </c>
    </row>
    <row r="31" spans="1:45" ht="11.25" customHeight="1" x14ac:dyDescent="0.2">
      <c r="E31" s="117">
        <v>25</v>
      </c>
      <c r="F31" s="320"/>
      <c r="G31" s="723"/>
      <c r="H31" s="724">
        <v>25</v>
      </c>
      <c r="I31" s="321"/>
      <c r="J31" s="9"/>
      <c r="K31" s="189"/>
      <c r="L31" s="190"/>
      <c r="M31" s="190"/>
      <c r="N31" s="334" t="s">
        <v>1086</v>
      </c>
      <c r="O31" s="894">
        <f>IF(O30&lt;&gt;"",IF(Y56=1,TDIST(ABS(O30),None+Ntwo-2,2),W81),"")</f>
        <v>4.6378324949129933E-2</v>
      </c>
      <c r="P31" s="190"/>
      <c r="Q31" s="190"/>
      <c r="R31" s="190"/>
      <c r="S31" s="191"/>
      <c r="U31" s="208">
        <f t="shared" si="3"/>
        <v>9.5000000000000005E-5</v>
      </c>
      <c r="Z31" s="51">
        <f t="shared" si="4"/>
        <v>9.5000000000000005E-5</v>
      </c>
      <c r="AA31" s="208">
        <f t="shared" si="4"/>
        <v>9.5000000000000005E-5</v>
      </c>
      <c r="AI31" s="51">
        <f t="shared" si="5"/>
        <v>9.5000000000000005E-5</v>
      </c>
      <c r="AS31"/>
    </row>
    <row r="32" spans="1:45" ht="11.25" customHeight="1" x14ac:dyDescent="0.2">
      <c r="A32"/>
      <c r="E32" s="117">
        <v>26</v>
      </c>
      <c r="F32" s="320"/>
      <c r="G32" s="723"/>
      <c r="H32" s="724">
        <v>26</v>
      </c>
      <c r="I32" s="321"/>
      <c r="J32" s="9"/>
      <c r="K32" s="204"/>
      <c r="L32" s="205"/>
      <c r="M32" s="205"/>
      <c r="N32" s="205"/>
      <c r="O32" s="205"/>
      <c r="P32" s="205"/>
      <c r="Q32" s="205"/>
      <c r="R32" s="205"/>
      <c r="S32" s="206"/>
      <c r="U32" s="208">
        <f t="shared" si="3"/>
        <v>9.5000000000000005E-5</v>
      </c>
      <c r="Z32" s="51">
        <f t="shared" si="4"/>
        <v>9.5000000000000005E-5</v>
      </c>
      <c r="AA32" s="208">
        <f t="shared" si="4"/>
        <v>9.5000000000000005E-5</v>
      </c>
      <c r="AI32" s="51">
        <f t="shared" si="5"/>
        <v>9.5000000000000005E-5</v>
      </c>
    </row>
    <row r="33" spans="5:35" ht="11.25" customHeight="1" x14ac:dyDescent="0.2">
      <c r="E33" s="117">
        <v>27</v>
      </c>
      <c r="F33" s="320"/>
      <c r="G33" s="723"/>
      <c r="H33" s="724">
        <v>27</v>
      </c>
      <c r="I33" s="321"/>
      <c r="J33" s="9"/>
      <c r="K33" s="818">
        <v>9</v>
      </c>
      <c r="L33" s="227" t="s">
        <v>1082</v>
      </c>
      <c r="N33"/>
      <c r="O33"/>
      <c r="P33"/>
      <c r="Q33"/>
      <c r="U33" s="208">
        <f t="shared" si="3"/>
        <v>9.5000000000000005E-5</v>
      </c>
      <c r="Z33" s="51">
        <f t="shared" si="4"/>
        <v>9.5000000000000005E-5</v>
      </c>
      <c r="AA33" s="208">
        <f t="shared" si="4"/>
        <v>9.5000000000000005E-5</v>
      </c>
      <c r="AI33" s="51">
        <f t="shared" si="5"/>
        <v>9.5000000000000005E-5</v>
      </c>
    </row>
    <row r="34" spans="5:35" ht="11.25" customHeight="1" x14ac:dyDescent="0.3">
      <c r="E34" s="117">
        <v>28</v>
      </c>
      <c r="F34" s="320"/>
      <c r="G34" s="723"/>
      <c r="H34" s="724">
        <v>28</v>
      </c>
      <c r="I34" s="321"/>
      <c r="J34" s="8"/>
      <c r="K34" s="791" t="s">
        <v>1118</v>
      </c>
      <c r="L34" s="15"/>
      <c r="M34" s="15"/>
      <c r="N34" s="831" t="s">
        <v>1083</v>
      </c>
      <c r="O34" s="834" t="str">
        <f>IF(AND(dispddt,N18&lt;&gt;"",P18&lt;&gt;"",Y56=1),W70,"")</f>
        <v/>
      </c>
      <c r="P34" s="835" t="str">
        <f>IF($G$7="","",$G$7)</f>
        <v>cm</v>
      </c>
      <c r="Q34" s="15"/>
      <c r="R34" s="15"/>
      <c r="S34" s="16"/>
      <c r="T34" s="16"/>
      <c r="U34" s="208">
        <f t="shared" si="3"/>
        <v>9.5000000000000005E-5</v>
      </c>
      <c r="Z34" s="51">
        <f t="shared" si="4"/>
        <v>9.5000000000000005E-5</v>
      </c>
      <c r="AA34" s="208">
        <f t="shared" si="4"/>
        <v>9.5000000000000005E-5</v>
      </c>
      <c r="AI34" s="51">
        <f t="shared" si="5"/>
        <v>9.5000000000000005E-5</v>
      </c>
    </row>
    <row r="35" spans="5:35" ht="11.25" customHeight="1" x14ac:dyDescent="0.2">
      <c r="E35" s="117">
        <v>29</v>
      </c>
      <c r="F35" s="320"/>
      <c r="G35" s="723"/>
      <c r="H35" s="724">
        <v>29</v>
      </c>
      <c r="I35" s="321"/>
      <c r="J35" s="8"/>
      <c r="K35" s="75"/>
      <c r="L35" s="17"/>
      <c r="M35" s="17"/>
      <c r="N35" s="844" t="s">
        <v>1074</v>
      </c>
      <c r="O35" s="836" t="str">
        <f>IF(AND(dispddt,N18&lt;&gt;"",P18&lt;&gt;"",Y56=1),O25/W70,"")</f>
        <v/>
      </c>
      <c r="P35" s="17"/>
      <c r="Q35" s="850" t="s">
        <v>1089</v>
      </c>
      <c r="R35" s="17"/>
      <c r="S35" s="18"/>
      <c r="T35" s="264"/>
      <c r="U35" s="208">
        <f t="shared" si="3"/>
        <v>9.5000000000000005E-5</v>
      </c>
      <c r="Z35" s="51">
        <f t="shared" si="4"/>
        <v>9.5000000000000005E-5</v>
      </c>
      <c r="AA35" s="208">
        <f t="shared" si="4"/>
        <v>9.5000000000000005E-5</v>
      </c>
      <c r="AI35" s="51">
        <f t="shared" si="5"/>
        <v>9.5000000000000005E-5</v>
      </c>
    </row>
    <row r="36" spans="5:35" ht="11.25" customHeight="1" x14ac:dyDescent="0.2">
      <c r="E36" s="117">
        <v>30</v>
      </c>
      <c r="F36" s="320"/>
      <c r="G36" s="723"/>
      <c r="H36" s="724">
        <v>30</v>
      </c>
      <c r="I36" s="321"/>
      <c r="J36" s="8"/>
      <c r="K36" s="819">
        <v>12</v>
      </c>
      <c r="L36" s="17"/>
      <c r="M36" s="17"/>
      <c r="N36" s="17"/>
      <c r="O36" s="612" t="s">
        <v>1069</v>
      </c>
      <c r="P36" s="836" t="str">
        <f>IF(C11,cidtl*SQRT(1/None+1/Ntwo),"")</f>
        <v/>
      </c>
      <c r="Q36" s="796" t="s">
        <v>572</v>
      </c>
      <c r="R36" s="836" t="str">
        <f>IF(C11,cidtu*SQRT(1/None+1/Ntwo),"")</f>
        <v/>
      </c>
      <c r="S36" s="797" t="s">
        <v>531</v>
      </c>
      <c r="T36" s="264"/>
      <c r="U36" s="208">
        <f t="shared" si="3"/>
        <v>9.5000000000000005E-5</v>
      </c>
      <c r="Z36" s="51">
        <f t="shared" si="4"/>
        <v>9.5000000000000005E-5</v>
      </c>
      <c r="AA36" s="208">
        <f t="shared" si="4"/>
        <v>9.5000000000000005E-5</v>
      </c>
      <c r="AI36" s="51">
        <f t="shared" si="5"/>
        <v>9.5000000000000005E-5</v>
      </c>
    </row>
    <row r="37" spans="5:35" ht="11.25" customHeight="1" x14ac:dyDescent="0.2">
      <c r="E37" s="117">
        <v>31</v>
      </c>
      <c r="F37" s="320"/>
      <c r="G37" s="723"/>
      <c r="H37" s="724">
        <v>31</v>
      </c>
      <c r="I37" s="321"/>
      <c r="J37" s="8"/>
      <c r="K37" s="857" t="s">
        <v>1119</v>
      </c>
      <c r="L37" s="17"/>
      <c r="M37" s="17"/>
      <c r="N37" s="17"/>
      <c r="O37" s="17"/>
      <c r="P37" s="17"/>
      <c r="Q37" s="17"/>
      <c r="R37" s="17"/>
      <c r="S37" s="18"/>
      <c r="T37" s="148"/>
    </row>
    <row r="38" spans="5:35" ht="11.25" customHeight="1" x14ac:dyDescent="0.3">
      <c r="E38" s="117">
        <v>32</v>
      </c>
      <c r="F38" s="320"/>
      <c r="G38" s="723"/>
      <c r="H38" s="724">
        <v>32</v>
      </c>
      <c r="I38" s="321"/>
      <c r="J38" s="8"/>
      <c r="K38" s="75"/>
      <c r="L38" s="17"/>
      <c r="M38" s="886" t="s">
        <v>1117</v>
      </c>
      <c r="N38" s="892" t="str">
        <f>IF(AND(dispddt,N18&lt;&gt;"",P18&lt;&gt;"",Y56=1),O35*W52,"")</f>
        <v/>
      </c>
      <c r="O38" s="280"/>
      <c r="P38" s="886" t="s">
        <v>1120</v>
      </c>
      <c r="Q38" s="888"/>
      <c r="R38" s="892" t="str">
        <f>IF(C11,(R36-P36)/2,"")</f>
        <v/>
      </c>
      <c r="S38" s="18"/>
    </row>
    <row r="39" spans="5:35" ht="11.25" customHeight="1" x14ac:dyDescent="0.2">
      <c r="E39" s="117">
        <v>33</v>
      </c>
      <c r="F39" s="320"/>
      <c r="G39" s="723"/>
      <c r="H39" s="724">
        <v>33</v>
      </c>
      <c r="I39" s="321"/>
      <c r="J39" s="8"/>
      <c r="K39" s="55"/>
      <c r="L39" s="56"/>
      <c r="M39" s="56"/>
      <c r="N39" s="56"/>
      <c r="O39" s="845"/>
      <c r="P39" s="883"/>
      <c r="Q39" s="846"/>
      <c r="R39" s="883"/>
      <c r="S39" s="802"/>
    </row>
    <row r="40" spans="5:35" ht="11.25" customHeight="1" x14ac:dyDescent="0.2">
      <c r="E40" s="117">
        <v>34</v>
      </c>
      <c r="F40" s="320"/>
      <c r="G40" s="723"/>
      <c r="H40" s="724">
        <v>34</v>
      </c>
      <c r="I40" s="321"/>
      <c r="J40" s="9"/>
      <c r="K40" s="45"/>
      <c r="L40" s="45"/>
      <c r="U40" s="3"/>
    </row>
    <row r="41" spans="5:35" ht="11.25" customHeight="1" x14ac:dyDescent="0.2">
      <c r="E41" s="117">
        <v>35</v>
      </c>
      <c r="F41" s="320"/>
      <c r="G41" s="723"/>
      <c r="H41" s="724">
        <v>35</v>
      </c>
      <c r="I41" s="321"/>
      <c r="J41" s="9"/>
      <c r="L41" s="45"/>
    </row>
    <row r="42" spans="5:35" ht="11.25" customHeight="1" x14ac:dyDescent="0.2">
      <c r="E42" s="117">
        <v>36</v>
      </c>
      <c r="F42" s="320"/>
      <c r="G42" s="723"/>
      <c r="H42" s="724">
        <v>36</v>
      </c>
      <c r="I42" s="321"/>
      <c r="J42" s="9"/>
      <c r="K42" s="45"/>
      <c r="L42" s="45"/>
    </row>
    <row r="43" spans="5:35" ht="11.25" customHeight="1" x14ac:dyDescent="0.2">
      <c r="E43" s="117">
        <v>37</v>
      </c>
      <c r="F43" s="320"/>
      <c r="G43" s="723"/>
      <c r="H43" s="724">
        <v>37</v>
      </c>
      <c r="I43" s="321"/>
      <c r="J43" s="9"/>
      <c r="L43" s="45"/>
    </row>
    <row r="44" spans="5:35" ht="11.25" customHeight="1" x14ac:dyDescent="0.2">
      <c r="E44" s="117">
        <v>38</v>
      </c>
      <c r="F44" s="320"/>
      <c r="G44" s="723"/>
      <c r="H44" s="724">
        <v>38</v>
      </c>
      <c r="I44" s="321"/>
      <c r="J44" s="9"/>
      <c r="K44" s="45"/>
      <c r="L44" s="45"/>
    </row>
    <row r="45" spans="5:35" ht="11.25" customHeight="1" x14ac:dyDescent="0.2">
      <c r="E45" s="117">
        <v>39</v>
      </c>
      <c r="F45" s="320"/>
      <c r="G45" s="723"/>
      <c r="H45" s="724">
        <v>39</v>
      </c>
      <c r="I45" s="321"/>
      <c r="J45" s="9"/>
      <c r="L45" s="45"/>
    </row>
    <row r="46" spans="5:35" ht="11.25" customHeight="1" x14ac:dyDescent="0.2">
      <c r="E46" s="117">
        <v>40</v>
      </c>
      <c r="F46" s="320"/>
      <c r="G46" s="723"/>
      <c r="H46" s="724">
        <v>40</v>
      </c>
      <c r="I46" s="321"/>
      <c r="J46" s="9"/>
      <c r="K46" s="45"/>
      <c r="L46" s="45"/>
      <c r="AE46"/>
      <c r="AG46"/>
    </row>
    <row r="47" spans="5:35" ht="11.25" customHeight="1" x14ac:dyDescent="0.2">
      <c r="E47" s="117">
        <v>41</v>
      </c>
      <c r="F47" s="320"/>
      <c r="G47" s="723"/>
      <c r="H47" s="724">
        <v>41</v>
      </c>
      <c r="I47" s="321"/>
      <c r="J47" s="9"/>
      <c r="L47" s="45"/>
    </row>
    <row r="48" spans="5:35" ht="11.25" customHeight="1" x14ac:dyDescent="0.2">
      <c r="E48" s="117">
        <v>42</v>
      </c>
      <c r="F48" s="320"/>
      <c r="G48" s="723"/>
      <c r="H48" s="724">
        <v>42</v>
      </c>
      <c r="I48" s="321"/>
      <c r="J48" s="9"/>
      <c r="K48" s="45"/>
      <c r="L48" s="45"/>
    </row>
    <row r="49" spans="5:33" ht="11.25" customHeight="1" x14ac:dyDescent="0.2">
      <c r="E49" s="117">
        <v>43</v>
      </c>
      <c r="F49" s="320"/>
      <c r="G49" s="723"/>
      <c r="H49" s="724">
        <v>43</v>
      </c>
      <c r="I49" s="321"/>
      <c r="J49" s="9"/>
      <c r="L49" s="45"/>
    </row>
    <row r="50" spans="5:33" ht="11.25" customHeight="1" x14ac:dyDescent="0.2">
      <c r="E50" s="117">
        <v>44</v>
      </c>
      <c r="F50" s="320"/>
      <c r="G50" s="723"/>
      <c r="H50" s="724">
        <v>44</v>
      </c>
      <c r="I50" s="321"/>
      <c r="J50" s="9"/>
      <c r="K50" s="45"/>
      <c r="L50" s="45"/>
    </row>
    <row r="51" spans="5:33" ht="11.25" customHeight="1" x14ac:dyDescent="0.2">
      <c r="E51" s="117">
        <v>45</v>
      </c>
      <c r="F51" s="320"/>
      <c r="G51" s="723"/>
      <c r="H51" s="724">
        <v>45</v>
      </c>
      <c r="I51" s="321"/>
      <c r="J51" s="9"/>
    </row>
    <row r="52" spans="5:33" ht="11.25" customHeight="1" x14ac:dyDescent="0.2">
      <c r="E52" s="117">
        <v>46</v>
      </c>
      <c r="F52" s="320"/>
      <c r="G52" s="723"/>
      <c r="H52" s="724">
        <v>46</v>
      </c>
      <c r="I52" s="321"/>
      <c r="J52" s="9"/>
      <c r="K52" s="45"/>
      <c r="L52" s="45"/>
      <c r="M52" s="3" t="s">
        <v>532</v>
      </c>
      <c r="N52" s="1" t="s">
        <v>533</v>
      </c>
      <c r="P52" s="1" t="s">
        <v>534</v>
      </c>
      <c r="V52" s="3" t="s">
        <v>1088</v>
      </c>
      <c r="W52" s="1">
        <f>EXP(GAMMALN(Q30/2))/(SQRT(Q30/2)*EXP(GAMMALN(Q30/2-0.5)))</f>
        <v>0.96194453374074995</v>
      </c>
    </row>
    <row r="53" spans="5:33" ht="11.25" customHeight="1" x14ac:dyDescent="0.2">
      <c r="E53" s="117">
        <v>47</v>
      </c>
      <c r="F53" s="320"/>
      <c r="G53" s="723"/>
      <c r="H53" s="724">
        <v>47</v>
      </c>
      <c r="I53" s="321"/>
      <c r="J53" s="9"/>
      <c r="M53" s="1">
        <v>0.8</v>
      </c>
      <c r="N53" s="1" t="e">
        <f t="shared" ref="N53:N84" si="6">IF(AND($W$56,NOT(F7=""),$W$54),F7,NA())</f>
        <v>#N/A</v>
      </c>
      <c r="O53" s="1">
        <v>2.2000000000000002</v>
      </c>
      <c r="P53" s="1" t="e">
        <f t="shared" ref="P53:P84" si="7">IF(AND($W$56,NOT(I7=""),$W$55),I7,NA())</f>
        <v>#N/A</v>
      </c>
      <c r="V53" s="3" t="s">
        <v>1060</v>
      </c>
      <c r="W53" s="10" t="b">
        <v>0</v>
      </c>
      <c r="X53" s="3" t="s">
        <v>489</v>
      </c>
      <c r="Y53" s="10" t="b">
        <v>1</v>
      </c>
      <c r="AB53" s="1" t="s">
        <v>713</v>
      </c>
      <c r="AE53" s="1" t="s">
        <v>722</v>
      </c>
    </row>
    <row r="54" spans="5:33" ht="11.25" customHeight="1" x14ac:dyDescent="0.2">
      <c r="E54" s="117">
        <v>48</v>
      </c>
      <c r="F54" s="320"/>
      <c r="G54" s="723"/>
      <c r="H54" s="724">
        <v>48</v>
      </c>
      <c r="I54" s="321"/>
      <c r="J54" s="9"/>
      <c r="K54" s="45"/>
      <c r="L54" s="45"/>
      <c r="M54" s="1">
        <v>0.8</v>
      </c>
      <c r="N54" s="1" t="e">
        <f t="shared" si="6"/>
        <v>#N/A</v>
      </c>
      <c r="O54" s="1">
        <v>2.2000000000000002</v>
      </c>
      <c r="P54" s="1" t="e">
        <f t="shared" si="7"/>
        <v>#N/A</v>
      </c>
      <c r="V54" s="3" t="s">
        <v>518</v>
      </c>
      <c r="W54" s="10" t="b">
        <v>1</v>
      </c>
      <c r="X54" s="3" t="s">
        <v>1059</v>
      </c>
      <c r="Y54" s="10" t="b">
        <v>0</v>
      </c>
      <c r="AB54" s="3">
        <v>1</v>
      </c>
      <c r="AC54" s="1">
        <f>W66</f>
        <v>29</v>
      </c>
      <c r="AE54" s="1">
        <f>IF(AG60,1,NA())</f>
        <v>1</v>
      </c>
      <c r="AF54" s="1">
        <f>N17</f>
        <v>47.769230769230766</v>
      </c>
    </row>
    <row r="55" spans="5:33" ht="11.25" customHeight="1" x14ac:dyDescent="0.2">
      <c r="E55" s="117">
        <v>49</v>
      </c>
      <c r="F55" s="320"/>
      <c r="G55" s="723"/>
      <c r="H55" s="724">
        <v>49</v>
      </c>
      <c r="I55" s="321"/>
      <c r="J55" s="9"/>
      <c r="M55" s="1">
        <v>0.8</v>
      </c>
      <c r="N55" s="1" t="e">
        <f t="shared" si="6"/>
        <v>#N/A</v>
      </c>
      <c r="O55" s="1">
        <v>2.2000000000000002</v>
      </c>
      <c r="P55" s="1" t="e">
        <f t="shared" si="7"/>
        <v>#N/A</v>
      </c>
      <c r="T55" s="3"/>
      <c r="V55" s="3" t="s">
        <v>519</v>
      </c>
      <c r="W55" s="10" t="b">
        <v>1</v>
      </c>
      <c r="X55" s="3" t="s">
        <v>1068</v>
      </c>
      <c r="Y55" s="10">
        <v>1</v>
      </c>
      <c r="AB55" s="3">
        <v>2</v>
      </c>
      <c r="AC55" s="1">
        <f>AC54</f>
        <v>29</v>
      </c>
      <c r="AE55" s="1">
        <f>IF(AG60,AE64,NA())</f>
        <v>3.1</v>
      </c>
      <c r="AF55" s="1">
        <f>AF54</f>
        <v>47.769230769230766</v>
      </c>
    </row>
    <row r="56" spans="5:33" ht="11.25" customHeight="1" x14ac:dyDescent="0.2">
      <c r="E56" s="117">
        <v>50</v>
      </c>
      <c r="F56" s="320"/>
      <c r="G56" s="723"/>
      <c r="H56" s="724">
        <v>50</v>
      </c>
      <c r="I56" s="321"/>
      <c r="J56" s="9"/>
      <c r="K56" s="45"/>
      <c r="L56" s="45"/>
      <c r="M56" s="1">
        <v>0.8</v>
      </c>
      <c r="N56" s="1" t="e">
        <f t="shared" si="6"/>
        <v>#N/A</v>
      </c>
      <c r="O56" s="1">
        <v>2.2000000000000002</v>
      </c>
      <c r="P56" s="1" t="e">
        <f t="shared" si="7"/>
        <v>#N/A</v>
      </c>
      <c r="V56" s="3" t="s">
        <v>526</v>
      </c>
      <c r="W56" s="10" t="b">
        <v>0</v>
      </c>
      <c r="X56" s="3" t="s">
        <v>703</v>
      </c>
      <c r="Y56" s="10">
        <v>1</v>
      </c>
      <c r="AB56" s="1">
        <v>3</v>
      </c>
      <c r="AC56" s="1">
        <f>AC55</f>
        <v>29</v>
      </c>
      <c r="AE56" s="1">
        <f>IF(AG60,2,NA())</f>
        <v>2</v>
      </c>
      <c r="AF56" s="1">
        <f>P17</f>
        <v>60.222222222222221</v>
      </c>
    </row>
    <row r="57" spans="5:33" ht="11.25" customHeight="1" x14ac:dyDescent="0.2">
      <c r="E57" s="117">
        <v>51</v>
      </c>
      <c r="F57" s="320"/>
      <c r="G57" s="723"/>
      <c r="H57" s="724">
        <v>51</v>
      </c>
      <c r="I57" s="321"/>
      <c r="J57" s="9"/>
      <c r="M57" s="1">
        <v>0.8</v>
      </c>
      <c r="N57" s="1" t="e">
        <f t="shared" si="6"/>
        <v>#N/A</v>
      </c>
      <c r="O57" s="1">
        <v>2.2000000000000002</v>
      </c>
      <c r="P57" s="1" t="e">
        <f t="shared" si="7"/>
        <v>#N/A</v>
      </c>
      <c r="V57" s="123" t="s">
        <v>538</v>
      </c>
      <c r="W57" s="13" t="b">
        <f>AND(P10&gt;=0, P10&lt;=99.9)</f>
        <v>1</v>
      </c>
      <c r="X57" s="3" t="s">
        <v>704</v>
      </c>
      <c r="Y57" s="10" t="b">
        <v>0</v>
      </c>
      <c r="AB57" s="1" t="s">
        <v>714</v>
      </c>
      <c r="AE57" s="1">
        <f>IF(AG60,AE64,NA())</f>
        <v>3.1</v>
      </c>
      <c r="AF57" s="1">
        <f>AF56</f>
        <v>60.222222222222221</v>
      </c>
    </row>
    <row r="58" spans="5:33" ht="11.25" customHeight="1" x14ac:dyDescent="0.2">
      <c r="E58" s="117">
        <v>52</v>
      </c>
      <c r="F58" s="320"/>
      <c r="G58" s="723"/>
      <c r="H58" s="724">
        <v>52</v>
      </c>
      <c r="I58" s="321"/>
      <c r="J58" s="9"/>
      <c r="K58" s="45"/>
      <c r="L58" s="45"/>
      <c r="M58" s="1">
        <v>0.8</v>
      </c>
      <c r="N58" s="1" t="e">
        <f t="shared" si="6"/>
        <v>#N/A</v>
      </c>
      <c r="O58" s="1">
        <v>2.2000000000000002</v>
      </c>
      <c r="P58" s="1" t="e">
        <f t="shared" si="7"/>
        <v>#N/A</v>
      </c>
      <c r="V58" s="3" t="s">
        <v>522</v>
      </c>
      <c r="W58" s="1" t="str">
        <f>IF(W54,LEFT("        ",MAX(0,8-0.5*LEN(F6)))&amp;F6&amp;LEFT("        ",MAX(0,8-0.5*LEN(F6))),"  ")</f>
        <v xml:space="preserve">     Expt'l     </v>
      </c>
      <c r="X58" s="1" t="str">
        <f>IF(W55,IF(I6="","  ",I6),"  ")</f>
        <v>Control</v>
      </c>
      <c r="Y58" s="1" t="s">
        <v>737</v>
      </c>
      <c r="AB58" s="3" t="s">
        <v>715</v>
      </c>
      <c r="AC58" s="1">
        <f>IF(W65-W66=0,1,W65-W66)</f>
        <v>48</v>
      </c>
      <c r="AE58" s="1" t="s">
        <v>723</v>
      </c>
      <c r="AG58" s="1" t="s">
        <v>724</v>
      </c>
    </row>
    <row r="59" spans="5:33" ht="11.25" customHeight="1" x14ac:dyDescent="0.2">
      <c r="E59" s="117">
        <v>53</v>
      </c>
      <c r="F59" s="320"/>
      <c r="G59" s="723"/>
      <c r="H59" s="724">
        <v>53</v>
      </c>
      <c r="I59" s="321"/>
      <c r="J59" s="9"/>
      <c r="M59" s="1">
        <v>0.8</v>
      </c>
      <c r="N59" s="1" t="e">
        <f t="shared" si="6"/>
        <v>#N/A</v>
      </c>
      <c r="O59" s="1">
        <v>2.2000000000000002</v>
      </c>
      <c r="P59" s="1" t="e">
        <f t="shared" si="7"/>
        <v>#N/A</v>
      </c>
      <c r="V59" s="3" t="s">
        <v>507</v>
      </c>
      <c r="W59" s="1">
        <f>IF(AND($N$17&lt;&gt;"",$Y$55=1,W54),$N$17,NA())</f>
        <v>47.769230769230766</v>
      </c>
      <c r="X59" s="1">
        <f>IF(AND($P$17&lt;&gt;"",$Y$55=1,W55),$P$17,NA())</f>
        <v>60.222222222222221</v>
      </c>
      <c r="AB59" s="3" t="s">
        <v>716</v>
      </c>
      <c r="AC59" s="1">
        <f>POWER(10,INT(LOG10(AC58)))</f>
        <v>10</v>
      </c>
      <c r="AE59" s="1">
        <f>IF(AND(Y53,AG60),2.7,NA())</f>
        <v>2.7</v>
      </c>
      <c r="AF59" s="1">
        <f>AF56</f>
        <v>60.222222222222221</v>
      </c>
      <c r="AG59" s="1">
        <f>IF(Y56=1,W72,W82)</f>
        <v>12.23274261924082</v>
      </c>
    </row>
    <row r="60" spans="5:33" ht="11.25" customHeight="1" x14ac:dyDescent="0.2">
      <c r="E60" s="117">
        <v>54</v>
      </c>
      <c r="F60" s="320"/>
      <c r="G60" s="723"/>
      <c r="H60" s="724">
        <v>54</v>
      </c>
      <c r="I60" s="321"/>
      <c r="J60" s="9"/>
      <c r="K60" s="45"/>
      <c r="L60" s="45"/>
      <c r="M60" s="1">
        <v>0.8</v>
      </c>
      <c r="N60" s="1" t="e">
        <f t="shared" si="6"/>
        <v>#N/A</v>
      </c>
      <c r="O60" s="1">
        <v>2.2000000000000002</v>
      </c>
      <c r="P60" s="1" t="e">
        <f t="shared" si="7"/>
        <v>#N/A</v>
      </c>
      <c r="V60" s="3" t="s">
        <v>508</v>
      </c>
      <c r="W60" s="1" t="e">
        <f>IF(AND($N$17&lt;&gt;"",$Y$55=2,W54),$N$17,NA())</f>
        <v>#N/A</v>
      </c>
      <c r="X60" s="1" t="e">
        <f>IF(AND($P$17&lt;&gt;"",$Y$55=2,W55),$P$17,NA())</f>
        <v>#N/A</v>
      </c>
      <c r="AB60" s="3" t="s">
        <v>717</v>
      </c>
      <c r="AC60" s="1">
        <f>ROUNDUP(AC58/AC59,0)</f>
        <v>5</v>
      </c>
      <c r="AF60" s="3" t="s">
        <v>729</v>
      </c>
      <c r="AG60" s="1" t="b">
        <f>AND(N17&lt;&gt;"",P17&lt;&gt;"",W54,W55)</f>
        <v>1</v>
      </c>
    </row>
    <row r="61" spans="5:33" ht="11.25" customHeight="1" x14ac:dyDescent="0.2">
      <c r="E61" s="117">
        <v>55</v>
      </c>
      <c r="F61" s="320"/>
      <c r="G61" s="723"/>
      <c r="H61" s="724">
        <v>55</v>
      </c>
      <c r="I61" s="321"/>
      <c r="J61" s="9"/>
      <c r="M61" s="1">
        <v>0.8</v>
      </c>
      <c r="N61" s="1" t="e">
        <f t="shared" si="6"/>
        <v>#N/A</v>
      </c>
      <c r="O61" s="1">
        <v>2.2000000000000002</v>
      </c>
      <c r="P61" s="1" t="e">
        <f t="shared" si="7"/>
        <v>#N/A</v>
      </c>
      <c r="V61" s="3" t="s">
        <v>509</v>
      </c>
      <c r="W61" s="1">
        <f>IF(AND($N$17&lt;&gt;"",$Y$53,W54),$N$17,NA())</f>
        <v>47.769230769230766</v>
      </c>
      <c r="X61" s="1">
        <f>IF(AND($P$17&lt;&gt;"",$Y$53,W55),$P$17,NA())</f>
        <v>60.222222222222221</v>
      </c>
      <c r="AB61" s="3" t="s">
        <v>718</v>
      </c>
      <c r="AC61" s="1">
        <f>CHOOSE(AC60,10,5,5,2,2,2,2,1,1,1)</f>
        <v>2</v>
      </c>
    </row>
    <row r="62" spans="5:33" ht="11.25" customHeight="1" x14ac:dyDescent="0.2">
      <c r="E62" s="117">
        <v>56</v>
      </c>
      <c r="F62" s="320"/>
      <c r="G62" s="723"/>
      <c r="H62" s="724">
        <v>56</v>
      </c>
      <c r="I62" s="321"/>
      <c r="J62" s="9"/>
      <c r="K62" s="45"/>
      <c r="L62" s="45"/>
      <c r="M62" s="1">
        <v>0.8</v>
      </c>
      <c r="N62" s="1" t="e">
        <f t="shared" si="6"/>
        <v>#N/A</v>
      </c>
      <c r="O62" s="1">
        <v>2.2000000000000002</v>
      </c>
      <c r="P62" s="1" t="e">
        <f t="shared" si="7"/>
        <v>#N/A</v>
      </c>
      <c r="V62" s="3" t="s">
        <v>510</v>
      </c>
      <c r="W62" s="92">
        <f>N20</f>
        <v>8.8440295034382039</v>
      </c>
      <c r="X62" s="108">
        <f>P20</f>
        <v>8.9623016913002527</v>
      </c>
      <c r="AB62" s="3" t="s">
        <v>719</v>
      </c>
      <c r="AC62" s="1">
        <f>AC59/AC61</f>
        <v>5</v>
      </c>
    </row>
    <row r="63" spans="5:33" ht="11.25" customHeight="1" x14ac:dyDescent="0.2">
      <c r="E63" s="117">
        <v>57</v>
      </c>
      <c r="F63" s="320"/>
      <c r="G63" s="723"/>
      <c r="H63" s="724">
        <v>57</v>
      </c>
      <c r="I63" s="321"/>
      <c r="J63" s="9"/>
      <c r="M63" s="1">
        <v>0.8</v>
      </c>
      <c r="N63" s="1" t="e">
        <f t="shared" si="6"/>
        <v>#N/A</v>
      </c>
      <c r="O63" s="1">
        <v>2.2000000000000002</v>
      </c>
      <c r="P63" s="1" t="e">
        <f t="shared" si="7"/>
        <v>#N/A</v>
      </c>
      <c r="V63" s="287" t="s">
        <v>516</v>
      </c>
      <c r="W63" s="347" t="e">
        <f>IF(AND($Y$53,$Y$54,$N$20&lt;&gt;"",$P$20&lt;&gt;"",W54,W55),MIN($N$17+$N$20,$P$17+$P$20),NA())</f>
        <v>#N/A</v>
      </c>
      <c r="X63" s="347" t="e">
        <f>IF(AND($Y$53,$Y$54,$N$20&lt;&gt;"",$P$20&lt;&gt;"",W54,W55),MIN($N$17+$N$20,$P$17+$P$20),NA())</f>
        <v>#N/A</v>
      </c>
      <c r="Y63" s="288"/>
      <c r="AB63" s="3" t="s">
        <v>720</v>
      </c>
      <c r="AC63" s="1" t="s">
        <v>624</v>
      </c>
      <c r="AD63" s="172" t="s">
        <v>632</v>
      </c>
      <c r="AE63" s="172" t="s">
        <v>633</v>
      </c>
      <c r="AF63" s="172" t="s">
        <v>721</v>
      </c>
    </row>
    <row r="64" spans="5:33" ht="11.25" customHeight="1" x14ac:dyDescent="0.2">
      <c r="E64" s="117">
        <v>58</v>
      </c>
      <c r="F64" s="320"/>
      <c r="G64" s="723"/>
      <c r="H64" s="724">
        <v>58</v>
      </c>
      <c r="I64" s="321"/>
      <c r="J64" s="9"/>
      <c r="K64" s="45"/>
      <c r="L64" s="45"/>
      <c r="M64" s="1">
        <v>0.8</v>
      </c>
      <c r="N64" s="1" t="e">
        <f t="shared" si="6"/>
        <v>#N/A</v>
      </c>
      <c r="O64" s="1">
        <v>2.2000000000000002</v>
      </c>
      <c r="P64" s="1" t="e">
        <f t="shared" si="7"/>
        <v>#N/A</v>
      </c>
      <c r="V64" s="147"/>
      <c r="W64" s="351" t="e">
        <f>IF(AND($Y$53,$Y$54,$N$20&lt;&gt;"",$P$20&lt;&gt;"",W54,W55),MAX($N$17-$N$20,$P$17-$P$20),NA())</f>
        <v>#N/A</v>
      </c>
      <c r="X64" s="351" t="e">
        <f>IF(AND($Y$53,$Y$54,$N$20&lt;&gt;"",$P$20&lt;&gt;"",W54,W55),MAX($N$17-$N$20,$P$17-$P$20),NA())</f>
        <v>#N/A</v>
      </c>
      <c r="Y64" s="148"/>
      <c r="AB64" s="3">
        <v>10</v>
      </c>
      <c r="AC64" s="1">
        <f t="shared" ref="AC64:AC84" si="8">$AC$62*AB64</f>
        <v>50</v>
      </c>
      <c r="AD64" s="1">
        <f t="shared" ref="AD64:AD84" si="9">$N$17+$AC$62*AB64</f>
        <v>97.769230769230774</v>
      </c>
      <c r="AE64" s="1">
        <f>IF(AG60,3.1,NA())</f>
        <v>3.1</v>
      </c>
      <c r="AF64" s="1" t="e">
        <f t="shared" ref="AF64:AF84" si="10">IF(AND(AD64&lt;=$W$65,AD64&gt;=$W$66),AD64,NA())</f>
        <v>#N/A</v>
      </c>
    </row>
    <row r="65" spans="5:32" ht="11.25" customHeight="1" x14ac:dyDescent="0.2">
      <c r="E65" s="117">
        <v>59</v>
      </c>
      <c r="F65" s="320"/>
      <c r="G65" s="723"/>
      <c r="H65" s="724">
        <v>59</v>
      </c>
      <c r="I65" s="321"/>
      <c r="J65" s="9"/>
      <c r="M65" s="1">
        <v>0.8</v>
      </c>
      <c r="N65" s="1" t="e">
        <f t="shared" si="6"/>
        <v>#N/A</v>
      </c>
      <c r="O65" s="1">
        <v>2.2000000000000002</v>
      </c>
      <c r="P65" s="1" t="e">
        <f t="shared" si="7"/>
        <v>#N/A</v>
      </c>
      <c r="V65" s="287" t="s">
        <v>527</v>
      </c>
      <c r="W65" s="346">
        <f>MAX(F7:F106,I7:I106,N22,P22)</f>
        <v>77</v>
      </c>
      <c r="X65" s="346">
        <f>MAX(F7:F106,I7:I106,N22,P22)</f>
        <v>77</v>
      </c>
      <c r="Y65" s="288"/>
      <c r="AB65" s="3">
        <v>9</v>
      </c>
      <c r="AC65" s="1">
        <f t="shared" si="8"/>
        <v>45</v>
      </c>
      <c r="AD65" s="1">
        <f t="shared" si="9"/>
        <v>92.769230769230774</v>
      </c>
      <c r="AE65" s="1">
        <f>IF($AG$60,AE64,NA())</f>
        <v>3.1</v>
      </c>
      <c r="AF65" s="1" t="e">
        <f t="shared" si="10"/>
        <v>#N/A</v>
      </c>
    </row>
    <row r="66" spans="5:32" ht="11.25" customHeight="1" x14ac:dyDescent="0.2">
      <c r="E66" s="117">
        <v>60</v>
      </c>
      <c r="F66" s="320"/>
      <c r="G66" s="723"/>
      <c r="H66" s="724">
        <v>60</v>
      </c>
      <c r="I66" s="321"/>
      <c r="J66" s="9"/>
      <c r="K66" s="45"/>
      <c r="L66" s="45"/>
      <c r="M66" s="1">
        <v>0.8</v>
      </c>
      <c r="N66" s="1" t="e">
        <f t="shared" si="6"/>
        <v>#N/A</v>
      </c>
      <c r="O66" s="1">
        <v>2.2000000000000002</v>
      </c>
      <c r="P66" s="1" t="e">
        <f t="shared" si="7"/>
        <v>#N/A</v>
      </c>
      <c r="V66" s="293" t="s">
        <v>528</v>
      </c>
      <c r="W66" s="137">
        <f>MIN(F7:F106,I7:I106,N21,P21)</f>
        <v>29</v>
      </c>
      <c r="X66" s="137">
        <f>MIN(F7:F106,I7:I106,N21,P21)</f>
        <v>29</v>
      </c>
      <c r="Y66" s="264"/>
      <c r="AB66" s="3">
        <v>8</v>
      </c>
      <c r="AC66" s="1">
        <f t="shared" si="8"/>
        <v>40</v>
      </c>
      <c r="AD66" s="1">
        <f t="shared" si="9"/>
        <v>87.769230769230774</v>
      </c>
      <c r="AE66" s="1">
        <f t="shared" ref="AE66:AE84" si="11">IF($AG$60,AE65,NA())</f>
        <v>3.1</v>
      </c>
      <c r="AF66" s="1" t="e">
        <f t="shared" si="10"/>
        <v>#N/A</v>
      </c>
    </row>
    <row r="67" spans="5:32" ht="11.25" customHeight="1" x14ac:dyDescent="0.2">
      <c r="E67" s="117">
        <v>61</v>
      </c>
      <c r="F67" s="320"/>
      <c r="G67" s="723"/>
      <c r="H67" s="724">
        <v>61</v>
      </c>
      <c r="I67" s="321"/>
      <c r="J67" s="9"/>
      <c r="M67" s="1">
        <v>0.8</v>
      </c>
      <c r="N67" s="1" t="e">
        <f t="shared" si="6"/>
        <v>#N/A</v>
      </c>
      <c r="O67" s="1">
        <v>2.2000000000000002</v>
      </c>
      <c r="P67" s="1" t="e">
        <f t="shared" si="7"/>
        <v>#N/A</v>
      </c>
      <c r="V67" s="147"/>
      <c r="W67" s="52"/>
      <c r="X67" s="211" t="s">
        <v>529</v>
      </c>
      <c r="Y67" s="148"/>
      <c r="AB67" s="3">
        <v>7</v>
      </c>
      <c r="AC67" s="1">
        <f t="shared" si="8"/>
        <v>35</v>
      </c>
      <c r="AD67" s="1">
        <f t="shared" si="9"/>
        <v>82.769230769230774</v>
      </c>
      <c r="AE67" s="1">
        <f t="shared" si="11"/>
        <v>3.1</v>
      </c>
      <c r="AF67" s="1" t="e">
        <f t="shared" si="10"/>
        <v>#N/A</v>
      </c>
    </row>
    <row r="68" spans="5:32" ht="11.25" customHeight="1" x14ac:dyDescent="0.2">
      <c r="E68" s="117">
        <v>62</v>
      </c>
      <c r="F68" s="320"/>
      <c r="G68" s="723"/>
      <c r="H68" s="724">
        <v>62</v>
      </c>
      <c r="I68" s="321"/>
      <c r="J68" s="9"/>
      <c r="K68" s="45"/>
      <c r="L68" s="45"/>
      <c r="M68" s="1">
        <v>0.8</v>
      </c>
      <c r="N68" s="1" t="e">
        <f t="shared" si="6"/>
        <v>#N/A</v>
      </c>
      <c r="O68" s="1">
        <v>2.2000000000000002</v>
      </c>
      <c r="P68" s="1" t="e">
        <f t="shared" si="7"/>
        <v>#N/A</v>
      </c>
      <c r="V68" s="259"/>
      <c r="W68" s="141" t="s">
        <v>521</v>
      </c>
      <c r="X68" s="141"/>
      <c r="Y68" s="288"/>
      <c r="AB68" s="3">
        <v>6</v>
      </c>
      <c r="AC68" s="1">
        <f t="shared" si="8"/>
        <v>30</v>
      </c>
      <c r="AD68" s="1">
        <f t="shared" si="9"/>
        <v>77.769230769230774</v>
      </c>
      <c r="AE68" s="1">
        <f t="shared" si="11"/>
        <v>3.1</v>
      </c>
      <c r="AF68" s="1" t="e">
        <f t="shared" si="10"/>
        <v>#N/A</v>
      </c>
    </row>
    <row r="69" spans="5:32" ht="11.25" customHeight="1" x14ac:dyDescent="0.2">
      <c r="E69" s="117">
        <v>63</v>
      </c>
      <c r="F69" s="320"/>
      <c r="G69" s="723"/>
      <c r="H69" s="724">
        <v>63</v>
      </c>
      <c r="I69" s="321"/>
      <c r="J69" s="9"/>
      <c r="M69" s="1">
        <v>0.8</v>
      </c>
      <c r="N69" s="1" t="e">
        <f t="shared" si="6"/>
        <v>#N/A</v>
      </c>
      <c r="O69" s="1">
        <v>2.2000000000000002</v>
      </c>
      <c r="P69" s="1" t="e">
        <f t="shared" si="7"/>
        <v>#N/A</v>
      </c>
      <c r="V69" s="147"/>
      <c r="W69" s="52" t="str">
        <f>"Dependent variable "&amp;IF(G7="","","("&amp;G7&amp;")")&amp;"."</f>
        <v>Dependent variable (cm).</v>
      </c>
      <c r="X69" s="345"/>
      <c r="Y69" s="148"/>
      <c r="AB69" s="3">
        <v>5</v>
      </c>
      <c r="AC69" s="1">
        <f t="shared" si="8"/>
        <v>25</v>
      </c>
      <c r="AD69" s="1">
        <f t="shared" si="9"/>
        <v>72.769230769230774</v>
      </c>
      <c r="AE69" s="1">
        <f t="shared" si="11"/>
        <v>3.1</v>
      </c>
      <c r="AF69" s="1">
        <f t="shared" si="10"/>
        <v>72.769230769230774</v>
      </c>
    </row>
    <row r="70" spans="5:32" ht="11.25" customHeight="1" x14ac:dyDescent="0.2">
      <c r="E70" s="117">
        <v>64</v>
      </c>
      <c r="F70" s="320"/>
      <c r="G70" s="723"/>
      <c r="H70" s="724">
        <v>64</v>
      </c>
      <c r="I70" s="321"/>
      <c r="J70" s="9"/>
      <c r="K70" s="45"/>
      <c r="L70" s="45"/>
      <c r="M70" s="1">
        <v>0.8</v>
      </c>
      <c r="N70" s="1" t="e">
        <f t="shared" si="6"/>
        <v>#N/A</v>
      </c>
      <c r="O70" s="1">
        <v>2.2000000000000002</v>
      </c>
      <c r="P70" s="1" t="e">
        <f t="shared" si="7"/>
        <v>#N/A</v>
      </c>
      <c r="V70" s="3" t="s">
        <v>698</v>
      </c>
      <c r="W70" s="1">
        <f>IF(AND(N18&lt;&gt;"",P18&lt;&gt;""),SQRT((N18*N18*(None-1)+P18*P18*(Ntwo-1))/(None+Ntwo-2)),"")</f>
        <v>13.523799850380895</v>
      </c>
      <c r="X70" s="1">
        <f>None+Ntwo-2</f>
        <v>20</v>
      </c>
      <c r="Y70" s="1" t="s">
        <v>666</v>
      </c>
      <c r="AB70" s="3">
        <v>4</v>
      </c>
      <c r="AC70" s="1">
        <f t="shared" si="8"/>
        <v>20</v>
      </c>
      <c r="AD70" s="1">
        <f t="shared" si="9"/>
        <v>67.769230769230774</v>
      </c>
      <c r="AE70" s="1">
        <f t="shared" si="11"/>
        <v>3.1</v>
      </c>
      <c r="AF70" s="1">
        <f t="shared" si="10"/>
        <v>67.769230769230774</v>
      </c>
    </row>
    <row r="71" spans="5:32" ht="11.25" customHeight="1" x14ac:dyDescent="0.2">
      <c r="E71" s="117">
        <v>65</v>
      </c>
      <c r="F71" s="321"/>
      <c r="G71" s="723"/>
      <c r="H71" s="724">
        <v>65</v>
      </c>
      <c r="I71" s="321"/>
      <c r="J71" s="9"/>
      <c r="M71" s="1">
        <v>0.8</v>
      </c>
      <c r="N71" s="1" t="e">
        <f t="shared" si="6"/>
        <v>#N/A</v>
      </c>
      <c r="O71" s="1">
        <v>2.2000000000000002</v>
      </c>
      <c r="P71" s="1" t="e">
        <f t="shared" si="7"/>
        <v>#N/A</v>
      </c>
      <c r="V71" s="3" t="s">
        <v>631</v>
      </c>
      <c r="W71" s="1">
        <f>W70*SQRT(1/None+1/Ntwo)</f>
        <v>5.8643130277640507</v>
      </c>
      <c r="X71" s="1">
        <f>TINV((1-P10/100),X70)</f>
        <v>2.0859634472658648</v>
      </c>
      <c r="Y71" s="1" t="s">
        <v>728</v>
      </c>
      <c r="AB71" s="3">
        <v>3</v>
      </c>
      <c r="AC71" s="1">
        <f t="shared" si="8"/>
        <v>15</v>
      </c>
      <c r="AD71" s="1">
        <f t="shared" si="9"/>
        <v>62.769230769230766</v>
      </c>
      <c r="AE71" s="1">
        <f t="shared" si="11"/>
        <v>3.1</v>
      </c>
      <c r="AF71" s="1">
        <f t="shared" si="10"/>
        <v>62.769230769230766</v>
      </c>
    </row>
    <row r="72" spans="5:32" ht="11.25" customHeight="1" x14ac:dyDescent="0.2">
      <c r="E72" s="117">
        <v>66</v>
      </c>
      <c r="F72" s="321"/>
      <c r="G72" s="723"/>
      <c r="H72" s="724">
        <v>66</v>
      </c>
      <c r="I72" s="321"/>
      <c r="J72" s="9"/>
      <c r="K72" s="45"/>
      <c r="L72" s="45"/>
      <c r="M72" s="1">
        <v>0.8</v>
      </c>
      <c r="N72" s="1" t="e">
        <f t="shared" si="6"/>
        <v>#N/A</v>
      </c>
      <c r="O72" s="1">
        <v>2.2000000000000002</v>
      </c>
      <c r="P72" s="1" t="e">
        <f t="shared" si="7"/>
        <v>#N/A</v>
      </c>
      <c r="V72" s="3" t="s">
        <v>724</v>
      </c>
      <c r="W72" s="1">
        <f>X71*W71</f>
        <v>12.23274261924082</v>
      </c>
      <c r="AB72" s="3">
        <v>2</v>
      </c>
      <c r="AC72" s="1">
        <f t="shared" si="8"/>
        <v>10</v>
      </c>
      <c r="AD72" s="1">
        <f t="shared" si="9"/>
        <v>57.769230769230766</v>
      </c>
      <c r="AE72" s="1">
        <f t="shared" si="11"/>
        <v>3.1</v>
      </c>
      <c r="AF72" s="1">
        <f t="shared" si="10"/>
        <v>57.769230769230766</v>
      </c>
    </row>
    <row r="73" spans="5:32" ht="11.25" customHeight="1" x14ac:dyDescent="0.2">
      <c r="E73" s="117">
        <v>67</v>
      </c>
      <c r="F73" s="321"/>
      <c r="G73" s="723"/>
      <c r="H73" s="724">
        <v>67</v>
      </c>
      <c r="I73" s="321"/>
      <c r="J73" s="9"/>
      <c r="M73" s="1">
        <v>0.8</v>
      </c>
      <c r="N73" s="1" t="e">
        <f t="shared" si="6"/>
        <v>#N/A</v>
      </c>
      <c r="O73" s="1">
        <v>2.2000000000000002</v>
      </c>
      <c r="P73" s="1" t="e">
        <f t="shared" si="7"/>
        <v>#N/A</v>
      </c>
      <c r="V73" s="348" t="s">
        <v>725</v>
      </c>
      <c r="W73" s="187"/>
      <c r="X73" s="187"/>
      <c r="Y73" s="188"/>
      <c r="AB73" s="3">
        <v>1</v>
      </c>
      <c r="AC73" s="1">
        <f t="shared" si="8"/>
        <v>5</v>
      </c>
      <c r="AD73" s="1">
        <f t="shared" si="9"/>
        <v>52.769230769230766</v>
      </c>
      <c r="AE73" s="1">
        <f t="shared" si="11"/>
        <v>3.1</v>
      </c>
      <c r="AF73" s="1">
        <f t="shared" si="10"/>
        <v>52.769230769230766</v>
      </c>
    </row>
    <row r="74" spans="5:32" ht="11.25" customHeight="1" x14ac:dyDescent="0.2">
      <c r="E74" s="117">
        <v>68</v>
      </c>
      <c r="F74" s="321"/>
      <c r="G74" s="723"/>
      <c r="H74" s="724">
        <v>68</v>
      </c>
      <c r="I74" s="321"/>
      <c r="J74" s="9"/>
      <c r="K74" s="45"/>
      <c r="L74" s="45"/>
      <c r="M74" s="1">
        <v>0.8</v>
      </c>
      <c r="N74" s="1" t="e">
        <f t="shared" si="6"/>
        <v>#N/A</v>
      </c>
      <c r="O74" s="1">
        <v>2.2000000000000002</v>
      </c>
      <c r="P74" s="1" t="e">
        <f t="shared" si="7"/>
        <v>#N/A</v>
      </c>
      <c r="V74" s="293" t="s">
        <v>705</v>
      </c>
      <c r="W74" s="137">
        <f>N18^2/None+P18^2/Ntwo</f>
        <v>31.581269632551667</v>
      </c>
      <c r="X74" s="137"/>
      <c r="Y74" s="264"/>
      <c r="AB74" s="3">
        <v>0</v>
      </c>
      <c r="AC74" s="1">
        <f t="shared" si="8"/>
        <v>0</v>
      </c>
      <c r="AD74" s="1">
        <f t="shared" si="9"/>
        <v>47.769230769230766</v>
      </c>
      <c r="AE74" s="1">
        <f t="shared" si="11"/>
        <v>3.1</v>
      </c>
      <c r="AF74" s="1">
        <f t="shared" si="10"/>
        <v>47.769230769230766</v>
      </c>
    </row>
    <row r="75" spans="5:32" ht="11.25" customHeight="1" x14ac:dyDescent="0.2">
      <c r="E75" s="117">
        <v>69</v>
      </c>
      <c r="F75" s="321"/>
      <c r="G75" s="723"/>
      <c r="H75" s="724">
        <v>69</v>
      </c>
      <c r="I75" s="321"/>
      <c r="J75" s="9"/>
      <c r="M75" s="1">
        <v>0.8</v>
      </c>
      <c r="N75" s="1" t="e">
        <f t="shared" si="6"/>
        <v>#N/A</v>
      </c>
      <c r="O75" s="1">
        <v>2.2000000000000002</v>
      </c>
      <c r="P75" s="1" t="e">
        <f t="shared" si="7"/>
        <v>#N/A</v>
      </c>
      <c r="V75" s="293" t="s">
        <v>706</v>
      </c>
      <c r="W75" s="137">
        <f>SQRT(W74)</f>
        <v>5.6197214906569588</v>
      </c>
      <c r="X75" s="137"/>
      <c r="Y75" s="264"/>
      <c r="AB75" s="3">
        <v>-1</v>
      </c>
      <c r="AC75" s="1">
        <f t="shared" si="8"/>
        <v>-5</v>
      </c>
      <c r="AD75" s="1">
        <f t="shared" si="9"/>
        <v>42.769230769230766</v>
      </c>
      <c r="AE75" s="1">
        <f t="shared" si="11"/>
        <v>3.1</v>
      </c>
      <c r="AF75" s="1">
        <f t="shared" si="10"/>
        <v>42.769230769230766</v>
      </c>
    </row>
    <row r="76" spans="5:32" ht="11.25" customHeight="1" x14ac:dyDescent="0.2">
      <c r="E76" s="117">
        <v>70</v>
      </c>
      <c r="F76" s="321"/>
      <c r="G76" s="723"/>
      <c r="H76" s="724">
        <v>70</v>
      </c>
      <c r="I76" s="321"/>
      <c r="J76" s="9"/>
      <c r="K76" s="45"/>
      <c r="L76" s="45"/>
      <c r="M76" s="1">
        <v>0.8</v>
      </c>
      <c r="N76" s="1" t="e">
        <f t="shared" si="6"/>
        <v>#N/A</v>
      </c>
      <c r="O76" s="1">
        <v>2.2000000000000002</v>
      </c>
      <c r="P76" s="1" t="e">
        <f t="shared" si="7"/>
        <v>#N/A</v>
      </c>
      <c r="V76" s="293" t="s">
        <v>707</v>
      </c>
      <c r="W76" s="137">
        <f>(P17-N17)/W75</f>
        <v>2.2159445932854709</v>
      </c>
      <c r="X76" s="349"/>
      <c r="Y76" s="264"/>
      <c r="AB76" s="3">
        <v>-2</v>
      </c>
      <c r="AC76" s="1">
        <f t="shared" si="8"/>
        <v>-10</v>
      </c>
      <c r="AD76" s="1">
        <f t="shared" si="9"/>
        <v>37.769230769230766</v>
      </c>
      <c r="AE76" s="1">
        <f t="shared" si="11"/>
        <v>3.1</v>
      </c>
      <c r="AF76" s="1">
        <f t="shared" si="10"/>
        <v>37.769230769230766</v>
      </c>
    </row>
    <row r="77" spans="5:32" ht="11.25" customHeight="1" x14ac:dyDescent="0.2">
      <c r="E77" s="117">
        <v>71</v>
      </c>
      <c r="F77" s="321"/>
      <c r="G77" s="723"/>
      <c r="H77" s="724">
        <v>71</v>
      </c>
      <c r="I77" s="321"/>
      <c r="J77" s="9"/>
      <c r="M77" s="1">
        <v>0.8</v>
      </c>
      <c r="N77" s="1" t="e">
        <f t="shared" si="6"/>
        <v>#N/A</v>
      </c>
      <c r="O77" s="1">
        <v>2.2000000000000002</v>
      </c>
      <c r="P77" s="1" t="e">
        <f t="shared" si="7"/>
        <v>#N/A</v>
      </c>
      <c r="V77" s="293" t="s">
        <v>708</v>
      </c>
      <c r="W77" s="137">
        <f>W74^2/(N18^4/(None^2*(None-1))+P18^4/(Ntwo^2*(Ntwo-1)))</f>
        <v>19.501969191372805</v>
      </c>
      <c r="X77" s="137"/>
      <c r="Y77" s="264"/>
      <c r="AB77" s="3">
        <v>-3</v>
      </c>
      <c r="AC77" s="1">
        <f t="shared" si="8"/>
        <v>-15</v>
      </c>
      <c r="AD77" s="1">
        <f t="shared" si="9"/>
        <v>32.769230769230766</v>
      </c>
      <c r="AE77" s="1">
        <f t="shared" si="11"/>
        <v>3.1</v>
      </c>
      <c r="AF77" s="1">
        <f t="shared" si="10"/>
        <v>32.769230769230766</v>
      </c>
    </row>
    <row r="78" spans="5:32" ht="11.25" customHeight="1" x14ac:dyDescent="0.2">
      <c r="E78" s="117">
        <v>72</v>
      </c>
      <c r="F78" s="321"/>
      <c r="G78" s="723"/>
      <c r="H78" s="724">
        <v>72</v>
      </c>
      <c r="I78" s="321"/>
      <c r="J78" s="9"/>
      <c r="K78" s="45"/>
      <c r="L78" s="45"/>
      <c r="M78" s="1">
        <v>0.8</v>
      </c>
      <c r="N78" s="1" t="e">
        <f t="shared" si="6"/>
        <v>#N/A</v>
      </c>
      <c r="O78" s="1">
        <v>2.2000000000000002</v>
      </c>
      <c r="P78" s="1" t="e">
        <f t="shared" si="7"/>
        <v>#N/A</v>
      </c>
      <c r="V78" s="293" t="s">
        <v>710</v>
      </c>
      <c r="W78" s="137">
        <f>TDIST(ABS(W76),ROUNDDOWN(W77,0),2)</f>
        <v>3.9101921730837055E-2</v>
      </c>
      <c r="X78" s="137">
        <f>TINV((1-P10/100),ROUNDDOWN(W77,0))</f>
        <v>2.0930240544083087</v>
      </c>
      <c r="Y78" s="264" t="s">
        <v>726</v>
      </c>
      <c r="AB78" s="3">
        <v>-4</v>
      </c>
      <c r="AC78" s="1">
        <f t="shared" si="8"/>
        <v>-20</v>
      </c>
      <c r="AD78" s="1">
        <f t="shared" si="9"/>
        <v>27.769230769230766</v>
      </c>
      <c r="AE78" s="1">
        <f t="shared" si="11"/>
        <v>3.1</v>
      </c>
      <c r="AF78" s="1" t="e">
        <f t="shared" si="10"/>
        <v>#N/A</v>
      </c>
    </row>
    <row r="79" spans="5:32" ht="11.25" customHeight="1" x14ac:dyDescent="0.2">
      <c r="E79" s="117">
        <v>73</v>
      </c>
      <c r="F79" s="321"/>
      <c r="G79" s="723"/>
      <c r="H79" s="724">
        <v>73</v>
      </c>
      <c r="I79" s="321"/>
      <c r="J79" s="9"/>
      <c r="M79" s="1">
        <v>0.8</v>
      </c>
      <c r="N79" s="1" t="e">
        <f t="shared" si="6"/>
        <v>#N/A</v>
      </c>
      <c r="O79" s="1">
        <v>2.2000000000000002</v>
      </c>
      <c r="P79" s="1" t="e">
        <f t="shared" si="7"/>
        <v>#N/A</v>
      </c>
      <c r="V79" s="293" t="s">
        <v>711</v>
      </c>
      <c r="W79" s="137">
        <f>TDIST(ABS(W76),ROUNDUP(W77,0),2)</f>
        <v>3.8456794179728734E-2</v>
      </c>
      <c r="X79" s="137">
        <f>TINV((1-P10/100),ROUNDUP(W77,0))</f>
        <v>2.0859634472658648</v>
      </c>
      <c r="Y79" s="264" t="s">
        <v>727</v>
      </c>
      <c r="AB79" s="3">
        <v>-5</v>
      </c>
      <c r="AC79" s="1">
        <f t="shared" si="8"/>
        <v>-25</v>
      </c>
      <c r="AD79" s="1">
        <f t="shared" si="9"/>
        <v>22.769230769230766</v>
      </c>
      <c r="AE79" s="1">
        <f t="shared" si="11"/>
        <v>3.1</v>
      </c>
      <c r="AF79" s="1" t="e">
        <f t="shared" si="10"/>
        <v>#N/A</v>
      </c>
    </row>
    <row r="80" spans="5:32" ht="11.25" customHeight="1" x14ac:dyDescent="0.2">
      <c r="E80" s="117">
        <v>74</v>
      </c>
      <c r="F80" s="321"/>
      <c r="G80" s="723"/>
      <c r="H80" s="724">
        <v>74</v>
      </c>
      <c r="I80" s="321"/>
      <c r="J80" s="9"/>
      <c r="K80" s="45"/>
      <c r="L80" s="45"/>
      <c r="M80" s="1">
        <v>0.8</v>
      </c>
      <c r="N80" s="1" t="e">
        <f t="shared" si="6"/>
        <v>#N/A</v>
      </c>
      <c r="O80" s="1">
        <v>2.2000000000000002</v>
      </c>
      <c r="P80" s="1" t="e">
        <f t="shared" si="7"/>
        <v>#N/A</v>
      </c>
      <c r="V80" s="293" t="s">
        <v>712</v>
      </c>
      <c r="W80" s="137">
        <f>W77-ROUNDDOWN(W77,0)</f>
        <v>0.5019691913728046</v>
      </c>
      <c r="X80" s="137"/>
      <c r="Y80" s="264"/>
      <c r="AB80" s="3">
        <v>-6</v>
      </c>
      <c r="AC80" s="1">
        <f t="shared" si="8"/>
        <v>-30</v>
      </c>
      <c r="AD80" s="1">
        <f t="shared" si="9"/>
        <v>17.769230769230766</v>
      </c>
      <c r="AE80" s="1">
        <f t="shared" si="11"/>
        <v>3.1</v>
      </c>
      <c r="AF80" s="1" t="e">
        <f t="shared" si="10"/>
        <v>#N/A</v>
      </c>
    </row>
    <row r="81" spans="5:32" ht="11.25" customHeight="1" x14ac:dyDescent="0.2">
      <c r="E81" s="117">
        <v>75</v>
      </c>
      <c r="F81" s="321"/>
      <c r="G81" s="723"/>
      <c r="H81" s="724">
        <v>75</v>
      </c>
      <c r="I81" s="321"/>
      <c r="J81" s="9"/>
      <c r="M81" s="1">
        <v>0.8</v>
      </c>
      <c r="N81" s="1" t="e">
        <f t="shared" si="6"/>
        <v>#N/A</v>
      </c>
      <c r="O81" s="1">
        <v>2.2000000000000002</v>
      </c>
      <c r="P81" s="1" t="e">
        <f t="shared" si="7"/>
        <v>#N/A</v>
      </c>
      <c r="V81" s="293" t="s">
        <v>709</v>
      </c>
      <c r="W81" s="137">
        <f>W79*$W$80+W78*(1-$W$80)</f>
        <v>3.8778087575674892E-2</v>
      </c>
      <c r="X81" s="137">
        <f>X79*$W$80+X78*(1-$W$80)</f>
        <v>2.089479847150415</v>
      </c>
      <c r="Y81" s="264" t="s">
        <v>728</v>
      </c>
      <c r="AB81" s="3">
        <v>-7</v>
      </c>
      <c r="AC81" s="1">
        <f t="shared" si="8"/>
        <v>-35</v>
      </c>
      <c r="AD81" s="1">
        <f t="shared" si="9"/>
        <v>12.769230769230766</v>
      </c>
      <c r="AE81" s="1">
        <f t="shared" si="11"/>
        <v>3.1</v>
      </c>
      <c r="AF81" s="1" t="e">
        <f t="shared" si="10"/>
        <v>#N/A</v>
      </c>
    </row>
    <row r="82" spans="5:32" ht="11.25" customHeight="1" x14ac:dyDescent="0.2">
      <c r="E82" s="117">
        <v>76</v>
      </c>
      <c r="F82" s="321"/>
      <c r="G82" s="723"/>
      <c r="H82" s="724">
        <v>76</v>
      </c>
      <c r="I82" s="321"/>
      <c r="J82" s="9"/>
      <c r="K82" s="45"/>
      <c r="L82" s="45"/>
      <c r="M82" s="1">
        <v>0.8</v>
      </c>
      <c r="N82" s="1" t="e">
        <f t="shared" si="6"/>
        <v>#N/A</v>
      </c>
      <c r="O82" s="1">
        <v>2.2000000000000002</v>
      </c>
      <c r="P82" s="1" t="e">
        <f t="shared" si="7"/>
        <v>#N/A</v>
      </c>
      <c r="V82" s="295" t="s">
        <v>724</v>
      </c>
      <c r="W82" s="52">
        <f>X81*W75</f>
        <v>11.742294801325805</v>
      </c>
      <c r="X82" s="350"/>
      <c r="Y82" s="148"/>
      <c r="AB82" s="3">
        <v>-8</v>
      </c>
      <c r="AC82" s="1">
        <f t="shared" si="8"/>
        <v>-40</v>
      </c>
      <c r="AD82" s="1">
        <f t="shared" si="9"/>
        <v>7.7692307692307665</v>
      </c>
      <c r="AE82" s="1">
        <f t="shared" si="11"/>
        <v>3.1</v>
      </c>
      <c r="AF82" s="1" t="e">
        <f t="shared" si="10"/>
        <v>#N/A</v>
      </c>
    </row>
    <row r="83" spans="5:32" ht="11.25" customHeight="1" x14ac:dyDescent="0.2">
      <c r="E83" s="117">
        <v>77</v>
      </c>
      <c r="F83" s="321"/>
      <c r="G83" s="723"/>
      <c r="H83" s="724">
        <v>77</v>
      </c>
      <c r="I83" s="321"/>
      <c r="J83" s="9"/>
      <c r="M83" s="1">
        <v>0.8</v>
      </c>
      <c r="N83" s="1" t="e">
        <f t="shared" si="6"/>
        <v>#N/A</v>
      </c>
      <c r="O83" s="1">
        <v>2.2000000000000002</v>
      </c>
      <c r="P83" s="1" t="e">
        <f t="shared" si="7"/>
        <v>#N/A</v>
      </c>
      <c r="AB83" s="3">
        <v>-9</v>
      </c>
      <c r="AC83" s="1">
        <f t="shared" si="8"/>
        <v>-45</v>
      </c>
      <c r="AD83" s="1">
        <f t="shared" si="9"/>
        <v>2.7692307692307665</v>
      </c>
      <c r="AE83" s="1">
        <f t="shared" si="11"/>
        <v>3.1</v>
      </c>
      <c r="AF83" s="1" t="e">
        <f t="shared" si="10"/>
        <v>#N/A</v>
      </c>
    </row>
    <row r="84" spans="5:32" ht="11.25" customHeight="1" x14ac:dyDescent="0.2">
      <c r="E84" s="117">
        <v>78</v>
      </c>
      <c r="F84" s="321"/>
      <c r="G84" s="723"/>
      <c r="H84" s="724">
        <v>78</v>
      </c>
      <c r="I84" s="321"/>
      <c r="J84" s="9"/>
      <c r="K84" s="45"/>
      <c r="L84" s="45"/>
      <c r="M84" s="1">
        <v>0.8</v>
      </c>
      <c r="N84" s="1" t="e">
        <f t="shared" si="6"/>
        <v>#N/A</v>
      </c>
      <c r="O84" s="1">
        <v>2.2000000000000002</v>
      </c>
      <c r="P84" s="1" t="e">
        <f t="shared" si="7"/>
        <v>#N/A</v>
      </c>
      <c r="AB84" s="3">
        <v>-10</v>
      </c>
      <c r="AC84" s="1">
        <f t="shared" si="8"/>
        <v>-50</v>
      </c>
      <c r="AD84" s="1">
        <f t="shared" si="9"/>
        <v>-2.2307692307692335</v>
      </c>
      <c r="AE84" s="1">
        <f t="shared" si="11"/>
        <v>3.1</v>
      </c>
      <c r="AF84" s="1" t="e">
        <f t="shared" si="10"/>
        <v>#N/A</v>
      </c>
    </row>
    <row r="85" spans="5:32" ht="11.25" customHeight="1" x14ac:dyDescent="0.2">
      <c r="E85" s="117">
        <v>79</v>
      </c>
      <c r="F85" s="321"/>
      <c r="G85" s="723"/>
      <c r="H85" s="724">
        <v>79</v>
      </c>
      <c r="I85" s="321"/>
      <c r="J85" s="9"/>
      <c r="M85" s="1">
        <v>0.8</v>
      </c>
      <c r="N85" s="1" t="e">
        <f t="shared" ref="N85:N116" si="12">IF(AND($W$56,NOT(F39=""),$W$54),F39,NA())</f>
        <v>#N/A</v>
      </c>
      <c r="O85" s="1">
        <v>2.2000000000000002</v>
      </c>
      <c r="P85" s="1" t="e">
        <f t="shared" ref="P85:P116" si="13">IF(AND($W$56,NOT(I39=""),$W$55),I39,NA())</f>
        <v>#N/A</v>
      </c>
    </row>
    <row r="86" spans="5:32" ht="11.25" customHeight="1" x14ac:dyDescent="0.2">
      <c r="E86" s="117">
        <v>80</v>
      </c>
      <c r="F86" s="321"/>
      <c r="G86" s="723"/>
      <c r="H86" s="724">
        <v>80</v>
      </c>
      <c r="I86" s="321"/>
      <c r="J86" s="9"/>
      <c r="K86" s="45"/>
      <c r="L86" s="45"/>
      <c r="M86" s="1">
        <v>0.8</v>
      </c>
      <c r="N86" s="1" t="e">
        <f t="shared" si="12"/>
        <v>#N/A</v>
      </c>
      <c r="O86" s="1">
        <v>2.2000000000000002</v>
      </c>
      <c r="P86" s="1" t="e">
        <f t="shared" si="13"/>
        <v>#N/A</v>
      </c>
    </row>
    <row r="87" spans="5:32" ht="11.25" customHeight="1" x14ac:dyDescent="0.2">
      <c r="E87" s="117">
        <v>81</v>
      </c>
      <c r="F87" s="321"/>
      <c r="G87" s="723"/>
      <c r="H87" s="724">
        <v>81</v>
      </c>
      <c r="I87" s="321"/>
      <c r="J87" s="9"/>
      <c r="M87" s="1">
        <v>0.8</v>
      </c>
      <c r="N87" s="1" t="e">
        <f t="shared" si="12"/>
        <v>#N/A</v>
      </c>
      <c r="O87" s="1">
        <v>2.2000000000000002</v>
      </c>
      <c r="P87" s="1" t="e">
        <f t="shared" si="13"/>
        <v>#N/A</v>
      </c>
    </row>
    <row r="88" spans="5:32" ht="11.25" customHeight="1" x14ac:dyDescent="0.2">
      <c r="E88" s="117">
        <v>82</v>
      </c>
      <c r="F88" s="321"/>
      <c r="G88" s="723"/>
      <c r="H88" s="724">
        <v>82</v>
      </c>
      <c r="I88" s="321"/>
      <c r="J88" s="9"/>
      <c r="K88" s="45"/>
      <c r="L88" s="45"/>
      <c r="M88" s="1">
        <v>0.8</v>
      </c>
      <c r="N88" s="1" t="e">
        <f t="shared" si="12"/>
        <v>#N/A</v>
      </c>
      <c r="O88" s="1">
        <v>2.2000000000000002</v>
      </c>
      <c r="P88" s="1" t="e">
        <f t="shared" si="13"/>
        <v>#N/A</v>
      </c>
    </row>
    <row r="89" spans="5:32" ht="11.25" customHeight="1" x14ac:dyDescent="0.2">
      <c r="E89" s="117">
        <v>83</v>
      </c>
      <c r="F89" s="321"/>
      <c r="G89" s="723"/>
      <c r="H89" s="724">
        <v>83</v>
      </c>
      <c r="I89" s="321"/>
      <c r="J89" s="9"/>
      <c r="M89" s="1">
        <v>0.8</v>
      </c>
      <c r="N89" s="1" t="e">
        <f t="shared" si="12"/>
        <v>#N/A</v>
      </c>
      <c r="O89" s="1">
        <v>2.2000000000000002</v>
      </c>
      <c r="P89" s="1" t="e">
        <f t="shared" si="13"/>
        <v>#N/A</v>
      </c>
    </row>
    <row r="90" spans="5:32" ht="11.25" customHeight="1" x14ac:dyDescent="0.2">
      <c r="E90" s="117">
        <v>84</v>
      </c>
      <c r="F90" s="321"/>
      <c r="G90" s="723"/>
      <c r="H90" s="724">
        <v>84</v>
      </c>
      <c r="I90" s="321"/>
      <c r="J90" s="9"/>
      <c r="K90" s="45"/>
      <c r="L90" s="45"/>
      <c r="M90" s="1">
        <v>0.8</v>
      </c>
      <c r="N90" s="1" t="e">
        <f t="shared" si="12"/>
        <v>#N/A</v>
      </c>
      <c r="O90" s="1">
        <v>2.2000000000000002</v>
      </c>
      <c r="P90" s="1" t="e">
        <f t="shared" si="13"/>
        <v>#N/A</v>
      </c>
    </row>
    <row r="91" spans="5:32" ht="11.25" customHeight="1" x14ac:dyDescent="0.2">
      <c r="E91" s="117">
        <v>85</v>
      </c>
      <c r="F91" s="321"/>
      <c r="G91" s="723"/>
      <c r="H91" s="724">
        <v>85</v>
      </c>
      <c r="I91" s="321"/>
      <c r="J91" s="9"/>
      <c r="M91" s="1">
        <v>0.8</v>
      </c>
      <c r="N91" s="1" t="e">
        <f t="shared" si="12"/>
        <v>#N/A</v>
      </c>
      <c r="O91" s="1">
        <v>2.2000000000000002</v>
      </c>
      <c r="P91" s="1" t="e">
        <f t="shared" si="13"/>
        <v>#N/A</v>
      </c>
    </row>
    <row r="92" spans="5:32" ht="11.25" customHeight="1" x14ac:dyDescent="0.2">
      <c r="E92" s="117">
        <v>86</v>
      </c>
      <c r="F92" s="321"/>
      <c r="G92" s="723"/>
      <c r="H92" s="724">
        <v>86</v>
      </c>
      <c r="I92" s="321"/>
      <c r="J92" s="9"/>
      <c r="K92" s="45"/>
      <c r="L92" s="45"/>
      <c r="M92" s="1">
        <v>0.8</v>
      </c>
      <c r="N92" s="1" t="e">
        <f t="shared" si="12"/>
        <v>#N/A</v>
      </c>
      <c r="O92" s="1">
        <v>2.2000000000000002</v>
      </c>
      <c r="P92" s="1" t="e">
        <f t="shared" si="13"/>
        <v>#N/A</v>
      </c>
    </row>
    <row r="93" spans="5:32" ht="11.25" customHeight="1" x14ac:dyDescent="0.2">
      <c r="E93" s="117">
        <v>87</v>
      </c>
      <c r="F93" s="321"/>
      <c r="G93" s="723"/>
      <c r="H93" s="724">
        <v>87</v>
      </c>
      <c r="I93" s="321"/>
      <c r="J93" s="9"/>
      <c r="M93" s="1">
        <v>0.8</v>
      </c>
      <c r="N93" s="1" t="e">
        <f t="shared" si="12"/>
        <v>#N/A</v>
      </c>
      <c r="O93" s="1">
        <v>2.2000000000000002</v>
      </c>
      <c r="P93" s="1" t="e">
        <f t="shared" si="13"/>
        <v>#N/A</v>
      </c>
    </row>
    <row r="94" spans="5:32" ht="11.25" customHeight="1" x14ac:dyDescent="0.2">
      <c r="E94" s="117">
        <v>88</v>
      </c>
      <c r="F94" s="321"/>
      <c r="G94" s="723"/>
      <c r="H94" s="724">
        <v>88</v>
      </c>
      <c r="I94" s="321"/>
      <c r="J94" s="9"/>
      <c r="K94" s="45"/>
      <c r="L94" s="45"/>
      <c r="M94" s="1">
        <v>0.8</v>
      </c>
      <c r="N94" s="1" t="e">
        <f t="shared" si="12"/>
        <v>#N/A</v>
      </c>
      <c r="O94" s="1">
        <v>2.2000000000000002</v>
      </c>
      <c r="P94" s="1" t="e">
        <f t="shared" si="13"/>
        <v>#N/A</v>
      </c>
    </row>
    <row r="95" spans="5:32" ht="11.25" customHeight="1" x14ac:dyDescent="0.2">
      <c r="E95" s="117">
        <v>89</v>
      </c>
      <c r="F95" s="321"/>
      <c r="G95" s="723"/>
      <c r="H95" s="724">
        <v>89</v>
      </c>
      <c r="I95" s="321"/>
      <c r="J95" s="9"/>
      <c r="M95" s="1">
        <v>0.8</v>
      </c>
      <c r="N95" s="1" t="e">
        <f t="shared" si="12"/>
        <v>#N/A</v>
      </c>
      <c r="O95" s="1">
        <v>2.2000000000000002</v>
      </c>
      <c r="P95" s="1" t="e">
        <f t="shared" si="13"/>
        <v>#N/A</v>
      </c>
    </row>
    <row r="96" spans="5:32" ht="11.25" customHeight="1" x14ac:dyDescent="0.2">
      <c r="E96" s="117">
        <v>90</v>
      </c>
      <c r="F96" s="321"/>
      <c r="G96" s="723"/>
      <c r="H96" s="724">
        <v>90</v>
      </c>
      <c r="I96" s="321"/>
      <c r="J96" s="9"/>
      <c r="K96" s="45"/>
      <c r="L96" s="45"/>
      <c r="M96" s="1">
        <v>0.8</v>
      </c>
      <c r="N96" s="1" t="e">
        <f t="shared" si="12"/>
        <v>#N/A</v>
      </c>
      <c r="O96" s="1">
        <v>2.2000000000000002</v>
      </c>
      <c r="P96" s="1" t="e">
        <f t="shared" si="13"/>
        <v>#N/A</v>
      </c>
    </row>
    <row r="97" spans="5:16" ht="11.25" customHeight="1" x14ac:dyDescent="0.2">
      <c r="E97" s="117">
        <v>91</v>
      </c>
      <c r="F97" s="321"/>
      <c r="G97" s="723"/>
      <c r="H97" s="724">
        <v>91</v>
      </c>
      <c r="I97" s="321"/>
      <c r="J97" s="9"/>
      <c r="M97" s="1">
        <v>0.8</v>
      </c>
      <c r="N97" s="1" t="e">
        <f t="shared" si="12"/>
        <v>#N/A</v>
      </c>
      <c r="O97" s="1">
        <v>2.2000000000000002</v>
      </c>
      <c r="P97" s="1" t="e">
        <f t="shared" si="13"/>
        <v>#N/A</v>
      </c>
    </row>
    <row r="98" spans="5:16" ht="11.25" customHeight="1" x14ac:dyDescent="0.2">
      <c r="E98" s="117">
        <v>92</v>
      </c>
      <c r="F98" s="321"/>
      <c r="G98" s="723"/>
      <c r="H98" s="724">
        <v>92</v>
      </c>
      <c r="I98" s="321"/>
      <c r="J98" s="9"/>
      <c r="K98" s="45"/>
      <c r="L98" s="45"/>
      <c r="M98" s="1">
        <v>0.8</v>
      </c>
      <c r="N98" s="1" t="e">
        <f t="shared" si="12"/>
        <v>#N/A</v>
      </c>
      <c r="O98" s="1">
        <v>2.2000000000000002</v>
      </c>
      <c r="P98" s="1" t="e">
        <f t="shared" si="13"/>
        <v>#N/A</v>
      </c>
    </row>
    <row r="99" spans="5:16" ht="11.25" customHeight="1" x14ac:dyDescent="0.2">
      <c r="E99" s="117">
        <v>93</v>
      </c>
      <c r="F99" s="321"/>
      <c r="G99" s="723"/>
      <c r="H99" s="724">
        <v>93</v>
      </c>
      <c r="I99" s="321"/>
      <c r="J99" s="9"/>
      <c r="M99" s="1">
        <v>0.8</v>
      </c>
      <c r="N99" s="1" t="e">
        <f t="shared" si="12"/>
        <v>#N/A</v>
      </c>
      <c r="O99" s="1">
        <v>2.2000000000000002</v>
      </c>
      <c r="P99" s="1" t="e">
        <f t="shared" si="13"/>
        <v>#N/A</v>
      </c>
    </row>
    <row r="100" spans="5:16" ht="11.25" customHeight="1" x14ac:dyDescent="0.2">
      <c r="E100" s="117">
        <v>94</v>
      </c>
      <c r="F100" s="321"/>
      <c r="G100" s="723"/>
      <c r="H100" s="724">
        <v>94</v>
      </c>
      <c r="I100" s="321"/>
      <c r="J100" s="9"/>
      <c r="K100" s="45"/>
      <c r="L100" s="45"/>
      <c r="M100" s="1">
        <v>0.8</v>
      </c>
      <c r="N100" s="1" t="e">
        <f t="shared" si="12"/>
        <v>#N/A</v>
      </c>
      <c r="O100" s="1">
        <v>2.2000000000000002</v>
      </c>
      <c r="P100" s="1" t="e">
        <f t="shared" si="13"/>
        <v>#N/A</v>
      </c>
    </row>
    <row r="101" spans="5:16" ht="11.25" customHeight="1" x14ac:dyDescent="0.2">
      <c r="E101" s="117">
        <v>95</v>
      </c>
      <c r="F101" s="321"/>
      <c r="G101" s="723"/>
      <c r="H101" s="724">
        <v>95</v>
      </c>
      <c r="I101" s="321"/>
      <c r="J101" s="9"/>
      <c r="M101" s="1">
        <v>0.8</v>
      </c>
      <c r="N101" s="1" t="e">
        <f t="shared" si="12"/>
        <v>#N/A</v>
      </c>
      <c r="O101" s="1">
        <v>2.2000000000000002</v>
      </c>
      <c r="P101" s="1" t="e">
        <f t="shared" si="13"/>
        <v>#N/A</v>
      </c>
    </row>
    <row r="102" spans="5:16" ht="11.25" customHeight="1" x14ac:dyDescent="0.2">
      <c r="E102" s="117">
        <v>96</v>
      </c>
      <c r="F102" s="321"/>
      <c r="G102" s="723"/>
      <c r="H102" s="724">
        <v>96</v>
      </c>
      <c r="I102" s="321"/>
      <c r="J102" s="9"/>
      <c r="K102" s="45"/>
      <c r="L102" s="45"/>
      <c r="M102" s="1">
        <v>0.8</v>
      </c>
      <c r="N102" s="1" t="e">
        <f t="shared" si="12"/>
        <v>#N/A</v>
      </c>
      <c r="O102" s="1">
        <v>2.2000000000000002</v>
      </c>
      <c r="P102" s="1" t="e">
        <f t="shared" si="13"/>
        <v>#N/A</v>
      </c>
    </row>
    <row r="103" spans="5:16" ht="11.25" customHeight="1" x14ac:dyDescent="0.2">
      <c r="E103" s="117">
        <v>97</v>
      </c>
      <c r="F103" s="321"/>
      <c r="G103" s="723"/>
      <c r="H103" s="724">
        <v>97</v>
      </c>
      <c r="I103" s="321"/>
      <c r="J103" s="9"/>
      <c r="M103" s="1">
        <v>0.8</v>
      </c>
      <c r="N103" s="1" t="e">
        <f t="shared" si="12"/>
        <v>#N/A</v>
      </c>
      <c r="O103" s="1">
        <v>2.2000000000000002</v>
      </c>
      <c r="P103" s="1" t="e">
        <f t="shared" si="13"/>
        <v>#N/A</v>
      </c>
    </row>
    <row r="104" spans="5:16" ht="11.25" customHeight="1" x14ac:dyDescent="0.2">
      <c r="E104" s="117">
        <v>98</v>
      </c>
      <c r="F104" s="321"/>
      <c r="G104" s="723"/>
      <c r="H104" s="724">
        <v>98</v>
      </c>
      <c r="I104" s="321"/>
      <c r="J104" s="9"/>
      <c r="K104" s="45"/>
      <c r="L104" s="45"/>
      <c r="M104" s="1">
        <v>0.8</v>
      </c>
      <c r="N104" s="1" t="e">
        <f t="shared" si="12"/>
        <v>#N/A</v>
      </c>
      <c r="O104" s="1">
        <v>2.2000000000000002</v>
      </c>
      <c r="P104" s="1" t="e">
        <f t="shared" si="13"/>
        <v>#N/A</v>
      </c>
    </row>
    <row r="105" spans="5:16" ht="11.25" customHeight="1" x14ac:dyDescent="0.2">
      <c r="E105" s="117">
        <v>99</v>
      </c>
      <c r="F105" s="321"/>
      <c r="G105" s="723"/>
      <c r="H105" s="724">
        <v>99</v>
      </c>
      <c r="I105" s="321"/>
      <c r="J105" s="9"/>
      <c r="M105" s="1">
        <v>0.8</v>
      </c>
      <c r="N105" s="1" t="e">
        <f t="shared" si="12"/>
        <v>#N/A</v>
      </c>
      <c r="O105" s="1">
        <v>2.2000000000000002</v>
      </c>
      <c r="P105" s="1" t="e">
        <f t="shared" si="13"/>
        <v>#N/A</v>
      </c>
    </row>
    <row r="106" spans="5:16" ht="11.25" customHeight="1" x14ac:dyDescent="0.2">
      <c r="E106" s="117">
        <v>100</v>
      </c>
      <c r="F106" s="321"/>
      <c r="G106" s="723"/>
      <c r="H106" s="724">
        <v>100</v>
      </c>
      <c r="I106" s="321"/>
      <c r="J106" s="135"/>
      <c r="K106" s="45"/>
      <c r="L106" s="45"/>
      <c r="M106" s="1">
        <v>0.8</v>
      </c>
      <c r="N106" s="1" t="e">
        <f t="shared" si="12"/>
        <v>#N/A</v>
      </c>
      <c r="O106" s="1">
        <v>2.2000000000000002</v>
      </c>
      <c r="P106" s="1" t="e">
        <f t="shared" si="13"/>
        <v>#N/A</v>
      </c>
    </row>
    <row r="107" spans="5:16" ht="11.25" customHeight="1" x14ac:dyDescent="0.2">
      <c r="E107" s="117">
        <v>101</v>
      </c>
      <c r="F107" s="321"/>
      <c r="G107" s="723"/>
      <c r="H107" s="724">
        <v>101</v>
      </c>
      <c r="I107" s="321"/>
      <c r="J107" s="135"/>
      <c r="M107" s="1">
        <v>0.8</v>
      </c>
      <c r="N107" s="1" t="e">
        <f t="shared" si="12"/>
        <v>#N/A</v>
      </c>
      <c r="O107" s="1">
        <v>2.2000000000000002</v>
      </c>
      <c r="P107" s="1" t="e">
        <f t="shared" si="13"/>
        <v>#N/A</v>
      </c>
    </row>
    <row r="108" spans="5:16" ht="11.25" customHeight="1" x14ac:dyDescent="0.2">
      <c r="E108" s="117">
        <v>102</v>
      </c>
      <c r="F108" s="321"/>
      <c r="G108" s="723"/>
      <c r="H108" s="724">
        <v>102</v>
      </c>
      <c r="I108" s="321"/>
      <c r="J108" s="135"/>
      <c r="K108" s="45"/>
      <c r="L108" s="45"/>
      <c r="M108" s="1">
        <v>0.8</v>
      </c>
      <c r="N108" s="1" t="e">
        <f t="shared" si="12"/>
        <v>#N/A</v>
      </c>
      <c r="O108" s="1">
        <v>2.2000000000000002</v>
      </c>
      <c r="P108" s="1" t="e">
        <f t="shared" si="13"/>
        <v>#N/A</v>
      </c>
    </row>
    <row r="109" spans="5:16" ht="11.25" customHeight="1" x14ac:dyDescent="0.2">
      <c r="E109" s="117">
        <v>103</v>
      </c>
      <c r="F109" s="321"/>
      <c r="G109" s="723"/>
      <c r="H109" s="724">
        <v>103</v>
      </c>
      <c r="I109" s="321"/>
      <c r="J109" s="135"/>
      <c r="M109" s="1">
        <v>0.8</v>
      </c>
      <c r="N109" s="1" t="e">
        <f t="shared" si="12"/>
        <v>#N/A</v>
      </c>
      <c r="O109" s="1">
        <v>2.2000000000000002</v>
      </c>
      <c r="P109" s="1" t="e">
        <f t="shared" si="13"/>
        <v>#N/A</v>
      </c>
    </row>
    <row r="110" spans="5:16" ht="11.25" customHeight="1" x14ac:dyDescent="0.2">
      <c r="E110" s="117">
        <v>104</v>
      </c>
      <c r="F110" s="321"/>
      <c r="G110" s="723"/>
      <c r="H110" s="724">
        <v>104</v>
      </c>
      <c r="I110" s="321"/>
      <c r="J110" s="135"/>
      <c r="K110" s="45"/>
      <c r="L110" s="45"/>
      <c r="M110" s="1">
        <v>0.8</v>
      </c>
      <c r="N110" s="1" t="e">
        <f t="shared" si="12"/>
        <v>#N/A</v>
      </c>
      <c r="O110" s="1">
        <v>2.2000000000000002</v>
      </c>
      <c r="P110" s="1" t="e">
        <f t="shared" si="13"/>
        <v>#N/A</v>
      </c>
    </row>
    <row r="111" spans="5:16" ht="11.25" customHeight="1" x14ac:dyDescent="0.2">
      <c r="E111" s="117">
        <v>105</v>
      </c>
      <c r="F111" s="321"/>
      <c r="G111" s="723"/>
      <c r="H111" s="724">
        <v>105</v>
      </c>
      <c r="I111" s="321"/>
      <c r="J111" s="135"/>
      <c r="M111" s="1">
        <v>0.8</v>
      </c>
      <c r="N111" s="1" t="e">
        <f t="shared" si="12"/>
        <v>#N/A</v>
      </c>
      <c r="O111" s="1">
        <v>2.2000000000000002</v>
      </c>
      <c r="P111" s="1" t="e">
        <f t="shared" si="13"/>
        <v>#N/A</v>
      </c>
    </row>
    <row r="112" spans="5:16" ht="11.25" customHeight="1" x14ac:dyDescent="0.2">
      <c r="E112" s="117">
        <v>106</v>
      </c>
      <c r="F112" s="321"/>
      <c r="G112" s="723"/>
      <c r="H112" s="724">
        <v>106</v>
      </c>
      <c r="I112" s="321"/>
      <c r="J112" s="135"/>
      <c r="K112" s="45"/>
      <c r="L112" s="45"/>
      <c r="M112" s="1">
        <v>0.8</v>
      </c>
      <c r="N112" s="1" t="e">
        <f t="shared" si="12"/>
        <v>#N/A</v>
      </c>
      <c r="O112" s="1">
        <v>2.2000000000000002</v>
      </c>
      <c r="P112" s="1" t="e">
        <f t="shared" si="13"/>
        <v>#N/A</v>
      </c>
    </row>
    <row r="113" spans="5:16" ht="11.25" customHeight="1" x14ac:dyDescent="0.2">
      <c r="E113" s="117">
        <v>107</v>
      </c>
      <c r="F113" s="320"/>
      <c r="G113" s="723"/>
      <c r="H113" s="724">
        <v>107</v>
      </c>
      <c r="I113" s="321"/>
      <c r="J113" s="135"/>
      <c r="M113" s="1">
        <v>0.8</v>
      </c>
      <c r="N113" s="1" t="e">
        <f t="shared" si="12"/>
        <v>#N/A</v>
      </c>
      <c r="O113" s="1">
        <v>2.2000000000000002</v>
      </c>
      <c r="P113" s="1" t="e">
        <f t="shared" si="13"/>
        <v>#N/A</v>
      </c>
    </row>
    <row r="114" spans="5:16" ht="11.25" customHeight="1" x14ac:dyDescent="0.2">
      <c r="E114" s="117">
        <v>108</v>
      </c>
      <c r="F114" s="320"/>
      <c r="G114" s="723"/>
      <c r="H114" s="724">
        <v>108</v>
      </c>
      <c r="I114" s="321"/>
      <c r="J114" s="135"/>
      <c r="L114" s="45"/>
      <c r="M114" s="1">
        <v>0.8</v>
      </c>
      <c r="N114" s="1" t="e">
        <f t="shared" si="12"/>
        <v>#N/A</v>
      </c>
      <c r="O114" s="1">
        <v>2.2000000000000002</v>
      </c>
      <c r="P114" s="1" t="e">
        <f t="shared" si="13"/>
        <v>#N/A</v>
      </c>
    </row>
    <row r="115" spans="5:16" ht="11.25" customHeight="1" x14ac:dyDescent="0.2">
      <c r="E115" s="117">
        <v>109</v>
      </c>
      <c r="F115" s="320"/>
      <c r="G115" s="723"/>
      <c r="H115" s="724">
        <v>109</v>
      </c>
      <c r="I115" s="321"/>
      <c r="J115" s="135"/>
      <c r="M115" s="1">
        <v>0.8</v>
      </c>
      <c r="N115" s="1" t="e">
        <f t="shared" si="12"/>
        <v>#N/A</v>
      </c>
      <c r="O115" s="1">
        <v>2.2000000000000002</v>
      </c>
      <c r="P115" s="1" t="e">
        <f t="shared" si="13"/>
        <v>#N/A</v>
      </c>
    </row>
    <row r="116" spans="5:16" ht="11.25" customHeight="1" x14ac:dyDescent="0.2">
      <c r="E116" s="117">
        <v>110</v>
      </c>
      <c r="F116" s="320"/>
      <c r="G116" s="723"/>
      <c r="H116" s="724">
        <v>110</v>
      </c>
      <c r="I116" s="321"/>
      <c r="J116" s="135"/>
      <c r="L116" s="45"/>
      <c r="M116" s="1">
        <v>0.8</v>
      </c>
      <c r="N116" s="1" t="e">
        <f t="shared" si="12"/>
        <v>#N/A</v>
      </c>
      <c r="O116" s="1">
        <v>2.2000000000000002</v>
      </c>
      <c r="P116" s="1" t="e">
        <f t="shared" si="13"/>
        <v>#N/A</v>
      </c>
    </row>
    <row r="117" spans="5:16" ht="11.25" customHeight="1" x14ac:dyDescent="0.2">
      <c r="E117" s="117">
        <v>111</v>
      </c>
      <c r="F117" s="320"/>
      <c r="G117" s="723"/>
      <c r="H117" s="724">
        <v>111</v>
      </c>
      <c r="I117" s="321"/>
      <c r="J117" s="135"/>
      <c r="M117" s="1">
        <v>0.8</v>
      </c>
      <c r="N117" s="1" t="e">
        <f t="shared" ref="N117:N148" si="14">IF(AND($W$56,NOT(F71=""),$W$54),F71,NA())</f>
        <v>#N/A</v>
      </c>
      <c r="O117" s="1">
        <v>2.2000000000000002</v>
      </c>
      <c r="P117" s="1" t="e">
        <f t="shared" ref="P117:P148" si="15">IF(AND($W$56,NOT(I71=""),$W$55),I71,NA())</f>
        <v>#N/A</v>
      </c>
    </row>
    <row r="118" spans="5:16" ht="11.25" customHeight="1" x14ac:dyDescent="0.2">
      <c r="E118" s="117">
        <v>112</v>
      </c>
      <c r="F118" s="320"/>
      <c r="G118" s="723"/>
      <c r="H118" s="724">
        <v>112</v>
      </c>
      <c r="I118" s="321"/>
      <c r="J118" s="135"/>
      <c r="L118" s="45"/>
      <c r="M118" s="1">
        <v>0.8</v>
      </c>
      <c r="N118" s="1" t="e">
        <f t="shared" si="14"/>
        <v>#N/A</v>
      </c>
      <c r="O118" s="1">
        <v>2.2000000000000002</v>
      </c>
      <c r="P118" s="1" t="e">
        <f t="shared" si="15"/>
        <v>#N/A</v>
      </c>
    </row>
    <row r="119" spans="5:16" ht="11.25" customHeight="1" x14ac:dyDescent="0.2">
      <c r="E119" s="117">
        <v>113</v>
      </c>
      <c r="F119" s="320"/>
      <c r="G119" s="723"/>
      <c r="H119" s="724">
        <v>113</v>
      </c>
      <c r="I119" s="321"/>
      <c r="J119" s="135"/>
      <c r="M119" s="1">
        <v>0.8</v>
      </c>
      <c r="N119" s="1" t="e">
        <f t="shared" si="14"/>
        <v>#N/A</v>
      </c>
      <c r="O119" s="1">
        <v>2.2000000000000002</v>
      </c>
      <c r="P119" s="1" t="e">
        <f t="shared" si="15"/>
        <v>#N/A</v>
      </c>
    </row>
    <row r="120" spans="5:16" ht="11.25" customHeight="1" x14ac:dyDescent="0.2">
      <c r="E120" s="117">
        <v>114</v>
      </c>
      <c r="F120" s="320"/>
      <c r="G120" s="723"/>
      <c r="H120" s="724">
        <v>114</v>
      </c>
      <c r="I120" s="321"/>
      <c r="J120" s="135"/>
      <c r="L120" s="45"/>
      <c r="M120" s="1">
        <v>0.8</v>
      </c>
      <c r="N120" s="1" t="e">
        <f t="shared" si="14"/>
        <v>#N/A</v>
      </c>
      <c r="O120" s="1">
        <v>2.2000000000000002</v>
      </c>
      <c r="P120" s="1" t="e">
        <f t="shared" si="15"/>
        <v>#N/A</v>
      </c>
    </row>
    <row r="121" spans="5:16" ht="11.25" customHeight="1" x14ac:dyDescent="0.2">
      <c r="E121" s="117">
        <v>115</v>
      </c>
      <c r="F121" s="320"/>
      <c r="G121" s="723"/>
      <c r="H121" s="724">
        <v>115</v>
      </c>
      <c r="I121" s="321"/>
      <c r="J121" s="135"/>
      <c r="M121" s="1">
        <v>0.8</v>
      </c>
      <c r="N121" s="1" t="e">
        <f t="shared" si="14"/>
        <v>#N/A</v>
      </c>
      <c r="O121" s="1">
        <v>2.2000000000000002</v>
      </c>
      <c r="P121" s="1" t="e">
        <f t="shared" si="15"/>
        <v>#N/A</v>
      </c>
    </row>
    <row r="122" spans="5:16" ht="11.25" customHeight="1" x14ac:dyDescent="0.2">
      <c r="E122" s="117">
        <v>116</v>
      </c>
      <c r="F122" s="320"/>
      <c r="G122" s="723"/>
      <c r="H122" s="724">
        <v>116</v>
      </c>
      <c r="I122" s="321"/>
      <c r="J122" s="135"/>
      <c r="L122" s="45"/>
      <c r="M122" s="1">
        <v>0.8</v>
      </c>
      <c r="N122" s="1" t="e">
        <f t="shared" si="14"/>
        <v>#N/A</v>
      </c>
      <c r="O122" s="1">
        <v>2.2000000000000002</v>
      </c>
      <c r="P122" s="1" t="e">
        <f t="shared" si="15"/>
        <v>#N/A</v>
      </c>
    </row>
    <row r="123" spans="5:16" ht="11.25" customHeight="1" x14ac:dyDescent="0.2">
      <c r="E123" s="117">
        <v>117</v>
      </c>
      <c r="F123" s="320"/>
      <c r="G123" s="723"/>
      <c r="H123" s="724">
        <v>117</v>
      </c>
      <c r="I123" s="321"/>
      <c r="J123" s="135"/>
      <c r="M123" s="1">
        <v>0.8</v>
      </c>
      <c r="N123" s="1" t="e">
        <f t="shared" si="14"/>
        <v>#N/A</v>
      </c>
      <c r="O123" s="1">
        <v>2.2000000000000002</v>
      </c>
      <c r="P123" s="1" t="e">
        <f t="shared" si="15"/>
        <v>#N/A</v>
      </c>
    </row>
    <row r="124" spans="5:16" ht="11.25" customHeight="1" x14ac:dyDescent="0.2">
      <c r="E124" s="117">
        <v>118</v>
      </c>
      <c r="F124" s="320"/>
      <c r="G124" s="723"/>
      <c r="H124" s="724">
        <v>118</v>
      </c>
      <c r="I124" s="321"/>
      <c r="J124" s="135"/>
      <c r="M124" s="1">
        <v>0.8</v>
      </c>
      <c r="N124" s="1" t="e">
        <f t="shared" si="14"/>
        <v>#N/A</v>
      </c>
      <c r="O124" s="1">
        <v>2.2000000000000002</v>
      </c>
      <c r="P124" s="1" t="e">
        <f t="shared" si="15"/>
        <v>#N/A</v>
      </c>
    </row>
    <row r="125" spans="5:16" ht="11.25" customHeight="1" x14ac:dyDescent="0.2">
      <c r="E125" s="117">
        <v>119</v>
      </c>
      <c r="F125" s="320"/>
      <c r="G125" s="723"/>
      <c r="H125" s="724">
        <v>119</v>
      </c>
      <c r="I125" s="321"/>
      <c r="J125" s="135"/>
      <c r="M125" s="1">
        <v>0.8</v>
      </c>
      <c r="N125" s="1" t="e">
        <f t="shared" si="14"/>
        <v>#N/A</v>
      </c>
      <c r="O125" s="1">
        <v>2.2000000000000002</v>
      </c>
      <c r="P125" s="1" t="e">
        <f t="shared" si="15"/>
        <v>#N/A</v>
      </c>
    </row>
    <row r="126" spans="5:16" ht="11.25" customHeight="1" x14ac:dyDescent="0.2">
      <c r="E126" s="117">
        <v>120</v>
      </c>
      <c r="F126" s="320"/>
      <c r="G126" s="723"/>
      <c r="H126" s="724">
        <v>120</v>
      </c>
      <c r="I126" s="321"/>
      <c r="J126" s="135"/>
      <c r="M126" s="1">
        <v>0.8</v>
      </c>
      <c r="N126" s="1" t="e">
        <f t="shared" si="14"/>
        <v>#N/A</v>
      </c>
      <c r="O126" s="1">
        <v>2.2000000000000002</v>
      </c>
      <c r="P126" s="1" t="e">
        <f t="shared" si="15"/>
        <v>#N/A</v>
      </c>
    </row>
    <row r="127" spans="5:16" ht="11.25" customHeight="1" x14ac:dyDescent="0.2">
      <c r="E127" s="117">
        <v>121</v>
      </c>
      <c r="F127" s="320"/>
      <c r="G127" s="723"/>
      <c r="H127" s="724">
        <v>121</v>
      </c>
      <c r="I127" s="321"/>
      <c r="J127" s="135"/>
      <c r="M127" s="1">
        <v>0.8</v>
      </c>
      <c r="N127" s="1" t="e">
        <f t="shared" si="14"/>
        <v>#N/A</v>
      </c>
      <c r="O127" s="1">
        <v>2.2000000000000002</v>
      </c>
      <c r="P127" s="1" t="e">
        <f t="shared" si="15"/>
        <v>#N/A</v>
      </c>
    </row>
    <row r="128" spans="5:16" ht="11.25" customHeight="1" x14ac:dyDescent="0.2">
      <c r="E128" s="117">
        <v>122</v>
      </c>
      <c r="F128" s="320"/>
      <c r="G128" s="723"/>
      <c r="H128" s="724">
        <v>122</v>
      </c>
      <c r="I128" s="321"/>
      <c r="J128" s="135"/>
      <c r="M128" s="1">
        <v>0.8</v>
      </c>
      <c r="N128" s="1" t="e">
        <f t="shared" si="14"/>
        <v>#N/A</v>
      </c>
      <c r="O128" s="1">
        <v>2.2000000000000002</v>
      </c>
      <c r="P128" s="1" t="e">
        <f t="shared" si="15"/>
        <v>#N/A</v>
      </c>
    </row>
    <row r="129" spans="5:16" ht="11.25" customHeight="1" x14ac:dyDescent="0.2">
      <c r="E129" s="117">
        <v>123</v>
      </c>
      <c r="F129" s="320"/>
      <c r="G129" s="723"/>
      <c r="H129" s="724">
        <v>123</v>
      </c>
      <c r="I129" s="321"/>
      <c r="J129" s="135"/>
      <c r="M129" s="1">
        <v>0.8</v>
      </c>
      <c r="N129" s="1" t="e">
        <f t="shared" si="14"/>
        <v>#N/A</v>
      </c>
      <c r="O129" s="1">
        <v>2.2000000000000002</v>
      </c>
      <c r="P129" s="1" t="e">
        <f t="shared" si="15"/>
        <v>#N/A</v>
      </c>
    </row>
    <row r="130" spans="5:16" ht="11.25" customHeight="1" x14ac:dyDescent="0.2">
      <c r="E130" s="117">
        <v>124</v>
      </c>
      <c r="F130" s="320"/>
      <c r="G130" s="723"/>
      <c r="H130" s="724">
        <v>124</v>
      </c>
      <c r="I130" s="321"/>
      <c r="J130" s="135"/>
      <c r="M130" s="1">
        <v>0.8</v>
      </c>
      <c r="N130" s="1" t="e">
        <f t="shared" si="14"/>
        <v>#N/A</v>
      </c>
      <c r="O130" s="1">
        <v>2.2000000000000002</v>
      </c>
      <c r="P130" s="1" t="e">
        <f t="shared" si="15"/>
        <v>#N/A</v>
      </c>
    </row>
    <row r="131" spans="5:16" ht="11.25" customHeight="1" x14ac:dyDescent="0.2">
      <c r="E131" s="117">
        <v>125</v>
      </c>
      <c r="F131" s="320"/>
      <c r="G131" s="723"/>
      <c r="H131" s="724">
        <v>125</v>
      </c>
      <c r="I131" s="321"/>
      <c r="J131" s="135"/>
      <c r="M131" s="1">
        <v>0.8</v>
      </c>
      <c r="N131" s="1" t="e">
        <f t="shared" si="14"/>
        <v>#N/A</v>
      </c>
      <c r="O131" s="1">
        <v>2.2000000000000002</v>
      </c>
      <c r="P131" s="1" t="e">
        <f t="shared" si="15"/>
        <v>#N/A</v>
      </c>
    </row>
    <row r="132" spans="5:16" ht="11.25" customHeight="1" x14ac:dyDescent="0.2">
      <c r="E132" s="117">
        <v>126</v>
      </c>
      <c r="F132" s="320"/>
      <c r="G132" s="723"/>
      <c r="H132" s="724">
        <v>126</v>
      </c>
      <c r="I132" s="321"/>
      <c r="J132" s="135"/>
      <c r="M132" s="1">
        <v>0.8</v>
      </c>
      <c r="N132" s="1" t="e">
        <f t="shared" si="14"/>
        <v>#N/A</v>
      </c>
      <c r="O132" s="1">
        <v>2.2000000000000002</v>
      </c>
      <c r="P132" s="1" t="e">
        <f t="shared" si="15"/>
        <v>#N/A</v>
      </c>
    </row>
    <row r="133" spans="5:16" ht="11.25" customHeight="1" x14ac:dyDescent="0.2">
      <c r="E133" s="117">
        <v>127</v>
      </c>
      <c r="F133" s="320"/>
      <c r="G133" s="723"/>
      <c r="H133" s="724">
        <v>127</v>
      </c>
      <c r="I133" s="321"/>
      <c r="J133" s="135"/>
      <c r="M133" s="1">
        <v>0.8</v>
      </c>
      <c r="N133" s="1" t="e">
        <f t="shared" si="14"/>
        <v>#N/A</v>
      </c>
      <c r="O133" s="1">
        <v>2.2000000000000002</v>
      </c>
      <c r="P133" s="1" t="e">
        <f t="shared" si="15"/>
        <v>#N/A</v>
      </c>
    </row>
    <row r="134" spans="5:16" ht="11.25" customHeight="1" x14ac:dyDescent="0.2">
      <c r="E134" s="117">
        <v>128</v>
      </c>
      <c r="F134" s="320"/>
      <c r="G134" s="723"/>
      <c r="H134" s="724">
        <v>128</v>
      </c>
      <c r="I134" s="321"/>
      <c r="J134" s="135"/>
      <c r="M134" s="1">
        <v>0.8</v>
      </c>
      <c r="N134" s="1" t="e">
        <f t="shared" si="14"/>
        <v>#N/A</v>
      </c>
      <c r="O134" s="1">
        <v>2.2000000000000002</v>
      </c>
      <c r="P134" s="1" t="e">
        <f t="shared" si="15"/>
        <v>#N/A</v>
      </c>
    </row>
    <row r="135" spans="5:16" ht="11.25" customHeight="1" x14ac:dyDescent="0.2">
      <c r="E135" s="117">
        <v>129</v>
      </c>
      <c r="F135" s="320"/>
      <c r="G135" s="723"/>
      <c r="H135" s="724">
        <v>129</v>
      </c>
      <c r="I135" s="321"/>
      <c r="J135" s="135"/>
      <c r="M135" s="1">
        <v>0.8</v>
      </c>
      <c r="N135" s="1" t="e">
        <f t="shared" si="14"/>
        <v>#N/A</v>
      </c>
      <c r="O135" s="1">
        <v>2.2000000000000002</v>
      </c>
      <c r="P135" s="1" t="e">
        <f t="shared" si="15"/>
        <v>#N/A</v>
      </c>
    </row>
    <row r="136" spans="5:16" ht="11.25" customHeight="1" x14ac:dyDescent="0.2">
      <c r="E136" s="117">
        <v>130</v>
      </c>
      <c r="F136" s="320"/>
      <c r="G136" s="723"/>
      <c r="H136" s="724">
        <v>130</v>
      </c>
      <c r="I136" s="321"/>
      <c r="J136" s="135"/>
      <c r="M136" s="1">
        <v>0.8</v>
      </c>
      <c r="N136" s="1" t="e">
        <f t="shared" si="14"/>
        <v>#N/A</v>
      </c>
      <c r="O136" s="1">
        <v>2.2000000000000002</v>
      </c>
      <c r="P136" s="1" t="e">
        <f t="shared" si="15"/>
        <v>#N/A</v>
      </c>
    </row>
    <row r="137" spans="5:16" ht="11.25" customHeight="1" x14ac:dyDescent="0.2">
      <c r="E137" s="117">
        <v>131</v>
      </c>
      <c r="F137" s="320"/>
      <c r="G137" s="723"/>
      <c r="H137" s="724">
        <v>131</v>
      </c>
      <c r="I137" s="321"/>
      <c r="J137" s="135"/>
      <c r="M137" s="1">
        <v>0.8</v>
      </c>
      <c r="N137" s="1" t="e">
        <f t="shared" si="14"/>
        <v>#N/A</v>
      </c>
      <c r="O137" s="1">
        <v>2.2000000000000002</v>
      </c>
      <c r="P137" s="1" t="e">
        <f t="shared" si="15"/>
        <v>#N/A</v>
      </c>
    </row>
    <row r="138" spans="5:16" ht="11.25" customHeight="1" x14ac:dyDescent="0.2">
      <c r="E138" s="117">
        <v>132</v>
      </c>
      <c r="F138" s="320"/>
      <c r="G138" s="723"/>
      <c r="H138" s="724">
        <v>132</v>
      </c>
      <c r="I138" s="321"/>
      <c r="J138" s="135"/>
      <c r="M138" s="1">
        <v>0.8</v>
      </c>
      <c r="N138" s="1" t="e">
        <f t="shared" si="14"/>
        <v>#N/A</v>
      </c>
      <c r="O138" s="1">
        <v>2.2000000000000002</v>
      </c>
      <c r="P138" s="1" t="e">
        <f t="shared" si="15"/>
        <v>#N/A</v>
      </c>
    </row>
    <row r="139" spans="5:16" ht="11.25" customHeight="1" x14ac:dyDescent="0.2">
      <c r="E139" s="117">
        <v>133</v>
      </c>
      <c r="F139" s="320"/>
      <c r="G139" s="723"/>
      <c r="H139" s="724">
        <v>133</v>
      </c>
      <c r="I139" s="321"/>
      <c r="J139" s="135"/>
      <c r="M139" s="1">
        <v>0.8</v>
      </c>
      <c r="N139" s="1" t="e">
        <f t="shared" si="14"/>
        <v>#N/A</v>
      </c>
      <c r="O139" s="1">
        <v>2.2000000000000002</v>
      </c>
      <c r="P139" s="1" t="e">
        <f t="shared" si="15"/>
        <v>#N/A</v>
      </c>
    </row>
    <row r="140" spans="5:16" ht="11.25" customHeight="1" x14ac:dyDescent="0.2">
      <c r="E140" s="117">
        <v>134</v>
      </c>
      <c r="F140" s="320"/>
      <c r="G140" s="723"/>
      <c r="H140" s="724">
        <v>134</v>
      </c>
      <c r="I140" s="321"/>
      <c r="J140" s="135"/>
      <c r="M140" s="1">
        <v>0.8</v>
      </c>
      <c r="N140" s="1" t="e">
        <f t="shared" si="14"/>
        <v>#N/A</v>
      </c>
      <c r="O140" s="1">
        <v>2.2000000000000002</v>
      </c>
      <c r="P140" s="1" t="e">
        <f t="shared" si="15"/>
        <v>#N/A</v>
      </c>
    </row>
    <row r="141" spans="5:16" ht="11.25" customHeight="1" x14ac:dyDescent="0.2">
      <c r="E141" s="117">
        <v>135</v>
      </c>
      <c r="F141" s="320"/>
      <c r="G141" s="723"/>
      <c r="H141" s="724">
        <v>135</v>
      </c>
      <c r="I141" s="321"/>
      <c r="J141" s="135"/>
      <c r="M141" s="1">
        <v>0.8</v>
      </c>
      <c r="N141" s="1" t="e">
        <f t="shared" si="14"/>
        <v>#N/A</v>
      </c>
      <c r="O141" s="1">
        <v>2.2000000000000002</v>
      </c>
      <c r="P141" s="1" t="e">
        <f t="shared" si="15"/>
        <v>#N/A</v>
      </c>
    </row>
    <row r="142" spans="5:16" ht="11.25" customHeight="1" x14ac:dyDescent="0.2">
      <c r="E142" s="117">
        <v>136</v>
      </c>
      <c r="F142" s="320"/>
      <c r="G142" s="723"/>
      <c r="H142" s="724">
        <v>136</v>
      </c>
      <c r="I142" s="321"/>
      <c r="J142" s="135"/>
      <c r="M142" s="1">
        <v>0.8</v>
      </c>
      <c r="N142" s="1" t="e">
        <f t="shared" si="14"/>
        <v>#N/A</v>
      </c>
      <c r="O142" s="1">
        <v>2.2000000000000002</v>
      </c>
      <c r="P142" s="1" t="e">
        <f t="shared" si="15"/>
        <v>#N/A</v>
      </c>
    </row>
    <row r="143" spans="5:16" ht="11.25" customHeight="1" x14ac:dyDescent="0.2">
      <c r="E143" s="117">
        <v>137</v>
      </c>
      <c r="F143" s="320"/>
      <c r="G143" s="723"/>
      <c r="H143" s="724">
        <v>137</v>
      </c>
      <c r="I143" s="321"/>
      <c r="J143" s="135"/>
      <c r="M143" s="1">
        <v>0.8</v>
      </c>
      <c r="N143" s="1" t="e">
        <f t="shared" si="14"/>
        <v>#N/A</v>
      </c>
      <c r="O143" s="1">
        <v>2.2000000000000002</v>
      </c>
      <c r="P143" s="1" t="e">
        <f t="shared" si="15"/>
        <v>#N/A</v>
      </c>
    </row>
    <row r="144" spans="5:16" ht="11.25" customHeight="1" x14ac:dyDescent="0.2">
      <c r="E144" s="117">
        <v>138</v>
      </c>
      <c r="F144" s="320"/>
      <c r="G144" s="723"/>
      <c r="H144" s="724">
        <v>138</v>
      </c>
      <c r="I144" s="321"/>
      <c r="J144" s="135"/>
      <c r="M144" s="1">
        <v>0.8</v>
      </c>
      <c r="N144" s="1" t="e">
        <f t="shared" si="14"/>
        <v>#N/A</v>
      </c>
      <c r="O144" s="1">
        <v>2.2000000000000002</v>
      </c>
      <c r="P144" s="1" t="e">
        <f t="shared" si="15"/>
        <v>#N/A</v>
      </c>
    </row>
    <row r="145" spans="5:16" ht="11.25" customHeight="1" x14ac:dyDescent="0.2">
      <c r="E145" s="117">
        <v>139</v>
      </c>
      <c r="F145" s="320"/>
      <c r="G145" s="723"/>
      <c r="H145" s="724">
        <v>139</v>
      </c>
      <c r="I145" s="321"/>
      <c r="J145" s="135"/>
      <c r="M145" s="1">
        <v>0.8</v>
      </c>
      <c r="N145" s="1" t="e">
        <f t="shared" si="14"/>
        <v>#N/A</v>
      </c>
      <c r="O145" s="1">
        <v>2.2000000000000002</v>
      </c>
      <c r="P145" s="1" t="e">
        <f t="shared" si="15"/>
        <v>#N/A</v>
      </c>
    </row>
    <row r="146" spans="5:16" ht="11.25" customHeight="1" x14ac:dyDescent="0.2">
      <c r="E146" s="117">
        <v>140</v>
      </c>
      <c r="F146" s="320"/>
      <c r="G146" s="723"/>
      <c r="H146" s="724">
        <v>140</v>
      </c>
      <c r="I146" s="321"/>
      <c r="J146" s="135"/>
      <c r="M146" s="1">
        <v>0.8</v>
      </c>
      <c r="N146" s="1" t="e">
        <f t="shared" si="14"/>
        <v>#N/A</v>
      </c>
      <c r="O146" s="1">
        <v>2.2000000000000002</v>
      </c>
      <c r="P146" s="1" t="e">
        <f t="shared" si="15"/>
        <v>#N/A</v>
      </c>
    </row>
    <row r="147" spans="5:16" ht="11.25" customHeight="1" x14ac:dyDescent="0.2">
      <c r="E147" s="117">
        <v>141</v>
      </c>
      <c r="F147" s="320"/>
      <c r="G147" s="723"/>
      <c r="H147" s="724">
        <v>141</v>
      </c>
      <c r="I147" s="321"/>
      <c r="J147" s="135"/>
      <c r="M147" s="1">
        <v>0.8</v>
      </c>
      <c r="N147" s="1" t="e">
        <f t="shared" si="14"/>
        <v>#N/A</v>
      </c>
      <c r="O147" s="1">
        <v>2.2000000000000002</v>
      </c>
      <c r="P147" s="1" t="e">
        <f t="shared" si="15"/>
        <v>#N/A</v>
      </c>
    </row>
    <row r="148" spans="5:16" ht="11.25" customHeight="1" x14ac:dyDescent="0.2">
      <c r="E148" s="117">
        <v>142</v>
      </c>
      <c r="F148" s="320"/>
      <c r="G148" s="723"/>
      <c r="H148" s="724">
        <v>142</v>
      </c>
      <c r="I148" s="321"/>
      <c r="J148" s="135"/>
      <c r="M148" s="1">
        <v>0.8</v>
      </c>
      <c r="N148" s="1" t="e">
        <f t="shared" si="14"/>
        <v>#N/A</v>
      </c>
      <c r="O148" s="1">
        <v>2.2000000000000002</v>
      </c>
      <c r="P148" s="1" t="e">
        <f t="shared" si="15"/>
        <v>#N/A</v>
      </c>
    </row>
    <row r="149" spans="5:16" ht="11.25" customHeight="1" x14ac:dyDescent="0.2">
      <c r="E149" s="117">
        <v>143</v>
      </c>
      <c r="F149" s="320"/>
      <c r="G149" s="723"/>
      <c r="H149" s="724">
        <v>143</v>
      </c>
      <c r="I149" s="321"/>
      <c r="J149" s="135"/>
      <c r="M149" s="1">
        <v>0.8</v>
      </c>
      <c r="N149" s="1" t="e">
        <f>IF(AND($W$56,NOT(F103=""),$W$54),F103,NA())</f>
        <v>#N/A</v>
      </c>
      <c r="O149" s="1">
        <v>2.2000000000000002</v>
      </c>
      <c r="P149" s="1" t="e">
        <f>IF(AND($W$56,NOT(I103=""),$W$55),I103,NA())</f>
        <v>#N/A</v>
      </c>
    </row>
    <row r="150" spans="5:16" ht="11.25" customHeight="1" x14ac:dyDescent="0.2">
      <c r="E150" s="117">
        <v>144</v>
      </c>
      <c r="F150" s="320"/>
      <c r="G150" s="723"/>
      <c r="H150" s="724">
        <v>144</v>
      </c>
      <c r="I150" s="321"/>
      <c r="J150" s="135"/>
      <c r="M150" s="1">
        <v>0.8</v>
      </c>
      <c r="N150" s="1" t="e">
        <f>IF(AND($W$56,NOT(F104=""),$W$54),F104,NA())</f>
        <v>#N/A</v>
      </c>
      <c r="O150" s="1">
        <v>2.2000000000000002</v>
      </c>
      <c r="P150" s="1" t="e">
        <f>IF(AND($W$56,NOT(I104=""),$W$55),I104,NA())</f>
        <v>#N/A</v>
      </c>
    </row>
    <row r="151" spans="5:16" ht="11.25" customHeight="1" x14ac:dyDescent="0.2">
      <c r="E151" s="117">
        <v>145</v>
      </c>
      <c r="F151" s="320"/>
      <c r="G151" s="723"/>
      <c r="H151" s="724">
        <v>145</v>
      </c>
      <c r="I151" s="321"/>
      <c r="J151" s="135"/>
      <c r="M151" s="1">
        <v>0.8</v>
      </c>
      <c r="N151" s="1" t="e">
        <f>IF(AND($W$56,NOT(F105=""),$W$54),F105,NA())</f>
        <v>#N/A</v>
      </c>
      <c r="O151" s="1">
        <v>2.2000000000000002</v>
      </c>
      <c r="P151" s="1" t="e">
        <f>IF(AND($W$56,NOT(I105=""),$W$55),I105,NA())</f>
        <v>#N/A</v>
      </c>
    </row>
    <row r="152" spans="5:16" ht="11.25" customHeight="1" x14ac:dyDescent="0.2">
      <c r="E152" s="117">
        <v>146</v>
      </c>
      <c r="F152" s="320"/>
      <c r="G152" s="723"/>
      <c r="H152" s="724">
        <v>146</v>
      </c>
      <c r="I152" s="321"/>
      <c r="J152" s="135"/>
      <c r="M152" s="1">
        <v>0.8</v>
      </c>
      <c r="N152" s="1" t="e">
        <f>IF(AND($W$56,NOT(F106=""),$W$54),F106,NA())</f>
        <v>#N/A</v>
      </c>
      <c r="O152" s="1">
        <v>2.2000000000000002</v>
      </c>
      <c r="P152" s="1" t="e">
        <f>IF(AND($W$56,NOT(I106=""),$W$55),I106,NA())</f>
        <v>#N/A</v>
      </c>
    </row>
    <row r="153" spans="5:16" ht="11.25" customHeight="1" x14ac:dyDescent="0.2">
      <c r="E153" s="117">
        <v>147</v>
      </c>
      <c r="F153" s="320"/>
      <c r="G153" s="723"/>
      <c r="H153" s="724">
        <v>147</v>
      </c>
      <c r="I153" s="321"/>
      <c r="J153" s="135"/>
    </row>
    <row r="154" spans="5:16" ht="11.25" customHeight="1" x14ac:dyDescent="0.2">
      <c r="E154" s="117">
        <v>148</v>
      </c>
      <c r="F154" s="320"/>
      <c r="G154" s="723"/>
      <c r="H154" s="724">
        <v>148</v>
      </c>
      <c r="I154" s="321"/>
      <c r="J154" s="135"/>
    </row>
    <row r="155" spans="5:16" ht="11.25" customHeight="1" x14ac:dyDescent="0.2">
      <c r="E155" s="117">
        <v>149</v>
      </c>
      <c r="F155" s="320"/>
      <c r="G155" s="723"/>
      <c r="H155" s="724">
        <v>149</v>
      </c>
      <c r="I155" s="321"/>
      <c r="J155" s="135"/>
    </row>
    <row r="156" spans="5:16" ht="11.25" customHeight="1" x14ac:dyDescent="0.2">
      <c r="E156" s="117">
        <v>150</v>
      </c>
      <c r="F156" s="320"/>
      <c r="G156" s="723"/>
      <c r="H156" s="724">
        <v>150</v>
      </c>
      <c r="I156" s="321"/>
      <c r="J156" s="135"/>
    </row>
    <row r="157" spans="5:16" ht="11.25" customHeight="1" x14ac:dyDescent="0.2">
      <c r="E157" s="117">
        <v>151</v>
      </c>
      <c r="F157" s="320"/>
      <c r="G157" s="723"/>
      <c r="H157" s="724">
        <v>151</v>
      </c>
      <c r="I157" s="321"/>
      <c r="J157" s="135"/>
    </row>
    <row r="158" spans="5:16" ht="11.25" customHeight="1" x14ac:dyDescent="0.2">
      <c r="E158" s="117">
        <v>152</v>
      </c>
      <c r="F158" s="320"/>
      <c r="G158" s="723"/>
      <c r="H158" s="724">
        <v>152</v>
      </c>
      <c r="I158" s="321"/>
      <c r="J158" s="135"/>
    </row>
    <row r="159" spans="5:16" ht="11.25" customHeight="1" x14ac:dyDescent="0.2">
      <c r="E159" s="117">
        <v>153</v>
      </c>
      <c r="F159" s="320"/>
      <c r="G159" s="723"/>
      <c r="H159" s="724">
        <v>153</v>
      </c>
      <c r="I159" s="321"/>
      <c r="J159" s="135"/>
    </row>
    <row r="160" spans="5:16" ht="11.25" customHeight="1" x14ac:dyDescent="0.2">
      <c r="E160" s="117">
        <v>154</v>
      </c>
      <c r="F160" s="320"/>
      <c r="G160" s="723"/>
      <c r="H160" s="724">
        <v>154</v>
      </c>
      <c r="I160" s="321"/>
      <c r="J160" s="135"/>
    </row>
    <row r="161" spans="5:10" ht="11.25" customHeight="1" x14ac:dyDescent="0.2">
      <c r="E161" s="117">
        <v>155</v>
      </c>
      <c r="F161" s="320"/>
      <c r="G161" s="723"/>
      <c r="H161" s="724">
        <v>155</v>
      </c>
      <c r="I161" s="321"/>
      <c r="J161" s="135"/>
    </row>
    <row r="162" spans="5:10" ht="11.25" customHeight="1" x14ac:dyDescent="0.2">
      <c r="E162" s="117">
        <v>156</v>
      </c>
      <c r="F162" s="320"/>
      <c r="G162" s="723"/>
      <c r="H162" s="724">
        <v>156</v>
      </c>
      <c r="I162" s="321"/>
      <c r="J162" s="135"/>
    </row>
    <row r="163" spans="5:10" ht="11.25" customHeight="1" x14ac:dyDescent="0.2">
      <c r="E163" s="117">
        <v>157</v>
      </c>
      <c r="F163" s="320"/>
      <c r="G163" s="723"/>
      <c r="H163" s="724">
        <v>157</v>
      </c>
      <c r="I163" s="321"/>
      <c r="J163" s="135"/>
    </row>
    <row r="164" spans="5:10" ht="11.25" customHeight="1" x14ac:dyDescent="0.2">
      <c r="E164" s="117">
        <v>158</v>
      </c>
      <c r="F164" s="320"/>
      <c r="G164" s="723"/>
      <c r="H164" s="724">
        <v>158</v>
      </c>
      <c r="I164" s="321"/>
      <c r="J164" s="135"/>
    </row>
    <row r="165" spans="5:10" ht="11.25" customHeight="1" x14ac:dyDescent="0.2">
      <c r="E165" s="117">
        <v>159</v>
      </c>
      <c r="F165" s="320"/>
      <c r="G165" s="723"/>
      <c r="H165" s="724">
        <v>159</v>
      </c>
      <c r="I165" s="321"/>
      <c r="J165" s="135"/>
    </row>
    <row r="166" spans="5:10" ht="11.25" customHeight="1" x14ac:dyDescent="0.2">
      <c r="E166" s="117">
        <v>160</v>
      </c>
      <c r="F166" s="118"/>
      <c r="G166" s="122"/>
      <c r="H166" s="119">
        <v>160</v>
      </c>
      <c r="I166" s="120"/>
      <c r="J166" s="135"/>
    </row>
    <row r="167" spans="5:10" ht="11.25" customHeight="1" x14ac:dyDescent="0.2">
      <c r="E167" s="117">
        <v>161</v>
      </c>
      <c r="F167" s="118"/>
      <c r="G167" s="122"/>
      <c r="H167" s="119">
        <v>161</v>
      </c>
      <c r="I167" s="120"/>
      <c r="J167" s="135"/>
    </row>
    <row r="168" spans="5:10" ht="11.25" customHeight="1" x14ac:dyDescent="0.2">
      <c r="E168" s="117">
        <v>162</v>
      </c>
      <c r="F168" s="118"/>
      <c r="G168" s="122"/>
      <c r="H168" s="119">
        <v>162</v>
      </c>
      <c r="I168" s="120"/>
      <c r="J168" s="135"/>
    </row>
    <row r="169" spans="5:10" ht="11.25" customHeight="1" x14ac:dyDescent="0.2">
      <c r="E169" s="117">
        <v>163</v>
      </c>
      <c r="F169" s="118"/>
      <c r="G169" s="122"/>
      <c r="H169" s="119">
        <v>163</v>
      </c>
      <c r="I169" s="120"/>
      <c r="J169" s="135"/>
    </row>
    <row r="170" spans="5:10" ht="11.25" customHeight="1" x14ac:dyDescent="0.2">
      <c r="E170" s="117">
        <v>164</v>
      </c>
      <c r="F170" s="118"/>
      <c r="G170" s="122"/>
      <c r="H170" s="119">
        <v>164</v>
      </c>
      <c r="I170" s="120"/>
      <c r="J170" s="135"/>
    </row>
    <row r="171" spans="5:10" ht="11.25" customHeight="1" x14ac:dyDescent="0.2">
      <c r="E171" s="117">
        <v>165</v>
      </c>
      <c r="F171" s="118"/>
      <c r="G171" s="122"/>
      <c r="H171" s="119">
        <v>165</v>
      </c>
      <c r="I171" s="120"/>
      <c r="J171" s="135"/>
    </row>
    <row r="172" spans="5:10" ht="11.25" customHeight="1" x14ac:dyDescent="0.2">
      <c r="E172" s="117">
        <v>166</v>
      </c>
      <c r="F172" s="118"/>
      <c r="G172" s="122"/>
      <c r="H172" s="119">
        <v>166</v>
      </c>
      <c r="I172" s="120"/>
      <c r="J172" s="135"/>
    </row>
    <row r="173" spans="5:10" ht="11.25" customHeight="1" x14ac:dyDescent="0.2">
      <c r="E173" s="117">
        <v>167</v>
      </c>
      <c r="F173" s="118"/>
      <c r="G173" s="122"/>
      <c r="H173" s="119">
        <v>167</v>
      </c>
      <c r="I173" s="120"/>
      <c r="J173" s="135"/>
    </row>
    <row r="174" spans="5:10" ht="11.25" customHeight="1" x14ac:dyDescent="0.2">
      <c r="E174" s="117">
        <v>168</v>
      </c>
      <c r="F174" s="118"/>
      <c r="G174" s="122"/>
      <c r="H174" s="119">
        <v>168</v>
      </c>
      <c r="I174" s="120"/>
      <c r="J174" s="135"/>
    </row>
    <row r="175" spans="5:10" ht="11.25" customHeight="1" x14ac:dyDescent="0.2">
      <c r="E175" s="117">
        <v>169</v>
      </c>
      <c r="F175" s="118"/>
      <c r="G175" s="122"/>
      <c r="H175" s="119">
        <v>169</v>
      </c>
      <c r="I175" s="120"/>
      <c r="J175" s="135"/>
    </row>
    <row r="176" spans="5:10" ht="11.25" customHeight="1" x14ac:dyDescent="0.2">
      <c r="E176" s="117">
        <v>170</v>
      </c>
      <c r="F176" s="118"/>
      <c r="G176" s="122"/>
      <c r="H176" s="119">
        <v>170</v>
      </c>
      <c r="I176" s="120"/>
      <c r="J176" s="135"/>
    </row>
    <row r="177" spans="5:10" ht="11.25" customHeight="1" x14ac:dyDescent="0.2">
      <c r="E177" s="117">
        <v>171</v>
      </c>
      <c r="F177" s="118"/>
      <c r="G177" s="122"/>
      <c r="H177" s="119">
        <v>171</v>
      </c>
      <c r="I177" s="120"/>
      <c r="J177" s="135"/>
    </row>
    <row r="178" spans="5:10" ht="11.25" customHeight="1" x14ac:dyDescent="0.2">
      <c r="E178" s="117">
        <v>172</v>
      </c>
      <c r="F178" s="118"/>
      <c r="G178" s="122"/>
      <c r="H178" s="119">
        <v>172</v>
      </c>
      <c r="I178" s="120"/>
      <c r="J178" s="135"/>
    </row>
    <row r="179" spans="5:10" ht="11.25" customHeight="1" x14ac:dyDescent="0.2">
      <c r="E179" s="117">
        <v>173</v>
      </c>
      <c r="F179" s="118"/>
      <c r="G179" s="122"/>
      <c r="H179" s="119">
        <v>173</v>
      </c>
      <c r="I179" s="120"/>
      <c r="J179" s="135"/>
    </row>
    <row r="180" spans="5:10" ht="11.25" customHeight="1" x14ac:dyDescent="0.2">
      <c r="E180" s="117">
        <v>174</v>
      </c>
      <c r="F180" s="118"/>
      <c r="G180" s="122"/>
      <c r="H180" s="119">
        <v>174</v>
      </c>
      <c r="I180" s="120"/>
      <c r="J180" s="135"/>
    </row>
    <row r="181" spans="5:10" ht="11.25" customHeight="1" x14ac:dyDescent="0.2">
      <c r="E181" s="117">
        <v>175</v>
      </c>
      <c r="F181" s="118"/>
      <c r="G181" s="122"/>
      <c r="H181" s="119">
        <v>175</v>
      </c>
      <c r="I181" s="120"/>
      <c r="J181" s="135"/>
    </row>
    <row r="182" spans="5:10" ht="11.25" customHeight="1" x14ac:dyDescent="0.2">
      <c r="E182" s="117">
        <v>176</v>
      </c>
      <c r="F182" s="118"/>
      <c r="G182" s="122"/>
      <c r="H182" s="119">
        <v>176</v>
      </c>
      <c r="I182" s="120"/>
      <c r="J182" s="135"/>
    </row>
    <row r="183" spans="5:10" ht="11.25" customHeight="1" x14ac:dyDescent="0.2">
      <c r="E183" s="117">
        <v>177</v>
      </c>
      <c r="F183" s="118"/>
      <c r="G183" s="122"/>
      <c r="H183" s="119">
        <v>177</v>
      </c>
      <c r="I183" s="120"/>
      <c r="J183" s="135"/>
    </row>
    <row r="184" spans="5:10" ht="11.25" customHeight="1" x14ac:dyDescent="0.2">
      <c r="E184" s="117">
        <v>178</v>
      </c>
      <c r="F184" s="118"/>
      <c r="G184" s="122"/>
      <c r="H184" s="119">
        <v>178</v>
      </c>
      <c r="I184" s="120"/>
      <c r="J184" s="135"/>
    </row>
    <row r="185" spans="5:10" ht="11.25" customHeight="1" x14ac:dyDescent="0.2">
      <c r="E185" s="117">
        <v>179</v>
      </c>
      <c r="F185" s="118"/>
      <c r="G185" s="122"/>
      <c r="H185" s="119">
        <v>179</v>
      </c>
      <c r="I185" s="120"/>
      <c r="J185" s="135"/>
    </row>
    <row r="186" spans="5:10" ht="11.25" customHeight="1" x14ac:dyDescent="0.2">
      <c r="E186" s="117">
        <v>180</v>
      </c>
      <c r="F186" s="118"/>
      <c r="G186" s="122"/>
      <c r="H186" s="119">
        <v>180</v>
      </c>
      <c r="I186" s="120"/>
      <c r="J186" s="135"/>
    </row>
    <row r="187" spans="5:10" ht="11.25" customHeight="1" x14ac:dyDescent="0.2">
      <c r="E187" s="117">
        <v>181</v>
      </c>
      <c r="F187" s="118"/>
      <c r="G187" s="122"/>
      <c r="H187" s="119">
        <v>181</v>
      </c>
      <c r="I187" s="120"/>
      <c r="J187" s="135"/>
    </row>
    <row r="188" spans="5:10" ht="11.25" customHeight="1" x14ac:dyDescent="0.2">
      <c r="E188" s="117">
        <v>182</v>
      </c>
      <c r="F188" s="118"/>
      <c r="G188" s="122"/>
      <c r="H188" s="119">
        <v>182</v>
      </c>
      <c r="I188" s="120"/>
      <c r="J188" s="135"/>
    </row>
    <row r="189" spans="5:10" ht="11.25" customHeight="1" x14ac:dyDescent="0.2">
      <c r="E189" s="117">
        <v>183</v>
      </c>
      <c r="F189" s="118"/>
      <c r="G189" s="122"/>
      <c r="H189" s="119">
        <v>183</v>
      </c>
      <c r="I189" s="120"/>
      <c r="J189" s="135"/>
    </row>
    <row r="190" spans="5:10" ht="11.25" customHeight="1" x14ac:dyDescent="0.2">
      <c r="E190" s="117">
        <v>184</v>
      </c>
      <c r="F190" s="118"/>
      <c r="G190" s="122"/>
      <c r="H190" s="119">
        <v>184</v>
      </c>
      <c r="I190" s="120"/>
      <c r="J190" s="135"/>
    </row>
    <row r="191" spans="5:10" ht="11.25" customHeight="1" x14ac:dyDescent="0.2">
      <c r="E191" s="117">
        <v>185</v>
      </c>
      <c r="F191" s="118"/>
      <c r="G191" s="122"/>
      <c r="H191" s="119">
        <v>185</v>
      </c>
      <c r="I191" s="120"/>
      <c r="J191" s="135"/>
    </row>
    <row r="192" spans="5:10" ht="11.25" customHeight="1" x14ac:dyDescent="0.2">
      <c r="E192" s="117">
        <v>186</v>
      </c>
      <c r="F192" s="118"/>
      <c r="G192" s="122"/>
      <c r="H192" s="119">
        <v>186</v>
      </c>
      <c r="I192" s="120"/>
      <c r="J192" s="135"/>
    </row>
    <row r="193" spans="5:10" ht="11.25" customHeight="1" x14ac:dyDescent="0.2">
      <c r="E193" s="117">
        <v>187</v>
      </c>
      <c r="F193" s="118"/>
      <c r="G193" s="122"/>
      <c r="H193" s="119">
        <v>187</v>
      </c>
      <c r="I193" s="120"/>
      <c r="J193" s="135"/>
    </row>
    <row r="194" spans="5:10" ht="11.25" customHeight="1" x14ac:dyDescent="0.2">
      <c r="E194" s="117">
        <v>188</v>
      </c>
      <c r="F194" s="118"/>
      <c r="G194" s="122"/>
      <c r="H194" s="119">
        <v>188</v>
      </c>
      <c r="I194" s="120"/>
      <c r="J194" s="135"/>
    </row>
    <row r="195" spans="5:10" ht="11.25" customHeight="1" x14ac:dyDescent="0.2">
      <c r="E195" s="117">
        <v>189</v>
      </c>
      <c r="F195" s="118"/>
      <c r="G195" s="122"/>
      <c r="H195" s="119">
        <v>189</v>
      </c>
      <c r="I195" s="120"/>
      <c r="J195" s="135"/>
    </row>
    <row r="196" spans="5:10" ht="11.25" customHeight="1" x14ac:dyDescent="0.2">
      <c r="E196" s="117">
        <v>190</v>
      </c>
      <c r="F196" s="118"/>
      <c r="G196" s="122"/>
      <c r="H196" s="119">
        <v>190</v>
      </c>
      <c r="I196" s="120"/>
      <c r="J196" s="135"/>
    </row>
    <row r="197" spans="5:10" ht="11.25" customHeight="1" x14ac:dyDescent="0.2">
      <c r="E197" s="117">
        <v>191</v>
      </c>
      <c r="F197" s="118"/>
      <c r="G197" s="122"/>
      <c r="H197" s="119">
        <v>191</v>
      </c>
      <c r="I197" s="120"/>
      <c r="J197" s="135"/>
    </row>
    <row r="198" spans="5:10" ht="11.25" customHeight="1" x14ac:dyDescent="0.2">
      <c r="E198" s="117">
        <v>192</v>
      </c>
      <c r="F198" s="118"/>
      <c r="G198" s="122"/>
      <c r="H198" s="119">
        <v>192</v>
      </c>
      <c r="I198" s="120"/>
      <c r="J198" s="135"/>
    </row>
    <row r="199" spans="5:10" ht="11.25" customHeight="1" x14ac:dyDescent="0.2">
      <c r="E199" s="117">
        <v>193</v>
      </c>
      <c r="F199" s="118"/>
      <c r="G199" s="122"/>
      <c r="H199" s="119">
        <v>193</v>
      </c>
      <c r="I199" s="120"/>
      <c r="J199" s="135"/>
    </row>
    <row r="200" spans="5:10" ht="11.25" customHeight="1" x14ac:dyDescent="0.2">
      <c r="E200" s="117">
        <v>194</v>
      </c>
      <c r="F200" s="118"/>
      <c r="G200" s="122"/>
      <c r="H200" s="119">
        <v>194</v>
      </c>
      <c r="I200" s="120"/>
      <c r="J200" s="135"/>
    </row>
    <row r="201" spans="5:10" ht="11.25" customHeight="1" x14ac:dyDescent="0.2">
      <c r="E201" s="117">
        <v>195</v>
      </c>
      <c r="F201" s="118"/>
      <c r="G201" s="122"/>
      <c r="H201" s="119">
        <v>195</v>
      </c>
      <c r="I201" s="120"/>
      <c r="J201" s="135"/>
    </row>
    <row r="202" spans="5:10" ht="11.25" customHeight="1" x14ac:dyDescent="0.2">
      <c r="E202" s="117">
        <v>196</v>
      </c>
      <c r="F202" s="118"/>
      <c r="G202" s="122"/>
      <c r="H202" s="119">
        <v>196</v>
      </c>
      <c r="I202" s="120"/>
      <c r="J202" s="135"/>
    </row>
    <row r="203" spans="5:10" ht="11.25" customHeight="1" x14ac:dyDescent="0.2">
      <c r="E203" s="117">
        <v>197</v>
      </c>
      <c r="F203" s="118"/>
      <c r="G203" s="122"/>
      <c r="H203" s="119">
        <v>197</v>
      </c>
      <c r="I203" s="120"/>
      <c r="J203" s="135"/>
    </row>
    <row r="204" spans="5:10" ht="11.25" customHeight="1" x14ac:dyDescent="0.2">
      <c r="E204" s="117">
        <v>198</v>
      </c>
      <c r="F204" s="118"/>
      <c r="G204" s="122"/>
      <c r="H204" s="119">
        <v>198</v>
      </c>
      <c r="I204" s="120"/>
      <c r="J204" s="135"/>
    </row>
    <row r="205" spans="5:10" ht="11.25" customHeight="1" x14ac:dyDescent="0.2">
      <c r="E205" s="117">
        <v>199</v>
      </c>
      <c r="F205" s="118"/>
      <c r="G205" s="122"/>
      <c r="H205" s="119">
        <v>199</v>
      </c>
      <c r="I205" s="120"/>
      <c r="J205" s="135"/>
    </row>
    <row r="206" spans="5:10" ht="11.25" customHeight="1" x14ac:dyDescent="0.2">
      <c r="E206" s="117">
        <v>200</v>
      </c>
      <c r="F206" s="118"/>
      <c r="G206" s="122"/>
      <c r="H206" s="119">
        <v>200</v>
      </c>
      <c r="I206" s="120"/>
      <c r="J206" s="135"/>
    </row>
    <row r="207" spans="5:10" ht="11.25" customHeight="1" x14ac:dyDescent="0.2">
      <c r="E207" s="117">
        <v>201</v>
      </c>
      <c r="F207" s="118"/>
      <c r="G207" s="122"/>
      <c r="H207" s="119">
        <v>201</v>
      </c>
      <c r="I207" s="120"/>
      <c r="J207" s="135"/>
    </row>
    <row r="208" spans="5:10" ht="11.25" customHeight="1" x14ac:dyDescent="0.2">
      <c r="E208" s="117">
        <v>202</v>
      </c>
      <c r="F208" s="118"/>
      <c r="G208" s="122"/>
      <c r="H208" s="119">
        <v>202</v>
      </c>
      <c r="I208" s="120"/>
      <c r="J208" s="135"/>
    </row>
    <row r="209" spans="5:10" ht="11.25" customHeight="1" x14ac:dyDescent="0.2">
      <c r="E209" s="117">
        <v>203</v>
      </c>
      <c r="F209" s="118"/>
      <c r="G209" s="122"/>
      <c r="H209" s="119">
        <v>203</v>
      </c>
      <c r="I209" s="120"/>
      <c r="J209" s="135"/>
    </row>
    <row r="210" spans="5:10" ht="11.25" customHeight="1" x14ac:dyDescent="0.2">
      <c r="E210" s="117">
        <v>204</v>
      </c>
      <c r="F210" s="118"/>
      <c r="G210" s="122"/>
      <c r="H210" s="119">
        <v>204</v>
      </c>
      <c r="I210" s="120"/>
      <c r="J210" s="135"/>
    </row>
    <row r="211" spans="5:10" ht="11.25" customHeight="1" x14ac:dyDescent="0.2">
      <c r="E211" s="117">
        <v>205</v>
      </c>
      <c r="F211" s="118"/>
      <c r="G211" s="122"/>
      <c r="H211" s="119">
        <v>205</v>
      </c>
      <c r="I211" s="120"/>
      <c r="J211" s="135"/>
    </row>
    <row r="212" spans="5:10" ht="11.25" customHeight="1" x14ac:dyDescent="0.2">
      <c r="E212" s="117">
        <v>206</v>
      </c>
      <c r="F212" s="118"/>
      <c r="G212" s="122"/>
      <c r="H212" s="119">
        <v>206</v>
      </c>
      <c r="I212" s="120"/>
      <c r="J212" s="135"/>
    </row>
    <row r="213" spans="5:10" ht="11.25" customHeight="1" x14ac:dyDescent="0.2">
      <c r="E213" s="117">
        <v>207</v>
      </c>
      <c r="F213" s="118"/>
      <c r="G213" s="122"/>
      <c r="H213" s="119">
        <v>207</v>
      </c>
      <c r="I213" s="120"/>
      <c r="J213" s="135"/>
    </row>
    <row r="214" spans="5:10" ht="11.25" customHeight="1" x14ac:dyDescent="0.2">
      <c r="E214" s="117">
        <v>208</v>
      </c>
      <c r="F214" s="118"/>
      <c r="G214" s="122"/>
      <c r="H214" s="119">
        <v>208</v>
      </c>
      <c r="I214" s="120"/>
      <c r="J214" s="135"/>
    </row>
    <row r="215" spans="5:10" ht="11.25" customHeight="1" x14ac:dyDescent="0.2">
      <c r="E215" s="117">
        <v>209</v>
      </c>
      <c r="F215" s="118"/>
      <c r="G215" s="122"/>
      <c r="H215" s="119">
        <v>209</v>
      </c>
      <c r="I215" s="120"/>
      <c r="J215" s="135"/>
    </row>
    <row r="216" spans="5:10" ht="11.25" customHeight="1" x14ac:dyDescent="0.2">
      <c r="E216" s="117">
        <v>210</v>
      </c>
      <c r="F216" s="118"/>
      <c r="G216" s="122"/>
      <c r="H216" s="119">
        <v>210</v>
      </c>
      <c r="I216" s="120"/>
      <c r="J216" s="135"/>
    </row>
    <row r="217" spans="5:10" ht="11.25" customHeight="1" x14ac:dyDescent="0.2">
      <c r="E217" s="117">
        <v>211</v>
      </c>
      <c r="F217" s="118"/>
      <c r="G217" s="122"/>
      <c r="H217" s="119">
        <v>211</v>
      </c>
      <c r="I217" s="120"/>
      <c r="J217" s="135"/>
    </row>
    <row r="218" spans="5:10" ht="11.25" customHeight="1" x14ac:dyDescent="0.2">
      <c r="E218" s="117">
        <v>212</v>
      </c>
      <c r="F218" s="118"/>
      <c r="G218" s="122"/>
      <c r="H218" s="119">
        <v>212</v>
      </c>
      <c r="I218" s="120"/>
      <c r="J218" s="135"/>
    </row>
    <row r="219" spans="5:10" ht="11.25" customHeight="1" x14ac:dyDescent="0.2">
      <c r="E219" s="117">
        <v>213</v>
      </c>
      <c r="F219" s="118"/>
      <c r="G219" s="122"/>
      <c r="H219" s="119">
        <v>213</v>
      </c>
      <c r="I219" s="120"/>
      <c r="J219" s="135"/>
    </row>
    <row r="220" spans="5:10" ht="11.25" customHeight="1" x14ac:dyDescent="0.2">
      <c r="E220" s="117">
        <v>214</v>
      </c>
      <c r="F220" s="118"/>
      <c r="G220" s="122"/>
      <c r="H220" s="119">
        <v>214</v>
      </c>
      <c r="I220" s="120"/>
      <c r="J220" s="135"/>
    </row>
    <row r="221" spans="5:10" ht="11.25" customHeight="1" x14ac:dyDescent="0.2">
      <c r="E221" s="117">
        <v>215</v>
      </c>
      <c r="F221" s="118"/>
      <c r="G221" s="122"/>
      <c r="H221" s="119">
        <v>215</v>
      </c>
      <c r="I221" s="120"/>
      <c r="J221" s="135"/>
    </row>
    <row r="222" spans="5:10" ht="11.25" customHeight="1" x14ac:dyDescent="0.2">
      <c r="E222" s="117">
        <v>216</v>
      </c>
      <c r="F222" s="118"/>
      <c r="G222" s="122"/>
      <c r="H222" s="119">
        <v>216</v>
      </c>
      <c r="I222" s="120"/>
      <c r="J222" s="135"/>
    </row>
    <row r="223" spans="5:10" ht="11.25" customHeight="1" x14ac:dyDescent="0.2">
      <c r="E223" s="117">
        <v>217</v>
      </c>
      <c r="F223" s="118"/>
      <c r="G223" s="122"/>
      <c r="H223" s="119">
        <v>217</v>
      </c>
      <c r="I223" s="120"/>
      <c r="J223" s="135"/>
    </row>
    <row r="224" spans="5:10" ht="11.25" customHeight="1" x14ac:dyDescent="0.2">
      <c r="E224" s="117">
        <v>218</v>
      </c>
      <c r="F224" s="118"/>
      <c r="G224" s="122"/>
      <c r="H224" s="119">
        <v>218</v>
      </c>
      <c r="I224" s="120"/>
      <c r="J224" s="135"/>
    </row>
    <row r="225" spans="5:10" ht="11.25" customHeight="1" x14ac:dyDescent="0.2">
      <c r="E225" s="117">
        <v>219</v>
      </c>
      <c r="F225" s="118"/>
      <c r="G225" s="122"/>
      <c r="H225" s="119">
        <v>219</v>
      </c>
      <c r="I225" s="120"/>
      <c r="J225" s="135"/>
    </row>
    <row r="226" spans="5:10" ht="11.25" customHeight="1" x14ac:dyDescent="0.2">
      <c r="E226" s="117">
        <v>220</v>
      </c>
      <c r="F226" s="118"/>
      <c r="G226" s="122"/>
      <c r="H226" s="119">
        <v>220</v>
      </c>
      <c r="I226" s="120"/>
      <c r="J226" s="135"/>
    </row>
    <row r="227" spans="5:10" ht="11.25" customHeight="1" x14ac:dyDescent="0.2">
      <c r="E227" s="117">
        <v>221</v>
      </c>
      <c r="F227" s="118"/>
      <c r="G227" s="122"/>
      <c r="H227" s="119">
        <v>221</v>
      </c>
      <c r="I227" s="120"/>
      <c r="J227" s="135"/>
    </row>
    <row r="228" spans="5:10" ht="11.25" customHeight="1" x14ac:dyDescent="0.2">
      <c r="E228" s="117">
        <v>222</v>
      </c>
      <c r="F228" s="118"/>
      <c r="G228" s="122"/>
      <c r="H228" s="119">
        <v>222</v>
      </c>
      <c r="I228" s="120"/>
      <c r="J228" s="135"/>
    </row>
    <row r="229" spans="5:10" ht="11.25" customHeight="1" x14ac:dyDescent="0.2">
      <c r="E229" s="117">
        <v>223</v>
      </c>
      <c r="F229" s="118"/>
      <c r="G229" s="122"/>
      <c r="H229" s="119">
        <v>223</v>
      </c>
      <c r="I229" s="120"/>
      <c r="J229" s="135"/>
    </row>
    <row r="230" spans="5:10" ht="11.25" customHeight="1" x14ac:dyDescent="0.2">
      <c r="E230" s="117">
        <v>224</v>
      </c>
      <c r="F230" s="118"/>
      <c r="G230" s="122"/>
      <c r="H230" s="119">
        <v>224</v>
      </c>
      <c r="I230" s="120"/>
      <c r="J230" s="135"/>
    </row>
    <row r="231" spans="5:10" ht="11.25" customHeight="1" x14ac:dyDescent="0.2">
      <c r="E231" s="117">
        <v>225</v>
      </c>
      <c r="F231" s="118"/>
      <c r="G231" s="122"/>
      <c r="H231" s="119">
        <v>225</v>
      </c>
      <c r="I231" s="120"/>
      <c r="J231" s="135"/>
    </row>
    <row r="232" spans="5:10" ht="11.25" customHeight="1" x14ac:dyDescent="0.2">
      <c r="E232" s="117">
        <v>226</v>
      </c>
      <c r="F232" s="118"/>
      <c r="G232" s="122"/>
      <c r="H232" s="119">
        <v>226</v>
      </c>
      <c r="I232" s="120"/>
      <c r="J232" s="135"/>
    </row>
    <row r="233" spans="5:10" ht="11.25" customHeight="1" x14ac:dyDescent="0.2">
      <c r="E233" s="117">
        <v>227</v>
      </c>
      <c r="F233" s="118"/>
      <c r="G233" s="122"/>
      <c r="H233" s="119">
        <v>227</v>
      </c>
      <c r="I233" s="120"/>
      <c r="J233" s="135"/>
    </row>
    <row r="234" spans="5:10" ht="11.25" customHeight="1" x14ac:dyDescent="0.2">
      <c r="E234" s="117">
        <v>228</v>
      </c>
      <c r="F234" s="118"/>
      <c r="G234" s="122"/>
      <c r="H234" s="119">
        <v>228</v>
      </c>
      <c r="I234" s="120"/>
      <c r="J234" s="135"/>
    </row>
    <row r="235" spans="5:10" ht="11.25" customHeight="1" x14ac:dyDescent="0.2">
      <c r="E235" s="117">
        <v>229</v>
      </c>
      <c r="F235" s="118"/>
      <c r="G235" s="122"/>
      <c r="H235" s="119">
        <v>229</v>
      </c>
      <c r="I235" s="120"/>
      <c r="J235" s="135"/>
    </row>
    <row r="236" spans="5:10" ht="11.25" customHeight="1" x14ac:dyDescent="0.2">
      <c r="E236" s="117">
        <v>230</v>
      </c>
      <c r="F236" s="118"/>
      <c r="G236" s="122"/>
      <c r="H236" s="119">
        <v>230</v>
      </c>
      <c r="I236" s="120"/>
      <c r="J236" s="135"/>
    </row>
    <row r="237" spans="5:10" ht="11.25" customHeight="1" x14ac:dyDescent="0.2">
      <c r="E237" s="117">
        <v>231</v>
      </c>
      <c r="F237" s="118"/>
      <c r="G237" s="122"/>
      <c r="H237" s="119">
        <v>231</v>
      </c>
      <c r="I237" s="120"/>
      <c r="J237" s="135"/>
    </row>
    <row r="238" spans="5:10" ht="11.25" customHeight="1" x14ac:dyDescent="0.2">
      <c r="E238" s="117">
        <v>232</v>
      </c>
      <c r="F238" s="118"/>
      <c r="G238" s="122"/>
      <c r="H238" s="119">
        <v>232</v>
      </c>
      <c r="I238" s="120"/>
      <c r="J238" s="135"/>
    </row>
    <row r="239" spans="5:10" ht="11.25" customHeight="1" x14ac:dyDescent="0.2">
      <c r="E239" s="117">
        <v>233</v>
      </c>
      <c r="F239" s="118"/>
      <c r="G239" s="122"/>
      <c r="H239" s="119">
        <v>233</v>
      </c>
      <c r="I239" s="120"/>
      <c r="J239" s="135"/>
    </row>
    <row r="240" spans="5:10" ht="11.25" customHeight="1" x14ac:dyDescent="0.2">
      <c r="E240" s="117">
        <v>234</v>
      </c>
      <c r="F240" s="118"/>
      <c r="G240" s="122"/>
      <c r="H240" s="119">
        <v>234</v>
      </c>
      <c r="I240" s="120"/>
      <c r="J240" s="135"/>
    </row>
    <row r="241" spans="5:10" ht="11.25" customHeight="1" x14ac:dyDescent="0.2">
      <c r="E241" s="117">
        <v>235</v>
      </c>
      <c r="F241" s="118"/>
      <c r="G241" s="122"/>
      <c r="H241" s="119">
        <v>235</v>
      </c>
      <c r="I241" s="120"/>
      <c r="J241" s="135"/>
    </row>
    <row r="242" spans="5:10" ht="11.25" customHeight="1" x14ac:dyDescent="0.2">
      <c r="E242" s="117">
        <v>236</v>
      </c>
      <c r="F242" s="118"/>
      <c r="G242" s="122"/>
      <c r="H242" s="119">
        <v>236</v>
      </c>
      <c r="I242" s="120"/>
      <c r="J242" s="135"/>
    </row>
    <row r="243" spans="5:10" ht="11.25" customHeight="1" x14ac:dyDescent="0.2">
      <c r="E243" s="117">
        <v>237</v>
      </c>
      <c r="F243" s="118"/>
      <c r="G243" s="122"/>
      <c r="H243" s="119">
        <v>237</v>
      </c>
      <c r="I243" s="120"/>
      <c r="J243" s="135"/>
    </row>
    <row r="244" spans="5:10" ht="11.25" customHeight="1" x14ac:dyDescent="0.2">
      <c r="E244" s="117">
        <v>238</v>
      </c>
      <c r="F244" s="118"/>
      <c r="G244" s="122"/>
      <c r="H244" s="119">
        <v>238</v>
      </c>
      <c r="I244" s="120"/>
      <c r="J244" s="135"/>
    </row>
    <row r="245" spans="5:10" ht="11.25" customHeight="1" x14ac:dyDescent="0.2">
      <c r="E245" s="117">
        <v>239</v>
      </c>
      <c r="F245" s="118"/>
      <c r="G245" s="122"/>
      <c r="H245" s="119">
        <v>239</v>
      </c>
      <c r="I245" s="120"/>
      <c r="J245" s="135"/>
    </row>
    <row r="246" spans="5:10" ht="11.25" customHeight="1" x14ac:dyDescent="0.2">
      <c r="E246" s="117">
        <v>240</v>
      </c>
      <c r="F246" s="118"/>
      <c r="G246" s="122"/>
      <c r="H246" s="119">
        <v>240</v>
      </c>
      <c r="I246" s="120"/>
      <c r="J246" s="135"/>
    </row>
    <row r="247" spans="5:10" ht="11.25" customHeight="1" x14ac:dyDescent="0.2">
      <c r="E247" s="117">
        <v>241</v>
      </c>
      <c r="F247" s="118"/>
      <c r="G247" s="122"/>
      <c r="H247" s="119">
        <v>241</v>
      </c>
      <c r="I247" s="120"/>
      <c r="J247" s="135"/>
    </row>
    <row r="248" spans="5:10" ht="11.25" customHeight="1" x14ac:dyDescent="0.2">
      <c r="E248" s="117">
        <v>242</v>
      </c>
      <c r="F248" s="118"/>
      <c r="G248" s="122"/>
      <c r="H248" s="119">
        <v>242</v>
      </c>
      <c r="I248" s="120"/>
      <c r="J248" s="135"/>
    </row>
    <row r="249" spans="5:10" ht="11.25" customHeight="1" x14ac:dyDescent="0.2">
      <c r="E249" s="117">
        <v>243</v>
      </c>
      <c r="F249" s="118"/>
      <c r="G249" s="122"/>
      <c r="H249" s="119">
        <v>243</v>
      </c>
      <c r="I249" s="120"/>
      <c r="J249" s="135"/>
    </row>
    <row r="250" spans="5:10" ht="11.25" customHeight="1" x14ac:dyDescent="0.2">
      <c r="E250" s="117">
        <v>244</v>
      </c>
      <c r="F250" s="118"/>
      <c r="G250" s="122"/>
      <c r="H250" s="119">
        <v>244</v>
      </c>
      <c r="I250" s="120"/>
      <c r="J250" s="135"/>
    </row>
    <row r="251" spans="5:10" ht="11.25" customHeight="1" x14ac:dyDescent="0.2">
      <c r="E251" s="117">
        <v>245</v>
      </c>
      <c r="F251" s="118"/>
      <c r="G251" s="122"/>
      <c r="H251" s="119">
        <v>245</v>
      </c>
      <c r="I251" s="120"/>
      <c r="J251" s="135"/>
    </row>
    <row r="252" spans="5:10" ht="11.25" customHeight="1" x14ac:dyDescent="0.2">
      <c r="E252" s="117">
        <v>246</v>
      </c>
      <c r="F252" s="118"/>
      <c r="G252" s="122"/>
      <c r="H252" s="119">
        <v>246</v>
      </c>
      <c r="I252" s="120"/>
      <c r="J252" s="135"/>
    </row>
    <row r="253" spans="5:10" ht="11.25" customHeight="1" x14ac:dyDescent="0.2">
      <c r="E253" s="117">
        <v>247</v>
      </c>
      <c r="F253" s="118"/>
      <c r="G253" s="122"/>
      <c r="H253" s="119">
        <v>247</v>
      </c>
      <c r="I253" s="120"/>
      <c r="J253" s="135"/>
    </row>
    <row r="254" spans="5:10" ht="11.25" customHeight="1" x14ac:dyDescent="0.2">
      <c r="E254" s="117">
        <v>248</v>
      </c>
      <c r="F254" s="118"/>
      <c r="G254" s="122"/>
      <c r="H254" s="119">
        <v>248</v>
      </c>
      <c r="I254" s="120"/>
      <c r="J254" s="135"/>
    </row>
    <row r="255" spans="5:10" ht="11.25" customHeight="1" x14ac:dyDescent="0.2">
      <c r="E255" s="117">
        <v>249</v>
      </c>
      <c r="F255" s="118"/>
      <c r="G255" s="122"/>
      <c r="H255" s="119">
        <v>249</v>
      </c>
      <c r="I255" s="120"/>
      <c r="J255" s="135"/>
    </row>
    <row r="256" spans="5:10" ht="11.25" customHeight="1" x14ac:dyDescent="0.2">
      <c r="E256" s="117">
        <v>250</v>
      </c>
      <c r="F256" s="118"/>
      <c r="G256" s="122"/>
      <c r="H256" s="119">
        <v>250</v>
      </c>
      <c r="I256" s="120"/>
      <c r="J256" s="135"/>
    </row>
    <row r="257" spans="5:10" ht="11.25" customHeight="1" x14ac:dyDescent="0.2">
      <c r="E257" s="117">
        <v>251</v>
      </c>
      <c r="F257" s="118"/>
      <c r="G257" s="122"/>
      <c r="H257" s="119">
        <v>251</v>
      </c>
      <c r="I257" s="120"/>
      <c r="J257" s="135"/>
    </row>
    <row r="258" spans="5:10" ht="11.25" customHeight="1" x14ac:dyDescent="0.2">
      <c r="E258" s="117">
        <v>252</v>
      </c>
      <c r="F258" s="118"/>
      <c r="G258" s="122"/>
      <c r="H258" s="119">
        <v>252</v>
      </c>
      <c r="I258" s="120"/>
      <c r="J258" s="135"/>
    </row>
    <row r="259" spans="5:10" ht="11.25" customHeight="1" x14ac:dyDescent="0.2">
      <c r="E259" s="117">
        <v>253</v>
      </c>
      <c r="F259" s="118"/>
      <c r="G259" s="122"/>
      <c r="H259" s="119">
        <v>253</v>
      </c>
      <c r="I259" s="120"/>
      <c r="J259" s="135"/>
    </row>
    <row r="260" spans="5:10" ht="11.25" customHeight="1" x14ac:dyDescent="0.2">
      <c r="E260" s="117">
        <v>254</v>
      </c>
      <c r="F260" s="118"/>
      <c r="G260" s="122"/>
      <c r="H260" s="119">
        <v>254</v>
      </c>
      <c r="I260" s="120"/>
      <c r="J260" s="135"/>
    </row>
    <row r="261" spans="5:10" ht="11.25" customHeight="1" x14ac:dyDescent="0.2">
      <c r="E261" s="117">
        <v>255</v>
      </c>
      <c r="F261" s="118"/>
      <c r="G261" s="122"/>
      <c r="H261" s="119">
        <v>255</v>
      </c>
      <c r="I261" s="120"/>
      <c r="J261" s="135"/>
    </row>
    <row r="262" spans="5:10" ht="11.25" customHeight="1" x14ac:dyDescent="0.2">
      <c r="E262" s="117">
        <v>256</v>
      </c>
      <c r="F262" s="118"/>
      <c r="G262" s="122"/>
      <c r="H262" s="119">
        <v>256</v>
      </c>
      <c r="I262" s="120"/>
      <c r="J262" s="135"/>
    </row>
    <row r="263" spans="5:10" ht="11.25" customHeight="1" x14ac:dyDescent="0.2">
      <c r="E263" s="117">
        <v>257</v>
      </c>
      <c r="F263" s="118"/>
      <c r="G263" s="122"/>
      <c r="H263" s="119">
        <v>257</v>
      </c>
      <c r="I263" s="120"/>
      <c r="J263" s="135"/>
    </row>
    <row r="264" spans="5:10" ht="11.25" customHeight="1" x14ac:dyDescent="0.2">
      <c r="E264" s="117">
        <v>258</v>
      </c>
      <c r="F264" s="118"/>
      <c r="G264" s="122"/>
      <c r="H264" s="119">
        <v>258</v>
      </c>
      <c r="I264" s="120"/>
      <c r="J264" s="135"/>
    </row>
    <row r="265" spans="5:10" ht="11.25" customHeight="1" x14ac:dyDescent="0.2">
      <c r="E265" s="117">
        <v>259</v>
      </c>
      <c r="F265" s="118"/>
      <c r="G265" s="122"/>
      <c r="H265" s="119">
        <v>259</v>
      </c>
      <c r="I265" s="120"/>
      <c r="J265" s="135"/>
    </row>
    <row r="266" spans="5:10" ht="11.25" customHeight="1" x14ac:dyDescent="0.2">
      <c r="E266" s="117">
        <v>260</v>
      </c>
      <c r="F266" s="118"/>
      <c r="G266" s="122"/>
      <c r="H266" s="119">
        <v>260</v>
      </c>
      <c r="I266" s="120"/>
      <c r="J266" s="135"/>
    </row>
    <row r="267" spans="5:10" ht="11.25" customHeight="1" x14ac:dyDescent="0.2">
      <c r="E267" s="117">
        <v>261</v>
      </c>
      <c r="F267" s="118"/>
      <c r="G267" s="122"/>
      <c r="H267" s="119">
        <v>261</v>
      </c>
      <c r="I267" s="120"/>
      <c r="J267" s="135"/>
    </row>
    <row r="268" spans="5:10" ht="11.25" customHeight="1" x14ac:dyDescent="0.2">
      <c r="E268" s="117">
        <v>262</v>
      </c>
      <c r="F268" s="118"/>
      <c r="G268" s="122"/>
      <c r="H268" s="119">
        <v>262</v>
      </c>
      <c r="I268" s="120"/>
      <c r="J268" s="135"/>
    </row>
    <row r="269" spans="5:10" ht="11.25" customHeight="1" x14ac:dyDescent="0.2">
      <c r="E269" s="117">
        <v>263</v>
      </c>
      <c r="F269" s="118"/>
      <c r="G269" s="122"/>
      <c r="H269" s="119">
        <v>263</v>
      </c>
      <c r="I269" s="120"/>
      <c r="J269" s="135"/>
    </row>
    <row r="270" spans="5:10" ht="11.25" customHeight="1" x14ac:dyDescent="0.2">
      <c r="E270" s="117">
        <v>264</v>
      </c>
      <c r="F270" s="118"/>
      <c r="G270" s="122"/>
      <c r="H270" s="119">
        <v>264</v>
      </c>
      <c r="I270" s="120"/>
      <c r="J270" s="135"/>
    </row>
    <row r="271" spans="5:10" ht="11.25" customHeight="1" x14ac:dyDescent="0.2">
      <c r="E271" s="117">
        <v>265</v>
      </c>
      <c r="F271" s="118"/>
      <c r="G271" s="122"/>
      <c r="H271" s="119">
        <v>265</v>
      </c>
      <c r="I271" s="120"/>
      <c r="J271" s="135"/>
    </row>
    <row r="272" spans="5:10" ht="11.25" customHeight="1" x14ac:dyDescent="0.2">
      <c r="E272" s="117">
        <v>266</v>
      </c>
      <c r="F272" s="118"/>
      <c r="G272" s="122"/>
      <c r="H272" s="119">
        <v>266</v>
      </c>
      <c r="I272" s="120"/>
      <c r="J272" s="135"/>
    </row>
    <row r="273" spans="5:10" ht="11.25" customHeight="1" x14ac:dyDescent="0.2">
      <c r="E273" s="117">
        <v>267</v>
      </c>
      <c r="F273" s="118"/>
      <c r="G273" s="122"/>
      <c r="H273" s="119">
        <v>267</v>
      </c>
      <c r="I273" s="120"/>
      <c r="J273" s="135"/>
    </row>
    <row r="274" spans="5:10" ht="11.25" customHeight="1" x14ac:dyDescent="0.2">
      <c r="E274" s="117">
        <v>268</v>
      </c>
      <c r="F274" s="118"/>
      <c r="G274" s="122"/>
      <c r="H274" s="119">
        <v>268</v>
      </c>
      <c r="I274" s="120"/>
      <c r="J274" s="135"/>
    </row>
    <row r="275" spans="5:10" ht="11.25" customHeight="1" x14ac:dyDescent="0.2">
      <c r="E275" s="117">
        <v>269</v>
      </c>
      <c r="F275" s="118"/>
      <c r="G275" s="122"/>
      <c r="H275" s="119">
        <v>269</v>
      </c>
      <c r="I275" s="120"/>
      <c r="J275" s="135"/>
    </row>
    <row r="276" spans="5:10" ht="11.25" customHeight="1" x14ac:dyDescent="0.2">
      <c r="E276" s="117">
        <v>270</v>
      </c>
      <c r="F276" s="118"/>
      <c r="G276" s="122"/>
      <c r="H276" s="119">
        <v>270</v>
      </c>
      <c r="I276" s="120"/>
      <c r="J276" s="135"/>
    </row>
    <row r="277" spans="5:10" ht="11.25" customHeight="1" x14ac:dyDescent="0.2">
      <c r="E277" s="117">
        <v>271</v>
      </c>
      <c r="F277" s="118"/>
      <c r="G277" s="122"/>
      <c r="H277" s="119">
        <v>271</v>
      </c>
      <c r="I277" s="120"/>
      <c r="J277" s="135"/>
    </row>
    <row r="278" spans="5:10" ht="11.25" customHeight="1" x14ac:dyDescent="0.2">
      <c r="E278" s="117">
        <v>272</v>
      </c>
      <c r="F278" s="118"/>
      <c r="G278" s="122"/>
      <c r="H278" s="119">
        <v>272</v>
      </c>
      <c r="I278" s="120"/>
      <c r="J278" s="135"/>
    </row>
    <row r="279" spans="5:10" ht="11.25" customHeight="1" x14ac:dyDescent="0.2">
      <c r="E279" s="117">
        <v>273</v>
      </c>
      <c r="F279" s="118"/>
      <c r="G279" s="122"/>
      <c r="H279" s="119">
        <v>273</v>
      </c>
      <c r="I279" s="120"/>
      <c r="J279" s="135"/>
    </row>
    <row r="280" spans="5:10" ht="11.25" customHeight="1" x14ac:dyDescent="0.2">
      <c r="E280" s="117">
        <v>274</v>
      </c>
      <c r="F280" s="118"/>
      <c r="G280" s="122"/>
      <c r="H280" s="119">
        <v>274</v>
      </c>
      <c r="I280" s="120"/>
      <c r="J280" s="135"/>
    </row>
    <row r="281" spans="5:10" ht="11.25" customHeight="1" x14ac:dyDescent="0.2">
      <c r="E281" s="117">
        <v>275</v>
      </c>
      <c r="F281" s="118"/>
      <c r="G281" s="122"/>
      <c r="H281" s="119">
        <v>275</v>
      </c>
      <c r="I281" s="120"/>
      <c r="J281" s="135"/>
    </row>
    <row r="282" spans="5:10" ht="11.25" customHeight="1" x14ac:dyDescent="0.2">
      <c r="E282" s="117">
        <v>276</v>
      </c>
      <c r="F282" s="118"/>
      <c r="G282" s="122"/>
      <c r="H282" s="119">
        <v>276</v>
      </c>
      <c r="I282" s="120"/>
      <c r="J282" s="135"/>
    </row>
    <row r="283" spans="5:10" ht="11.25" customHeight="1" x14ac:dyDescent="0.2">
      <c r="E283" s="117">
        <v>277</v>
      </c>
      <c r="F283" s="118"/>
      <c r="G283" s="122"/>
      <c r="H283" s="119">
        <v>277</v>
      </c>
      <c r="I283" s="120"/>
      <c r="J283" s="135"/>
    </row>
    <row r="284" spans="5:10" ht="11.25" customHeight="1" x14ac:dyDescent="0.2">
      <c r="E284" s="117">
        <v>278</v>
      </c>
      <c r="F284" s="118"/>
      <c r="G284" s="122"/>
      <c r="H284" s="119">
        <v>278</v>
      </c>
      <c r="I284" s="120"/>
      <c r="J284" s="135"/>
    </row>
    <row r="285" spans="5:10" ht="11.25" customHeight="1" x14ac:dyDescent="0.2">
      <c r="E285" s="117">
        <v>279</v>
      </c>
      <c r="F285" s="118"/>
      <c r="G285" s="122"/>
      <c r="H285" s="119">
        <v>279</v>
      </c>
      <c r="I285" s="120"/>
      <c r="J285" s="135"/>
    </row>
    <row r="286" spans="5:10" ht="11.25" customHeight="1" x14ac:dyDescent="0.2">
      <c r="E286" s="117">
        <v>280</v>
      </c>
      <c r="F286" s="118"/>
      <c r="G286" s="122"/>
      <c r="H286" s="119">
        <v>280</v>
      </c>
      <c r="I286" s="120"/>
      <c r="J286" s="135"/>
    </row>
    <row r="287" spans="5:10" ht="11.25" customHeight="1" x14ac:dyDescent="0.2">
      <c r="E287" s="117">
        <v>281</v>
      </c>
      <c r="F287" s="118"/>
      <c r="G287" s="122"/>
      <c r="H287" s="119">
        <v>281</v>
      </c>
      <c r="I287" s="120"/>
      <c r="J287" s="135"/>
    </row>
    <row r="288" spans="5:10" ht="11.25" customHeight="1" x14ac:dyDescent="0.2">
      <c r="E288" s="117">
        <v>282</v>
      </c>
      <c r="F288" s="118"/>
      <c r="G288" s="122"/>
      <c r="H288" s="119">
        <v>282</v>
      </c>
      <c r="I288" s="120"/>
      <c r="J288" s="135"/>
    </row>
    <row r="289" spans="5:10" ht="11.25" customHeight="1" x14ac:dyDescent="0.2">
      <c r="E289" s="117">
        <v>283</v>
      </c>
      <c r="F289" s="118"/>
      <c r="G289" s="122"/>
      <c r="H289" s="119">
        <v>283</v>
      </c>
      <c r="I289" s="120"/>
      <c r="J289" s="135"/>
    </row>
    <row r="290" spans="5:10" ht="11.25" customHeight="1" x14ac:dyDescent="0.2">
      <c r="E290" s="117">
        <v>284</v>
      </c>
      <c r="F290" s="118"/>
      <c r="G290" s="122"/>
      <c r="H290" s="119">
        <v>284</v>
      </c>
      <c r="I290" s="120"/>
      <c r="J290" s="135"/>
    </row>
    <row r="291" spans="5:10" ht="11.25" customHeight="1" x14ac:dyDescent="0.2">
      <c r="E291" s="117">
        <v>285</v>
      </c>
      <c r="F291" s="118"/>
      <c r="G291" s="122"/>
      <c r="H291" s="119">
        <v>285</v>
      </c>
      <c r="I291" s="120"/>
      <c r="J291" s="135"/>
    </row>
    <row r="292" spans="5:10" ht="11.25" customHeight="1" x14ac:dyDescent="0.2">
      <c r="E292" s="117">
        <v>286</v>
      </c>
      <c r="F292" s="118"/>
      <c r="G292" s="122"/>
      <c r="H292" s="119">
        <v>286</v>
      </c>
      <c r="I292" s="120"/>
      <c r="J292" s="135"/>
    </row>
    <row r="293" spans="5:10" ht="11.25" customHeight="1" x14ac:dyDescent="0.2">
      <c r="E293" s="117">
        <v>287</v>
      </c>
      <c r="F293" s="118"/>
      <c r="G293" s="122"/>
      <c r="H293" s="119">
        <v>287</v>
      </c>
      <c r="I293" s="120"/>
      <c r="J293" s="135"/>
    </row>
    <row r="294" spans="5:10" ht="11.25" customHeight="1" x14ac:dyDescent="0.2">
      <c r="E294" s="117">
        <v>288</v>
      </c>
      <c r="F294" s="118"/>
      <c r="G294" s="122"/>
      <c r="H294" s="119">
        <v>288</v>
      </c>
      <c r="I294" s="120"/>
      <c r="J294" s="135"/>
    </row>
    <row r="295" spans="5:10" ht="11.25" customHeight="1" x14ac:dyDescent="0.2">
      <c r="E295" s="117">
        <v>289</v>
      </c>
      <c r="F295" s="118"/>
      <c r="G295" s="122"/>
      <c r="H295" s="119">
        <v>289</v>
      </c>
      <c r="I295" s="120"/>
      <c r="J295" s="135"/>
    </row>
    <row r="296" spans="5:10" ht="11.25" customHeight="1" x14ac:dyDescent="0.2">
      <c r="E296" s="117">
        <v>290</v>
      </c>
      <c r="F296" s="118"/>
      <c r="G296" s="122"/>
      <c r="H296" s="119">
        <v>290</v>
      </c>
      <c r="I296" s="120"/>
      <c r="J296" s="135"/>
    </row>
    <row r="297" spans="5:10" ht="11.25" customHeight="1" x14ac:dyDescent="0.2">
      <c r="E297" s="117">
        <v>291</v>
      </c>
      <c r="F297" s="118"/>
      <c r="G297" s="122"/>
      <c r="H297" s="119">
        <v>291</v>
      </c>
      <c r="I297" s="120"/>
      <c r="J297" s="135"/>
    </row>
    <row r="298" spans="5:10" ht="11.25" customHeight="1" x14ac:dyDescent="0.2">
      <c r="E298" s="117">
        <v>292</v>
      </c>
      <c r="F298" s="118"/>
      <c r="G298" s="122"/>
      <c r="H298" s="119">
        <v>292</v>
      </c>
      <c r="I298" s="120"/>
      <c r="J298" s="135"/>
    </row>
    <row r="299" spans="5:10" ht="11.25" customHeight="1" x14ac:dyDescent="0.2">
      <c r="E299" s="117">
        <v>293</v>
      </c>
      <c r="F299" s="118"/>
      <c r="G299" s="122"/>
      <c r="H299" s="119">
        <v>293</v>
      </c>
      <c r="I299" s="120"/>
      <c r="J299" s="135"/>
    </row>
    <row r="300" spans="5:10" ht="11.25" customHeight="1" x14ac:dyDescent="0.2">
      <c r="E300" s="117">
        <v>294</v>
      </c>
      <c r="F300" s="118"/>
      <c r="G300" s="122"/>
      <c r="H300" s="119">
        <v>294</v>
      </c>
      <c r="I300" s="120"/>
      <c r="J300" s="135"/>
    </row>
    <row r="301" spans="5:10" ht="11.25" customHeight="1" x14ac:dyDescent="0.2">
      <c r="E301" s="117">
        <v>295</v>
      </c>
      <c r="F301" s="118"/>
      <c r="G301" s="122"/>
      <c r="H301" s="119">
        <v>295</v>
      </c>
      <c r="I301" s="120"/>
      <c r="J301" s="135"/>
    </row>
    <row r="302" spans="5:10" ht="11.25" customHeight="1" x14ac:dyDescent="0.2">
      <c r="E302" s="117">
        <v>296</v>
      </c>
      <c r="F302" s="118"/>
      <c r="G302" s="122"/>
      <c r="H302" s="119">
        <v>296</v>
      </c>
      <c r="I302" s="120"/>
      <c r="J302" s="135"/>
    </row>
    <row r="303" spans="5:10" ht="11.25" customHeight="1" x14ac:dyDescent="0.2">
      <c r="E303" s="117">
        <v>297</v>
      </c>
      <c r="F303" s="118"/>
      <c r="G303" s="122"/>
      <c r="H303" s="119">
        <v>297</v>
      </c>
      <c r="I303" s="120"/>
      <c r="J303" s="135"/>
    </row>
    <row r="304" spans="5:10" ht="11.25" customHeight="1" x14ac:dyDescent="0.2">
      <c r="E304" s="117">
        <v>298</v>
      </c>
      <c r="F304" s="118"/>
      <c r="G304" s="122"/>
      <c r="H304" s="119">
        <v>298</v>
      </c>
      <c r="I304" s="120"/>
      <c r="J304" s="135"/>
    </row>
    <row r="305" spans="5:10" ht="11.25" customHeight="1" x14ac:dyDescent="0.2">
      <c r="E305" s="117">
        <v>299</v>
      </c>
      <c r="F305" s="118"/>
      <c r="G305" s="122"/>
      <c r="H305" s="119">
        <v>299</v>
      </c>
      <c r="I305" s="120"/>
      <c r="J305" s="135"/>
    </row>
    <row r="306" spans="5:10" ht="11.25" customHeight="1" x14ac:dyDescent="0.2">
      <c r="E306" s="117">
        <v>300</v>
      </c>
      <c r="F306" s="118"/>
      <c r="G306" s="122"/>
      <c r="H306" s="119">
        <v>300</v>
      </c>
      <c r="I306" s="120"/>
      <c r="J306" s="135"/>
    </row>
    <row r="307" spans="5:10" ht="11.25" customHeight="1" x14ac:dyDescent="0.2">
      <c r="E307" s="117">
        <v>301</v>
      </c>
      <c r="F307" s="118"/>
      <c r="G307" s="122"/>
      <c r="H307" s="119">
        <v>301</v>
      </c>
      <c r="I307" s="120"/>
      <c r="J307" s="135"/>
    </row>
    <row r="308" spans="5:10" ht="11.25" customHeight="1" x14ac:dyDescent="0.2">
      <c r="E308" s="117">
        <v>302</v>
      </c>
      <c r="F308" s="118"/>
      <c r="G308" s="122"/>
      <c r="H308" s="119">
        <v>302</v>
      </c>
      <c r="I308" s="120"/>
      <c r="J308" s="135"/>
    </row>
    <row r="309" spans="5:10" ht="11.25" customHeight="1" x14ac:dyDescent="0.2">
      <c r="E309" s="117">
        <v>303</v>
      </c>
      <c r="F309" s="118"/>
      <c r="G309" s="122"/>
      <c r="H309" s="119">
        <v>303</v>
      </c>
      <c r="I309" s="120"/>
      <c r="J309" s="135"/>
    </row>
    <row r="310" spans="5:10" ht="11.25" customHeight="1" x14ac:dyDescent="0.2">
      <c r="E310" s="117">
        <v>304</v>
      </c>
      <c r="F310" s="118"/>
      <c r="G310" s="122"/>
      <c r="H310" s="119">
        <v>304</v>
      </c>
      <c r="I310" s="120"/>
      <c r="J310" s="135"/>
    </row>
    <row r="311" spans="5:10" ht="11.25" customHeight="1" x14ac:dyDescent="0.2">
      <c r="E311" s="117">
        <v>305</v>
      </c>
      <c r="F311" s="118"/>
      <c r="G311" s="122"/>
      <c r="H311" s="119">
        <v>305</v>
      </c>
      <c r="I311" s="120"/>
      <c r="J311" s="135"/>
    </row>
    <row r="312" spans="5:10" ht="11.25" customHeight="1" x14ac:dyDescent="0.2">
      <c r="E312" s="117">
        <v>306</v>
      </c>
      <c r="F312" s="118"/>
      <c r="G312" s="122"/>
      <c r="H312" s="119">
        <v>306</v>
      </c>
      <c r="I312" s="120"/>
      <c r="J312" s="135"/>
    </row>
    <row r="313" spans="5:10" ht="11.25" customHeight="1" x14ac:dyDescent="0.2">
      <c r="E313" s="117">
        <v>307</v>
      </c>
      <c r="F313" s="118"/>
      <c r="G313" s="122"/>
      <c r="H313" s="119">
        <v>307</v>
      </c>
      <c r="I313" s="120"/>
      <c r="J313" s="135"/>
    </row>
    <row r="314" spans="5:10" ht="11.25" customHeight="1" x14ac:dyDescent="0.2">
      <c r="E314" s="117">
        <v>308</v>
      </c>
      <c r="F314" s="118"/>
      <c r="G314" s="122"/>
      <c r="H314" s="119">
        <v>308</v>
      </c>
      <c r="I314" s="120"/>
      <c r="J314" s="135"/>
    </row>
    <row r="315" spans="5:10" ht="11.25" customHeight="1" x14ac:dyDescent="0.2">
      <c r="E315" s="117">
        <v>309</v>
      </c>
      <c r="F315" s="118"/>
      <c r="G315" s="122"/>
      <c r="H315" s="119">
        <v>309</v>
      </c>
      <c r="I315" s="120"/>
      <c r="J315" s="135"/>
    </row>
    <row r="316" spans="5:10" ht="11.25" customHeight="1" x14ac:dyDescent="0.2">
      <c r="E316" s="117">
        <v>310</v>
      </c>
      <c r="F316" s="118"/>
      <c r="G316" s="122"/>
      <c r="H316" s="119">
        <v>310</v>
      </c>
      <c r="I316" s="120"/>
      <c r="J316" s="135"/>
    </row>
    <row r="317" spans="5:10" ht="11.25" customHeight="1" x14ac:dyDescent="0.2">
      <c r="E317" s="117">
        <v>311</v>
      </c>
      <c r="F317" s="118"/>
      <c r="G317" s="122"/>
      <c r="H317" s="119">
        <v>311</v>
      </c>
      <c r="I317" s="120"/>
      <c r="J317" s="135"/>
    </row>
    <row r="318" spans="5:10" ht="11.25" customHeight="1" x14ac:dyDescent="0.2">
      <c r="E318" s="117">
        <v>312</v>
      </c>
      <c r="F318" s="118"/>
      <c r="G318" s="122"/>
      <c r="H318" s="119">
        <v>312</v>
      </c>
      <c r="I318" s="120"/>
      <c r="J318" s="135"/>
    </row>
    <row r="319" spans="5:10" ht="11.25" customHeight="1" x14ac:dyDescent="0.2">
      <c r="E319" s="117">
        <v>313</v>
      </c>
      <c r="F319" s="118"/>
      <c r="G319" s="122"/>
      <c r="H319" s="119">
        <v>313</v>
      </c>
      <c r="I319" s="120"/>
      <c r="J319" s="135"/>
    </row>
    <row r="320" spans="5:10" ht="11.25" customHeight="1" x14ac:dyDescent="0.2">
      <c r="E320" s="117">
        <v>314</v>
      </c>
      <c r="F320" s="118"/>
      <c r="G320" s="122"/>
      <c r="H320" s="119">
        <v>314</v>
      </c>
      <c r="I320" s="120"/>
      <c r="J320" s="135"/>
    </row>
    <row r="321" spans="5:10" ht="11.25" customHeight="1" x14ac:dyDescent="0.2">
      <c r="E321" s="117">
        <v>315</v>
      </c>
      <c r="F321" s="118"/>
      <c r="G321" s="122"/>
      <c r="H321" s="119">
        <v>315</v>
      </c>
      <c r="I321" s="120"/>
      <c r="J321" s="135"/>
    </row>
    <row r="322" spans="5:10" ht="11.25" customHeight="1" x14ac:dyDescent="0.2">
      <c r="E322" s="117">
        <v>316</v>
      </c>
      <c r="F322" s="118"/>
      <c r="G322" s="122"/>
      <c r="H322" s="119">
        <v>316</v>
      </c>
      <c r="I322" s="120"/>
      <c r="J322" s="135"/>
    </row>
    <row r="323" spans="5:10" ht="11.25" customHeight="1" x14ac:dyDescent="0.2">
      <c r="E323" s="117">
        <v>317</v>
      </c>
      <c r="F323" s="118"/>
      <c r="G323" s="122"/>
      <c r="H323" s="119">
        <v>317</v>
      </c>
      <c r="I323" s="120"/>
      <c r="J323" s="135"/>
    </row>
    <row r="324" spans="5:10" ht="11.25" customHeight="1" x14ac:dyDescent="0.2">
      <c r="E324" s="117">
        <v>318</v>
      </c>
      <c r="F324" s="118"/>
      <c r="G324" s="122"/>
      <c r="H324" s="119">
        <v>318</v>
      </c>
      <c r="I324" s="120"/>
      <c r="J324" s="135"/>
    </row>
    <row r="325" spans="5:10" ht="11.25" customHeight="1" x14ac:dyDescent="0.2">
      <c r="E325" s="117">
        <v>319</v>
      </c>
      <c r="F325" s="118"/>
      <c r="G325" s="122"/>
      <c r="H325" s="119">
        <v>319</v>
      </c>
      <c r="I325" s="120"/>
      <c r="J325" s="135"/>
    </row>
    <row r="326" spans="5:10" ht="11.25" customHeight="1" x14ac:dyDescent="0.2">
      <c r="E326" s="117">
        <v>320</v>
      </c>
      <c r="F326" s="118"/>
      <c r="G326" s="122"/>
      <c r="H326" s="119">
        <v>320</v>
      </c>
      <c r="I326" s="120"/>
      <c r="J326" s="135"/>
    </row>
    <row r="327" spans="5:10" ht="11.25" customHeight="1" x14ac:dyDescent="0.2">
      <c r="E327" s="117">
        <v>321</v>
      </c>
      <c r="F327" s="118"/>
      <c r="G327" s="122"/>
      <c r="H327" s="119">
        <v>321</v>
      </c>
      <c r="I327" s="120"/>
      <c r="J327" s="135"/>
    </row>
    <row r="328" spans="5:10" ht="11.25" customHeight="1" x14ac:dyDescent="0.2">
      <c r="E328" s="117">
        <v>322</v>
      </c>
      <c r="F328" s="118"/>
      <c r="G328" s="122"/>
      <c r="H328" s="119">
        <v>322</v>
      </c>
      <c r="I328" s="120"/>
      <c r="J328" s="135"/>
    </row>
    <row r="329" spans="5:10" ht="11.25" customHeight="1" x14ac:dyDescent="0.2">
      <c r="E329" s="117">
        <v>323</v>
      </c>
      <c r="F329" s="118"/>
      <c r="G329" s="122"/>
      <c r="H329" s="119">
        <v>323</v>
      </c>
      <c r="I329" s="120"/>
      <c r="J329" s="135"/>
    </row>
    <row r="330" spans="5:10" ht="11.25" customHeight="1" x14ac:dyDescent="0.2">
      <c r="E330" s="117">
        <v>324</v>
      </c>
      <c r="F330" s="118"/>
      <c r="G330" s="122"/>
      <c r="H330" s="119">
        <v>324</v>
      </c>
      <c r="I330" s="120"/>
      <c r="J330" s="135"/>
    </row>
    <row r="331" spans="5:10" ht="11.25" customHeight="1" x14ac:dyDescent="0.2">
      <c r="E331" s="117">
        <v>325</v>
      </c>
      <c r="F331" s="118"/>
      <c r="G331" s="122"/>
      <c r="H331" s="119">
        <v>325</v>
      </c>
      <c r="I331" s="120"/>
      <c r="J331" s="135"/>
    </row>
    <row r="332" spans="5:10" ht="11.25" customHeight="1" x14ac:dyDescent="0.2">
      <c r="E332" s="117">
        <v>326</v>
      </c>
      <c r="F332" s="118"/>
      <c r="G332" s="122"/>
      <c r="H332" s="119">
        <v>326</v>
      </c>
      <c r="I332" s="120"/>
      <c r="J332" s="135"/>
    </row>
    <row r="333" spans="5:10" ht="11.25" customHeight="1" x14ac:dyDescent="0.2">
      <c r="E333" s="117">
        <v>327</v>
      </c>
      <c r="F333" s="118"/>
      <c r="G333" s="122"/>
      <c r="H333" s="119">
        <v>327</v>
      </c>
      <c r="I333" s="120"/>
      <c r="J333" s="135"/>
    </row>
    <row r="334" spans="5:10" ht="11.25" customHeight="1" x14ac:dyDescent="0.2">
      <c r="E334" s="117">
        <v>328</v>
      </c>
      <c r="F334" s="118"/>
      <c r="G334" s="122"/>
      <c r="H334" s="119">
        <v>328</v>
      </c>
      <c r="I334" s="120"/>
      <c r="J334" s="135"/>
    </row>
    <row r="335" spans="5:10" ht="11.25" customHeight="1" x14ac:dyDescent="0.2">
      <c r="E335" s="117">
        <v>329</v>
      </c>
      <c r="F335" s="118"/>
      <c r="G335" s="122"/>
      <c r="H335" s="119">
        <v>329</v>
      </c>
      <c r="I335" s="120"/>
      <c r="J335" s="135"/>
    </row>
    <row r="336" spans="5:10" ht="11.25" customHeight="1" x14ac:dyDescent="0.2">
      <c r="E336" s="117">
        <v>330</v>
      </c>
      <c r="F336" s="118"/>
      <c r="G336" s="122"/>
      <c r="H336" s="119">
        <v>330</v>
      </c>
      <c r="I336" s="120"/>
      <c r="J336" s="135"/>
    </row>
    <row r="337" spans="5:10" ht="11.25" customHeight="1" x14ac:dyDescent="0.2">
      <c r="E337" s="117">
        <v>331</v>
      </c>
      <c r="F337" s="118"/>
      <c r="G337" s="122"/>
      <c r="H337" s="119">
        <v>331</v>
      </c>
      <c r="I337" s="120"/>
      <c r="J337" s="135"/>
    </row>
    <row r="338" spans="5:10" ht="11.25" customHeight="1" x14ac:dyDescent="0.2">
      <c r="E338" s="117">
        <v>332</v>
      </c>
      <c r="F338" s="118"/>
      <c r="G338" s="122"/>
      <c r="H338" s="119">
        <v>332</v>
      </c>
      <c r="I338" s="120"/>
      <c r="J338" s="135"/>
    </row>
    <row r="339" spans="5:10" ht="11.25" customHeight="1" x14ac:dyDescent="0.2">
      <c r="E339" s="117">
        <v>333</v>
      </c>
      <c r="F339" s="118"/>
      <c r="G339" s="122"/>
      <c r="H339" s="119">
        <v>333</v>
      </c>
      <c r="I339" s="120"/>
      <c r="J339" s="135"/>
    </row>
    <row r="340" spans="5:10" ht="11.25" customHeight="1" x14ac:dyDescent="0.2">
      <c r="E340" s="117">
        <v>334</v>
      </c>
      <c r="F340" s="118"/>
      <c r="G340" s="122"/>
      <c r="H340" s="119">
        <v>334</v>
      </c>
      <c r="I340" s="120"/>
      <c r="J340" s="135"/>
    </row>
    <row r="341" spans="5:10" ht="11.25" customHeight="1" x14ac:dyDescent="0.2">
      <c r="E341" s="117">
        <v>335</v>
      </c>
      <c r="F341" s="118"/>
      <c r="G341" s="122"/>
      <c r="H341" s="119">
        <v>335</v>
      </c>
      <c r="I341" s="120"/>
      <c r="J341" s="135"/>
    </row>
    <row r="342" spans="5:10" ht="11.25" customHeight="1" x14ac:dyDescent="0.2">
      <c r="E342" s="117">
        <v>336</v>
      </c>
      <c r="F342" s="118"/>
      <c r="G342" s="122"/>
      <c r="H342" s="119">
        <v>336</v>
      </c>
      <c r="I342" s="120"/>
      <c r="J342" s="135"/>
    </row>
    <row r="343" spans="5:10" ht="11.25" customHeight="1" x14ac:dyDescent="0.2">
      <c r="E343" s="117">
        <v>337</v>
      </c>
      <c r="F343" s="118"/>
      <c r="G343" s="122"/>
      <c r="H343" s="119">
        <v>337</v>
      </c>
      <c r="I343" s="120"/>
      <c r="J343" s="135"/>
    </row>
    <row r="344" spans="5:10" ht="11.25" customHeight="1" x14ac:dyDescent="0.2">
      <c r="E344" s="117">
        <v>338</v>
      </c>
      <c r="F344" s="118"/>
      <c r="G344" s="122"/>
      <c r="H344" s="119">
        <v>338</v>
      </c>
      <c r="I344" s="120"/>
      <c r="J344" s="135"/>
    </row>
    <row r="345" spans="5:10" ht="11.25" customHeight="1" x14ac:dyDescent="0.2">
      <c r="E345" s="117">
        <v>339</v>
      </c>
      <c r="F345" s="118"/>
      <c r="G345" s="122"/>
      <c r="H345" s="119">
        <v>339</v>
      </c>
      <c r="I345" s="120"/>
      <c r="J345" s="135"/>
    </row>
    <row r="346" spans="5:10" ht="11.25" customHeight="1" x14ac:dyDescent="0.2">
      <c r="E346" s="117">
        <v>340</v>
      </c>
      <c r="F346" s="118"/>
      <c r="G346" s="122"/>
      <c r="H346" s="119">
        <v>340</v>
      </c>
      <c r="I346" s="120"/>
      <c r="J346" s="135"/>
    </row>
    <row r="347" spans="5:10" ht="11.25" customHeight="1" x14ac:dyDescent="0.2">
      <c r="E347" s="117">
        <v>341</v>
      </c>
      <c r="F347" s="118"/>
      <c r="G347" s="122"/>
      <c r="H347" s="119">
        <v>341</v>
      </c>
      <c r="I347" s="120"/>
      <c r="J347" s="135"/>
    </row>
    <row r="348" spans="5:10" ht="11.25" customHeight="1" x14ac:dyDescent="0.2">
      <c r="E348" s="117">
        <v>342</v>
      </c>
      <c r="F348" s="118"/>
      <c r="G348" s="122"/>
      <c r="H348" s="119">
        <v>342</v>
      </c>
      <c r="I348" s="120"/>
      <c r="J348" s="135"/>
    </row>
    <row r="349" spans="5:10" ht="11.25" customHeight="1" x14ac:dyDescent="0.2">
      <c r="E349" s="117">
        <v>343</v>
      </c>
      <c r="F349" s="118"/>
      <c r="G349" s="122"/>
      <c r="H349" s="119">
        <v>343</v>
      </c>
      <c r="I349" s="120"/>
      <c r="J349" s="135"/>
    </row>
    <row r="350" spans="5:10" ht="11.25" customHeight="1" x14ac:dyDescent="0.2">
      <c r="E350" s="117">
        <v>344</v>
      </c>
      <c r="F350" s="118"/>
      <c r="G350" s="122"/>
      <c r="H350" s="119">
        <v>344</v>
      </c>
      <c r="I350" s="120"/>
      <c r="J350" s="135"/>
    </row>
    <row r="351" spans="5:10" ht="11.25" customHeight="1" x14ac:dyDescent="0.2">
      <c r="E351" s="117">
        <v>345</v>
      </c>
      <c r="F351" s="118"/>
      <c r="G351" s="122"/>
      <c r="H351" s="119">
        <v>345</v>
      </c>
      <c r="I351" s="120"/>
      <c r="J351" s="135"/>
    </row>
    <row r="352" spans="5:10" ht="11.25" customHeight="1" x14ac:dyDescent="0.2">
      <c r="E352" s="117">
        <v>346</v>
      </c>
      <c r="F352" s="118"/>
      <c r="G352" s="122"/>
      <c r="H352" s="119">
        <v>346</v>
      </c>
      <c r="I352" s="120"/>
      <c r="J352" s="135"/>
    </row>
    <row r="353" spans="5:10" ht="11.25" customHeight="1" x14ac:dyDescent="0.2">
      <c r="E353" s="117">
        <v>347</v>
      </c>
      <c r="F353" s="118"/>
      <c r="G353" s="122"/>
      <c r="H353" s="119">
        <v>347</v>
      </c>
      <c r="I353" s="120"/>
      <c r="J353" s="135"/>
    </row>
    <row r="354" spans="5:10" ht="11.25" customHeight="1" x14ac:dyDescent="0.2">
      <c r="E354" s="117">
        <v>348</v>
      </c>
      <c r="F354" s="118"/>
      <c r="G354" s="122"/>
      <c r="H354" s="119">
        <v>348</v>
      </c>
      <c r="I354" s="120"/>
      <c r="J354" s="135"/>
    </row>
    <row r="355" spans="5:10" ht="11.25" customHeight="1" x14ac:dyDescent="0.2">
      <c r="E355" s="117">
        <v>349</v>
      </c>
      <c r="F355" s="118"/>
      <c r="G355" s="122"/>
      <c r="H355" s="119">
        <v>349</v>
      </c>
      <c r="I355" s="120"/>
      <c r="J355" s="135"/>
    </row>
    <row r="356" spans="5:10" ht="11.25" customHeight="1" x14ac:dyDescent="0.2">
      <c r="E356" s="117">
        <v>350</v>
      </c>
      <c r="F356" s="118"/>
      <c r="G356" s="122"/>
      <c r="H356" s="119">
        <v>350</v>
      </c>
      <c r="I356" s="120"/>
      <c r="J356" s="135"/>
    </row>
    <row r="357" spans="5:10" ht="11.25" customHeight="1" x14ac:dyDescent="0.2">
      <c r="E357" s="117">
        <v>351</v>
      </c>
      <c r="F357" s="118"/>
      <c r="G357" s="122"/>
      <c r="H357" s="119">
        <v>351</v>
      </c>
      <c r="I357" s="120"/>
      <c r="J357" s="135"/>
    </row>
    <row r="358" spans="5:10" ht="11.25" customHeight="1" x14ac:dyDescent="0.2">
      <c r="E358" s="117">
        <v>352</v>
      </c>
      <c r="F358" s="118"/>
      <c r="G358" s="122"/>
      <c r="H358" s="119">
        <v>352</v>
      </c>
      <c r="I358" s="120"/>
      <c r="J358" s="135"/>
    </row>
    <row r="359" spans="5:10" ht="11.25" customHeight="1" x14ac:dyDescent="0.2">
      <c r="E359" s="117">
        <v>353</v>
      </c>
      <c r="F359" s="118"/>
      <c r="G359" s="122"/>
      <c r="H359" s="119">
        <v>353</v>
      </c>
      <c r="I359" s="120"/>
      <c r="J359" s="135"/>
    </row>
    <row r="360" spans="5:10" ht="11.25" customHeight="1" x14ac:dyDescent="0.2">
      <c r="E360" s="117">
        <v>354</v>
      </c>
      <c r="F360" s="118"/>
      <c r="G360" s="122"/>
      <c r="H360" s="119">
        <v>354</v>
      </c>
      <c r="I360" s="120"/>
      <c r="J360" s="135"/>
    </row>
    <row r="361" spans="5:10" ht="11.25" customHeight="1" x14ac:dyDescent="0.2">
      <c r="E361" s="117">
        <v>355</v>
      </c>
      <c r="F361" s="118"/>
      <c r="G361" s="122"/>
      <c r="H361" s="119">
        <v>355</v>
      </c>
      <c r="I361" s="120"/>
      <c r="J361" s="135"/>
    </row>
    <row r="362" spans="5:10" ht="11.25" customHeight="1" x14ac:dyDescent="0.2">
      <c r="E362" s="117">
        <v>356</v>
      </c>
      <c r="F362" s="118"/>
      <c r="G362" s="122"/>
      <c r="H362" s="119">
        <v>356</v>
      </c>
      <c r="I362" s="120"/>
      <c r="J362" s="135"/>
    </row>
    <row r="363" spans="5:10" ht="11.25" customHeight="1" x14ac:dyDescent="0.2">
      <c r="E363" s="117">
        <v>357</v>
      </c>
      <c r="F363" s="118"/>
      <c r="G363" s="122"/>
      <c r="H363" s="119">
        <v>357</v>
      </c>
      <c r="I363" s="120"/>
      <c r="J363" s="135"/>
    </row>
    <row r="364" spans="5:10" ht="11.25" customHeight="1" x14ac:dyDescent="0.2">
      <c r="E364" s="117">
        <v>358</v>
      </c>
      <c r="F364" s="118"/>
      <c r="G364" s="122"/>
      <c r="H364" s="119">
        <v>358</v>
      </c>
      <c r="I364" s="120"/>
      <c r="J364" s="135"/>
    </row>
    <row r="365" spans="5:10" ht="11.25" customHeight="1" x14ac:dyDescent="0.2">
      <c r="E365" s="117">
        <v>359</v>
      </c>
      <c r="F365" s="118"/>
      <c r="G365" s="122"/>
      <c r="H365" s="119">
        <v>359</v>
      </c>
      <c r="I365" s="120"/>
      <c r="J365" s="135"/>
    </row>
    <row r="366" spans="5:10" ht="11.25" customHeight="1" x14ac:dyDescent="0.2">
      <c r="E366" s="117">
        <v>360</v>
      </c>
      <c r="F366" s="118"/>
      <c r="G366" s="122"/>
      <c r="H366" s="119">
        <v>360</v>
      </c>
      <c r="I366" s="120"/>
      <c r="J366" s="135"/>
    </row>
    <row r="367" spans="5:10" ht="11.25" customHeight="1" x14ac:dyDescent="0.2">
      <c r="E367" s="117">
        <v>361</v>
      </c>
      <c r="F367" s="118"/>
      <c r="G367" s="122"/>
      <c r="H367" s="119">
        <v>361</v>
      </c>
      <c r="I367" s="120"/>
      <c r="J367" s="135"/>
    </row>
    <row r="368" spans="5:10" ht="11.25" customHeight="1" x14ac:dyDescent="0.2">
      <c r="E368" s="117">
        <v>362</v>
      </c>
      <c r="F368" s="118"/>
      <c r="G368" s="122"/>
      <c r="H368" s="119">
        <v>362</v>
      </c>
      <c r="I368" s="120"/>
      <c r="J368" s="135"/>
    </row>
    <row r="369" spans="5:10" ht="11.25" customHeight="1" x14ac:dyDescent="0.2">
      <c r="E369" s="117">
        <v>363</v>
      </c>
      <c r="F369" s="118"/>
      <c r="G369" s="122"/>
      <c r="H369" s="119">
        <v>363</v>
      </c>
      <c r="I369" s="120"/>
      <c r="J369" s="135"/>
    </row>
    <row r="370" spans="5:10" ht="11.25" customHeight="1" x14ac:dyDescent="0.2">
      <c r="E370" s="117">
        <v>364</v>
      </c>
      <c r="F370" s="118"/>
      <c r="G370" s="122"/>
      <c r="H370" s="119">
        <v>364</v>
      </c>
      <c r="I370" s="120"/>
      <c r="J370" s="135"/>
    </row>
    <row r="371" spans="5:10" ht="11.25" customHeight="1" x14ac:dyDescent="0.2">
      <c r="E371" s="117">
        <v>365</v>
      </c>
      <c r="F371" s="118"/>
      <c r="G371" s="122"/>
      <c r="H371" s="119">
        <v>365</v>
      </c>
      <c r="I371" s="120"/>
      <c r="J371" s="135"/>
    </row>
    <row r="372" spans="5:10" ht="11.25" customHeight="1" x14ac:dyDescent="0.2">
      <c r="E372" s="117">
        <v>366</v>
      </c>
      <c r="F372" s="118"/>
      <c r="G372" s="122"/>
      <c r="H372" s="119">
        <v>366</v>
      </c>
      <c r="I372" s="120"/>
      <c r="J372" s="135"/>
    </row>
    <row r="373" spans="5:10" ht="11.25" customHeight="1" x14ac:dyDescent="0.2">
      <c r="E373" s="117">
        <v>367</v>
      </c>
      <c r="F373" s="118"/>
      <c r="G373" s="122"/>
      <c r="H373" s="119">
        <v>367</v>
      </c>
      <c r="I373" s="120"/>
      <c r="J373" s="135"/>
    </row>
    <row r="374" spans="5:10" ht="11.25" customHeight="1" x14ac:dyDescent="0.2">
      <c r="E374" s="117">
        <v>368</v>
      </c>
      <c r="F374" s="118"/>
      <c r="G374" s="122"/>
      <c r="H374" s="119">
        <v>368</v>
      </c>
      <c r="I374" s="120"/>
      <c r="J374" s="135"/>
    </row>
    <row r="375" spans="5:10" ht="11.25" customHeight="1" x14ac:dyDescent="0.2">
      <c r="E375" s="117">
        <v>369</v>
      </c>
      <c r="F375" s="118"/>
      <c r="G375" s="122"/>
      <c r="H375" s="119">
        <v>369</v>
      </c>
      <c r="I375" s="120"/>
      <c r="J375" s="135"/>
    </row>
    <row r="376" spans="5:10" ht="11.25" customHeight="1" x14ac:dyDescent="0.2">
      <c r="E376" s="117">
        <v>370</v>
      </c>
      <c r="F376" s="118"/>
      <c r="G376" s="122"/>
      <c r="H376" s="119">
        <v>370</v>
      </c>
      <c r="I376" s="120"/>
      <c r="J376" s="135"/>
    </row>
    <row r="377" spans="5:10" ht="11.25" customHeight="1" x14ac:dyDescent="0.2">
      <c r="E377" s="117">
        <v>371</v>
      </c>
      <c r="F377" s="118"/>
      <c r="G377" s="122"/>
      <c r="H377" s="119">
        <v>371</v>
      </c>
      <c r="I377" s="120"/>
      <c r="J377" s="135"/>
    </row>
    <row r="378" spans="5:10" ht="11.25" customHeight="1" x14ac:dyDescent="0.2">
      <c r="E378" s="117">
        <v>372</v>
      </c>
      <c r="F378" s="118"/>
      <c r="G378" s="122"/>
      <c r="H378" s="119">
        <v>372</v>
      </c>
      <c r="I378" s="120"/>
      <c r="J378" s="135"/>
    </row>
    <row r="379" spans="5:10" ht="11.25" customHeight="1" x14ac:dyDescent="0.2">
      <c r="E379" s="117">
        <v>373</v>
      </c>
      <c r="F379" s="118"/>
      <c r="G379" s="122"/>
      <c r="H379" s="119">
        <v>373</v>
      </c>
      <c r="I379" s="120"/>
      <c r="J379" s="135"/>
    </row>
    <row r="380" spans="5:10" ht="11.25" customHeight="1" x14ac:dyDescent="0.2">
      <c r="E380" s="117">
        <v>374</v>
      </c>
      <c r="F380" s="118"/>
      <c r="G380" s="122"/>
      <c r="H380" s="119">
        <v>374</v>
      </c>
      <c r="I380" s="120"/>
      <c r="J380" s="135"/>
    </row>
    <row r="381" spans="5:10" ht="11.25" customHeight="1" x14ac:dyDescent="0.2">
      <c r="E381" s="117">
        <v>375</v>
      </c>
      <c r="F381" s="118"/>
      <c r="G381" s="122"/>
      <c r="H381" s="119">
        <v>375</v>
      </c>
      <c r="I381" s="120"/>
      <c r="J381" s="135"/>
    </row>
    <row r="382" spans="5:10" ht="11.25" customHeight="1" x14ac:dyDescent="0.2">
      <c r="E382" s="117">
        <v>376</v>
      </c>
      <c r="F382" s="118"/>
      <c r="G382" s="122"/>
      <c r="H382" s="119">
        <v>376</v>
      </c>
      <c r="I382" s="120"/>
      <c r="J382" s="135"/>
    </row>
    <row r="383" spans="5:10" ht="11.25" customHeight="1" x14ac:dyDescent="0.2">
      <c r="E383" s="117">
        <v>377</v>
      </c>
      <c r="F383" s="118"/>
      <c r="G383" s="122"/>
      <c r="H383" s="119">
        <v>377</v>
      </c>
      <c r="I383" s="120"/>
      <c r="J383" s="135"/>
    </row>
    <row r="384" spans="5:10" ht="11.25" customHeight="1" x14ac:dyDescent="0.2">
      <c r="E384" s="117">
        <v>378</v>
      </c>
      <c r="F384" s="118"/>
      <c r="G384" s="122"/>
      <c r="H384" s="119">
        <v>378</v>
      </c>
      <c r="I384" s="120"/>
      <c r="J384" s="135"/>
    </row>
    <row r="385" spans="5:10" ht="11.25" customHeight="1" x14ac:dyDescent="0.2">
      <c r="E385" s="117">
        <v>379</v>
      </c>
      <c r="F385" s="118"/>
      <c r="G385" s="122"/>
      <c r="H385" s="119">
        <v>379</v>
      </c>
      <c r="I385" s="120"/>
      <c r="J385" s="135"/>
    </row>
    <row r="386" spans="5:10" ht="11.25" customHeight="1" x14ac:dyDescent="0.2">
      <c r="E386" s="117">
        <v>380</v>
      </c>
      <c r="F386" s="118"/>
      <c r="G386" s="122"/>
      <c r="H386" s="119">
        <v>380</v>
      </c>
      <c r="I386" s="120"/>
      <c r="J386" s="135"/>
    </row>
    <row r="387" spans="5:10" ht="11.25" customHeight="1" x14ac:dyDescent="0.2">
      <c r="E387" s="117">
        <v>381</v>
      </c>
      <c r="F387" s="118"/>
      <c r="G387" s="122"/>
      <c r="H387" s="119">
        <v>381</v>
      </c>
      <c r="I387" s="120"/>
      <c r="J387" s="135"/>
    </row>
    <row r="388" spans="5:10" ht="11.25" customHeight="1" x14ac:dyDescent="0.2">
      <c r="E388" s="117">
        <v>382</v>
      </c>
      <c r="F388" s="118"/>
      <c r="G388" s="122"/>
      <c r="H388" s="119">
        <v>382</v>
      </c>
      <c r="I388" s="120"/>
      <c r="J388" s="135"/>
    </row>
    <row r="389" spans="5:10" ht="11.25" customHeight="1" x14ac:dyDescent="0.2">
      <c r="E389" s="117">
        <v>383</v>
      </c>
      <c r="F389" s="118"/>
      <c r="G389" s="122"/>
      <c r="H389" s="119">
        <v>383</v>
      </c>
      <c r="I389" s="120"/>
      <c r="J389" s="135"/>
    </row>
    <row r="390" spans="5:10" ht="11.25" customHeight="1" x14ac:dyDescent="0.2">
      <c r="E390" s="117">
        <v>384</v>
      </c>
      <c r="F390" s="118"/>
      <c r="G390" s="122"/>
      <c r="H390" s="119">
        <v>384</v>
      </c>
      <c r="I390" s="120"/>
      <c r="J390" s="135"/>
    </row>
    <row r="391" spans="5:10" ht="11.25" customHeight="1" x14ac:dyDescent="0.2">
      <c r="E391" s="117">
        <v>385</v>
      </c>
      <c r="F391" s="118"/>
      <c r="G391" s="122"/>
      <c r="H391" s="119">
        <v>385</v>
      </c>
      <c r="I391" s="120"/>
      <c r="J391" s="135"/>
    </row>
    <row r="392" spans="5:10" ht="11.25" customHeight="1" x14ac:dyDescent="0.2">
      <c r="E392" s="117">
        <v>386</v>
      </c>
      <c r="F392" s="118"/>
      <c r="G392" s="122"/>
      <c r="H392" s="119">
        <v>386</v>
      </c>
      <c r="I392" s="120"/>
      <c r="J392" s="135"/>
    </row>
    <row r="393" spans="5:10" ht="11.25" customHeight="1" x14ac:dyDescent="0.2">
      <c r="E393" s="117">
        <v>387</v>
      </c>
      <c r="F393" s="118"/>
      <c r="G393" s="122"/>
      <c r="H393" s="119">
        <v>387</v>
      </c>
      <c r="I393" s="120"/>
      <c r="J393" s="135"/>
    </row>
    <row r="394" spans="5:10" ht="11.25" customHeight="1" x14ac:dyDescent="0.2">
      <c r="E394" s="117">
        <v>388</v>
      </c>
      <c r="F394" s="118"/>
      <c r="G394" s="122"/>
      <c r="H394" s="119">
        <v>388</v>
      </c>
      <c r="I394" s="120"/>
      <c r="J394" s="135"/>
    </row>
    <row r="395" spans="5:10" ht="11.25" customHeight="1" x14ac:dyDescent="0.2">
      <c r="E395" s="117">
        <v>389</v>
      </c>
      <c r="F395" s="118"/>
      <c r="G395" s="122"/>
      <c r="H395" s="119">
        <v>389</v>
      </c>
      <c r="I395" s="120"/>
      <c r="J395" s="135"/>
    </row>
    <row r="396" spans="5:10" ht="11.25" customHeight="1" x14ac:dyDescent="0.2">
      <c r="E396" s="117">
        <v>390</v>
      </c>
      <c r="F396" s="118"/>
      <c r="G396" s="122"/>
      <c r="H396" s="119">
        <v>390</v>
      </c>
      <c r="I396" s="120"/>
      <c r="J396" s="135"/>
    </row>
    <row r="397" spans="5:10" ht="11.25" customHeight="1" x14ac:dyDescent="0.2">
      <c r="E397" s="117">
        <v>391</v>
      </c>
      <c r="F397" s="118"/>
      <c r="G397" s="122"/>
      <c r="H397" s="119">
        <v>391</v>
      </c>
      <c r="I397" s="120"/>
      <c r="J397" s="135"/>
    </row>
    <row r="398" spans="5:10" ht="11.25" customHeight="1" x14ac:dyDescent="0.2">
      <c r="E398" s="117">
        <v>392</v>
      </c>
      <c r="F398" s="118"/>
      <c r="G398" s="122"/>
      <c r="H398" s="119">
        <v>392</v>
      </c>
      <c r="I398" s="120"/>
      <c r="J398" s="135"/>
    </row>
    <row r="399" spans="5:10" ht="11.25" customHeight="1" x14ac:dyDescent="0.2">
      <c r="E399" s="117">
        <v>393</v>
      </c>
      <c r="F399" s="118"/>
      <c r="G399" s="122"/>
      <c r="H399" s="119">
        <v>393</v>
      </c>
      <c r="I399" s="120"/>
      <c r="J399" s="135"/>
    </row>
    <row r="400" spans="5:10" ht="11.25" customHeight="1" x14ac:dyDescent="0.2">
      <c r="E400" s="117">
        <v>394</v>
      </c>
      <c r="F400" s="118"/>
      <c r="G400" s="122"/>
      <c r="H400" s="119">
        <v>394</v>
      </c>
      <c r="I400" s="120"/>
      <c r="J400" s="135"/>
    </row>
    <row r="401" spans="5:10" ht="11.25" customHeight="1" x14ac:dyDescent="0.2">
      <c r="E401" s="117">
        <v>395</v>
      </c>
      <c r="F401" s="118"/>
      <c r="G401" s="122"/>
      <c r="H401" s="119">
        <v>395</v>
      </c>
      <c r="I401" s="120"/>
      <c r="J401" s="135"/>
    </row>
    <row r="402" spans="5:10" ht="11.25" customHeight="1" x14ac:dyDescent="0.2">
      <c r="E402" s="117">
        <v>396</v>
      </c>
      <c r="F402" s="118"/>
      <c r="G402" s="122"/>
      <c r="H402" s="119">
        <v>396</v>
      </c>
      <c r="I402" s="120"/>
      <c r="J402" s="135"/>
    </row>
    <row r="403" spans="5:10" ht="11.25" customHeight="1" x14ac:dyDescent="0.2">
      <c r="E403" s="117">
        <v>397</v>
      </c>
      <c r="F403" s="118"/>
      <c r="G403" s="122"/>
      <c r="H403" s="119">
        <v>397</v>
      </c>
      <c r="I403" s="120"/>
      <c r="J403" s="135"/>
    </row>
    <row r="404" spans="5:10" ht="11.25" customHeight="1" x14ac:dyDescent="0.2">
      <c r="E404" s="117">
        <v>398</v>
      </c>
      <c r="F404" s="118"/>
      <c r="G404" s="122"/>
      <c r="H404" s="119">
        <v>398</v>
      </c>
      <c r="I404" s="120"/>
      <c r="J404" s="135"/>
    </row>
    <row r="405" spans="5:10" ht="11.25" customHeight="1" x14ac:dyDescent="0.2">
      <c r="E405" s="117">
        <v>399</v>
      </c>
      <c r="F405" s="118"/>
      <c r="G405" s="122"/>
      <c r="H405" s="119">
        <v>399</v>
      </c>
      <c r="I405" s="120"/>
      <c r="J405" s="135"/>
    </row>
    <row r="406" spans="5:10" ht="11.25" customHeight="1" x14ac:dyDescent="0.2">
      <c r="E406" s="117">
        <v>400</v>
      </c>
      <c r="F406" s="118"/>
      <c r="G406" s="122"/>
      <c r="H406" s="119">
        <v>400</v>
      </c>
      <c r="I406" s="120"/>
      <c r="J406" s="135"/>
    </row>
    <row r="407" spans="5:10" ht="11.25" customHeight="1" x14ac:dyDescent="0.2">
      <c r="E407" s="117">
        <v>401</v>
      </c>
      <c r="F407" s="118"/>
      <c r="G407" s="122"/>
      <c r="H407" s="119">
        <v>401</v>
      </c>
      <c r="I407" s="120"/>
      <c r="J407" s="135"/>
    </row>
    <row r="408" spans="5:10" ht="11.25" customHeight="1" x14ac:dyDescent="0.2">
      <c r="E408" s="117">
        <v>402</v>
      </c>
      <c r="F408" s="118"/>
      <c r="G408" s="122"/>
      <c r="H408" s="119">
        <v>402</v>
      </c>
      <c r="I408" s="120"/>
      <c r="J408" s="135"/>
    </row>
    <row r="409" spans="5:10" ht="11.25" customHeight="1" x14ac:dyDescent="0.2">
      <c r="E409" s="117">
        <v>403</v>
      </c>
      <c r="F409" s="118"/>
      <c r="G409" s="122"/>
      <c r="H409" s="119">
        <v>403</v>
      </c>
      <c r="I409" s="120"/>
      <c r="J409" s="135"/>
    </row>
    <row r="410" spans="5:10" ht="11.25" customHeight="1" x14ac:dyDescent="0.2">
      <c r="E410" s="117">
        <v>404</v>
      </c>
      <c r="F410" s="118"/>
      <c r="G410" s="122"/>
      <c r="H410" s="119">
        <v>404</v>
      </c>
      <c r="I410" s="120"/>
      <c r="J410" s="135"/>
    </row>
    <row r="411" spans="5:10" ht="11.25" customHeight="1" x14ac:dyDescent="0.2">
      <c r="E411" s="117">
        <v>405</v>
      </c>
      <c r="F411" s="118"/>
      <c r="G411" s="122"/>
      <c r="H411" s="119">
        <v>405</v>
      </c>
      <c r="I411" s="120"/>
      <c r="J411" s="135"/>
    </row>
    <row r="412" spans="5:10" ht="11.25" customHeight="1" x14ac:dyDescent="0.2">
      <c r="E412" s="117">
        <v>406</v>
      </c>
      <c r="F412" s="118"/>
      <c r="G412" s="122"/>
      <c r="H412" s="119">
        <v>406</v>
      </c>
      <c r="I412" s="120"/>
      <c r="J412" s="135"/>
    </row>
    <row r="413" spans="5:10" ht="11.25" customHeight="1" x14ac:dyDescent="0.2">
      <c r="E413" s="117">
        <v>407</v>
      </c>
      <c r="F413" s="118"/>
      <c r="G413" s="122"/>
      <c r="H413" s="119">
        <v>407</v>
      </c>
      <c r="I413" s="120"/>
      <c r="J413" s="135"/>
    </row>
    <row r="414" spans="5:10" ht="11.25" customHeight="1" x14ac:dyDescent="0.2">
      <c r="E414" s="117">
        <v>408</v>
      </c>
      <c r="F414" s="118"/>
      <c r="G414" s="122"/>
      <c r="H414" s="119">
        <v>408</v>
      </c>
      <c r="I414" s="120"/>
      <c r="J414" s="135"/>
    </row>
    <row r="415" spans="5:10" ht="11.25" customHeight="1" x14ac:dyDescent="0.2">
      <c r="E415" s="117">
        <v>409</v>
      </c>
      <c r="F415" s="118"/>
      <c r="G415" s="122"/>
      <c r="H415" s="119">
        <v>409</v>
      </c>
      <c r="I415" s="120"/>
      <c r="J415" s="135"/>
    </row>
    <row r="416" spans="5:10" ht="11.25" customHeight="1" x14ac:dyDescent="0.2">
      <c r="E416" s="117">
        <v>410</v>
      </c>
      <c r="F416" s="118"/>
      <c r="G416" s="122"/>
      <c r="H416" s="119">
        <v>410</v>
      </c>
      <c r="I416" s="120"/>
      <c r="J416" s="135"/>
    </row>
    <row r="417" spans="5:10" ht="11.25" customHeight="1" x14ac:dyDescent="0.2">
      <c r="E417" s="117">
        <v>411</v>
      </c>
      <c r="F417" s="118"/>
      <c r="G417" s="122"/>
      <c r="H417" s="119">
        <v>411</v>
      </c>
      <c r="I417" s="120"/>
      <c r="J417" s="135"/>
    </row>
    <row r="418" spans="5:10" ht="11.25" customHeight="1" x14ac:dyDescent="0.2">
      <c r="E418" s="117">
        <v>412</v>
      </c>
      <c r="F418" s="118"/>
      <c r="G418" s="122"/>
      <c r="H418" s="119">
        <v>412</v>
      </c>
      <c r="I418" s="120"/>
      <c r="J418" s="135"/>
    </row>
    <row r="419" spans="5:10" ht="11.25" customHeight="1" x14ac:dyDescent="0.2">
      <c r="E419" s="117">
        <v>413</v>
      </c>
      <c r="F419" s="118"/>
      <c r="G419" s="122"/>
      <c r="H419" s="119">
        <v>413</v>
      </c>
      <c r="I419" s="120"/>
      <c r="J419" s="135"/>
    </row>
    <row r="420" spans="5:10" ht="11.25" customHeight="1" x14ac:dyDescent="0.2">
      <c r="E420" s="117">
        <v>414</v>
      </c>
      <c r="F420" s="118"/>
      <c r="G420" s="122"/>
      <c r="H420" s="119">
        <v>414</v>
      </c>
      <c r="I420" s="120"/>
      <c r="J420" s="135"/>
    </row>
    <row r="421" spans="5:10" ht="11.25" customHeight="1" x14ac:dyDescent="0.2">
      <c r="E421" s="117">
        <v>415</v>
      </c>
      <c r="F421" s="118"/>
      <c r="G421" s="122"/>
      <c r="H421" s="119">
        <v>415</v>
      </c>
      <c r="I421" s="120"/>
      <c r="J421" s="135"/>
    </row>
    <row r="422" spans="5:10" ht="11.25" customHeight="1" x14ac:dyDescent="0.2">
      <c r="E422" s="117">
        <v>416</v>
      </c>
      <c r="F422" s="118"/>
      <c r="G422" s="122"/>
      <c r="H422" s="119">
        <v>416</v>
      </c>
      <c r="I422" s="120"/>
      <c r="J422" s="135"/>
    </row>
    <row r="423" spans="5:10" ht="11.25" customHeight="1" x14ac:dyDescent="0.2">
      <c r="E423" s="117">
        <v>417</v>
      </c>
      <c r="F423" s="118"/>
      <c r="G423" s="122"/>
      <c r="H423" s="119">
        <v>417</v>
      </c>
      <c r="I423" s="120"/>
      <c r="J423" s="135"/>
    </row>
    <row r="424" spans="5:10" ht="11.25" customHeight="1" x14ac:dyDescent="0.2">
      <c r="E424" s="117">
        <v>418</v>
      </c>
      <c r="F424" s="118"/>
      <c r="G424" s="122"/>
      <c r="H424" s="119">
        <v>418</v>
      </c>
      <c r="I424" s="120"/>
      <c r="J424" s="135"/>
    </row>
    <row r="425" spans="5:10" ht="11.25" customHeight="1" x14ac:dyDescent="0.2">
      <c r="E425" s="117">
        <v>419</v>
      </c>
      <c r="F425" s="118"/>
      <c r="G425" s="122"/>
      <c r="H425" s="119">
        <v>419</v>
      </c>
      <c r="I425" s="120"/>
      <c r="J425" s="135"/>
    </row>
    <row r="426" spans="5:10" ht="11.25" customHeight="1" x14ac:dyDescent="0.2">
      <c r="E426" s="117">
        <v>420</v>
      </c>
      <c r="F426" s="118"/>
      <c r="G426" s="122"/>
      <c r="H426" s="119">
        <v>420</v>
      </c>
      <c r="I426" s="120"/>
      <c r="J426" s="135"/>
    </row>
    <row r="427" spans="5:10" ht="11.25" customHeight="1" x14ac:dyDescent="0.2">
      <c r="E427" s="117">
        <v>421</v>
      </c>
      <c r="F427" s="118"/>
      <c r="G427" s="122"/>
      <c r="H427" s="119">
        <v>421</v>
      </c>
      <c r="I427" s="120"/>
      <c r="J427" s="135"/>
    </row>
    <row r="428" spans="5:10" ht="11.25" customHeight="1" x14ac:dyDescent="0.2">
      <c r="E428" s="117">
        <v>422</v>
      </c>
      <c r="F428" s="118"/>
      <c r="G428" s="122"/>
      <c r="H428" s="119">
        <v>422</v>
      </c>
      <c r="I428" s="120"/>
      <c r="J428" s="135"/>
    </row>
    <row r="429" spans="5:10" ht="11.25" customHeight="1" x14ac:dyDescent="0.2">
      <c r="E429" s="117">
        <v>423</v>
      </c>
      <c r="F429" s="118"/>
      <c r="G429" s="122"/>
      <c r="H429" s="119">
        <v>423</v>
      </c>
      <c r="I429" s="120"/>
      <c r="J429" s="135"/>
    </row>
    <row r="430" spans="5:10" ht="11.25" customHeight="1" x14ac:dyDescent="0.2">
      <c r="E430" s="117">
        <v>424</v>
      </c>
      <c r="F430" s="118"/>
      <c r="G430" s="122"/>
      <c r="H430" s="119">
        <v>424</v>
      </c>
      <c r="I430" s="120"/>
      <c r="J430" s="135"/>
    </row>
    <row r="431" spans="5:10" ht="11.25" customHeight="1" x14ac:dyDescent="0.2">
      <c r="E431" s="117">
        <v>425</v>
      </c>
      <c r="F431" s="118"/>
      <c r="G431" s="122"/>
      <c r="H431" s="119">
        <v>425</v>
      </c>
      <c r="I431" s="120"/>
      <c r="J431" s="135"/>
    </row>
    <row r="432" spans="5:10" ht="11.25" customHeight="1" x14ac:dyDescent="0.2">
      <c r="E432" s="117">
        <v>426</v>
      </c>
      <c r="F432" s="118"/>
      <c r="G432" s="122"/>
      <c r="H432" s="119">
        <v>426</v>
      </c>
      <c r="I432" s="120"/>
      <c r="J432" s="135"/>
    </row>
    <row r="433" spans="5:10" ht="11.25" customHeight="1" x14ac:dyDescent="0.2">
      <c r="E433" s="117">
        <v>427</v>
      </c>
      <c r="F433" s="118"/>
      <c r="G433" s="122"/>
      <c r="H433" s="119">
        <v>427</v>
      </c>
      <c r="I433" s="120"/>
      <c r="J433" s="135"/>
    </row>
    <row r="434" spans="5:10" ht="11.25" customHeight="1" x14ac:dyDescent="0.2">
      <c r="E434" s="117">
        <v>428</v>
      </c>
      <c r="F434" s="118"/>
      <c r="G434" s="122"/>
      <c r="H434" s="119">
        <v>428</v>
      </c>
      <c r="I434" s="120"/>
      <c r="J434" s="135"/>
    </row>
    <row r="435" spans="5:10" ht="11.25" customHeight="1" x14ac:dyDescent="0.2">
      <c r="E435" s="117">
        <v>429</v>
      </c>
      <c r="F435" s="118"/>
      <c r="G435" s="122"/>
      <c r="H435" s="119">
        <v>429</v>
      </c>
      <c r="I435" s="120"/>
      <c r="J435" s="135"/>
    </row>
    <row r="436" spans="5:10" ht="11.25" customHeight="1" x14ac:dyDescent="0.2">
      <c r="E436" s="117">
        <v>430</v>
      </c>
      <c r="F436" s="118"/>
      <c r="G436" s="122"/>
      <c r="H436" s="119">
        <v>430</v>
      </c>
      <c r="I436" s="120"/>
      <c r="J436" s="135"/>
    </row>
    <row r="437" spans="5:10" ht="11.25" customHeight="1" x14ac:dyDescent="0.2">
      <c r="E437" s="117">
        <v>431</v>
      </c>
      <c r="F437" s="118"/>
      <c r="G437" s="122"/>
      <c r="H437" s="119">
        <v>431</v>
      </c>
      <c r="I437" s="120"/>
      <c r="J437" s="135"/>
    </row>
    <row r="438" spans="5:10" ht="11.25" customHeight="1" x14ac:dyDescent="0.2">
      <c r="E438" s="117">
        <v>432</v>
      </c>
      <c r="F438" s="118"/>
      <c r="G438" s="122"/>
      <c r="H438" s="119">
        <v>432</v>
      </c>
      <c r="I438" s="120"/>
      <c r="J438" s="135"/>
    </row>
    <row r="439" spans="5:10" ht="11.25" customHeight="1" x14ac:dyDescent="0.2">
      <c r="E439" s="117">
        <v>433</v>
      </c>
      <c r="F439" s="118"/>
      <c r="G439" s="122"/>
      <c r="H439" s="119">
        <v>433</v>
      </c>
      <c r="I439" s="120"/>
      <c r="J439" s="135"/>
    </row>
    <row r="440" spans="5:10" ht="11.25" customHeight="1" x14ac:dyDescent="0.2">
      <c r="E440" s="117">
        <v>434</v>
      </c>
      <c r="F440" s="118"/>
      <c r="G440" s="122"/>
      <c r="H440" s="119">
        <v>434</v>
      </c>
      <c r="I440" s="120"/>
      <c r="J440" s="135"/>
    </row>
    <row r="441" spans="5:10" ht="11.25" customHeight="1" x14ac:dyDescent="0.2">
      <c r="E441" s="117">
        <v>435</v>
      </c>
      <c r="F441" s="118"/>
      <c r="G441" s="122"/>
      <c r="H441" s="119">
        <v>435</v>
      </c>
      <c r="I441" s="120"/>
      <c r="J441" s="135"/>
    </row>
    <row r="442" spans="5:10" ht="11.25" customHeight="1" x14ac:dyDescent="0.2">
      <c r="E442" s="117">
        <v>436</v>
      </c>
      <c r="F442" s="118"/>
      <c r="G442" s="122"/>
      <c r="H442" s="119">
        <v>436</v>
      </c>
      <c r="I442" s="120"/>
      <c r="J442" s="135"/>
    </row>
    <row r="443" spans="5:10" ht="11.25" customHeight="1" x14ac:dyDescent="0.2">
      <c r="E443" s="117">
        <v>437</v>
      </c>
      <c r="F443" s="118"/>
      <c r="G443" s="122"/>
      <c r="H443" s="119">
        <v>437</v>
      </c>
      <c r="I443" s="120"/>
      <c r="J443" s="135"/>
    </row>
    <row r="444" spans="5:10" ht="11.25" customHeight="1" x14ac:dyDescent="0.2">
      <c r="E444" s="117">
        <v>438</v>
      </c>
      <c r="F444" s="118"/>
      <c r="G444" s="122"/>
      <c r="H444" s="119">
        <v>438</v>
      </c>
      <c r="I444" s="120"/>
      <c r="J444" s="135"/>
    </row>
    <row r="445" spans="5:10" ht="11.25" customHeight="1" x14ac:dyDescent="0.2">
      <c r="E445" s="117">
        <v>439</v>
      </c>
      <c r="F445" s="118"/>
      <c r="G445" s="122"/>
      <c r="H445" s="119">
        <v>439</v>
      </c>
      <c r="I445" s="120"/>
      <c r="J445" s="135"/>
    </row>
    <row r="446" spans="5:10" ht="11.25" customHeight="1" x14ac:dyDescent="0.2">
      <c r="E446" s="117">
        <v>440</v>
      </c>
      <c r="F446" s="118"/>
      <c r="G446" s="122"/>
      <c r="H446" s="119">
        <v>440</v>
      </c>
      <c r="I446" s="120"/>
      <c r="J446" s="135"/>
    </row>
    <row r="447" spans="5:10" ht="11.25" customHeight="1" x14ac:dyDescent="0.2">
      <c r="E447" s="117">
        <v>441</v>
      </c>
      <c r="F447" s="118"/>
      <c r="G447" s="122"/>
      <c r="H447" s="119">
        <v>441</v>
      </c>
      <c r="I447" s="120"/>
      <c r="J447" s="135"/>
    </row>
    <row r="448" spans="5:10" ht="11.25" customHeight="1" x14ac:dyDescent="0.2">
      <c r="E448" s="117">
        <v>442</v>
      </c>
      <c r="F448" s="118"/>
      <c r="G448" s="122"/>
      <c r="H448" s="119">
        <v>442</v>
      </c>
      <c r="I448" s="120"/>
      <c r="J448" s="135"/>
    </row>
    <row r="449" spans="5:10" ht="11.25" customHeight="1" x14ac:dyDescent="0.2">
      <c r="E449" s="117">
        <v>443</v>
      </c>
      <c r="F449" s="118"/>
      <c r="G449" s="122"/>
      <c r="H449" s="119">
        <v>443</v>
      </c>
      <c r="I449" s="120"/>
      <c r="J449" s="135"/>
    </row>
    <row r="450" spans="5:10" ht="11.25" customHeight="1" x14ac:dyDescent="0.2">
      <c r="E450" s="117">
        <v>444</v>
      </c>
      <c r="F450" s="118"/>
      <c r="G450" s="122"/>
      <c r="H450" s="119">
        <v>444</v>
      </c>
      <c r="I450" s="120"/>
      <c r="J450" s="135"/>
    </row>
    <row r="451" spans="5:10" ht="11.25" customHeight="1" x14ac:dyDescent="0.2">
      <c r="E451" s="117">
        <v>445</v>
      </c>
      <c r="F451" s="118"/>
      <c r="G451" s="122"/>
      <c r="H451" s="119">
        <v>445</v>
      </c>
      <c r="I451" s="120"/>
      <c r="J451" s="135"/>
    </row>
    <row r="452" spans="5:10" ht="11.25" customHeight="1" x14ac:dyDescent="0.2">
      <c r="E452" s="117">
        <v>446</v>
      </c>
      <c r="F452" s="118"/>
      <c r="G452" s="122"/>
      <c r="H452" s="119">
        <v>446</v>
      </c>
      <c r="I452" s="120"/>
      <c r="J452" s="135"/>
    </row>
    <row r="453" spans="5:10" ht="11.25" customHeight="1" x14ac:dyDescent="0.2">
      <c r="E453" s="117">
        <v>447</v>
      </c>
      <c r="F453" s="118"/>
      <c r="G453" s="122"/>
      <c r="H453" s="119">
        <v>447</v>
      </c>
      <c r="I453" s="120"/>
      <c r="J453" s="135"/>
    </row>
    <row r="454" spans="5:10" ht="11.25" customHeight="1" x14ac:dyDescent="0.2">
      <c r="E454" s="117">
        <v>448</v>
      </c>
      <c r="F454" s="118"/>
      <c r="G454" s="122"/>
      <c r="H454" s="119">
        <v>448</v>
      </c>
      <c r="I454" s="120"/>
      <c r="J454" s="135"/>
    </row>
    <row r="455" spans="5:10" ht="11.25" customHeight="1" x14ac:dyDescent="0.2">
      <c r="E455" s="117">
        <v>449</v>
      </c>
      <c r="F455" s="118"/>
      <c r="G455" s="122"/>
      <c r="H455" s="119">
        <v>449</v>
      </c>
      <c r="I455" s="120"/>
      <c r="J455" s="135"/>
    </row>
    <row r="456" spans="5:10" ht="11.25" customHeight="1" x14ac:dyDescent="0.2">
      <c r="E456" s="117">
        <v>450</v>
      </c>
      <c r="F456" s="118"/>
      <c r="G456" s="122"/>
      <c r="H456" s="119">
        <v>450</v>
      </c>
      <c r="I456" s="120"/>
      <c r="J456" s="135"/>
    </row>
    <row r="457" spans="5:10" ht="11.25" customHeight="1" x14ac:dyDescent="0.2">
      <c r="E457" s="117">
        <v>451</v>
      </c>
      <c r="F457" s="118"/>
      <c r="G457" s="122"/>
      <c r="H457" s="119">
        <v>451</v>
      </c>
      <c r="I457" s="120"/>
      <c r="J457" s="135"/>
    </row>
    <row r="458" spans="5:10" ht="11.25" customHeight="1" x14ac:dyDescent="0.2">
      <c r="E458" s="117">
        <v>452</v>
      </c>
      <c r="F458" s="118"/>
      <c r="G458" s="122"/>
      <c r="H458" s="119">
        <v>452</v>
      </c>
      <c r="I458" s="120"/>
      <c r="J458" s="135"/>
    </row>
    <row r="459" spans="5:10" ht="11.25" customHeight="1" x14ac:dyDescent="0.2">
      <c r="E459" s="117">
        <v>453</v>
      </c>
      <c r="F459" s="118"/>
      <c r="G459" s="122"/>
      <c r="H459" s="119">
        <v>453</v>
      </c>
      <c r="I459" s="120"/>
      <c r="J459" s="135"/>
    </row>
    <row r="460" spans="5:10" ht="11.25" customHeight="1" x14ac:dyDescent="0.2">
      <c r="E460" s="117">
        <v>454</v>
      </c>
      <c r="F460" s="118"/>
      <c r="G460" s="122"/>
      <c r="H460" s="119">
        <v>454</v>
      </c>
      <c r="I460" s="120"/>
      <c r="J460" s="135"/>
    </row>
    <row r="461" spans="5:10" ht="11.25" customHeight="1" x14ac:dyDescent="0.2">
      <c r="E461" s="117">
        <v>455</v>
      </c>
      <c r="F461" s="118"/>
      <c r="G461" s="122"/>
      <c r="H461" s="119">
        <v>455</v>
      </c>
      <c r="I461" s="120"/>
      <c r="J461" s="135"/>
    </row>
    <row r="462" spans="5:10" ht="11.25" customHeight="1" x14ac:dyDescent="0.2">
      <c r="E462" s="117">
        <v>456</v>
      </c>
      <c r="F462" s="118"/>
      <c r="G462" s="122"/>
      <c r="H462" s="119">
        <v>456</v>
      </c>
      <c r="I462" s="120"/>
      <c r="J462" s="135"/>
    </row>
    <row r="463" spans="5:10" ht="11.25" customHeight="1" x14ac:dyDescent="0.2">
      <c r="E463" s="117">
        <v>457</v>
      </c>
      <c r="F463" s="118"/>
      <c r="G463" s="122"/>
      <c r="H463" s="119">
        <v>457</v>
      </c>
      <c r="I463" s="120"/>
      <c r="J463" s="135"/>
    </row>
    <row r="464" spans="5:10" ht="11.25" customHeight="1" x14ac:dyDescent="0.2">
      <c r="E464" s="117">
        <v>458</v>
      </c>
      <c r="F464" s="118"/>
      <c r="G464" s="122"/>
      <c r="H464" s="119">
        <v>458</v>
      </c>
      <c r="I464" s="120"/>
      <c r="J464" s="135"/>
    </row>
    <row r="465" spans="5:10" ht="11.25" customHeight="1" x14ac:dyDescent="0.2">
      <c r="E465" s="117">
        <v>459</v>
      </c>
      <c r="F465" s="118"/>
      <c r="G465" s="122"/>
      <c r="H465" s="119">
        <v>459</v>
      </c>
      <c r="I465" s="120"/>
      <c r="J465" s="135"/>
    </row>
    <row r="466" spans="5:10" ht="11.25" customHeight="1" x14ac:dyDescent="0.2">
      <c r="E466" s="117">
        <v>460</v>
      </c>
      <c r="F466" s="118"/>
      <c r="G466" s="122"/>
      <c r="H466" s="119">
        <v>460</v>
      </c>
      <c r="I466" s="120"/>
      <c r="J466" s="135"/>
    </row>
    <row r="467" spans="5:10" ht="11.25" customHeight="1" x14ac:dyDescent="0.2">
      <c r="E467" s="117">
        <v>461</v>
      </c>
      <c r="F467" s="118"/>
      <c r="G467" s="122"/>
      <c r="H467" s="119">
        <v>461</v>
      </c>
      <c r="I467" s="120"/>
      <c r="J467" s="135"/>
    </row>
    <row r="468" spans="5:10" ht="11.25" customHeight="1" x14ac:dyDescent="0.2">
      <c r="E468" s="117">
        <v>462</v>
      </c>
      <c r="F468" s="118"/>
      <c r="G468" s="122"/>
      <c r="H468" s="119">
        <v>462</v>
      </c>
      <c r="I468" s="120"/>
      <c r="J468" s="135"/>
    </row>
    <row r="469" spans="5:10" ht="11.25" customHeight="1" x14ac:dyDescent="0.2">
      <c r="E469" s="117">
        <v>463</v>
      </c>
      <c r="F469" s="118"/>
      <c r="G469" s="122"/>
      <c r="H469" s="119">
        <v>463</v>
      </c>
      <c r="I469" s="120"/>
      <c r="J469" s="135"/>
    </row>
    <row r="470" spans="5:10" ht="11.25" customHeight="1" x14ac:dyDescent="0.2">
      <c r="E470" s="117">
        <v>464</v>
      </c>
      <c r="F470" s="118"/>
      <c r="G470" s="122"/>
      <c r="H470" s="119">
        <v>464</v>
      </c>
      <c r="I470" s="120"/>
      <c r="J470" s="135"/>
    </row>
    <row r="471" spans="5:10" ht="11.25" customHeight="1" x14ac:dyDescent="0.2">
      <c r="E471" s="117">
        <v>465</v>
      </c>
      <c r="F471" s="118"/>
      <c r="G471" s="122"/>
      <c r="H471" s="119">
        <v>465</v>
      </c>
      <c r="I471" s="120"/>
      <c r="J471" s="135"/>
    </row>
    <row r="472" spans="5:10" ht="11.25" customHeight="1" x14ac:dyDescent="0.2">
      <c r="E472" s="117">
        <v>466</v>
      </c>
      <c r="F472" s="118"/>
      <c r="G472" s="122"/>
      <c r="H472" s="119">
        <v>466</v>
      </c>
      <c r="I472" s="120"/>
      <c r="J472" s="135"/>
    </row>
    <row r="473" spans="5:10" ht="11.25" customHeight="1" x14ac:dyDescent="0.2">
      <c r="E473" s="117">
        <v>467</v>
      </c>
      <c r="F473" s="118"/>
      <c r="G473" s="122"/>
      <c r="H473" s="119">
        <v>467</v>
      </c>
      <c r="I473" s="120"/>
      <c r="J473" s="135"/>
    </row>
    <row r="474" spans="5:10" ht="11.25" customHeight="1" x14ac:dyDescent="0.2">
      <c r="E474" s="117">
        <v>468</v>
      </c>
      <c r="F474" s="118"/>
      <c r="G474" s="122"/>
      <c r="H474" s="119">
        <v>468</v>
      </c>
      <c r="I474" s="120"/>
      <c r="J474" s="135"/>
    </row>
    <row r="475" spans="5:10" ht="11.25" customHeight="1" x14ac:dyDescent="0.2">
      <c r="E475" s="117">
        <v>469</v>
      </c>
      <c r="F475" s="118"/>
      <c r="G475" s="122"/>
      <c r="H475" s="119">
        <v>469</v>
      </c>
      <c r="I475" s="120"/>
      <c r="J475" s="135"/>
    </row>
    <row r="476" spans="5:10" ht="11.25" customHeight="1" x14ac:dyDescent="0.2">
      <c r="E476" s="117">
        <v>470</v>
      </c>
      <c r="F476" s="118"/>
      <c r="G476" s="122"/>
      <c r="H476" s="119">
        <v>470</v>
      </c>
      <c r="I476" s="120"/>
      <c r="J476" s="135"/>
    </row>
    <row r="477" spans="5:10" ht="11.25" customHeight="1" x14ac:dyDescent="0.2">
      <c r="E477" s="117">
        <v>471</v>
      </c>
      <c r="F477" s="118"/>
      <c r="G477" s="122"/>
      <c r="H477" s="119">
        <v>471</v>
      </c>
      <c r="I477" s="120"/>
      <c r="J477" s="135"/>
    </row>
    <row r="478" spans="5:10" ht="11.25" customHeight="1" x14ac:dyDescent="0.2">
      <c r="E478" s="117">
        <v>472</v>
      </c>
      <c r="F478" s="118"/>
      <c r="G478" s="122"/>
      <c r="H478" s="119">
        <v>472</v>
      </c>
      <c r="I478" s="120"/>
      <c r="J478" s="135"/>
    </row>
    <row r="479" spans="5:10" ht="11.25" customHeight="1" x14ac:dyDescent="0.2">
      <c r="E479" s="117">
        <v>473</v>
      </c>
      <c r="F479" s="118"/>
      <c r="G479" s="122"/>
      <c r="H479" s="119">
        <v>473</v>
      </c>
      <c r="I479" s="120"/>
      <c r="J479" s="135"/>
    </row>
    <row r="480" spans="5:10" ht="11.25" customHeight="1" x14ac:dyDescent="0.2">
      <c r="E480" s="117">
        <v>474</v>
      </c>
      <c r="F480" s="118"/>
      <c r="G480" s="122"/>
      <c r="H480" s="119">
        <v>474</v>
      </c>
      <c r="I480" s="120"/>
      <c r="J480" s="135"/>
    </row>
    <row r="481" spans="5:10" ht="11.25" customHeight="1" x14ac:dyDescent="0.2">
      <c r="E481" s="117">
        <v>475</v>
      </c>
      <c r="F481" s="118"/>
      <c r="G481" s="122"/>
      <c r="H481" s="119">
        <v>475</v>
      </c>
      <c r="I481" s="120"/>
      <c r="J481" s="135"/>
    </row>
    <row r="482" spans="5:10" ht="11.25" customHeight="1" x14ac:dyDescent="0.2">
      <c r="E482" s="117">
        <v>476</v>
      </c>
      <c r="F482" s="118"/>
      <c r="G482" s="122"/>
      <c r="H482" s="119">
        <v>476</v>
      </c>
      <c r="I482" s="120"/>
      <c r="J482" s="135"/>
    </row>
    <row r="483" spans="5:10" ht="11.25" customHeight="1" x14ac:dyDescent="0.2">
      <c r="E483" s="117">
        <v>477</v>
      </c>
      <c r="F483" s="118"/>
      <c r="G483" s="122"/>
      <c r="H483" s="119">
        <v>477</v>
      </c>
      <c r="I483" s="120"/>
      <c r="J483" s="135"/>
    </row>
    <row r="484" spans="5:10" ht="11.25" customHeight="1" x14ac:dyDescent="0.2">
      <c r="E484" s="117">
        <v>478</v>
      </c>
      <c r="F484" s="118"/>
      <c r="G484" s="122"/>
      <c r="H484" s="119">
        <v>478</v>
      </c>
      <c r="I484" s="120"/>
      <c r="J484" s="135"/>
    </row>
    <row r="485" spans="5:10" ht="11.25" customHeight="1" x14ac:dyDescent="0.2">
      <c r="E485" s="117">
        <v>479</v>
      </c>
      <c r="F485" s="118"/>
      <c r="G485" s="122"/>
      <c r="H485" s="119">
        <v>479</v>
      </c>
      <c r="I485" s="120"/>
      <c r="J485" s="135"/>
    </row>
    <row r="486" spans="5:10" ht="11.25" customHeight="1" x14ac:dyDescent="0.2">
      <c r="E486" s="117">
        <v>480</v>
      </c>
      <c r="F486" s="118"/>
      <c r="G486" s="122"/>
      <c r="H486" s="119">
        <v>480</v>
      </c>
      <c r="I486" s="120"/>
      <c r="J486" s="135"/>
    </row>
    <row r="487" spans="5:10" ht="11.25" customHeight="1" x14ac:dyDescent="0.2">
      <c r="E487" s="117">
        <v>481</v>
      </c>
      <c r="F487" s="118"/>
      <c r="G487" s="122"/>
      <c r="H487" s="119">
        <v>481</v>
      </c>
      <c r="I487" s="120"/>
      <c r="J487" s="135"/>
    </row>
    <row r="488" spans="5:10" ht="11.25" customHeight="1" x14ac:dyDescent="0.2">
      <c r="E488" s="117">
        <v>482</v>
      </c>
      <c r="F488" s="118"/>
      <c r="G488" s="122"/>
      <c r="H488" s="119">
        <v>482</v>
      </c>
      <c r="I488" s="120"/>
      <c r="J488" s="135"/>
    </row>
    <row r="489" spans="5:10" ht="11.25" customHeight="1" x14ac:dyDescent="0.2">
      <c r="E489" s="117">
        <v>483</v>
      </c>
      <c r="F489" s="118"/>
      <c r="G489" s="122"/>
      <c r="H489" s="119">
        <v>483</v>
      </c>
      <c r="I489" s="120"/>
      <c r="J489" s="135"/>
    </row>
    <row r="490" spans="5:10" ht="11.25" customHeight="1" x14ac:dyDescent="0.2">
      <c r="E490" s="117">
        <v>484</v>
      </c>
      <c r="F490" s="118"/>
      <c r="G490" s="122"/>
      <c r="H490" s="119">
        <v>484</v>
      </c>
      <c r="I490" s="120"/>
      <c r="J490" s="135"/>
    </row>
    <row r="491" spans="5:10" ht="11.25" customHeight="1" x14ac:dyDescent="0.2">
      <c r="E491" s="117">
        <v>485</v>
      </c>
      <c r="F491" s="118"/>
      <c r="G491" s="122"/>
      <c r="H491" s="119">
        <v>485</v>
      </c>
      <c r="I491" s="120"/>
      <c r="J491" s="135"/>
    </row>
    <row r="492" spans="5:10" ht="11.25" customHeight="1" x14ac:dyDescent="0.2">
      <c r="E492" s="117">
        <v>486</v>
      </c>
      <c r="F492" s="118"/>
      <c r="G492" s="122"/>
      <c r="H492" s="119">
        <v>486</v>
      </c>
      <c r="I492" s="120"/>
      <c r="J492" s="135"/>
    </row>
    <row r="493" spans="5:10" ht="11.25" customHeight="1" x14ac:dyDescent="0.2">
      <c r="E493" s="117">
        <v>487</v>
      </c>
      <c r="F493" s="118"/>
      <c r="G493" s="122"/>
      <c r="H493" s="119">
        <v>487</v>
      </c>
      <c r="I493" s="120"/>
      <c r="J493" s="135"/>
    </row>
    <row r="494" spans="5:10" ht="11.25" customHeight="1" x14ac:dyDescent="0.2">
      <c r="E494" s="117">
        <v>488</v>
      </c>
      <c r="F494" s="118"/>
      <c r="G494" s="122"/>
      <c r="H494" s="119">
        <v>488</v>
      </c>
      <c r="I494" s="120"/>
      <c r="J494" s="135"/>
    </row>
    <row r="495" spans="5:10" ht="11.25" customHeight="1" x14ac:dyDescent="0.2">
      <c r="E495" s="117">
        <v>489</v>
      </c>
      <c r="F495" s="118"/>
      <c r="G495" s="122"/>
      <c r="H495" s="119">
        <v>489</v>
      </c>
      <c r="I495" s="120"/>
      <c r="J495" s="135"/>
    </row>
    <row r="496" spans="5:10" ht="11.25" customHeight="1" x14ac:dyDescent="0.2">
      <c r="E496" s="117">
        <v>490</v>
      </c>
      <c r="F496" s="118"/>
      <c r="G496" s="122"/>
      <c r="H496" s="119">
        <v>490</v>
      </c>
      <c r="I496" s="120"/>
      <c r="J496" s="135"/>
    </row>
    <row r="497" spans="5:10" ht="11.25" customHeight="1" x14ac:dyDescent="0.2">
      <c r="E497" s="117">
        <v>491</v>
      </c>
      <c r="F497" s="118"/>
      <c r="G497" s="122"/>
      <c r="H497" s="119">
        <v>491</v>
      </c>
      <c r="I497" s="120"/>
      <c r="J497" s="135"/>
    </row>
    <row r="498" spans="5:10" ht="11.25" customHeight="1" x14ac:dyDescent="0.2">
      <c r="E498" s="117">
        <v>492</v>
      </c>
      <c r="F498" s="118"/>
      <c r="G498" s="122"/>
      <c r="H498" s="119">
        <v>492</v>
      </c>
      <c r="I498" s="120"/>
      <c r="J498" s="135"/>
    </row>
    <row r="499" spans="5:10" ht="11.25" customHeight="1" x14ac:dyDescent="0.2">
      <c r="E499" s="117">
        <v>493</v>
      </c>
      <c r="F499" s="118"/>
      <c r="G499" s="122"/>
      <c r="H499" s="119">
        <v>493</v>
      </c>
      <c r="I499" s="120"/>
      <c r="J499" s="135"/>
    </row>
    <row r="500" spans="5:10" ht="11.25" customHeight="1" x14ac:dyDescent="0.2">
      <c r="E500" s="117">
        <v>494</v>
      </c>
      <c r="F500" s="118"/>
      <c r="G500" s="122"/>
      <c r="H500" s="119">
        <v>494</v>
      </c>
      <c r="I500" s="120"/>
      <c r="J500" s="135"/>
    </row>
    <row r="501" spans="5:10" ht="11.25" customHeight="1" x14ac:dyDescent="0.2">
      <c r="E501" s="117">
        <v>495</v>
      </c>
      <c r="F501" s="118"/>
      <c r="G501" s="122"/>
      <c r="H501" s="119">
        <v>495</v>
      </c>
      <c r="I501" s="120"/>
      <c r="J501" s="135"/>
    </row>
    <row r="502" spans="5:10" ht="11.25" customHeight="1" x14ac:dyDescent="0.2">
      <c r="E502" s="117">
        <v>496</v>
      </c>
      <c r="F502" s="118"/>
      <c r="G502" s="122"/>
      <c r="H502" s="119">
        <v>496</v>
      </c>
      <c r="I502" s="120"/>
      <c r="J502" s="135"/>
    </row>
    <row r="503" spans="5:10" ht="11.25" customHeight="1" x14ac:dyDescent="0.2">
      <c r="E503" s="117">
        <v>497</v>
      </c>
      <c r="F503" s="118"/>
      <c r="G503" s="122"/>
      <c r="H503" s="119">
        <v>497</v>
      </c>
      <c r="I503" s="120"/>
      <c r="J503" s="135"/>
    </row>
    <row r="504" spans="5:10" ht="11.25" customHeight="1" x14ac:dyDescent="0.2">
      <c r="E504" s="117">
        <v>498</v>
      </c>
      <c r="F504" s="118"/>
      <c r="G504" s="122"/>
      <c r="H504" s="119">
        <v>498</v>
      </c>
      <c r="I504" s="120"/>
      <c r="J504" s="135"/>
    </row>
    <row r="505" spans="5:10" ht="11.25" customHeight="1" x14ac:dyDescent="0.2">
      <c r="E505" s="117">
        <v>499</v>
      </c>
      <c r="F505" s="118"/>
      <c r="G505" s="122"/>
      <c r="H505" s="119">
        <v>499</v>
      </c>
      <c r="I505" s="120"/>
      <c r="J505" s="135"/>
    </row>
    <row r="506" spans="5:10" ht="11.25" customHeight="1" x14ac:dyDescent="0.2">
      <c r="E506" s="117">
        <v>500</v>
      </c>
      <c r="F506" s="118"/>
      <c r="G506" s="122"/>
      <c r="H506" s="119">
        <v>500</v>
      </c>
      <c r="I506" s="120"/>
      <c r="J506" s="135"/>
    </row>
    <row r="507" spans="5:10" ht="11.25" customHeight="1" x14ac:dyDescent="0.2">
      <c r="E507" s="117">
        <v>501</v>
      </c>
      <c r="F507" s="118"/>
      <c r="G507" s="122"/>
      <c r="H507" s="119">
        <v>501</v>
      </c>
      <c r="I507" s="120"/>
      <c r="J507" s="135"/>
    </row>
    <row r="508" spans="5:10" ht="11.25" customHeight="1" x14ac:dyDescent="0.2">
      <c r="E508" s="117">
        <v>502</v>
      </c>
      <c r="F508" s="118"/>
      <c r="G508" s="122"/>
      <c r="H508" s="119">
        <v>502</v>
      </c>
      <c r="I508" s="120"/>
      <c r="J508" s="135"/>
    </row>
    <row r="509" spans="5:10" ht="11.25" customHeight="1" x14ac:dyDescent="0.2">
      <c r="E509" s="117">
        <v>503</v>
      </c>
      <c r="F509" s="118"/>
      <c r="G509" s="122"/>
      <c r="H509" s="119">
        <v>503</v>
      </c>
      <c r="I509" s="120"/>
      <c r="J509" s="135"/>
    </row>
    <row r="510" spans="5:10" ht="11.25" customHeight="1" x14ac:dyDescent="0.2">
      <c r="E510" s="117">
        <v>504</v>
      </c>
      <c r="F510" s="118"/>
      <c r="G510" s="122"/>
      <c r="H510" s="119">
        <v>504</v>
      </c>
      <c r="I510" s="120"/>
      <c r="J510" s="135"/>
    </row>
    <row r="511" spans="5:10" ht="11.25" customHeight="1" x14ac:dyDescent="0.2">
      <c r="E511" s="117">
        <v>505</v>
      </c>
      <c r="F511" s="118"/>
      <c r="G511" s="122"/>
      <c r="H511" s="119">
        <v>505</v>
      </c>
      <c r="I511" s="120"/>
      <c r="J511" s="135"/>
    </row>
    <row r="512" spans="5:10" ht="11.25" customHeight="1" x14ac:dyDescent="0.2">
      <c r="E512" s="117">
        <v>506</v>
      </c>
      <c r="F512" s="118"/>
      <c r="G512" s="122"/>
      <c r="H512" s="119">
        <v>506</v>
      </c>
      <c r="I512" s="120"/>
      <c r="J512" s="135"/>
    </row>
    <row r="513" spans="5:10" ht="11.25" customHeight="1" x14ac:dyDescent="0.2">
      <c r="E513" s="117">
        <v>507</v>
      </c>
      <c r="F513" s="118"/>
      <c r="G513" s="122"/>
      <c r="H513" s="119">
        <v>507</v>
      </c>
      <c r="I513" s="120"/>
      <c r="J513" s="135"/>
    </row>
    <row r="514" spans="5:10" ht="11.25" customHeight="1" x14ac:dyDescent="0.2">
      <c r="E514" s="117">
        <v>508</v>
      </c>
      <c r="F514" s="118"/>
      <c r="G514" s="122"/>
      <c r="H514" s="119">
        <v>508</v>
      </c>
      <c r="I514" s="120"/>
      <c r="J514" s="135"/>
    </row>
    <row r="515" spans="5:10" ht="11.25" customHeight="1" x14ac:dyDescent="0.2">
      <c r="E515" s="117">
        <v>509</v>
      </c>
      <c r="F515" s="118"/>
      <c r="G515" s="122"/>
      <c r="H515" s="119">
        <v>509</v>
      </c>
      <c r="I515" s="120"/>
      <c r="J515" s="135"/>
    </row>
    <row r="516" spans="5:10" ht="11.25" customHeight="1" x14ac:dyDescent="0.2">
      <c r="E516" s="117">
        <v>510</v>
      </c>
      <c r="F516" s="118"/>
      <c r="G516" s="122"/>
      <c r="H516" s="119">
        <v>510</v>
      </c>
      <c r="I516" s="120"/>
      <c r="J516" s="135"/>
    </row>
    <row r="517" spans="5:10" ht="11.25" customHeight="1" x14ac:dyDescent="0.2">
      <c r="E517" s="117">
        <v>511</v>
      </c>
      <c r="F517" s="118"/>
      <c r="G517" s="122"/>
      <c r="H517" s="119">
        <v>511</v>
      </c>
      <c r="I517" s="120"/>
      <c r="J517" s="135"/>
    </row>
    <row r="518" spans="5:10" ht="11.25" customHeight="1" x14ac:dyDescent="0.2">
      <c r="E518" s="117">
        <v>512</v>
      </c>
      <c r="F518" s="118"/>
      <c r="G518" s="122"/>
      <c r="H518" s="119">
        <v>512</v>
      </c>
      <c r="I518" s="120"/>
      <c r="J518" s="135"/>
    </row>
    <row r="519" spans="5:10" ht="11.25" customHeight="1" x14ac:dyDescent="0.2">
      <c r="E519" s="117">
        <v>513</v>
      </c>
      <c r="F519" s="118"/>
      <c r="G519" s="122"/>
      <c r="H519" s="119">
        <v>513</v>
      </c>
      <c r="I519" s="120"/>
      <c r="J519" s="135"/>
    </row>
    <row r="520" spans="5:10" ht="11.25" customHeight="1" x14ac:dyDescent="0.2">
      <c r="E520" s="117">
        <v>514</v>
      </c>
      <c r="F520" s="118"/>
      <c r="G520" s="122"/>
      <c r="H520" s="119">
        <v>514</v>
      </c>
      <c r="I520" s="120"/>
      <c r="J520" s="135"/>
    </row>
    <row r="521" spans="5:10" ht="11.25" customHeight="1" x14ac:dyDescent="0.2">
      <c r="E521" s="117">
        <v>515</v>
      </c>
      <c r="F521" s="118"/>
      <c r="G521" s="122"/>
      <c r="H521" s="119">
        <v>515</v>
      </c>
      <c r="I521" s="120"/>
      <c r="J521" s="135"/>
    </row>
    <row r="522" spans="5:10" ht="11.25" customHeight="1" x14ac:dyDescent="0.2">
      <c r="E522" s="117">
        <v>516</v>
      </c>
      <c r="F522" s="118"/>
      <c r="G522" s="122"/>
      <c r="H522" s="119">
        <v>516</v>
      </c>
      <c r="I522" s="120"/>
      <c r="J522" s="135"/>
    </row>
    <row r="523" spans="5:10" ht="11.25" customHeight="1" x14ac:dyDescent="0.2">
      <c r="E523" s="117">
        <v>517</v>
      </c>
      <c r="F523" s="118"/>
      <c r="G523" s="122"/>
      <c r="H523" s="119">
        <v>517</v>
      </c>
      <c r="I523" s="120"/>
      <c r="J523" s="135"/>
    </row>
    <row r="524" spans="5:10" ht="11.25" customHeight="1" x14ac:dyDescent="0.2">
      <c r="E524" s="117">
        <v>518</v>
      </c>
      <c r="F524" s="118"/>
      <c r="G524" s="122"/>
      <c r="H524" s="119">
        <v>518</v>
      </c>
      <c r="I524" s="120"/>
      <c r="J524" s="135"/>
    </row>
    <row r="525" spans="5:10" ht="11.25" customHeight="1" x14ac:dyDescent="0.2">
      <c r="E525" s="117">
        <v>519</v>
      </c>
      <c r="F525" s="118"/>
      <c r="G525" s="122"/>
      <c r="H525" s="119">
        <v>519</v>
      </c>
      <c r="I525" s="120"/>
      <c r="J525" s="135"/>
    </row>
    <row r="526" spans="5:10" ht="11.25" customHeight="1" x14ac:dyDescent="0.2">
      <c r="E526" s="117">
        <v>520</v>
      </c>
      <c r="F526" s="118"/>
      <c r="G526" s="122"/>
      <c r="H526" s="119">
        <v>520</v>
      </c>
      <c r="I526" s="120"/>
      <c r="J526" s="135"/>
    </row>
    <row r="527" spans="5:10" ht="11.25" customHeight="1" x14ac:dyDescent="0.2">
      <c r="E527" s="117">
        <v>521</v>
      </c>
      <c r="F527" s="118"/>
      <c r="G527" s="122"/>
      <c r="H527" s="119">
        <v>521</v>
      </c>
      <c r="I527" s="120"/>
      <c r="J527" s="135"/>
    </row>
    <row r="528" spans="5:10" ht="11.25" customHeight="1" x14ac:dyDescent="0.2">
      <c r="E528" s="117">
        <v>522</v>
      </c>
      <c r="F528" s="118"/>
      <c r="G528" s="122"/>
      <c r="H528" s="119">
        <v>522</v>
      </c>
      <c r="I528" s="120"/>
      <c r="J528" s="135"/>
    </row>
    <row r="529" spans="5:10" ht="11.25" customHeight="1" x14ac:dyDescent="0.2">
      <c r="E529" s="117">
        <v>523</v>
      </c>
      <c r="F529" s="118"/>
      <c r="G529" s="122"/>
      <c r="H529" s="119">
        <v>523</v>
      </c>
      <c r="I529" s="120"/>
      <c r="J529" s="135"/>
    </row>
    <row r="530" spans="5:10" ht="11.25" customHeight="1" x14ac:dyDescent="0.2">
      <c r="E530" s="117">
        <v>524</v>
      </c>
      <c r="F530" s="118"/>
      <c r="G530" s="122"/>
      <c r="H530" s="119">
        <v>524</v>
      </c>
      <c r="I530" s="120"/>
      <c r="J530" s="135"/>
    </row>
    <row r="531" spans="5:10" ht="11.25" customHeight="1" x14ac:dyDescent="0.2">
      <c r="E531" s="117">
        <v>525</v>
      </c>
      <c r="F531" s="118"/>
      <c r="G531" s="122"/>
      <c r="H531" s="119">
        <v>525</v>
      </c>
      <c r="I531" s="120"/>
      <c r="J531" s="135"/>
    </row>
    <row r="532" spans="5:10" ht="11.25" customHeight="1" x14ac:dyDescent="0.2">
      <c r="E532" s="117">
        <v>526</v>
      </c>
      <c r="F532" s="118"/>
      <c r="G532" s="122"/>
      <c r="H532" s="119">
        <v>526</v>
      </c>
      <c r="I532" s="120"/>
      <c r="J532" s="135"/>
    </row>
    <row r="533" spans="5:10" ht="11.25" customHeight="1" x14ac:dyDescent="0.2">
      <c r="E533" s="117">
        <v>527</v>
      </c>
      <c r="F533" s="118"/>
      <c r="G533" s="122"/>
      <c r="H533" s="119">
        <v>527</v>
      </c>
      <c r="I533" s="120"/>
      <c r="J533" s="135"/>
    </row>
    <row r="534" spans="5:10" ht="11.25" customHeight="1" x14ac:dyDescent="0.2">
      <c r="E534" s="117">
        <v>528</v>
      </c>
      <c r="F534" s="118"/>
      <c r="G534" s="122"/>
      <c r="H534" s="119">
        <v>528</v>
      </c>
      <c r="I534" s="120"/>
      <c r="J534" s="135"/>
    </row>
    <row r="535" spans="5:10" ht="11.25" customHeight="1" x14ac:dyDescent="0.2">
      <c r="E535" s="117">
        <v>529</v>
      </c>
      <c r="F535" s="118"/>
      <c r="G535" s="122"/>
      <c r="H535" s="119">
        <v>529</v>
      </c>
      <c r="I535" s="120"/>
      <c r="J535" s="135"/>
    </row>
    <row r="536" spans="5:10" ht="11.25" customHeight="1" x14ac:dyDescent="0.2">
      <c r="E536" s="117">
        <v>530</v>
      </c>
      <c r="F536" s="118"/>
      <c r="G536" s="122"/>
      <c r="H536" s="119">
        <v>530</v>
      </c>
      <c r="I536" s="120"/>
      <c r="J536" s="135"/>
    </row>
    <row r="537" spans="5:10" ht="11.25" customHeight="1" x14ac:dyDescent="0.2">
      <c r="E537" s="117">
        <v>531</v>
      </c>
      <c r="F537" s="118"/>
      <c r="G537" s="122"/>
      <c r="H537" s="119">
        <v>531</v>
      </c>
      <c r="I537" s="120"/>
      <c r="J537" s="135"/>
    </row>
    <row r="538" spans="5:10" ht="11.25" customHeight="1" x14ac:dyDescent="0.2">
      <c r="E538" s="117">
        <v>532</v>
      </c>
      <c r="F538" s="118"/>
      <c r="G538" s="122"/>
      <c r="H538" s="119">
        <v>532</v>
      </c>
      <c r="I538" s="120"/>
      <c r="J538" s="135"/>
    </row>
    <row r="539" spans="5:10" ht="11.25" customHeight="1" x14ac:dyDescent="0.2">
      <c r="E539" s="117">
        <v>533</v>
      </c>
      <c r="F539" s="118"/>
      <c r="G539" s="122"/>
      <c r="H539" s="119">
        <v>533</v>
      </c>
      <c r="I539" s="120"/>
      <c r="J539" s="135"/>
    </row>
    <row r="540" spans="5:10" ht="11.25" customHeight="1" x14ac:dyDescent="0.2">
      <c r="E540" s="117">
        <v>534</v>
      </c>
      <c r="F540" s="118"/>
      <c r="G540" s="122"/>
      <c r="H540" s="119">
        <v>534</v>
      </c>
      <c r="I540" s="120"/>
      <c r="J540" s="135"/>
    </row>
    <row r="541" spans="5:10" ht="11.25" customHeight="1" x14ac:dyDescent="0.2">
      <c r="E541" s="117">
        <v>535</v>
      </c>
      <c r="F541" s="118"/>
      <c r="G541" s="122"/>
      <c r="H541" s="119">
        <v>535</v>
      </c>
      <c r="I541" s="120"/>
      <c r="J541" s="135"/>
    </row>
    <row r="542" spans="5:10" ht="11.25" customHeight="1" x14ac:dyDescent="0.2">
      <c r="E542" s="117">
        <v>536</v>
      </c>
      <c r="F542" s="118"/>
      <c r="G542" s="122"/>
      <c r="H542" s="119">
        <v>536</v>
      </c>
      <c r="I542" s="120"/>
      <c r="J542" s="135"/>
    </row>
    <row r="543" spans="5:10" ht="11.25" customHeight="1" x14ac:dyDescent="0.2">
      <c r="E543" s="117">
        <v>537</v>
      </c>
      <c r="F543" s="118"/>
      <c r="G543" s="122"/>
      <c r="H543" s="119">
        <v>537</v>
      </c>
      <c r="I543" s="120"/>
      <c r="J543" s="135"/>
    </row>
    <row r="544" spans="5:10" ht="11.25" customHeight="1" x14ac:dyDescent="0.2">
      <c r="E544" s="117">
        <v>538</v>
      </c>
      <c r="F544" s="118"/>
      <c r="G544" s="122"/>
      <c r="H544" s="119">
        <v>538</v>
      </c>
      <c r="I544" s="120"/>
      <c r="J544" s="135"/>
    </row>
    <row r="545" spans="5:10" ht="11.25" customHeight="1" x14ac:dyDescent="0.2">
      <c r="E545" s="117">
        <v>539</v>
      </c>
      <c r="F545" s="118"/>
      <c r="G545" s="122"/>
      <c r="H545" s="119">
        <v>539</v>
      </c>
      <c r="I545" s="120"/>
      <c r="J545" s="135"/>
    </row>
    <row r="546" spans="5:10" ht="11.25" customHeight="1" x14ac:dyDescent="0.2">
      <c r="E546" s="117">
        <v>540</v>
      </c>
      <c r="F546" s="118"/>
      <c r="G546" s="122"/>
      <c r="H546" s="119">
        <v>540</v>
      </c>
      <c r="I546" s="120"/>
      <c r="J546" s="135"/>
    </row>
    <row r="547" spans="5:10" ht="11.25" customHeight="1" x14ac:dyDescent="0.2">
      <c r="E547" s="117">
        <v>541</v>
      </c>
      <c r="F547" s="118"/>
      <c r="G547" s="122"/>
      <c r="H547" s="119">
        <v>541</v>
      </c>
      <c r="I547" s="120"/>
      <c r="J547" s="135"/>
    </row>
    <row r="548" spans="5:10" ht="11.25" customHeight="1" x14ac:dyDescent="0.2">
      <c r="E548" s="117">
        <v>542</v>
      </c>
      <c r="F548" s="118"/>
      <c r="G548" s="122"/>
      <c r="H548" s="119">
        <v>542</v>
      </c>
      <c r="I548" s="120"/>
      <c r="J548" s="135"/>
    </row>
    <row r="549" spans="5:10" ht="11.25" customHeight="1" x14ac:dyDescent="0.2">
      <c r="E549" s="117">
        <v>543</v>
      </c>
      <c r="F549" s="118"/>
      <c r="G549" s="122"/>
      <c r="H549" s="119">
        <v>543</v>
      </c>
      <c r="I549" s="120"/>
      <c r="J549" s="135"/>
    </row>
    <row r="550" spans="5:10" ht="11.25" customHeight="1" x14ac:dyDescent="0.2">
      <c r="E550" s="117">
        <v>544</v>
      </c>
      <c r="F550" s="118"/>
      <c r="G550" s="122"/>
      <c r="H550" s="119">
        <v>544</v>
      </c>
      <c r="I550" s="120"/>
      <c r="J550" s="135"/>
    </row>
    <row r="551" spans="5:10" ht="11.25" customHeight="1" x14ac:dyDescent="0.2">
      <c r="E551" s="117">
        <v>545</v>
      </c>
      <c r="F551" s="118"/>
      <c r="G551" s="122"/>
      <c r="H551" s="119">
        <v>545</v>
      </c>
      <c r="I551" s="120"/>
      <c r="J551" s="135"/>
    </row>
    <row r="552" spans="5:10" ht="11.25" customHeight="1" x14ac:dyDescent="0.2">
      <c r="E552" s="117">
        <v>546</v>
      </c>
      <c r="F552" s="118"/>
      <c r="G552" s="122"/>
      <c r="H552" s="119">
        <v>546</v>
      </c>
      <c r="I552" s="120"/>
      <c r="J552" s="135"/>
    </row>
    <row r="553" spans="5:10" ht="11.25" customHeight="1" x14ac:dyDescent="0.2">
      <c r="E553" s="117">
        <v>547</v>
      </c>
      <c r="F553" s="118"/>
      <c r="G553" s="122"/>
      <c r="H553" s="119">
        <v>547</v>
      </c>
      <c r="I553" s="120"/>
      <c r="J553" s="135"/>
    </row>
    <row r="554" spans="5:10" ht="11.25" customHeight="1" x14ac:dyDescent="0.2">
      <c r="E554" s="117">
        <v>548</v>
      </c>
      <c r="F554" s="118"/>
      <c r="G554" s="122"/>
      <c r="H554" s="119">
        <v>548</v>
      </c>
      <c r="I554" s="120"/>
      <c r="J554" s="135"/>
    </row>
    <row r="555" spans="5:10" ht="11.25" customHeight="1" x14ac:dyDescent="0.2">
      <c r="E555" s="117">
        <v>549</v>
      </c>
      <c r="F555" s="118"/>
      <c r="G555" s="122"/>
      <c r="H555" s="119">
        <v>549</v>
      </c>
      <c r="I555" s="120"/>
      <c r="J555" s="135"/>
    </row>
    <row r="556" spans="5:10" ht="11.25" customHeight="1" x14ac:dyDescent="0.2">
      <c r="E556" s="117">
        <v>550</v>
      </c>
      <c r="F556" s="118"/>
      <c r="G556" s="122"/>
      <c r="H556" s="119">
        <v>550</v>
      </c>
      <c r="I556" s="120"/>
      <c r="J556" s="135"/>
    </row>
    <row r="557" spans="5:10" ht="11.25" customHeight="1" x14ac:dyDescent="0.2">
      <c r="E557" s="117">
        <v>551</v>
      </c>
      <c r="F557" s="118"/>
      <c r="G557" s="122"/>
      <c r="H557" s="119">
        <v>551</v>
      </c>
      <c r="I557" s="120"/>
      <c r="J557" s="135"/>
    </row>
    <row r="558" spans="5:10" ht="11.25" customHeight="1" x14ac:dyDescent="0.2">
      <c r="E558" s="117">
        <v>552</v>
      </c>
      <c r="F558" s="118"/>
      <c r="G558" s="122"/>
      <c r="H558" s="119">
        <v>552</v>
      </c>
      <c r="I558" s="120"/>
      <c r="J558" s="135"/>
    </row>
    <row r="559" spans="5:10" ht="11.25" customHeight="1" x14ac:dyDescent="0.2">
      <c r="E559" s="117">
        <v>553</v>
      </c>
      <c r="F559" s="118"/>
      <c r="G559" s="122"/>
      <c r="H559" s="119">
        <v>553</v>
      </c>
      <c r="I559" s="120"/>
      <c r="J559" s="135"/>
    </row>
    <row r="560" spans="5:10" ht="11.25" customHeight="1" x14ac:dyDescent="0.2">
      <c r="E560" s="117">
        <v>554</v>
      </c>
      <c r="F560" s="118"/>
      <c r="G560" s="122"/>
      <c r="H560" s="119">
        <v>554</v>
      </c>
      <c r="I560" s="120"/>
      <c r="J560" s="135"/>
    </row>
    <row r="561" spans="5:10" ht="11.25" customHeight="1" x14ac:dyDescent="0.2">
      <c r="E561" s="117">
        <v>555</v>
      </c>
      <c r="F561" s="118"/>
      <c r="G561" s="122"/>
      <c r="H561" s="119">
        <v>555</v>
      </c>
      <c r="I561" s="120"/>
      <c r="J561" s="135"/>
    </row>
    <row r="562" spans="5:10" ht="11.25" customHeight="1" x14ac:dyDescent="0.2">
      <c r="E562" s="117">
        <v>556</v>
      </c>
      <c r="F562" s="118"/>
      <c r="G562" s="122"/>
      <c r="H562" s="119">
        <v>556</v>
      </c>
      <c r="I562" s="120"/>
      <c r="J562" s="135"/>
    </row>
    <row r="563" spans="5:10" ht="11.25" customHeight="1" x14ac:dyDescent="0.2">
      <c r="E563" s="117">
        <v>557</v>
      </c>
      <c r="F563" s="118"/>
      <c r="G563" s="122"/>
      <c r="H563" s="119">
        <v>557</v>
      </c>
      <c r="I563" s="120"/>
      <c r="J563" s="135"/>
    </row>
    <row r="564" spans="5:10" ht="11.25" customHeight="1" x14ac:dyDescent="0.2">
      <c r="E564" s="117">
        <v>558</v>
      </c>
      <c r="F564" s="118"/>
      <c r="G564" s="122"/>
      <c r="H564" s="119">
        <v>558</v>
      </c>
      <c r="I564" s="120"/>
      <c r="J564" s="135"/>
    </row>
    <row r="565" spans="5:10" ht="11.25" customHeight="1" x14ac:dyDescent="0.2">
      <c r="E565" s="117">
        <v>559</v>
      </c>
      <c r="F565" s="118"/>
      <c r="G565" s="122"/>
      <c r="H565" s="119">
        <v>559</v>
      </c>
      <c r="I565" s="120"/>
      <c r="J565" s="135"/>
    </row>
    <row r="566" spans="5:10" ht="11.25" customHeight="1" x14ac:dyDescent="0.2">
      <c r="E566" s="117">
        <v>560</v>
      </c>
      <c r="F566" s="118"/>
      <c r="G566" s="122"/>
      <c r="H566" s="119">
        <v>560</v>
      </c>
      <c r="I566" s="120"/>
      <c r="J566" s="135"/>
    </row>
    <row r="567" spans="5:10" ht="11.25" customHeight="1" x14ac:dyDescent="0.2">
      <c r="E567" s="117">
        <v>561</v>
      </c>
      <c r="F567" s="118"/>
      <c r="G567" s="122"/>
      <c r="H567" s="119">
        <v>561</v>
      </c>
      <c r="I567" s="120"/>
      <c r="J567" s="135"/>
    </row>
    <row r="568" spans="5:10" ht="11.25" customHeight="1" x14ac:dyDescent="0.2">
      <c r="E568" s="117">
        <v>562</v>
      </c>
      <c r="F568" s="118"/>
      <c r="G568" s="122"/>
      <c r="H568" s="119">
        <v>562</v>
      </c>
      <c r="I568" s="120"/>
      <c r="J568" s="135"/>
    </row>
    <row r="569" spans="5:10" ht="11.25" customHeight="1" x14ac:dyDescent="0.2">
      <c r="E569" s="117">
        <v>563</v>
      </c>
      <c r="F569" s="118"/>
      <c r="G569" s="122"/>
      <c r="H569" s="119">
        <v>563</v>
      </c>
      <c r="I569" s="120"/>
      <c r="J569" s="135"/>
    </row>
    <row r="570" spans="5:10" ht="11.25" customHeight="1" x14ac:dyDescent="0.2">
      <c r="E570" s="117">
        <v>564</v>
      </c>
      <c r="F570" s="118"/>
      <c r="G570" s="122"/>
      <c r="H570" s="119">
        <v>564</v>
      </c>
      <c r="I570" s="120"/>
      <c r="J570" s="135"/>
    </row>
    <row r="571" spans="5:10" ht="11.25" customHeight="1" x14ac:dyDescent="0.2">
      <c r="E571" s="117">
        <v>565</v>
      </c>
      <c r="F571" s="118"/>
      <c r="G571" s="122"/>
      <c r="H571" s="119">
        <v>565</v>
      </c>
      <c r="I571" s="120"/>
      <c r="J571" s="135"/>
    </row>
    <row r="572" spans="5:10" ht="11.25" customHeight="1" x14ac:dyDescent="0.2">
      <c r="E572" s="117">
        <v>566</v>
      </c>
      <c r="F572" s="118"/>
      <c r="G572" s="122"/>
      <c r="H572" s="119">
        <v>566</v>
      </c>
      <c r="I572" s="120"/>
      <c r="J572" s="135"/>
    </row>
    <row r="573" spans="5:10" ht="11.25" customHeight="1" x14ac:dyDescent="0.2">
      <c r="E573" s="117">
        <v>567</v>
      </c>
      <c r="F573" s="118"/>
      <c r="G573" s="122"/>
      <c r="H573" s="119">
        <v>567</v>
      </c>
      <c r="I573" s="120"/>
      <c r="J573" s="135"/>
    </row>
    <row r="574" spans="5:10" ht="11.25" customHeight="1" x14ac:dyDescent="0.2">
      <c r="E574" s="117">
        <v>568</v>
      </c>
      <c r="F574" s="118"/>
      <c r="G574" s="122"/>
      <c r="H574" s="119">
        <v>568</v>
      </c>
      <c r="I574" s="120"/>
      <c r="J574" s="135"/>
    </row>
    <row r="575" spans="5:10" ht="11.25" customHeight="1" x14ac:dyDescent="0.2">
      <c r="E575" s="117">
        <v>569</v>
      </c>
      <c r="F575" s="118"/>
      <c r="G575" s="122"/>
      <c r="H575" s="119">
        <v>569</v>
      </c>
      <c r="I575" s="120"/>
      <c r="J575" s="135"/>
    </row>
    <row r="576" spans="5:10" ht="11.25" customHeight="1" x14ac:dyDescent="0.2">
      <c r="E576" s="117">
        <v>570</v>
      </c>
      <c r="F576" s="118"/>
      <c r="G576" s="122"/>
      <c r="H576" s="119">
        <v>570</v>
      </c>
      <c r="I576" s="120"/>
      <c r="J576" s="135"/>
    </row>
    <row r="577" spans="5:10" ht="11.25" customHeight="1" x14ac:dyDescent="0.2">
      <c r="E577" s="117">
        <v>571</v>
      </c>
      <c r="F577" s="118"/>
      <c r="G577" s="122"/>
      <c r="H577" s="119">
        <v>571</v>
      </c>
      <c r="I577" s="120"/>
      <c r="J577" s="135"/>
    </row>
    <row r="578" spans="5:10" ht="11.25" customHeight="1" x14ac:dyDescent="0.2">
      <c r="E578" s="117">
        <v>572</v>
      </c>
      <c r="F578" s="118"/>
      <c r="G578" s="122"/>
      <c r="H578" s="119">
        <v>572</v>
      </c>
      <c r="I578" s="120"/>
      <c r="J578" s="135"/>
    </row>
    <row r="579" spans="5:10" ht="11.25" customHeight="1" x14ac:dyDescent="0.2">
      <c r="E579" s="117">
        <v>573</v>
      </c>
      <c r="F579" s="118"/>
      <c r="G579" s="122"/>
      <c r="H579" s="119">
        <v>573</v>
      </c>
      <c r="I579" s="120"/>
      <c r="J579" s="135"/>
    </row>
    <row r="580" spans="5:10" ht="11.25" customHeight="1" x14ac:dyDescent="0.2">
      <c r="E580" s="117">
        <v>574</v>
      </c>
      <c r="F580" s="118"/>
      <c r="G580" s="122"/>
      <c r="H580" s="119">
        <v>574</v>
      </c>
      <c r="I580" s="120"/>
      <c r="J580" s="135"/>
    </row>
    <row r="581" spans="5:10" ht="11.25" customHeight="1" x14ac:dyDescent="0.2">
      <c r="E581" s="117">
        <v>575</v>
      </c>
      <c r="F581" s="118"/>
      <c r="G581" s="122"/>
      <c r="H581" s="119">
        <v>575</v>
      </c>
      <c r="I581" s="120"/>
      <c r="J581" s="135"/>
    </row>
    <row r="582" spans="5:10" ht="11.25" customHeight="1" x14ac:dyDescent="0.2">
      <c r="E582" s="117">
        <v>576</v>
      </c>
      <c r="F582" s="118"/>
      <c r="G582" s="122"/>
      <c r="H582" s="119">
        <v>576</v>
      </c>
      <c r="I582" s="120"/>
      <c r="J582" s="135"/>
    </row>
    <row r="583" spans="5:10" ht="11.25" customHeight="1" x14ac:dyDescent="0.2">
      <c r="E583" s="117">
        <v>577</v>
      </c>
      <c r="F583" s="118"/>
      <c r="G583" s="122"/>
      <c r="H583" s="119">
        <v>577</v>
      </c>
      <c r="I583" s="120"/>
      <c r="J583" s="135"/>
    </row>
    <row r="584" spans="5:10" ht="11.25" customHeight="1" x14ac:dyDescent="0.2">
      <c r="E584" s="117">
        <v>578</v>
      </c>
      <c r="F584" s="118"/>
      <c r="G584" s="122"/>
      <c r="H584" s="119">
        <v>578</v>
      </c>
      <c r="I584" s="120"/>
      <c r="J584" s="135"/>
    </row>
    <row r="585" spans="5:10" ht="11.25" customHeight="1" x14ac:dyDescent="0.2">
      <c r="E585" s="117">
        <v>579</v>
      </c>
      <c r="F585" s="118"/>
      <c r="G585" s="122"/>
      <c r="H585" s="119">
        <v>579</v>
      </c>
      <c r="I585" s="120"/>
      <c r="J585" s="135"/>
    </row>
    <row r="586" spans="5:10" ht="11.25" customHeight="1" x14ac:dyDescent="0.2">
      <c r="E586" s="117">
        <v>580</v>
      </c>
      <c r="F586" s="118"/>
      <c r="G586" s="122"/>
      <c r="H586" s="119">
        <v>580</v>
      </c>
      <c r="I586" s="120"/>
      <c r="J586" s="135"/>
    </row>
    <row r="587" spans="5:10" ht="11.25" customHeight="1" x14ac:dyDescent="0.2">
      <c r="E587" s="117">
        <v>581</v>
      </c>
      <c r="F587" s="118"/>
      <c r="G587" s="122"/>
      <c r="H587" s="119">
        <v>581</v>
      </c>
      <c r="I587" s="120"/>
      <c r="J587" s="135"/>
    </row>
    <row r="588" spans="5:10" ht="11.25" customHeight="1" x14ac:dyDescent="0.2">
      <c r="E588" s="117">
        <v>582</v>
      </c>
      <c r="F588" s="118"/>
      <c r="G588" s="122"/>
      <c r="H588" s="119">
        <v>582</v>
      </c>
      <c r="I588" s="120"/>
      <c r="J588" s="135"/>
    </row>
    <row r="589" spans="5:10" ht="11.25" customHeight="1" x14ac:dyDescent="0.2">
      <c r="E589" s="117">
        <v>583</v>
      </c>
      <c r="F589" s="118"/>
      <c r="G589" s="122"/>
      <c r="H589" s="119">
        <v>583</v>
      </c>
      <c r="I589" s="120"/>
      <c r="J589" s="135"/>
    </row>
    <row r="590" spans="5:10" ht="11.25" customHeight="1" x14ac:dyDescent="0.2">
      <c r="E590" s="117">
        <v>584</v>
      </c>
      <c r="F590" s="118"/>
      <c r="G590" s="122"/>
      <c r="H590" s="119">
        <v>584</v>
      </c>
      <c r="I590" s="120"/>
      <c r="J590" s="135"/>
    </row>
    <row r="591" spans="5:10" ht="11.25" customHeight="1" x14ac:dyDescent="0.2">
      <c r="E591" s="117">
        <v>585</v>
      </c>
      <c r="F591" s="118"/>
      <c r="G591" s="122"/>
      <c r="H591" s="119">
        <v>585</v>
      </c>
      <c r="I591" s="120"/>
      <c r="J591" s="135"/>
    </row>
    <row r="592" spans="5:10" ht="11.25" customHeight="1" x14ac:dyDescent="0.2">
      <c r="E592" s="117">
        <v>586</v>
      </c>
      <c r="F592" s="118"/>
      <c r="G592" s="122"/>
      <c r="H592" s="119">
        <v>586</v>
      </c>
      <c r="I592" s="120"/>
      <c r="J592" s="135"/>
    </row>
    <row r="593" spans="5:10" ht="11.25" customHeight="1" x14ac:dyDescent="0.2">
      <c r="E593" s="117">
        <v>587</v>
      </c>
      <c r="F593" s="118"/>
      <c r="G593" s="122"/>
      <c r="H593" s="119">
        <v>587</v>
      </c>
      <c r="I593" s="120"/>
      <c r="J593" s="135"/>
    </row>
    <row r="594" spans="5:10" ht="11.25" customHeight="1" x14ac:dyDescent="0.2">
      <c r="E594" s="117">
        <v>588</v>
      </c>
      <c r="F594" s="118"/>
      <c r="G594" s="122"/>
      <c r="H594" s="119">
        <v>588</v>
      </c>
      <c r="I594" s="120"/>
      <c r="J594" s="135"/>
    </row>
    <row r="595" spans="5:10" ht="11.25" customHeight="1" x14ac:dyDescent="0.2">
      <c r="E595" s="117">
        <v>589</v>
      </c>
      <c r="F595" s="118"/>
      <c r="G595" s="122"/>
      <c r="H595" s="119">
        <v>589</v>
      </c>
      <c r="I595" s="120"/>
      <c r="J595" s="135"/>
    </row>
    <row r="596" spans="5:10" ht="11.25" customHeight="1" x14ac:dyDescent="0.2">
      <c r="E596" s="117">
        <v>590</v>
      </c>
      <c r="F596" s="118"/>
      <c r="G596" s="122"/>
      <c r="H596" s="119">
        <v>590</v>
      </c>
      <c r="I596" s="120"/>
      <c r="J596" s="135"/>
    </row>
    <row r="597" spans="5:10" ht="11.25" customHeight="1" x14ac:dyDescent="0.2">
      <c r="E597" s="117">
        <v>591</v>
      </c>
      <c r="F597" s="118"/>
      <c r="G597" s="122"/>
      <c r="H597" s="119">
        <v>591</v>
      </c>
      <c r="I597" s="120"/>
      <c r="J597" s="135"/>
    </row>
    <row r="598" spans="5:10" ht="11.25" customHeight="1" x14ac:dyDescent="0.2">
      <c r="E598" s="117">
        <v>592</v>
      </c>
      <c r="F598" s="118"/>
      <c r="G598" s="122"/>
      <c r="H598" s="119">
        <v>592</v>
      </c>
      <c r="I598" s="120"/>
      <c r="J598" s="135"/>
    </row>
    <row r="599" spans="5:10" ht="11.25" customHeight="1" x14ac:dyDescent="0.2">
      <c r="E599" s="117">
        <v>593</v>
      </c>
      <c r="F599" s="118"/>
      <c r="G599" s="122"/>
      <c r="H599" s="119">
        <v>593</v>
      </c>
      <c r="I599" s="120"/>
      <c r="J599" s="135"/>
    </row>
    <row r="600" spans="5:10" ht="11.25" customHeight="1" x14ac:dyDescent="0.2">
      <c r="E600" s="117">
        <v>594</v>
      </c>
      <c r="F600" s="118"/>
      <c r="G600" s="122"/>
      <c r="H600" s="119">
        <v>594</v>
      </c>
      <c r="I600" s="120"/>
      <c r="J600" s="135"/>
    </row>
    <row r="601" spans="5:10" ht="11.25" customHeight="1" x14ac:dyDescent="0.2">
      <c r="E601" s="117">
        <v>595</v>
      </c>
      <c r="F601" s="118"/>
      <c r="G601" s="122"/>
      <c r="H601" s="119">
        <v>595</v>
      </c>
      <c r="I601" s="120"/>
      <c r="J601" s="135"/>
    </row>
    <row r="602" spans="5:10" ht="11.25" customHeight="1" x14ac:dyDescent="0.2">
      <c r="E602" s="117">
        <v>596</v>
      </c>
      <c r="F602" s="118"/>
      <c r="G602" s="122"/>
      <c r="H602" s="119">
        <v>596</v>
      </c>
      <c r="I602" s="120"/>
      <c r="J602" s="135"/>
    </row>
    <row r="603" spans="5:10" ht="11.25" customHeight="1" x14ac:dyDescent="0.2">
      <c r="E603" s="117">
        <v>597</v>
      </c>
      <c r="F603" s="118"/>
      <c r="G603" s="122"/>
      <c r="H603" s="119">
        <v>597</v>
      </c>
      <c r="I603" s="120"/>
      <c r="J603" s="135"/>
    </row>
    <row r="604" spans="5:10" ht="11.25" customHeight="1" x14ac:dyDescent="0.2">
      <c r="E604" s="117">
        <v>598</v>
      </c>
      <c r="F604" s="118"/>
      <c r="G604" s="122"/>
      <c r="H604" s="119">
        <v>598</v>
      </c>
      <c r="I604" s="120"/>
      <c r="J604" s="135"/>
    </row>
    <row r="605" spans="5:10" ht="11.25" customHeight="1" x14ac:dyDescent="0.2">
      <c r="E605" s="117">
        <v>599</v>
      </c>
      <c r="F605" s="118"/>
      <c r="G605" s="122"/>
      <c r="H605" s="119">
        <v>599</v>
      </c>
      <c r="I605" s="120"/>
      <c r="J605" s="135"/>
    </row>
    <row r="606" spans="5:10" ht="11.25" customHeight="1" x14ac:dyDescent="0.2">
      <c r="E606" s="117">
        <v>600</v>
      </c>
      <c r="F606" s="118"/>
      <c r="G606" s="122"/>
      <c r="H606" s="119">
        <v>600</v>
      </c>
      <c r="I606" s="120"/>
      <c r="J606" s="135"/>
    </row>
    <row r="607" spans="5:10" ht="11.25" customHeight="1" x14ac:dyDescent="0.2">
      <c r="E607" s="117">
        <v>601</v>
      </c>
      <c r="F607" s="118"/>
      <c r="G607" s="122"/>
      <c r="H607" s="119">
        <v>601</v>
      </c>
      <c r="I607" s="120"/>
      <c r="J607" s="135"/>
    </row>
    <row r="608" spans="5:10" ht="11.25" customHeight="1" x14ac:dyDescent="0.2">
      <c r="E608" s="117">
        <v>602</v>
      </c>
      <c r="F608" s="118"/>
      <c r="G608" s="122"/>
      <c r="H608" s="119">
        <v>602</v>
      </c>
      <c r="I608" s="120"/>
      <c r="J608" s="135"/>
    </row>
    <row r="609" spans="5:10" ht="11.25" customHeight="1" x14ac:dyDescent="0.2">
      <c r="E609" s="117">
        <v>603</v>
      </c>
      <c r="F609" s="118"/>
      <c r="G609" s="122"/>
      <c r="H609" s="119">
        <v>603</v>
      </c>
      <c r="I609" s="120"/>
      <c r="J609" s="135"/>
    </row>
    <row r="610" spans="5:10" ht="11.25" customHeight="1" x14ac:dyDescent="0.2">
      <c r="E610" s="117">
        <v>604</v>
      </c>
      <c r="F610" s="118"/>
      <c r="G610" s="122"/>
      <c r="H610" s="119">
        <v>604</v>
      </c>
      <c r="I610" s="120"/>
      <c r="J610" s="135"/>
    </row>
    <row r="611" spans="5:10" ht="11.25" customHeight="1" x14ac:dyDescent="0.2">
      <c r="E611" s="117">
        <v>605</v>
      </c>
      <c r="F611" s="118"/>
      <c r="G611" s="122"/>
      <c r="H611" s="119">
        <v>605</v>
      </c>
      <c r="I611" s="120"/>
      <c r="J611" s="135"/>
    </row>
    <row r="612" spans="5:10" ht="11.25" customHeight="1" x14ac:dyDescent="0.2">
      <c r="E612" s="117">
        <v>606</v>
      </c>
      <c r="F612" s="118"/>
      <c r="G612" s="122"/>
      <c r="H612" s="119">
        <v>606</v>
      </c>
      <c r="I612" s="120"/>
      <c r="J612" s="135"/>
    </row>
    <row r="613" spans="5:10" ht="11.25" customHeight="1" x14ac:dyDescent="0.2">
      <c r="E613" s="117">
        <v>607</v>
      </c>
      <c r="F613" s="118"/>
      <c r="G613" s="122"/>
      <c r="H613" s="119">
        <v>607</v>
      </c>
      <c r="I613" s="120"/>
      <c r="J613" s="135"/>
    </row>
    <row r="614" spans="5:10" ht="11.25" customHeight="1" x14ac:dyDescent="0.2">
      <c r="E614" s="117">
        <v>608</v>
      </c>
      <c r="F614" s="118"/>
      <c r="G614" s="122"/>
      <c r="H614" s="119">
        <v>608</v>
      </c>
      <c r="I614" s="120"/>
      <c r="J614" s="135"/>
    </row>
    <row r="615" spans="5:10" ht="11.25" customHeight="1" x14ac:dyDescent="0.2">
      <c r="E615" s="117">
        <v>609</v>
      </c>
      <c r="F615" s="118"/>
      <c r="G615" s="122"/>
      <c r="H615" s="119">
        <v>609</v>
      </c>
      <c r="I615" s="120"/>
      <c r="J615" s="135"/>
    </row>
    <row r="616" spans="5:10" ht="11.25" customHeight="1" x14ac:dyDescent="0.2">
      <c r="E616" s="117">
        <v>610</v>
      </c>
      <c r="F616" s="118"/>
      <c r="G616" s="122"/>
      <c r="H616" s="119">
        <v>610</v>
      </c>
      <c r="I616" s="120"/>
      <c r="J616" s="135"/>
    </row>
    <row r="617" spans="5:10" ht="11.25" customHeight="1" x14ac:dyDescent="0.2">
      <c r="E617" s="117">
        <v>611</v>
      </c>
      <c r="F617" s="118"/>
      <c r="G617" s="122"/>
      <c r="H617" s="119">
        <v>611</v>
      </c>
      <c r="I617" s="120"/>
      <c r="J617" s="135"/>
    </row>
    <row r="618" spans="5:10" ht="11.25" customHeight="1" x14ac:dyDescent="0.2">
      <c r="E618" s="117">
        <v>612</v>
      </c>
      <c r="F618" s="118"/>
      <c r="G618" s="122"/>
      <c r="H618" s="119">
        <v>612</v>
      </c>
      <c r="I618" s="120"/>
      <c r="J618" s="135"/>
    </row>
    <row r="619" spans="5:10" ht="11.25" customHeight="1" x14ac:dyDescent="0.2">
      <c r="E619" s="117">
        <v>613</v>
      </c>
      <c r="F619" s="118"/>
      <c r="G619" s="122"/>
      <c r="H619" s="119">
        <v>613</v>
      </c>
      <c r="I619" s="120"/>
      <c r="J619" s="135"/>
    </row>
    <row r="620" spans="5:10" ht="11.25" customHeight="1" x14ac:dyDescent="0.2">
      <c r="E620" s="117">
        <v>614</v>
      </c>
      <c r="F620" s="118"/>
      <c r="G620" s="122"/>
      <c r="H620" s="119">
        <v>614</v>
      </c>
      <c r="I620" s="120"/>
      <c r="J620" s="135"/>
    </row>
    <row r="621" spans="5:10" ht="11.25" customHeight="1" x14ac:dyDescent="0.2">
      <c r="E621" s="117">
        <v>615</v>
      </c>
      <c r="F621" s="118"/>
      <c r="G621" s="122"/>
      <c r="H621" s="119">
        <v>615</v>
      </c>
      <c r="I621" s="120"/>
      <c r="J621" s="135"/>
    </row>
    <row r="622" spans="5:10" ht="11.25" customHeight="1" x14ac:dyDescent="0.2">
      <c r="E622" s="117">
        <v>616</v>
      </c>
      <c r="F622" s="118"/>
      <c r="G622" s="122"/>
      <c r="H622" s="119">
        <v>616</v>
      </c>
      <c r="I622" s="120"/>
      <c r="J622" s="135"/>
    </row>
    <row r="623" spans="5:10" ht="11.25" customHeight="1" x14ac:dyDescent="0.2">
      <c r="E623" s="117">
        <v>617</v>
      </c>
      <c r="F623" s="118"/>
      <c r="G623" s="122"/>
      <c r="H623" s="119">
        <v>617</v>
      </c>
      <c r="I623" s="120"/>
      <c r="J623" s="135"/>
    </row>
    <row r="624" spans="5:10" ht="11.25" customHeight="1" x14ac:dyDescent="0.2">
      <c r="E624" s="117">
        <v>618</v>
      </c>
      <c r="F624" s="118"/>
      <c r="G624" s="122"/>
      <c r="H624" s="119">
        <v>618</v>
      </c>
      <c r="I624" s="120"/>
      <c r="J624" s="135"/>
    </row>
    <row r="625" spans="5:10" ht="11.25" customHeight="1" x14ac:dyDescent="0.2">
      <c r="E625" s="117">
        <v>619</v>
      </c>
      <c r="F625" s="118"/>
      <c r="G625" s="122"/>
      <c r="H625" s="119">
        <v>619</v>
      </c>
      <c r="I625" s="120"/>
      <c r="J625" s="135"/>
    </row>
    <row r="626" spans="5:10" ht="11.25" customHeight="1" x14ac:dyDescent="0.2">
      <c r="E626" s="117">
        <v>620</v>
      </c>
      <c r="F626" s="118"/>
      <c r="G626" s="122"/>
      <c r="H626" s="119">
        <v>620</v>
      </c>
      <c r="I626" s="120"/>
      <c r="J626" s="135"/>
    </row>
    <row r="627" spans="5:10" ht="11.25" customHeight="1" x14ac:dyDescent="0.2">
      <c r="E627" s="117">
        <v>621</v>
      </c>
      <c r="F627" s="118"/>
      <c r="G627" s="122"/>
      <c r="H627" s="119">
        <v>621</v>
      </c>
      <c r="I627" s="120"/>
      <c r="J627" s="135"/>
    </row>
    <row r="628" spans="5:10" ht="11.25" customHeight="1" x14ac:dyDescent="0.2">
      <c r="E628" s="117">
        <v>622</v>
      </c>
      <c r="F628" s="118"/>
      <c r="G628" s="122"/>
      <c r="H628" s="119">
        <v>622</v>
      </c>
      <c r="I628" s="120"/>
      <c r="J628" s="135"/>
    </row>
    <row r="629" spans="5:10" ht="11.25" customHeight="1" x14ac:dyDescent="0.2">
      <c r="E629" s="117">
        <v>623</v>
      </c>
      <c r="F629" s="118"/>
      <c r="G629" s="122"/>
      <c r="H629" s="119">
        <v>623</v>
      </c>
      <c r="I629" s="120"/>
      <c r="J629" s="135"/>
    </row>
    <row r="630" spans="5:10" ht="11.25" customHeight="1" x14ac:dyDescent="0.2">
      <c r="E630" s="117">
        <v>624</v>
      </c>
      <c r="F630" s="118"/>
      <c r="G630" s="122"/>
      <c r="H630" s="119">
        <v>624</v>
      </c>
      <c r="I630" s="120"/>
      <c r="J630" s="135"/>
    </row>
    <row r="631" spans="5:10" ht="11.25" customHeight="1" x14ac:dyDescent="0.2">
      <c r="E631" s="117">
        <v>625</v>
      </c>
      <c r="F631" s="118"/>
      <c r="G631" s="122"/>
      <c r="H631" s="119">
        <v>625</v>
      </c>
      <c r="I631" s="120"/>
      <c r="J631" s="135"/>
    </row>
    <row r="632" spans="5:10" ht="11.25" customHeight="1" x14ac:dyDescent="0.2">
      <c r="E632" s="117">
        <v>626</v>
      </c>
      <c r="F632" s="118"/>
      <c r="G632" s="122"/>
      <c r="H632" s="119">
        <v>626</v>
      </c>
      <c r="I632" s="120"/>
      <c r="J632" s="135"/>
    </row>
    <row r="633" spans="5:10" ht="11.25" customHeight="1" x14ac:dyDescent="0.2">
      <c r="E633" s="117">
        <v>627</v>
      </c>
      <c r="F633" s="118"/>
      <c r="G633" s="122"/>
      <c r="H633" s="119">
        <v>627</v>
      </c>
      <c r="I633" s="120"/>
      <c r="J633" s="135"/>
    </row>
    <row r="634" spans="5:10" ht="11.25" customHeight="1" x14ac:dyDescent="0.2">
      <c r="E634" s="117">
        <v>628</v>
      </c>
      <c r="F634" s="118"/>
      <c r="G634" s="122"/>
      <c r="H634" s="119">
        <v>628</v>
      </c>
      <c r="I634" s="120"/>
      <c r="J634" s="135"/>
    </row>
    <row r="635" spans="5:10" ht="11.25" customHeight="1" x14ac:dyDescent="0.2">
      <c r="E635" s="117">
        <v>629</v>
      </c>
      <c r="F635" s="118"/>
      <c r="G635" s="122"/>
      <c r="H635" s="119">
        <v>629</v>
      </c>
      <c r="I635" s="120"/>
      <c r="J635" s="135"/>
    </row>
    <row r="636" spans="5:10" ht="11.25" customHeight="1" x14ac:dyDescent="0.2">
      <c r="E636" s="117">
        <v>630</v>
      </c>
      <c r="F636" s="118"/>
      <c r="G636" s="122"/>
      <c r="H636" s="119">
        <v>630</v>
      </c>
      <c r="I636" s="120"/>
      <c r="J636" s="135"/>
    </row>
    <row r="637" spans="5:10" ht="11.25" customHeight="1" x14ac:dyDescent="0.2">
      <c r="E637" s="117">
        <v>631</v>
      </c>
      <c r="F637" s="118"/>
      <c r="G637" s="122"/>
      <c r="H637" s="119">
        <v>631</v>
      </c>
      <c r="I637" s="120"/>
      <c r="J637" s="135"/>
    </row>
    <row r="638" spans="5:10" ht="11.25" customHeight="1" x14ac:dyDescent="0.2">
      <c r="E638" s="117">
        <v>632</v>
      </c>
      <c r="F638" s="118"/>
      <c r="G638" s="122"/>
      <c r="H638" s="119">
        <v>632</v>
      </c>
      <c r="I638" s="120"/>
      <c r="J638" s="135"/>
    </row>
    <row r="639" spans="5:10" ht="11.25" customHeight="1" x14ac:dyDescent="0.2">
      <c r="E639" s="117">
        <v>633</v>
      </c>
      <c r="F639" s="118"/>
      <c r="G639" s="122"/>
      <c r="H639" s="119">
        <v>633</v>
      </c>
      <c r="I639" s="120"/>
      <c r="J639" s="135"/>
    </row>
    <row r="640" spans="5:10" ht="11.25" customHeight="1" x14ac:dyDescent="0.2">
      <c r="E640" s="117">
        <v>634</v>
      </c>
      <c r="F640" s="118"/>
      <c r="G640" s="122"/>
      <c r="H640" s="119">
        <v>634</v>
      </c>
      <c r="I640" s="120"/>
      <c r="J640" s="135"/>
    </row>
    <row r="641" spans="5:10" ht="11.25" customHeight="1" x14ac:dyDescent="0.2">
      <c r="E641" s="117">
        <v>635</v>
      </c>
      <c r="F641" s="118"/>
      <c r="G641" s="122"/>
      <c r="H641" s="119">
        <v>635</v>
      </c>
      <c r="I641" s="120"/>
      <c r="J641" s="135"/>
    </row>
    <row r="642" spans="5:10" ht="11.25" customHeight="1" x14ac:dyDescent="0.2">
      <c r="E642" s="117">
        <v>636</v>
      </c>
      <c r="F642" s="118"/>
      <c r="G642" s="122"/>
      <c r="H642" s="119">
        <v>636</v>
      </c>
      <c r="I642" s="120"/>
      <c r="J642" s="135"/>
    </row>
    <row r="643" spans="5:10" ht="11.25" customHeight="1" x14ac:dyDescent="0.2">
      <c r="E643" s="117">
        <v>637</v>
      </c>
      <c r="F643" s="118"/>
      <c r="G643" s="122"/>
      <c r="H643" s="119">
        <v>637</v>
      </c>
      <c r="I643" s="120"/>
      <c r="J643" s="135"/>
    </row>
    <row r="644" spans="5:10" ht="11.25" customHeight="1" x14ac:dyDescent="0.2">
      <c r="E644" s="117">
        <v>638</v>
      </c>
      <c r="F644" s="118"/>
      <c r="G644" s="122"/>
      <c r="H644" s="119">
        <v>638</v>
      </c>
      <c r="I644" s="120"/>
      <c r="J644" s="135"/>
    </row>
    <row r="645" spans="5:10" ht="11.25" customHeight="1" x14ac:dyDescent="0.2">
      <c r="E645" s="117">
        <v>639</v>
      </c>
      <c r="F645" s="118"/>
      <c r="G645" s="122"/>
      <c r="H645" s="119">
        <v>639</v>
      </c>
      <c r="I645" s="120"/>
      <c r="J645" s="135"/>
    </row>
    <row r="646" spans="5:10" ht="11.25" customHeight="1" x14ac:dyDescent="0.2">
      <c r="E646" s="117">
        <v>640</v>
      </c>
      <c r="F646" s="118"/>
      <c r="G646" s="122"/>
      <c r="H646" s="119">
        <v>640</v>
      </c>
      <c r="I646" s="120"/>
      <c r="J646" s="135"/>
    </row>
    <row r="647" spans="5:10" ht="11.25" customHeight="1" x14ac:dyDescent="0.2">
      <c r="E647" s="117">
        <v>641</v>
      </c>
      <c r="F647" s="118"/>
      <c r="G647" s="122"/>
      <c r="H647" s="119">
        <v>641</v>
      </c>
      <c r="I647" s="120"/>
      <c r="J647" s="135"/>
    </row>
    <row r="648" spans="5:10" ht="11.25" customHeight="1" x14ac:dyDescent="0.2">
      <c r="E648" s="117">
        <v>642</v>
      </c>
      <c r="F648" s="118"/>
      <c r="G648" s="122"/>
      <c r="H648" s="119">
        <v>642</v>
      </c>
      <c r="I648" s="120"/>
      <c r="J648" s="135"/>
    </row>
    <row r="649" spans="5:10" ht="11.25" customHeight="1" x14ac:dyDescent="0.2">
      <c r="E649" s="117">
        <v>643</v>
      </c>
      <c r="F649" s="118"/>
      <c r="G649" s="122"/>
      <c r="H649" s="119">
        <v>643</v>
      </c>
      <c r="I649" s="120"/>
      <c r="J649" s="135"/>
    </row>
    <row r="650" spans="5:10" ht="11.25" customHeight="1" x14ac:dyDescent="0.2">
      <c r="E650" s="117">
        <v>644</v>
      </c>
      <c r="F650" s="118"/>
      <c r="G650" s="122"/>
      <c r="H650" s="119">
        <v>644</v>
      </c>
      <c r="I650" s="120"/>
      <c r="J650" s="135"/>
    </row>
    <row r="651" spans="5:10" ht="11.25" customHeight="1" x14ac:dyDescent="0.2">
      <c r="E651" s="117">
        <v>645</v>
      </c>
      <c r="F651" s="118"/>
      <c r="G651" s="122"/>
      <c r="H651" s="119">
        <v>645</v>
      </c>
      <c r="I651" s="120"/>
      <c r="J651" s="135"/>
    </row>
    <row r="652" spans="5:10" ht="11.25" customHeight="1" x14ac:dyDescent="0.2">
      <c r="E652" s="117">
        <v>646</v>
      </c>
      <c r="F652" s="118"/>
      <c r="G652" s="122"/>
      <c r="H652" s="119">
        <v>646</v>
      </c>
      <c r="I652" s="120"/>
      <c r="J652" s="135"/>
    </row>
    <row r="653" spans="5:10" ht="11.25" customHeight="1" x14ac:dyDescent="0.2">
      <c r="E653" s="117">
        <v>647</v>
      </c>
      <c r="F653" s="118"/>
      <c r="G653" s="122"/>
      <c r="H653" s="119">
        <v>647</v>
      </c>
      <c r="I653" s="120"/>
      <c r="J653" s="135"/>
    </row>
    <row r="654" spans="5:10" ht="11.25" customHeight="1" x14ac:dyDescent="0.2">
      <c r="E654" s="117">
        <v>648</v>
      </c>
      <c r="F654" s="118"/>
      <c r="G654" s="122"/>
      <c r="H654" s="119">
        <v>648</v>
      </c>
      <c r="I654" s="120"/>
      <c r="J654" s="135"/>
    </row>
    <row r="655" spans="5:10" ht="11.25" customHeight="1" x14ac:dyDescent="0.2">
      <c r="E655" s="117">
        <v>649</v>
      </c>
      <c r="F655" s="118"/>
      <c r="G655" s="122"/>
      <c r="H655" s="119">
        <v>649</v>
      </c>
      <c r="I655" s="120"/>
      <c r="J655" s="135"/>
    </row>
    <row r="656" spans="5:10" ht="11.25" customHeight="1" x14ac:dyDescent="0.2">
      <c r="E656" s="117">
        <v>650</v>
      </c>
      <c r="F656" s="118"/>
      <c r="G656" s="122"/>
      <c r="H656" s="119">
        <v>650</v>
      </c>
      <c r="I656" s="120"/>
      <c r="J656" s="135"/>
    </row>
    <row r="657" spans="5:10" ht="11.25" customHeight="1" x14ac:dyDescent="0.2">
      <c r="E657" s="117">
        <v>651</v>
      </c>
      <c r="F657" s="118"/>
      <c r="G657" s="122"/>
      <c r="H657" s="119">
        <v>651</v>
      </c>
      <c r="I657" s="120"/>
      <c r="J657" s="135"/>
    </row>
    <row r="658" spans="5:10" ht="11.25" customHeight="1" x14ac:dyDescent="0.2">
      <c r="E658" s="117">
        <v>652</v>
      </c>
      <c r="F658" s="118"/>
      <c r="G658" s="122"/>
      <c r="H658" s="119">
        <v>652</v>
      </c>
      <c r="I658" s="120"/>
      <c r="J658" s="135"/>
    </row>
    <row r="659" spans="5:10" ht="11.25" customHeight="1" x14ac:dyDescent="0.2">
      <c r="E659" s="117">
        <v>653</v>
      </c>
      <c r="F659" s="118"/>
      <c r="G659" s="122"/>
      <c r="H659" s="119">
        <v>653</v>
      </c>
      <c r="I659" s="120"/>
      <c r="J659" s="135"/>
    </row>
    <row r="660" spans="5:10" ht="11.25" customHeight="1" x14ac:dyDescent="0.2">
      <c r="E660" s="117">
        <v>654</v>
      </c>
      <c r="F660" s="118"/>
      <c r="G660" s="122"/>
      <c r="H660" s="119">
        <v>654</v>
      </c>
      <c r="I660" s="120"/>
      <c r="J660" s="135"/>
    </row>
    <row r="661" spans="5:10" ht="11.25" customHeight="1" x14ac:dyDescent="0.2">
      <c r="E661" s="117">
        <v>655</v>
      </c>
      <c r="F661" s="118"/>
      <c r="G661" s="122"/>
      <c r="H661" s="119">
        <v>655</v>
      </c>
      <c r="I661" s="120"/>
      <c r="J661" s="135"/>
    </row>
    <row r="662" spans="5:10" ht="11.25" customHeight="1" x14ac:dyDescent="0.2">
      <c r="E662" s="117">
        <v>656</v>
      </c>
      <c r="F662" s="118"/>
      <c r="G662" s="122"/>
      <c r="H662" s="119">
        <v>656</v>
      </c>
      <c r="I662" s="120"/>
      <c r="J662" s="135"/>
    </row>
    <row r="663" spans="5:10" ht="11.25" customHeight="1" x14ac:dyDescent="0.2">
      <c r="E663" s="117">
        <v>657</v>
      </c>
      <c r="F663" s="118"/>
      <c r="G663" s="122"/>
      <c r="H663" s="119">
        <v>657</v>
      </c>
      <c r="I663" s="120"/>
      <c r="J663" s="135"/>
    </row>
    <row r="664" spans="5:10" ht="11.25" customHeight="1" x14ac:dyDescent="0.2">
      <c r="E664" s="117">
        <v>658</v>
      </c>
      <c r="F664" s="118"/>
      <c r="G664" s="122"/>
      <c r="H664" s="119">
        <v>658</v>
      </c>
      <c r="I664" s="120"/>
      <c r="J664" s="135"/>
    </row>
    <row r="665" spans="5:10" ht="11.25" customHeight="1" x14ac:dyDescent="0.2">
      <c r="E665" s="117">
        <v>659</v>
      </c>
      <c r="F665" s="118"/>
      <c r="G665" s="122"/>
      <c r="H665" s="119">
        <v>659</v>
      </c>
      <c r="I665" s="120"/>
      <c r="J665" s="135"/>
    </row>
    <row r="666" spans="5:10" ht="11.25" customHeight="1" x14ac:dyDescent="0.2">
      <c r="E666" s="117">
        <v>660</v>
      </c>
      <c r="F666" s="118"/>
      <c r="G666" s="122"/>
      <c r="H666" s="119">
        <v>660</v>
      </c>
      <c r="I666" s="120"/>
      <c r="J666" s="135"/>
    </row>
    <row r="667" spans="5:10" ht="11.25" customHeight="1" x14ac:dyDescent="0.2">
      <c r="E667" s="117">
        <v>661</v>
      </c>
      <c r="F667" s="118"/>
      <c r="G667" s="122"/>
      <c r="H667" s="119">
        <v>661</v>
      </c>
      <c r="I667" s="120"/>
      <c r="J667" s="135"/>
    </row>
    <row r="668" spans="5:10" ht="11.25" customHeight="1" x14ac:dyDescent="0.2">
      <c r="E668" s="117">
        <v>662</v>
      </c>
      <c r="F668" s="118"/>
      <c r="G668" s="122"/>
      <c r="H668" s="119">
        <v>662</v>
      </c>
      <c r="I668" s="120"/>
      <c r="J668" s="135"/>
    </row>
    <row r="669" spans="5:10" ht="11.25" customHeight="1" x14ac:dyDescent="0.2">
      <c r="E669" s="117">
        <v>663</v>
      </c>
      <c r="F669" s="118"/>
      <c r="G669" s="122"/>
      <c r="H669" s="119">
        <v>663</v>
      </c>
      <c r="I669" s="120"/>
      <c r="J669" s="135"/>
    </row>
    <row r="670" spans="5:10" ht="11.25" customHeight="1" x14ac:dyDescent="0.2">
      <c r="E670" s="117">
        <v>664</v>
      </c>
      <c r="F670" s="118"/>
      <c r="G670" s="122"/>
      <c r="H670" s="119">
        <v>664</v>
      </c>
      <c r="I670" s="120"/>
      <c r="J670" s="135"/>
    </row>
    <row r="671" spans="5:10" ht="11.25" customHeight="1" x14ac:dyDescent="0.2">
      <c r="E671" s="117">
        <v>665</v>
      </c>
      <c r="F671" s="118"/>
      <c r="G671" s="122"/>
      <c r="H671" s="119">
        <v>665</v>
      </c>
      <c r="I671" s="120"/>
      <c r="J671" s="135"/>
    </row>
    <row r="672" spans="5:10" ht="11.25" customHeight="1" x14ac:dyDescent="0.2">
      <c r="E672" s="117">
        <v>666</v>
      </c>
      <c r="F672" s="118"/>
      <c r="G672" s="122"/>
      <c r="H672" s="119">
        <v>666</v>
      </c>
      <c r="I672" s="120"/>
      <c r="J672" s="135"/>
    </row>
    <row r="673" spans="5:10" ht="11.25" customHeight="1" x14ac:dyDescent="0.2">
      <c r="E673" s="117">
        <v>667</v>
      </c>
      <c r="F673" s="118"/>
      <c r="G673" s="122"/>
      <c r="H673" s="119">
        <v>667</v>
      </c>
      <c r="I673" s="120"/>
      <c r="J673" s="135"/>
    </row>
    <row r="674" spans="5:10" ht="11.25" customHeight="1" x14ac:dyDescent="0.2">
      <c r="E674" s="117">
        <v>668</v>
      </c>
      <c r="F674" s="118"/>
      <c r="G674" s="122"/>
      <c r="H674" s="119">
        <v>668</v>
      </c>
      <c r="I674" s="120"/>
      <c r="J674" s="135"/>
    </row>
    <row r="675" spans="5:10" ht="11.25" customHeight="1" x14ac:dyDescent="0.2">
      <c r="E675" s="117">
        <v>669</v>
      </c>
      <c r="F675" s="118"/>
      <c r="G675" s="122"/>
      <c r="H675" s="119">
        <v>669</v>
      </c>
      <c r="I675" s="120"/>
      <c r="J675" s="135"/>
    </row>
    <row r="676" spans="5:10" ht="11.25" customHeight="1" x14ac:dyDescent="0.2">
      <c r="E676" s="117">
        <v>670</v>
      </c>
      <c r="F676" s="118"/>
      <c r="G676" s="122"/>
      <c r="H676" s="119">
        <v>670</v>
      </c>
      <c r="I676" s="120"/>
      <c r="J676" s="135"/>
    </row>
    <row r="677" spans="5:10" ht="11.25" customHeight="1" x14ac:dyDescent="0.2">
      <c r="E677" s="117">
        <v>671</v>
      </c>
      <c r="F677" s="118"/>
      <c r="G677" s="122"/>
      <c r="H677" s="119">
        <v>671</v>
      </c>
      <c r="I677" s="120"/>
      <c r="J677" s="135"/>
    </row>
    <row r="678" spans="5:10" ht="11.25" customHeight="1" x14ac:dyDescent="0.2">
      <c r="E678" s="117">
        <v>672</v>
      </c>
      <c r="F678" s="118"/>
      <c r="G678" s="122"/>
      <c r="H678" s="119">
        <v>672</v>
      </c>
      <c r="I678" s="120"/>
      <c r="J678" s="135"/>
    </row>
    <row r="679" spans="5:10" ht="11.25" customHeight="1" x14ac:dyDescent="0.2">
      <c r="E679" s="117">
        <v>673</v>
      </c>
      <c r="F679" s="118"/>
      <c r="G679" s="122"/>
      <c r="H679" s="119">
        <v>673</v>
      </c>
      <c r="I679" s="120"/>
      <c r="J679" s="135"/>
    </row>
    <row r="680" spans="5:10" ht="11.25" customHeight="1" x14ac:dyDescent="0.2">
      <c r="E680" s="117">
        <v>674</v>
      </c>
      <c r="F680" s="118"/>
      <c r="G680" s="122"/>
      <c r="H680" s="119">
        <v>674</v>
      </c>
      <c r="I680" s="120"/>
      <c r="J680" s="135"/>
    </row>
    <row r="681" spans="5:10" ht="11.25" customHeight="1" x14ac:dyDescent="0.2">
      <c r="E681" s="117">
        <v>675</v>
      </c>
      <c r="F681" s="118"/>
      <c r="G681" s="122"/>
      <c r="H681" s="119">
        <v>675</v>
      </c>
      <c r="I681" s="120"/>
      <c r="J681" s="135"/>
    </row>
    <row r="682" spans="5:10" ht="11.25" customHeight="1" x14ac:dyDescent="0.2">
      <c r="E682" s="117">
        <v>676</v>
      </c>
      <c r="F682" s="118"/>
      <c r="G682" s="122"/>
      <c r="H682" s="119">
        <v>676</v>
      </c>
      <c r="I682" s="120"/>
      <c r="J682" s="135"/>
    </row>
    <row r="683" spans="5:10" ht="11.25" customHeight="1" x14ac:dyDescent="0.2">
      <c r="E683" s="117">
        <v>677</v>
      </c>
      <c r="F683" s="118"/>
      <c r="G683" s="122"/>
      <c r="H683" s="119">
        <v>677</v>
      </c>
      <c r="I683" s="120"/>
      <c r="J683" s="135"/>
    </row>
    <row r="684" spans="5:10" ht="11.25" customHeight="1" x14ac:dyDescent="0.2">
      <c r="E684" s="117">
        <v>678</v>
      </c>
      <c r="F684" s="118"/>
      <c r="G684" s="122"/>
      <c r="H684" s="119">
        <v>678</v>
      </c>
      <c r="I684" s="120"/>
      <c r="J684" s="135"/>
    </row>
    <row r="685" spans="5:10" ht="11.25" customHeight="1" x14ac:dyDescent="0.2">
      <c r="E685" s="117">
        <v>679</v>
      </c>
      <c r="F685" s="118"/>
      <c r="G685" s="122"/>
      <c r="H685" s="119">
        <v>679</v>
      </c>
      <c r="I685" s="120"/>
      <c r="J685" s="135"/>
    </row>
    <row r="686" spans="5:10" ht="11.25" customHeight="1" x14ac:dyDescent="0.2">
      <c r="E686" s="117">
        <v>680</v>
      </c>
      <c r="F686" s="118"/>
      <c r="G686" s="122"/>
      <c r="H686" s="119">
        <v>680</v>
      </c>
      <c r="I686" s="120"/>
      <c r="J686" s="135"/>
    </row>
    <row r="687" spans="5:10" ht="11.25" customHeight="1" x14ac:dyDescent="0.2">
      <c r="E687" s="117">
        <v>681</v>
      </c>
      <c r="F687" s="118"/>
      <c r="G687" s="122"/>
      <c r="H687" s="119">
        <v>681</v>
      </c>
      <c r="I687" s="120"/>
      <c r="J687" s="135"/>
    </row>
    <row r="688" spans="5:10" ht="11.25" customHeight="1" x14ac:dyDescent="0.2">
      <c r="E688" s="117">
        <v>682</v>
      </c>
      <c r="F688" s="118"/>
      <c r="G688" s="122"/>
      <c r="H688" s="119">
        <v>682</v>
      </c>
      <c r="I688" s="120"/>
      <c r="J688" s="135"/>
    </row>
    <row r="689" spans="5:10" ht="11.25" customHeight="1" x14ac:dyDescent="0.2">
      <c r="E689" s="117">
        <v>683</v>
      </c>
      <c r="F689" s="118"/>
      <c r="G689" s="122"/>
      <c r="H689" s="119">
        <v>683</v>
      </c>
      <c r="I689" s="120"/>
      <c r="J689" s="135"/>
    </row>
    <row r="690" spans="5:10" ht="11.25" customHeight="1" x14ac:dyDescent="0.2">
      <c r="E690" s="117">
        <v>684</v>
      </c>
      <c r="F690" s="118"/>
      <c r="G690" s="122"/>
      <c r="H690" s="119">
        <v>684</v>
      </c>
      <c r="I690" s="120"/>
      <c r="J690" s="135"/>
    </row>
    <row r="691" spans="5:10" ht="11.25" customHeight="1" x14ac:dyDescent="0.2">
      <c r="E691" s="117">
        <v>685</v>
      </c>
      <c r="F691" s="118"/>
      <c r="G691" s="122"/>
      <c r="H691" s="119">
        <v>685</v>
      </c>
      <c r="I691" s="120"/>
      <c r="J691" s="135"/>
    </row>
    <row r="692" spans="5:10" ht="11.25" customHeight="1" x14ac:dyDescent="0.2">
      <c r="E692" s="117">
        <v>686</v>
      </c>
      <c r="F692" s="118"/>
      <c r="G692" s="122"/>
      <c r="H692" s="119">
        <v>686</v>
      </c>
      <c r="I692" s="120"/>
      <c r="J692" s="135"/>
    </row>
    <row r="693" spans="5:10" ht="11.25" customHeight="1" x14ac:dyDescent="0.2">
      <c r="E693" s="117">
        <v>687</v>
      </c>
      <c r="F693" s="118"/>
      <c r="G693" s="122"/>
      <c r="H693" s="119">
        <v>687</v>
      </c>
      <c r="I693" s="120"/>
      <c r="J693" s="135"/>
    </row>
    <row r="694" spans="5:10" ht="11.25" customHeight="1" x14ac:dyDescent="0.2">
      <c r="E694" s="117">
        <v>688</v>
      </c>
      <c r="F694" s="118"/>
      <c r="G694" s="122"/>
      <c r="H694" s="119">
        <v>688</v>
      </c>
      <c r="I694" s="120"/>
      <c r="J694" s="135"/>
    </row>
    <row r="695" spans="5:10" ht="11.25" customHeight="1" x14ac:dyDescent="0.2">
      <c r="E695" s="117">
        <v>689</v>
      </c>
      <c r="F695" s="118"/>
      <c r="G695" s="122"/>
      <c r="H695" s="119">
        <v>689</v>
      </c>
      <c r="I695" s="120"/>
      <c r="J695" s="135"/>
    </row>
    <row r="696" spans="5:10" ht="11.25" customHeight="1" x14ac:dyDescent="0.2">
      <c r="E696" s="117">
        <v>690</v>
      </c>
      <c r="F696" s="118"/>
      <c r="G696" s="122"/>
      <c r="H696" s="119">
        <v>690</v>
      </c>
      <c r="I696" s="120"/>
      <c r="J696" s="135"/>
    </row>
    <row r="697" spans="5:10" ht="11.25" customHeight="1" x14ac:dyDescent="0.2">
      <c r="E697" s="117">
        <v>691</v>
      </c>
      <c r="F697" s="118"/>
      <c r="G697" s="122"/>
      <c r="H697" s="119">
        <v>691</v>
      </c>
      <c r="I697" s="120"/>
      <c r="J697" s="135"/>
    </row>
    <row r="698" spans="5:10" ht="11.25" customHeight="1" x14ac:dyDescent="0.2">
      <c r="E698" s="117">
        <v>692</v>
      </c>
      <c r="F698" s="118"/>
      <c r="G698" s="122"/>
      <c r="H698" s="119">
        <v>692</v>
      </c>
      <c r="I698" s="120"/>
      <c r="J698" s="135"/>
    </row>
    <row r="699" spans="5:10" ht="11.25" customHeight="1" x14ac:dyDescent="0.2">
      <c r="E699" s="117">
        <v>693</v>
      </c>
      <c r="F699" s="118"/>
      <c r="G699" s="122"/>
      <c r="H699" s="119">
        <v>693</v>
      </c>
      <c r="I699" s="120"/>
      <c r="J699" s="135"/>
    </row>
    <row r="700" spans="5:10" ht="11.25" customHeight="1" x14ac:dyDescent="0.2">
      <c r="E700" s="117">
        <v>694</v>
      </c>
      <c r="F700" s="118"/>
      <c r="G700" s="122"/>
      <c r="H700" s="119">
        <v>694</v>
      </c>
      <c r="I700" s="120"/>
      <c r="J700" s="135"/>
    </row>
    <row r="701" spans="5:10" ht="11.25" customHeight="1" x14ac:dyDescent="0.2">
      <c r="E701" s="117">
        <v>695</v>
      </c>
      <c r="F701" s="118"/>
      <c r="G701" s="122"/>
      <c r="H701" s="119">
        <v>695</v>
      </c>
      <c r="I701" s="120"/>
      <c r="J701" s="135"/>
    </row>
    <row r="702" spans="5:10" ht="11.25" customHeight="1" x14ac:dyDescent="0.2">
      <c r="E702" s="117">
        <v>696</v>
      </c>
      <c r="F702" s="118"/>
      <c r="G702" s="122"/>
      <c r="H702" s="119">
        <v>696</v>
      </c>
      <c r="I702" s="120"/>
      <c r="J702" s="135"/>
    </row>
    <row r="703" spans="5:10" ht="11.25" customHeight="1" x14ac:dyDescent="0.2">
      <c r="E703" s="117">
        <v>697</v>
      </c>
      <c r="F703" s="118"/>
      <c r="G703" s="122"/>
      <c r="H703" s="119">
        <v>697</v>
      </c>
      <c r="I703" s="120"/>
      <c r="J703" s="135"/>
    </row>
    <row r="704" spans="5:10" ht="11.25" customHeight="1" x14ac:dyDescent="0.2">
      <c r="E704" s="117">
        <v>698</v>
      </c>
      <c r="F704" s="118"/>
      <c r="G704" s="122"/>
      <c r="H704" s="119">
        <v>698</v>
      </c>
      <c r="I704" s="120"/>
      <c r="J704" s="135"/>
    </row>
    <row r="705" spans="5:10" ht="11.25" customHeight="1" x14ac:dyDescent="0.2">
      <c r="E705" s="117">
        <v>699</v>
      </c>
      <c r="F705" s="118"/>
      <c r="G705" s="122"/>
      <c r="H705" s="119">
        <v>699</v>
      </c>
      <c r="I705" s="120"/>
      <c r="J705" s="135"/>
    </row>
    <row r="706" spans="5:10" ht="11.25" customHeight="1" x14ac:dyDescent="0.2">
      <c r="E706" s="117">
        <v>700</v>
      </c>
      <c r="F706" s="118"/>
      <c r="G706" s="122"/>
      <c r="H706" s="119">
        <v>700</v>
      </c>
      <c r="I706" s="120"/>
      <c r="J706" s="135"/>
    </row>
    <row r="707" spans="5:10" ht="11.25" customHeight="1" x14ac:dyDescent="0.2">
      <c r="E707" s="117">
        <v>701</v>
      </c>
      <c r="F707" s="118"/>
      <c r="G707" s="122"/>
      <c r="H707" s="119">
        <v>701</v>
      </c>
      <c r="I707" s="120"/>
      <c r="J707" s="135"/>
    </row>
    <row r="708" spans="5:10" ht="11.25" customHeight="1" x14ac:dyDescent="0.2">
      <c r="E708" s="117">
        <v>702</v>
      </c>
      <c r="F708" s="118"/>
      <c r="G708" s="122"/>
      <c r="H708" s="119">
        <v>702</v>
      </c>
      <c r="I708" s="120"/>
      <c r="J708" s="135"/>
    </row>
    <row r="709" spans="5:10" ht="11.25" customHeight="1" x14ac:dyDescent="0.2">
      <c r="E709" s="117">
        <v>703</v>
      </c>
      <c r="F709" s="118"/>
      <c r="G709" s="122"/>
      <c r="H709" s="119">
        <v>703</v>
      </c>
      <c r="I709" s="120"/>
      <c r="J709" s="135"/>
    </row>
    <row r="710" spans="5:10" ht="11.25" customHeight="1" x14ac:dyDescent="0.2">
      <c r="E710" s="117">
        <v>704</v>
      </c>
      <c r="F710" s="118"/>
      <c r="G710" s="122"/>
      <c r="H710" s="119">
        <v>704</v>
      </c>
      <c r="I710" s="120"/>
      <c r="J710" s="135"/>
    </row>
    <row r="711" spans="5:10" ht="11.25" customHeight="1" x14ac:dyDescent="0.2">
      <c r="E711" s="117">
        <v>705</v>
      </c>
      <c r="F711" s="118"/>
      <c r="G711" s="122"/>
      <c r="H711" s="119">
        <v>705</v>
      </c>
      <c r="I711" s="120"/>
      <c r="J711" s="135"/>
    </row>
    <row r="712" spans="5:10" ht="11.25" customHeight="1" x14ac:dyDescent="0.2">
      <c r="E712" s="117">
        <v>706</v>
      </c>
      <c r="F712" s="118"/>
      <c r="G712" s="122"/>
      <c r="H712" s="119">
        <v>706</v>
      </c>
      <c r="I712" s="120"/>
      <c r="J712" s="135"/>
    </row>
    <row r="713" spans="5:10" ht="11.25" customHeight="1" x14ac:dyDescent="0.2">
      <c r="E713" s="117">
        <v>707</v>
      </c>
      <c r="F713" s="118"/>
      <c r="G713" s="122"/>
      <c r="H713" s="119">
        <v>707</v>
      </c>
      <c r="I713" s="120"/>
      <c r="J713" s="135"/>
    </row>
    <row r="714" spans="5:10" ht="11.25" customHeight="1" x14ac:dyDescent="0.2">
      <c r="E714" s="117">
        <v>708</v>
      </c>
      <c r="F714" s="118"/>
      <c r="G714" s="122"/>
      <c r="H714" s="119">
        <v>708</v>
      </c>
      <c r="I714" s="120"/>
      <c r="J714" s="135"/>
    </row>
    <row r="715" spans="5:10" ht="11.25" customHeight="1" x14ac:dyDescent="0.2">
      <c r="E715" s="117">
        <v>709</v>
      </c>
      <c r="F715" s="118"/>
      <c r="G715" s="122"/>
      <c r="H715" s="119">
        <v>709</v>
      </c>
      <c r="I715" s="120"/>
      <c r="J715" s="135"/>
    </row>
    <row r="716" spans="5:10" ht="11.25" customHeight="1" x14ac:dyDescent="0.2">
      <c r="E716" s="117">
        <v>710</v>
      </c>
      <c r="F716" s="118"/>
      <c r="G716" s="122"/>
      <c r="H716" s="119">
        <v>710</v>
      </c>
      <c r="I716" s="120"/>
      <c r="J716" s="135"/>
    </row>
    <row r="717" spans="5:10" ht="11.25" customHeight="1" x14ac:dyDescent="0.2">
      <c r="E717" s="117">
        <v>711</v>
      </c>
      <c r="F717" s="118"/>
      <c r="G717" s="122"/>
      <c r="H717" s="119">
        <v>711</v>
      </c>
      <c r="I717" s="120"/>
      <c r="J717" s="135"/>
    </row>
    <row r="718" spans="5:10" ht="11.25" customHeight="1" x14ac:dyDescent="0.2">
      <c r="E718" s="117">
        <v>712</v>
      </c>
      <c r="F718" s="118"/>
      <c r="G718" s="122"/>
      <c r="H718" s="119">
        <v>712</v>
      </c>
      <c r="I718" s="120"/>
      <c r="J718" s="135"/>
    </row>
    <row r="719" spans="5:10" ht="11.25" customHeight="1" x14ac:dyDescent="0.2">
      <c r="E719" s="117">
        <v>713</v>
      </c>
      <c r="F719" s="118"/>
      <c r="G719" s="122"/>
      <c r="H719" s="119">
        <v>713</v>
      </c>
      <c r="I719" s="120"/>
      <c r="J719" s="135"/>
    </row>
    <row r="720" spans="5:10" ht="11.25" customHeight="1" x14ac:dyDescent="0.2">
      <c r="E720" s="117">
        <v>714</v>
      </c>
      <c r="F720" s="118"/>
      <c r="G720" s="122"/>
      <c r="H720" s="119">
        <v>714</v>
      </c>
      <c r="I720" s="120"/>
      <c r="J720" s="135"/>
    </row>
    <row r="721" spans="5:10" ht="11.25" customHeight="1" x14ac:dyDescent="0.2">
      <c r="E721" s="117">
        <v>715</v>
      </c>
      <c r="F721" s="118"/>
      <c r="G721" s="122"/>
      <c r="H721" s="119">
        <v>715</v>
      </c>
      <c r="I721" s="120"/>
      <c r="J721" s="135"/>
    </row>
    <row r="722" spans="5:10" ht="11.25" customHeight="1" x14ac:dyDescent="0.2">
      <c r="E722" s="117">
        <v>716</v>
      </c>
      <c r="F722" s="118"/>
      <c r="G722" s="122"/>
      <c r="H722" s="119">
        <v>716</v>
      </c>
      <c r="I722" s="120"/>
      <c r="J722" s="135"/>
    </row>
    <row r="723" spans="5:10" ht="11.25" customHeight="1" x14ac:dyDescent="0.2">
      <c r="E723" s="117">
        <v>717</v>
      </c>
      <c r="F723" s="118"/>
      <c r="G723" s="122"/>
      <c r="H723" s="119">
        <v>717</v>
      </c>
      <c r="I723" s="120"/>
      <c r="J723" s="135"/>
    </row>
    <row r="724" spans="5:10" ht="11.25" customHeight="1" x14ac:dyDescent="0.2">
      <c r="E724" s="117">
        <v>718</v>
      </c>
      <c r="F724" s="118"/>
      <c r="G724" s="122"/>
      <c r="H724" s="119">
        <v>718</v>
      </c>
      <c r="I724" s="120"/>
      <c r="J724" s="135"/>
    </row>
    <row r="725" spans="5:10" ht="11.25" customHeight="1" x14ac:dyDescent="0.2">
      <c r="E725" s="117">
        <v>719</v>
      </c>
      <c r="F725" s="118"/>
      <c r="G725" s="122"/>
      <c r="H725" s="119">
        <v>719</v>
      </c>
      <c r="I725" s="120"/>
      <c r="J725" s="135"/>
    </row>
    <row r="726" spans="5:10" ht="11.25" customHeight="1" x14ac:dyDescent="0.2">
      <c r="E726" s="117">
        <v>720</v>
      </c>
      <c r="F726" s="118"/>
      <c r="G726" s="122"/>
      <c r="H726" s="119">
        <v>720</v>
      </c>
      <c r="I726" s="120"/>
      <c r="J726" s="135"/>
    </row>
    <row r="727" spans="5:10" ht="11.25" customHeight="1" x14ac:dyDescent="0.2">
      <c r="E727" s="117">
        <v>721</v>
      </c>
      <c r="F727" s="118"/>
      <c r="G727" s="122"/>
      <c r="H727" s="119">
        <v>721</v>
      </c>
      <c r="I727" s="120"/>
      <c r="J727" s="135"/>
    </row>
    <row r="728" spans="5:10" ht="11.25" customHeight="1" x14ac:dyDescent="0.2">
      <c r="E728" s="117">
        <v>722</v>
      </c>
      <c r="F728" s="118"/>
      <c r="G728" s="122"/>
      <c r="H728" s="119">
        <v>722</v>
      </c>
      <c r="I728" s="120"/>
      <c r="J728" s="135"/>
    </row>
    <row r="729" spans="5:10" ht="11.25" customHeight="1" x14ac:dyDescent="0.2">
      <c r="E729" s="117">
        <v>723</v>
      </c>
      <c r="F729" s="118"/>
      <c r="G729" s="122"/>
      <c r="H729" s="119">
        <v>723</v>
      </c>
      <c r="I729" s="120"/>
      <c r="J729" s="135"/>
    </row>
    <row r="730" spans="5:10" ht="11.25" customHeight="1" x14ac:dyDescent="0.2">
      <c r="E730" s="117">
        <v>724</v>
      </c>
      <c r="F730" s="118"/>
      <c r="G730" s="122"/>
      <c r="H730" s="119">
        <v>724</v>
      </c>
      <c r="I730" s="120"/>
      <c r="J730" s="135"/>
    </row>
    <row r="731" spans="5:10" ht="11.25" customHeight="1" x14ac:dyDescent="0.2">
      <c r="E731" s="117">
        <v>725</v>
      </c>
      <c r="F731" s="118"/>
      <c r="G731" s="122"/>
      <c r="H731" s="119">
        <v>725</v>
      </c>
      <c r="I731" s="120"/>
      <c r="J731" s="135"/>
    </row>
    <row r="732" spans="5:10" ht="11.25" customHeight="1" x14ac:dyDescent="0.2">
      <c r="E732" s="117">
        <v>726</v>
      </c>
      <c r="F732" s="118"/>
      <c r="G732" s="122"/>
      <c r="H732" s="119">
        <v>726</v>
      </c>
      <c r="I732" s="120"/>
      <c r="J732" s="135"/>
    </row>
    <row r="733" spans="5:10" ht="11.25" customHeight="1" x14ac:dyDescent="0.2">
      <c r="E733" s="117">
        <v>727</v>
      </c>
      <c r="F733" s="118"/>
      <c r="G733" s="122"/>
      <c r="H733" s="119">
        <v>727</v>
      </c>
      <c r="I733" s="120"/>
      <c r="J733" s="135"/>
    </row>
    <row r="734" spans="5:10" ht="11.25" customHeight="1" x14ac:dyDescent="0.2">
      <c r="E734" s="117">
        <v>728</v>
      </c>
      <c r="F734" s="118"/>
      <c r="G734" s="122"/>
      <c r="H734" s="119">
        <v>728</v>
      </c>
      <c r="I734" s="120"/>
      <c r="J734" s="135"/>
    </row>
    <row r="735" spans="5:10" ht="11.25" customHeight="1" x14ac:dyDescent="0.2">
      <c r="E735" s="117">
        <v>729</v>
      </c>
      <c r="F735" s="118"/>
      <c r="G735" s="122"/>
      <c r="H735" s="119">
        <v>729</v>
      </c>
      <c r="I735" s="120"/>
      <c r="J735" s="135"/>
    </row>
    <row r="736" spans="5:10" ht="11.25" customHeight="1" x14ac:dyDescent="0.2">
      <c r="E736" s="117">
        <v>730</v>
      </c>
      <c r="F736" s="118"/>
      <c r="G736" s="122"/>
      <c r="H736" s="119">
        <v>730</v>
      </c>
      <c r="I736" s="120"/>
      <c r="J736" s="135"/>
    </row>
    <row r="737" spans="5:10" ht="11.25" customHeight="1" x14ac:dyDescent="0.2">
      <c r="E737" s="117">
        <v>731</v>
      </c>
      <c r="F737" s="118"/>
      <c r="G737" s="122"/>
      <c r="H737" s="119">
        <v>731</v>
      </c>
      <c r="I737" s="120"/>
      <c r="J737" s="135"/>
    </row>
    <row r="738" spans="5:10" ht="11.25" customHeight="1" x14ac:dyDescent="0.2">
      <c r="E738" s="117">
        <v>732</v>
      </c>
      <c r="F738" s="118"/>
      <c r="G738" s="122"/>
      <c r="H738" s="119">
        <v>732</v>
      </c>
      <c r="I738" s="120"/>
      <c r="J738" s="135"/>
    </row>
    <row r="739" spans="5:10" ht="11.25" customHeight="1" x14ac:dyDescent="0.2">
      <c r="E739" s="117">
        <v>733</v>
      </c>
      <c r="F739" s="118"/>
      <c r="G739" s="122"/>
      <c r="H739" s="119">
        <v>733</v>
      </c>
      <c r="I739" s="120"/>
      <c r="J739" s="135"/>
    </row>
    <row r="740" spans="5:10" ht="11.25" customHeight="1" x14ac:dyDescent="0.2">
      <c r="E740" s="117">
        <v>734</v>
      </c>
      <c r="F740" s="118"/>
      <c r="G740" s="122"/>
      <c r="H740" s="119">
        <v>734</v>
      </c>
      <c r="I740" s="120"/>
      <c r="J740" s="135"/>
    </row>
    <row r="741" spans="5:10" ht="11.25" customHeight="1" x14ac:dyDescent="0.2">
      <c r="E741" s="117">
        <v>735</v>
      </c>
      <c r="F741" s="118"/>
      <c r="G741" s="122"/>
      <c r="H741" s="119">
        <v>735</v>
      </c>
      <c r="I741" s="120"/>
      <c r="J741" s="135"/>
    </row>
    <row r="742" spans="5:10" ht="11.25" customHeight="1" x14ac:dyDescent="0.2">
      <c r="E742" s="117">
        <v>736</v>
      </c>
      <c r="F742" s="118"/>
      <c r="G742" s="122"/>
      <c r="H742" s="119">
        <v>736</v>
      </c>
      <c r="I742" s="120"/>
      <c r="J742" s="135"/>
    </row>
    <row r="743" spans="5:10" ht="11.25" customHeight="1" x14ac:dyDescent="0.2">
      <c r="E743" s="117">
        <v>737</v>
      </c>
      <c r="F743" s="118"/>
      <c r="G743" s="122"/>
      <c r="H743" s="119">
        <v>737</v>
      </c>
      <c r="I743" s="120"/>
      <c r="J743" s="135"/>
    </row>
    <row r="744" spans="5:10" ht="11.25" customHeight="1" x14ac:dyDescent="0.2">
      <c r="E744" s="117">
        <v>738</v>
      </c>
      <c r="F744" s="118"/>
      <c r="G744" s="122"/>
      <c r="H744" s="119">
        <v>738</v>
      </c>
      <c r="I744" s="120"/>
      <c r="J744" s="135"/>
    </row>
    <row r="745" spans="5:10" ht="11.25" customHeight="1" x14ac:dyDescent="0.2">
      <c r="E745" s="117">
        <v>739</v>
      </c>
      <c r="F745" s="118"/>
      <c r="G745" s="122"/>
      <c r="H745" s="119">
        <v>739</v>
      </c>
      <c r="I745" s="120"/>
      <c r="J745" s="135"/>
    </row>
    <row r="746" spans="5:10" ht="11.25" customHeight="1" x14ac:dyDescent="0.2">
      <c r="E746" s="117">
        <v>740</v>
      </c>
      <c r="F746" s="118"/>
      <c r="G746" s="122"/>
      <c r="H746" s="119">
        <v>740</v>
      </c>
      <c r="I746" s="120"/>
      <c r="J746" s="135"/>
    </row>
    <row r="747" spans="5:10" ht="11.25" customHeight="1" x14ac:dyDescent="0.2">
      <c r="E747" s="117">
        <v>741</v>
      </c>
      <c r="F747" s="118"/>
      <c r="G747" s="122"/>
      <c r="H747" s="119">
        <v>741</v>
      </c>
      <c r="I747" s="120"/>
      <c r="J747" s="135"/>
    </row>
    <row r="748" spans="5:10" ht="11.25" customHeight="1" x14ac:dyDescent="0.2">
      <c r="E748" s="117">
        <v>742</v>
      </c>
      <c r="F748" s="118"/>
      <c r="G748" s="122"/>
      <c r="H748" s="119">
        <v>742</v>
      </c>
      <c r="I748" s="120"/>
      <c r="J748" s="135"/>
    </row>
    <row r="749" spans="5:10" ht="11.25" customHeight="1" x14ac:dyDescent="0.2">
      <c r="E749" s="117">
        <v>743</v>
      </c>
      <c r="F749" s="118"/>
      <c r="G749" s="122"/>
      <c r="H749" s="119">
        <v>743</v>
      </c>
      <c r="I749" s="120"/>
      <c r="J749" s="135"/>
    </row>
    <row r="750" spans="5:10" ht="11.25" customHeight="1" x14ac:dyDescent="0.2">
      <c r="E750" s="117">
        <v>744</v>
      </c>
      <c r="F750" s="118"/>
      <c r="G750" s="122"/>
      <c r="H750" s="119">
        <v>744</v>
      </c>
      <c r="I750" s="120"/>
      <c r="J750" s="135"/>
    </row>
    <row r="751" spans="5:10" ht="11.25" customHeight="1" x14ac:dyDescent="0.2">
      <c r="E751" s="117">
        <v>745</v>
      </c>
      <c r="F751" s="118"/>
      <c r="G751" s="122"/>
      <c r="H751" s="119">
        <v>745</v>
      </c>
      <c r="I751" s="120"/>
      <c r="J751" s="135"/>
    </row>
    <row r="752" spans="5:10" ht="11.25" customHeight="1" x14ac:dyDescent="0.2">
      <c r="E752" s="117">
        <v>746</v>
      </c>
      <c r="F752" s="118"/>
      <c r="G752" s="122"/>
      <c r="H752" s="119">
        <v>746</v>
      </c>
      <c r="I752" s="120"/>
      <c r="J752" s="135"/>
    </row>
    <row r="753" spans="5:10" ht="11.25" customHeight="1" x14ac:dyDescent="0.2">
      <c r="E753" s="117">
        <v>747</v>
      </c>
      <c r="F753" s="118"/>
      <c r="G753" s="122"/>
      <c r="H753" s="119">
        <v>747</v>
      </c>
      <c r="I753" s="120"/>
      <c r="J753" s="135"/>
    </row>
    <row r="754" spans="5:10" ht="11.25" customHeight="1" x14ac:dyDescent="0.2">
      <c r="E754" s="117">
        <v>748</v>
      </c>
      <c r="F754" s="118"/>
      <c r="G754" s="122"/>
      <c r="H754" s="119">
        <v>748</v>
      </c>
      <c r="I754" s="120"/>
      <c r="J754" s="135"/>
    </row>
    <row r="755" spans="5:10" ht="11.25" customHeight="1" x14ac:dyDescent="0.2">
      <c r="E755" s="117">
        <v>749</v>
      </c>
      <c r="F755" s="118"/>
      <c r="G755" s="122"/>
      <c r="H755" s="119">
        <v>749</v>
      </c>
      <c r="I755" s="120"/>
      <c r="J755" s="135"/>
    </row>
    <row r="756" spans="5:10" ht="11.25" customHeight="1" x14ac:dyDescent="0.2">
      <c r="E756" s="117">
        <v>750</v>
      </c>
      <c r="F756" s="118"/>
      <c r="G756" s="122"/>
      <c r="H756" s="119">
        <v>750</v>
      </c>
      <c r="I756" s="120"/>
      <c r="J756" s="135"/>
    </row>
    <row r="757" spans="5:10" ht="11.25" customHeight="1" x14ac:dyDescent="0.2">
      <c r="E757" s="117">
        <v>751</v>
      </c>
      <c r="F757" s="118"/>
      <c r="G757" s="122"/>
      <c r="H757" s="119">
        <v>751</v>
      </c>
      <c r="I757" s="120"/>
      <c r="J757" s="135"/>
    </row>
    <row r="758" spans="5:10" ht="11.25" customHeight="1" x14ac:dyDescent="0.2">
      <c r="E758" s="117">
        <v>752</v>
      </c>
      <c r="F758" s="118"/>
      <c r="G758" s="122"/>
      <c r="H758" s="119">
        <v>752</v>
      </c>
      <c r="I758" s="120"/>
      <c r="J758" s="135"/>
    </row>
    <row r="759" spans="5:10" ht="11.25" customHeight="1" x14ac:dyDescent="0.2">
      <c r="E759" s="117">
        <v>753</v>
      </c>
      <c r="F759" s="118"/>
      <c r="G759" s="122"/>
      <c r="H759" s="119">
        <v>753</v>
      </c>
      <c r="I759" s="120"/>
      <c r="J759" s="135"/>
    </row>
    <row r="760" spans="5:10" ht="11.25" customHeight="1" x14ac:dyDescent="0.2">
      <c r="E760" s="117">
        <v>754</v>
      </c>
      <c r="F760" s="118"/>
      <c r="G760" s="122"/>
      <c r="H760" s="119">
        <v>754</v>
      </c>
      <c r="I760" s="120"/>
      <c r="J760" s="135"/>
    </row>
    <row r="761" spans="5:10" ht="11.25" customHeight="1" x14ac:dyDescent="0.2">
      <c r="E761" s="117">
        <v>755</v>
      </c>
      <c r="F761" s="118"/>
      <c r="G761" s="122"/>
      <c r="H761" s="119">
        <v>755</v>
      </c>
      <c r="I761" s="120"/>
      <c r="J761" s="135"/>
    </row>
    <row r="762" spans="5:10" ht="11.25" customHeight="1" x14ac:dyDescent="0.2">
      <c r="E762" s="117">
        <v>756</v>
      </c>
      <c r="F762" s="118"/>
      <c r="G762" s="122"/>
      <c r="H762" s="119">
        <v>756</v>
      </c>
      <c r="I762" s="120"/>
      <c r="J762" s="135"/>
    </row>
    <row r="763" spans="5:10" ht="11.25" customHeight="1" x14ac:dyDescent="0.2">
      <c r="E763" s="117">
        <v>757</v>
      </c>
      <c r="F763" s="118"/>
      <c r="G763" s="122"/>
      <c r="H763" s="119">
        <v>757</v>
      </c>
      <c r="I763" s="120"/>
      <c r="J763" s="135"/>
    </row>
    <row r="764" spans="5:10" ht="11.25" customHeight="1" x14ac:dyDescent="0.2">
      <c r="E764" s="117">
        <v>758</v>
      </c>
      <c r="F764" s="118"/>
      <c r="G764" s="122"/>
      <c r="H764" s="119">
        <v>758</v>
      </c>
      <c r="I764" s="120"/>
      <c r="J764" s="135"/>
    </row>
    <row r="765" spans="5:10" ht="11.25" customHeight="1" x14ac:dyDescent="0.2">
      <c r="E765" s="117">
        <v>759</v>
      </c>
      <c r="F765" s="118"/>
      <c r="G765" s="122"/>
      <c r="H765" s="119">
        <v>759</v>
      </c>
      <c r="I765" s="120"/>
      <c r="J765" s="135"/>
    </row>
    <row r="766" spans="5:10" ht="11.25" customHeight="1" x14ac:dyDescent="0.2">
      <c r="E766" s="117">
        <v>760</v>
      </c>
      <c r="F766" s="118"/>
      <c r="G766" s="122"/>
      <c r="H766" s="119">
        <v>760</v>
      </c>
      <c r="I766" s="120"/>
      <c r="J766" s="135"/>
    </row>
    <row r="767" spans="5:10" ht="11.25" customHeight="1" x14ac:dyDescent="0.2">
      <c r="E767" s="117">
        <v>761</v>
      </c>
      <c r="F767" s="118"/>
      <c r="G767" s="122"/>
      <c r="H767" s="119">
        <v>761</v>
      </c>
      <c r="I767" s="120"/>
      <c r="J767" s="135"/>
    </row>
    <row r="768" spans="5:10" ht="11.25" customHeight="1" x14ac:dyDescent="0.2">
      <c r="E768" s="117">
        <v>762</v>
      </c>
      <c r="F768" s="118"/>
      <c r="G768" s="122"/>
      <c r="H768" s="119">
        <v>762</v>
      </c>
      <c r="I768" s="120"/>
      <c r="J768" s="135"/>
    </row>
    <row r="769" spans="5:10" ht="11.25" customHeight="1" x14ac:dyDescent="0.2">
      <c r="E769" s="117">
        <v>763</v>
      </c>
      <c r="F769" s="118"/>
      <c r="G769" s="122"/>
      <c r="H769" s="119">
        <v>763</v>
      </c>
      <c r="I769" s="120"/>
      <c r="J769" s="135"/>
    </row>
    <row r="770" spans="5:10" ht="11.25" customHeight="1" x14ac:dyDescent="0.2">
      <c r="E770" s="117">
        <v>764</v>
      </c>
      <c r="F770" s="118"/>
      <c r="G770" s="122"/>
      <c r="H770" s="119">
        <v>764</v>
      </c>
      <c r="I770" s="120"/>
      <c r="J770" s="135"/>
    </row>
    <row r="771" spans="5:10" ht="11.25" customHeight="1" x14ac:dyDescent="0.2">
      <c r="E771" s="117">
        <v>765</v>
      </c>
      <c r="F771" s="118"/>
      <c r="G771" s="122"/>
      <c r="H771" s="119">
        <v>765</v>
      </c>
      <c r="I771" s="120"/>
      <c r="J771" s="135"/>
    </row>
    <row r="772" spans="5:10" ht="11.25" customHeight="1" x14ac:dyDescent="0.2">
      <c r="E772" s="117">
        <v>766</v>
      </c>
      <c r="F772" s="118"/>
      <c r="G772" s="122"/>
      <c r="H772" s="119">
        <v>766</v>
      </c>
      <c r="I772" s="120"/>
      <c r="J772" s="135"/>
    </row>
    <row r="773" spans="5:10" ht="11.25" customHeight="1" x14ac:dyDescent="0.2">
      <c r="E773" s="117">
        <v>767</v>
      </c>
      <c r="F773" s="118"/>
      <c r="G773" s="122"/>
      <c r="H773" s="119">
        <v>767</v>
      </c>
      <c r="I773" s="120"/>
      <c r="J773" s="135"/>
    </row>
    <row r="774" spans="5:10" ht="11.25" customHeight="1" x14ac:dyDescent="0.2">
      <c r="E774" s="117">
        <v>768</v>
      </c>
      <c r="F774" s="118"/>
      <c r="G774" s="122"/>
      <c r="H774" s="119">
        <v>768</v>
      </c>
      <c r="I774" s="120"/>
      <c r="J774" s="135"/>
    </row>
    <row r="775" spans="5:10" ht="11.25" customHeight="1" x14ac:dyDescent="0.2">
      <c r="E775" s="117">
        <v>769</v>
      </c>
      <c r="F775" s="118"/>
      <c r="G775" s="122"/>
      <c r="H775" s="119">
        <v>769</v>
      </c>
      <c r="I775" s="120"/>
      <c r="J775" s="135"/>
    </row>
    <row r="776" spans="5:10" ht="11.25" customHeight="1" x14ac:dyDescent="0.2">
      <c r="E776" s="117">
        <v>770</v>
      </c>
      <c r="F776" s="118"/>
      <c r="G776" s="122"/>
      <c r="H776" s="119">
        <v>770</v>
      </c>
      <c r="I776" s="120"/>
      <c r="J776" s="135"/>
    </row>
    <row r="777" spans="5:10" ht="11.25" customHeight="1" x14ac:dyDescent="0.2">
      <c r="E777" s="117">
        <v>771</v>
      </c>
      <c r="F777" s="118"/>
      <c r="G777" s="122"/>
      <c r="H777" s="119">
        <v>771</v>
      </c>
      <c r="I777" s="120"/>
      <c r="J777" s="135"/>
    </row>
    <row r="778" spans="5:10" ht="11.25" customHeight="1" x14ac:dyDescent="0.2">
      <c r="E778" s="117">
        <v>772</v>
      </c>
      <c r="F778" s="118"/>
      <c r="G778" s="122"/>
      <c r="H778" s="119">
        <v>772</v>
      </c>
      <c r="I778" s="120"/>
      <c r="J778" s="135"/>
    </row>
    <row r="779" spans="5:10" ht="11.25" customHeight="1" x14ac:dyDescent="0.2">
      <c r="E779" s="117">
        <v>773</v>
      </c>
      <c r="F779" s="118"/>
      <c r="G779" s="122"/>
      <c r="H779" s="119">
        <v>773</v>
      </c>
      <c r="I779" s="120"/>
      <c r="J779" s="135"/>
    </row>
    <row r="780" spans="5:10" ht="11.25" customHeight="1" x14ac:dyDescent="0.2">
      <c r="E780" s="117">
        <v>774</v>
      </c>
      <c r="F780" s="118"/>
      <c r="G780" s="122"/>
      <c r="H780" s="119">
        <v>774</v>
      </c>
      <c r="I780" s="120"/>
      <c r="J780" s="135"/>
    </row>
    <row r="781" spans="5:10" ht="11.25" customHeight="1" x14ac:dyDescent="0.2">
      <c r="E781" s="117">
        <v>775</v>
      </c>
      <c r="F781" s="118"/>
      <c r="G781" s="122"/>
      <c r="H781" s="119">
        <v>775</v>
      </c>
      <c r="I781" s="120"/>
      <c r="J781" s="135"/>
    </row>
    <row r="782" spans="5:10" ht="11.25" customHeight="1" x14ac:dyDescent="0.2">
      <c r="E782" s="117">
        <v>776</v>
      </c>
      <c r="F782" s="118"/>
      <c r="G782" s="122"/>
      <c r="H782" s="119">
        <v>776</v>
      </c>
      <c r="I782" s="120"/>
      <c r="J782" s="135"/>
    </row>
    <row r="783" spans="5:10" ht="11.25" customHeight="1" x14ac:dyDescent="0.2">
      <c r="E783" s="117">
        <v>777</v>
      </c>
      <c r="F783" s="118"/>
      <c r="G783" s="122"/>
      <c r="H783" s="119">
        <v>777</v>
      </c>
      <c r="I783" s="120"/>
      <c r="J783" s="135"/>
    </row>
    <row r="784" spans="5:10" ht="11.25" customHeight="1" x14ac:dyDescent="0.2">
      <c r="E784" s="117">
        <v>778</v>
      </c>
      <c r="F784" s="118"/>
      <c r="G784" s="122"/>
      <c r="H784" s="119">
        <v>778</v>
      </c>
      <c r="I784" s="120"/>
      <c r="J784" s="135"/>
    </row>
    <row r="785" spans="5:10" ht="11.25" customHeight="1" x14ac:dyDescent="0.2">
      <c r="E785" s="117">
        <v>779</v>
      </c>
      <c r="F785" s="118"/>
      <c r="G785" s="122"/>
      <c r="H785" s="119">
        <v>779</v>
      </c>
      <c r="I785" s="120"/>
      <c r="J785" s="135"/>
    </row>
    <row r="786" spans="5:10" ht="11.25" customHeight="1" x14ac:dyDescent="0.2">
      <c r="E786" s="117">
        <v>780</v>
      </c>
      <c r="F786" s="118"/>
      <c r="G786" s="122"/>
      <c r="H786" s="119">
        <v>780</v>
      </c>
      <c r="I786" s="120"/>
      <c r="J786" s="135"/>
    </row>
    <row r="787" spans="5:10" ht="11.25" customHeight="1" x14ac:dyDescent="0.2">
      <c r="E787" s="117">
        <v>781</v>
      </c>
      <c r="F787" s="118"/>
      <c r="G787" s="122"/>
      <c r="H787" s="119">
        <v>781</v>
      </c>
      <c r="I787" s="120"/>
      <c r="J787" s="135"/>
    </row>
    <row r="788" spans="5:10" ht="11.25" customHeight="1" x14ac:dyDescent="0.2">
      <c r="E788" s="117">
        <v>782</v>
      </c>
      <c r="F788" s="118"/>
      <c r="G788" s="122"/>
      <c r="H788" s="119">
        <v>782</v>
      </c>
      <c r="I788" s="120"/>
      <c r="J788" s="135"/>
    </row>
    <row r="789" spans="5:10" ht="11.25" customHeight="1" x14ac:dyDescent="0.2">
      <c r="E789" s="117">
        <v>783</v>
      </c>
      <c r="F789" s="118"/>
      <c r="G789" s="122"/>
      <c r="H789" s="119">
        <v>783</v>
      </c>
      <c r="I789" s="120"/>
      <c r="J789" s="135"/>
    </row>
    <row r="790" spans="5:10" ht="11.25" customHeight="1" x14ac:dyDescent="0.2">
      <c r="E790" s="117">
        <v>784</v>
      </c>
      <c r="F790" s="118"/>
      <c r="G790" s="122"/>
      <c r="H790" s="119">
        <v>784</v>
      </c>
      <c r="I790" s="120"/>
      <c r="J790" s="135"/>
    </row>
    <row r="791" spans="5:10" ht="11.25" customHeight="1" x14ac:dyDescent="0.2">
      <c r="E791" s="117">
        <v>785</v>
      </c>
      <c r="F791" s="118"/>
      <c r="G791" s="122"/>
      <c r="H791" s="119">
        <v>785</v>
      </c>
      <c r="I791" s="120"/>
      <c r="J791" s="135"/>
    </row>
    <row r="792" spans="5:10" ht="11.25" customHeight="1" x14ac:dyDescent="0.2">
      <c r="E792" s="117">
        <v>786</v>
      </c>
      <c r="F792" s="118"/>
      <c r="G792" s="122"/>
      <c r="H792" s="119">
        <v>786</v>
      </c>
      <c r="I792" s="120"/>
      <c r="J792" s="135"/>
    </row>
    <row r="793" spans="5:10" ht="11.25" customHeight="1" x14ac:dyDescent="0.2">
      <c r="E793" s="117">
        <v>787</v>
      </c>
      <c r="F793" s="118"/>
      <c r="G793" s="122"/>
      <c r="H793" s="119">
        <v>787</v>
      </c>
      <c r="I793" s="120"/>
      <c r="J793" s="135"/>
    </row>
    <row r="794" spans="5:10" ht="11.25" customHeight="1" x14ac:dyDescent="0.2">
      <c r="E794" s="117">
        <v>788</v>
      </c>
      <c r="F794" s="118"/>
      <c r="G794" s="122"/>
      <c r="H794" s="119">
        <v>788</v>
      </c>
      <c r="I794" s="120"/>
      <c r="J794" s="135"/>
    </row>
    <row r="795" spans="5:10" ht="11.25" customHeight="1" x14ac:dyDescent="0.2">
      <c r="E795" s="117">
        <v>789</v>
      </c>
      <c r="F795" s="118"/>
      <c r="G795" s="122"/>
      <c r="H795" s="119">
        <v>789</v>
      </c>
      <c r="I795" s="120"/>
      <c r="J795" s="135"/>
    </row>
    <row r="796" spans="5:10" ht="11.25" customHeight="1" x14ac:dyDescent="0.2">
      <c r="E796" s="117">
        <v>790</v>
      </c>
      <c r="F796" s="118"/>
      <c r="G796" s="122"/>
      <c r="H796" s="119">
        <v>790</v>
      </c>
      <c r="I796" s="120"/>
      <c r="J796" s="135"/>
    </row>
    <row r="797" spans="5:10" ht="11.25" customHeight="1" x14ac:dyDescent="0.2">
      <c r="E797" s="117">
        <v>791</v>
      </c>
      <c r="F797" s="118"/>
      <c r="G797" s="122"/>
      <c r="H797" s="119">
        <v>791</v>
      </c>
      <c r="I797" s="120"/>
      <c r="J797" s="135"/>
    </row>
    <row r="798" spans="5:10" ht="11.25" customHeight="1" x14ac:dyDescent="0.2">
      <c r="E798" s="117">
        <v>792</v>
      </c>
      <c r="F798" s="118"/>
      <c r="G798" s="122"/>
      <c r="H798" s="119">
        <v>792</v>
      </c>
      <c r="I798" s="120"/>
      <c r="J798" s="135"/>
    </row>
    <row r="799" spans="5:10" ht="11.25" customHeight="1" x14ac:dyDescent="0.2">
      <c r="E799" s="117">
        <v>793</v>
      </c>
      <c r="F799" s="118"/>
      <c r="G799" s="122"/>
      <c r="H799" s="119">
        <v>793</v>
      </c>
      <c r="I799" s="120"/>
      <c r="J799" s="135"/>
    </row>
    <row r="800" spans="5:10" ht="11.25" customHeight="1" x14ac:dyDescent="0.2">
      <c r="E800" s="117">
        <v>794</v>
      </c>
      <c r="F800" s="118"/>
      <c r="G800" s="122"/>
      <c r="H800" s="119">
        <v>794</v>
      </c>
      <c r="I800" s="120"/>
      <c r="J800" s="135"/>
    </row>
    <row r="801" spans="5:10" ht="11.25" customHeight="1" x14ac:dyDescent="0.2">
      <c r="E801" s="117">
        <v>795</v>
      </c>
      <c r="F801" s="118"/>
      <c r="G801" s="122"/>
      <c r="H801" s="119">
        <v>795</v>
      </c>
      <c r="I801" s="120"/>
      <c r="J801" s="135"/>
    </row>
    <row r="802" spans="5:10" ht="11.25" customHeight="1" x14ac:dyDescent="0.2">
      <c r="E802" s="117">
        <v>796</v>
      </c>
      <c r="F802" s="118"/>
      <c r="G802" s="122"/>
      <c r="H802" s="119">
        <v>796</v>
      </c>
      <c r="I802" s="120"/>
      <c r="J802" s="135"/>
    </row>
    <row r="803" spans="5:10" ht="11.25" customHeight="1" x14ac:dyDescent="0.2">
      <c r="E803" s="117">
        <v>797</v>
      </c>
      <c r="F803" s="118"/>
      <c r="G803" s="122"/>
      <c r="H803" s="119">
        <v>797</v>
      </c>
      <c r="I803" s="120"/>
      <c r="J803" s="135"/>
    </row>
    <row r="804" spans="5:10" ht="11.25" customHeight="1" x14ac:dyDescent="0.2">
      <c r="E804" s="117">
        <v>798</v>
      </c>
      <c r="F804" s="118"/>
      <c r="G804" s="122"/>
      <c r="H804" s="119">
        <v>798</v>
      </c>
      <c r="I804" s="120"/>
      <c r="J804" s="135"/>
    </row>
    <row r="805" spans="5:10" ht="11.25" customHeight="1" x14ac:dyDescent="0.2">
      <c r="E805" s="117">
        <v>799</v>
      </c>
      <c r="F805" s="118"/>
      <c r="G805" s="122"/>
      <c r="H805" s="119">
        <v>799</v>
      </c>
      <c r="I805" s="120"/>
      <c r="J805" s="135"/>
    </row>
    <row r="806" spans="5:10" ht="11.25" customHeight="1" x14ac:dyDescent="0.2">
      <c r="E806" s="117">
        <v>800</v>
      </c>
      <c r="F806" s="118"/>
      <c r="G806" s="122"/>
      <c r="H806" s="119">
        <v>800</v>
      </c>
      <c r="I806" s="120"/>
      <c r="J806" s="135"/>
    </row>
    <row r="807" spans="5:10" ht="11.25" customHeight="1" x14ac:dyDescent="0.2">
      <c r="E807" s="117">
        <v>801</v>
      </c>
      <c r="F807" s="118"/>
      <c r="G807" s="122"/>
      <c r="H807" s="119">
        <v>801</v>
      </c>
      <c r="I807" s="120"/>
      <c r="J807" s="135"/>
    </row>
    <row r="808" spans="5:10" ht="11.25" customHeight="1" x14ac:dyDescent="0.2">
      <c r="E808" s="117">
        <v>802</v>
      </c>
      <c r="F808" s="118"/>
      <c r="G808" s="122"/>
      <c r="H808" s="119">
        <v>802</v>
      </c>
      <c r="I808" s="120"/>
      <c r="J808" s="135"/>
    </row>
    <row r="809" spans="5:10" ht="11.25" customHeight="1" x14ac:dyDescent="0.2">
      <c r="E809" s="117">
        <v>803</v>
      </c>
      <c r="F809" s="118"/>
      <c r="G809" s="122"/>
      <c r="H809" s="119">
        <v>803</v>
      </c>
      <c r="I809" s="120"/>
      <c r="J809" s="135"/>
    </row>
    <row r="810" spans="5:10" ht="11.25" customHeight="1" x14ac:dyDescent="0.2">
      <c r="E810" s="117">
        <v>804</v>
      </c>
      <c r="F810" s="118"/>
      <c r="G810" s="122"/>
      <c r="H810" s="119">
        <v>804</v>
      </c>
      <c r="I810" s="120"/>
      <c r="J810" s="135"/>
    </row>
    <row r="811" spans="5:10" ht="11.25" customHeight="1" x14ac:dyDescent="0.2">
      <c r="E811" s="117">
        <v>805</v>
      </c>
      <c r="F811" s="118"/>
      <c r="G811" s="122"/>
      <c r="H811" s="119">
        <v>805</v>
      </c>
      <c r="I811" s="120"/>
      <c r="J811" s="135"/>
    </row>
    <row r="812" spans="5:10" ht="11.25" customHeight="1" x14ac:dyDescent="0.2">
      <c r="E812" s="117">
        <v>806</v>
      </c>
      <c r="F812" s="118"/>
      <c r="G812" s="122"/>
      <c r="H812" s="119">
        <v>806</v>
      </c>
      <c r="I812" s="120"/>
      <c r="J812" s="135"/>
    </row>
    <row r="813" spans="5:10" ht="11.25" customHeight="1" x14ac:dyDescent="0.2">
      <c r="E813" s="117">
        <v>807</v>
      </c>
      <c r="F813" s="118"/>
      <c r="G813" s="122"/>
      <c r="H813" s="119">
        <v>807</v>
      </c>
      <c r="I813" s="120"/>
      <c r="J813" s="135"/>
    </row>
    <row r="814" spans="5:10" ht="11.25" customHeight="1" x14ac:dyDescent="0.2">
      <c r="E814" s="117">
        <v>808</v>
      </c>
      <c r="F814" s="118"/>
      <c r="G814" s="122"/>
      <c r="H814" s="119">
        <v>808</v>
      </c>
      <c r="I814" s="120"/>
      <c r="J814" s="135"/>
    </row>
    <row r="815" spans="5:10" ht="11.25" customHeight="1" x14ac:dyDescent="0.2">
      <c r="E815" s="117">
        <v>809</v>
      </c>
      <c r="F815" s="118"/>
      <c r="G815" s="122"/>
      <c r="H815" s="119">
        <v>809</v>
      </c>
      <c r="I815" s="120"/>
      <c r="J815" s="135"/>
    </row>
    <row r="816" spans="5:10" ht="11.25" customHeight="1" x14ac:dyDescent="0.2">
      <c r="E816" s="117">
        <v>810</v>
      </c>
      <c r="F816" s="118"/>
      <c r="G816" s="122"/>
      <c r="H816" s="119">
        <v>810</v>
      </c>
      <c r="I816" s="120"/>
      <c r="J816" s="135"/>
    </row>
    <row r="817" spans="5:10" ht="11.25" customHeight="1" x14ac:dyDescent="0.2">
      <c r="E817" s="117">
        <v>811</v>
      </c>
      <c r="F817" s="118"/>
      <c r="G817" s="122"/>
      <c r="H817" s="119">
        <v>811</v>
      </c>
      <c r="I817" s="120"/>
      <c r="J817" s="135"/>
    </row>
    <row r="818" spans="5:10" ht="11.25" customHeight="1" x14ac:dyDescent="0.2">
      <c r="E818" s="117">
        <v>812</v>
      </c>
      <c r="F818" s="118"/>
      <c r="G818" s="122"/>
      <c r="H818" s="119">
        <v>812</v>
      </c>
      <c r="I818" s="120"/>
      <c r="J818" s="135"/>
    </row>
    <row r="819" spans="5:10" ht="11.25" customHeight="1" x14ac:dyDescent="0.2">
      <c r="E819" s="117">
        <v>813</v>
      </c>
      <c r="F819" s="118"/>
      <c r="G819" s="122"/>
      <c r="H819" s="119">
        <v>813</v>
      </c>
      <c r="I819" s="120"/>
      <c r="J819" s="135"/>
    </row>
    <row r="820" spans="5:10" ht="11.25" customHeight="1" x14ac:dyDescent="0.2">
      <c r="E820" s="117">
        <v>814</v>
      </c>
      <c r="F820" s="118"/>
      <c r="G820" s="122"/>
      <c r="H820" s="119">
        <v>814</v>
      </c>
      <c r="I820" s="120"/>
      <c r="J820" s="135"/>
    </row>
    <row r="821" spans="5:10" ht="11.25" customHeight="1" x14ac:dyDescent="0.2">
      <c r="E821" s="117">
        <v>815</v>
      </c>
      <c r="F821" s="118"/>
      <c r="G821" s="122"/>
      <c r="H821" s="119">
        <v>815</v>
      </c>
      <c r="I821" s="120"/>
      <c r="J821" s="135"/>
    </row>
    <row r="822" spans="5:10" ht="11.25" customHeight="1" x14ac:dyDescent="0.2">
      <c r="E822" s="117">
        <v>816</v>
      </c>
      <c r="F822" s="118"/>
      <c r="G822" s="122"/>
      <c r="H822" s="119">
        <v>816</v>
      </c>
      <c r="I822" s="120"/>
      <c r="J822" s="135"/>
    </row>
    <row r="823" spans="5:10" ht="11.25" customHeight="1" x14ac:dyDescent="0.2">
      <c r="E823" s="117">
        <v>817</v>
      </c>
      <c r="F823" s="118"/>
      <c r="G823" s="122"/>
      <c r="H823" s="119">
        <v>817</v>
      </c>
      <c r="I823" s="120"/>
      <c r="J823" s="135"/>
    </row>
    <row r="824" spans="5:10" ht="11.25" customHeight="1" x14ac:dyDescent="0.2">
      <c r="E824" s="117">
        <v>818</v>
      </c>
      <c r="F824" s="118"/>
      <c r="G824" s="122"/>
      <c r="H824" s="119">
        <v>818</v>
      </c>
      <c r="I824" s="120"/>
      <c r="J824" s="135"/>
    </row>
    <row r="825" spans="5:10" ht="11.25" customHeight="1" x14ac:dyDescent="0.2">
      <c r="E825" s="117">
        <v>819</v>
      </c>
      <c r="F825" s="118"/>
      <c r="G825" s="122"/>
      <c r="H825" s="119">
        <v>819</v>
      </c>
      <c r="I825" s="120"/>
      <c r="J825" s="135"/>
    </row>
    <row r="826" spans="5:10" ht="11.25" customHeight="1" x14ac:dyDescent="0.2">
      <c r="E826" s="117">
        <v>820</v>
      </c>
      <c r="F826" s="118"/>
      <c r="G826" s="122"/>
      <c r="H826" s="119">
        <v>820</v>
      </c>
      <c r="I826" s="120"/>
      <c r="J826" s="135"/>
    </row>
    <row r="827" spans="5:10" ht="11.25" customHeight="1" x14ac:dyDescent="0.2">
      <c r="E827" s="117">
        <v>821</v>
      </c>
      <c r="F827" s="118"/>
      <c r="G827" s="122"/>
      <c r="H827" s="119">
        <v>821</v>
      </c>
      <c r="I827" s="120"/>
      <c r="J827" s="135"/>
    </row>
    <row r="828" spans="5:10" ht="11.25" customHeight="1" x14ac:dyDescent="0.2">
      <c r="E828" s="117">
        <v>822</v>
      </c>
      <c r="F828" s="118"/>
      <c r="G828" s="122"/>
      <c r="H828" s="119">
        <v>822</v>
      </c>
      <c r="I828" s="120"/>
      <c r="J828" s="135"/>
    </row>
    <row r="829" spans="5:10" ht="11.25" customHeight="1" x14ac:dyDescent="0.2">
      <c r="E829" s="117">
        <v>823</v>
      </c>
      <c r="F829" s="118"/>
      <c r="G829" s="122"/>
      <c r="H829" s="119">
        <v>823</v>
      </c>
      <c r="I829" s="120"/>
      <c r="J829" s="135"/>
    </row>
    <row r="830" spans="5:10" ht="11.25" customHeight="1" x14ac:dyDescent="0.2">
      <c r="E830" s="117">
        <v>824</v>
      </c>
      <c r="F830" s="118"/>
      <c r="G830" s="122"/>
      <c r="H830" s="119">
        <v>824</v>
      </c>
      <c r="I830" s="120"/>
      <c r="J830" s="135"/>
    </row>
    <row r="831" spans="5:10" ht="11.25" customHeight="1" x14ac:dyDescent="0.2">
      <c r="E831" s="117">
        <v>825</v>
      </c>
      <c r="F831" s="118"/>
      <c r="G831" s="122"/>
      <c r="H831" s="119">
        <v>825</v>
      </c>
      <c r="I831" s="120"/>
      <c r="J831" s="135"/>
    </row>
    <row r="832" spans="5:10" ht="11.25" customHeight="1" x14ac:dyDescent="0.2">
      <c r="E832" s="117">
        <v>826</v>
      </c>
      <c r="F832" s="118"/>
      <c r="G832" s="122"/>
      <c r="H832" s="119">
        <v>826</v>
      </c>
      <c r="I832" s="120"/>
      <c r="J832" s="135"/>
    </row>
    <row r="833" spans="5:10" ht="11.25" customHeight="1" x14ac:dyDescent="0.2">
      <c r="E833" s="117">
        <v>827</v>
      </c>
      <c r="F833" s="118"/>
      <c r="G833" s="122"/>
      <c r="H833" s="119">
        <v>827</v>
      </c>
      <c r="I833" s="120"/>
      <c r="J833" s="135"/>
    </row>
    <row r="834" spans="5:10" ht="11.25" customHeight="1" x14ac:dyDescent="0.2">
      <c r="E834" s="117">
        <v>828</v>
      </c>
      <c r="F834" s="118"/>
      <c r="G834" s="122"/>
      <c r="H834" s="119">
        <v>828</v>
      </c>
      <c r="I834" s="120"/>
      <c r="J834" s="135"/>
    </row>
    <row r="835" spans="5:10" ht="11.25" customHeight="1" x14ac:dyDescent="0.2">
      <c r="E835" s="117">
        <v>829</v>
      </c>
      <c r="F835" s="118"/>
      <c r="G835" s="122"/>
      <c r="H835" s="119">
        <v>829</v>
      </c>
      <c r="I835" s="120"/>
      <c r="J835" s="135"/>
    </row>
    <row r="836" spans="5:10" ht="11.25" customHeight="1" x14ac:dyDescent="0.2">
      <c r="E836" s="117">
        <v>830</v>
      </c>
      <c r="F836" s="118"/>
      <c r="G836" s="122"/>
      <c r="H836" s="119">
        <v>830</v>
      </c>
      <c r="I836" s="120"/>
      <c r="J836" s="135"/>
    </row>
    <row r="837" spans="5:10" ht="11.25" customHeight="1" x14ac:dyDescent="0.2">
      <c r="E837" s="117">
        <v>831</v>
      </c>
      <c r="F837" s="118"/>
      <c r="G837" s="122"/>
      <c r="H837" s="119">
        <v>831</v>
      </c>
      <c r="I837" s="120"/>
      <c r="J837" s="135"/>
    </row>
    <row r="838" spans="5:10" ht="11.25" customHeight="1" x14ac:dyDescent="0.2">
      <c r="E838" s="117">
        <v>832</v>
      </c>
      <c r="F838" s="118"/>
      <c r="G838" s="122"/>
      <c r="H838" s="119">
        <v>832</v>
      </c>
      <c r="I838" s="120"/>
      <c r="J838" s="135"/>
    </row>
    <row r="839" spans="5:10" ht="11.25" customHeight="1" x14ac:dyDescent="0.2">
      <c r="E839" s="117">
        <v>833</v>
      </c>
      <c r="F839" s="118"/>
      <c r="G839" s="122"/>
      <c r="H839" s="119">
        <v>833</v>
      </c>
      <c r="I839" s="120"/>
      <c r="J839" s="135"/>
    </row>
    <row r="840" spans="5:10" ht="11.25" customHeight="1" x14ac:dyDescent="0.2">
      <c r="E840" s="117">
        <v>834</v>
      </c>
      <c r="F840" s="118"/>
      <c r="G840" s="122"/>
      <c r="H840" s="119">
        <v>834</v>
      </c>
      <c r="I840" s="120"/>
      <c r="J840" s="135"/>
    </row>
    <row r="841" spans="5:10" ht="11.25" customHeight="1" x14ac:dyDescent="0.2">
      <c r="E841" s="117">
        <v>835</v>
      </c>
      <c r="F841" s="118"/>
      <c r="G841" s="122"/>
      <c r="H841" s="119">
        <v>835</v>
      </c>
      <c r="I841" s="120"/>
      <c r="J841" s="135"/>
    </row>
    <row r="842" spans="5:10" ht="11.25" customHeight="1" x14ac:dyDescent="0.2">
      <c r="E842" s="117">
        <v>836</v>
      </c>
      <c r="F842" s="118"/>
      <c r="G842" s="122"/>
      <c r="H842" s="119">
        <v>836</v>
      </c>
      <c r="I842" s="120"/>
      <c r="J842" s="135"/>
    </row>
    <row r="843" spans="5:10" ht="11.25" customHeight="1" x14ac:dyDescent="0.2">
      <c r="E843" s="117">
        <v>837</v>
      </c>
      <c r="F843" s="118"/>
      <c r="G843" s="122"/>
      <c r="H843" s="119">
        <v>837</v>
      </c>
      <c r="I843" s="120"/>
      <c r="J843" s="135"/>
    </row>
    <row r="844" spans="5:10" ht="11.25" customHeight="1" x14ac:dyDescent="0.2">
      <c r="E844" s="117">
        <v>838</v>
      </c>
      <c r="F844" s="118"/>
      <c r="G844" s="122"/>
      <c r="H844" s="119">
        <v>838</v>
      </c>
      <c r="I844" s="120"/>
      <c r="J844" s="135"/>
    </row>
    <row r="845" spans="5:10" ht="11.25" customHeight="1" x14ac:dyDescent="0.2">
      <c r="E845" s="117">
        <v>839</v>
      </c>
      <c r="F845" s="118"/>
      <c r="G845" s="122"/>
      <c r="H845" s="119">
        <v>839</v>
      </c>
      <c r="I845" s="120"/>
      <c r="J845" s="135"/>
    </row>
    <row r="846" spans="5:10" ht="11.25" customHeight="1" x14ac:dyDescent="0.2">
      <c r="E846" s="117">
        <v>840</v>
      </c>
      <c r="F846" s="118"/>
      <c r="G846" s="122"/>
      <c r="H846" s="119">
        <v>840</v>
      </c>
      <c r="I846" s="120"/>
      <c r="J846" s="135"/>
    </row>
    <row r="847" spans="5:10" ht="11.25" customHeight="1" x14ac:dyDescent="0.2">
      <c r="E847" s="117">
        <v>841</v>
      </c>
      <c r="F847" s="118"/>
      <c r="G847" s="122"/>
      <c r="H847" s="119">
        <v>841</v>
      </c>
      <c r="I847" s="120"/>
      <c r="J847" s="135"/>
    </row>
    <row r="848" spans="5:10" ht="11.25" customHeight="1" x14ac:dyDescent="0.2">
      <c r="E848" s="117">
        <v>842</v>
      </c>
      <c r="F848" s="118"/>
      <c r="G848" s="122"/>
      <c r="H848" s="119">
        <v>842</v>
      </c>
      <c r="I848" s="120"/>
      <c r="J848" s="135"/>
    </row>
    <row r="849" spans="5:10" ht="11.25" customHeight="1" x14ac:dyDescent="0.2">
      <c r="E849" s="117">
        <v>843</v>
      </c>
      <c r="F849" s="118"/>
      <c r="G849" s="122"/>
      <c r="H849" s="119">
        <v>843</v>
      </c>
      <c r="I849" s="120"/>
      <c r="J849" s="135"/>
    </row>
    <row r="850" spans="5:10" ht="11.25" customHeight="1" x14ac:dyDescent="0.2">
      <c r="E850" s="117">
        <v>844</v>
      </c>
      <c r="F850" s="118"/>
      <c r="G850" s="122"/>
      <c r="H850" s="119">
        <v>844</v>
      </c>
      <c r="I850" s="120"/>
      <c r="J850" s="135"/>
    </row>
    <row r="851" spans="5:10" ht="11.25" customHeight="1" x14ac:dyDescent="0.2">
      <c r="E851" s="117">
        <v>845</v>
      </c>
      <c r="F851" s="118"/>
      <c r="G851" s="122"/>
      <c r="H851" s="119">
        <v>845</v>
      </c>
      <c r="I851" s="120"/>
      <c r="J851" s="135"/>
    </row>
    <row r="852" spans="5:10" ht="11.25" customHeight="1" x14ac:dyDescent="0.2">
      <c r="E852" s="117">
        <v>846</v>
      </c>
      <c r="F852" s="118"/>
      <c r="G852" s="122"/>
      <c r="H852" s="119">
        <v>846</v>
      </c>
      <c r="I852" s="120"/>
      <c r="J852" s="135"/>
    </row>
    <row r="853" spans="5:10" ht="11.25" customHeight="1" x14ac:dyDescent="0.2">
      <c r="E853" s="117">
        <v>847</v>
      </c>
      <c r="F853" s="118"/>
      <c r="G853" s="122"/>
      <c r="H853" s="119">
        <v>847</v>
      </c>
      <c r="I853" s="120"/>
      <c r="J853" s="135"/>
    </row>
    <row r="854" spans="5:10" ht="11.25" customHeight="1" x14ac:dyDescent="0.2">
      <c r="E854" s="117">
        <v>848</v>
      </c>
      <c r="F854" s="118"/>
      <c r="G854" s="122"/>
      <c r="H854" s="119">
        <v>848</v>
      </c>
      <c r="I854" s="120"/>
      <c r="J854" s="135"/>
    </row>
    <row r="855" spans="5:10" ht="11.25" customHeight="1" x14ac:dyDescent="0.2">
      <c r="E855" s="117">
        <v>849</v>
      </c>
      <c r="F855" s="118"/>
      <c r="G855" s="122"/>
      <c r="H855" s="119">
        <v>849</v>
      </c>
      <c r="I855" s="120"/>
      <c r="J855" s="135"/>
    </row>
    <row r="856" spans="5:10" ht="11.25" customHeight="1" x14ac:dyDescent="0.2">
      <c r="E856" s="117">
        <v>850</v>
      </c>
      <c r="F856" s="118"/>
      <c r="G856" s="122"/>
      <c r="H856" s="119">
        <v>850</v>
      </c>
      <c r="I856" s="120"/>
      <c r="J856" s="135"/>
    </row>
    <row r="857" spans="5:10" ht="11.25" customHeight="1" x14ac:dyDescent="0.2">
      <c r="E857" s="117">
        <v>851</v>
      </c>
      <c r="F857" s="118"/>
      <c r="G857" s="122"/>
      <c r="H857" s="119">
        <v>851</v>
      </c>
      <c r="I857" s="120"/>
      <c r="J857" s="135"/>
    </row>
    <row r="858" spans="5:10" ht="11.25" customHeight="1" x14ac:dyDescent="0.2">
      <c r="E858" s="117">
        <v>852</v>
      </c>
      <c r="F858" s="118"/>
      <c r="G858" s="122"/>
      <c r="H858" s="119">
        <v>852</v>
      </c>
      <c r="I858" s="120"/>
      <c r="J858" s="135"/>
    </row>
    <row r="859" spans="5:10" ht="11.25" customHeight="1" x14ac:dyDescent="0.2">
      <c r="E859" s="117">
        <v>853</v>
      </c>
      <c r="F859" s="118"/>
      <c r="G859" s="122"/>
      <c r="H859" s="119">
        <v>853</v>
      </c>
      <c r="I859" s="120"/>
      <c r="J859" s="135"/>
    </row>
    <row r="860" spans="5:10" ht="11.25" customHeight="1" x14ac:dyDescent="0.2">
      <c r="E860" s="117">
        <v>854</v>
      </c>
      <c r="F860" s="118"/>
      <c r="G860" s="122"/>
      <c r="H860" s="119">
        <v>854</v>
      </c>
      <c r="I860" s="120"/>
      <c r="J860" s="135"/>
    </row>
    <row r="861" spans="5:10" ht="11.25" customHeight="1" x14ac:dyDescent="0.2">
      <c r="E861" s="117">
        <v>855</v>
      </c>
      <c r="F861" s="118"/>
      <c r="G861" s="122"/>
      <c r="H861" s="119">
        <v>855</v>
      </c>
      <c r="I861" s="120"/>
      <c r="J861" s="135"/>
    </row>
    <row r="862" spans="5:10" ht="11.25" customHeight="1" x14ac:dyDescent="0.2">
      <c r="E862" s="117">
        <v>856</v>
      </c>
      <c r="F862" s="118"/>
      <c r="G862" s="122"/>
      <c r="H862" s="119">
        <v>856</v>
      </c>
      <c r="I862" s="120"/>
      <c r="J862" s="135"/>
    </row>
    <row r="863" spans="5:10" ht="11.25" customHeight="1" x14ac:dyDescent="0.2">
      <c r="E863" s="117">
        <v>857</v>
      </c>
      <c r="F863" s="118"/>
      <c r="G863" s="122"/>
      <c r="H863" s="119">
        <v>857</v>
      </c>
      <c r="I863" s="120"/>
      <c r="J863" s="135"/>
    </row>
    <row r="864" spans="5:10" ht="11.25" customHeight="1" x14ac:dyDescent="0.2">
      <c r="E864" s="117">
        <v>858</v>
      </c>
      <c r="F864" s="118"/>
      <c r="G864" s="122"/>
      <c r="H864" s="119">
        <v>858</v>
      </c>
      <c r="I864" s="120"/>
      <c r="J864" s="135"/>
    </row>
    <row r="865" spans="5:10" ht="11.25" customHeight="1" x14ac:dyDescent="0.2">
      <c r="E865" s="117">
        <v>859</v>
      </c>
      <c r="F865" s="118"/>
      <c r="G865" s="122"/>
      <c r="H865" s="119">
        <v>859</v>
      </c>
      <c r="I865" s="120"/>
      <c r="J865" s="135"/>
    </row>
    <row r="866" spans="5:10" ht="11.25" customHeight="1" x14ac:dyDescent="0.2">
      <c r="E866" s="117">
        <v>860</v>
      </c>
      <c r="F866" s="118"/>
      <c r="G866" s="122"/>
      <c r="H866" s="119">
        <v>860</v>
      </c>
      <c r="I866" s="120"/>
      <c r="J866" s="135"/>
    </row>
    <row r="867" spans="5:10" ht="11.25" customHeight="1" x14ac:dyDescent="0.2">
      <c r="E867" s="117">
        <v>861</v>
      </c>
      <c r="F867" s="118"/>
      <c r="G867" s="122"/>
      <c r="H867" s="119">
        <v>861</v>
      </c>
      <c r="I867" s="120"/>
      <c r="J867" s="135"/>
    </row>
    <row r="868" spans="5:10" ht="11.25" customHeight="1" x14ac:dyDescent="0.2">
      <c r="E868" s="117">
        <v>862</v>
      </c>
      <c r="F868" s="118"/>
      <c r="G868" s="122"/>
      <c r="H868" s="119">
        <v>862</v>
      </c>
      <c r="I868" s="120"/>
      <c r="J868" s="135"/>
    </row>
    <row r="869" spans="5:10" ht="11.25" customHeight="1" x14ac:dyDescent="0.2">
      <c r="E869" s="117">
        <v>863</v>
      </c>
      <c r="F869" s="118"/>
      <c r="G869" s="122"/>
      <c r="H869" s="119">
        <v>863</v>
      </c>
      <c r="I869" s="120"/>
      <c r="J869" s="135"/>
    </row>
    <row r="870" spans="5:10" ht="11.25" customHeight="1" x14ac:dyDescent="0.2">
      <c r="E870" s="117">
        <v>864</v>
      </c>
      <c r="F870" s="118"/>
      <c r="G870" s="122"/>
      <c r="H870" s="119">
        <v>864</v>
      </c>
      <c r="I870" s="120"/>
      <c r="J870" s="135"/>
    </row>
    <row r="871" spans="5:10" ht="11.25" customHeight="1" x14ac:dyDescent="0.2">
      <c r="E871" s="117">
        <v>865</v>
      </c>
      <c r="F871" s="118"/>
      <c r="G871" s="122"/>
      <c r="H871" s="119">
        <v>865</v>
      </c>
      <c r="I871" s="120"/>
      <c r="J871" s="135"/>
    </row>
    <row r="872" spans="5:10" ht="11.25" customHeight="1" x14ac:dyDescent="0.2">
      <c r="E872" s="117">
        <v>866</v>
      </c>
      <c r="F872" s="118"/>
      <c r="G872" s="122"/>
      <c r="H872" s="119">
        <v>866</v>
      </c>
      <c r="I872" s="120"/>
      <c r="J872" s="135"/>
    </row>
    <row r="873" spans="5:10" ht="11.25" customHeight="1" x14ac:dyDescent="0.2">
      <c r="E873" s="117">
        <v>867</v>
      </c>
      <c r="F873" s="118"/>
      <c r="G873" s="122"/>
      <c r="H873" s="119">
        <v>867</v>
      </c>
      <c r="I873" s="120"/>
      <c r="J873" s="135"/>
    </row>
    <row r="874" spans="5:10" ht="11.25" customHeight="1" x14ac:dyDescent="0.2">
      <c r="E874" s="117">
        <v>868</v>
      </c>
      <c r="F874" s="118"/>
      <c r="G874" s="122"/>
      <c r="H874" s="119">
        <v>868</v>
      </c>
      <c r="I874" s="120"/>
      <c r="J874" s="135"/>
    </row>
    <row r="875" spans="5:10" ht="11.25" customHeight="1" x14ac:dyDescent="0.2">
      <c r="E875" s="117">
        <v>869</v>
      </c>
      <c r="F875" s="118"/>
      <c r="G875" s="122"/>
      <c r="H875" s="119">
        <v>869</v>
      </c>
      <c r="I875" s="120"/>
      <c r="J875" s="135"/>
    </row>
    <row r="876" spans="5:10" ht="11.25" customHeight="1" x14ac:dyDescent="0.2">
      <c r="E876" s="117">
        <v>870</v>
      </c>
      <c r="F876" s="118"/>
      <c r="G876" s="122"/>
      <c r="H876" s="119">
        <v>870</v>
      </c>
      <c r="I876" s="120"/>
      <c r="J876" s="135"/>
    </row>
    <row r="877" spans="5:10" ht="11.25" customHeight="1" x14ac:dyDescent="0.2">
      <c r="E877" s="117">
        <v>871</v>
      </c>
      <c r="F877" s="118"/>
      <c r="G877" s="122"/>
      <c r="H877" s="119">
        <v>871</v>
      </c>
      <c r="I877" s="120"/>
      <c r="J877" s="135"/>
    </row>
    <row r="878" spans="5:10" ht="11.25" customHeight="1" x14ac:dyDescent="0.2">
      <c r="E878" s="117">
        <v>872</v>
      </c>
      <c r="F878" s="118"/>
      <c r="G878" s="122"/>
      <c r="H878" s="119">
        <v>872</v>
      </c>
      <c r="I878" s="120"/>
      <c r="J878" s="135"/>
    </row>
    <row r="879" spans="5:10" ht="11.25" customHeight="1" x14ac:dyDescent="0.2">
      <c r="E879" s="117">
        <v>873</v>
      </c>
      <c r="F879" s="118"/>
      <c r="G879" s="122"/>
      <c r="H879" s="119">
        <v>873</v>
      </c>
      <c r="I879" s="120"/>
      <c r="J879" s="135"/>
    </row>
    <row r="880" spans="5:10" ht="11.25" customHeight="1" x14ac:dyDescent="0.2">
      <c r="E880" s="117">
        <v>874</v>
      </c>
      <c r="F880" s="118"/>
      <c r="G880" s="122"/>
      <c r="H880" s="119">
        <v>874</v>
      </c>
      <c r="I880" s="120"/>
      <c r="J880" s="135"/>
    </row>
    <row r="881" spans="5:10" ht="11.25" customHeight="1" x14ac:dyDescent="0.2">
      <c r="E881" s="117">
        <v>875</v>
      </c>
      <c r="F881" s="118"/>
      <c r="G881" s="122"/>
      <c r="H881" s="119">
        <v>875</v>
      </c>
      <c r="I881" s="120"/>
      <c r="J881" s="135"/>
    </row>
    <row r="882" spans="5:10" ht="11.25" customHeight="1" x14ac:dyDescent="0.2">
      <c r="E882" s="117">
        <v>876</v>
      </c>
      <c r="F882" s="118"/>
      <c r="G882" s="122"/>
      <c r="H882" s="119">
        <v>876</v>
      </c>
      <c r="I882" s="120"/>
      <c r="J882" s="135"/>
    </row>
    <row r="883" spans="5:10" ht="11.25" customHeight="1" x14ac:dyDescent="0.2">
      <c r="E883" s="117">
        <v>877</v>
      </c>
      <c r="F883" s="118"/>
      <c r="G883" s="122"/>
      <c r="H883" s="119">
        <v>877</v>
      </c>
      <c r="I883" s="120"/>
      <c r="J883" s="135"/>
    </row>
    <row r="884" spans="5:10" ht="11.25" customHeight="1" x14ac:dyDescent="0.2">
      <c r="E884" s="117">
        <v>878</v>
      </c>
      <c r="F884" s="118"/>
      <c r="G884" s="122"/>
      <c r="H884" s="119">
        <v>878</v>
      </c>
      <c r="I884" s="120"/>
      <c r="J884" s="135"/>
    </row>
    <row r="885" spans="5:10" ht="11.25" customHeight="1" x14ac:dyDescent="0.2">
      <c r="E885" s="117">
        <v>879</v>
      </c>
      <c r="F885" s="118"/>
      <c r="G885" s="122"/>
      <c r="H885" s="119">
        <v>879</v>
      </c>
      <c r="I885" s="120"/>
      <c r="J885" s="135"/>
    </row>
    <row r="886" spans="5:10" ht="11.25" customHeight="1" x14ac:dyDescent="0.2">
      <c r="E886" s="117">
        <v>880</v>
      </c>
      <c r="F886" s="118"/>
      <c r="G886" s="122"/>
      <c r="H886" s="119">
        <v>880</v>
      </c>
      <c r="I886" s="120"/>
      <c r="J886" s="135"/>
    </row>
    <row r="887" spans="5:10" ht="11.25" customHeight="1" x14ac:dyDescent="0.2">
      <c r="E887" s="117">
        <v>881</v>
      </c>
      <c r="F887" s="118"/>
      <c r="G887" s="122"/>
      <c r="H887" s="119">
        <v>881</v>
      </c>
      <c r="I887" s="120"/>
      <c r="J887" s="135"/>
    </row>
    <row r="888" spans="5:10" ht="11.25" customHeight="1" x14ac:dyDescent="0.2">
      <c r="E888" s="117">
        <v>882</v>
      </c>
      <c r="F888" s="118"/>
      <c r="G888" s="122"/>
      <c r="H888" s="119">
        <v>882</v>
      </c>
      <c r="I888" s="120"/>
      <c r="J888" s="135"/>
    </row>
    <row r="889" spans="5:10" ht="11.25" customHeight="1" x14ac:dyDescent="0.2">
      <c r="E889" s="117">
        <v>883</v>
      </c>
      <c r="F889" s="118"/>
      <c r="G889" s="122"/>
      <c r="H889" s="119">
        <v>883</v>
      </c>
      <c r="I889" s="120"/>
      <c r="J889" s="135"/>
    </row>
    <row r="890" spans="5:10" ht="11.25" customHeight="1" x14ac:dyDescent="0.2">
      <c r="E890" s="117">
        <v>884</v>
      </c>
      <c r="F890" s="118"/>
      <c r="G890" s="122"/>
      <c r="H890" s="119">
        <v>884</v>
      </c>
      <c r="I890" s="120"/>
      <c r="J890" s="135"/>
    </row>
    <row r="891" spans="5:10" ht="11.25" customHeight="1" x14ac:dyDescent="0.2">
      <c r="E891" s="117">
        <v>885</v>
      </c>
      <c r="F891" s="118"/>
      <c r="G891" s="122"/>
      <c r="H891" s="119">
        <v>885</v>
      </c>
      <c r="I891" s="120"/>
      <c r="J891" s="135"/>
    </row>
    <row r="892" spans="5:10" ht="11.25" customHeight="1" x14ac:dyDescent="0.2">
      <c r="E892" s="117">
        <v>886</v>
      </c>
      <c r="F892" s="118"/>
      <c r="G892" s="122"/>
      <c r="H892" s="119">
        <v>886</v>
      </c>
      <c r="I892" s="120"/>
      <c r="J892" s="135"/>
    </row>
    <row r="893" spans="5:10" ht="11.25" customHeight="1" x14ac:dyDescent="0.2">
      <c r="E893" s="117">
        <v>887</v>
      </c>
      <c r="F893" s="118"/>
      <c r="G893" s="122"/>
      <c r="H893" s="119">
        <v>887</v>
      </c>
      <c r="I893" s="120"/>
      <c r="J893" s="135"/>
    </row>
    <row r="894" spans="5:10" ht="11.25" customHeight="1" x14ac:dyDescent="0.2">
      <c r="E894" s="117">
        <v>888</v>
      </c>
      <c r="F894" s="118"/>
      <c r="G894" s="122"/>
      <c r="H894" s="119">
        <v>888</v>
      </c>
      <c r="I894" s="120"/>
      <c r="J894" s="135"/>
    </row>
    <row r="895" spans="5:10" ht="11.25" customHeight="1" x14ac:dyDescent="0.2">
      <c r="E895" s="117">
        <v>889</v>
      </c>
      <c r="F895" s="118"/>
      <c r="G895" s="122"/>
      <c r="H895" s="119">
        <v>889</v>
      </c>
      <c r="I895" s="120"/>
      <c r="J895" s="135"/>
    </row>
    <row r="896" spans="5:10" ht="11.25" customHeight="1" x14ac:dyDescent="0.2">
      <c r="E896" s="117">
        <v>890</v>
      </c>
      <c r="F896" s="118"/>
      <c r="G896" s="122"/>
      <c r="H896" s="119">
        <v>890</v>
      </c>
      <c r="I896" s="120"/>
      <c r="J896" s="135"/>
    </row>
    <row r="897" spans="5:10" ht="11.25" customHeight="1" x14ac:dyDescent="0.2">
      <c r="E897" s="117">
        <v>891</v>
      </c>
      <c r="F897" s="118"/>
      <c r="G897" s="122"/>
      <c r="H897" s="119">
        <v>891</v>
      </c>
      <c r="I897" s="120"/>
      <c r="J897" s="135"/>
    </row>
    <row r="898" spans="5:10" ht="11.25" customHeight="1" x14ac:dyDescent="0.2">
      <c r="E898" s="117">
        <v>892</v>
      </c>
      <c r="F898" s="118"/>
      <c r="G898" s="122"/>
      <c r="H898" s="119">
        <v>892</v>
      </c>
      <c r="I898" s="120"/>
      <c r="J898" s="135"/>
    </row>
    <row r="899" spans="5:10" ht="11.25" customHeight="1" x14ac:dyDescent="0.2">
      <c r="E899" s="117">
        <v>893</v>
      </c>
      <c r="F899" s="118"/>
      <c r="G899" s="122"/>
      <c r="H899" s="119">
        <v>893</v>
      </c>
      <c r="I899" s="120"/>
      <c r="J899" s="135"/>
    </row>
    <row r="900" spans="5:10" ht="11.25" customHeight="1" x14ac:dyDescent="0.2">
      <c r="E900" s="117">
        <v>894</v>
      </c>
      <c r="F900" s="118"/>
      <c r="G900" s="122"/>
      <c r="H900" s="119">
        <v>894</v>
      </c>
      <c r="I900" s="120"/>
      <c r="J900" s="135"/>
    </row>
    <row r="901" spans="5:10" ht="11.25" customHeight="1" x14ac:dyDescent="0.2">
      <c r="E901" s="117">
        <v>895</v>
      </c>
      <c r="F901" s="118"/>
      <c r="G901" s="122"/>
      <c r="H901" s="119">
        <v>895</v>
      </c>
      <c r="I901" s="120"/>
      <c r="J901" s="135"/>
    </row>
    <row r="902" spans="5:10" ht="11.25" customHeight="1" x14ac:dyDescent="0.2">
      <c r="E902" s="117">
        <v>896</v>
      </c>
      <c r="F902" s="118"/>
      <c r="G902" s="122"/>
      <c r="H902" s="119">
        <v>896</v>
      </c>
      <c r="I902" s="120"/>
      <c r="J902" s="135"/>
    </row>
    <row r="903" spans="5:10" ht="11.25" customHeight="1" x14ac:dyDescent="0.2">
      <c r="E903" s="117">
        <v>897</v>
      </c>
      <c r="F903" s="118"/>
      <c r="G903" s="122"/>
      <c r="H903" s="119">
        <v>897</v>
      </c>
      <c r="I903" s="120"/>
      <c r="J903" s="135"/>
    </row>
    <row r="904" spans="5:10" ht="11.25" customHeight="1" x14ac:dyDescent="0.2">
      <c r="E904" s="117">
        <v>898</v>
      </c>
      <c r="F904" s="118"/>
      <c r="G904" s="122"/>
      <c r="H904" s="119">
        <v>898</v>
      </c>
      <c r="I904" s="120"/>
      <c r="J904" s="135"/>
    </row>
    <row r="905" spans="5:10" ht="11.25" customHeight="1" x14ac:dyDescent="0.2">
      <c r="E905" s="117">
        <v>899</v>
      </c>
      <c r="F905" s="118"/>
      <c r="G905" s="122"/>
      <c r="H905" s="119">
        <v>899</v>
      </c>
      <c r="I905" s="120"/>
      <c r="J905" s="135"/>
    </row>
    <row r="906" spans="5:10" ht="11.25" customHeight="1" x14ac:dyDescent="0.2">
      <c r="E906" s="117">
        <v>900</v>
      </c>
      <c r="F906" s="118"/>
      <c r="G906" s="122"/>
      <c r="H906" s="119">
        <v>900</v>
      </c>
      <c r="I906" s="120"/>
      <c r="J906" s="135"/>
    </row>
    <row r="907" spans="5:10" ht="11.25" customHeight="1" x14ac:dyDescent="0.2">
      <c r="E907" s="117">
        <v>901</v>
      </c>
      <c r="F907" s="118"/>
      <c r="G907" s="122"/>
      <c r="H907" s="119">
        <v>901</v>
      </c>
      <c r="I907" s="120"/>
      <c r="J907" s="135"/>
    </row>
    <row r="908" spans="5:10" ht="11.25" customHeight="1" x14ac:dyDescent="0.2">
      <c r="E908" s="117">
        <v>902</v>
      </c>
      <c r="F908" s="118"/>
      <c r="G908" s="122"/>
      <c r="H908" s="119">
        <v>902</v>
      </c>
      <c r="I908" s="120"/>
      <c r="J908" s="135"/>
    </row>
    <row r="909" spans="5:10" ht="11.25" customHeight="1" x14ac:dyDescent="0.2">
      <c r="E909" s="117">
        <v>903</v>
      </c>
      <c r="F909" s="118"/>
      <c r="G909" s="122"/>
      <c r="H909" s="119">
        <v>903</v>
      </c>
      <c r="I909" s="120"/>
      <c r="J909" s="135"/>
    </row>
    <row r="910" spans="5:10" ht="11.25" customHeight="1" x14ac:dyDescent="0.2">
      <c r="E910" s="117">
        <v>904</v>
      </c>
      <c r="F910" s="118"/>
      <c r="G910" s="122"/>
      <c r="H910" s="119">
        <v>904</v>
      </c>
      <c r="I910" s="120"/>
      <c r="J910" s="135"/>
    </row>
    <row r="911" spans="5:10" ht="11.25" customHeight="1" x14ac:dyDescent="0.2">
      <c r="E911" s="117">
        <v>905</v>
      </c>
      <c r="F911" s="118"/>
      <c r="G911" s="122"/>
      <c r="H911" s="119">
        <v>905</v>
      </c>
      <c r="I911" s="120"/>
      <c r="J911" s="135"/>
    </row>
    <row r="912" spans="5:10" ht="11.25" customHeight="1" x14ac:dyDescent="0.2">
      <c r="E912" s="117">
        <v>906</v>
      </c>
      <c r="F912" s="118"/>
      <c r="G912" s="122"/>
      <c r="H912" s="119">
        <v>906</v>
      </c>
      <c r="I912" s="120"/>
      <c r="J912" s="135"/>
    </row>
    <row r="913" spans="5:10" ht="11.25" customHeight="1" x14ac:dyDescent="0.2">
      <c r="E913" s="117">
        <v>907</v>
      </c>
      <c r="F913" s="118"/>
      <c r="G913" s="122"/>
      <c r="H913" s="119">
        <v>907</v>
      </c>
      <c r="I913" s="120"/>
      <c r="J913" s="135"/>
    </row>
    <row r="914" spans="5:10" ht="11.25" customHeight="1" x14ac:dyDescent="0.2">
      <c r="E914" s="117">
        <v>908</v>
      </c>
      <c r="F914" s="118"/>
      <c r="G914" s="122"/>
      <c r="H914" s="119">
        <v>908</v>
      </c>
      <c r="I914" s="120"/>
      <c r="J914" s="135"/>
    </row>
    <row r="915" spans="5:10" ht="11.25" customHeight="1" x14ac:dyDescent="0.2">
      <c r="E915" s="117">
        <v>909</v>
      </c>
      <c r="F915" s="118"/>
      <c r="G915" s="122"/>
      <c r="H915" s="119">
        <v>909</v>
      </c>
      <c r="I915" s="120"/>
      <c r="J915" s="135"/>
    </row>
    <row r="916" spans="5:10" ht="11.25" customHeight="1" x14ac:dyDescent="0.2">
      <c r="E916" s="117">
        <v>910</v>
      </c>
      <c r="F916" s="118"/>
      <c r="G916" s="122"/>
      <c r="H916" s="119">
        <v>910</v>
      </c>
      <c r="I916" s="120"/>
      <c r="J916" s="135"/>
    </row>
    <row r="917" spans="5:10" ht="11.25" customHeight="1" x14ac:dyDescent="0.2">
      <c r="E917" s="117">
        <v>911</v>
      </c>
      <c r="F917" s="118"/>
      <c r="G917" s="122"/>
      <c r="H917" s="119">
        <v>911</v>
      </c>
      <c r="I917" s="120"/>
      <c r="J917" s="135"/>
    </row>
    <row r="918" spans="5:10" ht="11.25" customHeight="1" x14ac:dyDescent="0.2">
      <c r="E918" s="117">
        <v>912</v>
      </c>
      <c r="F918" s="118"/>
      <c r="G918" s="122"/>
      <c r="H918" s="119">
        <v>912</v>
      </c>
      <c r="I918" s="120"/>
      <c r="J918" s="135"/>
    </row>
    <row r="919" spans="5:10" ht="11.25" customHeight="1" x14ac:dyDescent="0.2">
      <c r="E919" s="117">
        <v>913</v>
      </c>
      <c r="F919" s="118"/>
      <c r="G919" s="122"/>
      <c r="H919" s="119">
        <v>913</v>
      </c>
      <c r="I919" s="120"/>
      <c r="J919" s="135"/>
    </row>
    <row r="920" spans="5:10" ht="11.25" customHeight="1" x14ac:dyDescent="0.2">
      <c r="E920" s="117">
        <v>914</v>
      </c>
      <c r="F920" s="118"/>
      <c r="G920" s="122"/>
      <c r="H920" s="119">
        <v>914</v>
      </c>
      <c r="I920" s="120"/>
      <c r="J920" s="135"/>
    </row>
    <row r="921" spans="5:10" ht="11.25" customHeight="1" x14ac:dyDescent="0.2">
      <c r="E921" s="117">
        <v>915</v>
      </c>
      <c r="F921" s="118"/>
      <c r="G921" s="122"/>
      <c r="H921" s="119">
        <v>915</v>
      </c>
      <c r="I921" s="120"/>
      <c r="J921" s="135"/>
    </row>
    <row r="922" spans="5:10" ht="11.25" customHeight="1" x14ac:dyDescent="0.2">
      <c r="E922" s="117">
        <v>916</v>
      </c>
      <c r="F922" s="118"/>
      <c r="G922" s="122"/>
      <c r="H922" s="119">
        <v>916</v>
      </c>
      <c r="I922" s="120"/>
      <c r="J922" s="135"/>
    </row>
    <row r="923" spans="5:10" ht="11.25" customHeight="1" x14ac:dyDescent="0.2">
      <c r="E923" s="117">
        <v>917</v>
      </c>
      <c r="F923" s="118"/>
      <c r="G923" s="122"/>
      <c r="H923" s="119">
        <v>917</v>
      </c>
      <c r="I923" s="120"/>
      <c r="J923" s="135"/>
    </row>
    <row r="924" spans="5:10" ht="11.25" customHeight="1" x14ac:dyDescent="0.2">
      <c r="E924" s="117">
        <v>918</v>
      </c>
      <c r="F924" s="118"/>
      <c r="G924" s="122"/>
      <c r="H924" s="119">
        <v>918</v>
      </c>
      <c r="I924" s="120"/>
      <c r="J924" s="135"/>
    </row>
    <row r="925" spans="5:10" ht="11.25" customHeight="1" x14ac:dyDescent="0.2">
      <c r="E925" s="117">
        <v>919</v>
      </c>
      <c r="F925" s="118"/>
      <c r="G925" s="122"/>
      <c r="H925" s="119">
        <v>919</v>
      </c>
      <c r="I925" s="120"/>
      <c r="J925" s="135"/>
    </row>
    <row r="926" spans="5:10" ht="11.25" customHeight="1" x14ac:dyDescent="0.2">
      <c r="E926" s="117">
        <v>920</v>
      </c>
      <c r="F926" s="118"/>
      <c r="G926" s="122"/>
      <c r="H926" s="119">
        <v>920</v>
      </c>
      <c r="I926" s="120"/>
      <c r="J926" s="135"/>
    </row>
    <row r="927" spans="5:10" ht="11.25" customHeight="1" x14ac:dyDescent="0.2">
      <c r="E927" s="117">
        <v>921</v>
      </c>
      <c r="F927" s="118"/>
      <c r="G927" s="122"/>
      <c r="H927" s="119">
        <v>921</v>
      </c>
      <c r="I927" s="120"/>
      <c r="J927" s="135"/>
    </row>
    <row r="928" spans="5:10" ht="11.25" customHeight="1" x14ac:dyDescent="0.2">
      <c r="E928" s="117">
        <v>922</v>
      </c>
      <c r="F928" s="118"/>
      <c r="G928" s="122"/>
      <c r="H928" s="119">
        <v>922</v>
      </c>
      <c r="I928" s="120"/>
      <c r="J928" s="135"/>
    </row>
    <row r="929" spans="5:10" ht="11.25" customHeight="1" x14ac:dyDescent="0.2">
      <c r="E929" s="117">
        <v>923</v>
      </c>
      <c r="F929" s="118"/>
      <c r="G929" s="122"/>
      <c r="H929" s="119">
        <v>923</v>
      </c>
      <c r="I929" s="120"/>
      <c r="J929" s="135"/>
    </row>
    <row r="930" spans="5:10" ht="11.25" customHeight="1" x14ac:dyDescent="0.2">
      <c r="E930" s="117">
        <v>924</v>
      </c>
      <c r="F930" s="118"/>
      <c r="G930" s="122"/>
      <c r="H930" s="119">
        <v>924</v>
      </c>
      <c r="I930" s="120"/>
      <c r="J930" s="135"/>
    </row>
    <row r="931" spans="5:10" ht="11.25" customHeight="1" x14ac:dyDescent="0.2">
      <c r="E931" s="117">
        <v>925</v>
      </c>
      <c r="F931" s="118"/>
      <c r="G931" s="122"/>
      <c r="H931" s="119">
        <v>925</v>
      </c>
      <c r="I931" s="120"/>
      <c r="J931" s="135"/>
    </row>
    <row r="932" spans="5:10" ht="11.25" customHeight="1" x14ac:dyDescent="0.2">
      <c r="E932" s="117">
        <v>926</v>
      </c>
      <c r="F932" s="118"/>
      <c r="G932" s="122"/>
      <c r="H932" s="119">
        <v>926</v>
      </c>
      <c r="I932" s="120"/>
      <c r="J932" s="135"/>
    </row>
    <row r="933" spans="5:10" ht="11.25" customHeight="1" x14ac:dyDescent="0.2">
      <c r="E933" s="117">
        <v>927</v>
      </c>
      <c r="F933" s="118"/>
      <c r="G933" s="122"/>
      <c r="H933" s="119">
        <v>927</v>
      </c>
      <c r="I933" s="120"/>
      <c r="J933" s="135"/>
    </row>
    <row r="934" spans="5:10" ht="11.25" customHeight="1" x14ac:dyDescent="0.2">
      <c r="E934" s="117">
        <v>928</v>
      </c>
      <c r="F934" s="118"/>
      <c r="G934" s="122"/>
      <c r="H934" s="119">
        <v>928</v>
      </c>
      <c r="I934" s="120"/>
      <c r="J934" s="135"/>
    </row>
    <row r="935" spans="5:10" ht="11.25" customHeight="1" x14ac:dyDescent="0.2">
      <c r="E935" s="117">
        <v>929</v>
      </c>
      <c r="F935" s="118"/>
      <c r="G935" s="122"/>
      <c r="H935" s="119">
        <v>929</v>
      </c>
      <c r="I935" s="120"/>
      <c r="J935" s="135"/>
    </row>
    <row r="936" spans="5:10" ht="11.25" customHeight="1" x14ac:dyDescent="0.2">
      <c r="E936" s="117">
        <v>930</v>
      </c>
      <c r="F936" s="118"/>
      <c r="G936" s="122"/>
      <c r="H936" s="119">
        <v>930</v>
      </c>
      <c r="I936" s="120"/>
      <c r="J936" s="135"/>
    </row>
    <row r="937" spans="5:10" ht="11.25" customHeight="1" x14ac:dyDescent="0.2">
      <c r="E937" s="117">
        <v>931</v>
      </c>
      <c r="F937" s="118"/>
      <c r="G937" s="122"/>
      <c r="H937" s="119">
        <v>931</v>
      </c>
      <c r="I937" s="120"/>
      <c r="J937" s="135"/>
    </row>
    <row r="938" spans="5:10" ht="11.25" customHeight="1" x14ac:dyDescent="0.2">
      <c r="E938" s="117">
        <v>932</v>
      </c>
      <c r="F938" s="118"/>
      <c r="G938" s="122"/>
      <c r="H938" s="119">
        <v>932</v>
      </c>
      <c r="I938" s="120"/>
      <c r="J938" s="135"/>
    </row>
    <row r="939" spans="5:10" ht="11.25" customHeight="1" x14ac:dyDescent="0.2">
      <c r="E939" s="117">
        <v>933</v>
      </c>
      <c r="F939" s="118"/>
      <c r="G939" s="122"/>
      <c r="H939" s="119">
        <v>933</v>
      </c>
      <c r="I939" s="120"/>
      <c r="J939" s="135"/>
    </row>
    <row r="940" spans="5:10" ht="11.25" customHeight="1" x14ac:dyDescent="0.2">
      <c r="E940" s="117">
        <v>934</v>
      </c>
      <c r="F940" s="118"/>
      <c r="G940" s="122"/>
      <c r="H940" s="119">
        <v>934</v>
      </c>
      <c r="I940" s="120"/>
      <c r="J940" s="135"/>
    </row>
    <row r="941" spans="5:10" ht="11.25" customHeight="1" x14ac:dyDescent="0.2">
      <c r="E941" s="117">
        <v>935</v>
      </c>
      <c r="F941" s="118"/>
      <c r="G941" s="122"/>
      <c r="H941" s="119">
        <v>935</v>
      </c>
      <c r="I941" s="120"/>
      <c r="J941" s="135"/>
    </row>
    <row r="942" spans="5:10" ht="11.25" customHeight="1" x14ac:dyDescent="0.2">
      <c r="E942" s="117">
        <v>936</v>
      </c>
      <c r="F942" s="118"/>
      <c r="G942" s="122"/>
      <c r="H942" s="119">
        <v>936</v>
      </c>
      <c r="I942" s="120"/>
      <c r="J942" s="135"/>
    </row>
    <row r="943" spans="5:10" ht="11.25" customHeight="1" x14ac:dyDescent="0.2">
      <c r="E943" s="117">
        <v>937</v>
      </c>
      <c r="F943" s="118"/>
      <c r="G943" s="122"/>
      <c r="H943" s="119">
        <v>937</v>
      </c>
      <c r="I943" s="120"/>
      <c r="J943" s="135"/>
    </row>
    <row r="944" spans="5:10" ht="11.25" customHeight="1" x14ac:dyDescent="0.2">
      <c r="E944" s="117">
        <v>938</v>
      </c>
      <c r="F944" s="118"/>
      <c r="G944" s="122"/>
      <c r="H944" s="119">
        <v>938</v>
      </c>
      <c r="I944" s="120"/>
      <c r="J944" s="135"/>
    </row>
    <row r="945" spans="5:10" ht="11.25" customHeight="1" x14ac:dyDescent="0.2">
      <c r="E945" s="117">
        <v>939</v>
      </c>
      <c r="F945" s="118"/>
      <c r="G945" s="122"/>
      <c r="H945" s="119">
        <v>939</v>
      </c>
      <c r="I945" s="120"/>
      <c r="J945" s="135"/>
    </row>
    <row r="946" spans="5:10" ht="11.25" customHeight="1" x14ac:dyDescent="0.2">
      <c r="E946" s="117">
        <v>940</v>
      </c>
      <c r="F946" s="118"/>
      <c r="G946" s="122"/>
      <c r="H946" s="119">
        <v>940</v>
      </c>
      <c r="I946" s="120"/>
      <c r="J946" s="135"/>
    </row>
    <row r="947" spans="5:10" ht="11.25" customHeight="1" x14ac:dyDescent="0.2">
      <c r="E947" s="117">
        <v>941</v>
      </c>
      <c r="F947" s="118"/>
      <c r="G947" s="122"/>
      <c r="H947" s="119">
        <v>941</v>
      </c>
      <c r="I947" s="120"/>
      <c r="J947" s="135"/>
    </row>
    <row r="948" spans="5:10" ht="11.25" customHeight="1" x14ac:dyDescent="0.2">
      <c r="E948" s="117">
        <v>942</v>
      </c>
      <c r="F948" s="118"/>
      <c r="G948" s="122"/>
      <c r="H948" s="119">
        <v>942</v>
      </c>
      <c r="I948" s="120"/>
      <c r="J948" s="135"/>
    </row>
    <row r="949" spans="5:10" ht="11.25" customHeight="1" x14ac:dyDescent="0.2">
      <c r="E949" s="117">
        <v>943</v>
      </c>
      <c r="F949" s="118"/>
      <c r="G949" s="122"/>
      <c r="H949" s="119">
        <v>943</v>
      </c>
      <c r="I949" s="120"/>
      <c r="J949" s="135"/>
    </row>
    <row r="950" spans="5:10" ht="11.25" customHeight="1" x14ac:dyDescent="0.2">
      <c r="E950" s="117">
        <v>944</v>
      </c>
      <c r="F950" s="118"/>
      <c r="G950" s="122"/>
      <c r="H950" s="119">
        <v>944</v>
      </c>
      <c r="I950" s="120"/>
      <c r="J950" s="135"/>
    </row>
    <row r="951" spans="5:10" ht="11.25" customHeight="1" x14ac:dyDescent="0.2">
      <c r="E951" s="117">
        <v>945</v>
      </c>
      <c r="F951" s="118"/>
      <c r="G951" s="122"/>
      <c r="H951" s="119">
        <v>945</v>
      </c>
      <c r="I951" s="120"/>
      <c r="J951" s="135"/>
    </row>
    <row r="952" spans="5:10" ht="11.25" customHeight="1" x14ac:dyDescent="0.2">
      <c r="E952" s="117">
        <v>946</v>
      </c>
      <c r="F952" s="118"/>
      <c r="G952" s="122"/>
      <c r="H952" s="119">
        <v>946</v>
      </c>
      <c r="I952" s="120"/>
      <c r="J952" s="135"/>
    </row>
    <row r="953" spans="5:10" ht="11.25" customHeight="1" x14ac:dyDescent="0.2">
      <c r="E953" s="117">
        <v>947</v>
      </c>
      <c r="F953" s="118"/>
      <c r="G953" s="122"/>
      <c r="H953" s="119">
        <v>947</v>
      </c>
      <c r="I953" s="120"/>
      <c r="J953" s="135"/>
    </row>
    <row r="954" spans="5:10" ht="11.25" customHeight="1" x14ac:dyDescent="0.2">
      <c r="E954" s="117">
        <v>948</v>
      </c>
      <c r="F954" s="118"/>
      <c r="G954" s="122"/>
      <c r="H954" s="119">
        <v>948</v>
      </c>
      <c r="I954" s="120"/>
      <c r="J954" s="135"/>
    </row>
    <row r="955" spans="5:10" ht="11.25" customHeight="1" x14ac:dyDescent="0.2">
      <c r="E955" s="117">
        <v>949</v>
      </c>
      <c r="F955" s="118"/>
      <c r="G955" s="122"/>
      <c r="H955" s="119">
        <v>949</v>
      </c>
      <c r="I955" s="120"/>
      <c r="J955" s="135"/>
    </row>
    <row r="956" spans="5:10" ht="11.25" customHeight="1" x14ac:dyDescent="0.2">
      <c r="E956" s="117">
        <v>950</v>
      </c>
      <c r="F956" s="118"/>
      <c r="G956" s="122"/>
      <c r="H956" s="119">
        <v>950</v>
      </c>
      <c r="I956" s="120"/>
      <c r="J956" s="135"/>
    </row>
    <row r="957" spans="5:10" ht="11.25" customHeight="1" x14ac:dyDescent="0.2">
      <c r="E957" s="117">
        <v>951</v>
      </c>
      <c r="F957" s="118"/>
      <c r="G957" s="122"/>
      <c r="H957" s="119">
        <v>951</v>
      </c>
      <c r="I957" s="120"/>
      <c r="J957" s="135"/>
    </row>
    <row r="958" spans="5:10" ht="11.25" customHeight="1" x14ac:dyDescent="0.2">
      <c r="E958" s="117">
        <v>952</v>
      </c>
      <c r="F958" s="118"/>
      <c r="G958" s="122"/>
      <c r="H958" s="119">
        <v>952</v>
      </c>
      <c r="I958" s="120"/>
      <c r="J958" s="135"/>
    </row>
    <row r="959" spans="5:10" ht="11.25" customHeight="1" x14ac:dyDescent="0.2">
      <c r="E959" s="117">
        <v>953</v>
      </c>
      <c r="F959" s="118"/>
      <c r="G959" s="122"/>
      <c r="H959" s="119">
        <v>953</v>
      </c>
      <c r="I959" s="120"/>
      <c r="J959" s="135"/>
    </row>
    <row r="960" spans="5:10" ht="11.25" customHeight="1" x14ac:dyDescent="0.2">
      <c r="E960" s="117">
        <v>954</v>
      </c>
      <c r="F960" s="118"/>
      <c r="G960" s="122"/>
      <c r="H960" s="119">
        <v>954</v>
      </c>
      <c r="I960" s="120"/>
      <c r="J960" s="135"/>
    </row>
    <row r="961" spans="5:10" ht="11.25" customHeight="1" x14ac:dyDescent="0.2">
      <c r="E961" s="117">
        <v>955</v>
      </c>
      <c r="F961" s="118"/>
      <c r="G961" s="122"/>
      <c r="H961" s="119">
        <v>955</v>
      </c>
      <c r="I961" s="120"/>
      <c r="J961" s="135"/>
    </row>
    <row r="962" spans="5:10" ht="11.25" customHeight="1" x14ac:dyDescent="0.2">
      <c r="E962" s="117">
        <v>956</v>
      </c>
      <c r="F962" s="118"/>
      <c r="G962" s="122"/>
      <c r="H962" s="119">
        <v>956</v>
      </c>
      <c r="I962" s="120"/>
      <c r="J962" s="135"/>
    </row>
    <row r="963" spans="5:10" ht="11.25" customHeight="1" x14ac:dyDescent="0.2">
      <c r="E963" s="117">
        <v>957</v>
      </c>
      <c r="F963" s="118"/>
      <c r="G963" s="122"/>
      <c r="H963" s="119">
        <v>957</v>
      </c>
      <c r="I963" s="120"/>
      <c r="J963" s="135"/>
    </row>
    <row r="964" spans="5:10" ht="11.25" customHeight="1" x14ac:dyDescent="0.2">
      <c r="E964" s="117">
        <v>958</v>
      </c>
      <c r="F964" s="118"/>
      <c r="G964" s="122"/>
      <c r="H964" s="119">
        <v>958</v>
      </c>
      <c r="I964" s="120"/>
      <c r="J964" s="135"/>
    </row>
    <row r="965" spans="5:10" ht="11.25" customHeight="1" x14ac:dyDescent="0.2">
      <c r="E965" s="117">
        <v>959</v>
      </c>
      <c r="F965" s="118"/>
      <c r="G965" s="122"/>
      <c r="H965" s="119">
        <v>959</v>
      </c>
      <c r="I965" s="120"/>
      <c r="J965" s="135"/>
    </row>
    <row r="966" spans="5:10" ht="11.25" customHeight="1" x14ac:dyDescent="0.2">
      <c r="E966" s="117">
        <v>960</v>
      </c>
      <c r="F966" s="118"/>
      <c r="G966" s="122"/>
      <c r="H966" s="119">
        <v>960</v>
      </c>
      <c r="I966" s="120"/>
      <c r="J966" s="135"/>
    </row>
    <row r="967" spans="5:10" ht="11.25" customHeight="1" x14ac:dyDescent="0.2">
      <c r="E967" s="117">
        <v>961</v>
      </c>
      <c r="F967" s="118"/>
      <c r="G967" s="122"/>
      <c r="H967" s="119">
        <v>961</v>
      </c>
      <c r="I967" s="120"/>
      <c r="J967" s="135"/>
    </row>
    <row r="968" spans="5:10" ht="11.25" customHeight="1" x14ac:dyDescent="0.2">
      <c r="E968" s="117">
        <v>962</v>
      </c>
      <c r="F968" s="118"/>
      <c r="G968" s="122"/>
      <c r="H968" s="119">
        <v>962</v>
      </c>
      <c r="I968" s="120"/>
      <c r="J968" s="135"/>
    </row>
    <row r="969" spans="5:10" ht="11.25" customHeight="1" x14ac:dyDescent="0.2">
      <c r="E969" s="117">
        <v>963</v>
      </c>
      <c r="F969" s="118"/>
      <c r="G969" s="122"/>
      <c r="H969" s="119">
        <v>963</v>
      </c>
      <c r="I969" s="120"/>
      <c r="J969" s="135"/>
    </row>
    <row r="970" spans="5:10" ht="11.25" customHeight="1" x14ac:dyDescent="0.2">
      <c r="E970" s="117">
        <v>964</v>
      </c>
      <c r="F970" s="118"/>
      <c r="G970" s="122"/>
      <c r="H970" s="119">
        <v>964</v>
      </c>
      <c r="I970" s="120"/>
      <c r="J970" s="135"/>
    </row>
    <row r="971" spans="5:10" ht="11.25" customHeight="1" x14ac:dyDescent="0.2">
      <c r="E971" s="117">
        <v>965</v>
      </c>
      <c r="F971" s="118"/>
      <c r="G971" s="122"/>
      <c r="H971" s="119">
        <v>965</v>
      </c>
      <c r="I971" s="120"/>
      <c r="J971" s="135"/>
    </row>
    <row r="972" spans="5:10" ht="11.25" customHeight="1" x14ac:dyDescent="0.2">
      <c r="E972" s="117">
        <v>966</v>
      </c>
      <c r="F972" s="118"/>
      <c r="G972" s="122"/>
      <c r="H972" s="119">
        <v>966</v>
      </c>
      <c r="I972" s="120"/>
      <c r="J972" s="135"/>
    </row>
    <row r="973" spans="5:10" ht="11.25" customHeight="1" x14ac:dyDescent="0.2">
      <c r="E973" s="117">
        <v>967</v>
      </c>
      <c r="F973" s="118"/>
      <c r="G973" s="122"/>
      <c r="H973" s="119">
        <v>967</v>
      </c>
      <c r="I973" s="120"/>
      <c r="J973" s="135"/>
    </row>
    <row r="974" spans="5:10" ht="11.25" customHeight="1" x14ac:dyDescent="0.2">
      <c r="E974" s="117">
        <v>968</v>
      </c>
      <c r="F974" s="118"/>
      <c r="G974" s="122"/>
      <c r="H974" s="119">
        <v>968</v>
      </c>
      <c r="I974" s="120"/>
      <c r="J974" s="135"/>
    </row>
    <row r="975" spans="5:10" ht="11.25" customHeight="1" x14ac:dyDescent="0.2">
      <c r="E975" s="117">
        <v>969</v>
      </c>
      <c r="F975" s="118"/>
      <c r="G975" s="122"/>
      <c r="H975" s="119">
        <v>969</v>
      </c>
      <c r="I975" s="120"/>
      <c r="J975" s="135"/>
    </row>
    <row r="976" spans="5:10" ht="11.25" customHeight="1" x14ac:dyDescent="0.2">
      <c r="E976" s="117">
        <v>970</v>
      </c>
      <c r="F976" s="118"/>
      <c r="G976" s="122"/>
      <c r="H976" s="119">
        <v>970</v>
      </c>
      <c r="I976" s="120"/>
      <c r="J976" s="135"/>
    </row>
    <row r="977" spans="5:10" ht="11.25" customHeight="1" x14ac:dyDescent="0.2">
      <c r="E977" s="117">
        <v>971</v>
      </c>
      <c r="F977" s="118"/>
      <c r="G977" s="122"/>
      <c r="H977" s="119">
        <v>971</v>
      </c>
      <c r="I977" s="120"/>
      <c r="J977" s="135"/>
    </row>
    <row r="978" spans="5:10" ht="11.25" customHeight="1" x14ac:dyDescent="0.2">
      <c r="E978" s="117">
        <v>972</v>
      </c>
      <c r="F978" s="118"/>
      <c r="G978" s="122"/>
      <c r="H978" s="119">
        <v>972</v>
      </c>
      <c r="I978" s="120"/>
      <c r="J978" s="135"/>
    </row>
    <row r="979" spans="5:10" ht="11.25" customHeight="1" x14ac:dyDescent="0.2">
      <c r="E979" s="117">
        <v>973</v>
      </c>
      <c r="F979" s="118"/>
      <c r="G979" s="122"/>
      <c r="H979" s="119">
        <v>973</v>
      </c>
      <c r="I979" s="120"/>
      <c r="J979" s="135"/>
    </row>
    <row r="980" spans="5:10" ht="11.25" customHeight="1" x14ac:dyDescent="0.2">
      <c r="E980" s="117">
        <v>974</v>
      </c>
      <c r="F980" s="118"/>
      <c r="G980" s="122"/>
      <c r="H980" s="119">
        <v>974</v>
      </c>
      <c r="I980" s="120"/>
      <c r="J980" s="135"/>
    </row>
    <row r="981" spans="5:10" ht="11.25" customHeight="1" x14ac:dyDescent="0.2">
      <c r="E981" s="117">
        <v>975</v>
      </c>
      <c r="F981" s="118"/>
      <c r="G981" s="122"/>
      <c r="H981" s="119">
        <v>975</v>
      </c>
      <c r="I981" s="120"/>
      <c r="J981" s="135"/>
    </row>
    <row r="982" spans="5:10" ht="11.25" customHeight="1" x14ac:dyDescent="0.2">
      <c r="E982" s="117">
        <v>976</v>
      </c>
      <c r="F982" s="118"/>
      <c r="G982" s="122"/>
      <c r="H982" s="119">
        <v>976</v>
      </c>
      <c r="I982" s="120"/>
      <c r="J982" s="135"/>
    </row>
    <row r="983" spans="5:10" ht="11.25" customHeight="1" x14ac:dyDescent="0.2">
      <c r="E983" s="117">
        <v>977</v>
      </c>
      <c r="F983" s="118"/>
      <c r="G983" s="122"/>
      <c r="H983" s="119">
        <v>977</v>
      </c>
      <c r="I983" s="120"/>
      <c r="J983" s="135"/>
    </row>
    <row r="984" spans="5:10" ht="11.25" customHeight="1" x14ac:dyDescent="0.2">
      <c r="E984" s="117">
        <v>978</v>
      </c>
      <c r="F984" s="118"/>
      <c r="G984" s="122"/>
      <c r="H984" s="119">
        <v>978</v>
      </c>
      <c r="I984" s="120"/>
      <c r="J984" s="135"/>
    </row>
    <row r="985" spans="5:10" ht="11.25" customHeight="1" x14ac:dyDescent="0.2">
      <c r="E985" s="117">
        <v>979</v>
      </c>
      <c r="F985" s="118"/>
      <c r="G985" s="122"/>
      <c r="H985" s="119">
        <v>979</v>
      </c>
      <c r="I985" s="120"/>
      <c r="J985" s="135"/>
    </row>
    <row r="986" spans="5:10" ht="11.25" customHeight="1" x14ac:dyDescent="0.2">
      <c r="E986" s="117">
        <v>980</v>
      </c>
      <c r="F986" s="118"/>
      <c r="G986" s="122"/>
      <c r="H986" s="119">
        <v>980</v>
      </c>
      <c r="I986" s="120"/>
      <c r="J986" s="135"/>
    </row>
    <row r="987" spans="5:10" ht="11.25" customHeight="1" x14ac:dyDescent="0.2">
      <c r="E987" s="117">
        <v>981</v>
      </c>
      <c r="F987" s="118"/>
      <c r="G987" s="122"/>
      <c r="H987" s="119">
        <v>981</v>
      </c>
      <c r="I987" s="120"/>
      <c r="J987" s="135"/>
    </row>
    <row r="988" spans="5:10" ht="11.25" customHeight="1" x14ac:dyDescent="0.2">
      <c r="E988" s="117">
        <v>982</v>
      </c>
      <c r="F988" s="118"/>
      <c r="G988" s="122"/>
      <c r="H988" s="119">
        <v>982</v>
      </c>
      <c r="I988" s="120"/>
      <c r="J988" s="135"/>
    </row>
    <row r="989" spans="5:10" ht="11.25" customHeight="1" x14ac:dyDescent="0.2">
      <c r="E989" s="117">
        <v>983</v>
      </c>
      <c r="F989" s="118"/>
      <c r="G989" s="122"/>
      <c r="H989" s="119">
        <v>983</v>
      </c>
      <c r="I989" s="120"/>
      <c r="J989" s="135"/>
    </row>
    <row r="990" spans="5:10" ht="11.25" customHeight="1" x14ac:dyDescent="0.2">
      <c r="E990" s="117">
        <v>984</v>
      </c>
      <c r="F990" s="118"/>
      <c r="G990" s="122"/>
      <c r="H990" s="119">
        <v>984</v>
      </c>
      <c r="I990" s="120"/>
      <c r="J990" s="135"/>
    </row>
    <row r="991" spans="5:10" ht="11.25" customHeight="1" x14ac:dyDescent="0.2">
      <c r="E991" s="117">
        <v>985</v>
      </c>
      <c r="F991" s="118"/>
      <c r="G991" s="122"/>
      <c r="H991" s="119">
        <v>985</v>
      </c>
      <c r="I991" s="120"/>
      <c r="J991" s="135"/>
    </row>
    <row r="992" spans="5:10" ht="11.25" customHeight="1" x14ac:dyDescent="0.2">
      <c r="E992" s="117">
        <v>986</v>
      </c>
      <c r="F992" s="118"/>
      <c r="G992" s="122"/>
      <c r="H992" s="119">
        <v>986</v>
      </c>
      <c r="I992" s="120"/>
      <c r="J992" s="135"/>
    </row>
    <row r="993" spans="5:10" ht="11.25" customHeight="1" x14ac:dyDescent="0.2">
      <c r="E993" s="117">
        <v>987</v>
      </c>
      <c r="F993" s="118"/>
      <c r="G993" s="122"/>
      <c r="H993" s="119">
        <v>987</v>
      </c>
      <c r="I993" s="120"/>
      <c r="J993" s="135"/>
    </row>
    <row r="994" spans="5:10" ht="11.25" customHeight="1" x14ac:dyDescent="0.2">
      <c r="E994" s="117">
        <v>988</v>
      </c>
      <c r="F994" s="118"/>
      <c r="G994" s="122"/>
      <c r="H994" s="119">
        <v>988</v>
      </c>
      <c r="I994" s="120"/>
      <c r="J994" s="135"/>
    </row>
    <row r="995" spans="5:10" ht="11.25" customHeight="1" x14ac:dyDescent="0.2">
      <c r="E995" s="117">
        <v>989</v>
      </c>
      <c r="F995" s="118"/>
      <c r="G995" s="122"/>
      <c r="H995" s="119">
        <v>989</v>
      </c>
      <c r="I995" s="120"/>
      <c r="J995" s="135"/>
    </row>
    <row r="996" spans="5:10" ht="11.25" customHeight="1" x14ac:dyDescent="0.2">
      <c r="E996" s="117">
        <v>990</v>
      </c>
      <c r="F996" s="118"/>
      <c r="G996" s="122"/>
      <c r="H996" s="119">
        <v>990</v>
      </c>
      <c r="I996" s="120"/>
      <c r="J996" s="135"/>
    </row>
    <row r="997" spans="5:10" ht="11.25" customHeight="1" x14ac:dyDescent="0.2">
      <c r="E997" s="117">
        <v>991</v>
      </c>
      <c r="F997" s="118"/>
      <c r="G997" s="122"/>
      <c r="H997" s="119">
        <v>991</v>
      </c>
      <c r="I997" s="120"/>
      <c r="J997" s="135"/>
    </row>
    <row r="998" spans="5:10" ht="11.25" customHeight="1" x14ac:dyDescent="0.2">
      <c r="E998" s="117">
        <v>992</v>
      </c>
      <c r="F998" s="118"/>
      <c r="G998" s="122"/>
      <c r="H998" s="119">
        <v>992</v>
      </c>
      <c r="I998" s="120"/>
      <c r="J998" s="135"/>
    </row>
    <row r="999" spans="5:10" ht="11.25" customHeight="1" x14ac:dyDescent="0.2">
      <c r="E999" s="117">
        <v>993</v>
      </c>
      <c r="F999" s="118"/>
      <c r="G999" s="122"/>
      <c r="H999" s="119">
        <v>993</v>
      </c>
      <c r="I999" s="120"/>
      <c r="J999" s="135"/>
    </row>
    <row r="1000" spans="5:10" ht="11.25" customHeight="1" x14ac:dyDescent="0.2">
      <c r="E1000" s="117">
        <v>994</v>
      </c>
      <c r="F1000" s="118"/>
      <c r="G1000" s="122"/>
      <c r="H1000" s="119">
        <v>994</v>
      </c>
      <c r="I1000" s="120"/>
      <c r="J1000" s="135"/>
    </row>
    <row r="1001" spans="5:10" ht="11.25" customHeight="1" x14ac:dyDescent="0.2">
      <c r="E1001" s="117">
        <v>995</v>
      </c>
      <c r="F1001" s="118"/>
      <c r="G1001" s="122"/>
      <c r="H1001" s="119">
        <v>995</v>
      </c>
      <c r="I1001" s="120"/>
      <c r="J1001" s="135"/>
    </row>
    <row r="1002" spans="5:10" ht="11.25" customHeight="1" x14ac:dyDescent="0.2">
      <c r="E1002" s="117">
        <v>996</v>
      </c>
      <c r="F1002" s="118"/>
      <c r="G1002" s="122"/>
      <c r="H1002" s="119">
        <v>996</v>
      </c>
      <c r="I1002" s="120"/>
      <c r="J1002" s="135"/>
    </row>
    <row r="1003" spans="5:10" ht="11.25" customHeight="1" x14ac:dyDescent="0.2">
      <c r="E1003" s="117">
        <v>997</v>
      </c>
      <c r="F1003" s="118"/>
      <c r="G1003" s="122"/>
      <c r="H1003" s="119">
        <v>997</v>
      </c>
      <c r="I1003" s="120"/>
      <c r="J1003" s="135"/>
    </row>
    <row r="1004" spans="5:10" ht="11.25" customHeight="1" x14ac:dyDescent="0.2">
      <c r="E1004" s="117">
        <v>998</v>
      </c>
      <c r="F1004" s="118"/>
      <c r="G1004" s="122"/>
      <c r="H1004" s="119">
        <v>998</v>
      </c>
      <c r="I1004" s="120"/>
      <c r="J1004" s="135"/>
    </row>
    <row r="1005" spans="5:10" ht="11.25" customHeight="1" x14ac:dyDescent="0.2">
      <c r="E1005" s="117">
        <v>999</v>
      </c>
      <c r="F1005" s="118"/>
      <c r="G1005" s="122"/>
      <c r="H1005" s="119">
        <v>999</v>
      </c>
      <c r="I1005" s="120"/>
      <c r="J1005" s="135"/>
    </row>
    <row r="1006" spans="5:10" ht="11.25" customHeight="1" x14ac:dyDescent="0.2">
      <c r="E1006" s="117">
        <v>1000</v>
      </c>
      <c r="F1006" s="118"/>
      <c r="G1006" s="122"/>
      <c r="H1006" s="119">
        <v>1000</v>
      </c>
      <c r="I1006" s="120"/>
      <c r="J1006" s="135"/>
    </row>
    <row r="1007" spans="5:10" ht="11.25" customHeight="1" x14ac:dyDescent="0.2">
      <c r="E1007" s="53"/>
      <c r="F1007" s="54"/>
      <c r="G1007" s="136"/>
      <c r="H1007" s="54"/>
      <c r="I1007" s="54"/>
      <c r="J1007" s="93"/>
    </row>
  </sheetData>
  <sheetProtection sheet="1" objects="1" scenarios="1" selectLockedCells="1"/>
  <mergeCells count="1">
    <mergeCell ref="Q30:R30"/>
  </mergeCells>
  <phoneticPr fontId="0" type="noConversion"/>
  <dataValidations count="1">
    <dataValidation type="decimal" allowBlank="1" showErrorMessage="1" errorTitle="Confidence level" error="Number, min 0, max 99.9" sqref="P10:Q10">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Brush" shapeId="62542" r:id="rId4">
          <objectPr defaultSize="0" autoPict="0" r:id="rId5">
            <anchor moveWithCells="1" sizeWithCells="1">
              <from>
                <xdr:col>0</xdr:col>
                <xdr:colOff>0</xdr:colOff>
                <xdr:row>0</xdr:row>
                <xdr:rowOff>0</xdr:rowOff>
              </from>
              <to>
                <xdr:col>4</xdr:col>
                <xdr:colOff>0</xdr:colOff>
                <xdr:row>61</xdr:row>
                <xdr:rowOff>0</xdr:rowOff>
              </to>
            </anchor>
          </objectPr>
        </oleObject>
      </mc:Choice>
      <mc:Fallback>
        <oleObject progId="PBrush" shapeId="62542" r:id="rId4"/>
      </mc:Fallback>
    </mc:AlternateContent>
  </oleObjects>
  <mc:AlternateContent xmlns:mc="http://schemas.openxmlformats.org/markup-compatibility/2006">
    <mc:Choice Requires="x14">
      <controls>
        <mc:AlternateContent xmlns:mc="http://schemas.openxmlformats.org/markup-compatibility/2006">
          <mc:Choice Requires="x14">
            <control shapeId="62543" r:id="rId6" name="Button 79">
              <controlPr defaultSize="0" print="0" autoFill="0" autoPict="0" macro="[0]!ShiftDataTwo">
                <anchor moveWithCells="1" sizeWithCells="1">
                  <from>
                    <xdr:col>11</xdr:col>
                    <xdr:colOff>28575</xdr:colOff>
                    <xdr:row>34</xdr:row>
                    <xdr:rowOff>133350</xdr:rowOff>
                  </from>
                  <to>
                    <xdr:col>13</xdr:col>
                    <xdr:colOff>314325</xdr:colOff>
                    <xdr:row>35</xdr:row>
                    <xdr:rowOff>133350</xdr:rowOff>
                  </to>
                </anchor>
              </controlPr>
            </control>
          </mc:Choice>
        </mc:AlternateContent>
        <mc:AlternateContent xmlns:mc="http://schemas.openxmlformats.org/markup-compatibility/2006">
          <mc:Choice Requires="x14">
            <control shapeId="62476" r:id="rId7" name="Button 12">
              <controlPr defaultSize="0" print="0" autoFill="0" autoPict="0" macro="[0]!ConfirmClearTwo">
                <anchor moveWithCells="1">
                  <from>
                    <xdr:col>14</xdr:col>
                    <xdr:colOff>57150</xdr:colOff>
                    <xdr:row>1</xdr:row>
                    <xdr:rowOff>47625</xdr:rowOff>
                  </from>
                  <to>
                    <xdr:col>15</xdr:col>
                    <xdr:colOff>257175</xdr:colOff>
                    <xdr:row>2</xdr:row>
                    <xdr:rowOff>123825</xdr:rowOff>
                  </to>
                </anchor>
              </controlPr>
            </control>
          </mc:Choice>
        </mc:AlternateContent>
        <mc:AlternateContent xmlns:mc="http://schemas.openxmlformats.org/markup-compatibility/2006">
          <mc:Choice Requires="x14">
            <control shapeId="62480" r:id="rId8" name="Check Box 16">
              <controlPr defaultSize="0" autoFill="0" autoLine="0" autoPict="0">
                <anchor moveWithCells="1">
                  <from>
                    <xdr:col>14</xdr:col>
                    <xdr:colOff>28575</xdr:colOff>
                    <xdr:row>3</xdr:row>
                    <xdr:rowOff>114300</xdr:rowOff>
                  </from>
                  <to>
                    <xdr:col>15</xdr:col>
                    <xdr:colOff>142875</xdr:colOff>
                    <xdr:row>5</xdr:row>
                    <xdr:rowOff>47625</xdr:rowOff>
                  </to>
                </anchor>
              </controlPr>
            </control>
          </mc:Choice>
        </mc:AlternateContent>
        <mc:AlternateContent xmlns:mc="http://schemas.openxmlformats.org/markup-compatibility/2006">
          <mc:Choice Requires="x14">
            <control shapeId="62481" r:id="rId9" name="Check Box 17">
              <controlPr defaultSize="0" autoFill="0" autoLine="0" autoPict="0">
                <anchor moveWithCells="1">
                  <from>
                    <xdr:col>15</xdr:col>
                    <xdr:colOff>238125</xdr:colOff>
                    <xdr:row>3</xdr:row>
                    <xdr:rowOff>114300</xdr:rowOff>
                  </from>
                  <to>
                    <xdr:col>17</xdr:col>
                    <xdr:colOff>314325</xdr:colOff>
                    <xdr:row>5</xdr:row>
                    <xdr:rowOff>47625</xdr:rowOff>
                  </to>
                </anchor>
              </controlPr>
            </control>
          </mc:Choice>
        </mc:AlternateContent>
        <mc:AlternateContent xmlns:mc="http://schemas.openxmlformats.org/markup-compatibility/2006">
          <mc:Choice Requires="x14">
            <control shapeId="62482" r:id="rId10" name="Check Box 18">
              <controlPr defaultSize="0" autoFill="0" autoLine="0" autoPict="0">
                <anchor moveWithCells="1">
                  <from>
                    <xdr:col>10</xdr:col>
                    <xdr:colOff>66675</xdr:colOff>
                    <xdr:row>5</xdr:row>
                    <xdr:rowOff>85725</xdr:rowOff>
                  </from>
                  <to>
                    <xdr:col>13</xdr:col>
                    <xdr:colOff>304800</xdr:colOff>
                    <xdr:row>7</xdr:row>
                    <xdr:rowOff>19050</xdr:rowOff>
                  </to>
                </anchor>
              </controlPr>
            </control>
          </mc:Choice>
        </mc:AlternateContent>
        <mc:AlternateContent xmlns:mc="http://schemas.openxmlformats.org/markup-compatibility/2006">
          <mc:Choice Requires="x14">
            <control shapeId="62485" r:id="rId11" name="Check Box 21">
              <controlPr defaultSize="0" autoFill="0" autoLine="0" autoPict="0">
                <anchor moveWithCells="1">
                  <from>
                    <xdr:col>10</xdr:col>
                    <xdr:colOff>66675</xdr:colOff>
                    <xdr:row>9</xdr:row>
                    <xdr:rowOff>0</xdr:rowOff>
                  </from>
                  <to>
                    <xdr:col>12</xdr:col>
                    <xdr:colOff>266700</xdr:colOff>
                    <xdr:row>10</xdr:row>
                    <xdr:rowOff>76200</xdr:rowOff>
                  </to>
                </anchor>
              </controlPr>
            </control>
          </mc:Choice>
        </mc:AlternateContent>
        <mc:AlternateContent xmlns:mc="http://schemas.openxmlformats.org/markup-compatibility/2006">
          <mc:Choice Requires="x14">
            <control shapeId="62486" r:id="rId12" name="Spinner 22">
              <controlPr defaultSize="0" autoPict="0">
                <anchor moveWithCells="1">
                  <from>
                    <xdr:col>16</xdr:col>
                    <xdr:colOff>9525</xdr:colOff>
                    <xdr:row>8</xdr:row>
                    <xdr:rowOff>95250</xdr:rowOff>
                  </from>
                  <to>
                    <xdr:col>17</xdr:col>
                    <xdr:colOff>114300</xdr:colOff>
                    <xdr:row>10</xdr:row>
                    <xdr:rowOff>57150</xdr:rowOff>
                  </to>
                </anchor>
              </controlPr>
            </control>
          </mc:Choice>
        </mc:AlternateContent>
        <mc:AlternateContent xmlns:mc="http://schemas.openxmlformats.org/markup-compatibility/2006">
          <mc:Choice Requires="x14">
            <control shapeId="62487" r:id="rId13" name="Check Box 23">
              <controlPr defaultSize="0" autoFill="0" autoLine="0" autoPict="0">
                <anchor moveWithCells="1">
                  <from>
                    <xdr:col>12</xdr:col>
                    <xdr:colOff>57150</xdr:colOff>
                    <xdr:row>10</xdr:row>
                    <xdr:rowOff>66675</xdr:rowOff>
                  </from>
                  <to>
                    <xdr:col>14</xdr:col>
                    <xdr:colOff>342900</xdr:colOff>
                    <xdr:row>12</xdr:row>
                    <xdr:rowOff>0</xdr:rowOff>
                  </to>
                </anchor>
              </controlPr>
            </control>
          </mc:Choice>
        </mc:AlternateContent>
        <mc:AlternateContent xmlns:mc="http://schemas.openxmlformats.org/markup-compatibility/2006">
          <mc:Choice Requires="x14">
            <control shapeId="62508" r:id="rId14" name="Option Button 44">
              <controlPr defaultSize="0" autoFill="0" autoLine="0" autoPict="0">
                <anchor moveWithCells="1">
                  <from>
                    <xdr:col>15</xdr:col>
                    <xdr:colOff>38100</xdr:colOff>
                    <xdr:row>25</xdr:row>
                    <xdr:rowOff>19050</xdr:rowOff>
                  </from>
                  <to>
                    <xdr:col>15</xdr:col>
                    <xdr:colOff>409575</xdr:colOff>
                    <xdr:row>26</xdr:row>
                    <xdr:rowOff>95250</xdr:rowOff>
                  </to>
                </anchor>
              </controlPr>
            </control>
          </mc:Choice>
        </mc:AlternateContent>
        <mc:AlternateContent xmlns:mc="http://schemas.openxmlformats.org/markup-compatibility/2006">
          <mc:Choice Requires="x14">
            <control shapeId="62509" r:id="rId15" name="Option Button 45">
              <controlPr defaultSize="0" autoFill="0" autoLine="0" autoPict="0">
                <anchor moveWithCells="1">
                  <from>
                    <xdr:col>15</xdr:col>
                    <xdr:colOff>38100</xdr:colOff>
                    <xdr:row>26</xdr:row>
                    <xdr:rowOff>57150</xdr:rowOff>
                  </from>
                  <to>
                    <xdr:col>15</xdr:col>
                    <xdr:colOff>381000</xdr:colOff>
                    <xdr:row>28</xdr:row>
                    <xdr:rowOff>0</xdr:rowOff>
                  </to>
                </anchor>
              </controlPr>
            </control>
          </mc:Choice>
        </mc:AlternateContent>
        <mc:AlternateContent xmlns:mc="http://schemas.openxmlformats.org/markup-compatibility/2006">
          <mc:Choice Requires="x14">
            <control shapeId="62514" r:id="rId16" name="Check Box 50">
              <controlPr defaultSize="0" autoFill="0" autoLine="0" autoPict="0" macro="[0]!Revealdatatwo">
                <anchor moveWithCells="1">
                  <from>
                    <xdr:col>11</xdr:col>
                    <xdr:colOff>28575</xdr:colOff>
                    <xdr:row>31</xdr:row>
                    <xdr:rowOff>104775</xdr:rowOff>
                  </from>
                  <to>
                    <xdr:col>12</xdr:col>
                    <xdr:colOff>0</xdr:colOff>
                    <xdr:row>33</xdr:row>
                    <xdr:rowOff>38100</xdr:rowOff>
                  </to>
                </anchor>
              </controlPr>
            </control>
          </mc:Choice>
        </mc:AlternateContent>
        <mc:AlternateContent xmlns:mc="http://schemas.openxmlformats.org/markup-compatibility/2006">
          <mc:Choice Requires="x14">
            <control shapeId="62538" r:id="rId17" name="Check Box 74">
              <controlPr defaultSize="0" autoFill="0" autoLine="0" autoPict="0" macro="[0]!Revealddatatwo">
                <anchor moveWithCells="1">
                  <from>
                    <xdr:col>41</xdr:col>
                    <xdr:colOff>104775</xdr:colOff>
                    <xdr:row>8</xdr:row>
                    <xdr:rowOff>47625</xdr:rowOff>
                  </from>
                  <to>
                    <xdr:col>41</xdr:col>
                    <xdr:colOff>409575</xdr:colOff>
                    <xdr:row>9</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BA157"/>
  <sheetViews>
    <sheetView showGridLines="0" showRowColHeaders="0" topLeftCell="E1" workbookViewId="0">
      <selection activeCell="A2" sqref="A2:A12"/>
    </sheetView>
  </sheetViews>
  <sheetFormatPr defaultRowHeight="11.25" customHeight="1" x14ac:dyDescent="0.2"/>
  <cols>
    <col min="1" max="4" width="7.7109375" style="1" hidden="1" customWidth="1"/>
    <col min="5" max="5" width="0.5703125" style="1" customWidth="1"/>
    <col min="6" max="6" width="3" style="137" customWidth="1"/>
    <col min="7" max="7" width="8.42578125" style="1" customWidth="1"/>
    <col min="8" max="8" width="2.5703125" style="1" customWidth="1"/>
    <col min="9" max="10" width="5.140625" style="1" customWidth="1"/>
    <col min="11" max="11" width="2.85546875" style="1" customWidth="1"/>
    <col min="12" max="12" width="5.140625" style="1" customWidth="1"/>
    <col min="13" max="13" width="5.85546875" style="1" customWidth="1"/>
    <col min="14" max="14" width="2.140625" style="1" customWidth="1"/>
    <col min="15" max="15" width="3.7109375" style="1" customWidth="1"/>
    <col min="16" max="16" width="6.85546875" style="1" customWidth="1"/>
    <col min="17" max="17" width="5.42578125" style="1" customWidth="1"/>
    <col min="18" max="18" width="2.5703125" style="1" customWidth="1"/>
    <col min="19" max="19" width="6.85546875" style="1" customWidth="1"/>
    <col min="20" max="20" width="5.42578125" style="1" customWidth="1"/>
    <col min="21" max="21" width="1.7109375" style="1" customWidth="1"/>
    <col min="22" max="22" width="5.7109375" style="1" customWidth="1"/>
    <col min="23" max="23" width="9.140625" style="1"/>
    <col min="24" max="24" width="6.7109375" style="1" customWidth="1"/>
    <col min="25" max="26" width="9" style="1" customWidth="1"/>
    <col min="27" max="27" width="9" style="46" customWidth="1"/>
    <col min="28" max="28" width="9.140625" style="1"/>
    <col min="29" max="29" width="6" style="1" customWidth="1"/>
    <col min="30" max="30" width="2.5703125" style="1" customWidth="1"/>
    <col min="31" max="31" width="4.140625" style="1" customWidth="1"/>
    <col min="32" max="32" width="0.5703125" style="1" customWidth="1"/>
    <col min="33" max="33" width="6.7109375" style="1" customWidth="1"/>
    <col min="34" max="34" width="3.28515625" style="1" customWidth="1"/>
    <col min="35" max="41" width="9.140625" style="1"/>
    <col min="42" max="42" width="4.5703125" style="1" customWidth="1"/>
    <col min="43" max="43" width="12.42578125" style="1" customWidth="1"/>
    <col min="44" max="16384" width="9.140625" style="1"/>
  </cols>
  <sheetData>
    <row r="1" spans="1:52" ht="11.25" customHeight="1" x14ac:dyDescent="0.2">
      <c r="G1" s="138"/>
      <c r="H1" s="4" t="s">
        <v>540</v>
      </c>
      <c r="K1" s="4"/>
      <c r="O1" s="139" t="s">
        <v>494</v>
      </c>
      <c r="P1" s="89"/>
      <c r="Q1" s="140" t="s">
        <v>506</v>
      </c>
      <c r="R1" s="141"/>
      <c r="S1" s="142"/>
      <c r="V1" s="208">
        <f t="shared" ref="V1:AB1" si="0">($L$21+$B$3+$B$4+$L$11+$I$11+$B$5)/1000000</f>
        <v>3.0400000000000002E-4</v>
      </c>
      <c r="W1" s="51">
        <f t="shared" si="0"/>
        <v>3.0400000000000002E-4</v>
      </c>
      <c r="X1" s="51">
        <f t="shared" si="0"/>
        <v>3.0400000000000002E-4</v>
      </c>
      <c r="Y1" s="51">
        <f t="shared" si="0"/>
        <v>3.0400000000000002E-4</v>
      </c>
      <c r="Z1" s="51">
        <f t="shared" si="0"/>
        <v>3.0400000000000002E-4</v>
      </c>
      <c r="AA1" s="51">
        <f t="shared" si="0"/>
        <v>3.0400000000000002E-4</v>
      </c>
      <c r="AB1" s="51">
        <f t="shared" si="0"/>
        <v>3.0400000000000002E-4</v>
      </c>
      <c r="AW1" s="3" t="s">
        <v>1088</v>
      </c>
      <c r="AX1" s="1">
        <f>EXP(GAMMALN(T12/2))/(SQRT(T12/2)*EXP(GAMMALN(T12/2-0.5)))</f>
        <v>0.9870035810279979</v>
      </c>
    </row>
    <row r="2" spans="1:52" ht="11.25" customHeight="1" x14ac:dyDescent="0.2">
      <c r="A2" s="10">
        <v>40</v>
      </c>
      <c r="B2" s="1">
        <f>I11</f>
        <v>40</v>
      </c>
      <c r="C2" s="3" t="s">
        <v>541</v>
      </c>
      <c r="D2" s="13" t="b">
        <f>AND(B3=A3,B4=A4,B2=A2,B5=A5,B6=A6,D3)</f>
        <v>1</v>
      </c>
      <c r="G2" s="143"/>
      <c r="H2" s="1" t="s">
        <v>542</v>
      </c>
      <c r="P2" s="360" t="s">
        <v>504</v>
      </c>
      <c r="Q2" s="1012"/>
      <c r="R2" s="1013"/>
      <c r="S2" s="361" t="s">
        <v>505</v>
      </c>
      <c r="V2" s="208">
        <f t="shared" ref="V2:V37" si="1">($L$21+$B$3+$B$4+$L$11+$I$11+$B$5)/1000000</f>
        <v>3.0400000000000002E-4</v>
      </c>
      <c r="W2" s="10"/>
      <c r="AB2" s="51">
        <f t="shared" ref="AB2:AB37" si="2">($L$21+$B$3+$B$4+$L$11+$I$11+$B$5)/1000000</f>
        <v>3.0400000000000002E-4</v>
      </c>
      <c r="AW2" s="3" t="s">
        <v>749</v>
      </c>
      <c r="AX2" s="364">
        <f>IF(AND(D2),SQRT((P5*P5*(B2-1)+S5*S5*(N-1))/(B2+N-2)),"")</f>
        <v>21.087103194762097</v>
      </c>
    </row>
    <row r="3" spans="1:52" ht="11.25" customHeight="1" x14ac:dyDescent="0.2">
      <c r="A3" s="144">
        <v>67</v>
      </c>
      <c r="B3" s="145">
        <v>67</v>
      </c>
      <c r="C3" s="3" t="s">
        <v>543</v>
      </c>
      <c r="D3" s="13" t="b">
        <f>AND(B4&gt;=5,B4&lt;=50,B3&gt;=10,B3&lt;=90,B5&gt;=10,B5&lt;=90,L11&gt;=2,L11&lt;=100,I11&gt;=2,I11&lt;=100,L21&gt;=0,L21&lt;=99.9)</f>
        <v>1</v>
      </c>
      <c r="G3" s="143"/>
      <c r="H3" s="1" t="s">
        <v>544</v>
      </c>
      <c r="M3" s="45"/>
      <c r="N3" s="45"/>
      <c r="P3" s="146" t="str">
        <f>IF(P15="","",P15)</f>
        <v>Test</v>
      </c>
      <c r="Q3" s="147"/>
      <c r="R3" s="148"/>
      <c r="S3" s="149" t="str">
        <f>IF(S15="","",S15)</f>
        <v>Control</v>
      </c>
      <c r="V3" s="208">
        <f t="shared" si="1"/>
        <v>3.0400000000000002E-4</v>
      </c>
      <c r="AB3" s="51">
        <f t="shared" si="2"/>
        <v>3.0400000000000002E-4</v>
      </c>
      <c r="AW3" s="1" t="s">
        <v>545</v>
      </c>
      <c r="AX3" s="10">
        <v>20</v>
      </c>
      <c r="AY3" s="1">
        <f>4*(20-AX3)</f>
        <v>0</v>
      </c>
    </row>
    <row r="4" spans="1:52" ht="12" customHeight="1" x14ac:dyDescent="0.3">
      <c r="A4" s="10">
        <v>25</v>
      </c>
      <c r="B4" s="145">
        <v>25</v>
      </c>
      <c r="C4" s="3" t="s">
        <v>546</v>
      </c>
      <c r="D4" s="10" t="b">
        <v>0</v>
      </c>
      <c r="H4" s="1" t="s">
        <v>547</v>
      </c>
      <c r="M4" s="150"/>
      <c r="N4" s="151"/>
      <c r="O4" s="152" t="s">
        <v>742</v>
      </c>
      <c r="P4" s="153">
        <f>IF(AND(D2),AVERAGE(P16:P115),"")</f>
        <v>57.913664615444169</v>
      </c>
      <c r="Q4" s="1014" t="s">
        <v>743</v>
      </c>
      <c r="R4" s="1015"/>
      <c r="S4" s="153">
        <f>IF(AND(D2),AVERAGE(S16:S115),"")</f>
        <v>64.223016018655954</v>
      </c>
      <c r="T4" s="1" t="str">
        <f>IF($Q$16="","",$Q$16)</f>
        <v>cm</v>
      </c>
      <c r="V4" s="208">
        <f t="shared" si="1"/>
        <v>3.0400000000000002E-4</v>
      </c>
      <c r="AB4" s="51">
        <f t="shared" si="2"/>
        <v>3.0400000000000002E-4</v>
      </c>
      <c r="AC4" s="810"/>
      <c r="AD4" s="811" t="s">
        <v>1072</v>
      </c>
      <c r="AE4" s="809"/>
      <c r="AF4" s="15"/>
      <c r="AG4" s="15"/>
      <c r="AH4" s="16"/>
      <c r="AW4" s="1" t="s">
        <v>507</v>
      </c>
      <c r="AY4" s="1">
        <f>IF(AND($D$14=1,$D$2,AX21),$P$4,NA())</f>
        <v>57.913664615444169</v>
      </c>
      <c r="AZ4" s="1">
        <f>IF(AND($D$14=1,$D$2,AX22),$S$4,NA())</f>
        <v>64.223016018655954</v>
      </c>
    </row>
    <row r="5" spans="1:52" ht="11.25" customHeight="1" x14ac:dyDescent="0.3">
      <c r="A5" s="10">
        <v>57</v>
      </c>
      <c r="B5" s="145">
        <v>57</v>
      </c>
      <c r="C5" s="3" t="s">
        <v>548</v>
      </c>
      <c r="D5" s="10" t="b">
        <v>0</v>
      </c>
      <c r="M5" s="154"/>
      <c r="N5" s="155"/>
      <c r="O5" s="156" t="s">
        <v>744</v>
      </c>
      <c r="P5" s="251">
        <f>IF(AND(D2),STDEV(P16:P115),"")</f>
        <v>23.013667615211858</v>
      </c>
      <c r="Q5" s="1014" t="s">
        <v>745</v>
      </c>
      <c r="R5" s="1015"/>
      <c r="S5" s="251">
        <f>IF(AND(D2),STDEV(S16:S115),"")</f>
        <v>16.439836789215885</v>
      </c>
      <c r="T5" s="1" t="str">
        <f>IF($Q$16="","",$Q$16)</f>
        <v>cm</v>
      </c>
      <c r="V5" s="208">
        <f t="shared" si="1"/>
        <v>3.0400000000000002E-4</v>
      </c>
      <c r="AB5" s="51">
        <f t="shared" si="2"/>
        <v>3.0400000000000002E-4</v>
      </c>
      <c r="AC5" s="75"/>
      <c r="AD5" s="17"/>
      <c r="AE5" s="17"/>
      <c r="AF5" s="17"/>
      <c r="AG5" s="17"/>
      <c r="AH5" s="18"/>
      <c r="AW5" s="1" t="s">
        <v>508</v>
      </c>
      <c r="AY5" s="1" t="e">
        <f>IF(AND($D$14=2,$D$2,AX21),$P$4,NA())</f>
        <v>#N/A</v>
      </c>
      <c r="AZ5" s="1" t="e">
        <f>IF(AND($D$14=2,$D$2,AX22),$S$4,NA())</f>
        <v>#N/A</v>
      </c>
    </row>
    <row r="6" spans="1:52" ht="12" customHeight="1" x14ac:dyDescent="0.3">
      <c r="A6" s="10">
        <v>20</v>
      </c>
      <c r="B6" s="157">
        <f>L11</f>
        <v>20</v>
      </c>
      <c r="C6" s="3" t="s">
        <v>549</v>
      </c>
      <c r="D6" s="10" t="b">
        <v>0</v>
      </c>
      <c r="H6" s="738">
        <v>1</v>
      </c>
      <c r="K6" s="739">
        <v>10</v>
      </c>
      <c r="L6" s="740" t="s">
        <v>545</v>
      </c>
      <c r="M6" s="150"/>
      <c r="N6" s="151"/>
      <c r="O6" s="381" t="s">
        <v>694</v>
      </c>
      <c r="P6" s="251">
        <f>IF(AND(D2),(P5/SQRT(A2))*TINV(1-L21/100,(A2-1)),"")</f>
        <v>7.3601279717408596</v>
      </c>
      <c r="Q6" s="1014" t="s">
        <v>746</v>
      </c>
      <c r="R6" s="1015"/>
      <c r="S6" s="254">
        <f>IF(AND(D2),(S5/SQRT(A6))*TINV(1-L21/100,(A6-1)),"")</f>
        <v>7.6940804565452297</v>
      </c>
      <c r="T6" s="227" t="str">
        <f>IF($Q$16="","",$Q$16)</f>
        <v>cm</v>
      </c>
      <c r="V6" s="208">
        <f t="shared" si="1"/>
        <v>3.0400000000000002E-4</v>
      </c>
      <c r="AB6" s="51">
        <f t="shared" si="2"/>
        <v>3.0400000000000002E-4</v>
      </c>
      <c r="AC6" s="848" t="s">
        <v>1074</v>
      </c>
      <c r="AD6" s="1008" t="str">
        <f>IF(AND(D15,D2),(S4-P4)/AX2,"")</f>
        <v/>
      </c>
      <c r="AE6" s="1008"/>
      <c r="AF6" s="17"/>
      <c r="AG6" s="17"/>
      <c r="AH6" s="18"/>
      <c r="AW6" s="1" t="s">
        <v>509</v>
      </c>
      <c r="AY6" s="1">
        <f>IF(AND($D$8,$D$2,AX21),$P$4,NA())</f>
        <v>57.913664615444169</v>
      </c>
      <c r="AZ6" s="1">
        <f>IF(AND($D$8,$D$2,AX22),$S$4,NA())</f>
        <v>64.223016018655954</v>
      </c>
    </row>
    <row r="7" spans="1:52" ht="11.25" customHeight="1" x14ac:dyDescent="0.2">
      <c r="A7" s="10">
        <v>0.50433066812950944</v>
      </c>
      <c r="B7" s="1">
        <f ca="1">RAND()</f>
        <v>0.12621523401165369</v>
      </c>
      <c r="C7" s="3" t="s">
        <v>569</v>
      </c>
      <c r="D7" s="10" t="b">
        <v>0</v>
      </c>
      <c r="L7" s="160"/>
      <c r="M7" s="161"/>
      <c r="N7" s="52"/>
      <c r="O7" s="137"/>
      <c r="P7" s="162" t="s">
        <v>747</v>
      </c>
      <c r="Q7" s="1016">
        <f>IF(AND(D2),(P6+S6)/2,"")</f>
        <v>7.5271042141430442</v>
      </c>
      <c r="R7" s="1017"/>
      <c r="S7" s="1" t="str">
        <f>IF($Q$16="","",$Q$16)</f>
        <v>cm</v>
      </c>
      <c r="V7" s="208">
        <f t="shared" si="1"/>
        <v>3.0400000000000002E-4</v>
      </c>
      <c r="AB7" s="51">
        <f t="shared" si="2"/>
        <v>3.0400000000000002E-4</v>
      </c>
      <c r="AC7" s="793"/>
      <c r="AD7" s="17"/>
      <c r="AE7" s="794"/>
      <c r="AF7" s="851" t="s">
        <v>1089</v>
      </c>
      <c r="AG7" s="794"/>
      <c r="AH7" s="18"/>
      <c r="AW7" s="1" t="s">
        <v>510</v>
      </c>
      <c r="AY7" s="92">
        <f>$P$6</f>
        <v>7.3601279717408596</v>
      </c>
      <c r="AZ7" s="92">
        <f>$S$6</f>
        <v>7.6940804565452297</v>
      </c>
    </row>
    <row r="8" spans="1:52" ht="11.25" customHeight="1" x14ac:dyDescent="0.2">
      <c r="A8" s="10">
        <v>95</v>
      </c>
      <c r="B8" s="1">
        <f>L21</f>
        <v>95</v>
      </c>
      <c r="C8" s="3" t="s">
        <v>489</v>
      </c>
      <c r="D8" s="10" t="b">
        <v>1</v>
      </c>
      <c r="H8" s="163"/>
      <c r="L8" s="164">
        <f>AX3</f>
        <v>20</v>
      </c>
      <c r="M8" s="141"/>
      <c r="N8" s="141"/>
      <c r="O8" s="139" t="s">
        <v>550</v>
      </c>
      <c r="P8" s="165" t="str">
        <f>IF(AND(D2),IF((MIN(P4+P6,S4+S6)-MAX(P4-P6,S4-S6))/Q7&gt;=0,"Overlap","Gap"),"")</f>
        <v>Overlap</v>
      </c>
      <c r="Q8" s="1018">
        <f>IF(AND(D2),ABS((MIN(P4+P6,S4+S6)-MAX(P4-P6,S4-S6))/Q7),"")</f>
        <v>1.1617823768990954</v>
      </c>
      <c r="R8" s="1017"/>
      <c r="S8"/>
      <c r="V8" s="208">
        <f t="shared" si="1"/>
        <v>3.0400000000000002E-4</v>
      </c>
      <c r="AB8" s="51">
        <f t="shared" si="2"/>
        <v>3.0400000000000002E-4</v>
      </c>
      <c r="AC8" s="795" t="s">
        <v>1069</v>
      </c>
      <c r="AD8" s="1009" t="str">
        <f>IF(AND(D16,D15,D2),C21*SQRT(1/I11+1/L11),"")</f>
        <v/>
      </c>
      <c r="AE8" s="1009"/>
      <c r="AF8" s="796" t="s">
        <v>572</v>
      </c>
      <c r="AG8" s="841" t="str">
        <f>IF(AND(D16,D15,D2),D21*SQRT(1/I11+1/L11),"")</f>
        <v/>
      </c>
      <c r="AH8" s="797" t="s">
        <v>531</v>
      </c>
      <c r="AP8" s="798" t="s">
        <v>1061</v>
      </c>
      <c r="AQ8" s="16"/>
      <c r="AW8" s="166" t="s">
        <v>551</v>
      </c>
      <c r="AX8" s="92">
        <v>1.5</v>
      </c>
      <c r="AY8" s="1" t="e">
        <f>IF(AND($D$5,$D$2,AX21,AX22),$P$4,NA())</f>
        <v>#N/A</v>
      </c>
      <c r="AZ8" s="1" t="e">
        <f>IF(AND($D$5,$D$2,AX21,AX22),Q9,NA())</f>
        <v>#N/A</v>
      </c>
    </row>
    <row r="9" spans="1:52" ht="11.25" customHeight="1" x14ac:dyDescent="0.2">
      <c r="A9" s="803"/>
      <c r="B9" s="804"/>
      <c r="M9" s="52"/>
      <c r="N9" s="148"/>
      <c r="O9" s="52"/>
      <c r="P9" s="167" t="s">
        <v>512</v>
      </c>
      <c r="Q9" s="1010">
        <f>IF(AND(D2),S4-P4,"")</f>
        <v>6.3093514032117852</v>
      </c>
      <c r="R9" s="1011"/>
      <c r="S9" s="1" t="str">
        <f>IF($Q$16="","",$Q$16)</f>
        <v>cm</v>
      </c>
      <c r="V9" s="208">
        <f t="shared" si="1"/>
        <v>3.0400000000000002E-4</v>
      </c>
      <c r="AB9" s="51">
        <f t="shared" si="2"/>
        <v>3.0400000000000002E-4</v>
      </c>
      <c r="AC9" s="75"/>
      <c r="AD9" s="302"/>
      <c r="AE9" s="302"/>
      <c r="AF9" s="17"/>
      <c r="AG9" s="17"/>
      <c r="AH9" s="18"/>
      <c r="AP9" s="75"/>
      <c r="AQ9" s="799" t="s">
        <v>1045</v>
      </c>
      <c r="AR9" s="227"/>
      <c r="AS9" s="227"/>
      <c r="AT9" s="227"/>
      <c r="AU9" s="227"/>
      <c r="AY9" s="70"/>
      <c r="AZ9" s="70"/>
    </row>
    <row r="10" spans="1:52" ht="11.25" customHeight="1" x14ac:dyDescent="0.3">
      <c r="A10" s="803"/>
      <c r="B10" s="804"/>
      <c r="F10" s="877">
        <v>3</v>
      </c>
      <c r="G10" s="878" t="s">
        <v>552</v>
      </c>
      <c r="H10" s="2"/>
      <c r="I10" s="2"/>
      <c r="J10" s="2"/>
      <c r="K10" s="2"/>
      <c r="L10" s="2"/>
      <c r="M10" s="8"/>
      <c r="N10" s="9"/>
      <c r="O10" s="137"/>
      <c r="P10" s="252" t="s">
        <v>1083</v>
      </c>
      <c r="Q10" s="1006">
        <f>IF(AND(D2),AX2,"")</f>
        <v>21.087103194762097</v>
      </c>
      <c r="R10" s="1007"/>
      <c r="S10" s="227" t="str">
        <f>IF($Q$16="","",$Q$16)</f>
        <v>cm</v>
      </c>
      <c r="V10" s="208">
        <f t="shared" si="1"/>
        <v>3.0400000000000002E-4</v>
      </c>
      <c r="AB10" s="51">
        <f t="shared" si="2"/>
        <v>3.0400000000000002E-4</v>
      </c>
      <c r="AC10" s="75"/>
      <c r="AD10" s="17"/>
      <c r="AE10" s="886" t="s">
        <v>1120</v>
      </c>
      <c r="AF10" s="45"/>
      <c r="AG10" s="892" t="str">
        <f>IF(AND(D16,D15,D2),(AG8-AD8)/2,"")</f>
        <v/>
      </c>
      <c r="AH10" s="18"/>
      <c r="AP10" s="75"/>
      <c r="AQ10" s="800" t="s">
        <v>1055</v>
      </c>
      <c r="AR10" s="74"/>
      <c r="AS10" s="74"/>
      <c r="AT10" s="74"/>
      <c r="AU10" s="74"/>
      <c r="AW10" s="1" t="s">
        <v>553</v>
      </c>
      <c r="AY10" s="70">
        <v>0.7</v>
      </c>
      <c r="AZ10" s="1" t="e">
        <f>IF(AND($D$7,AX21),B5,NA())</f>
        <v>#N/A</v>
      </c>
    </row>
    <row r="11" spans="1:52" ht="11.25" customHeight="1" x14ac:dyDescent="0.3">
      <c r="A11" s="803"/>
      <c r="B11" s="805"/>
      <c r="F11" s="169"/>
      <c r="G11" s="8"/>
      <c r="H11" s="69" t="s">
        <v>690</v>
      </c>
      <c r="I11" s="91">
        <v>40</v>
      </c>
      <c r="J11" s="170"/>
      <c r="K11" s="69" t="s">
        <v>691</v>
      </c>
      <c r="L11" s="737">
        <v>20</v>
      </c>
      <c r="M11" s="8"/>
      <c r="N11" s="9"/>
      <c r="O11" s="137"/>
      <c r="P11" s="832" t="s">
        <v>748</v>
      </c>
      <c r="Q11" s="1004">
        <f>IF(AND(D2),Q9/(AX2*SQRT(1/I11+1/L11)),"")</f>
        <v>1.0925395346619127</v>
      </c>
      <c r="R11" s="1005"/>
      <c r="S11" s="227" t="str">
        <f>IF($Q$16="","",$Q$16)</f>
        <v>cm</v>
      </c>
      <c r="V11" s="208">
        <f t="shared" si="1"/>
        <v>3.0400000000000002E-4</v>
      </c>
      <c r="AB11" s="51">
        <f t="shared" si="2"/>
        <v>3.0400000000000002E-4</v>
      </c>
      <c r="AC11" s="75"/>
      <c r="AD11" s="17"/>
      <c r="AE11" s="17"/>
      <c r="AF11" s="17"/>
      <c r="AG11" s="17"/>
      <c r="AH11" s="18"/>
      <c r="AP11" s="55"/>
      <c r="AQ11" s="80"/>
      <c r="AY11" s="1">
        <v>2.2999999999999998</v>
      </c>
      <c r="AZ11" s="1" t="e">
        <f>IF(AND($D$7,AX22),B3,NA())</f>
        <v>#N/A</v>
      </c>
    </row>
    <row r="12" spans="1:52" ht="11.25" customHeight="1" x14ac:dyDescent="0.2">
      <c r="A12" s="803"/>
      <c r="B12" s="804"/>
      <c r="F12" s="53"/>
      <c r="G12" s="54"/>
      <c r="H12" s="54"/>
      <c r="I12" s="54"/>
      <c r="J12" s="54"/>
      <c r="K12" s="54"/>
      <c r="L12" s="54"/>
      <c r="M12" s="54"/>
      <c r="N12" s="93"/>
      <c r="O12" s="45"/>
      <c r="P12" s="250" t="s">
        <v>1087</v>
      </c>
      <c r="Q12" s="1002">
        <f>IF(AND(D2),TDIST(ABS(Q11),I11+L11-2,2),"")</f>
        <v>0.27911335839492363</v>
      </c>
      <c r="R12" s="1003"/>
      <c r="S12" s="736" t="s">
        <v>702</v>
      </c>
      <c r="T12" s="722">
        <f>IF(AND(D2),I11+L11-2,"")</f>
        <v>58</v>
      </c>
      <c r="U12" s="172"/>
      <c r="V12" s="208">
        <f t="shared" si="1"/>
        <v>3.0400000000000002E-4</v>
      </c>
      <c r="AB12" s="51">
        <f t="shared" si="2"/>
        <v>3.0400000000000002E-4</v>
      </c>
      <c r="AC12" s="75"/>
      <c r="AD12" s="884" t="s">
        <v>1090</v>
      </c>
      <c r="AE12" s="17"/>
      <c r="AF12" s="17"/>
      <c r="AG12" s="17"/>
      <c r="AH12" s="18"/>
      <c r="AW12" s="1" t="s">
        <v>554</v>
      </c>
      <c r="AY12" s="70">
        <f>B4</f>
        <v>25</v>
      </c>
      <c r="AZ12" s="70">
        <f>B4</f>
        <v>25</v>
      </c>
    </row>
    <row r="13" spans="1:52" ht="11.25" customHeight="1" x14ac:dyDescent="0.2">
      <c r="F13" s="174">
        <v>4</v>
      </c>
      <c r="G13" s="73" t="s">
        <v>535</v>
      </c>
      <c r="H13" s="59"/>
      <c r="I13" s="175"/>
      <c r="J13" s="59"/>
      <c r="K13" s="59"/>
      <c r="L13" s="59"/>
      <c r="M13" s="59"/>
      <c r="N13" s="94"/>
      <c r="T13" s="172"/>
      <c r="V13" s="208">
        <f t="shared" si="1"/>
        <v>3.0400000000000002E-4</v>
      </c>
      <c r="AB13" s="51">
        <f t="shared" si="2"/>
        <v>3.0400000000000002E-4</v>
      </c>
      <c r="AC13" s="75"/>
      <c r="AD13" s="17"/>
      <c r="AE13" s="17"/>
      <c r="AF13" s="17"/>
      <c r="AG13" s="17"/>
      <c r="AH13" s="18"/>
      <c r="AW13" s="1" t="s">
        <v>555</v>
      </c>
      <c r="AY13" s="1">
        <v>0.3</v>
      </c>
      <c r="AZ13" s="1">
        <v>-0.3</v>
      </c>
    </row>
    <row r="14" spans="1:52" ht="11.25" customHeight="1" x14ac:dyDescent="0.3">
      <c r="B14" s="10" t="b">
        <v>0</v>
      </c>
      <c r="C14" s="3" t="s">
        <v>511</v>
      </c>
      <c r="D14" s="10">
        <v>1</v>
      </c>
      <c r="F14" s="60"/>
      <c r="G14" s="176"/>
      <c r="H14" s="60"/>
      <c r="I14" s="60"/>
      <c r="J14" s="60"/>
      <c r="K14" s="60"/>
      <c r="L14" s="60"/>
      <c r="M14" s="60"/>
      <c r="N14" s="97"/>
      <c r="P14" s="359" t="s">
        <v>504</v>
      </c>
      <c r="Q14" s="989" t="s">
        <v>571</v>
      </c>
      <c r="R14" s="173"/>
      <c r="S14" s="359" t="s">
        <v>505</v>
      </c>
      <c r="T14" s="172"/>
      <c r="V14" s="208">
        <f t="shared" si="1"/>
        <v>3.0400000000000002E-4</v>
      </c>
      <c r="AB14" s="51">
        <f t="shared" si="2"/>
        <v>3.0400000000000002E-4</v>
      </c>
      <c r="AC14" s="885" t="s">
        <v>1117</v>
      </c>
      <c r="AD14" s="1001" t="str">
        <f>IF(AD6&lt;&gt;"",AD6*$AX$1,"")</f>
        <v/>
      </c>
      <c r="AE14" s="1001"/>
      <c r="AF14" s="17"/>
      <c r="AG14" s="17"/>
      <c r="AH14" s="18"/>
      <c r="AY14" s="70"/>
      <c r="AZ14" s="70"/>
    </row>
    <row r="15" spans="1:52" ht="11.25" customHeight="1" x14ac:dyDescent="0.2">
      <c r="A15" s="3" t="s">
        <v>570</v>
      </c>
      <c r="B15" s="10" t="b">
        <v>1</v>
      </c>
      <c r="C15" s="3" t="s">
        <v>1046</v>
      </c>
      <c r="D15" s="10" t="b">
        <v>0</v>
      </c>
      <c r="F15" s="62"/>
      <c r="G15" s="62" t="s">
        <v>1108</v>
      </c>
      <c r="H15" s="62"/>
      <c r="I15" s="62"/>
      <c r="J15" s="62"/>
      <c r="K15" s="62"/>
      <c r="L15" s="62"/>
      <c r="M15" s="62"/>
      <c r="N15" s="99"/>
      <c r="O15" s="45"/>
      <c r="P15" s="95" t="s">
        <v>513</v>
      </c>
      <c r="Q15" s="137" t="s">
        <v>514</v>
      </c>
      <c r="R15" s="52"/>
      <c r="S15" s="96" t="s">
        <v>495</v>
      </c>
      <c r="V15" s="208">
        <f t="shared" si="1"/>
        <v>3.0400000000000002E-4</v>
      </c>
      <c r="AB15" s="51">
        <f t="shared" si="2"/>
        <v>3.0400000000000002E-4</v>
      </c>
      <c r="AC15" s="55"/>
      <c r="AD15" s="847"/>
      <c r="AE15" s="847"/>
      <c r="AF15" s="56"/>
      <c r="AG15" s="56"/>
      <c r="AH15" s="80"/>
      <c r="AW15" s="1" t="s">
        <v>516</v>
      </c>
      <c r="AY15" s="1" t="e">
        <f>IF(AND($D$2,$D$6,$D$8,AX21,AX22),MIN(P4+P6,S4+S6),NA())</f>
        <v>#N/A</v>
      </c>
      <c r="AZ15" s="70" t="e">
        <f>IF(AND($D$2,$D$6,$D$8,AX21,AX22),MIN(P4+P6,S4+S6),NA())</f>
        <v>#N/A</v>
      </c>
    </row>
    <row r="16" spans="1:52" ht="11.25" customHeight="1" x14ac:dyDescent="0.2">
      <c r="A16" s="782" t="s">
        <v>1056</v>
      </c>
      <c r="B16" s="227" t="b">
        <f>(B8=A8)</f>
        <v>1</v>
      </c>
      <c r="C16" s="227" t="s">
        <v>1057</v>
      </c>
      <c r="D16" s="784" t="b">
        <f>IF(AND(dispdst,B16,D2,AX21,AX22,AD6&lt;&gt;""),IF(ABS(AD6)&lt;=10,TRUE, FALSE),FALSE)</f>
        <v>0</v>
      </c>
      <c r="F16" s="180">
        <v>5</v>
      </c>
      <c r="G16" s="100" t="s">
        <v>517</v>
      </c>
      <c r="H16" s="82"/>
      <c r="I16" s="181"/>
      <c r="J16" s="181"/>
      <c r="K16" s="181"/>
      <c r="L16" s="181"/>
      <c r="M16" s="82"/>
      <c r="N16" s="101"/>
      <c r="O16" s="159">
        <v>1</v>
      </c>
      <c r="P16" s="177">
        <f>IF(AND(V58&lt;=$A$2,$D$2),W58,"")</f>
        <v>60.336085144464761</v>
      </c>
      <c r="Q16" s="98" t="s">
        <v>515</v>
      </c>
      <c r="R16" s="178">
        <v>1</v>
      </c>
      <c r="S16" s="177">
        <f>IF(AND(V58&lt;=$A$6,$D$2),X58,"")</f>
        <v>67.271389709708316</v>
      </c>
      <c r="T16" s="1" t="str">
        <f>IF($Q$16="","",$Q$16)</f>
        <v>cm</v>
      </c>
      <c r="V16" s="208">
        <f t="shared" si="1"/>
        <v>3.0400000000000002E-4</v>
      </c>
      <c r="AB16" s="51">
        <f t="shared" si="2"/>
        <v>3.0400000000000002E-4</v>
      </c>
      <c r="AY16" s="1" t="e">
        <f>IF(AND($D$2,$D$6,$D$8,AX21,AX22),MAX(P4-P6,S4-S6),NA())</f>
        <v>#N/A</v>
      </c>
      <c r="AZ16" s="1" t="e">
        <f>IF(AND($D$2,$D$6,$D$8,AX21,AX22),MAX(P4-P6,S4-S6),NA())</f>
        <v>#N/A</v>
      </c>
    </row>
    <row r="17" spans="2:53" ht="11.25" customHeight="1" x14ac:dyDescent="0.2">
      <c r="B17" s="779" t="s">
        <v>1054</v>
      </c>
      <c r="C17" s="779"/>
      <c r="D17" s="779"/>
      <c r="F17" s="84"/>
      <c r="G17" s="84"/>
      <c r="H17" s="84"/>
      <c r="I17" s="84"/>
      <c r="J17" s="182" t="s">
        <v>557</v>
      </c>
      <c r="K17" s="182"/>
      <c r="L17" s="84"/>
      <c r="M17" s="84"/>
      <c r="N17" s="102"/>
      <c r="O17" s="159">
        <v>2</v>
      </c>
      <c r="P17" s="177">
        <f t="shared" ref="P17:P80" si="3">IF(AND(V59&lt;=$A$2,$D$2),W59,"")</f>
        <v>62.852468689082556</v>
      </c>
      <c r="Q17" s="179"/>
      <c r="R17" s="178">
        <v>2</v>
      </c>
      <c r="S17" s="177">
        <f t="shared" ref="S17:S80" si="4">IF(AND(V59&lt;=$A$6,$D$2),X59,"")</f>
        <v>49.148398181842246</v>
      </c>
      <c r="V17" s="208">
        <f t="shared" si="1"/>
        <v>3.0400000000000002E-4</v>
      </c>
      <c r="AB17" s="51">
        <f t="shared" si="2"/>
        <v>3.0400000000000002E-4</v>
      </c>
      <c r="AW17" s="1" t="s">
        <v>556</v>
      </c>
    </row>
    <row r="18" spans="2:53" ht="11.25" customHeight="1" x14ac:dyDescent="0.2">
      <c r="B18" s="777" t="s">
        <v>1047</v>
      </c>
      <c r="C18" s="775">
        <f>1-D18</f>
        <v>0.97499999999999998</v>
      </c>
      <c r="D18" s="776">
        <f>(100-L21)/200</f>
        <v>2.5000000000000001E-2</v>
      </c>
      <c r="F18" s="84"/>
      <c r="G18" s="84"/>
      <c r="H18" s="84"/>
      <c r="I18" s="84"/>
      <c r="J18" s="84"/>
      <c r="K18" s="84"/>
      <c r="L18" s="84"/>
      <c r="M18" s="84"/>
      <c r="N18" s="102"/>
      <c r="O18" s="159">
        <v>3</v>
      </c>
      <c r="P18" s="177">
        <f t="shared" si="3"/>
        <v>26.599425783735004</v>
      </c>
      <c r="Q18" s="179"/>
      <c r="R18" s="178">
        <v>3</v>
      </c>
      <c r="S18" s="177">
        <f t="shared" si="4"/>
        <v>97.85505729712051</v>
      </c>
      <c r="V18" s="208">
        <f t="shared" si="1"/>
        <v>3.0400000000000002E-4</v>
      </c>
      <c r="AB18" s="51">
        <f t="shared" si="2"/>
        <v>3.0400000000000002E-4</v>
      </c>
      <c r="AW18" s="1">
        <v>1.05</v>
      </c>
      <c r="AX18" s="1" t="e">
        <f>IF(AND($D$5,$D$2,AX21,AX22),$P$4,NA())</f>
        <v>#N/A</v>
      </c>
      <c r="AY18" s="1">
        <v>1.4</v>
      </c>
      <c r="AZ18" s="1" t="e">
        <f>IF(AND($D$5,$D$2,AX21,AX22),$S$4,NA())</f>
        <v>#N/A</v>
      </c>
    </row>
    <row r="19" spans="2:53" ht="11.25" customHeight="1" x14ac:dyDescent="0.2">
      <c r="B19" s="777" t="s">
        <v>1048</v>
      </c>
      <c r="C19" s="775">
        <f>100000*(C18-C22)</f>
        <v>7518.1638665060891</v>
      </c>
      <c r="D19" s="776">
        <f>100000*(D18-D22)</f>
        <v>2124.0820791548963</v>
      </c>
      <c r="F19" s="183"/>
      <c r="G19" s="87" t="s">
        <v>1107</v>
      </c>
      <c r="H19" s="87"/>
      <c r="I19" s="87"/>
      <c r="J19" s="87"/>
      <c r="K19" s="87"/>
      <c r="L19" s="87"/>
      <c r="M19" s="87"/>
      <c r="N19" s="103"/>
      <c r="O19" s="159">
        <v>4</v>
      </c>
      <c r="P19" s="177">
        <f t="shared" si="3"/>
        <v>45.194099599249043</v>
      </c>
      <c r="Q19" s="179"/>
      <c r="R19" s="178">
        <v>4</v>
      </c>
      <c r="S19" s="177">
        <f t="shared" si="4"/>
        <v>102.2150149780897</v>
      </c>
      <c r="V19" s="208">
        <f t="shared" si="1"/>
        <v>3.0400000000000002E-4</v>
      </c>
      <c r="AB19" s="51">
        <f t="shared" si="2"/>
        <v>3.0400000000000002E-4</v>
      </c>
      <c r="AW19" s="1">
        <v>1.6</v>
      </c>
      <c r="AX19" s="1" t="e">
        <f>IF(AND($D$5,$D$2,AX21,AX22),$P$4,NA())</f>
        <v>#N/A</v>
      </c>
      <c r="AY19" s="1">
        <v>1.95</v>
      </c>
      <c r="AZ19" s="1" t="e">
        <f>IF(AND($D$5,$D$2,AX21,AX22),$S$4,NA())</f>
        <v>#N/A</v>
      </c>
    </row>
    <row r="20" spans="2:53" ht="11.25" customHeight="1" x14ac:dyDescent="0.2">
      <c r="B20" s="366" t="s">
        <v>666</v>
      </c>
      <c r="C20" s="142">
        <f>I11+L11-2</f>
        <v>58</v>
      </c>
      <c r="F20" s="184">
        <v>6</v>
      </c>
      <c r="G20" s="104" t="s">
        <v>520</v>
      </c>
      <c r="H20" s="105"/>
      <c r="I20" s="105"/>
      <c r="J20" s="15"/>
      <c r="K20" s="15"/>
      <c r="L20" s="105"/>
      <c r="M20" s="15"/>
      <c r="N20" s="16"/>
      <c r="O20" s="159">
        <v>5</v>
      </c>
      <c r="P20" s="177">
        <f t="shared" si="3"/>
        <v>79.281274921441891</v>
      </c>
      <c r="Q20" s="179"/>
      <c r="R20" s="178">
        <v>5</v>
      </c>
      <c r="S20" s="177">
        <f t="shared" si="4"/>
        <v>64.411092049856094</v>
      </c>
      <c r="V20" s="208">
        <f t="shared" si="1"/>
        <v>3.0400000000000002E-4</v>
      </c>
      <c r="AB20" s="51">
        <f t="shared" si="2"/>
        <v>3.0400000000000002E-4</v>
      </c>
    </row>
    <row r="21" spans="2:53" ht="11.25" customHeight="1" x14ac:dyDescent="0.2">
      <c r="B21" s="366" t="s">
        <v>1049</v>
      </c>
      <c r="C21" s="780">
        <v>-0.19920923069838214</v>
      </c>
      <c r="D21" s="781">
        <v>3.7745643875992307</v>
      </c>
      <c r="F21" s="17"/>
      <c r="G21" s="17"/>
      <c r="H21" s="17"/>
      <c r="I21" s="17"/>
      <c r="J21" s="17"/>
      <c r="K21" s="48" t="s">
        <v>481</v>
      </c>
      <c r="L21" s="47">
        <v>95</v>
      </c>
      <c r="M21" s="17"/>
      <c r="N21" s="18"/>
      <c r="O21" s="159">
        <v>6</v>
      </c>
      <c r="P21" s="177">
        <f t="shared" si="3"/>
        <v>92.19531785254415</v>
      </c>
      <c r="Q21" s="179"/>
      <c r="R21" s="178">
        <v>6</v>
      </c>
      <c r="S21" s="177">
        <f t="shared" si="4"/>
        <v>49.007817357561358</v>
      </c>
      <c r="V21" s="208">
        <f t="shared" si="1"/>
        <v>3.0400000000000002E-4</v>
      </c>
      <c r="AB21" s="51">
        <f t="shared" si="2"/>
        <v>3.0400000000000002E-4</v>
      </c>
      <c r="AW21" s="3" t="s">
        <v>518</v>
      </c>
      <c r="AX21" s="10" t="b">
        <v>1</v>
      </c>
    </row>
    <row r="22" spans="2:53" ht="11.25" customHeight="1" x14ac:dyDescent="0.2">
      <c r="B22" s="366" t="s">
        <v>1050</v>
      </c>
      <c r="C22" s="89">
        <f>nct(Q11,C21,C20)</f>
        <v>0.89981836133493909</v>
      </c>
      <c r="D22" s="142">
        <f>nct(Q11,D21,C20)</f>
        <v>3.7591792084510386E-3</v>
      </c>
      <c r="F22" s="17"/>
      <c r="G22" s="17"/>
      <c r="H22" s="17"/>
      <c r="I22" s="17"/>
      <c r="J22" s="17"/>
      <c r="K22" s="17"/>
      <c r="L22" s="17"/>
      <c r="M22" s="17"/>
      <c r="N22" s="18"/>
      <c r="O22" s="159">
        <v>7</v>
      </c>
      <c r="P22" s="177">
        <f t="shared" si="3"/>
        <v>43.338121242713328</v>
      </c>
      <c r="Q22" s="179"/>
      <c r="R22" s="178">
        <v>7</v>
      </c>
      <c r="S22" s="177">
        <f t="shared" si="4"/>
        <v>86.78666326581498</v>
      </c>
      <c r="V22" s="208">
        <f t="shared" si="1"/>
        <v>3.0400000000000002E-4</v>
      </c>
      <c r="AB22" s="51">
        <f t="shared" si="2"/>
        <v>3.0400000000000002E-4</v>
      </c>
      <c r="AW22" s="3" t="s">
        <v>519</v>
      </c>
      <c r="AX22" s="10" t="b">
        <v>1</v>
      </c>
    </row>
    <row r="23" spans="2:53" ht="11.25" customHeight="1" x14ac:dyDescent="0.2">
      <c r="B23" s="287" t="s">
        <v>1051</v>
      </c>
      <c r="C23" s="346">
        <f>Q9-TINV(1-L21/100,C20)*AX2*SQRT(1/I11+1/L11)</f>
        <v>-5.2504490586850245</v>
      </c>
      <c r="D23" s="778">
        <f>Q9+TINV(1-L21/100,C20)*AX2*SQRT(1/I11+1/L11)</f>
        <v>17.869151865108595</v>
      </c>
      <c r="F23" s="56"/>
      <c r="G23" s="56"/>
      <c r="H23" s="56"/>
      <c r="I23" s="56" t="s">
        <v>1109</v>
      </c>
      <c r="J23" s="56"/>
      <c r="K23" s="56"/>
      <c r="L23" s="106"/>
      <c r="M23" s="56"/>
      <c r="N23" s="80"/>
      <c r="O23" s="159">
        <v>8</v>
      </c>
      <c r="P23" s="177">
        <f t="shared" si="3"/>
        <v>64.914840472358847</v>
      </c>
      <c r="Q23" s="179"/>
      <c r="R23" s="178">
        <v>8</v>
      </c>
      <c r="S23" s="177">
        <f t="shared" si="4"/>
        <v>47.324295140117876</v>
      </c>
      <c r="V23" s="208">
        <f t="shared" si="1"/>
        <v>3.0400000000000002E-4</v>
      </c>
      <c r="AB23" s="51">
        <f t="shared" si="2"/>
        <v>3.0400000000000002E-4</v>
      </c>
    </row>
    <row r="24" spans="2:53" ht="11.25" customHeight="1" x14ac:dyDescent="0.2">
      <c r="B24" s="293" t="s">
        <v>1053</v>
      </c>
      <c r="C24" s="137">
        <f>C23/AX2</f>
        <v>-0.24898863585915409</v>
      </c>
      <c r="D24" s="264">
        <f>D23/AX2</f>
        <v>0.84739718395968111</v>
      </c>
      <c r="F24" s="185">
        <v>7</v>
      </c>
      <c r="G24" s="186" t="s">
        <v>559</v>
      </c>
      <c r="H24" s="187"/>
      <c r="I24" s="187"/>
      <c r="J24" s="187"/>
      <c r="K24" s="187"/>
      <c r="L24" s="187"/>
      <c r="M24" s="187"/>
      <c r="N24" s="188"/>
      <c r="O24" s="159">
        <v>9</v>
      </c>
      <c r="P24" s="177">
        <f t="shared" si="3"/>
        <v>37.986148661769789</v>
      </c>
      <c r="Q24" s="179"/>
      <c r="R24" s="178">
        <v>9</v>
      </c>
      <c r="S24" s="177">
        <f t="shared" si="4"/>
        <v>74.065128109013031</v>
      </c>
      <c r="V24" s="208">
        <f t="shared" si="1"/>
        <v>3.0400000000000002E-4</v>
      </c>
      <c r="AB24" s="51">
        <f t="shared" si="2"/>
        <v>3.0400000000000002E-4</v>
      </c>
      <c r="AP24" s="859" t="s">
        <v>1092</v>
      </c>
      <c r="AQ24" s="862" t="s">
        <v>487</v>
      </c>
      <c r="AX24" s="1" t="s">
        <v>558</v>
      </c>
      <c r="AY24" s="1">
        <f>$AY$10-AX26</f>
        <v>0.62999999999999989</v>
      </c>
      <c r="AZ24" s="1" t="e">
        <f>AZ10+AX25*B4</f>
        <v>#N/A</v>
      </c>
    </row>
    <row r="25" spans="2:53" ht="11.25" customHeight="1" x14ac:dyDescent="0.2">
      <c r="B25" s="295" t="s">
        <v>1052</v>
      </c>
      <c r="C25" s="52">
        <f>C24/SQRT(1/I11+1/L11)</f>
        <v>-0.90917794948332253</v>
      </c>
      <c r="D25" s="148">
        <f>D24/SQRT(1/I11+1/L11)</f>
        <v>3.0942570188071481</v>
      </c>
      <c r="F25" s="189"/>
      <c r="G25" s="190"/>
      <c r="H25" s="190"/>
      <c r="I25" s="190"/>
      <c r="J25" s="190"/>
      <c r="K25" s="190"/>
      <c r="L25" s="190"/>
      <c r="M25" s="190"/>
      <c r="N25" s="191"/>
      <c r="O25" s="159">
        <v>10</v>
      </c>
      <c r="P25" s="177">
        <f t="shared" si="3"/>
        <v>41.295178631063813</v>
      </c>
      <c r="Q25" s="179"/>
      <c r="R25" s="178">
        <v>10</v>
      </c>
      <c r="S25" s="177">
        <f t="shared" si="4"/>
        <v>44.841782418763422</v>
      </c>
      <c r="V25" s="208">
        <f t="shared" si="1"/>
        <v>3.0400000000000002E-4</v>
      </c>
      <c r="AB25" s="51">
        <f t="shared" si="2"/>
        <v>3.0400000000000002E-4</v>
      </c>
      <c r="AP25" s="65"/>
      <c r="AQ25" s="860"/>
      <c r="AX25" s="1">
        <v>0.6</v>
      </c>
      <c r="AY25" s="1">
        <f>$AY$11+AX26</f>
        <v>2.3699999999999997</v>
      </c>
      <c r="AZ25" s="1" t="e">
        <f>AZ11+AX25*B4</f>
        <v>#N/A</v>
      </c>
    </row>
    <row r="26" spans="2:53" ht="11.25" customHeight="1" x14ac:dyDescent="0.2">
      <c r="F26" s="189"/>
      <c r="G26" s="192"/>
      <c r="H26" s="190"/>
      <c r="I26" s="190"/>
      <c r="J26" s="190"/>
      <c r="K26" s="190"/>
      <c r="L26" s="190"/>
      <c r="M26" s="190"/>
      <c r="N26" s="191"/>
      <c r="O26" s="159">
        <v>11</v>
      </c>
      <c r="P26" s="177">
        <f t="shared" si="3"/>
        <v>56.794930718098257</v>
      </c>
      <c r="Q26" s="179"/>
      <c r="R26" s="178">
        <v>11</v>
      </c>
      <c r="S26" s="177">
        <f t="shared" si="4"/>
        <v>71.48682868691111</v>
      </c>
      <c r="V26" s="208">
        <f t="shared" si="1"/>
        <v>3.0400000000000002E-4</v>
      </c>
      <c r="AB26" s="51">
        <f t="shared" si="2"/>
        <v>3.0400000000000002E-4</v>
      </c>
      <c r="AP26" s="65"/>
      <c r="AQ26" s="861" t="s">
        <v>1093</v>
      </c>
      <c r="AX26" s="1">
        <v>7.0000000000000007E-2</v>
      </c>
    </row>
    <row r="27" spans="2:53" ht="11.25" customHeight="1" x14ac:dyDescent="0.3">
      <c r="F27" s="189"/>
      <c r="G27" s="201" t="s">
        <v>497</v>
      </c>
      <c r="H27" s="741" t="s">
        <v>738</v>
      </c>
      <c r="I27" s="199">
        <f>IF(B15,B5,"")</f>
        <v>57</v>
      </c>
      <c r="J27" s="194"/>
      <c r="K27" s="741" t="s">
        <v>739</v>
      </c>
      <c r="L27" s="199">
        <f>IF(B15,B3,"")</f>
        <v>67</v>
      </c>
      <c r="M27" s="195"/>
      <c r="N27" s="196"/>
      <c r="O27" s="159">
        <v>12</v>
      </c>
      <c r="P27" s="177">
        <f t="shared" si="3"/>
        <v>57.103322722601298</v>
      </c>
      <c r="Q27" s="179"/>
      <c r="R27" s="178">
        <v>12</v>
      </c>
      <c r="S27" s="177">
        <f t="shared" si="4"/>
        <v>62.261575271860245</v>
      </c>
      <c r="V27" s="208">
        <f t="shared" si="1"/>
        <v>3.0400000000000002E-4</v>
      </c>
      <c r="AB27" s="51">
        <f t="shared" si="2"/>
        <v>3.0400000000000002E-4</v>
      </c>
      <c r="AP27" s="67"/>
      <c r="AQ27" s="134"/>
      <c r="AX27" s="3" t="s">
        <v>1042</v>
      </c>
      <c r="AY27" s="1">
        <f>$AY$10-AX29</f>
        <v>0.6</v>
      </c>
      <c r="AZ27" s="1" t="e">
        <f>AZ10</f>
        <v>#N/A</v>
      </c>
    </row>
    <row r="28" spans="2:53" ht="11.25" customHeight="1" x14ac:dyDescent="0.2">
      <c r="F28" s="189"/>
      <c r="G28" s="190"/>
      <c r="H28" s="190"/>
      <c r="I28" s="190"/>
      <c r="J28" s="190"/>
      <c r="K28" s="190"/>
      <c r="L28" s="197"/>
      <c r="M28" s="190"/>
      <c r="N28" s="191"/>
      <c r="O28" s="159">
        <v>13</v>
      </c>
      <c r="P28" s="177">
        <f t="shared" si="3"/>
        <v>50.376309578709034</v>
      </c>
      <c r="Q28" s="179"/>
      <c r="R28" s="178">
        <v>13</v>
      </c>
      <c r="S28" s="177">
        <f t="shared" si="4"/>
        <v>58.005495389813916</v>
      </c>
      <c r="V28" s="208">
        <f t="shared" si="1"/>
        <v>3.0400000000000002E-4</v>
      </c>
      <c r="AB28" s="51">
        <f t="shared" si="2"/>
        <v>3.0400000000000002E-4</v>
      </c>
      <c r="AY28" s="1">
        <f>$AY$11+AX29</f>
        <v>2.4</v>
      </c>
      <c r="AZ28" s="1" t="e">
        <f>AZ11</f>
        <v>#N/A</v>
      </c>
    </row>
    <row r="29" spans="2:53" ht="11.25" customHeight="1" x14ac:dyDescent="0.2">
      <c r="F29" s="189"/>
      <c r="G29" s="190"/>
      <c r="H29" s="190"/>
      <c r="I29" s="198" t="s">
        <v>741</v>
      </c>
      <c r="J29" s="199">
        <f>IF($B$15,B4,"")</f>
        <v>25</v>
      </c>
      <c r="K29" s="200"/>
      <c r="L29" s="190"/>
      <c r="M29" s="201" t="s">
        <v>560</v>
      </c>
      <c r="N29" s="191"/>
      <c r="O29" s="159">
        <v>14</v>
      </c>
      <c r="P29" s="177">
        <f t="shared" si="3"/>
        <v>37.728553917289361</v>
      </c>
      <c r="Q29" s="179"/>
      <c r="R29" s="178">
        <v>14</v>
      </c>
      <c r="S29" s="177">
        <f t="shared" si="4"/>
        <v>52.998742281617581</v>
      </c>
      <c r="V29" s="208">
        <f t="shared" si="1"/>
        <v>3.0400000000000002E-4</v>
      </c>
      <c r="AB29" s="51">
        <f t="shared" si="2"/>
        <v>3.0400000000000002E-4</v>
      </c>
      <c r="AX29" s="1">
        <v>0.1</v>
      </c>
    </row>
    <row r="30" spans="2:53" ht="11.25" customHeight="1" x14ac:dyDescent="0.2">
      <c r="F30" s="189"/>
      <c r="G30" s="190"/>
      <c r="H30" s="190"/>
      <c r="I30" s="190"/>
      <c r="J30" s="190"/>
      <c r="K30" s="200"/>
      <c r="L30" s="362" t="s">
        <v>740</v>
      </c>
      <c r="M30" s="856">
        <f>IF($B$15,(L27-I27)/J29,"")</f>
        <v>0.4</v>
      </c>
      <c r="N30" s="202"/>
      <c r="O30" s="159">
        <v>15</v>
      </c>
      <c r="P30" s="177">
        <f t="shared" si="3"/>
        <v>82.991224941317682</v>
      </c>
      <c r="Q30" s="179"/>
      <c r="R30" s="178">
        <v>15</v>
      </c>
      <c r="S30" s="177">
        <f t="shared" si="4"/>
        <v>57.735653068868082</v>
      </c>
      <c r="V30" s="208">
        <f t="shared" si="1"/>
        <v>3.0400000000000002E-4</v>
      </c>
      <c r="AB30" s="51">
        <f t="shared" si="2"/>
        <v>3.0400000000000002E-4</v>
      </c>
    </row>
    <row r="31" spans="2:53" ht="11.25" customHeight="1" x14ac:dyDescent="0.2">
      <c r="F31" s="204"/>
      <c r="G31" s="205" t="s">
        <v>561</v>
      </c>
      <c r="H31" s="205"/>
      <c r="I31" s="205"/>
      <c r="J31" s="205"/>
      <c r="K31" s="205"/>
      <c r="L31" s="863"/>
      <c r="M31" s="864"/>
      <c r="N31" s="865"/>
      <c r="O31" s="159">
        <v>16</v>
      </c>
      <c r="P31" s="177">
        <f t="shared" si="3"/>
        <v>13.133287556552631</v>
      </c>
      <c r="Q31" s="179"/>
      <c r="R31" s="178">
        <v>16</v>
      </c>
      <c r="S31" s="177">
        <f t="shared" si="4"/>
        <v>56.019633981043611</v>
      </c>
      <c r="V31" s="208">
        <f t="shared" si="1"/>
        <v>3.0400000000000002E-4</v>
      </c>
      <c r="AB31" s="51">
        <f t="shared" si="2"/>
        <v>3.0400000000000002E-4</v>
      </c>
      <c r="AW31" s="873" t="s">
        <v>1106</v>
      </c>
      <c r="AX31" s="63"/>
      <c r="AY31" s="871" t="b">
        <v>0</v>
      </c>
      <c r="AZ31" s="141" t="s">
        <v>1094</v>
      </c>
      <c r="BA31" s="288"/>
    </row>
    <row r="32" spans="2:53" ht="11.25" customHeight="1" x14ac:dyDescent="0.2">
      <c r="F32" s="303">
        <v>13</v>
      </c>
      <c r="G32" s="402" t="s">
        <v>487</v>
      </c>
      <c r="H32" s="63"/>
      <c r="I32" s="63"/>
      <c r="J32" s="63"/>
      <c r="K32" s="63"/>
      <c r="L32" s="63"/>
      <c r="M32" s="868"/>
      <c r="N32" s="129"/>
      <c r="O32" s="159">
        <v>17</v>
      </c>
      <c r="P32" s="177">
        <f t="shared" si="3"/>
        <v>66.826782580544233</v>
      </c>
      <c r="Q32" s="179"/>
      <c r="R32" s="178">
        <v>17</v>
      </c>
      <c r="S32" s="177">
        <f t="shared" si="4"/>
        <v>59.416785028405066</v>
      </c>
      <c r="V32" s="208">
        <f t="shared" si="1"/>
        <v>3.0400000000000002E-4</v>
      </c>
      <c r="AB32" s="51">
        <f t="shared" si="2"/>
        <v>3.0400000000000002E-4</v>
      </c>
      <c r="AW32" s="293" t="s">
        <v>1103</v>
      </c>
      <c r="AX32" s="137">
        <f>SQRT(1/I11+1/L11)</f>
        <v>0.27386127875258309</v>
      </c>
      <c r="AY32" s="137"/>
      <c r="AZ32" s="207"/>
      <c r="BA32" s="872" t="s">
        <v>1099</v>
      </c>
    </row>
    <row r="33" spans="6:53" ht="11.25" customHeight="1" x14ac:dyDescent="0.2">
      <c r="F33" s="65"/>
      <c r="G33" s="716" t="s">
        <v>1102</v>
      </c>
      <c r="H33" s="869" t="s">
        <v>1095</v>
      </c>
      <c r="I33" s="870">
        <f>1-L21/100</f>
        <v>5.0000000000000044E-2</v>
      </c>
      <c r="J33" s="66"/>
      <c r="K33" s="66"/>
      <c r="L33" s="236"/>
      <c r="M33" s="866" t="s">
        <v>487</v>
      </c>
      <c r="N33" s="130"/>
      <c r="O33" s="740">
        <v>18</v>
      </c>
      <c r="P33" s="177">
        <f t="shared" si="3"/>
        <v>50.338771898835965</v>
      </c>
      <c r="Q33" s="179"/>
      <c r="R33" s="742">
        <v>18</v>
      </c>
      <c r="S33" s="177">
        <f t="shared" si="4"/>
        <v>47.52670814838482</v>
      </c>
      <c r="V33" s="208">
        <f t="shared" si="1"/>
        <v>3.0400000000000002E-4</v>
      </c>
      <c r="AB33" s="51">
        <f t="shared" si="2"/>
        <v>3.0400000000000002E-4</v>
      </c>
      <c r="AW33" s="293" t="s">
        <v>1098</v>
      </c>
      <c r="AX33" s="137">
        <f>M30/AX32</f>
        <v>1.4605934866804429</v>
      </c>
      <c r="AY33" s="137"/>
      <c r="AZ33" s="207"/>
      <c r="BA33" s="264" t="e">
        <f>AD14/AX32</f>
        <v>#VALUE!</v>
      </c>
    </row>
    <row r="34" spans="6:53" ht="11.25" customHeight="1" x14ac:dyDescent="0.2">
      <c r="F34" s="65"/>
      <c r="G34" s="66"/>
      <c r="H34" s="66"/>
      <c r="I34" s="66"/>
      <c r="J34" s="66"/>
      <c r="K34" s="66"/>
      <c r="L34" s="716" t="s">
        <v>1100</v>
      </c>
      <c r="M34" s="874">
        <f>IF(B15,AX35+AX36,"")</f>
        <v>0.30907166411999215</v>
      </c>
      <c r="N34" s="130"/>
      <c r="O34" s="159">
        <v>19</v>
      </c>
      <c r="P34" s="177">
        <f t="shared" si="3"/>
        <v>79.625934875086713</v>
      </c>
      <c r="Q34" s="179"/>
      <c r="R34" s="178">
        <v>19</v>
      </c>
      <c r="S34" s="177">
        <f t="shared" si="4"/>
        <v>77.087554458160866</v>
      </c>
      <c r="V34" s="208">
        <f t="shared" si="1"/>
        <v>3.0400000000000002E-4</v>
      </c>
      <c r="AB34" s="51">
        <f t="shared" si="2"/>
        <v>3.0400000000000002E-4</v>
      </c>
      <c r="AW34" s="293" t="s">
        <v>1097</v>
      </c>
      <c r="AX34" s="137">
        <f>NORMSINV(1-I33/2)</f>
        <v>1.9599639845400536</v>
      </c>
      <c r="AY34" s="207" t="s">
        <v>1096</v>
      </c>
      <c r="AZ34" s="207">
        <f>TINV(I33,T12)</f>
        <v>2.0017174841452352</v>
      </c>
      <c r="BA34" s="264"/>
    </row>
    <row r="35" spans="6:53" ht="11.25" customHeight="1" x14ac:dyDescent="0.2">
      <c r="F35" s="65"/>
      <c r="G35" s="66"/>
      <c r="H35" s="66"/>
      <c r="I35" s="66"/>
      <c r="J35" s="66"/>
      <c r="K35" s="66"/>
      <c r="L35" s="716" t="s">
        <v>1101</v>
      </c>
      <c r="M35" s="875" t="str">
        <f>IF(AND(B15,AD6&lt;&gt;""),AZ35+AZ36,"")</f>
        <v/>
      </c>
      <c r="N35" s="130"/>
      <c r="O35" s="159">
        <v>20</v>
      </c>
      <c r="P35" s="177">
        <f t="shared" si="3"/>
        <v>73.204276951866802</v>
      </c>
      <c r="Q35" s="179"/>
      <c r="R35" s="178">
        <v>20</v>
      </c>
      <c r="S35" s="177">
        <f t="shared" si="4"/>
        <v>58.99470555016638</v>
      </c>
      <c r="V35" s="208">
        <f t="shared" si="1"/>
        <v>3.0400000000000002E-4</v>
      </c>
      <c r="AB35" s="51">
        <f t="shared" si="2"/>
        <v>3.0400000000000002E-4</v>
      </c>
      <c r="AW35" s="293" t="s">
        <v>1104</v>
      </c>
      <c r="AX35" s="137">
        <f>1-NORMSDIST(AX34-AX33)</f>
        <v>0.30875919947025166</v>
      </c>
      <c r="AY35" s="137"/>
      <c r="AZ35" s="207">
        <f>1-nct(AZ34,AX33,T12)</f>
        <v>0.30030670938515913</v>
      </c>
      <c r="BA35" s="264" t="e">
        <f>1-nct(AZ34,BA33,T12)</f>
        <v>#VALUE!</v>
      </c>
    </row>
    <row r="36" spans="6:53" ht="11.25" customHeight="1" x14ac:dyDescent="0.2">
      <c r="F36" s="65"/>
      <c r="G36" s="66" t="s">
        <v>1121</v>
      </c>
      <c r="H36" s="66"/>
      <c r="I36" s="66"/>
      <c r="J36" s="66"/>
      <c r="K36" s="66"/>
      <c r="L36" s="236"/>
      <c r="M36" s="236"/>
      <c r="N36" s="130"/>
      <c r="O36" s="159">
        <v>21</v>
      </c>
      <c r="P36" s="177">
        <f t="shared" si="3"/>
        <v>26.442546827612606</v>
      </c>
      <c r="Q36" s="179"/>
      <c r="R36" s="178">
        <v>21</v>
      </c>
      <c r="S36" s="177" t="str">
        <f t="shared" si="4"/>
        <v/>
      </c>
      <c r="V36" s="208">
        <f t="shared" si="1"/>
        <v>3.0400000000000002E-4</v>
      </c>
      <c r="Y36" s="3"/>
      <c r="Z36" s="107"/>
      <c r="AB36" s="51">
        <f t="shared" si="2"/>
        <v>3.0400000000000002E-4</v>
      </c>
      <c r="AW36" s="295" t="s">
        <v>1105</v>
      </c>
      <c r="AX36" s="52">
        <f>NORMSDIST(-AX34-AX33)</f>
        <v>3.1246464974046839E-4</v>
      </c>
      <c r="AY36" s="52"/>
      <c r="AZ36" s="211">
        <f>nct(-AZ34,AX33,T12)</f>
        <v>3.4089287781200345E-4</v>
      </c>
      <c r="BA36" s="148" t="e">
        <f>nct(-AZ34,BA33,T12)</f>
        <v>#VALUE!</v>
      </c>
    </row>
    <row r="37" spans="6:53" ht="11.25" customHeight="1" x14ac:dyDescent="0.2">
      <c r="F37" s="65"/>
      <c r="G37" s="66"/>
      <c r="H37" s="66"/>
      <c r="I37" s="66"/>
      <c r="J37" s="66"/>
      <c r="K37" s="231"/>
      <c r="L37" s="867" t="str">
        <f>IF(AY37,"Post hoc power. Don't use! ","")</f>
        <v/>
      </c>
      <c r="M37" s="876" t="str">
        <f>IF(AND(AY37,B15,AD6&lt;&gt;""),BA35+BA36,"")</f>
        <v/>
      </c>
      <c r="N37" s="130"/>
      <c r="O37" s="159">
        <v>22</v>
      </c>
      <c r="P37" s="177">
        <f t="shared" si="3"/>
        <v>106.92335566754775</v>
      </c>
      <c r="Q37" s="179"/>
      <c r="R37" s="178">
        <v>22</v>
      </c>
      <c r="S37" s="177" t="str">
        <f t="shared" si="4"/>
        <v/>
      </c>
      <c r="V37" s="208">
        <f t="shared" si="1"/>
        <v>3.0400000000000002E-4</v>
      </c>
      <c r="Y37" s="3"/>
      <c r="AB37" s="51">
        <f t="shared" si="2"/>
        <v>3.0400000000000002E-4</v>
      </c>
      <c r="AX37" s="3" t="s">
        <v>1122</v>
      </c>
      <c r="AY37" s="10" t="b">
        <v>0</v>
      </c>
    </row>
    <row r="38" spans="6:53" ht="11.25" customHeight="1" x14ac:dyDescent="0.2">
      <c r="F38" s="67"/>
      <c r="G38" s="68"/>
      <c r="H38" s="68"/>
      <c r="I38" s="68"/>
      <c r="J38" s="68"/>
      <c r="K38" s="68"/>
      <c r="L38" s="68"/>
      <c r="M38" s="68"/>
      <c r="N38" s="134"/>
      <c r="O38" s="159">
        <v>23</v>
      </c>
      <c r="P38" s="177">
        <f t="shared" si="3"/>
        <v>18.046081239739145</v>
      </c>
      <c r="Q38" s="179"/>
      <c r="R38" s="178">
        <v>23</v>
      </c>
      <c r="S38" s="177" t="str">
        <f t="shared" si="4"/>
        <v/>
      </c>
      <c r="Y38" s="3"/>
    </row>
    <row r="39" spans="6:53" ht="11.25" customHeight="1" x14ac:dyDescent="0.2">
      <c r="J39" s="108"/>
      <c r="K39" s="108"/>
      <c r="O39" s="159">
        <v>24</v>
      </c>
      <c r="P39" s="177">
        <f t="shared" si="3"/>
        <v>39.951412206073044</v>
      </c>
      <c r="Q39" s="179"/>
      <c r="R39" s="178">
        <v>24</v>
      </c>
      <c r="S39" s="177" t="str">
        <f t="shared" si="4"/>
        <v/>
      </c>
    </row>
    <row r="40" spans="6:53" ht="11.25" customHeight="1" x14ac:dyDescent="0.2">
      <c r="J40" s="108"/>
      <c r="K40" s="108"/>
      <c r="O40" s="159">
        <v>25</v>
      </c>
      <c r="P40" s="177">
        <f t="shared" si="3"/>
        <v>61.498218481545344</v>
      </c>
      <c r="Q40" s="179"/>
      <c r="R40" s="178">
        <v>25</v>
      </c>
      <c r="S40" s="177" t="str">
        <f t="shared" si="4"/>
        <v/>
      </c>
    </row>
    <row r="41" spans="6:53" ht="11.25" customHeight="1" x14ac:dyDescent="0.2">
      <c r="J41" s="108"/>
      <c r="K41" s="108"/>
      <c r="O41" s="159">
        <v>26</v>
      </c>
      <c r="P41" s="177">
        <f t="shared" si="3"/>
        <v>84.522216142082499</v>
      </c>
      <c r="Q41" s="179"/>
      <c r="R41" s="178">
        <v>26</v>
      </c>
      <c r="S41" s="177" t="str">
        <f t="shared" si="4"/>
        <v/>
      </c>
    </row>
    <row r="42" spans="6:53" ht="11.25" customHeight="1" x14ac:dyDescent="0.2">
      <c r="J42" s="108"/>
      <c r="K42" s="108"/>
      <c r="O42" s="159">
        <v>27</v>
      </c>
      <c r="P42" s="177">
        <f t="shared" si="3"/>
        <v>64.454428093342941</v>
      </c>
      <c r="Q42" s="179"/>
      <c r="R42" s="178">
        <v>27</v>
      </c>
      <c r="S42" s="177" t="str">
        <f t="shared" si="4"/>
        <v/>
      </c>
    </row>
    <row r="43" spans="6:53" ht="11.25" customHeight="1" x14ac:dyDescent="0.2">
      <c r="J43" s="108"/>
      <c r="K43" s="108"/>
      <c r="O43" s="159">
        <v>28</v>
      </c>
      <c r="P43" s="177">
        <f t="shared" si="3"/>
        <v>27.659628937874235</v>
      </c>
      <c r="Q43" s="179"/>
      <c r="R43" s="178">
        <v>28</v>
      </c>
      <c r="S43" s="177" t="str">
        <f t="shared" si="4"/>
        <v/>
      </c>
    </row>
    <row r="44" spans="6:53" ht="11.25" customHeight="1" x14ac:dyDescent="0.2">
      <c r="J44" s="108"/>
      <c r="K44" s="108"/>
      <c r="O44" s="159">
        <v>29</v>
      </c>
      <c r="P44" s="177">
        <f t="shared" si="3"/>
        <v>38.573138584655226</v>
      </c>
      <c r="Q44" s="179"/>
      <c r="R44" s="178">
        <v>29</v>
      </c>
      <c r="S44" s="177" t="str">
        <f t="shared" si="4"/>
        <v/>
      </c>
      <c r="Y44" s="3"/>
    </row>
    <row r="45" spans="6:53" ht="11.25" customHeight="1" x14ac:dyDescent="0.2">
      <c r="J45" s="108"/>
      <c r="K45" s="108"/>
      <c r="O45" s="159">
        <v>30</v>
      </c>
      <c r="P45" s="177">
        <f t="shared" si="3"/>
        <v>47.746062939056401</v>
      </c>
      <c r="Q45" s="179"/>
      <c r="R45" s="178">
        <v>30</v>
      </c>
      <c r="S45" s="177" t="str">
        <f t="shared" si="4"/>
        <v/>
      </c>
      <c r="Y45" s="3"/>
    </row>
    <row r="46" spans="6:53" ht="11.25" customHeight="1" x14ac:dyDescent="0.2">
      <c r="J46" s="108"/>
      <c r="K46" s="108"/>
      <c r="O46" s="159">
        <v>31</v>
      </c>
      <c r="P46" s="177">
        <f t="shared" si="3"/>
        <v>50.286253906027738</v>
      </c>
      <c r="Q46" s="179"/>
      <c r="R46" s="178">
        <v>31</v>
      </c>
      <c r="S46" s="177" t="str">
        <f t="shared" si="4"/>
        <v/>
      </c>
      <c r="Y46" s="3"/>
    </row>
    <row r="47" spans="6:53" ht="11.25" customHeight="1" x14ac:dyDescent="0.2">
      <c r="J47" s="108"/>
      <c r="K47" s="108"/>
      <c r="O47" s="159">
        <v>32</v>
      </c>
      <c r="P47" s="177">
        <f t="shared" si="3"/>
        <v>69.512851492608192</v>
      </c>
      <c r="Q47" s="179"/>
      <c r="R47" s="178">
        <v>32</v>
      </c>
      <c r="S47" s="177" t="str">
        <f t="shared" si="4"/>
        <v/>
      </c>
      <c r="Y47" s="3"/>
    </row>
    <row r="48" spans="6:53" ht="11.25" customHeight="1" x14ac:dyDescent="0.2">
      <c r="J48" s="108"/>
      <c r="K48" s="108"/>
      <c r="O48" s="159">
        <v>33</v>
      </c>
      <c r="P48" s="177">
        <f t="shared" si="3"/>
        <v>35.729347790247985</v>
      </c>
      <c r="Q48" s="179"/>
      <c r="R48" s="178">
        <v>33</v>
      </c>
      <c r="S48" s="177" t="str">
        <f t="shared" si="4"/>
        <v/>
      </c>
      <c r="Y48" s="3"/>
    </row>
    <row r="49" spans="10:30" ht="11.25" customHeight="1" x14ac:dyDescent="0.2">
      <c r="J49" s="108"/>
      <c r="K49" s="108"/>
      <c r="O49" s="159">
        <v>34</v>
      </c>
      <c r="P49" s="177">
        <f t="shared" si="3"/>
        <v>50.87933650461671</v>
      </c>
      <c r="Q49" s="179"/>
      <c r="R49" s="178">
        <v>34</v>
      </c>
      <c r="S49" s="177" t="str">
        <f t="shared" si="4"/>
        <v/>
      </c>
      <c r="Y49" s="3"/>
    </row>
    <row r="50" spans="10:30" ht="11.25" customHeight="1" x14ac:dyDescent="0.2">
      <c r="J50" s="108"/>
      <c r="K50" s="108"/>
      <c r="O50" s="159">
        <v>35</v>
      </c>
      <c r="P50" s="177">
        <f t="shared" si="3"/>
        <v>100.66722487947268</v>
      </c>
      <c r="Q50" s="179"/>
      <c r="R50" s="178">
        <v>35</v>
      </c>
      <c r="S50" s="177" t="str">
        <f t="shared" si="4"/>
        <v/>
      </c>
      <c r="Y50" s="3"/>
    </row>
    <row r="51" spans="10:30" ht="11.25" customHeight="1" x14ac:dyDescent="0.2">
      <c r="J51" s="108"/>
      <c r="K51" s="108"/>
      <c r="O51" s="159">
        <v>36</v>
      </c>
      <c r="P51" s="177">
        <f t="shared" si="3"/>
        <v>105.5138565033898</v>
      </c>
      <c r="Q51" s="179"/>
      <c r="R51" s="178">
        <v>36</v>
      </c>
      <c r="S51" s="177" t="str">
        <f t="shared" si="4"/>
        <v/>
      </c>
      <c r="Y51" s="3"/>
    </row>
    <row r="52" spans="10:30" ht="11.25" customHeight="1" x14ac:dyDescent="0.2">
      <c r="J52" s="108"/>
      <c r="K52" s="108"/>
      <c r="O52" s="159">
        <v>37</v>
      </c>
      <c r="P52" s="177">
        <f t="shared" si="3"/>
        <v>80.524999813131245</v>
      </c>
      <c r="Q52" s="179"/>
      <c r="R52" s="178">
        <v>37</v>
      </c>
      <c r="S52" s="177" t="str">
        <f t="shared" si="4"/>
        <v/>
      </c>
      <c r="Y52" s="3"/>
    </row>
    <row r="53" spans="10:30" ht="11.25" customHeight="1" x14ac:dyDescent="0.2">
      <c r="J53" s="108"/>
      <c r="K53" s="108"/>
      <c r="O53" s="159">
        <v>38</v>
      </c>
      <c r="P53" s="177">
        <f t="shared" si="3"/>
        <v>52.677130401337429</v>
      </c>
      <c r="Q53" s="179"/>
      <c r="R53" s="178">
        <v>38</v>
      </c>
      <c r="S53" s="177" t="str">
        <f t="shared" si="4"/>
        <v/>
      </c>
      <c r="Y53" s="3"/>
    </row>
    <row r="54" spans="10:30" ht="11.25" customHeight="1" x14ac:dyDescent="0.2">
      <c r="J54" s="108"/>
      <c r="K54" s="108"/>
      <c r="O54" s="159">
        <v>39</v>
      </c>
      <c r="P54" s="177">
        <f t="shared" si="3"/>
        <v>67.42217735256213</v>
      </c>
      <c r="Q54" s="179"/>
      <c r="R54" s="178">
        <v>39</v>
      </c>
      <c r="S54" s="177" t="str">
        <f t="shared" si="4"/>
        <v/>
      </c>
      <c r="Y54" s="3"/>
    </row>
    <row r="55" spans="10:30" ht="11.25" customHeight="1" x14ac:dyDescent="0.2">
      <c r="J55" s="108"/>
      <c r="K55" s="108"/>
      <c r="O55" s="159">
        <v>40</v>
      </c>
      <c r="P55" s="177">
        <f t="shared" si="3"/>
        <v>65.399960115518169</v>
      </c>
      <c r="Q55" s="179"/>
      <c r="R55" s="178">
        <v>40</v>
      </c>
      <c r="S55" s="177" t="str">
        <f t="shared" si="4"/>
        <v/>
      </c>
      <c r="W55" s="1" t="s">
        <v>521</v>
      </c>
      <c r="Y55" s="1" t="s">
        <v>522</v>
      </c>
      <c r="AA55" s="1" t="str">
        <f>IF(AX21,IF(P15="","  ",P15),"  ")</f>
        <v>Test</v>
      </c>
      <c r="AB55" s="19" t="str">
        <f>IF(AX22,IF(S15="","",S15),"")</f>
        <v>Control</v>
      </c>
    </row>
    <row r="56" spans="10:30" ht="11.25" customHeight="1" x14ac:dyDescent="0.2">
      <c r="J56" s="108"/>
      <c r="K56" s="108"/>
      <c r="O56" s="159">
        <v>41</v>
      </c>
      <c r="P56" s="177" t="str">
        <f t="shared" si="3"/>
        <v/>
      </c>
      <c r="Q56" s="179"/>
      <c r="R56" s="178">
        <v>41</v>
      </c>
      <c r="S56" s="177" t="str">
        <f t="shared" si="4"/>
        <v/>
      </c>
      <c r="W56" s="1" t="str">
        <f>"Dependent variable "&amp;IF(Q16="","","("&amp;Q16&amp;")")&amp;"."</f>
        <v>Dependent variable (cm).</v>
      </c>
      <c r="Y56" s="3"/>
    </row>
    <row r="57" spans="10:30" ht="11.25" customHeight="1" x14ac:dyDescent="0.2">
      <c r="J57" s="108"/>
      <c r="K57" s="108"/>
      <c r="O57" s="159">
        <v>42</v>
      </c>
      <c r="P57" s="177" t="str">
        <f t="shared" si="3"/>
        <v/>
      </c>
      <c r="Q57" s="179"/>
      <c r="R57" s="178">
        <v>42</v>
      </c>
      <c r="S57" s="177" t="str">
        <f t="shared" si="4"/>
        <v/>
      </c>
      <c r="V57" s="3" t="s">
        <v>562</v>
      </c>
      <c r="W57" s="3" t="s">
        <v>563</v>
      </c>
      <c r="X57" s="3" t="s">
        <v>564</v>
      </c>
      <c r="Z57" s="3" t="s">
        <v>565</v>
      </c>
      <c r="AB57" s="3" t="s">
        <v>566</v>
      </c>
      <c r="AC57" s="1" t="s">
        <v>567</v>
      </c>
      <c r="AD57" s="1" t="s">
        <v>568</v>
      </c>
    </row>
    <row r="58" spans="10:30" ht="11.25" customHeight="1" x14ac:dyDescent="0.2">
      <c r="J58" s="108"/>
      <c r="K58" s="108"/>
      <c r="O58" s="159">
        <v>43</v>
      </c>
      <c r="P58" s="177" t="str">
        <f t="shared" si="3"/>
        <v/>
      </c>
      <c r="Q58" s="179"/>
      <c r="R58" s="178">
        <v>43</v>
      </c>
      <c r="S58" s="177" t="str">
        <f t="shared" si="4"/>
        <v/>
      </c>
      <c r="V58" s="1">
        <v>1</v>
      </c>
      <c r="W58" s="1">
        <f t="shared" ref="W58:W89" si="5">$A$5+$A$4*NORMSINV(AC58)</f>
        <v>60.336085144464761</v>
      </c>
      <c r="X58" s="1">
        <f t="shared" ref="X58:X89" si="6">$A$3+$A$4*NORMSINV(AD58)</f>
        <v>67.271389709708316</v>
      </c>
      <c r="Y58" s="1">
        <v>0.8</v>
      </c>
      <c r="Z58" s="1" t="e">
        <f t="shared" ref="Z58:Z89" si="7">IF(AND(V58&lt;=$A$2,$D$4,$D$2,$AX$21),W58,NA())</f>
        <v>#N/A</v>
      </c>
      <c r="AA58" s="46">
        <v>2.2000000000000002</v>
      </c>
      <c r="AB58" s="1" t="e">
        <f t="shared" ref="AB58:AB89" si="8">IF(AND(V58&lt;=$A$6,$D$4,$D$2,$AX$22),X58,NA())</f>
        <v>#N/A</v>
      </c>
      <c r="AC58" s="1">
        <f>MOD(AD157*10000013,1)</f>
        <v>0.55307864025235176</v>
      </c>
      <c r="AD58" s="1">
        <f>A7</f>
        <v>0.50433066812950944</v>
      </c>
    </row>
    <row r="59" spans="10:30" ht="11.25" customHeight="1" x14ac:dyDescent="0.2">
      <c r="J59" s="108"/>
      <c r="K59" s="108"/>
      <c r="O59" s="159">
        <v>44</v>
      </c>
      <c r="P59" s="177" t="str">
        <f t="shared" si="3"/>
        <v/>
      </c>
      <c r="Q59" s="179"/>
      <c r="R59" s="178">
        <v>44</v>
      </c>
      <c r="S59" s="177" t="str">
        <f t="shared" si="4"/>
        <v/>
      </c>
      <c r="V59" s="1">
        <v>2</v>
      </c>
      <c r="W59" s="1">
        <f t="shared" si="5"/>
        <v>62.852468689082556</v>
      </c>
      <c r="X59" s="1">
        <f t="shared" si="6"/>
        <v>49.148398181842246</v>
      </c>
      <c r="Y59" s="1">
        <v>0.8</v>
      </c>
      <c r="Z59" s="1" t="e">
        <f t="shared" si="7"/>
        <v>#N/A</v>
      </c>
      <c r="AA59" s="46">
        <v>2.2000000000000002</v>
      </c>
      <c r="AB59" s="1" t="e">
        <f t="shared" si="8"/>
        <v>#N/A</v>
      </c>
      <c r="AC59" s="1">
        <f t="shared" ref="AC59:AC90" si="9">MOD(AC58*10000013,1)</f>
        <v>0.59254584088921547</v>
      </c>
      <c r="AD59" s="1">
        <f t="shared" ref="AD59:AD90" si="10">MOD(AD58*10000013,1)</f>
        <v>0.23759378027170897</v>
      </c>
    </row>
    <row r="60" spans="10:30" ht="11.25" customHeight="1" x14ac:dyDescent="0.2">
      <c r="J60" s="108"/>
      <c r="K60" s="108"/>
      <c r="O60" s="159">
        <v>45</v>
      </c>
      <c r="P60" s="177" t="str">
        <f t="shared" si="3"/>
        <v/>
      </c>
      <c r="Q60" s="179"/>
      <c r="R60" s="178">
        <v>45</v>
      </c>
      <c r="S60" s="177" t="str">
        <f t="shared" si="4"/>
        <v/>
      </c>
      <c r="V60" s="1">
        <v>3</v>
      </c>
      <c r="W60" s="1">
        <f t="shared" si="5"/>
        <v>26.599425783735004</v>
      </c>
      <c r="X60" s="1">
        <f t="shared" si="6"/>
        <v>97.85505729712051</v>
      </c>
      <c r="Y60" s="1">
        <v>0.8</v>
      </c>
      <c r="Z60" s="1" t="e">
        <f t="shared" si="7"/>
        <v>#N/A</v>
      </c>
      <c r="AA60" s="46">
        <v>2.2000000000000002</v>
      </c>
      <c r="AB60" s="1" t="e">
        <f t="shared" si="8"/>
        <v>#N/A</v>
      </c>
      <c r="AC60" s="1">
        <f t="shared" si="9"/>
        <v>0.11198808625340462</v>
      </c>
      <c r="AD60" s="1">
        <f t="shared" si="10"/>
        <v>0.89143623318523169</v>
      </c>
    </row>
    <row r="61" spans="10:30" ht="11.25" customHeight="1" x14ac:dyDescent="0.2">
      <c r="O61" s="159">
        <v>46</v>
      </c>
      <c r="P61" s="177" t="str">
        <f t="shared" si="3"/>
        <v/>
      </c>
      <c r="Q61" s="179"/>
      <c r="R61" s="178">
        <v>46</v>
      </c>
      <c r="S61" s="177" t="str">
        <f t="shared" si="4"/>
        <v/>
      </c>
      <c r="V61" s="1">
        <v>4</v>
      </c>
      <c r="W61" s="1">
        <f t="shared" si="5"/>
        <v>45.194099599249043</v>
      </c>
      <c r="X61" s="1">
        <f t="shared" si="6"/>
        <v>102.2150149780897</v>
      </c>
      <c r="Y61" s="1">
        <v>0.8</v>
      </c>
      <c r="Z61" s="1" t="e">
        <f t="shared" si="7"/>
        <v>#N/A</v>
      </c>
      <c r="AA61" s="46">
        <v>2.2000000000000002</v>
      </c>
      <c r="AB61" s="1" t="e">
        <f t="shared" si="8"/>
        <v>#N/A</v>
      </c>
      <c r="AC61" s="1">
        <f t="shared" si="9"/>
        <v>0.31837916746735573</v>
      </c>
      <c r="AD61" s="1">
        <f t="shared" si="10"/>
        <v>0.92052334919571877</v>
      </c>
    </row>
    <row r="62" spans="10:30" ht="11.25" customHeight="1" x14ac:dyDescent="0.2">
      <c r="O62" s="159">
        <v>47</v>
      </c>
      <c r="P62" s="177" t="str">
        <f t="shared" si="3"/>
        <v/>
      </c>
      <c r="Q62" s="179"/>
      <c r="R62" s="178">
        <v>47</v>
      </c>
      <c r="S62" s="177" t="str">
        <f t="shared" si="4"/>
        <v/>
      </c>
      <c r="V62" s="1">
        <v>5</v>
      </c>
      <c r="W62" s="1">
        <f t="shared" si="5"/>
        <v>79.281274921441891</v>
      </c>
      <c r="X62" s="1">
        <f t="shared" si="6"/>
        <v>64.411092049856094</v>
      </c>
      <c r="Y62" s="1">
        <v>0.8</v>
      </c>
      <c r="Z62" s="1" t="e">
        <f t="shared" si="7"/>
        <v>#N/A</v>
      </c>
      <c r="AA62" s="46">
        <v>2.2000000000000002</v>
      </c>
      <c r="AB62" s="1" t="e">
        <f t="shared" si="8"/>
        <v>#N/A</v>
      </c>
      <c r="AC62" s="1">
        <f t="shared" si="9"/>
        <v>0.81360273435711861</v>
      </c>
      <c r="AD62" s="1">
        <f t="shared" si="10"/>
        <v>0.45876072719693184</v>
      </c>
    </row>
    <row r="63" spans="10:30" ht="11.25" customHeight="1" x14ac:dyDescent="0.2">
      <c r="O63" s="159">
        <v>48</v>
      </c>
      <c r="P63" s="177" t="str">
        <f t="shared" si="3"/>
        <v/>
      </c>
      <c r="Q63" s="179"/>
      <c r="R63" s="178">
        <v>48</v>
      </c>
      <c r="S63" s="177" t="str">
        <f t="shared" si="4"/>
        <v/>
      </c>
      <c r="V63" s="1">
        <v>6</v>
      </c>
      <c r="W63" s="1">
        <f t="shared" si="5"/>
        <v>92.19531785254415</v>
      </c>
      <c r="X63" s="1">
        <f t="shared" si="6"/>
        <v>49.007817357561358</v>
      </c>
      <c r="Y63" s="1">
        <v>0.8</v>
      </c>
      <c r="Z63" s="1" t="e">
        <f t="shared" si="7"/>
        <v>#N/A</v>
      </c>
      <c r="AA63" s="46">
        <v>2.2000000000000002</v>
      </c>
      <c r="AB63" s="1" t="e">
        <f t="shared" si="8"/>
        <v>#N/A</v>
      </c>
      <c r="AC63" s="1">
        <f t="shared" si="9"/>
        <v>0.92040673270821571</v>
      </c>
      <c r="AD63" s="1">
        <f t="shared" si="10"/>
        <v>0.23585877195000648</v>
      </c>
    </row>
    <row r="64" spans="10:30" ht="11.25" customHeight="1" x14ac:dyDescent="0.2">
      <c r="O64" s="159">
        <v>49</v>
      </c>
      <c r="P64" s="177" t="str">
        <f t="shared" si="3"/>
        <v/>
      </c>
      <c r="Q64" s="179"/>
      <c r="R64" s="178">
        <v>49</v>
      </c>
      <c r="S64" s="177" t="str">
        <f t="shared" si="4"/>
        <v/>
      </c>
      <c r="V64" s="1">
        <v>7</v>
      </c>
      <c r="W64" s="1">
        <f t="shared" si="5"/>
        <v>43.338121242713328</v>
      </c>
      <c r="X64" s="1">
        <f t="shared" si="6"/>
        <v>86.78666326581498</v>
      </c>
      <c r="Y64" s="1">
        <v>0.8</v>
      </c>
      <c r="Z64" s="1" t="e">
        <f t="shared" si="7"/>
        <v>#N/A</v>
      </c>
      <c r="AA64" s="46">
        <v>2.2000000000000002</v>
      </c>
      <c r="AB64" s="1" t="e">
        <f t="shared" si="8"/>
        <v>#N/A</v>
      </c>
      <c r="AC64" s="1">
        <f t="shared" si="9"/>
        <v>0.29236968234181404</v>
      </c>
      <c r="AD64" s="1">
        <f t="shared" si="10"/>
        <v>0.78566410019993782</v>
      </c>
    </row>
    <row r="65" spans="15:30" ht="11.25" customHeight="1" x14ac:dyDescent="0.2">
      <c r="O65" s="159">
        <v>50</v>
      </c>
      <c r="P65" s="177" t="str">
        <f t="shared" si="3"/>
        <v/>
      </c>
      <c r="Q65" s="179"/>
      <c r="R65" s="178">
        <v>50</v>
      </c>
      <c r="S65" s="177" t="str">
        <f t="shared" si="4"/>
        <v/>
      </c>
      <c r="V65" s="1">
        <v>8</v>
      </c>
      <c r="W65" s="1">
        <f t="shared" si="5"/>
        <v>64.914840472358847</v>
      </c>
      <c r="X65" s="1">
        <f t="shared" si="6"/>
        <v>47.324295140117876</v>
      </c>
      <c r="Y65" s="1">
        <v>0.8</v>
      </c>
      <c r="Z65" s="1" t="e">
        <f t="shared" si="7"/>
        <v>#N/A</v>
      </c>
      <c r="AA65" s="46">
        <v>2.2000000000000002</v>
      </c>
      <c r="AB65" s="1" t="e">
        <f t="shared" si="8"/>
        <v>#N/A</v>
      </c>
      <c r="AC65" s="1">
        <f t="shared" si="9"/>
        <v>0.62422401085495949</v>
      </c>
      <c r="AD65" s="1">
        <f t="shared" si="10"/>
        <v>0.21563268080353737</v>
      </c>
    </row>
    <row r="66" spans="15:30" ht="11.25" customHeight="1" x14ac:dyDescent="0.2">
      <c r="O66" s="159">
        <v>51</v>
      </c>
      <c r="P66" s="177" t="str">
        <f t="shared" si="3"/>
        <v/>
      </c>
      <c r="Q66" s="179"/>
      <c r="R66" s="178">
        <v>51</v>
      </c>
      <c r="S66" s="177" t="str">
        <f t="shared" si="4"/>
        <v/>
      </c>
      <c r="V66" s="1">
        <v>9</v>
      </c>
      <c r="W66" s="1">
        <f t="shared" si="5"/>
        <v>37.986148661769789</v>
      </c>
      <c r="X66" s="1">
        <f t="shared" si="6"/>
        <v>74.065128109013031</v>
      </c>
      <c r="Y66" s="1">
        <v>0.8</v>
      </c>
      <c r="Z66" s="1" t="e">
        <f t="shared" si="7"/>
        <v>#N/A</v>
      </c>
      <c r="AA66" s="46">
        <v>2.2000000000000002</v>
      </c>
      <c r="AB66" s="1" t="e">
        <f t="shared" si="8"/>
        <v>#N/A</v>
      </c>
      <c r="AC66" s="1">
        <f t="shared" si="9"/>
        <v>0.22346173599362373</v>
      </c>
      <c r="AD66" s="1">
        <f t="shared" si="10"/>
        <v>0.61126022413372993</v>
      </c>
    </row>
    <row r="67" spans="15:30" ht="11.25" customHeight="1" x14ac:dyDescent="0.2">
      <c r="O67" s="159">
        <v>52</v>
      </c>
      <c r="P67" s="177" t="str">
        <f t="shared" si="3"/>
        <v/>
      </c>
      <c r="Q67" s="179"/>
      <c r="R67" s="178">
        <v>52</v>
      </c>
      <c r="S67" s="177" t="str">
        <f t="shared" si="4"/>
        <v/>
      </c>
      <c r="V67" s="1">
        <v>10</v>
      </c>
      <c r="W67" s="1">
        <f t="shared" si="5"/>
        <v>41.295178631063813</v>
      </c>
      <c r="X67" s="1">
        <f t="shared" si="6"/>
        <v>44.841782418763422</v>
      </c>
      <c r="Y67" s="1">
        <v>0.8</v>
      </c>
      <c r="Z67" s="1" t="e">
        <f t="shared" si="7"/>
        <v>#N/A</v>
      </c>
      <c r="AA67" s="46">
        <v>2.2000000000000002</v>
      </c>
      <c r="AB67" s="1" t="e">
        <f t="shared" si="8"/>
        <v>#N/A</v>
      </c>
      <c r="AC67" s="1">
        <f t="shared" si="9"/>
        <v>0.26493880525231361</v>
      </c>
      <c r="AD67" s="1">
        <f t="shared" si="10"/>
        <v>0.18772021308541298</v>
      </c>
    </row>
    <row r="68" spans="15:30" ht="11.25" customHeight="1" x14ac:dyDescent="0.2">
      <c r="O68" s="159">
        <v>53</v>
      </c>
      <c r="P68" s="177" t="str">
        <f t="shared" si="3"/>
        <v/>
      </c>
      <c r="Q68" s="179"/>
      <c r="R68" s="178">
        <v>53</v>
      </c>
      <c r="S68" s="177" t="str">
        <f t="shared" si="4"/>
        <v/>
      </c>
      <c r="V68" s="1">
        <v>11</v>
      </c>
      <c r="W68" s="1">
        <f t="shared" si="5"/>
        <v>56.794930718098257</v>
      </c>
      <c r="X68" s="1">
        <f t="shared" si="6"/>
        <v>71.48682868691111</v>
      </c>
      <c r="Y68" s="1">
        <v>0.8</v>
      </c>
      <c r="Z68" s="1" t="e">
        <f t="shared" si="7"/>
        <v>#N/A</v>
      </c>
      <c r="AA68" s="46">
        <v>2.2000000000000002</v>
      </c>
      <c r="AB68" s="1" t="e">
        <f t="shared" si="8"/>
        <v>#N/A</v>
      </c>
      <c r="AC68" s="1">
        <f t="shared" si="9"/>
        <v>0.496727604418993</v>
      </c>
      <c r="AD68" s="1">
        <f t="shared" si="10"/>
        <v>0.57121689990162849</v>
      </c>
    </row>
    <row r="69" spans="15:30" ht="11.25" customHeight="1" x14ac:dyDescent="0.2">
      <c r="O69" s="159">
        <v>54</v>
      </c>
      <c r="P69" s="177" t="str">
        <f t="shared" si="3"/>
        <v/>
      </c>
      <c r="Q69" s="179"/>
      <c r="R69" s="178">
        <v>54</v>
      </c>
      <c r="S69" s="177" t="str">
        <f t="shared" si="4"/>
        <v/>
      </c>
      <c r="V69" s="1">
        <v>12</v>
      </c>
      <c r="W69" s="1">
        <f t="shared" si="5"/>
        <v>57.103322722601298</v>
      </c>
      <c r="X69" s="1">
        <f t="shared" si="6"/>
        <v>62.261575271860245</v>
      </c>
      <c r="Y69" s="1">
        <v>0.8</v>
      </c>
      <c r="Z69" s="1" t="e">
        <f t="shared" si="7"/>
        <v>#N/A</v>
      </c>
      <c r="AA69" s="46">
        <v>2.2000000000000002</v>
      </c>
      <c r="AB69" s="1" t="e">
        <f t="shared" si="8"/>
        <v>#N/A</v>
      </c>
      <c r="AC69" s="1">
        <f t="shared" si="9"/>
        <v>0.50164878740906715</v>
      </c>
      <c r="AD69" s="1">
        <f t="shared" si="10"/>
        <v>0.42483598366379738</v>
      </c>
    </row>
    <row r="70" spans="15:30" ht="11.25" customHeight="1" x14ac:dyDescent="0.2">
      <c r="O70" s="159">
        <v>55</v>
      </c>
      <c r="P70" s="177" t="str">
        <f t="shared" si="3"/>
        <v/>
      </c>
      <c r="Q70" s="179"/>
      <c r="R70" s="178">
        <v>55</v>
      </c>
      <c r="S70" s="177" t="str">
        <f t="shared" si="4"/>
        <v/>
      </c>
      <c r="V70" s="1">
        <v>13</v>
      </c>
      <c r="W70" s="1">
        <f t="shared" si="5"/>
        <v>50.376309578709034</v>
      </c>
      <c r="X70" s="1">
        <f t="shared" si="6"/>
        <v>58.005495389813916</v>
      </c>
      <c r="Y70" s="1">
        <v>0.8</v>
      </c>
      <c r="Z70" s="1" t="e">
        <f t="shared" si="7"/>
        <v>#N/A</v>
      </c>
      <c r="AA70" s="46">
        <v>2.2000000000000002</v>
      </c>
      <c r="AB70" s="1" t="e">
        <f t="shared" si="8"/>
        <v>#N/A</v>
      </c>
      <c r="AC70" s="1">
        <f t="shared" si="9"/>
        <v>0.39552490785717964</v>
      </c>
      <c r="AD70" s="1">
        <f t="shared" si="10"/>
        <v>0.35950576141476631</v>
      </c>
    </row>
    <row r="71" spans="15:30" ht="11.25" customHeight="1" x14ac:dyDescent="0.2">
      <c r="O71" s="159">
        <v>56</v>
      </c>
      <c r="P71" s="177" t="str">
        <f t="shared" si="3"/>
        <v/>
      </c>
      <c r="Q71" s="179"/>
      <c r="R71" s="178">
        <v>56</v>
      </c>
      <c r="S71" s="177" t="str">
        <f t="shared" si="4"/>
        <v/>
      </c>
      <c r="V71" s="1">
        <v>14</v>
      </c>
      <c r="W71" s="1">
        <f t="shared" si="5"/>
        <v>37.728553917289361</v>
      </c>
      <c r="X71" s="1">
        <f t="shared" si="6"/>
        <v>52.998742281617581</v>
      </c>
      <c r="Y71" s="1">
        <v>0.8</v>
      </c>
      <c r="Z71" s="1" t="e">
        <f t="shared" si="7"/>
        <v>#N/A</v>
      </c>
      <c r="AA71" s="46">
        <v>2.2000000000000002</v>
      </c>
      <c r="AB71" s="1" t="e">
        <f t="shared" si="8"/>
        <v>#N/A</v>
      </c>
      <c r="AC71" s="1">
        <f t="shared" si="9"/>
        <v>0.22039559856057167</v>
      </c>
      <c r="AD71" s="1">
        <f t="shared" si="10"/>
        <v>0.28772256150841713</v>
      </c>
    </row>
    <row r="72" spans="15:30" ht="11.25" customHeight="1" x14ac:dyDescent="0.2">
      <c r="O72" s="159">
        <v>57</v>
      </c>
      <c r="P72" s="177" t="str">
        <f t="shared" si="3"/>
        <v/>
      </c>
      <c r="Q72" s="179"/>
      <c r="R72" s="178">
        <v>57</v>
      </c>
      <c r="S72" s="177" t="str">
        <f t="shared" si="4"/>
        <v/>
      </c>
      <c r="V72" s="1">
        <v>15</v>
      </c>
      <c r="W72" s="1">
        <f t="shared" si="5"/>
        <v>82.991224941317682</v>
      </c>
      <c r="X72" s="1">
        <f t="shared" si="6"/>
        <v>57.735653068868082</v>
      </c>
      <c r="Y72" s="1">
        <v>0.8</v>
      </c>
      <c r="Z72" s="1" t="e">
        <f t="shared" si="7"/>
        <v>#N/A</v>
      </c>
      <c r="AA72" s="46">
        <v>2.2000000000000002</v>
      </c>
      <c r="AB72" s="1" t="e">
        <f t="shared" si="8"/>
        <v>#N/A</v>
      </c>
      <c r="AC72" s="1">
        <f t="shared" si="9"/>
        <v>0.85074849799275398</v>
      </c>
      <c r="AD72" s="1">
        <f t="shared" si="10"/>
        <v>0.3554774709045887</v>
      </c>
    </row>
    <row r="73" spans="15:30" ht="11.25" customHeight="1" x14ac:dyDescent="0.2">
      <c r="O73" s="159">
        <v>58</v>
      </c>
      <c r="P73" s="177" t="str">
        <f t="shared" si="3"/>
        <v/>
      </c>
      <c r="Q73" s="179"/>
      <c r="R73" s="178">
        <v>58</v>
      </c>
      <c r="S73" s="177" t="str">
        <f t="shared" si="4"/>
        <v/>
      </c>
      <c r="V73" s="1">
        <v>16</v>
      </c>
      <c r="W73" s="1">
        <f t="shared" si="5"/>
        <v>13.133287556552631</v>
      </c>
      <c r="X73" s="1">
        <f t="shared" si="6"/>
        <v>56.019633981043611</v>
      </c>
      <c r="Y73" s="1">
        <v>0.8</v>
      </c>
      <c r="Z73" s="1" t="e">
        <f t="shared" si="7"/>
        <v>#N/A</v>
      </c>
      <c r="AA73" s="46">
        <v>2.2000000000000002</v>
      </c>
      <c r="AB73" s="1" t="e">
        <f t="shared" si="8"/>
        <v>#N/A</v>
      </c>
      <c r="AC73" s="1">
        <f t="shared" si="9"/>
        <v>3.9658013731241226E-2</v>
      </c>
      <c r="AD73" s="1">
        <f t="shared" si="10"/>
        <v>0.33025300875306129</v>
      </c>
    </row>
    <row r="74" spans="15:30" ht="11.25" customHeight="1" x14ac:dyDescent="0.2">
      <c r="O74" s="159">
        <v>59</v>
      </c>
      <c r="P74" s="177" t="str">
        <f t="shared" si="3"/>
        <v/>
      </c>
      <c r="Q74" s="179"/>
      <c r="R74" s="178">
        <v>59</v>
      </c>
      <c r="S74" s="177" t="str">
        <f t="shared" si="4"/>
        <v/>
      </c>
      <c r="V74" s="1">
        <v>17</v>
      </c>
      <c r="W74" s="1">
        <f t="shared" si="5"/>
        <v>66.826782580544233</v>
      </c>
      <c r="X74" s="1">
        <f t="shared" si="6"/>
        <v>59.416785028405066</v>
      </c>
      <c r="Y74" s="1">
        <v>0.8</v>
      </c>
      <c r="Z74" s="1" t="e">
        <f t="shared" si="7"/>
        <v>#N/A</v>
      </c>
      <c r="AA74" s="46">
        <v>2.2000000000000002</v>
      </c>
      <c r="AB74" s="1" t="e">
        <f t="shared" si="8"/>
        <v>#N/A</v>
      </c>
      <c r="AC74" s="1">
        <f t="shared" si="9"/>
        <v>0.65286659076809883</v>
      </c>
      <c r="AD74" s="1">
        <f t="shared" si="10"/>
        <v>0.38081972673535347</v>
      </c>
    </row>
    <row r="75" spans="15:30" ht="11.25" customHeight="1" x14ac:dyDescent="0.2">
      <c r="O75" s="159">
        <v>60</v>
      </c>
      <c r="P75" s="177" t="str">
        <f t="shared" si="3"/>
        <v/>
      </c>
      <c r="Q75" s="179"/>
      <c r="R75" s="178">
        <v>60</v>
      </c>
      <c r="S75" s="177" t="str">
        <f t="shared" si="4"/>
        <v/>
      </c>
      <c r="V75" s="1">
        <v>18</v>
      </c>
      <c r="W75" s="1">
        <f t="shared" si="5"/>
        <v>50.338771898835965</v>
      </c>
      <c r="X75" s="1">
        <f t="shared" si="6"/>
        <v>47.52670814838482</v>
      </c>
      <c r="Y75" s="1">
        <v>0.8</v>
      </c>
      <c r="Z75" s="1" t="e">
        <f t="shared" si="7"/>
        <v>#N/A</v>
      </c>
      <c r="AA75" s="46">
        <v>2.2000000000000002</v>
      </c>
      <c r="AB75" s="1" t="e">
        <f t="shared" si="8"/>
        <v>#N/A</v>
      </c>
      <c r="AC75" s="1">
        <f t="shared" si="9"/>
        <v>0.39494666829705238</v>
      </c>
      <c r="AD75" s="1">
        <f t="shared" si="10"/>
        <v>0.21800998225808144</v>
      </c>
    </row>
    <row r="76" spans="15:30" ht="11.25" customHeight="1" x14ac:dyDescent="0.2">
      <c r="O76" s="159">
        <v>61</v>
      </c>
      <c r="P76" s="177" t="str">
        <f t="shared" si="3"/>
        <v/>
      </c>
      <c r="Q76" s="179"/>
      <c r="R76" s="178">
        <v>61</v>
      </c>
      <c r="S76" s="177" t="str">
        <f t="shared" si="4"/>
        <v/>
      </c>
      <c r="V76" s="1">
        <v>19</v>
      </c>
      <c r="W76" s="1">
        <f t="shared" si="5"/>
        <v>79.625934875086713</v>
      </c>
      <c r="X76" s="1">
        <f t="shared" si="6"/>
        <v>77.087554458160866</v>
      </c>
      <c r="Y76" s="1">
        <v>0.8</v>
      </c>
      <c r="Z76" s="1" t="e">
        <f t="shared" si="7"/>
        <v>#N/A</v>
      </c>
      <c r="AA76" s="46">
        <v>2.2000000000000002</v>
      </c>
      <c r="AB76" s="1" t="e">
        <f t="shared" si="8"/>
        <v>#N/A</v>
      </c>
      <c r="AC76" s="1">
        <f t="shared" si="9"/>
        <v>0.8172772116959095</v>
      </c>
      <c r="AD76" s="1">
        <f t="shared" si="10"/>
        <v>0.65671058371663094</v>
      </c>
    </row>
    <row r="77" spans="15:30" ht="11.25" customHeight="1" x14ac:dyDescent="0.2">
      <c r="O77" s="159">
        <v>62</v>
      </c>
      <c r="P77" s="177" t="str">
        <f t="shared" si="3"/>
        <v/>
      </c>
      <c r="Q77" s="179"/>
      <c r="R77" s="178">
        <v>62</v>
      </c>
      <c r="S77" s="177" t="str">
        <f t="shared" si="4"/>
        <v/>
      </c>
      <c r="V77" s="1">
        <v>20</v>
      </c>
      <c r="W77" s="1">
        <f t="shared" si="5"/>
        <v>73.204276951866802</v>
      </c>
      <c r="X77" s="1">
        <f t="shared" si="6"/>
        <v>58.99470555016638</v>
      </c>
      <c r="Y77" s="1">
        <v>0.8</v>
      </c>
      <c r="Z77" s="1" t="e">
        <f t="shared" si="7"/>
        <v>#N/A</v>
      </c>
      <c r="AA77" s="46">
        <v>2.2000000000000002</v>
      </c>
      <c r="AB77" s="1" t="e">
        <f t="shared" si="8"/>
        <v>#N/A</v>
      </c>
      <c r="AC77" s="1">
        <f t="shared" si="9"/>
        <v>0.7415628470480442</v>
      </c>
      <c r="AD77" s="1">
        <f t="shared" si="10"/>
        <v>0.37440389767289162</v>
      </c>
    </row>
    <row r="78" spans="15:30" ht="11.25" customHeight="1" x14ac:dyDescent="0.2">
      <c r="O78" s="159">
        <v>63</v>
      </c>
      <c r="P78" s="177" t="str">
        <f t="shared" si="3"/>
        <v/>
      </c>
      <c r="Q78" s="179"/>
      <c r="R78" s="178">
        <v>63</v>
      </c>
      <c r="S78" s="177" t="str">
        <f t="shared" si="4"/>
        <v/>
      </c>
      <c r="V78" s="1">
        <v>21</v>
      </c>
      <c r="W78" s="1">
        <f t="shared" si="5"/>
        <v>26.442546827612606</v>
      </c>
      <c r="X78" s="1">
        <f t="shared" si="6"/>
        <v>92.273725615624926</v>
      </c>
      <c r="Y78" s="1">
        <v>0.8</v>
      </c>
      <c r="Z78" s="1" t="e">
        <f t="shared" si="7"/>
        <v>#N/A</v>
      </c>
      <c r="AA78" s="46">
        <v>2.2000000000000002</v>
      </c>
      <c r="AB78" s="1" t="e">
        <f t="shared" si="8"/>
        <v>#N/A</v>
      </c>
      <c r="AC78" s="1">
        <f t="shared" si="9"/>
        <v>0.1107974536716938</v>
      </c>
      <c r="AD78" s="1">
        <f t="shared" si="10"/>
        <v>0.84397958591580391</v>
      </c>
    </row>
    <row r="79" spans="15:30" ht="11.25" customHeight="1" x14ac:dyDescent="0.2">
      <c r="O79" s="159">
        <v>64</v>
      </c>
      <c r="P79" s="177" t="str">
        <f t="shared" si="3"/>
        <v/>
      </c>
      <c r="Q79" s="179"/>
      <c r="R79" s="178">
        <v>64</v>
      </c>
      <c r="S79" s="177" t="str">
        <f t="shared" si="4"/>
        <v/>
      </c>
      <c r="V79" s="1">
        <v>22</v>
      </c>
      <c r="W79" s="1">
        <f t="shared" si="5"/>
        <v>106.92335566754775</v>
      </c>
      <c r="X79" s="1">
        <f t="shared" si="6"/>
        <v>90.942468713782461</v>
      </c>
      <c r="Y79" s="1">
        <v>0.8</v>
      </c>
      <c r="Z79" s="1" t="e">
        <f t="shared" si="7"/>
        <v>#N/A</v>
      </c>
      <c r="AA79" s="46">
        <v>2.2000000000000002</v>
      </c>
      <c r="AB79" s="1" t="e">
        <f t="shared" si="8"/>
        <v>#N/A</v>
      </c>
      <c r="AC79" s="1">
        <f t="shared" si="9"/>
        <v>0.97708383575081825</v>
      </c>
      <c r="AD79" s="1">
        <f t="shared" si="10"/>
        <v>0.8308926559984684</v>
      </c>
    </row>
    <row r="80" spans="15:30" ht="11.25" customHeight="1" x14ac:dyDescent="0.2">
      <c r="O80" s="159">
        <v>65</v>
      </c>
      <c r="P80" s="177" t="str">
        <f t="shared" si="3"/>
        <v/>
      </c>
      <c r="Q80" s="179"/>
      <c r="R80" s="178">
        <v>65</v>
      </c>
      <c r="S80" s="177" t="str">
        <f t="shared" si="4"/>
        <v/>
      </c>
      <c r="V80" s="1">
        <v>23</v>
      </c>
      <c r="W80" s="1">
        <f t="shared" si="5"/>
        <v>18.046081239739145</v>
      </c>
      <c r="X80" s="1">
        <f t="shared" si="6"/>
        <v>58.144647048455283</v>
      </c>
      <c r="Y80" s="1">
        <v>0.8</v>
      </c>
      <c r="Z80" s="1" t="e">
        <f t="shared" si="7"/>
        <v>#N/A</v>
      </c>
      <c r="AA80" s="46">
        <v>2.2000000000000002</v>
      </c>
      <c r="AB80" s="1" t="e">
        <f t="shared" si="8"/>
        <v>#N/A</v>
      </c>
      <c r="AC80" s="1">
        <f t="shared" si="9"/>
        <v>5.9598047286272049E-2</v>
      </c>
      <c r="AD80" s="1">
        <f t="shared" si="10"/>
        <v>0.3615892119705677</v>
      </c>
    </row>
    <row r="81" spans="15:30" ht="11.25" customHeight="1" x14ac:dyDescent="0.2">
      <c r="O81" s="159">
        <v>66</v>
      </c>
      <c r="P81" s="177" t="str">
        <f t="shared" ref="P81:P115" si="11">IF(AND(V123&lt;=$A$2,$D$2),W123,"")</f>
        <v/>
      </c>
      <c r="Q81" s="179"/>
      <c r="R81" s="178">
        <v>66</v>
      </c>
      <c r="S81" s="177" t="str">
        <f t="shared" ref="S81:S115" si="12">IF(AND(V123&lt;=$A$6,$D$2),X123,"")</f>
        <v/>
      </c>
      <c r="V81" s="1">
        <v>24</v>
      </c>
      <c r="W81" s="1">
        <f t="shared" si="5"/>
        <v>39.951412206073044</v>
      </c>
      <c r="X81" s="1">
        <f t="shared" si="6"/>
        <v>89.918965788534479</v>
      </c>
      <c r="Y81" s="1">
        <v>0.8</v>
      </c>
      <c r="Z81" s="1" t="e">
        <f t="shared" si="7"/>
        <v>#N/A</v>
      </c>
      <c r="AA81" s="46">
        <v>2.2000000000000002</v>
      </c>
      <c r="AB81" s="1" t="e">
        <f t="shared" si="8"/>
        <v>#N/A</v>
      </c>
      <c r="AC81" s="1">
        <f t="shared" si="9"/>
        <v>0.24763733521103859</v>
      </c>
      <c r="AD81" s="1">
        <f t="shared" si="10"/>
        <v>0.82036543264985085</v>
      </c>
    </row>
    <row r="82" spans="15:30" ht="11.25" customHeight="1" x14ac:dyDescent="0.2">
      <c r="O82" s="159">
        <v>67</v>
      </c>
      <c r="P82" s="177" t="str">
        <f t="shared" si="11"/>
        <v/>
      </c>
      <c r="Q82" s="179"/>
      <c r="R82" s="178">
        <v>67</v>
      </c>
      <c r="S82" s="177" t="str">
        <f t="shared" si="12"/>
        <v/>
      </c>
      <c r="V82" s="1">
        <v>25</v>
      </c>
      <c r="W82" s="1">
        <f t="shared" si="5"/>
        <v>61.498218481545344</v>
      </c>
      <c r="X82" s="1">
        <f t="shared" si="6"/>
        <v>126.39985695852934</v>
      </c>
      <c r="Y82" s="1">
        <v>0.8</v>
      </c>
      <c r="Z82" s="1" t="e">
        <f t="shared" si="7"/>
        <v>#N/A</v>
      </c>
      <c r="AA82" s="46">
        <v>2.2000000000000002</v>
      </c>
      <c r="AB82" s="1" t="e">
        <f t="shared" si="8"/>
        <v>#N/A</v>
      </c>
      <c r="AC82" s="1">
        <f t="shared" si="9"/>
        <v>0.57139574363827705</v>
      </c>
      <c r="AD82" s="1">
        <f t="shared" si="10"/>
        <v>0.99124913290143013</v>
      </c>
    </row>
    <row r="83" spans="15:30" ht="11.25" customHeight="1" x14ac:dyDescent="0.2">
      <c r="O83" s="159">
        <v>68</v>
      </c>
      <c r="P83" s="177" t="str">
        <f t="shared" si="11"/>
        <v/>
      </c>
      <c r="Q83" s="179"/>
      <c r="R83" s="178">
        <v>68</v>
      </c>
      <c r="S83" s="177" t="str">
        <f t="shared" si="12"/>
        <v/>
      </c>
      <c r="V83" s="1">
        <v>26</v>
      </c>
      <c r="W83" s="1">
        <f t="shared" si="5"/>
        <v>84.522216142082499</v>
      </c>
      <c r="X83" s="1">
        <f t="shared" si="6"/>
        <v>47.291850632321243</v>
      </c>
      <c r="Y83" s="1">
        <v>0.8</v>
      </c>
      <c r="Z83" s="1" t="e">
        <f t="shared" si="7"/>
        <v>#N/A</v>
      </c>
      <c r="AA83" s="46">
        <v>2.2000000000000002</v>
      </c>
      <c r="AB83" s="1" t="e">
        <f t="shared" si="8"/>
        <v>#N/A</v>
      </c>
      <c r="AC83" s="1">
        <f t="shared" si="9"/>
        <v>0.86452743783593178</v>
      </c>
      <c r="AD83" s="1">
        <f t="shared" si="10"/>
        <v>0.21525302901864052</v>
      </c>
    </row>
    <row r="84" spans="15:30" ht="11.25" customHeight="1" x14ac:dyDescent="0.2">
      <c r="O84" s="159">
        <v>69</v>
      </c>
      <c r="P84" s="177" t="str">
        <f t="shared" si="11"/>
        <v/>
      </c>
      <c r="Q84" s="179"/>
      <c r="R84" s="178">
        <v>69</v>
      </c>
      <c r="S84" s="177" t="str">
        <f t="shared" si="12"/>
        <v/>
      </c>
      <c r="V84" s="1">
        <v>27</v>
      </c>
      <c r="W84" s="1">
        <f t="shared" si="5"/>
        <v>64.454428093342941</v>
      </c>
      <c r="X84" s="1">
        <f t="shared" si="6"/>
        <v>33.244978689355108</v>
      </c>
      <c r="Y84" s="1">
        <v>0.8</v>
      </c>
      <c r="Z84" s="1" t="e">
        <f t="shared" si="7"/>
        <v>#N/A</v>
      </c>
      <c r="AA84" s="46">
        <v>2.2000000000000002</v>
      </c>
      <c r="AB84" s="1" t="e">
        <f t="shared" si="8"/>
        <v>#N/A</v>
      </c>
      <c r="AC84" s="1">
        <f t="shared" si="9"/>
        <v>0.61721600964665413</v>
      </c>
      <c r="AD84" s="1">
        <f t="shared" si="10"/>
        <v>8.8475782424211502E-2</v>
      </c>
    </row>
    <row r="85" spans="15:30" ht="11.25" customHeight="1" x14ac:dyDescent="0.2">
      <c r="O85" s="159">
        <v>70</v>
      </c>
      <c r="P85" s="177" t="str">
        <f t="shared" si="11"/>
        <v/>
      </c>
      <c r="Q85" s="179"/>
      <c r="R85" s="178">
        <v>70</v>
      </c>
      <c r="S85" s="177" t="str">
        <f t="shared" si="12"/>
        <v/>
      </c>
      <c r="V85" s="1">
        <v>28</v>
      </c>
      <c r="W85" s="1">
        <f t="shared" si="5"/>
        <v>27.659628937874235</v>
      </c>
      <c r="X85" s="1">
        <f t="shared" si="6"/>
        <v>115.75643929324335</v>
      </c>
      <c r="Y85" s="1">
        <v>0.8</v>
      </c>
      <c r="Z85" s="1" t="e">
        <f t="shared" si="7"/>
        <v>#N/A</v>
      </c>
      <c r="AA85" s="46">
        <v>2.2000000000000002</v>
      </c>
      <c r="AB85" s="1" t="e">
        <f t="shared" si="8"/>
        <v>#N/A</v>
      </c>
      <c r="AC85" s="1">
        <f t="shared" si="9"/>
        <v>0.12027466669678688</v>
      </c>
      <c r="AD85" s="1">
        <f t="shared" si="10"/>
        <v>0.97442728653550148</v>
      </c>
    </row>
    <row r="86" spans="15:30" ht="11.25" customHeight="1" x14ac:dyDescent="0.2">
      <c r="O86" s="159">
        <v>71</v>
      </c>
      <c r="P86" s="177" t="str">
        <f t="shared" si="11"/>
        <v/>
      </c>
      <c r="Q86" s="179"/>
      <c r="R86" s="178">
        <v>71</v>
      </c>
      <c r="S86" s="177" t="str">
        <f t="shared" si="12"/>
        <v/>
      </c>
      <c r="V86" s="1">
        <v>29</v>
      </c>
      <c r="W86" s="1">
        <f t="shared" si="5"/>
        <v>38.573138584655226</v>
      </c>
      <c r="X86" s="1">
        <f t="shared" si="6"/>
        <v>69.064656701426742</v>
      </c>
      <c r="Y86" s="1">
        <v>0.8</v>
      </c>
      <c r="Z86" s="1" t="e">
        <f t="shared" si="7"/>
        <v>#N/A</v>
      </c>
      <c r="AA86" s="46">
        <v>2.2000000000000002</v>
      </c>
      <c r="AB86" s="1" t="e">
        <f t="shared" si="8"/>
        <v>#N/A</v>
      </c>
      <c r="AC86" s="1">
        <f t="shared" si="9"/>
        <v>0.23053853586316109</v>
      </c>
      <c r="AD86" s="1">
        <f t="shared" si="10"/>
        <v>0.53290973976254463</v>
      </c>
    </row>
    <row r="87" spans="15:30" ht="11.25" customHeight="1" x14ac:dyDescent="0.2">
      <c r="O87" s="159">
        <v>72</v>
      </c>
      <c r="P87" s="177" t="str">
        <f t="shared" si="11"/>
        <v/>
      </c>
      <c r="Q87" s="179"/>
      <c r="R87" s="178">
        <v>72</v>
      </c>
      <c r="S87" s="177" t="str">
        <f t="shared" si="12"/>
        <v/>
      </c>
      <c r="V87" s="1">
        <v>30</v>
      </c>
      <c r="W87" s="1">
        <f t="shared" si="5"/>
        <v>47.746062939056401</v>
      </c>
      <c r="X87" s="1">
        <f t="shared" si="6"/>
        <v>55.687337041226456</v>
      </c>
      <c r="Y87" s="1">
        <v>0.8</v>
      </c>
      <c r="Z87" s="1" t="e">
        <f t="shared" si="7"/>
        <v>#N/A</v>
      </c>
      <c r="AA87" s="46">
        <v>2.2000000000000002</v>
      </c>
      <c r="AB87" s="1" t="e">
        <f t="shared" si="8"/>
        <v>#N/A</v>
      </c>
      <c r="AC87" s="1">
        <f t="shared" si="9"/>
        <v>0.35563257709145546</v>
      </c>
      <c r="AD87" s="1">
        <f t="shared" si="10"/>
        <v>0.32545206323266029</v>
      </c>
    </row>
    <row r="88" spans="15:30" ht="11.25" customHeight="1" x14ac:dyDescent="0.2">
      <c r="O88" s="159">
        <v>73</v>
      </c>
      <c r="P88" s="177" t="str">
        <f t="shared" si="11"/>
        <v/>
      </c>
      <c r="Q88" s="179"/>
      <c r="R88" s="178">
        <v>73</v>
      </c>
      <c r="S88" s="177" t="str">
        <f t="shared" si="12"/>
        <v/>
      </c>
      <c r="V88" s="1">
        <v>31</v>
      </c>
      <c r="W88" s="1">
        <f t="shared" si="5"/>
        <v>50.286253906027738</v>
      </c>
      <c r="X88" s="1">
        <f t="shared" si="6"/>
        <v>94.370634218281793</v>
      </c>
      <c r="Y88" s="1">
        <v>0.8</v>
      </c>
      <c r="Z88" s="1" t="e">
        <f t="shared" si="7"/>
        <v>#N/A</v>
      </c>
      <c r="AA88" s="46">
        <v>2.2000000000000002</v>
      </c>
      <c r="AB88" s="1" t="e">
        <f t="shared" si="8"/>
        <v>#N/A</v>
      </c>
      <c r="AC88" s="1">
        <f t="shared" si="9"/>
        <v>0.39413805678486824</v>
      </c>
      <c r="AD88" s="1">
        <f t="shared" si="10"/>
        <v>0.86320342496037483</v>
      </c>
    </row>
    <row r="89" spans="15:30" ht="11.25" customHeight="1" x14ac:dyDescent="0.2">
      <c r="O89" s="159">
        <v>74</v>
      </c>
      <c r="P89" s="177" t="str">
        <f t="shared" si="11"/>
        <v/>
      </c>
      <c r="Q89" s="179"/>
      <c r="R89" s="178">
        <v>74</v>
      </c>
      <c r="S89" s="177" t="str">
        <f t="shared" si="12"/>
        <v/>
      </c>
      <c r="V89" s="1">
        <v>32</v>
      </c>
      <c r="W89" s="1">
        <f t="shared" si="5"/>
        <v>69.512851492608192</v>
      </c>
      <c r="X89" s="1">
        <f t="shared" si="6"/>
        <v>65.196690116525744</v>
      </c>
      <c r="Y89" s="1">
        <v>0.8</v>
      </c>
      <c r="Z89" s="1" t="e">
        <f t="shared" si="7"/>
        <v>#N/A</v>
      </c>
      <c r="AA89" s="46">
        <v>2.2000000000000002</v>
      </c>
      <c r="AB89" s="1" t="e">
        <f t="shared" si="8"/>
        <v>#N/A</v>
      </c>
      <c r="AC89" s="1">
        <f t="shared" si="9"/>
        <v>0.69164342060685158</v>
      </c>
      <c r="AD89" s="1">
        <f t="shared" si="10"/>
        <v>0.47124827280640602</v>
      </c>
    </row>
    <row r="90" spans="15:30" ht="11.25" customHeight="1" x14ac:dyDescent="0.2">
      <c r="O90" s="159">
        <v>75</v>
      </c>
      <c r="P90" s="177" t="str">
        <f t="shared" si="11"/>
        <v/>
      </c>
      <c r="Q90" s="179"/>
      <c r="R90" s="178">
        <v>75</v>
      </c>
      <c r="S90" s="177" t="str">
        <f t="shared" si="12"/>
        <v/>
      </c>
      <c r="V90" s="1">
        <v>33</v>
      </c>
      <c r="W90" s="1">
        <f t="shared" ref="W90:W121" si="13">$A$5+$A$4*NORMSINV(AC90)</f>
        <v>35.729347790247985</v>
      </c>
      <c r="X90" s="1">
        <f t="shared" ref="X90:X121" si="14">$A$3+$A$4*NORMSINV(AD90)</f>
        <v>93.375466721192225</v>
      </c>
      <c r="Y90" s="1">
        <v>0.8</v>
      </c>
      <c r="Z90" s="1" t="e">
        <f t="shared" ref="Z90:Z121" si="15">IF(AND(V90&lt;=$A$2,$D$4,$D$2,$AX$21),W90,NA())</f>
        <v>#N/A</v>
      </c>
      <c r="AA90" s="46">
        <v>2.2000000000000002</v>
      </c>
      <c r="AB90" s="1" t="e">
        <f t="shared" ref="AB90:AB121" si="16">IF(AND(V90&lt;=$A$6,$D$4,$D$2,$AX$22),X90,NA())</f>
        <v>#N/A</v>
      </c>
      <c r="AC90" s="1">
        <f t="shared" si="9"/>
        <v>0.1974329836666584</v>
      </c>
      <c r="AD90" s="1">
        <f t="shared" si="10"/>
        <v>0.85429160669445992</v>
      </c>
    </row>
    <row r="91" spans="15:30" ht="11.25" customHeight="1" x14ac:dyDescent="0.2">
      <c r="O91" s="159">
        <v>76</v>
      </c>
      <c r="P91" s="177" t="str">
        <f t="shared" si="11"/>
        <v/>
      </c>
      <c r="Q91" s="179"/>
      <c r="R91" s="178">
        <v>76</v>
      </c>
      <c r="S91" s="177" t="str">
        <f t="shared" si="12"/>
        <v/>
      </c>
      <c r="V91" s="1">
        <v>34</v>
      </c>
      <c r="W91" s="1">
        <f t="shared" si="13"/>
        <v>50.87933650461671</v>
      </c>
      <c r="X91" s="1">
        <f t="shared" si="14"/>
        <v>43.414737394025792</v>
      </c>
      <c r="Y91" s="1">
        <v>0.8</v>
      </c>
      <c r="Z91" s="1" t="e">
        <f t="shared" si="15"/>
        <v>#N/A</v>
      </c>
      <c r="AA91" s="46">
        <v>2.2000000000000002</v>
      </c>
      <c r="AB91" s="1" t="e">
        <f t="shared" si="16"/>
        <v>#N/A</v>
      </c>
      <c r="AC91" s="1">
        <f t="shared" ref="AC91:AC122" si="17">MOD(AC90*10000013,1)</f>
        <v>0.4032953716814518</v>
      </c>
      <c r="AD91" s="1">
        <f t="shared" ref="AD91:AD122" si="18">MOD(AD90*10000013,1)</f>
        <v>0.17273548617959023</v>
      </c>
    </row>
    <row r="92" spans="15:30" ht="11.25" customHeight="1" x14ac:dyDescent="0.2">
      <c r="O92" s="159">
        <v>77</v>
      </c>
      <c r="P92" s="177" t="str">
        <f t="shared" si="11"/>
        <v/>
      </c>
      <c r="Q92" s="179"/>
      <c r="R92" s="178">
        <v>77</v>
      </c>
      <c r="S92" s="177" t="str">
        <f t="shared" si="12"/>
        <v/>
      </c>
      <c r="V92" s="1">
        <v>35</v>
      </c>
      <c r="W92" s="1">
        <f t="shared" si="13"/>
        <v>100.66722487947268</v>
      </c>
      <c r="X92" s="1">
        <f t="shared" si="14"/>
        <v>35.982354611983794</v>
      </c>
      <c r="Y92" s="1">
        <v>0.8</v>
      </c>
      <c r="Z92" s="1" t="e">
        <f t="shared" si="15"/>
        <v>#N/A</v>
      </c>
      <c r="AA92" s="46">
        <v>2.2000000000000002</v>
      </c>
      <c r="AB92" s="1" t="e">
        <f t="shared" si="16"/>
        <v>#N/A</v>
      </c>
      <c r="AC92" s="1">
        <f t="shared" si="17"/>
        <v>0.95965434983372688</v>
      </c>
      <c r="AD92" s="1">
        <f t="shared" si="18"/>
        <v>0.10735722258687019</v>
      </c>
    </row>
    <row r="93" spans="15:30" ht="11.25" customHeight="1" x14ac:dyDescent="0.2">
      <c r="O93" s="159">
        <v>78</v>
      </c>
      <c r="P93" s="177" t="str">
        <f t="shared" si="11"/>
        <v/>
      </c>
      <c r="Q93" s="179"/>
      <c r="R93" s="178">
        <v>78</v>
      </c>
      <c r="S93" s="177" t="str">
        <f t="shared" si="12"/>
        <v/>
      </c>
      <c r="V93" s="1">
        <v>36</v>
      </c>
      <c r="W93" s="1">
        <f t="shared" si="13"/>
        <v>105.5138565033898</v>
      </c>
      <c r="X93" s="1">
        <f t="shared" si="14"/>
        <v>74.736395681648091</v>
      </c>
      <c r="Y93" s="1">
        <v>0.8</v>
      </c>
      <c r="Z93" s="1" t="e">
        <f t="shared" si="15"/>
        <v>#N/A</v>
      </c>
      <c r="AA93" s="46">
        <v>2.2000000000000002</v>
      </c>
      <c r="AB93" s="1" t="e">
        <f t="shared" si="16"/>
        <v>#N/A</v>
      </c>
      <c r="AC93" s="1">
        <f t="shared" si="17"/>
        <v>0.97384381666779518</v>
      </c>
      <c r="AD93" s="1">
        <f t="shared" si="18"/>
        <v>0.62151259556412697</v>
      </c>
    </row>
    <row r="94" spans="15:30" ht="11.25" customHeight="1" x14ac:dyDescent="0.2">
      <c r="O94" s="159">
        <v>79</v>
      </c>
      <c r="P94" s="177" t="str">
        <f t="shared" si="11"/>
        <v/>
      </c>
      <c r="Q94" s="179"/>
      <c r="R94" s="178">
        <v>79</v>
      </c>
      <c r="S94" s="177" t="str">
        <f t="shared" si="12"/>
        <v/>
      </c>
      <c r="V94" s="1">
        <v>37</v>
      </c>
      <c r="W94" s="1">
        <f t="shared" si="13"/>
        <v>80.524999813131245</v>
      </c>
      <c r="X94" s="1">
        <f t="shared" si="14"/>
        <v>21.800565958327859</v>
      </c>
      <c r="Y94" s="1">
        <v>0.8</v>
      </c>
      <c r="Z94" s="1" t="e">
        <f t="shared" si="15"/>
        <v>#N/A</v>
      </c>
      <c r="AA94" s="46">
        <v>2.2000000000000002</v>
      </c>
      <c r="AB94" s="1" t="e">
        <f t="shared" si="16"/>
        <v>#N/A</v>
      </c>
      <c r="AC94" s="1">
        <f t="shared" si="17"/>
        <v>0.8266475684940815</v>
      </c>
      <c r="AD94" s="1">
        <f t="shared" si="18"/>
        <v>3.530501201748848E-2</v>
      </c>
    </row>
    <row r="95" spans="15:30" ht="11.25" customHeight="1" x14ac:dyDescent="0.2">
      <c r="O95" s="159">
        <v>80</v>
      </c>
      <c r="P95" s="177" t="str">
        <f t="shared" si="11"/>
        <v/>
      </c>
      <c r="Q95" s="179"/>
      <c r="R95" s="178">
        <v>80</v>
      </c>
      <c r="S95" s="177" t="str">
        <f t="shared" si="12"/>
        <v/>
      </c>
      <c r="V95" s="1">
        <v>38</v>
      </c>
      <c r="W95" s="1">
        <f t="shared" si="13"/>
        <v>52.677130401337429</v>
      </c>
      <c r="X95" s="1">
        <f t="shared" si="14"/>
        <v>71.992349636156661</v>
      </c>
      <c r="Y95" s="1">
        <v>0.8</v>
      </c>
      <c r="Z95" s="1" t="e">
        <f t="shared" si="15"/>
        <v>#N/A</v>
      </c>
      <c r="AA95" s="46">
        <v>2.2000000000000002</v>
      </c>
      <c r="AB95" s="1" t="e">
        <f t="shared" si="16"/>
        <v>#N/A</v>
      </c>
      <c r="AC95" s="1">
        <f t="shared" si="17"/>
        <v>0.43135920539498329</v>
      </c>
      <c r="AD95" s="1">
        <f t="shared" si="18"/>
        <v>0.57914004102349281</v>
      </c>
    </row>
    <row r="96" spans="15:30" ht="11.25" customHeight="1" x14ac:dyDescent="0.2">
      <c r="O96" s="159">
        <v>81</v>
      </c>
      <c r="P96" s="177" t="str">
        <f t="shared" si="11"/>
        <v/>
      </c>
      <c r="Q96" s="179"/>
      <c r="R96" s="178">
        <v>81</v>
      </c>
      <c r="S96" s="177" t="str">
        <f t="shared" si="12"/>
        <v/>
      </c>
      <c r="V96" s="1">
        <v>39</v>
      </c>
      <c r="W96" s="1">
        <f t="shared" si="13"/>
        <v>67.42217735256213</v>
      </c>
      <c r="X96" s="1">
        <f t="shared" si="14"/>
        <v>105.67232211470957</v>
      </c>
      <c r="Y96" s="1">
        <v>0.8</v>
      </c>
      <c r="Z96" s="1" t="e">
        <f t="shared" si="15"/>
        <v>#N/A</v>
      </c>
      <c r="AA96" s="46">
        <v>2.2000000000000002</v>
      </c>
      <c r="AB96" s="1" t="e">
        <f t="shared" si="16"/>
        <v>#N/A</v>
      </c>
      <c r="AC96" s="1">
        <f t="shared" si="17"/>
        <v>0.66161950305104256</v>
      </c>
      <c r="AD96" s="1">
        <f t="shared" si="18"/>
        <v>0.93905546143651009</v>
      </c>
    </row>
    <row r="97" spans="15:30" ht="11.25" customHeight="1" x14ac:dyDescent="0.2">
      <c r="O97" s="159">
        <v>82</v>
      </c>
      <c r="P97" s="177" t="str">
        <f t="shared" si="11"/>
        <v/>
      </c>
      <c r="Q97" s="179"/>
      <c r="R97" s="178">
        <v>82</v>
      </c>
      <c r="S97" s="177" t="str">
        <f t="shared" si="12"/>
        <v/>
      </c>
      <c r="V97" s="1">
        <v>40</v>
      </c>
      <c r="W97" s="1">
        <f t="shared" si="13"/>
        <v>65.399960115518169</v>
      </c>
      <c r="X97" s="1">
        <f t="shared" si="14"/>
        <v>90.083607872860952</v>
      </c>
      <c r="Y97" s="1">
        <v>0.8</v>
      </c>
      <c r="Z97" s="1" t="e">
        <f t="shared" si="15"/>
        <v>#N/A</v>
      </c>
      <c r="AA97" s="46">
        <v>2.2000000000000002</v>
      </c>
      <c r="AB97" s="1" t="e">
        <f t="shared" si="16"/>
        <v>#N/A</v>
      </c>
      <c r="AC97" s="1">
        <f t="shared" si="17"/>
        <v>0.63156396523118019</v>
      </c>
      <c r="AD97" s="1">
        <f t="shared" si="18"/>
        <v>0.82208609953522682</v>
      </c>
    </row>
    <row r="98" spans="15:30" ht="11.25" customHeight="1" x14ac:dyDescent="0.2">
      <c r="O98" s="159">
        <v>83</v>
      </c>
      <c r="P98" s="177" t="str">
        <f t="shared" si="11"/>
        <v/>
      </c>
      <c r="Q98" s="179"/>
      <c r="R98" s="178">
        <v>83</v>
      </c>
      <c r="S98" s="177" t="str">
        <f t="shared" si="12"/>
        <v/>
      </c>
      <c r="V98" s="1">
        <v>41</v>
      </c>
      <c r="W98" s="1">
        <f t="shared" si="13"/>
        <v>84.306814991870567</v>
      </c>
      <c r="X98" s="1">
        <f t="shared" si="14"/>
        <v>78.865534110364095</v>
      </c>
      <c r="Y98" s="1">
        <v>0.8</v>
      </c>
      <c r="Z98" s="1" t="e">
        <f t="shared" si="15"/>
        <v>#N/A</v>
      </c>
      <c r="AA98" s="46">
        <v>2.2000000000000002</v>
      </c>
      <c r="AB98" s="1" t="e">
        <f t="shared" si="16"/>
        <v>#N/A</v>
      </c>
      <c r="AC98" s="1">
        <f t="shared" si="17"/>
        <v>0.86264334991574287</v>
      </c>
      <c r="AD98" s="1">
        <f t="shared" si="18"/>
        <v>0.68247156217694283</v>
      </c>
    </row>
    <row r="99" spans="15:30" ht="11.25" customHeight="1" x14ac:dyDescent="0.2">
      <c r="O99" s="159">
        <v>84</v>
      </c>
      <c r="P99" s="177" t="str">
        <f t="shared" si="11"/>
        <v/>
      </c>
      <c r="Q99" s="179"/>
      <c r="R99" s="178">
        <v>84</v>
      </c>
      <c r="S99" s="177" t="str">
        <f t="shared" si="12"/>
        <v/>
      </c>
      <c r="V99" s="1">
        <v>42</v>
      </c>
      <c r="W99" s="1">
        <f t="shared" si="13"/>
        <v>71.092510015511976</v>
      </c>
      <c r="X99" s="1">
        <f t="shared" si="14"/>
        <v>66.617707780644821</v>
      </c>
      <c r="Y99" s="1">
        <v>0.8</v>
      </c>
      <c r="Z99" s="1" t="e">
        <f t="shared" si="15"/>
        <v>#N/A</v>
      </c>
      <c r="AA99" s="46">
        <v>2.2000000000000002</v>
      </c>
      <c r="AB99" s="1" t="e">
        <f t="shared" si="16"/>
        <v>#N/A</v>
      </c>
      <c r="AC99" s="1">
        <f t="shared" si="17"/>
        <v>0.71352097764611244</v>
      </c>
      <c r="AD99" s="1">
        <f t="shared" si="18"/>
        <v>0.49389973655343056</v>
      </c>
    </row>
    <row r="100" spans="15:30" ht="11.25" customHeight="1" x14ac:dyDescent="0.2">
      <c r="O100" s="159">
        <v>85</v>
      </c>
      <c r="P100" s="177" t="str">
        <f t="shared" si="11"/>
        <v/>
      </c>
      <c r="Q100" s="179"/>
      <c r="R100" s="178">
        <v>85</v>
      </c>
      <c r="S100" s="177" t="str">
        <f t="shared" si="12"/>
        <v/>
      </c>
      <c r="V100" s="1">
        <v>43</v>
      </c>
      <c r="W100" s="1">
        <f t="shared" si="13"/>
        <v>16.410756457883309</v>
      </c>
      <c r="X100" s="1">
        <f t="shared" si="14"/>
        <v>86.835282103901918</v>
      </c>
      <c r="Y100" s="1">
        <v>0.8</v>
      </c>
      <c r="Z100" s="1" t="e">
        <f t="shared" si="15"/>
        <v>#N/A</v>
      </c>
      <c r="AA100" s="46">
        <v>2.2000000000000002</v>
      </c>
      <c r="AB100" s="1" t="e">
        <f t="shared" si="16"/>
        <v>#N/A</v>
      </c>
      <c r="AC100" s="1">
        <f t="shared" si="17"/>
        <v>5.2233833819627762E-2</v>
      </c>
      <c r="AD100" s="1">
        <f t="shared" si="18"/>
        <v>0.78623088076710701</v>
      </c>
    </row>
    <row r="101" spans="15:30" ht="11.25" customHeight="1" x14ac:dyDescent="0.2">
      <c r="O101" s="159">
        <v>86</v>
      </c>
      <c r="P101" s="177" t="str">
        <f t="shared" si="11"/>
        <v/>
      </c>
      <c r="Q101" s="179"/>
      <c r="R101" s="178">
        <v>86</v>
      </c>
      <c r="S101" s="177" t="str">
        <f t="shared" si="12"/>
        <v/>
      </c>
      <c r="V101" s="1">
        <v>44</v>
      </c>
      <c r="W101" s="1">
        <f t="shared" si="13"/>
        <v>4.1373973803347681</v>
      </c>
      <c r="X101" s="1">
        <f t="shared" si="14"/>
        <v>19.483209896660014</v>
      </c>
      <c r="Y101" s="1">
        <v>0.8</v>
      </c>
      <c r="Z101" s="1" t="e">
        <f t="shared" si="15"/>
        <v>#N/A</v>
      </c>
      <c r="AA101" s="46">
        <v>2.2000000000000002</v>
      </c>
      <c r="AB101" s="1" t="e">
        <f t="shared" si="16"/>
        <v>#N/A</v>
      </c>
      <c r="AC101" s="1">
        <f t="shared" si="17"/>
        <v>1.7236117273569107E-2</v>
      </c>
      <c r="AD101" s="1">
        <f t="shared" si="18"/>
        <v>2.8672520071268082E-2</v>
      </c>
    </row>
    <row r="102" spans="15:30" ht="11.25" customHeight="1" x14ac:dyDescent="0.2">
      <c r="O102" s="159">
        <v>87</v>
      </c>
      <c r="P102" s="177" t="str">
        <f t="shared" si="11"/>
        <v/>
      </c>
      <c r="Q102" s="179"/>
      <c r="R102" s="178">
        <v>87</v>
      </c>
      <c r="S102" s="177" t="str">
        <f t="shared" si="12"/>
        <v/>
      </c>
      <c r="V102" s="1">
        <v>45</v>
      </c>
      <c r="W102" s="1">
        <f t="shared" si="13"/>
        <v>50.459370567588856</v>
      </c>
      <c r="X102" s="1">
        <f t="shared" si="14"/>
        <v>71.629459804871161</v>
      </c>
      <c r="Y102" s="1">
        <v>0.8</v>
      </c>
      <c r="Z102" s="1" t="e">
        <f t="shared" si="15"/>
        <v>#N/A</v>
      </c>
      <c r="AA102" s="46">
        <v>2.2000000000000002</v>
      </c>
      <c r="AB102" s="1" t="e">
        <f t="shared" si="16"/>
        <v>#N/A</v>
      </c>
      <c r="AC102" s="1">
        <f t="shared" si="17"/>
        <v>0.39680521562695503</v>
      </c>
      <c r="AD102" s="1">
        <f t="shared" si="18"/>
        <v>0.57345544174313545</v>
      </c>
    </row>
    <row r="103" spans="15:30" ht="11.25" customHeight="1" x14ac:dyDescent="0.2">
      <c r="O103" s="159">
        <v>88</v>
      </c>
      <c r="P103" s="177" t="str">
        <f t="shared" si="11"/>
        <v/>
      </c>
      <c r="Q103" s="179"/>
      <c r="R103" s="178">
        <v>88</v>
      </c>
      <c r="S103" s="177" t="str">
        <f t="shared" si="12"/>
        <v/>
      </c>
      <c r="V103" s="1">
        <v>46</v>
      </c>
      <c r="W103" s="1">
        <f t="shared" si="13"/>
        <v>44.938341594042043</v>
      </c>
      <c r="X103" s="1">
        <f t="shared" si="14"/>
        <v>95.439505757689147</v>
      </c>
      <c r="Y103" s="1">
        <v>0.8</v>
      </c>
      <c r="Z103" s="1" t="e">
        <f t="shared" si="15"/>
        <v>#N/A</v>
      </c>
      <c r="AA103" s="46">
        <v>2.2000000000000002</v>
      </c>
      <c r="AB103" s="1" t="e">
        <f t="shared" si="16"/>
        <v>#N/A</v>
      </c>
      <c r="AC103" s="1">
        <f t="shared" si="17"/>
        <v>0.31473735347390175</v>
      </c>
      <c r="AD103" s="1">
        <f t="shared" si="18"/>
        <v>0.87235209718346596</v>
      </c>
    </row>
    <row r="104" spans="15:30" ht="11.25" customHeight="1" x14ac:dyDescent="0.2">
      <c r="O104" s="159">
        <v>89</v>
      </c>
      <c r="P104" s="177" t="str">
        <f t="shared" si="11"/>
        <v/>
      </c>
      <c r="Q104" s="179"/>
      <c r="R104" s="178">
        <v>89</v>
      </c>
      <c r="S104" s="177" t="str">
        <f t="shared" si="12"/>
        <v/>
      </c>
      <c r="V104" s="1">
        <v>47</v>
      </c>
      <c r="W104" s="1">
        <f t="shared" si="13"/>
        <v>65.053363432001362</v>
      </c>
      <c r="X104" s="1">
        <f t="shared" si="14"/>
        <v>54.774369640986876</v>
      </c>
      <c r="Y104" s="1">
        <v>0.8</v>
      </c>
      <c r="Z104" s="1" t="e">
        <f t="shared" si="15"/>
        <v>#N/A</v>
      </c>
      <c r="AA104" s="46">
        <v>2.2000000000000002</v>
      </c>
      <c r="AB104" s="1" t="e">
        <f t="shared" si="16"/>
        <v>#N/A</v>
      </c>
      <c r="AC104" s="1">
        <f t="shared" si="17"/>
        <v>0.626324612647295</v>
      </c>
      <c r="AD104" s="1">
        <f t="shared" si="18"/>
        <v>0.31241192296147346</v>
      </c>
    </row>
    <row r="105" spans="15:30" ht="11.25" customHeight="1" x14ac:dyDescent="0.2">
      <c r="O105" s="159">
        <v>90</v>
      </c>
      <c r="P105" s="177" t="str">
        <f t="shared" si="11"/>
        <v/>
      </c>
      <c r="Q105" s="179"/>
      <c r="R105" s="178">
        <v>90</v>
      </c>
      <c r="S105" s="177" t="str">
        <f t="shared" si="12"/>
        <v/>
      </c>
      <c r="V105" s="1">
        <v>48</v>
      </c>
      <c r="W105" s="1">
        <f t="shared" si="13"/>
        <v>41.5807267485946</v>
      </c>
      <c r="X105" s="1">
        <f t="shared" si="14"/>
        <v>53.236150605550279</v>
      </c>
      <c r="Y105" s="1">
        <v>0.8</v>
      </c>
      <c r="Z105" s="1" t="e">
        <f t="shared" si="15"/>
        <v>#N/A</v>
      </c>
      <c r="AA105" s="46">
        <v>2.2000000000000002</v>
      </c>
      <c r="AB105" s="1" t="e">
        <f t="shared" si="16"/>
        <v>#N/A</v>
      </c>
      <c r="AC105" s="1">
        <f t="shared" si="17"/>
        <v>0.26869291439652443</v>
      </c>
      <c r="AD105" s="1">
        <f t="shared" si="18"/>
        <v>0.29096973314881325</v>
      </c>
    </row>
    <row r="106" spans="15:30" ht="11.25" customHeight="1" x14ac:dyDescent="0.2">
      <c r="O106" s="159">
        <v>91</v>
      </c>
      <c r="P106" s="177" t="str">
        <f t="shared" si="11"/>
        <v/>
      </c>
      <c r="Q106" s="179"/>
      <c r="R106" s="178">
        <v>91</v>
      </c>
      <c r="S106" s="177" t="str">
        <f t="shared" si="12"/>
        <v/>
      </c>
      <c r="V106" s="1">
        <v>49</v>
      </c>
      <c r="W106" s="1">
        <f t="shared" si="13"/>
        <v>65.759493231831541</v>
      </c>
      <c r="X106" s="1">
        <f t="shared" si="14"/>
        <v>36.874094962148583</v>
      </c>
      <c r="Y106" s="1">
        <v>0.8</v>
      </c>
      <c r="Z106" s="1" t="e">
        <f t="shared" si="15"/>
        <v>#N/A</v>
      </c>
      <c r="AA106" s="46">
        <v>2.2000000000000002</v>
      </c>
      <c r="AB106" s="1" t="e">
        <f t="shared" si="16"/>
        <v>#N/A</v>
      </c>
      <c r="AC106" s="1">
        <f t="shared" si="17"/>
        <v>0.63697313144803047</v>
      </c>
      <c r="AD106" s="1">
        <f t="shared" si="18"/>
        <v>0.11409466341137886</v>
      </c>
    </row>
    <row r="107" spans="15:30" ht="11.25" customHeight="1" x14ac:dyDescent="0.2">
      <c r="O107" s="159">
        <v>92</v>
      </c>
      <c r="P107" s="177" t="str">
        <f t="shared" si="11"/>
        <v/>
      </c>
      <c r="Q107" s="179"/>
      <c r="R107" s="178">
        <v>92</v>
      </c>
      <c r="S107" s="177" t="str">
        <f t="shared" si="12"/>
        <v/>
      </c>
      <c r="V107" s="1">
        <v>50</v>
      </c>
      <c r="W107" s="1">
        <f t="shared" si="13"/>
        <v>63.019101930602062</v>
      </c>
      <c r="X107" s="1">
        <f t="shared" si="14"/>
        <v>37.290823359662149</v>
      </c>
      <c r="Y107" s="1">
        <v>0.8</v>
      </c>
      <c r="Z107" s="1" t="e">
        <f t="shared" si="15"/>
        <v>#N/A</v>
      </c>
      <c r="AA107" s="46">
        <v>2.2000000000000002</v>
      </c>
      <c r="AB107" s="1" t="e">
        <f t="shared" si="16"/>
        <v>#N/A</v>
      </c>
      <c r="AC107" s="1">
        <f t="shared" si="17"/>
        <v>0.59513101354241371</v>
      </c>
      <c r="AD107" s="1">
        <f t="shared" si="18"/>
        <v>0.11734441295266151</v>
      </c>
    </row>
    <row r="108" spans="15:30" ht="11.25" customHeight="1" x14ac:dyDescent="0.2">
      <c r="O108" s="159">
        <v>93</v>
      </c>
      <c r="P108" s="177" t="str">
        <f t="shared" si="11"/>
        <v/>
      </c>
      <c r="Q108" s="179"/>
      <c r="R108" s="178">
        <v>93</v>
      </c>
      <c r="S108" s="177" t="str">
        <f t="shared" si="12"/>
        <v/>
      </c>
      <c r="V108" s="1">
        <v>51</v>
      </c>
      <c r="W108" s="1">
        <f t="shared" si="13"/>
        <v>85.412619053426681</v>
      </c>
      <c r="X108" s="1">
        <f t="shared" si="14"/>
        <v>76.971646939559989</v>
      </c>
      <c r="Y108" s="1">
        <v>0.8</v>
      </c>
      <c r="Z108" s="1" t="e">
        <f t="shared" si="15"/>
        <v>#N/A</v>
      </c>
      <c r="AA108" s="46">
        <v>2.2000000000000002</v>
      </c>
      <c r="AB108" s="1" t="e">
        <f t="shared" si="16"/>
        <v>#N/A</v>
      </c>
      <c r="AC108" s="1">
        <f t="shared" si="17"/>
        <v>0.87212731316685677</v>
      </c>
      <c r="AD108" s="1">
        <f t="shared" si="18"/>
        <v>0.65500398352742195</v>
      </c>
    </row>
    <row r="109" spans="15:30" ht="11.25" customHeight="1" x14ac:dyDescent="0.2">
      <c r="O109" s="159">
        <v>94</v>
      </c>
      <c r="P109" s="177" t="str">
        <f t="shared" si="11"/>
        <v/>
      </c>
      <c r="Q109" s="179"/>
      <c r="R109" s="178">
        <v>94</v>
      </c>
      <c r="S109" s="177" t="str">
        <f t="shared" si="12"/>
        <v/>
      </c>
      <c r="V109" s="1">
        <v>52</v>
      </c>
      <c r="W109" s="1">
        <f t="shared" si="13"/>
        <v>55.075745819567125</v>
      </c>
      <c r="X109" s="1">
        <f t="shared" si="14"/>
        <v>57.388988273641488</v>
      </c>
      <c r="Y109" s="1">
        <v>0.8</v>
      </c>
      <c r="Z109" s="1" t="e">
        <f t="shared" si="15"/>
        <v>#N/A</v>
      </c>
      <c r="AA109" s="46">
        <v>2.2000000000000002</v>
      </c>
      <c r="AB109" s="1" t="e">
        <f t="shared" si="16"/>
        <v>#N/A</v>
      </c>
      <c r="AC109" s="1">
        <f t="shared" si="17"/>
        <v>0.46932363882660866</v>
      </c>
      <c r="AD109" s="1">
        <f t="shared" si="18"/>
        <v>0.35032600536942482</v>
      </c>
    </row>
    <row r="110" spans="15:30" ht="11.25" customHeight="1" x14ac:dyDescent="0.2">
      <c r="O110" s="159">
        <v>95</v>
      </c>
      <c r="P110" s="177" t="str">
        <f t="shared" si="11"/>
        <v/>
      </c>
      <c r="Q110" s="179"/>
      <c r="R110" s="178">
        <v>95</v>
      </c>
      <c r="S110" s="177" t="str">
        <f t="shared" si="12"/>
        <v/>
      </c>
      <c r="V110" s="1">
        <v>53</v>
      </c>
      <c r="W110" s="1">
        <f t="shared" si="13"/>
        <v>56.340266061514583</v>
      </c>
      <c r="X110" s="1">
        <f t="shared" si="14"/>
        <v>73.848349296612867</v>
      </c>
      <c r="Y110" s="1">
        <v>0.8</v>
      </c>
      <c r="Z110" s="1" t="e">
        <f t="shared" si="15"/>
        <v>#N/A</v>
      </c>
      <c r="AA110" s="46">
        <v>2.2000000000000002</v>
      </c>
      <c r="AB110" s="1" t="e">
        <f t="shared" si="16"/>
        <v>#N/A</v>
      </c>
      <c r="AC110" s="1">
        <f t="shared" si="17"/>
        <v>0.48947339132428169</v>
      </c>
      <c r="AD110" s="1">
        <f t="shared" si="18"/>
        <v>0.60793231800198555</v>
      </c>
    </row>
    <row r="111" spans="15:30" ht="11.25" customHeight="1" x14ac:dyDescent="0.2">
      <c r="O111" s="159">
        <v>96</v>
      </c>
      <c r="P111" s="177" t="str">
        <f t="shared" si="11"/>
        <v/>
      </c>
      <c r="Q111" s="179"/>
      <c r="R111" s="178">
        <v>96</v>
      </c>
      <c r="S111" s="177" t="str">
        <f t="shared" si="12"/>
        <v/>
      </c>
      <c r="V111" s="1">
        <v>54</v>
      </c>
      <c r="W111" s="1">
        <f t="shared" si="13"/>
        <v>42.160527920984933</v>
      </c>
      <c r="X111" s="1">
        <f t="shared" si="14"/>
        <v>32.393591622189376</v>
      </c>
      <c r="Y111" s="1">
        <v>0.8</v>
      </c>
      <c r="Z111" s="1" t="e">
        <f t="shared" si="15"/>
        <v>#N/A</v>
      </c>
      <c r="AA111" s="46">
        <v>2.2000000000000002</v>
      </c>
      <c r="AB111" s="1" t="e">
        <f t="shared" si="16"/>
        <v>#N/A</v>
      </c>
      <c r="AC111" s="1">
        <f t="shared" si="17"/>
        <v>0.27639690414071083</v>
      </c>
      <c r="AD111" s="1">
        <f t="shared" si="18"/>
        <v>8.3139989525079727E-2</v>
      </c>
    </row>
    <row r="112" spans="15:30" ht="11.25" customHeight="1" x14ac:dyDescent="0.2">
      <c r="O112" s="159">
        <v>97</v>
      </c>
      <c r="P112" s="177" t="str">
        <f t="shared" si="11"/>
        <v/>
      </c>
      <c r="Q112" s="179"/>
      <c r="R112" s="178">
        <v>97</v>
      </c>
      <c r="S112" s="177" t="str">
        <f t="shared" si="12"/>
        <v/>
      </c>
      <c r="V112" s="1">
        <v>55</v>
      </c>
      <c r="W112" s="1">
        <f t="shared" si="13"/>
        <v>65.599335493576262</v>
      </c>
      <c r="X112" s="1">
        <f t="shared" si="14"/>
        <v>116.46552847706351</v>
      </c>
      <c r="Y112" s="1">
        <v>0.8</v>
      </c>
      <c r="Z112" s="1" t="e">
        <f t="shared" si="15"/>
        <v>#N/A</v>
      </c>
      <c r="AA112" s="46">
        <v>2.2000000000000002</v>
      </c>
      <c r="AB112" s="1" t="e">
        <f t="shared" si="16"/>
        <v>#N/A</v>
      </c>
      <c r="AC112" s="1">
        <f t="shared" si="17"/>
        <v>0.63456686213612556</v>
      </c>
      <c r="AD112" s="1">
        <f t="shared" si="18"/>
        <v>0.97607066109776497</v>
      </c>
    </row>
    <row r="113" spans="15:30" ht="11.25" customHeight="1" x14ac:dyDescent="0.2">
      <c r="O113" s="159">
        <v>98</v>
      </c>
      <c r="P113" s="177" t="str">
        <f t="shared" si="11"/>
        <v/>
      </c>
      <c r="Q113" s="179"/>
      <c r="R113" s="178">
        <v>98</v>
      </c>
      <c r="S113" s="177" t="str">
        <f t="shared" si="12"/>
        <v/>
      </c>
      <c r="V113" s="1">
        <v>56</v>
      </c>
      <c r="W113" s="1">
        <f t="shared" si="13"/>
        <v>85.246271493633373</v>
      </c>
      <c r="X113" s="1">
        <f t="shared" si="14"/>
        <v>53.882526270219472</v>
      </c>
      <c r="Y113" s="1">
        <v>0.8</v>
      </c>
      <c r="Z113" s="1" t="e">
        <f t="shared" si="15"/>
        <v>#N/A</v>
      </c>
      <c r="AA113" s="46">
        <v>2.2000000000000002</v>
      </c>
      <c r="AB113" s="1" t="e">
        <f t="shared" si="16"/>
        <v>#N/A</v>
      </c>
      <c r="AC113" s="1">
        <f t="shared" si="17"/>
        <v>0.87073046341538429</v>
      </c>
      <c r="AD113" s="1">
        <f t="shared" si="18"/>
        <v>0.2998962439596653</v>
      </c>
    </row>
    <row r="114" spans="15:30" ht="11.25" customHeight="1" x14ac:dyDescent="0.2">
      <c r="O114" s="159">
        <v>99</v>
      </c>
      <c r="P114" s="177" t="str">
        <f t="shared" si="11"/>
        <v/>
      </c>
      <c r="Q114" s="179"/>
      <c r="R114" s="178">
        <v>99</v>
      </c>
      <c r="S114" s="177" t="str">
        <f t="shared" si="12"/>
        <v/>
      </c>
      <c r="V114" s="1">
        <v>57</v>
      </c>
      <c r="W114" s="1">
        <f t="shared" si="13"/>
        <v>99.033065653497573</v>
      </c>
      <c r="X114" s="1">
        <f t="shared" si="14"/>
        <v>56.568753160061135</v>
      </c>
      <c r="Y114" s="1">
        <v>0.8</v>
      </c>
      <c r="Z114" s="1" t="e">
        <f t="shared" si="15"/>
        <v>#N/A</v>
      </c>
      <c r="AA114" s="46">
        <v>2.2000000000000002</v>
      </c>
      <c r="AB114" s="1" t="e">
        <f t="shared" si="16"/>
        <v>#N/A</v>
      </c>
      <c r="AC114" s="1">
        <f t="shared" si="17"/>
        <v>0.95364986732602119</v>
      </c>
      <c r="AD114" s="1">
        <f t="shared" si="18"/>
        <v>0.33824782446026802</v>
      </c>
    </row>
    <row r="115" spans="15:30" ht="11.25" customHeight="1" x14ac:dyDescent="0.2">
      <c r="O115" s="159">
        <v>100</v>
      </c>
      <c r="P115" s="177" t="str">
        <f t="shared" si="11"/>
        <v/>
      </c>
      <c r="Q115" s="179"/>
      <c r="R115" s="178">
        <v>100</v>
      </c>
      <c r="S115" s="177" t="str">
        <f t="shared" si="12"/>
        <v/>
      </c>
      <c r="V115" s="1">
        <v>58</v>
      </c>
      <c r="W115" s="1">
        <f t="shared" si="13"/>
        <v>20.236630611030023</v>
      </c>
      <c r="X115" s="1">
        <f t="shared" si="14"/>
        <v>76.083490386123614</v>
      </c>
      <c r="Y115" s="1">
        <v>0.8</v>
      </c>
      <c r="Z115" s="1" t="e">
        <f t="shared" si="15"/>
        <v>#N/A</v>
      </c>
      <c r="AA115" s="46">
        <v>2.2000000000000002</v>
      </c>
      <c r="AB115" s="1" t="e">
        <f t="shared" si="16"/>
        <v>#N/A</v>
      </c>
      <c r="AC115" s="1">
        <f t="shared" si="17"/>
        <v>7.0708487182855606E-2</v>
      </c>
      <c r="AD115" s="1">
        <f t="shared" si="18"/>
        <v>0.6418243981897831</v>
      </c>
    </row>
    <row r="116" spans="15:30" ht="11.25" customHeight="1" x14ac:dyDescent="0.2">
      <c r="V116" s="1">
        <v>59</v>
      </c>
      <c r="W116" s="1">
        <f t="shared" si="13"/>
        <v>77.250781001631907</v>
      </c>
      <c r="X116" s="1">
        <f t="shared" si="14"/>
        <v>55.698647700952108</v>
      </c>
      <c r="Y116" s="1">
        <v>0.8</v>
      </c>
      <c r="Z116" s="1" t="e">
        <f t="shared" si="15"/>
        <v>#N/A</v>
      </c>
      <c r="AA116" s="46">
        <v>2.2000000000000002</v>
      </c>
      <c r="AB116" s="1" t="e">
        <f t="shared" si="16"/>
        <v>#N/A</v>
      </c>
      <c r="AC116" s="1">
        <f t="shared" si="17"/>
        <v>0.79103888943791389</v>
      </c>
      <c r="AD116" s="1">
        <f t="shared" si="18"/>
        <v>0.32561500743031502</v>
      </c>
    </row>
    <row r="117" spans="15:30" ht="11.25" customHeight="1" x14ac:dyDescent="0.2">
      <c r="V117" s="1">
        <v>60</v>
      </c>
      <c r="W117" s="1">
        <f t="shared" si="13"/>
        <v>33.913589599669592</v>
      </c>
      <c r="X117" s="1">
        <f t="shared" si="14"/>
        <v>54.411920721422263</v>
      </c>
      <c r="Y117" s="1">
        <v>0.8</v>
      </c>
      <c r="Z117" s="1" t="e">
        <f t="shared" si="15"/>
        <v>#N/A</v>
      </c>
      <c r="AA117" s="46">
        <v>2.2000000000000002</v>
      </c>
      <c r="AB117" s="1" t="e">
        <f t="shared" si="16"/>
        <v>#N/A</v>
      </c>
      <c r="AC117" s="1">
        <f t="shared" si="17"/>
        <v>0.17788470163941383</v>
      </c>
      <c r="AD117" s="1">
        <f t="shared" si="18"/>
        <v>0.30729824677109718</v>
      </c>
    </row>
    <row r="118" spans="15:30" ht="11.25" customHeight="1" x14ac:dyDescent="0.2">
      <c r="V118" s="1">
        <v>61</v>
      </c>
      <c r="W118" s="1">
        <f t="shared" si="13"/>
        <v>45.925856630114346</v>
      </c>
      <c r="X118" s="1">
        <f t="shared" si="14"/>
        <v>64.652114975970875</v>
      </c>
      <c r="Y118" s="1">
        <v>0.8</v>
      </c>
      <c r="Z118" s="1" t="e">
        <f t="shared" si="15"/>
        <v>#N/A</v>
      </c>
      <c r="AA118" s="46">
        <v>2.2000000000000002</v>
      </c>
      <c r="AB118" s="1" t="e">
        <f t="shared" si="16"/>
        <v>#N/A</v>
      </c>
      <c r="AC118" s="1">
        <f t="shared" si="17"/>
        <v>0.32889525964856148</v>
      </c>
      <c r="AD118" s="1">
        <f t="shared" si="18"/>
        <v>0.46258817985653877</v>
      </c>
    </row>
    <row r="119" spans="15:30" ht="11.25" customHeight="1" x14ac:dyDescent="0.2">
      <c r="V119" s="1">
        <v>62</v>
      </c>
      <c r="W119" s="1">
        <f t="shared" si="13"/>
        <v>85.412221836517816</v>
      </c>
      <c r="X119" s="1">
        <f t="shared" si="14"/>
        <v>89.151901230936744</v>
      </c>
      <c r="Y119" s="1">
        <v>0.8</v>
      </c>
      <c r="Z119" s="1" t="e">
        <f t="shared" si="15"/>
        <v>#N/A</v>
      </c>
      <c r="AA119" s="46">
        <v>2.2000000000000002</v>
      </c>
      <c r="AB119" s="1" t="e">
        <f t="shared" si="16"/>
        <v>#N/A</v>
      </c>
      <c r="AC119" s="1">
        <f t="shared" si="17"/>
        <v>0.87212399020791054</v>
      </c>
      <c r="AD119" s="1">
        <f t="shared" si="18"/>
        <v>0.81221172586083412</v>
      </c>
    </row>
    <row r="120" spans="15:30" ht="11.25" customHeight="1" x14ac:dyDescent="0.2">
      <c r="V120" s="1">
        <v>63</v>
      </c>
      <c r="W120" s="1">
        <f t="shared" si="13"/>
        <v>39.317576073763689</v>
      </c>
      <c r="X120" s="1">
        <f t="shared" si="14"/>
        <v>89.63382318189278</v>
      </c>
      <c r="Y120" s="1">
        <v>0.8</v>
      </c>
      <c r="Z120" s="1" t="e">
        <f t="shared" si="15"/>
        <v>#N/A</v>
      </c>
      <c r="AA120" s="46">
        <v>2.2000000000000002</v>
      </c>
      <c r="AB120" s="1" t="e">
        <f t="shared" si="16"/>
        <v>#N/A</v>
      </c>
      <c r="AC120" s="1">
        <f t="shared" si="17"/>
        <v>0.23969097808003426</v>
      </c>
      <c r="AD120" s="1">
        <f t="shared" si="18"/>
        <v>0.8173607774078846</v>
      </c>
    </row>
    <row r="121" spans="15:30" ht="11.25" customHeight="1" x14ac:dyDescent="0.2">
      <c r="V121" s="1">
        <v>64</v>
      </c>
      <c r="W121" s="1">
        <f t="shared" si="13"/>
        <v>88.585805933405595</v>
      </c>
      <c r="X121" s="1">
        <f t="shared" si="14"/>
        <v>60.651370324799657</v>
      </c>
      <c r="Y121" s="1">
        <v>0.8</v>
      </c>
      <c r="Z121" s="1" t="e">
        <f t="shared" si="15"/>
        <v>#N/A</v>
      </c>
      <c r="AA121" s="46">
        <v>2.2000000000000002</v>
      </c>
      <c r="AB121" s="1" t="e">
        <f t="shared" si="16"/>
        <v>#N/A</v>
      </c>
      <c r="AC121" s="1">
        <f t="shared" si="17"/>
        <v>0.89678305760025978</v>
      </c>
      <c r="AD121" s="1">
        <f t="shared" si="18"/>
        <v>0.39976895228028297</v>
      </c>
    </row>
    <row r="122" spans="15:30" ht="11.25" customHeight="1" x14ac:dyDescent="0.2">
      <c r="V122" s="1">
        <v>65</v>
      </c>
      <c r="W122" s="1">
        <f t="shared" ref="W122:W157" si="19">$A$5+$A$4*NORMSINV(AC122)</f>
        <v>38.871440740524818</v>
      </c>
      <c r="X122" s="1">
        <f t="shared" ref="X122:X157" si="20">$A$3+$A$4*NORMSINV(AD122)</f>
        <v>81.556128159470646</v>
      </c>
      <c r="Y122" s="1">
        <v>0.8</v>
      </c>
      <c r="Z122" s="1" t="e">
        <f t="shared" ref="Z122:Z157" si="21">IF(AND(V122&lt;=$A$2,$D$4,$D$2,$AX$21),W122,NA())</f>
        <v>#N/A</v>
      </c>
      <c r="AA122" s="46">
        <v>2.2000000000000002</v>
      </c>
      <c r="AB122" s="1" t="e">
        <f t="shared" ref="AB122:AB157" si="22">IF(AND(V122&lt;=$A$6,$D$4,$D$2,$AX$22),X122,NA())</f>
        <v>#N/A</v>
      </c>
      <c r="AC122" s="1">
        <f t="shared" si="17"/>
        <v>0.23418234661221504</v>
      </c>
      <c r="AD122" s="1">
        <f t="shared" si="18"/>
        <v>0.71979920938611031</v>
      </c>
    </row>
    <row r="123" spans="15:30" ht="11.25" customHeight="1" x14ac:dyDescent="0.2">
      <c r="V123" s="1">
        <v>66</v>
      </c>
      <c r="W123" s="1">
        <f t="shared" si="19"/>
        <v>57.657605555286025</v>
      </c>
      <c r="X123" s="1">
        <f t="shared" si="20"/>
        <v>63.937455935014327</v>
      </c>
      <c r="Y123" s="1">
        <v>0.8</v>
      </c>
      <c r="Z123" s="1" t="e">
        <f t="shared" si="21"/>
        <v>#N/A</v>
      </c>
      <c r="AA123" s="46">
        <v>2.2000000000000002</v>
      </c>
      <c r="AB123" s="1" t="e">
        <f t="shared" si="22"/>
        <v>#N/A</v>
      </c>
      <c r="AC123" s="1">
        <f t="shared" ref="AC123:AC157" si="23">MOD(AC122*10000013,1)</f>
        <v>0.51049265637993813</v>
      </c>
      <c r="AD123" s="1">
        <f t="shared" ref="AD123:AD157" si="24">MOD(AD122*10000013,1)</f>
        <v>0.4512508250772953</v>
      </c>
    </row>
    <row r="124" spans="15:30" ht="11.25" customHeight="1" x14ac:dyDescent="0.2">
      <c r="V124" s="1">
        <v>67</v>
      </c>
      <c r="W124" s="1">
        <f t="shared" si="19"/>
        <v>35.977672684406841</v>
      </c>
      <c r="X124" s="1">
        <f t="shared" si="20"/>
        <v>37.25133353550077</v>
      </c>
      <c r="Y124" s="1">
        <v>0.8</v>
      </c>
      <c r="Z124" s="1" t="e">
        <f t="shared" si="21"/>
        <v>#N/A</v>
      </c>
      <c r="AA124" s="46">
        <v>2.2000000000000002</v>
      </c>
      <c r="AB124" s="1" t="e">
        <f t="shared" si="22"/>
        <v>#N/A</v>
      </c>
      <c r="AC124" s="1">
        <f t="shared" si="23"/>
        <v>0.20020391419529915</v>
      </c>
      <c r="AD124" s="1">
        <f t="shared" si="24"/>
        <v>0.11703367903828621</v>
      </c>
    </row>
    <row r="125" spans="15:30" ht="11.25" customHeight="1" x14ac:dyDescent="0.2">
      <c r="V125" s="1">
        <v>68</v>
      </c>
      <c r="W125" s="1">
        <f t="shared" si="19"/>
        <v>73.440114610885061</v>
      </c>
      <c r="X125" s="1">
        <f t="shared" si="20"/>
        <v>54.732596577175592</v>
      </c>
      <c r="Y125" s="1">
        <v>0.8</v>
      </c>
      <c r="Z125" s="1" t="e">
        <f t="shared" si="21"/>
        <v>#N/A</v>
      </c>
      <c r="AA125" s="46">
        <v>2.2000000000000002</v>
      </c>
      <c r="AB125" s="1" t="e">
        <f t="shared" si="22"/>
        <v>#N/A</v>
      </c>
      <c r="AC125" s="1">
        <f t="shared" si="23"/>
        <v>0.74460387602448463</v>
      </c>
      <c r="AD125" s="1">
        <f t="shared" si="24"/>
        <v>0.31182068958878517</v>
      </c>
    </row>
    <row r="126" spans="15:30" ht="11.25" customHeight="1" x14ac:dyDescent="0.2">
      <c r="V126" s="1">
        <v>69</v>
      </c>
      <c r="W126" s="1">
        <f t="shared" si="19"/>
        <v>53.231805848890993</v>
      </c>
      <c r="X126" s="1">
        <f t="shared" si="20"/>
        <v>108.01429084934878</v>
      </c>
      <c r="Y126" s="1">
        <v>0.8</v>
      </c>
      <c r="Z126" s="1" t="e">
        <f t="shared" si="21"/>
        <v>#N/A</v>
      </c>
      <c r="AA126" s="46">
        <v>2.2000000000000002</v>
      </c>
      <c r="AB126" s="1" t="e">
        <f t="shared" si="22"/>
        <v>#N/A</v>
      </c>
      <c r="AC126" s="1">
        <f t="shared" si="23"/>
        <v>0.44009523466229439</v>
      </c>
      <c r="AD126" s="1">
        <f t="shared" si="24"/>
        <v>0.94955681636929512</v>
      </c>
    </row>
    <row r="127" spans="15:30" ht="11.25" customHeight="1" x14ac:dyDescent="0.2">
      <c r="V127" s="1">
        <v>70</v>
      </c>
      <c r="W127" s="1">
        <f t="shared" si="19"/>
        <v>19.702178314818148</v>
      </c>
      <c r="X127" s="1">
        <f t="shared" si="20"/>
        <v>67.497069813595246</v>
      </c>
      <c r="Y127" s="1">
        <v>0.8</v>
      </c>
      <c r="Z127" s="1" t="e">
        <f t="shared" si="21"/>
        <v>#N/A</v>
      </c>
      <c r="AA127" s="46">
        <v>2.2000000000000002</v>
      </c>
      <c r="AB127" s="1" t="e">
        <f t="shared" si="22"/>
        <v>#N/A</v>
      </c>
      <c r="AC127" s="1">
        <f t="shared" si="23"/>
        <v>6.786099448800087E-2</v>
      </c>
      <c r="AD127" s="1">
        <f t="shared" si="24"/>
        <v>0.50793156400322914</v>
      </c>
    </row>
    <row r="128" spans="15:30" ht="11.25" customHeight="1" x14ac:dyDescent="0.2">
      <c r="V128" s="1">
        <v>71</v>
      </c>
      <c r="W128" s="1">
        <f t="shared" si="19"/>
        <v>80.566534860396729</v>
      </c>
      <c r="X128" s="1">
        <f t="shared" si="20"/>
        <v>49.59426772866091</v>
      </c>
      <c r="Y128" s="1">
        <v>0.8</v>
      </c>
      <c r="Z128" s="1" t="e">
        <f t="shared" si="21"/>
        <v>#N/A</v>
      </c>
      <c r="AA128" s="46">
        <v>2.2000000000000002</v>
      </c>
      <c r="AB128" s="1" t="e">
        <f t="shared" si="22"/>
        <v>#N/A</v>
      </c>
      <c r="AC128" s="1">
        <f t="shared" si="23"/>
        <v>0.82707293704152107</v>
      </c>
      <c r="AD128" s="1">
        <f t="shared" si="24"/>
        <v>0.24314262345433235</v>
      </c>
    </row>
    <row r="129" spans="22:30" ht="11.25" customHeight="1" x14ac:dyDescent="0.2">
      <c r="V129" s="1">
        <v>72</v>
      </c>
      <c r="W129" s="1">
        <f t="shared" si="19"/>
        <v>27.918669811630053</v>
      </c>
      <c r="X129" s="1">
        <f t="shared" si="20"/>
        <v>60.368035259791661</v>
      </c>
      <c r="Y129" s="1">
        <v>0.8</v>
      </c>
      <c r="Z129" s="1" t="e">
        <f t="shared" si="21"/>
        <v>#N/A</v>
      </c>
      <c r="AA129" s="46">
        <v>2.2000000000000002</v>
      </c>
      <c r="AB129" s="1" t="e">
        <f t="shared" si="22"/>
        <v>#N/A</v>
      </c>
      <c r="AC129" s="1">
        <f t="shared" si="23"/>
        <v>0.12236339226365089</v>
      </c>
      <c r="AD129" s="1">
        <f t="shared" si="24"/>
        <v>0.39539742842316628</v>
      </c>
    </row>
    <row r="130" spans="22:30" ht="11.25" customHeight="1" x14ac:dyDescent="0.2">
      <c r="V130" s="1">
        <v>73</v>
      </c>
      <c r="W130" s="1">
        <f t="shared" si="19"/>
        <v>57.83740853733493</v>
      </c>
      <c r="X130" s="1">
        <f t="shared" si="20"/>
        <v>62.233643117770875</v>
      </c>
      <c r="Y130" s="1">
        <v>0.8</v>
      </c>
      <c r="Z130" s="1" t="e">
        <f t="shared" si="21"/>
        <v>#N/A</v>
      </c>
      <c r="AA130" s="46">
        <v>2.2000000000000002</v>
      </c>
      <c r="AB130" s="1" t="e">
        <f t="shared" si="22"/>
        <v>#N/A</v>
      </c>
      <c r="AC130" s="1">
        <f t="shared" si="23"/>
        <v>0.51336060836911201</v>
      </c>
      <c r="AD130" s="1">
        <f t="shared" si="24"/>
        <v>0.42439823225140572</v>
      </c>
    </row>
    <row r="131" spans="22:30" ht="11.25" customHeight="1" x14ac:dyDescent="0.2">
      <c r="V131" s="1">
        <v>74</v>
      </c>
      <c r="W131" s="1">
        <f t="shared" si="19"/>
        <v>74.447411751904568</v>
      </c>
      <c r="X131" s="1">
        <f t="shared" si="20"/>
        <v>91.829725553898527</v>
      </c>
      <c r="Y131" s="1">
        <v>0.8</v>
      </c>
      <c r="Z131" s="1" t="e">
        <f t="shared" si="21"/>
        <v>#N/A</v>
      </c>
      <c r="AA131" s="46">
        <v>2.2000000000000002</v>
      </c>
      <c r="AB131" s="1" t="e">
        <f t="shared" si="22"/>
        <v>#N/A</v>
      </c>
      <c r="AC131" s="1">
        <f t="shared" si="23"/>
        <v>0.75737902894616127</v>
      </c>
      <c r="AD131" s="1">
        <f t="shared" si="24"/>
        <v>0.83969107642769814</v>
      </c>
    </row>
    <row r="132" spans="22:30" ht="11.25" customHeight="1" x14ac:dyDescent="0.2">
      <c r="V132" s="1">
        <v>75</v>
      </c>
      <c r="W132" s="1">
        <f t="shared" si="19"/>
        <v>29.468181863177055</v>
      </c>
      <c r="X132" s="1">
        <f t="shared" si="20"/>
        <v>78.710717425589905</v>
      </c>
      <c r="Y132" s="1">
        <v>0.8</v>
      </c>
      <c r="Z132" s="1" t="e">
        <f t="shared" si="21"/>
        <v>#N/A</v>
      </c>
      <c r="AA132" s="46">
        <v>2.2000000000000002</v>
      </c>
      <c r="AB132" s="1" t="e">
        <f t="shared" si="22"/>
        <v>#N/A</v>
      </c>
      <c r="AC132" s="1">
        <f t="shared" si="23"/>
        <v>0.13538898900151253</v>
      </c>
      <c r="AD132" s="1">
        <f t="shared" si="24"/>
        <v>0.68026097491383553</v>
      </c>
    </row>
    <row r="133" spans="22:30" ht="11.25" customHeight="1" x14ac:dyDescent="0.2">
      <c r="V133" s="1">
        <v>76</v>
      </c>
      <c r="W133" s="1">
        <f t="shared" si="19"/>
        <v>66.637870271385907</v>
      </c>
      <c r="X133" s="1">
        <f t="shared" si="20"/>
        <v>72.851514719226316</v>
      </c>
      <c r="Y133" s="1">
        <v>0.8</v>
      </c>
      <c r="Z133" s="1" t="e">
        <f t="shared" si="21"/>
        <v>#N/A</v>
      </c>
      <c r="AA133" s="46">
        <v>2.2000000000000002</v>
      </c>
      <c r="AB133" s="1" t="e">
        <f t="shared" si="22"/>
        <v>#N/A</v>
      </c>
      <c r="AC133" s="1">
        <f t="shared" si="23"/>
        <v>0.65007198229432106</v>
      </c>
      <c r="AD133" s="1">
        <f t="shared" si="24"/>
        <v>0.59253102913498878</v>
      </c>
    </row>
    <row r="134" spans="22:30" ht="11.25" customHeight="1" x14ac:dyDescent="0.2">
      <c r="V134" s="1">
        <v>77</v>
      </c>
      <c r="W134" s="1">
        <f t="shared" si="19"/>
        <v>41.971921079945616</v>
      </c>
      <c r="X134" s="1">
        <f t="shared" si="20"/>
        <v>130.18315708750379</v>
      </c>
      <c r="Y134" s="1">
        <v>0.8</v>
      </c>
      <c r="Z134" s="1" t="e">
        <f t="shared" si="21"/>
        <v>#N/A</v>
      </c>
      <c r="AA134" s="46">
        <v>2.2000000000000002</v>
      </c>
      <c r="AB134" s="1" t="e">
        <f t="shared" si="22"/>
        <v>#N/A</v>
      </c>
      <c r="AC134" s="1">
        <f t="shared" si="23"/>
        <v>0.27387898042798042</v>
      </c>
      <c r="AD134" s="1">
        <f t="shared" si="24"/>
        <v>0.99425326660275459</v>
      </c>
    </row>
    <row r="135" spans="22:30" ht="11.25" customHeight="1" x14ac:dyDescent="0.2">
      <c r="V135" s="1">
        <v>78</v>
      </c>
      <c r="W135" s="1">
        <f t="shared" si="19"/>
        <v>48.35234135947141</v>
      </c>
      <c r="X135" s="1">
        <f t="shared" si="20"/>
        <v>72.773546292567715</v>
      </c>
      <c r="Y135" s="1">
        <v>0.8</v>
      </c>
      <c r="Z135" s="1" t="e">
        <f t="shared" si="21"/>
        <v>#N/A</v>
      </c>
      <c r="AA135" s="46">
        <v>2.2000000000000002</v>
      </c>
      <c r="AB135" s="1" t="e">
        <f t="shared" si="22"/>
        <v>#N/A</v>
      </c>
      <c r="AC135" s="1">
        <f t="shared" si="23"/>
        <v>0.36470654979348183</v>
      </c>
      <c r="AD135" s="1">
        <f t="shared" si="24"/>
        <v>0.59132001176476479</v>
      </c>
    </row>
    <row r="136" spans="22:30" ht="11.25" customHeight="1" x14ac:dyDescent="0.2">
      <c r="V136" s="1">
        <v>79</v>
      </c>
      <c r="W136" s="1">
        <f t="shared" si="19"/>
        <v>39.271593815937436</v>
      </c>
      <c r="X136" s="1">
        <f t="shared" si="20"/>
        <v>88.473011597691311</v>
      </c>
      <c r="Y136" s="1">
        <v>0.8</v>
      </c>
      <c r="Z136" s="1" t="e">
        <f t="shared" si="21"/>
        <v>#N/A</v>
      </c>
      <c r="AA136" s="46">
        <v>2.2000000000000002</v>
      </c>
      <c r="AB136" s="1" t="e">
        <f t="shared" si="22"/>
        <v>#N/A</v>
      </c>
      <c r="AC136" s="1">
        <f t="shared" si="23"/>
        <v>0.23911996558308601</v>
      </c>
      <c r="AD136" s="1">
        <f t="shared" si="24"/>
        <v>0.80480780079960823</v>
      </c>
    </row>
    <row r="137" spans="22:30" ht="11.25" customHeight="1" x14ac:dyDescent="0.2">
      <c r="V137" s="1">
        <v>80</v>
      </c>
      <c r="W137" s="1">
        <f t="shared" si="19"/>
        <v>75.012419784497396</v>
      </c>
      <c r="X137" s="1">
        <f t="shared" si="20"/>
        <v>65.149516155125198</v>
      </c>
      <c r="Y137" s="1">
        <v>0.8</v>
      </c>
      <c r="Z137" s="1" t="e">
        <f t="shared" si="21"/>
        <v>#N/A</v>
      </c>
      <c r="AA137" s="46">
        <v>2.2000000000000002</v>
      </c>
      <c r="AB137" s="1" t="e">
        <f t="shared" si="22"/>
        <v>#N/A</v>
      </c>
      <c r="AC137" s="1">
        <f t="shared" si="23"/>
        <v>0.76439041271805763</v>
      </c>
      <c r="AD137" s="1">
        <f t="shared" si="24"/>
        <v>0.4704974927008152</v>
      </c>
    </row>
    <row r="138" spans="22:30" ht="11.25" customHeight="1" x14ac:dyDescent="0.2">
      <c r="V138" s="1">
        <v>81</v>
      </c>
      <c r="W138" s="1">
        <f t="shared" si="19"/>
        <v>19.000090287737713</v>
      </c>
      <c r="X138" s="1">
        <f t="shared" si="20"/>
        <v>24.207384154007109</v>
      </c>
      <c r="Y138" s="1">
        <v>0.8</v>
      </c>
      <c r="Z138" s="1" t="e">
        <f t="shared" si="21"/>
        <v>#N/A</v>
      </c>
      <c r="AA138" s="46">
        <v>2.2000000000000002</v>
      </c>
      <c r="AB138" s="1" t="e">
        <f t="shared" si="22"/>
        <v>#N/A</v>
      </c>
      <c r="AC138" s="1">
        <f t="shared" si="23"/>
        <v>6.4255941659212112E-2</v>
      </c>
      <c r="AD138" s="1">
        <f t="shared" si="24"/>
        <v>4.3475557118654251E-2</v>
      </c>
    </row>
    <row r="139" spans="22:30" ht="11.25" customHeight="1" x14ac:dyDescent="0.2">
      <c r="V139" s="1">
        <v>82</v>
      </c>
      <c r="W139" s="1">
        <f t="shared" si="19"/>
        <v>40.288449797180988</v>
      </c>
      <c r="X139" s="1">
        <f t="shared" si="20"/>
        <v>39.580499715978299</v>
      </c>
      <c r="Y139" s="1">
        <v>0.8</v>
      </c>
      <c r="Z139" s="1" t="e">
        <f t="shared" si="21"/>
        <v>#N/A</v>
      </c>
      <c r="AA139" s="46">
        <v>2.2000000000000002</v>
      </c>
      <c r="AB139" s="1" t="e">
        <f t="shared" si="22"/>
        <v>#N/A</v>
      </c>
      <c r="AC139" s="1">
        <f t="shared" si="23"/>
        <v>0.25191936269402504</v>
      </c>
      <c r="AD139" s="1">
        <f t="shared" si="24"/>
        <v>0.13636878505349159</v>
      </c>
    </row>
    <row r="140" spans="22:30" ht="11.25" customHeight="1" x14ac:dyDescent="0.2">
      <c r="V140" s="1">
        <v>83</v>
      </c>
      <c r="W140" s="1">
        <f t="shared" si="19"/>
        <v>89.310186892561063</v>
      </c>
      <c r="X140" s="1">
        <f t="shared" si="20"/>
        <v>74.855901502490795</v>
      </c>
      <c r="Y140" s="1">
        <v>0.8</v>
      </c>
      <c r="Z140" s="1" t="e">
        <f t="shared" si="21"/>
        <v>#N/A</v>
      </c>
      <c r="AA140" s="46">
        <v>2.2000000000000002</v>
      </c>
      <c r="AB140" s="1" t="e">
        <f t="shared" si="22"/>
        <v>#N/A</v>
      </c>
      <c r="AC140" s="1">
        <f t="shared" si="23"/>
        <v>0.90189196541905403</v>
      </c>
      <c r="AD140" s="1">
        <f t="shared" si="24"/>
        <v>0.62332912161946297</v>
      </c>
    </row>
    <row r="141" spans="22:30" ht="11.25" customHeight="1" x14ac:dyDescent="0.2">
      <c r="V141" s="1">
        <v>84</v>
      </c>
      <c r="W141" s="1">
        <f t="shared" si="19"/>
        <v>49.283237342760472</v>
      </c>
      <c r="X141" s="1">
        <f t="shared" si="20"/>
        <v>55.270690335023723</v>
      </c>
      <c r="Y141" s="1">
        <v>0.8</v>
      </c>
      <c r="Z141" s="1" t="e">
        <f t="shared" si="21"/>
        <v>#N/A</v>
      </c>
      <c r="AA141" s="46">
        <v>2.2000000000000002</v>
      </c>
      <c r="AB141" s="1" t="e">
        <f t="shared" si="22"/>
        <v>#N/A</v>
      </c>
      <c r="AC141" s="1">
        <f t="shared" si="23"/>
        <v>0.37878609076142311</v>
      </c>
      <c r="AD141" s="1">
        <f t="shared" si="24"/>
        <v>0.31947321072220802</v>
      </c>
    </row>
    <row r="142" spans="22:30" ht="11.25" customHeight="1" x14ac:dyDescent="0.2">
      <c r="V142" s="1">
        <v>85</v>
      </c>
      <c r="W142" s="1">
        <f t="shared" si="19"/>
        <v>81.035890677371611</v>
      </c>
      <c r="X142" s="1">
        <f t="shared" si="20"/>
        <v>50.945165825568147</v>
      </c>
      <c r="Y142" s="1">
        <v>0.8</v>
      </c>
      <c r="Z142" s="1" t="e">
        <f t="shared" si="21"/>
        <v>#N/A</v>
      </c>
      <c r="AA142" s="46">
        <v>2.2000000000000002</v>
      </c>
      <c r="AB142" s="1" t="e">
        <f t="shared" si="22"/>
        <v>#N/A</v>
      </c>
      <c r="AC142" s="1">
        <f t="shared" si="23"/>
        <v>0.83183341100811958</v>
      </c>
      <c r="AD142" s="1">
        <f t="shared" si="24"/>
        <v>0.26037381961941719</v>
      </c>
    </row>
    <row r="143" spans="22:30" ht="11.25" customHeight="1" x14ac:dyDescent="0.2">
      <c r="V143" s="1">
        <v>86</v>
      </c>
      <c r="W143" s="1">
        <f t="shared" si="19"/>
        <v>92.797807458914519</v>
      </c>
      <c r="X143" s="1">
        <f t="shared" si="20"/>
        <v>72.114753932391011</v>
      </c>
      <c r="Y143" s="1">
        <v>0.8</v>
      </c>
      <c r="Z143" s="1" t="e">
        <f t="shared" si="21"/>
        <v>#N/A</v>
      </c>
      <c r="AA143" s="46">
        <v>2.2000000000000002</v>
      </c>
      <c r="AB143" s="1" t="e">
        <f t="shared" si="22"/>
        <v>#N/A</v>
      </c>
      <c r="AC143" s="1">
        <f t="shared" si="23"/>
        <v>0.92391553893685341</v>
      </c>
      <c r="AD143" s="1">
        <f t="shared" si="24"/>
        <v>0.58105382695794106</v>
      </c>
    </row>
    <row r="144" spans="22:30" ht="11.25" customHeight="1" x14ac:dyDescent="0.2">
      <c r="V144" s="1">
        <v>87</v>
      </c>
      <c r="W144" s="1">
        <f t="shared" si="19"/>
        <v>50.683827373208473</v>
      </c>
      <c r="X144" s="1">
        <f t="shared" si="20"/>
        <v>90.198356190928436</v>
      </c>
      <c r="Y144" s="1">
        <v>0.8</v>
      </c>
      <c r="Z144" s="1" t="e">
        <f t="shared" si="21"/>
        <v>#N/A</v>
      </c>
      <c r="AA144" s="46">
        <v>2.2000000000000002</v>
      </c>
      <c r="AB144" s="1" t="e">
        <f t="shared" si="22"/>
        <v>#N/A</v>
      </c>
      <c r="AC144" s="1">
        <f t="shared" si="23"/>
        <v>0.40027054026722908</v>
      </c>
      <c r="AD144" s="1">
        <f t="shared" si="24"/>
        <v>0.82327916100621223</v>
      </c>
    </row>
    <row r="145" spans="22:30" ht="11.25" customHeight="1" x14ac:dyDescent="0.2">
      <c r="V145" s="1">
        <v>88</v>
      </c>
      <c r="W145" s="1">
        <f t="shared" si="19"/>
        <v>63.735016723410673</v>
      </c>
      <c r="X145" s="1">
        <f t="shared" si="20"/>
        <v>54.794090928058857</v>
      </c>
      <c r="Y145" s="1">
        <v>0.8</v>
      </c>
      <c r="Z145" s="1" t="e">
        <f t="shared" si="21"/>
        <v>#N/A</v>
      </c>
      <c r="AA145" s="46">
        <v>2.2000000000000002</v>
      </c>
      <c r="AB145" s="1" t="e">
        <f t="shared" si="22"/>
        <v>#N/A</v>
      </c>
      <c r="AC145" s="1">
        <f t="shared" si="23"/>
        <v>0.60618931427598</v>
      </c>
      <c r="AD145" s="1">
        <f t="shared" si="24"/>
        <v>0.31269121542572975</v>
      </c>
    </row>
    <row r="146" spans="22:30" ht="11.25" customHeight="1" x14ac:dyDescent="0.2">
      <c r="V146" s="1">
        <v>89</v>
      </c>
      <c r="W146" s="1">
        <f t="shared" si="19"/>
        <v>7.2161018591580799</v>
      </c>
      <c r="X146" s="1">
        <f t="shared" si="20"/>
        <v>47.631199092812196</v>
      </c>
      <c r="Y146" s="1">
        <v>0.8</v>
      </c>
      <c r="Z146" s="1" t="e">
        <f t="shared" si="21"/>
        <v>#N/A</v>
      </c>
      <c r="AA146" s="46">
        <v>2.2000000000000002</v>
      </c>
      <c r="AB146" s="1" t="e">
        <f t="shared" si="22"/>
        <v>#N/A</v>
      </c>
      <c r="AC146" s="1">
        <f t="shared" si="23"/>
        <v>2.3220885545015335E-2</v>
      </c>
      <c r="AD146" s="1">
        <f t="shared" si="24"/>
        <v>0.21924309805035591</v>
      </c>
    </row>
    <row r="147" spans="22:30" ht="11.25" customHeight="1" x14ac:dyDescent="0.2">
      <c r="V147" s="1">
        <v>90</v>
      </c>
      <c r="W147" s="1">
        <f t="shared" si="19"/>
        <v>31.861834131080972</v>
      </c>
      <c r="X147" s="1">
        <f t="shared" si="20"/>
        <v>90.919795963450539</v>
      </c>
      <c r="Y147" s="1">
        <v>0.8</v>
      </c>
      <c r="Z147" s="1" t="e">
        <f t="shared" si="21"/>
        <v>#N/A</v>
      </c>
      <c r="AA147" s="46">
        <v>2.2000000000000002</v>
      </c>
      <c r="AB147" s="1" t="e">
        <f t="shared" si="22"/>
        <v>#N/A</v>
      </c>
      <c r="AC147" s="1">
        <f t="shared" si="23"/>
        <v>0.15732166543602943</v>
      </c>
      <c r="AD147" s="1">
        <f t="shared" si="24"/>
        <v>0.83066383376717567</v>
      </c>
    </row>
    <row r="148" spans="22:30" ht="11.25" customHeight="1" x14ac:dyDescent="0.2">
      <c r="V148" s="1">
        <v>91</v>
      </c>
      <c r="W148" s="1">
        <f t="shared" si="19"/>
        <v>70.077088838886226</v>
      </c>
      <c r="X148" s="1">
        <f t="shared" si="20"/>
        <v>39.572815215366177</v>
      </c>
      <c r="Y148" s="1">
        <v>0.8</v>
      </c>
      <c r="Z148" s="1" t="e">
        <f t="shared" si="21"/>
        <v>#N/A</v>
      </c>
      <c r="AA148" s="46">
        <v>2.2000000000000002</v>
      </c>
      <c r="AB148" s="1" t="e">
        <f t="shared" si="22"/>
        <v>#N/A</v>
      </c>
      <c r="AC148" s="1">
        <f t="shared" si="23"/>
        <v>0.69954194501042366</v>
      </c>
      <c r="AD148" s="1">
        <f t="shared" si="24"/>
        <v>0.13630159571766853</v>
      </c>
    </row>
    <row r="149" spans="22:30" ht="11.25" customHeight="1" x14ac:dyDescent="0.2">
      <c r="V149" s="1">
        <v>92</v>
      </c>
      <c r="W149" s="1">
        <f t="shared" si="19"/>
        <v>59.772332567319388</v>
      </c>
      <c r="X149" s="1">
        <f t="shared" si="20"/>
        <v>82.252138657111956</v>
      </c>
      <c r="Y149" s="1">
        <v>0.8</v>
      </c>
      <c r="Z149" s="1" t="e">
        <f t="shared" si="21"/>
        <v>#N/A</v>
      </c>
      <c r="AA149" s="46">
        <v>2.2000000000000002</v>
      </c>
      <c r="AB149" s="1" t="e">
        <f t="shared" si="22"/>
        <v>#N/A</v>
      </c>
      <c r="AC149" s="1">
        <f t="shared" si="23"/>
        <v>0.54414952173829079</v>
      </c>
      <c r="AD149" s="1">
        <f t="shared" si="24"/>
        <v>0.72909742966294289</v>
      </c>
    </row>
    <row r="150" spans="22:30" ht="11.25" customHeight="1" x14ac:dyDescent="0.2">
      <c r="V150" s="1">
        <v>93</v>
      </c>
      <c r="W150" s="1">
        <f t="shared" si="19"/>
        <v>43.262172642867093</v>
      </c>
      <c r="X150" s="1">
        <f t="shared" si="20"/>
        <v>85.876708806199943</v>
      </c>
      <c r="Y150" s="1">
        <v>0.8</v>
      </c>
      <c r="Z150" s="1" t="e">
        <f t="shared" si="21"/>
        <v>#N/A</v>
      </c>
      <c r="AA150" s="46">
        <v>2.2000000000000002</v>
      </c>
      <c r="AB150" s="1" t="e">
        <f t="shared" si="22"/>
        <v>#N/A</v>
      </c>
      <c r="AC150" s="1">
        <f t="shared" si="23"/>
        <v>0.29132669046521187</v>
      </c>
      <c r="AD150" s="1">
        <f t="shared" si="24"/>
        <v>0.77489601448178291</v>
      </c>
    </row>
    <row r="151" spans="22:30" ht="11.25" customHeight="1" x14ac:dyDescent="0.2">
      <c r="V151" s="1">
        <v>94</v>
      </c>
      <c r="W151" s="1">
        <f t="shared" si="19"/>
        <v>69.531014769865095</v>
      </c>
      <c r="X151" s="1">
        <f t="shared" si="20"/>
        <v>47.565390904851959</v>
      </c>
      <c r="Y151" s="1">
        <v>0.8</v>
      </c>
      <c r="Z151" s="1" t="e">
        <f t="shared" si="21"/>
        <v>#N/A</v>
      </c>
      <c r="AA151" s="46">
        <v>2.2000000000000002</v>
      </c>
      <c r="AB151" s="1" t="e">
        <f t="shared" si="22"/>
        <v>#N/A</v>
      </c>
      <c r="AC151" s="1">
        <f t="shared" si="23"/>
        <v>0.69189909473061562</v>
      </c>
      <c r="AD151" s="1">
        <f t="shared" si="24"/>
        <v>0.21846601739525795</v>
      </c>
    </row>
    <row r="152" spans="22:30" ht="11.25" customHeight="1" x14ac:dyDescent="0.2">
      <c r="V152" s="1">
        <v>95</v>
      </c>
      <c r="W152" s="1">
        <f t="shared" si="19"/>
        <v>96.293460865235431</v>
      </c>
      <c r="X152" s="1">
        <f t="shared" si="20"/>
        <v>12.075407822038436</v>
      </c>
      <c r="Y152" s="1">
        <v>0.8</v>
      </c>
      <c r="Z152" s="1" t="e">
        <f t="shared" si="21"/>
        <v>#N/A</v>
      </c>
      <c r="AA152" s="46">
        <v>2.2000000000000002</v>
      </c>
      <c r="AB152" s="1" t="e">
        <f t="shared" si="22"/>
        <v>#N/A</v>
      </c>
      <c r="AC152" s="1">
        <f t="shared" si="23"/>
        <v>0.94199438765645027</v>
      </c>
      <c r="AD152" s="1">
        <f t="shared" si="24"/>
        <v>1.4010805636644363E-2</v>
      </c>
    </row>
    <row r="153" spans="22:30" ht="11.25" customHeight="1" x14ac:dyDescent="0.2">
      <c r="V153" s="1">
        <v>96</v>
      </c>
      <c r="W153" s="1">
        <f t="shared" si="19"/>
        <v>27.93446131589732</v>
      </c>
      <c r="X153" s="1">
        <f t="shared" si="20"/>
        <v>49.222159630276877</v>
      </c>
      <c r="Y153" s="1">
        <v>0.8</v>
      </c>
      <c r="Z153" s="1" t="e">
        <f t="shared" si="21"/>
        <v>#N/A</v>
      </c>
      <c r="AA153" s="46">
        <v>2.2000000000000002</v>
      </c>
      <c r="AB153" s="1" t="e">
        <f t="shared" si="22"/>
        <v>#N/A</v>
      </c>
      <c r="AC153" s="1">
        <f t="shared" si="23"/>
        <v>0.12249154224991798</v>
      </c>
      <c r="AD153" s="1">
        <f t="shared" si="24"/>
        <v>0.23850691691040993</v>
      </c>
    </row>
    <row r="154" spans="22:30" ht="11.25" customHeight="1" x14ac:dyDescent="0.2">
      <c r="V154" s="1">
        <v>97</v>
      </c>
      <c r="W154" s="1">
        <f t="shared" si="19"/>
        <v>2.6743824533557756</v>
      </c>
      <c r="X154" s="1">
        <f t="shared" si="20"/>
        <v>51.656533543393017</v>
      </c>
      <c r="Y154" s="1">
        <v>0.8</v>
      </c>
      <c r="Z154" s="1" t="e">
        <f t="shared" si="21"/>
        <v>#N/A</v>
      </c>
      <c r="AA154" s="46">
        <v>2.2000000000000002</v>
      </c>
      <c r="AB154" s="1" t="e">
        <f t="shared" si="22"/>
        <v>#N/A</v>
      </c>
      <c r="AC154" s="1">
        <f t="shared" si="23"/>
        <v>1.4889229089021683E-2</v>
      </c>
      <c r="AD154" s="1">
        <f t="shared" si="24"/>
        <v>0.2696940191090107</v>
      </c>
    </row>
    <row r="155" spans="22:30" ht="11.25" customHeight="1" x14ac:dyDescent="0.2">
      <c r="V155" s="1">
        <v>98</v>
      </c>
      <c r="W155" s="1">
        <f t="shared" si="19"/>
        <v>56.025313609302124</v>
      </c>
      <c r="X155" s="1">
        <f t="shared" si="20"/>
        <v>79.902832145583588</v>
      </c>
      <c r="Y155" s="1">
        <v>0.8</v>
      </c>
      <c r="Z155" s="1" t="e">
        <f t="shared" si="21"/>
        <v>#N/A</v>
      </c>
      <c r="AA155" s="46">
        <v>2.2000000000000002</v>
      </c>
      <c r="AB155" s="1" t="e">
        <f t="shared" si="22"/>
        <v>#N/A</v>
      </c>
      <c r="AC155" s="1">
        <f t="shared" si="23"/>
        <v>0.48445019498467445</v>
      </c>
      <c r="AD155" s="1">
        <f t="shared" si="24"/>
        <v>0.69711235538125038</v>
      </c>
    </row>
    <row r="156" spans="22:30" ht="11.25" customHeight="1" x14ac:dyDescent="0.2">
      <c r="V156" s="1">
        <v>99</v>
      </c>
      <c r="W156" s="1">
        <f t="shared" si="19"/>
        <v>39.956309822121796</v>
      </c>
      <c r="X156" s="1">
        <f t="shared" si="20"/>
        <v>74.392678222938201</v>
      </c>
      <c r="Y156" s="1">
        <v>0.8</v>
      </c>
      <c r="Z156" s="1" t="e">
        <f t="shared" si="21"/>
        <v>#N/A</v>
      </c>
      <c r="AA156" s="46">
        <v>2.2000000000000002</v>
      </c>
      <c r="AB156" s="1" t="e">
        <f t="shared" si="22"/>
        <v>#N/A</v>
      </c>
      <c r="AC156" s="1">
        <f t="shared" si="23"/>
        <v>0.24769927933812141</v>
      </c>
      <c r="AD156" s="1">
        <f t="shared" si="24"/>
        <v>0.61627312377095222</v>
      </c>
    </row>
    <row r="157" spans="22:30" ht="11.25" customHeight="1" x14ac:dyDescent="0.2">
      <c r="V157" s="1">
        <v>100</v>
      </c>
      <c r="W157" s="1">
        <f t="shared" si="19"/>
        <v>1.6916846036132895</v>
      </c>
      <c r="X157" s="1">
        <f t="shared" si="20"/>
        <v>50.079503764012266</v>
      </c>
      <c r="Y157" s="1">
        <v>0.8</v>
      </c>
      <c r="Z157" s="1" t="e">
        <f t="shared" si="21"/>
        <v>#N/A</v>
      </c>
      <c r="AA157" s="46">
        <v>2.2000000000000002</v>
      </c>
      <c r="AB157" s="1" t="e">
        <f t="shared" si="22"/>
        <v>#N/A</v>
      </c>
      <c r="AC157" s="1">
        <f t="shared" si="23"/>
        <v>1.3471845537424088E-2</v>
      </c>
      <c r="AD157" s="1">
        <f t="shared" si="24"/>
        <v>0.24926013126969337</v>
      </c>
    </row>
  </sheetData>
  <sheetProtection sheet="1" objects="1" scenarios="1" selectLockedCells="1"/>
  <mergeCells count="13">
    <mergeCell ref="Q2:R2"/>
    <mergeCell ref="Q6:R6"/>
    <mergeCell ref="Q7:R7"/>
    <mergeCell ref="Q8:R8"/>
    <mergeCell ref="Q4:R4"/>
    <mergeCell ref="Q5:R5"/>
    <mergeCell ref="AD14:AE14"/>
    <mergeCell ref="Q12:R12"/>
    <mergeCell ref="Q11:R11"/>
    <mergeCell ref="Q10:R10"/>
    <mergeCell ref="AD6:AE6"/>
    <mergeCell ref="AD8:AE8"/>
    <mergeCell ref="Q9:R9"/>
  </mergeCells>
  <phoneticPr fontId="0" type="noConversion"/>
  <dataValidations count="4">
    <dataValidation type="decimal" allowBlank="1" showInputMessage="1" showErrorMessage="1" error="Must be a number, min 5, max 50" sqref="J29">
      <formula1>5</formula1>
      <formula2>50</formula2>
    </dataValidation>
    <dataValidation type="decimal" allowBlank="1" showInputMessage="1" showErrorMessage="1" error="Must be a number, min 10, max 90" sqref="I27 L27">
      <formula1>10</formula1>
      <formula2>90</formula2>
    </dataValidation>
    <dataValidation type="decimal" allowBlank="1" showErrorMessage="1" errorTitle="Confidence level" error="Number, min 0, max 99.9" sqref="L21">
      <formula1>0</formula1>
      <formula2>99.9</formula2>
    </dataValidation>
    <dataValidation type="whole" allowBlank="1" showInputMessage="1" showErrorMessage="1" error="Integer, min 2, max 100" sqref="I11 L11">
      <formula1>2</formula1>
      <formula2>100</formula2>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Brush" shapeId="63553" r:id="rId4">
          <objectPr defaultSize="0" autoPict="0" r:id="rId5">
            <anchor moveWithCells="1" sizeWithCells="1">
              <from>
                <xdr:col>0</xdr:col>
                <xdr:colOff>0</xdr:colOff>
                <xdr:row>0</xdr:row>
                <xdr:rowOff>0</xdr:rowOff>
              </from>
              <to>
                <xdr:col>5</xdr:col>
                <xdr:colOff>0</xdr:colOff>
                <xdr:row>60</xdr:row>
                <xdr:rowOff>123825</xdr:rowOff>
              </to>
            </anchor>
          </objectPr>
        </oleObject>
      </mc:Choice>
      <mc:Fallback>
        <oleObject progId="PBrush" shapeId="63553" r:id="rId4"/>
      </mc:Fallback>
    </mc:AlternateContent>
  </oleObjects>
  <mc:AlternateContent xmlns:mc="http://schemas.openxmlformats.org/markup-compatibility/2006">
    <mc:Choice Requires="x14">
      <controls>
        <mc:AlternateContent xmlns:mc="http://schemas.openxmlformats.org/markup-compatibility/2006">
          <mc:Choice Requires="x14">
            <control shapeId="63611" r:id="rId6" name="Check Box 123">
              <controlPr defaultSize="0" autoFill="0" autoLine="0" autoPict="0">
                <anchor moveWithCells="1">
                  <from>
                    <xdr:col>6</xdr:col>
                    <xdr:colOff>104775</xdr:colOff>
                    <xdr:row>34</xdr:row>
                    <xdr:rowOff>95250</xdr:rowOff>
                  </from>
                  <to>
                    <xdr:col>6</xdr:col>
                    <xdr:colOff>409575</xdr:colOff>
                    <xdr:row>36</xdr:row>
                    <xdr:rowOff>28575</xdr:rowOff>
                  </to>
                </anchor>
              </controlPr>
            </control>
          </mc:Choice>
        </mc:AlternateContent>
        <mc:AlternateContent xmlns:mc="http://schemas.openxmlformats.org/markup-compatibility/2006">
          <mc:Choice Requires="x14">
            <control shapeId="63489" r:id="rId7" name="Check Box 1">
              <controlPr defaultSize="0" autoFill="0" autoLine="0" autoPict="0">
                <anchor moveWithCells="1">
                  <from>
                    <xdr:col>6</xdr:col>
                    <xdr:colOff>104775</xdr:colOff>
                    <xdr:row>29</xdr:row>
                    <xdr:rowOff>95250</xdr:rowOff>
                  </from>
                  <to>
                    <xdr:col>6</xdr:col>
                    <xdr:colOff>409575</xdr:colOff>
                    <xdr:row>31</xdr:row>
                    <xdr:rowOff>28575</xdr:rowOff>
                  </to>
                </anchor>
              </controlPr>
            </control>
          </mc:Choice>
        </mc:AlternateContent>
        <mc:AlternateContent xmlns:mc="http://schemas.openxmlformats.org/markup-compatibility/2006">
          <mc:Choice Requires="x14">
            <control shapeId="63490" r:id="rId8" name="Check Box 2">
              <controlPr defaultSize="0" autoFill="0" autoLine="0" autoPict="0">
                <anchor moveWithCells="1">
                  <from>
                    <xdr:col>6</xdr:col>
                    <xdr:colOff>104775</xdr:colOff>
                    <xdr:row>13</xdr:row>
                    <xdr:rowOff>85725</xdr:rowOff>
                  </from>
                  <to>
                    <xdr:col>6</xdr:col>
                    <xdr:colOff>409575</xdr:colOff>
                    <xdr:row>15</xdr:row>
                    <xdr:rowOff>19050</xdr:rowOff>
                  </to>
                </anchor>
              </controlPr>
            </control>
          </mc:Choice>
        </mc:AlternateContent>
        <mc:AlternateContent xmlns:mc="http://schemas.openxmlformats.org/markup-compatibility/2006">
          <mc:Choice Requires="x14">
            <control shapeId="63491" r:id="rId9" name="Button 3">
              <controlPr defaultSize="0" print="0" autoFill="0" autoPict="0" macro="[0]!Shift4CalcTwo">
                <anchor moveWithCells="1">
                  <from>
                    <xdr:col>5</xdr:col>
                    <xdr:colOff>95250</xdr:colOff>
                    <xdr:row>5</xdr:row>
                    <xdr:rowOff>47625</xdr:rowOff>
                  </from>
                  <to>
                    <xdr:col>7</xdr:col>
                    <xdr:colOff>38100</xdr:colOff>
                    <xdr:row>7</xdr:row>
                    <xdr:rowOff>104775</xdr:rowOff>
                  </to>
                </anchor>
              </controlPr>
            </control>
          </mc:Choice>
        </mc:AlternateContent>
        <mc:AlternateContent xmlns:mc="http://schemas.openxmlformats.org/markup-compatibility/2006">
          <mc:Choice Requires="x14">
            <control shapeId="63492" r:id="rId10" name="Spinner 4">
              <controlPr defaultSize="0" autoPict="0">
                <anchor moveWithCells="1">
                  <from>
                    <xdr:col>12</xdr:col>
                    <xdr:colOff>9525</xdr:colOff>
                    <xdr:row>25</xdr:row>
                    <xdr:rowOff>95250</xdr:rowOff>
                  </from>
                  <to>
                    <xdr:col>12</xdr:col>
                    <xdr:colOff>152400</xdr:colOff>
                    <xdr:row>27</xdr:row>
                    <xdr:rowOff>57150</xdr:rowOff>
                  </to>
                </anchor>
              </controlPr>
            </control>
          </mc:Choice>
        </mc:AlternateContent>
        <mc:AlternateContent xmlns:mc="http://schemas.openxmlformats.org/markup-compatibility/2006">
          <mc:Choice Requires="x14">
            <control shapeId="63493" r:id="rId11" name="Spinner 5">
              <controlPr defaultSize="0" autoPict="0">
                <anchor moveWithCells="1">
                  <from>
                    <xdr:col>10</xdr:col>
                    <xdr:colOff>9525</xdr:colOff>
                    <xdr:row>27</xdr:row>
                    <xdr:rowOff>85725</xdr:rowOff>
                  </from>
                  <to>
                    <xdr:col>10</xdr:col>
                    <xdr:colOff>152400</xdr:colOff>
                    <xdr:row>29</xdr:row>
                    <xdr:rowOff>47625</xdr:rowOff>
                  </to>
                </anchor>
              </controlPr>
            </control>
          </mc:Choice>
        </mc:AlternateContent>
        <mc:AlternateContent xmlns:mc="http://schemas.openxmlformats.org/markup-compatibility/2006">
          <mc:Choice Requires="x14">
            <control shapeId="63494" r:id="rId12" name="Spinner 6">
              <controlPr defaultSize="0" autoPict="0">
                <anchor moveWithCells="1">
                  <from>
                    <xdr:col>12</xdr:col>
                    <xdr:colOff>9525</xdr:colOff>
                    <xdr:row>9</xdr:row>
                    <xdr:rowOff>95250</xdr:rowOff>
                  </from>
                  <to>
                    <xdr:col>12</xdr:col>
                    <xdr:colOff>152400</xdr:colOff>
                    <xdr:row>11</xdr:row>
                    <xdr:rowOff>57150</xdr:rowOff>
                  </to>
                </anchor>
              </controlPr>
            </control>
          </mc:Choice>
        </mc:AlternateContent>
        <mc:AlternateContent xmlns:mc="http://schemas.openxmlformats.org/markup-compatibility/2006">
          <mc:Choice Requires="x14">
            <control shapeId="63495" r:id="rId13" name="Option Button 7">
              <controlPr defaultSize="0" autoFill="0" autoLine="0" autoPict="0">
                <anchor moveWithCells="1">
                  <from>
                    <xdr:col>9</xdr:col>
                    <xdr:colOff>304800</xdr:colOff>
                    <xdr:row>15</xdr:row>
                    <xdr:rowOff>0</xdr:rowOff>
                  </from>
                  <to>
                    <xdr:col>11</xdr:col>
                    <xdr:colOff>219075</xdr:colOff>
                    <xdr:row>16</xdr:row>
                    <xdr:rowOff>76200</xdr:rowOff>
                  </to>
                </anchor>
              </controlPr>
            </control>
          </mc:Choice>
        </mc:AlternateContent>
        <mc:AlternateContent xmlns:mc="http://schemas.openxmlformats.org/markup-compatibility/2006">
          <mc:Choice Requires="x14">
            <control shapeId="63496" r:id="rId14" name="Option Button 8">
              <controlPr defaultSize="0" autoFill="0" autoLine="0" autoPict="0">
                <anchor moveWithCells="1">
                  <from>
                    <xdr:col>9</xdr:col>
                    <xdr:colOff>304800</xdr:colOff>
                    <xdr:row>16</xdr:row>
                    <xdr:rowOff>76200</xdr:rowOff>
                  </from>
                  <to>
                    <xdr:col>12</xdr:col>
                    <xdr:colOff>38100</xdr:colOff>
                    <xdr:row>18</xdr:row>
                    <xdr:rowOff>9525</xdr:rowOff>
                  </to>
                </anchor>
              </controlPr>
            </control>
          </mc:Choice>
        </mc:AlternateContent>
        <mc:AlternateContent xmlns:mc="http://schemas.openxmlformats.org/markup-compatibility/2006">
          <mc:Choice Requires="x14">
            <control shapeId="63497" r:id="rId15" name="Check Box 9">
              <controlPr defaultSize="0" autoFill="0" autoLine="0" autoPict="0">
                <anchor moveWithCells="1">
                  <from>
                    <xdr:col>6</xdr:col>
                    <xdr:colOff>104775</xdr:colOff>
                    <xdr:row>17</xdr:row>
                    <xdr:rowOff>95250</xdr:rowOff>
                  </from>
                  <to>
                    <xdr:col>6</xdr:col>
                    <xdr:colOff>409575</xdr:colOff>
                    <xdr:row>19</xdr:row>
                    <xdr:rowOff>28575</xdr:rowOff>
                  </to>
                </anchor>
              </controlPr>
            </control>
          </mc:Choice>
        </mc:AlternateContent>
        <mc:AlternateContent xmlns:mc="http://schemas.openxmlformats.org/markup-compatibility/2006">
          <mc:Choice Requires="x14">
            <control shapeId="63498" r:id="rId16" name="Check Box 10">
              <controlPr defaultSize="0" autoFill="0" autoLine="0" autoPict="0">
                <anchor moveWithCells="1">
                  <from>
                    <xdr:col>6</xdr:col>
                    <xdr:colOff>104775</xdr:colOff>
                    <xdr:row>20</xdr:row>
                    <xdr:rowOff>0</xdr:rowOff>
                  </from>
                  <to>
                    <xdr:col>8</xdr:col>
                    <xdr:colOff>104775</xdr:colOff>
                    <xdr:row>21</xdr:row>
                    <xdr:rowOff>76200</xdr:rowOff>
                  </to>
                </anchor>
              </controlPr>
            </control>
          </mc:Choice>
        </mc:AlternateContent>
        <mc:AlternateContent xmlns:mc="http://schemas.openxmlformats.org/markup-compatibility/2006">
          <mc:Choice Requires="x14">
            <control shapeId="63499" r:id="rId17" name="Spinner 11">
              <controlPr defaultSize="0" autoPict="0">
                <anchor moveWithCells="1">
                  <from>
                    <xdr:col>12</xdr:col>
                    <xdr:colOff>9525</xdr:colOff>
                    <xdr:row>19</xdr:row>
                    <xdr:rowOff>95250</xdr:rowOff>
                  </from>
                  <to>
                    <xdr:col>12</xdr:col>
                    <xdr:colOff>152400</xdr:colOff>
                    <xdr:row>21</xdr:row>
                    <xdr:rowOff>57150</xdr:rowOff>
                  </to>
                </anchor>
              </controlPr>
            </control>
          </mc:Choice>
        </mc:AlternateContent>
        <mc:AlternateContent xmlns:mc="http://schemas.openxmlformats.org/markup-compatibility/2006">
          <mc:Choice Requires="x14">
            <control shapeId="63505" r:id="rId18" name="Spinner 17">
              <controlPr defaultSize="0" autoPict="0">
                <anchor moveWithCells="1" sizeWithCells="1">
                  <from>
                    <xdr:col>9</xdr:col>
                    <xdr:colOff>9525</xdr:colOff>
                    <xdr:row>9</xdr:row>
                    <xdr:rowOff>95250</xdr:rowOff>
                  </from>
                  <to>
                    <xdr:col>9</xdr:col>
                    <xdr:colOff>152400</xdr:colOff>
                    <xdr:row>11</xdr:row>
                    <xdr:rowOff>57150</xdr:rowOff>
                  </to>
                </anchor>
              </controlPr>
            </control>
          </mc:Choice>
        </mc:AlternateContent>
        <mc:AlternateContent xmlns:mc="http://schemas.openxmlformats.org/markup-compatibility/2006">
          <mc:Choice Requires="x14">
            <control shapeId="63506" r:id="rId19" name="Spinner 18">
              <controlPr defaultSize="0" autoPict="0">
                <anchor moveWithCells="1">
                  <from>
                    <xdr:col>9</xdr:col>
                    <xdr:colOff>9525</xdr:colOff>
                    <xdr:row>25</xdr:row>
                    <xdr:rowOff>95250</xdr:rowOff>
                  </from>
                  <to>
                    <xdr:col>9</xdr:col>
                    <xdr:colOff>152400</xdr:colOff>
                    <xdr:row>27</xdr:row>
                    <xdr:rowOff>57150</xdr:rowOff>
                  </to>
                </anchor>
              </controlPr>
            </control>
          </mc:Choice>
        </mc:AlternateContent>
        <mc:AlternateContent xmlns:mc="http://schemas.openxmlformats.org/markup-compatibility/2006">
          <mc:Choice Requires="x14">
            <control shapeId="63508" r:id="rId20" name="Check Box 20">
              <controlPr defaultSize="0" autoFill="0" autoLine="0" autoPict="0">
                <anchor moveWithCells="1">
                  <from>
                    <xdr:col>6</xdr:col>
                    <xdr:colOff>552450</xdr:colOff>
                    <xdr:row>21</xdr:row>
                    <xdr:rowOff>85725</xdr:rowOff>
                  </from>
                  <to>
                    <xdr:col>8</xdr:col>
                    <xdr:colOff>123825</xdr:colOff>
                    <xdr:row>23</xdr:row>
                    <xdr:rowOff>19050</xdr:rowOff>
                  </to>
                </anchor>
              </controlPr>
            </control>
          </mc:Choice>
        </mc:AlternateContent>
        <mc:AlternateContent xmlns:mc="http://schemas.openxmlformats.org/markup-compatibility/2006">
          <mc:Choice Requires="x14">
            <control shapeId="63520" r:id="rId21" name="Check Box 32">
              <controlPr defaultSize="0" autoFill="0" autoLine="0" autoPict="0">
                <anchor moveWithCells="1">
                  <from>
                    <xdr:col>6</xdr:col>
                    <xdr:colOff>104775</xdr:colOff>
                    <xdr:row>23</xdr:row>
                    <xdr:rowOff>114300</xdr:rowOff>
                  </from>
                  <to>
                    <xdr:col>12</xdr:col>
                    <xdr:colOff>133350</xdr:colOff>
                    <xdr:row>25</xdr:row>
                    <xdr:rowOff>57150</xdr:rowOff>
                  </to>
                </anchor>
              </controlPr>
            </control>
          </mc:Choice>
        </mc:AlternateContent>
        <mc:AlternateContent xmlns:mc="http://schemas.openxmlformats.org/markup-compatibility/2006">
          <mc:Choice Requires="x14">
            <control shapeId="63526" r:id="rId22" name="Button 38">
              <controlPr defaultSize="0" print="0" autoFill="0" autoPict="0" macro="[0]!ResetTwo">
                <anchor moveWithCells="1">
                  <from>
                    <xdr:col>8</xdr:col>
                    <xdr:colOff>38100</xdr:colOff>
                    <xdr:row>5</xdr:row>
                    <xdr:rowOff>47625</xdr:rowOff>
                  </from>
                  <to>
                    <xdr:col>9</xdr:col>
                    <xdr:colOff>323850</xdr:colOff>
                    <xdr:row>7</xdr:row>
                    <xdr:rowOff>104775</xdr:rowOff>
                  </to>
                </anchor>
              </controlPr>
            </control>
          </mc:Choice>
        </mc:AlternateContent>
        <mc:AlternateContent xmlns:mc="http://schemas.openxmlformats.org/markup-compatibility/2006">
          <mc:Choice Requires="x14">
            <control shapeId="63532" r:id="rId23" name="Spinner 44">
              <controlPr defaultSize="0" autoPict="0">
                <anchor moveWithCells="1">
                  <from>
                    <xdr:col>11</xdr:col>
                    <xdr:colOff>47625</xdr:colOff>
                    <xdr:row>6</xdr:row>
                    <xdr:rowOff>9525</xdr:rowOff>
                  </from>
                  <to>
                    <xdr:col>11</xdr:col>
                    <xdr:colOff>190500</xdr:colOff>
                    <xdr:row>7</xdr:row>
                    <xdr:rowOff>114300</xdr:rowOff>
                  </to>
                </anchor>
              </controlPr>
            </control>
          </mc:Choice>
        </mc:AlternateContent>
        <mc:AlternateContent xmlns:mc="http://schemas.openxmlformats.org/markup-compatibility/2006">
          <mc:Choice Requires="x14">
            <control shapeId="63537" r:id="rId24" name="Check Box 49">
              <controlPr defaultSize="0" autoFill="0" autoLine="0" autoPict="0">
                <anchor moveWithCells="1">
                  <from>
                    <xdr:col>9</xdr:col>
                    <xdr:colOff>47625</xdr:colOff>
                    <xdr:row>11</xdr:row>
                    <xdr:rowOff>114300</xdr:rowOff>
                  </from>
                  <to>
                    <xdr:col>11</xdr:col>
                    <xdr:colOff>85725</xdr:colOff>
                    <xdr:row>13</xdr:row>
                    <xdr:rowOff>47625</xdr:rowOff>
                  </to>
                </anchor>
              </controlPr>
            </control>
          </mc:Choice>
        </mc:AlternateContent>
        <mc:AlternateContent xmlns:mc="http://schemas.openxmlformats.org/markup-compatibility/2006">
          <mc:Choice Requires="x14">
            <control shapeId="63538" r:id="rId25" name="Check Box 50">
              <controlPr defaultSize="0" autoFill="0" autoLine="0" autoPict="0">
                <anchor moveWithCells="1">
                  <from>
                    <xdr:col>11</xdr:col>
                    <xdr:colOff>180975</xdr:colOff>
                    <xdr:row>11</xdr:row>
                    <xdr:rowOff>114300</xdr:rowOff>
                  </from>
                  <to>
                    <xdr:col>13</xdr:col>
                    <xdr:colOff>19050</xdr:colOff>
                    <xdr:row>13</xdr:row>
                    <xdr:rowOff>47625</xdr:rowOff>
                  </to>
                </anchor>
              </controlPr>
            </control>
          </mc:Choice>
        </mc:AlternateContent>
        <mc:AlternateContent xmlns:mc="http://schemas.openxmlformats.org/markup-compatibility/2006">
          <mc:Choice Requires="x14">
            <control shapeId="63574" r:id="rId26" name="Check Box 86">
              <controlPr defaultSize="0" autoFill="0" autoLine="0" autoPict="0" macro="[0]!Revealsimtwo">
                <anchor moveWithCells="1">
                  <from>
                    <xdr:col>41</xdr:col>
                    <xdr:colOff>104775</xdr:colOff>
                    <xdr:row>8</xdr:row>
                    <xdr:rowOff>47625</xdr:rowOff>
                  </from>
                  <to>
                    <xdr:col>42</xdr:col>
                    <xdr:colOff>104775</xdr:colOff>
                    <xdr:row>9</xdr:row>
                    <xdr:rowOff>123825</xdr:rowOff>
                  </to>
                </anchor>
              </controlPr>
            </control>
          </mc:Choice>
        </mc:AlternateContent>
        <mc:AlternateContent xmlns:mc="http://schemas.openxmlformats.org/markup-compatibility/2006">
          <mc:Choice Requires="x14">
            <control shapeId="63599" r:id="rId27" name="Check Box 111">
              <controlPr defaultSize="0" autoFill="0" autoLine="0" autoPict="0" macro="[0]!Revealsimtwopower">
                <anchor moveWithCells="1">
                  <from>
                    <xdr:col>41</xdr:col>
                    <xdr:colOff>104775</xdr:colOff>
                    <xdr:row>24</xdr:row>
                    <xdr:rowOff>95250</xdr:rowOff>
                  </from>
                  <to>
                    <xdr:col>42</xdr:col>
                    <xdr:colOff>104775</xdr:colOff>
                    <xdr:row>26</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12"/>
  <dimension ref="A1:AM1062"/>
  <sheetViews>
    <sheetView showGridLines="0" showRowColHeaders="0" topLeftCell="D1" workbookViewId="0">
      <selection activeCell="J7" sqref="J7"/>
    </sheetView>
  </sheetViews>
  <sheetFormatPr defaultRowHeight="11.25" customHeight="1" x14ac:dyDescent="0.2"/>
  <cols>
    <col min="1" max="3" width="5.7109375" style="1" hidden="1" customWidth="1"/>
    <col min="4" max="4" width="0.5703125" style="1" customWidth="1"/>
    <col min="5" max="5" width="6.7109375" style="207" customWidth="1"/>
    <col min="6" max="7" width="7.7109375" style="137" customWidth="1"/>
    <col min="8" max="8" width="2.140625" style="137" customWidth="1"/>
    <col min="9" max="9" width="7.7109375" style="137" customWidth="1"/>
    <col min="10" max="10" width="8.5703125" style="1" customWidth="1"/>
    <col min="11" max="11" width="3" style="1" customWidth="1"/>
    <col min="12" max="12" width="8.42578125" style="1" customWidth="1"/>
    <col min="13" max="13" width="7.7109375" style="1" customWidth="1"/>
    <col min="14" max="14" width="6.5703125" style="1" customWidth="1"/>
    <col min="15" max="15" width="0.85546875" style="1" customWidth="1"/>
    <col min="16" max="16" width="7.7109375" style="1" customWidth="1"/>
    <col min="17" max="17" width="6.28515625" style="1" customWidth="1"/>
    <col min="18" max="18" width="0.85546875" style="1" customWidth="1"/>
    <col min="19" max="19" width="6.28515625" style="1" customWidth="1"/>
    <col min="20" max="20" width="2.7109375" style="1" customWidth="1"/>
    <col min="21" max="28" width="7.85546875" style="1" customWidth="1"/>
    <col min="29" max="16384" width="9.140625" style="1"/>
  </cols>
  <sheetData>
    <row r="1" spans="1:39" ht="11.25" customHeight="1" x14ac:dyDescent="0.2">
      <c r="B1" s="3"/>
      <c r="G1" s="4" t="s">
        <v>587</v>
      </c>
      <c r="K1" s="4"/>
      <c r="L1" s="4"/>
      <c r="P1" s="4"/>
      <c r="Q1" s="4"/>
      <c r="R1" s="4"/>
      <c r="S1" s="4"/>
      <c r="U1" s="208">
        <f>$Q$11/10000</f>
        <v>9.4999999999999998E-3</v>
      </c>
      <c r="V1" s="51">
        <f t="shared" ref="V1:AB1" si="0">$U$1</f>
        <v>9.4999999999999998E-3</v>
      </c>
      <c r="W1" s="51">
        <f t="shared" si="0"/>
        <v>9.4999999999999998E-3</v>
      </c>
      <c r="X1" s="51">
        <f t="shared" si="0"/>
        <v>9.4999999999999998E-3</v>
      </c>
      <c r="Y1" s="51">
        <f t="shared" si="0"/>
        <v>9.4999999999999998E-3</v>
      </c>
      <c r="Z1" s="51">
        <f t="shared" si="0"/>
        <v>9.4999999999999998E-3</v>
      </c>
      <c r="AA1" s="51">
        <f t="shared" si="0"/>
        <v>9.4999999999999998E-3</v>
      </c>
      <c r="AB1" s="51">
        <f t="shared" si="0"/>
        <v>9.4999999999999998E-3</v>
      </c>
    </row>
    <row r="2" spans="1:39" ht="11.25" customHeight="1" x14ac:dyDescent="0.2">
      <c r="G2" s="1" t="s">
        <v>289</v>
      </c>
      <c r="P2" s="209" t="s">
        <v>494</v>
      </c>
      <c r="U2" s="208">
        <f t="shared" ref="U2:U36" si="1">$U$1</f>
        <v>9.4999999999999998E-3</v>
      </c>
      <c r="V2" s="10"/>
      <c r="X2" s="3" t="s">
        <v>588</v>
      </c>
      <c r="Y2" s="10" t="b">
        <f>AND(M29&lt;&gt;"",P29&lt;&gt;"")</f>
        <v>1</v>
      </c>
      <c r="Z2" s="46" t="s">
        <v>555</v>
      </c>
      <c r="AB2" s="51">
        <f t="shared" ref="AB2:AB36" si="2">$U$1</f>
        <v>9.4999999999999998E-3</v>
      </c>
    </row>
    <row r="3" spans="1:39" ht="11.25" customHeight="1" x14ac:dyDescent="0.2">
      <c r="B3" s="3" t="s">
        <v>1060</v>
      </c>
      <c r="C3" s="10" t="b">
        <v>0</v>
      </c>
      <c r="G3" s="137" t="s">
        <v>573</v>
      </c>
      <c r="H3" s="210"/>
      <c r="K3" s="137"/>
      <c r="L3" s="137"/>
      <c r="M3" s="137"/>
      <c r="U3" s="208">
        <f t="shared" si="1"/>
        <v>9.4999999999999998E-3</v>
      </c>
      <c r="V3" s="108" t="s">
        <v>754</v>
      </c>
      <c r="W3" s="10" t="b">
        <v>1</v>
      </c>
      <c r="X3" s="1" t="s">
        <v>589</v>
      </c>
      <c r="Y3" s="10" t="b">
        <f>AND(M30&lt;&gt;"",P30&lt;&gt;"")</f>
        <v>1</v>
      </c>
      <c r="Z3" s="1">
        <v>4.0999999999999996</v>
      </c>
      <c r="AA3" s="1">
        <f>IF(AND(N18&lt;&gt;"",$Y$2),M29+N18,NA())</f>
        <v>451.25</v>
      </c>
      <c r="AB3" s="51">
        <f t="shared" si="2"/>
        <v>9.4999999999999998E-3</v>
      </c>
    </row>
    <row r="4" spans="1:39" ht="11.25" customHeight="1" x14ac:dyDescent="0.2">
      <c r="E4" s="211"/>
      <c r="F4" s="52"/>
      <c r="G4" s="52"/>
      <c r="H4" s="212"/>
      <c r="I4" s="52"/>
      <c r="U4" s="208">
        <f t="shared" si="1"/>
        <v>9.4999999999999998E-3</v>
      </c>
      <c r="V4" s="108" t="s">
        <v>755</v>
      </c>
      <c r="W4" s="748" t="b">
        <v>0</v>
      </c>
      <c r="X4" s="213" t="s">
        <v>538</v>
      </c>
      <c r="Y4" s="10" t="b">
        <f>AND(Q11&gt;=0,Q11&lt;=99.9)</f>
        <v>1</v>
      </c>
      <c r="Z4" s="1">
        <v>4.5999999999999996</v>
      </c>
      <c r="AA4" s="1">
        <f>IF(AND(N18&lt;&gt;"",$Y$2),M29+N18,NA())</f>
        <v>451.25</v>
      </c>
      <c r="AB4" s="51">
        <f t="shared" si="2"/>
        <v>9.4999999999999998E-3</v>
      </c>
    </row>
    <row r="5" spans="1:39" ht="11.25" customHeight="1" x14ac:dyDescent="0.2">
      <c r="A5" s="3" t="s">
        <v>1062</v>
      </c>
      <c r="B5" s="10">
        <v>128</v>
      </c>
      <c r="C5" s="1">
        <f>SUM(F8:F1007)</f>
        <v>3561</v>
      </c>
      <c r="E5" s="214" t="s">
        <v>600</v>
      </c>
      <c r="F5" s="8"/>
      <c r="G5" s="8"/>
      <c r="H5" s="8"/>
      <c r="J5" s="6" t="s">
        <v>604</v>
      </c>
      <c r="K5" s="58">
        <v>4</v>
      </c>
      <c r="L5" s="622" t="s">
        <v>620</v>
      </c>
      <c r="M5" s="73"/>
      <c r="N5" s="59"/>
      <c r="O5" s="59"/>
      <c r="P5" s="59"/>
      <c r="Q5" s="59"/>
      <c r="R5" s="59"/>
      <c r="S5" s="59"/>
      <c r="T5" s="94"/>
      <c r="U5" s="208">
        <f t="shared" si="1"/>
        <v>9.4999999999999998E-3</v>
      </c>
      <c r="V5" s="108" t="s">
        <v>756</v>
      </c>
      <c r="W5" s="748" t="b">
        <v>0</v>
      </c>
      <c r="X5" s="1" t="s">
        <v>546</v>
      </c>
      <c r="Y5" s="10" t="b">
        <v>1</v>
      </c>
      <c r="Z5" s="227">
        <v>3</v>
      </c>
      <c r="AA5" s="227">
        <f>IF(AND(N18&lt;&gt;"",$Y$2),M29+N18,NA())</f>
        <v>451.25</v>
      </c>
      <c r="AB5" s="51">
        <f t="shared" si="2"/>
        <v>9.4999999999999998E-3</v>
      </c>
    </row>
    <row r="6" spans="1:39" ht="11.25" customHeight="1" x14ac:dyDescent="0.2">
      <c r="A6" s="3" t="s">
        <v>1063</v>
      </c>
      <c r="B6" s="10">
        <v>147.1</v>
      </c>
      <c r="C6" s="1">
        <f>SUM(G8:G1007)</f>
        <v>3610</v>
      </c>
      <c r="E6" s="215"/>
      <c r="F6" s="216" t="s">
        <v>578</v>
      </c>
      <c r="G6" s="216" t="s">
        <v>579</v>
      </c>
      <c r="H6" s="217"/>
      <c r="I6" s="749" t="s">
        <v>590</v>
      </c>
      <c r="J6" s="806" t="s">
        <v>603</v>
      </c>
      <c r="K6" s="116"/>
      <c r="L6" s="60"/>
      <c r="M6" s="60"/>
      <c r="N6" s="60"/>
      <c r="O6" s="60"/>
      <c r="P6" s="60"/>
      <c r="Q6" s="60"/>
      <c r="R6" s="60"/>
      <c r="S6" s="60"/>
      <c r="T6" s="97"/>
      <c r="U6" s="208">
        <f t="shared" si="1"/>
        <v>9.4999999999999998E-3</v>
      </c>
      <c r="V6" s="108" t="s">
        <v>757</v>
      </c>
      <c r="W6" s="748" t="b">
        <v>0</v>
      </c>
      <c r="X6" s="3" t="s">
        <v>580</v>
      </c>
      <c r="Y6" s="750" t="b">
        <v>1</v>
      </c>
      <c r="Z6" s="1">
        <v>4.0999999999999996</v>
      </c>
      <c r="AA6" s="1">
        <f>IF(AND(N18&lt;&gt;"",$Y$2),M29+N18,NA())</f>
        <v>451.25</v>
      </c>
      <c r="AB6" s="51">
        <f t="shared" si="2"/>
        <v>9.4999999999999998E-3</v>
      </c>
    </row>
    <row r="7" spans="1:39" ht="11.25" customHeight="1" x14ac:dyDescent="0.2">
      <c r="A7" s="3" t="s">
        <v>1064</v>
      </c>
      <c r="B7" s="10">
        <v>1544</v>
      </c>
      <c r="C7" s="1">
        <f>SUMSQ(F8:F1007)</f>
        <v>1586633</v>
      </c>
      <c r="E7" s="115" t="s">
        <v>605</v>
      </c>
      <c r="F7" s="751" t="s">
        <v>598</v>
      </c>
      <c r="G7" s="752" t="s">
        <v>599</v>
      </c>
      <c r="H7" s="729"/>
      <c r="I7" s="730" t="s">
        <v>601</v>
      </c>
      <c r="J7" s="807" t="s">
        <v>1150</v>
      </c>
      <c r="K7" s="116"/>
      <c r="L7" s="60" t="s">
        <v>95</v>
      </c>
      <c r="M7" s="60"/>
      <c r="N7" s="60"/>
      <c r="O7" s="60"/>
      <c r="P7" s="60"/>
      <c r="Q7" s="60"/>
      <c r="R7" s="60"/>
      <c r="S7" s="60"/>
      <c r="T7" s="97"/>
      <c r="U7" s="208">
        <f t="shared" si="1"/>
        <v>9.4999999999999998E-3</v>
      </c>
      <c r="X7" s="1" t="s">
        <v>574</v>
      </c>
      <c r="Y7" s="10" t="b">
        <v>1</v>
      </c>
      <c r="Z7" s="227">
        <v>1</v>
      </c>
      <c r="AA7" s="227">
        <f>IF(AND(N18&lt;&gt;"",$Y$2),M29,NA())</f>
        <v>445.125</v>
      </c>
      <c r="AB7" s="51">
        <f t="shared" si="2"/>
        <v>9.4999999999999998E-3</v>
      </c>
    </row>
    <row r="8" spans="1:39" ht="11.25" customHeight="1" x14ac:dyDescent="0.2">
      <c r="A8" s="3" t="s">
        <v>1065</v>
      </c>
      <c r="B8" s="10">
        <v>2032.59</v>
      </c>
      <c r="C8" s="1">
        <f>SUMSQ(G8:G1007)</f>
        <v>1630090</v>
      </c>
      <c r="E8" s="7" t="s">
        <v>606</v>
      </c>
      <c r="F8" s="753">
        <v>441</v>
      </c>
      <c r="G8" s="754">
        <v>443</v>
      </c>
      <c r="H8" s="755"/>
      <c r="I8" s="731">
        <f t="shared" ref="I8:I71" si="3">IF(AND(F8&lt;&gt;"",G8&lt;&gt;""),G8-F8,"")</f>
        <v>2</v>
      </c>
      <c r="K8" s="340"/>
      <c r="L8" s="339"/>
      <c r="M8" s="339"/>
      <c r="N8" s="339"/>
      <c r="O8" s="339"/>
      <c r="P8" s="339"/>
      <c r="Q8" s="339"/>
      <c r="R8" s="339"/>
      <c r="S8" s="339"/>
      <c r="T8" s="808"/>
      <c r="U8" s="208">
        <f t="shared" si="1"/>
        <v>9.4999999999999998E-3</v>
      </c>
      <c r="V8" s="3" t="s">
        <v>511</v>
      </c>
      <c r="W8" s="10">
        <v>1</v>
      </c>
      <c r="X8" s="1" t="s">
        <v>575</v>
      </c>
      <c r="Y8" s="10" t="b">
        <v>1</v>
      </c>
      <c r="Z8" s="1">
        <v>4.5999999999999996</v>
      </c>
      <c r="AA8" s="1">
        <f>IF(AND(N18&lt;&gt;"",$Y$2),M29,NA())</f>
        <v>445.125</v>
      </c>
      <c r="AB8" s="51">
        <f t="shared" si="2"/>
        <v>9.4999999999999998E-3</v>
      </c>
      <c r="AL8" s="798" t="s">
        <v>550</v>
      </c>
      <c r="AM8" s="16"/>
    </row>
    <row r="9" spans="1:39" ht="11.25" customHeight="1" x14ac:dyDescent="0.2">
      <c r="A9" s="785" t="s">
        <v>481</v>
      </c>
      <c r="B9" s="10">
        <v>95</v>
      </c>
      <c r="C9" s="1">
        <f>Q11</f>
        <v>95</v>
      </c>
      <c r="E9" s="117">
        <v>2</v>
      </c>
      <c r="F9" s="753">
        <v>462</v>
      </c>
      <c r="G9" s="754">
        <v>461</v>
      </c>
      <c r="H9" s="755"/>
      <c r="I9" s="218">
        <f t="shared" si="3"/>
        <v>-1</v>
      </c>
      <c r="J9" s="747"/>
      <c r="K9" s="14">
        <v>5</v>
      </c>
      <c r="L9" s="995" t="s">
        <v>520</v>
      </c>
      <c r="M9" s="104"/>
      <c r="N9" s="105"/>
      <c r="O9" s="105"/>
      <c r="P9" s="219"/>
      <c r="Q9" s="15"/>
      <c r="R9" s="15"/>
      <c r="S9" s="105"/>
      <c r="T9" s="16"/>
      <c r="U9" s="208">
        <f t="shared" si="1"/>
        <v>9.4999999999999998E-3</v>
      </c>
      <c r="V9" s="1" t="s">
        <v>578</v>
      </c>
      <c r="W9" s="1" t="s">
        <v>579</v>
      </c>
      <c r="X9" s="1" t="s">
        <v>758</v>
      </c>
      <c r="Z9" s="259" t="s">
        <v>759</v>
      </c>
      <c r="AA9" s="288"/>
      <c r="AB9" s="51">
        <f t="shared" si="2"/>
        <v>9.4999999999999998E-3</v>
      </c>
      <c r="AL9" s="75"/>
      <c r="AM9" s="799" t="s">
        <v>1045</v>
      </c>
    </row>
    <row r="10" spans="1:39" ht="11.25" customHeight="1" x14ac:dyDescent="0.2">
      <c r="A10" s="785" t="s">
        <v>780</v>
      </c>
      <c r="B10" s="10">
        <v>11</v>
      </c>
      <c r="C10" s="1">
        <f>N17</f>
        <v>8</v>
      </c>
      <c r="E10" s="117">
        <v>3</v>
      </c>
      <c r="F10" s="753">
        <v>445</v>
      </c>
      <c r="G10" s="754">
        <v>441</v>
      </c>
      <c r="H10" s="755"/>
      <c r="I10" s="218">
        <f t="shared" si="3"/>
        <v>-4</v>
      </c>
      <c r="J10" s="747"/>
      <c r="K10" s="75"/>
      <c r="L10" s="17"/>
      <c r="M10" s="17"/>
      <c r="N10" s="17"/>
      <c r="O10" s="17"/>
      <c r="P10" s="17"/>
      <c r="Q10" s="17"/>
      <c r="R10" s="17"/>
      <c r="S10" s="17"/>
      <c r="T10" s="18"/>
      <c r="U10" s="208">
        <f t="shared" si="1"/>
        <v>9.4999999999999998E-3</v>
      </c>
      <c r="V10" s="1" t="s">
        <v>507</v>
      </c>
      <c r="X10" s="1">
        <v>1</v>
      </c>
      <c r="Y10" s="1">
        <f>IF(AND($Y$2,$W$8=1),$M$29,NA())</f>
        <v>445.125</v>
      </c>
      <c r="Z10" s="161" t="e">
        <f>IF(OR(AA18,AND(Y17&lt;AA11*AA17,Y18&gt;(-AA11)*AA17)),0,NA())</f>
        <v>#N/A</v>
      </c>
      <c r="AA10" s="264" t="e">
        <f>IF(OR(AA18,AND(Y17&lt;AA11*AA17,Y18&gt;(-AA11)*AA17)),0,NA())</f>
        <v>#N/A</v>
      </c>
      <c r="AB10" s="51">
        <f t="shared" si="2"/>
        <v>9.4999999999999998E-3</v>
      </c>
      <c r="AL10" s="75"/>
      <c r="AM10" s="800" t="s">
        <v>1055</v>
      </c>
    </row>
    <row r="11" spans="1:39" ht="11.25" customHeight="1" x14ac:dyDescent="0.2">
      <c r="B11" s="3" t="s">
        <v>1066</v>
      </c>
      <c r="C11" s="783" t="b">
        <f>IF(AND(Q23&lt;&gt;"",N35&lt;&gt;"",ABS(N38&lt;=2),Q11=95),AND(Q23&lt;=200,ABS(N35)&lt;=5,Q23&gt;=5,B5=C5,B6=C6,B7=C7,B8=C8,B9=C9,B10=C10),FALSE)</f>
        <v>0</v>
      </c>
      <c r="E11" s="117">
        <v>4</v>
      </c>
      <c r="F11" s="753">
        <v>446</v>
      </c>
      <c r="G11" s="754">
        <v>459</v>
      </c>
      <c r="H11" s="755"/>
      <c r="I11" s="218">
        <f t="shared" si="3"/>
        <v>13</v>
      </c>
      <c r="J11" s="756"/>
      <c r="K11" s="75" t="s">
        <v>602</v>
      </c>
      <c r="L11" s="17"/>
      <c r="M11" s="17"/>
      <c r="N11" s="17"/>
      <c r="O11" s="17"/>
      <c r="P11" s="48" t="s">
        <v>481</v>
      </c>
      <c r="Q11" s="47">
        <v>95</v>
      </c>
      <c r="R11" s="788"/>
      <c r="S11" s="17"/>
      <c r="T11" s="18"/>
      <c r="U11" s="208">
        <f t="shared" si="1"/>
        <v>9.4999999999999998E-3</v>
      </c>
      <c r="X11" s="1">
        <v>3</v>
      </c>
      <c r="Y11" s="1">
        <f>IF(AND($Y$2,$W$8=1),$P$29,NA())</f>
        <v>451.25</v>
      </c>
      <c r="Z11" s="161" t="s">
        <v>761</v>
      </c>
      <c r="AA11" s="264">
        <v>5</v>
      </c>
      <c r="AB11" s="51">
        <f t="shared" si="2"/>
        <v>9.4999999999999998E-3</v>
      </c>
      <c r="AL11" s="55"/>
      <c r="AM11" s="80"/>
    </row>
    <row r="12" spans="1:39" ht="11.25" customHeight="1" x14ac:dyDescent="0.2">
      <c r="B12" s="782" t="s">
        <v>1070</v>
      </c>
      <c r="C12" s="784">
        <f>IF(Y3,SQRT((M30^2+P30^2)/2),"")</f>
        <v>13.68099568222806</v>
      </c>
      <c r="E12" s="117">
        <v>5</v>
      </c>
      <c r="F12" s="753">
        <v>426</v>
      </c>
      <c r="G12" s="754">
        <v>441</v>
      </c>
      <c r="H12" s="755"/>
      <c r="I12" s="218">
        <f t="shared" si="3"/>
        <v>15</v>
      </c>
      <c r="J12" s="747"/>
      <c r="K12" s="75"/>
      <c r="L12" s="17"/>
      <c r="M12" s="17"/>
      <c r="N12" s="17"/>
      <c r="O12" s="17"/>
      <c r="P12" s="17"/>
      <c r="Q12" s="17"/>
      <c r="R12" s="17"/>
      <c r="S12" s="17"/>
      <c r="T12" s="18"/>
      <c r="U12" s="208">
        <f t="shared" si="1"/>
        <v>9.4999999999999998E-3</v>
      </c>
      <c r="V12" s="1" t="s">
        <v>581</v>
      </c>
      <c r="X12" s="1">
        <v>1</v>
      </c>
      <c r="Y12" s="1">
        <f>IF(AND($Y$8,$Y$3),$M$29,NA())</f>
        <v>445.125</v>
      </c>
      <c r="Z12" s="147" t="s">
        <v>760</v>
      </c>
      <c r="AA12" s="148">
        <v>5.0999999999999996</v>
      </c>
      <c r="AB12" s="51">
        <f t="shared" si="2"/>
        <v>9.4999999999999998E-3</v>
      </c>
    </row>
    <row r="13" spans="1:39" ht="11.25" customHeight="1" x14ac:dyDescent="0.2">
      <c r="A13" s="779" t="s">
        <v>1054</v>
      </c>
      <c r="B13" s="779"/>
      <c r="C13" s="779"/>
      <c r="E13" s="117">
        <v>6</v>
      </c>
      <c r="F13" s="753">
        <v>459</v>
      </c>
      <c r="G13" s="754">
        <v>464</v>
      </c>
      <c r="H13" s="755"/>
      <c r="I13" s="218">
        <f t="shared" si="3"/>
        <v>5</v>
      </c>
      <c r="J13" s="747"/>
      <c r="K13" s="75"/>
      <c r="L13" s="17"/>
      <c r="M13" s="17"/>
      <c r="N13" s="17"/>
      <c r="O13" s="17"/>
      <c r="P13" s="17"/>
      <c r="Q13" s="17"/>
      <c r="R13" s="17"/>
      <c r="S13" s="17"/>
      <c r="T13" s="18"/>
      <c r="U13" s="208">
        <f t="shared" si="1"/>
        <v>9.4999999999999998E-3</v>
      </c>
      <c r="X13" s="1">
        <v>3</v>
      </c>
      <c r="Y13" s="1">
        <f>IF(AND($Y$8,$Y$3),$P$29,NA())</f>
        <v>451.25</v>
      </c>
      <c r="AB13" s="51">
        <f t="shared" si="2"/>
        <v>9.4999999999999998E-3</v>
      </c>
    </row>
    <row r="14" spans="1:39" ht="11.25" customHeight="1" x14ac:dyDescent="0.2">
      <c r="A14" s="777" t="s">
        <v>1047</v>
      </c>
      <c r="B14" s="775">
        <f>1-C14</f>
        <v>0.97499999999999998</v>
      </c>
      <c r="C14" s="776">
        <f>(100-Q11)/200</f>
        <v>2.5000000000000001E-2</v>
      </c>
      <c r="E14" s="117">
        <v>7</v>
      </c>
      <c r="F14" s="753">
        <v>459</v>
      </c>
      <c r="G14" s="754">
        <v>466</v>
      </c>
      <c r="H14" s="755"/>
      <c r="I14" s="218">
        <f t="shared" si="3"/>
        <v>7</v>
      </c>
      <c r="J14" s="747"/>
      <c r="K14" s="55"/>
      <c r="L14" s="56"/>
      <c r="M14" s="56"/>
      <c r="N14" s="56"/>
      <c r="O14" s="56"/>
      <c r="P14" s="56"/>
      <c r="Q14" s="56"/>
      <c r="R14" s="56"/>
      <c r="S14" s="56"/>
      <c r="T14" s="80"/>
      <c r="U14" s="208">
        <f t="shared" si="1"/>
        <v>9.4999999999999998E-3</v>
      </c>
      <c r="V14" s="1" t="s">
        <v>510</v>
      </c>
      <c r="X14" s="92">
        <f>$M$31</f>
        <v>12.411763647740019</v>
      </c>
      <c r="Y14" s="92">
        <f>$P$31</f>
        <v>10.372340502242993</v>
      </c>
      <c r="AB14" s="51">
        <f t="shared" si="2"/>
        <v>9.4999999999999998E-3</v>
      </c>
    </row>
    <row r="15" spans="1:39" ht="11.25" customHeight="1" x14ac:dyDescent="0.2">
      <c r="A15" s="777" t="s">
        <v>1048</v>
      </c>
      <c r="B15" s="775">
        <f>100000*(B14-B18)</f>
        <v>8228.5822533242354</v>
      </c>
      <c r="C15" s="776">
        <f>100000*(C14-C18)</f>
        <v>2265.9339034090767</v>
      </c>
      <c r="E15" s="117">
        <v>8</v>
      </c>
      <c r="F15" s="753">
        <v>423</v>
      </c>
      <c r="G15" s="754">
        <v>435</v>
      </c>
      <c r="H15" s="755"/>
      <c r="I15" s="218">
        <f t="shared" si="3"/>
        <v>12</v>
      </c>
      <c r="J15" s="747"/>
      <c r="K15" s="879">
        <v>6</v>
      </c>
      <c r="L15" s="996" t="s">
        <v>93</v>
      </c>
      <c r="M15" s="190"/>
      <c r="N15" s="190"/>
      <c r="O15" s="190"/>
      <c r="P15" s="190"/>
      <c r="Q15" s="190"/>
      <c r="R15" s="190"/>
      <c r="S15" s="190"/>
      <c r="T15" s="191"/>
      <c r="U15" s="208">
        <f t="shared" si="1"/>
        <v>9.4999999999999998E-3</v>
      </c>
      <c r="V15" s="1" t="str">
        <f>"Dependent variable "&amp;IF(J7="","","("&amp;J7&amp;")")&amp;"."</f>
        <v>Dependent variable (ms).</v>
      </c>
      <c r="AB15" s="51">
        <f t="shared" si="2"/>
        <v>9.4999999999999998E-3</v>
      </c>
    </row>
    <row r="16" spans="1:39" ht="11.25" customHeight="1" x14ac:dyDescent="0.2">
      <c r="A16" s="366" t="s">
        <v>666</v>
      </c>
      <c r="B16" s="142">
        <f>IF(Y3,Q23,"")</f>
        <v>7</v>
      </c>
      <c r="E16" s="117">
        <v>9</v>
      </c>
      <c r="F16" s="753"/>
      <c r="G16" s="754"/>
      <c r="H16" s="755"/>
      <c r="I16" s="218" t="str">
        <f t="shared" si="3"/>
        <v/>
      </c>
      <c r="J16" s="747"/>
      <c r="K16" s="367"/>
      <c r="L16" s="820"/>
      <c r="M16" s="190"/>
      <c r="N16" s="193"/>
      <c r="O16" s="193" t="s">
        <v>590</v>
      </c>
      <c r="P16" s="190"/>
      <c r="Q16" s="190"/>
      <c r="R16" s="190"/>
      <c r="S16" s="190"/>
      <c r="T16" s="191"/>
      <c r="U16" s="208">
        <f t="shared" si="1"/>
        <v>9.4999999999999998E-3</v>
      </c>
      <c r="V16" s="1" t="s">
        <v>582</v>
      </c>
      <c r="W16" s="1">
        <v>4.0999999999999996</v>
      </c>
      <c r="X16" s="70">
        <f>IF(AND(N18&lt;&gt;"",$Y$2),P29,NA())</f>
        <v>451.25</v>
      </c>
      <c r="Y16" s="3" t="s">
        <v>583</v>
      </c>
      <c r="Z16" s="92">
        <f>IF(AND($Y$7,N20&lt;&gt;"",$Y$3),N20,NA())</f>
        <v>5.7651248336674978</v>
      </c>
      <c r="AB16" s="51">
        <f t="shared" si="2"/>
        <v>9.4999999999999998E-3</v>
      </c>
    </row>
    <row r="17" spans="1:28" ht="11.25" customHeight="1" x14ac:dyDescent="0.2">
      <c r="A17" s="366" t="s">
        <v>1049</v>
      </c>
      <c r="B17" s="780">
        <v>0.94364681467512235</v>
      </c>
      <c r="C17" s="781">
        <v>5.8764791102976677</v>
      </c>
      <c r="E17" s="117">
        <v>10</v>
      </c>
      <c r="F17" s="753"/>
      <c r="G17" s="754"/>
      <c r="H17" s="755"/>
      <c r="I17" s="218" t="str">
        <f t="shared" si="3"/>
        <v/>
      </c>
      <c r="J17" s="747"/>
      <c r="K17" s="189"/>
      <c r="L17" s="190"/>
      <c r="M17" s="368" t="s">
        <v>766</v>
      </c>
      <c r="N17" s="150">
        <f>COUNT(I8:I1007)</f>
        <v>8</v>
      </c>
      <c r="O17" s="221"/>
      <c r="P17" s="190"/>
      <c r="Q17" s="190"/>
      <c r="R17" s="190"/>
      <c r="S17" s="190"/>
      <c r="T17" s="191"/>
      <c r="U17" s="208">
        <f t="shared" si="1"/>
        <v>9.4999999999999998E-3</v>
      </c>
      <c r="V17" s="1" t="s">
        <v>591</v>
      </c>
      <c r="W17" s="1" t="s">
        <v>592</v>
      </c>
      <c r="X17" s="1">
        <v>0.8</v>
      </c>
      <c r="Y17" s="92">
        <f>IF(AND(M31&lt;&gt;"",P31&lt;&gt;"",N20&lt;&gt;""),MAX(F8:F107,G8:G107,M29+M31,P29+P31,P29+N20),MAX(F8:F107,G8:G107))</f>
        <v>466</v>
      </c>
      <c r="Z17" s="1" t="s">
        <v>715</v>
      </c>
      <c r="AA17" s="92">
        <f>Y17-Y18</f>
        <v>43</v>
      </c>
      <c r="AB17" s="51">
        <f t="shared" si="2"/>
        <v>9.4999999999999998E-3</v>
      </c>
    </row>
    <row r="18" spans="1:28" ht="11.25" customHeight="1" x14ac:dyDescent="0.3">
      <c r="A18" s="366" t="s">
        <v>1050</v>
      </c>
      <c r="B18" s="789">
        <f>nct(N23,B17,B16)</f>
        <v>0.89271417746675763</v>
      </c>
      <c r="C18" s="790">
        <f>nct(N23,C17,B16)</f>
        <v>2.3406609659092337E-3</v>
      </c>
      <c r="E18" s="117">
        <v>11</v>
      </c>
      <c r="F18" s="753"/>
      <c r="G18" s="754"/>
      <c r="H18" s="755"/>
      <c r="I18" s="218" t="str">
        <f t="shared" si="3"/>
        <v/>
      </c>
      <c r="J18" s="747"/>
      <c r="K18" s="189"/>
      <c r="L18" s="190"/>
      <c r="M18" s="368" t="s">
        <v>767</v>
      </c>
      <c r="N18" s="223">
        <f>IF(N17&gt;0,AVERAGE(I8:I1007),"")</f>
        <v>6.125</v>
      </c>
      <c r="O18" s="757"/>
      <c r="P18" s="369" t="str">
        <f>IF($J$7&lt;&gt;"",$J$7,"")</f>
        <v>ms</v>
      </c>
      <c r="Q18" s="370"/>
      <c r="R18" s="370"/>
      <c r="S18" s="370"/>
      <c r="T18" s="191"/>
      <c r="U18" s="208">
        <f t="shared" si="1"/>
        <v>9.4999999999999998E-3</v>
      </c>
      <c r="V18" s="1" t="s">
        <v>593</v>
      </c>
      <c r="W18" s="1" t="s">
        <v>594</v>
      </c>
      <c r="X18" s="1">
        <v>0.8</v>
      </c>
      <c r="Y18" s="92">
        <f>IF(AND(M31&lt;&gt;"",P31&lt;&gt;"",N20&lt;&gt;""),MIN(F8:F107,G8:G107,M29-M31,P29-P31,P29-N20),MIN(F8:F107,G8:G107))</f>
        <v>423</v>
      </c>
      <c r="Z18" s="1" t="s">
        <v>765</v>
      </c>
      <c r="AA18" s="1" t="b">
        <f>AND(Y17=0,Y18=0)</f>
        <v>0</v>
      </c>
      <c r="AB18" s="51">
        <f t="shared" si="2"/>
        <v>9.4999999999999998E-3</v>
      </c>
    </row>
    <row r="19" spans="1:28" ht="11.25" customHeight="1" x14ac:dyDescent="0.3">
      <c r="A19" s="287" t="s">
        <v>1051</v>
      </c>
      <c r="B19" s="346">
        <f>N18-N20</f>
        <v>0.35987516633250216</v>
      </c>
      <c r="C19" s="778">
        <f>N18+N20</f>
        <v>11.890124833667498</v>
      </c>
      <c r="E19" s="117">
        <v>12</v>
      </c>
      <c r="F19" s="753"/>
      <c r="G19" s="754"/>
      <c r="H19" s="755"/>
      <c r="I19" s="218" t="str">
        <f t="shared" si="3"/>
        <v/>
      </c>
      <c r="J19" s="747"/>
      <c r="K19" s="371"/>
      <c r="L19" s="821"/>
      <c r="M19" s="368" t="s">
        <v>768</v>
      </c>
      <c r="N19" s="226">
        <f>IF(N17&gt;1,STDEV(I8:I1007),"")</f>
        <v>6.8959097607619135</v>
      </c>
      <c r="O19" s="758"/>
      <c r="P19" s="369" t="str">
        <f>IF($J$7&lt;&gt;"",$J$7,"")</f>
        <v>ms</v>
      </c>
      <c r="Q19" s="370"/>
      <c r="R19" s="370"/>
      <c r="S19" s="370"/>
      <c r="T19" s="191"/>
      <c r="U19" s="208">
        <f t="shared" si="1"/>
        <v>9.4999999999999998E-3</v>
      </c>
      <c r="V19" s="366" t="e">
        <f>IF(AND($Y$2,$W$8=2),$M$29,NA())</f>
        <v>#N/A</v>
      </c>
      <c r="W19" s="89" t="e">
        <f>NA()</f>
        <v>#N/A</v>
      </c>
      <c r="X19" s="89" t="e">
        <f>IF(AND($Y$2,$W$8=2),$P$29,NA())</f>
        <v>#N/A</v>
      </c>
      <c r="Y19" s="89" t="e">
        <f>NA()</f>
        <v>#N/A</v>
      </c>
      <c r="Z19" s="89" t="e">
        <f>NA()</f>
        <v>#N/A</v>
      </c>
      <c r="AA19" s="142"/>
      <c r="AB19" s="51">
        <f t="shared" si="2"/>
        <v>9.4999999999999998E-3</v>
      </c>
    </row>
    <row r="20" spans="1:28" ht="11.25" customHeight="1" x14ac:dyDescent="0.3">
      <c r="A20" s="293" t="s">
        <v>1053</v>
      </c>
      <c r="B20" s="137">
        <f>B19/C12</f>
        <v>2.6304749646254812E-2</v>
      </c>
      <c r="C20" s="264">
        <f>C19/C12</f>
        <v>0.86909791581273965</v>
      </c>
      <c r="E20" s="117">
        <v>13</v>
      </c>
      <c r="F20" s="753"/>
      <c r="G20" s="754"/>
      <c r="H20" s="755"/>
      <c r="I20" s="218" t="str">
        <f t="shared" si="3"/>
        <v/>
      </c>
      <c r="J20" s="747"/>
      <c r="K20" s="189"/>
      <c r="L20" s="190"/>
      <c r="M20" s="368" t="s">
        <v>769</v>
      </c>
      <c r="N20" s="228">
        <f>IF(N17&gt;1,(N19/SQRT(N17))*TINV(1-$Q$11/100,(N17-1)),"")</f>
        <v>5.7651248336674978</v>
      </c>
      <c r="O20" s="759"/>
      <c r="P20" s="369" t="str">
        <f>IF($J$7&lt;&gt;"",$J$7,"")</f>
        <v>ms</v>
      </c>
      <c r="Q20" s="370"/>
      <c r="R20" s="370"/>
      <c r="S20" s="370"/>
      <c r="T20" s="191"/>
      <c r="U20" s="208">
        <f t="shared" si="1"/>
        <v>9.4999999999999998E-3</v>
      </c>
      <c r="V20" s="1" t="s">
        <v>716</v>
      </c>
      <c r="W20" s="1">
        <f>POWER(10,INT(LOG10(AA17)))</f>
        <v>10</v>
      </c>
      <c r="X20" s="1" t="s">
        <v>762</v>
      </c>
      <c r="Y20" s="1">
        <f>CHOOSE(W21,10,5,5,2,2,2,2,1,1,1)</f>
        <v>2</v>
      </c>
      <c r="AB20" s="51">
        <f t="shared" si="2"/>
        <v>9.4999999999999998E-3</v>
      </c>
    </row>
    <row r="21" spans="1:28" ht="11.25" customHeight="1" x14ac:dyDescent="0.2">
      <c r="A21" s="295" t="s">
        <v>1052</v>
      </c>
      <c r="B21" s="52">
        <f>B20*$C$12*SQRT($N$17)/$N$19</f>
        <v>0.14760643878624838</v>
      </c>
      <c r="C21" s="148">
        <f>C20*$C$12*SQRT($N$17)/$N$19</f>
        <v>4.8768549419718186</v>
      </c>
      <c r="E21" s="117">
        <v>14</v>
      </c>
      <c r="F21" s="753"/>
      <c r="G21" s="754"/>
      <c r="H21" s="755"/>
      <c r="I21" s="218" t="str">
        <f t="shared" si="3"/>
        <v/>
      </c>
      <c r="J21" s="747"/>
      <c r="K21" s="372"/>
      <c r="L21" s="200"/>
      <c r="M21" s="201" t="s">
        <v>607</v>
      </c>
      <c r="N21" s="226">
        <f>IF(N20&lt;&gt;"",N18-N20,"")</f>
        <v>0.35987516633250216</v>
      </c>
      <c r="O21" s="375" t="s">
        <v>572</v>
      </c>
      <c r="P21" s="230">
        <f>IF(N20&lt;&gt;"",N18+N20,"")</f>
        <v>11.890124833667498</v>
      </c>
      <c r="Q21" s="373" t="s">
        <v>531</v>
      </c>
      <c r="R21" s="373"/>
      <c r="S21" s="370" t="str">
        <f>IF($H$6&lt;&gt;"",$H$6,"")</f>
        <v/>
      </c>
      <c r="T21" s="191"/>
      <c r="U21" s="208">
        <f t="shared" si="1"/>
        <v>9.4999999999999998E-3</v>
      </c>
      <c r="V21" s="1" t="s">
        <v>717</v>
      </c>
      <c r="W21" s="1">
        <f>ROUNDUP(AA17/W20,0)</f>
        <v>5</v>
      </c>
      <c r="X21" s="1" t="s">
        <v>763</v>
      </c>
      <c r="Y21" s="1">
        <f>W20/Y20</f>
        <v>5</v>
      </c>
      <c r="AB21" s="51">
        <f t="shared" si="2"/>
        <v>9.4999999999999998E-3</v>
      </c>
    </row>
    <row r="22" spans="1:28" ht="11.25" customHeight="1" x14ac:dyDescent="0.2">
      <c r="E22" s="117">
        <v>15</v>
      </c>
      <c r="F22" s="753"/>
      <c r="G22" s="754"/>
      <c r="H22" s="755"/>
      <c r="I22" s="218" t="str">
        <f t="shared" si="3"/>
        <v/>
      </c>
      <c r="J22" s="747"/>
      <c r="K22" s="189"/>
      <c r="L22" s="190"/>
      <c r="M22" s="374" t="s">
        <v>770</v>
      </c>
      <c r="N22" s="232">
        <f>N18</f>
        <v>6.125</v>
      </c>
      <c r="O22" s="760"/>
      <c r="P22" s="370" t="str">
        <f>IF($J$7&lt;&gt;"",$J$7,"")</f>
        <v>ms</v>
      </c>
      <c r="Q22" s="370"/>
      <c r="R22" s="370"/>
      <c r="S22" s="370"/>
      <c r="T22" s="191"/>
      <c r="U22" s="208">
        <f t="shared" si="1"/>
        <v>9.4999999999999998E-3</v>
      </c>
      <c r="W22" s="3" t="s">
        <v>764</v>
      </c>
      <c r="X22" s="1">
        <v>4.5999999999999996</v>
      </c>
      <c r="AB22" s="51">
        <f t="shared" si="2"/>
        <v>9.4999999999999998E-3</v>
      </c>
    </row>
    <row r="23" spans="1:28" ht="11.25" customHeight="1" x14ac:dyDescent="0.2">
      <c r="E23" s="117">
        <v>16</v>
      </c>
      <c r="F23" s="753"/>
      <c r="G23" s="754"/>
      <c r="H23" s="755"/>
      <c r="I23" s="218" t="str">
        <f t="shared" si="3"/>
        <v/>
      </c>
      <c r="J23" s="747"/>
      <c r="K23" s="189"/>
      <c r="L23" s="190"/>
      <c r="M23" s="333" t="s">
        <v>771</v>
      </c>
      <c r="N23" s="377">
        <f>IF(AND(Y3,N19&gt;0),N18/(N19/SQRT(N17)),"")</f>
        <v>2.5122306903790332</v>
      </c>
      <c r="O23" s="142"/>
      <c r="P23" s="344" t="s">
        <v>702</v>
      </c>
      <c r="Q23" s="376">
        <f>IF(Y3,N17-1,"")</f>
        <v>7</v>
      </c>
      <c r="R23" s="855"/>
      <c r="S23" s="190"/>
      <c r="T23" s="191"/>
      <c r="U23" s="208">
        <f t="shared" si="1"/>
        <v>9.4999999999999998E-3</v>
      </c>
      <c r="V23" s="259"/>
      <c r="W23" s="772" t="s">
        <v>1043</v>
      </c>
      <c r="X23" s="773">
        <f>1+V24</f>
        <v>1.4</v>
      </c>
      <c r="AB23" s="51">
        <f t="shared" si="2"/>
        <v>9.4999999999999998E-3</v>
      </c>
    </row>
    <row r="24" spans="1:28" ht="11.25" customHeight="1" x14ac:dyDescent="0.2">
      <c r="E24" s="229">
        <v>17</v>
      </c>
      <c r="F24" s="753"/>
      <c r="G24" s="754"/>
      <c r="H24" s="755"/>
      <c r="I24" s="218" t="str">
        <f t="shared" si="3"/>
        <v/>
      </c>
      <c r="J24" s="756"/>
      <c r="K24" s="189"/>
      <c r="L24" s="190"/>
      <c r="M24" s="761" t="s">
        <v>1086</v>
      </c>
      <c r="N24" s="895">
        <f>IF(AND(Y3,N19&gt;0),TDIST(ABS(N23),Q23,2),"")</f>
        <v>4.0265347051325472E-2</v>
      </c>
      <c r="O24" s="142"/>
      <c r="P24" s="190"/>
      <c r="Q24" s="190"/>
      <c r="R24" s="190"/>
      <c r="S24" s="190"/>
      <c r="T24" s="191"/>
      <c r="U24" s="208">
        <f t="shared" si="1"/>
        <v>9.4999999999999998E-3</v>
      </c>
      <c r="V24" s="147">
        <v>0.4</v>
      </c>
      <c r="W24" s="52"/>
      <c r="X24" s="774">
        <f>3-V24</f>
        <v>2.6</v>
      </c>
      <c r="AB24" s="51">
        <f t="shared" si="2"/>
        <v>9.4999999999999998E-3</v>
      </c>
    </row>
    <row r="25" spans="1:28" ht="11.25" customHeight="1" x14ac:dyDescent="0.2">
      <c r="E25" s="229">
        <v>18</v>
      </c>
      <c r="F25" s="753"/>
      <c r="G25" s="754"/>
      <c r="H25" s="755"/>
      <c r="I25" s="218" t="str">
        <f t="shared" si="3"/>
        <v/>
      </c>
      <c r="J25" s="756"/>
      <c r="K25" s="204"/>
      <c r="L25" s="205"/>
      <c r="M25" s="205"/>
      <c r="N25" s="205"/>
      <c r="O25" s="205"/>
      <c r="P25" s="205"/>
      <c r="Q25" s="205"/>
      <c r="R25" s="205"/>
      <c r="S25" s="205"/>
      <c r="T25" s="206"/>
      <c r="U25" s="208">
        <f t="shared" si="1"/>
        <v>9.4999999999999998E-3</v>
      </c>
      <c r="AB25" s="51">
        <f t="shared" si="2"/>
        <v>9.4999999999999998E-3</v>
      </c>
    </row>
    <row r="26" spans="1:28" ht="11.25" customHeight="1" x14ac:dyDescent="0.2">
      <c r="E26" s="229">
        <v>19</v>
      </c>
      <c r="F26" s="753"/>
      <c r="G26" s="754"/>
      <c r="H26" s="755"/>
      <c r="I26" s="218" t="str">
        <f t="shared" si="3"/>
        <v/>
      </c>
      <c r="J26" s="756"/>
      <c r="K26" s="303">
        <v>7</v>
      </c>
      <c r="L26" s="997" t="s">
        <v>94</v>
      </c>
      <c r="M26" s="378"/>
      <c r="N26" s="378"/>
      <c r="O26" s="378"/>
      <c r="P26" s="378"/>
      <c r="Q26" s="66"/>
      <c r="R26" s="66"/>
      <c r="S26" s="66"/>
      <c r="T26" s="130"/>
      <c r="U26" s="208">
        <f t="shared" si="1"/>
        <v>9.4999999999999998E-3</v>
      </c>
      <c r="AB26" s="51">
        <f t="shared" si="2"/>
        <v>9.4999999999999998E-3</v>
      </c>
    </row>
    <row r="27" spans="1:28" ht="11.25" customHeight="1" x14ac:dyDescent="0.2">
      <c r="E27" s="117">
        <v>20</v>
      </c>
      <c r="F27" s="753"/>
      <c r="G27" s="754"/>
      <c r="H27" s="755"/>
      <c r="I27" s="218" t="str">
        <f t="shared" si="3"/>
        <v/>
      </c>
      <c r="J27" s="747"/>
      <c r="K27" s="65"/>
      <c r="L27" s="66"/>
      <c r="M27" s="233" t="s">
        <v>578</v>
      </c>
      <c r="N27" s="66"/>
      <c r="O27" s="66"/>
      <c r="P27" s="233" t="s">
        <v>579</v>
      </c>
      <c r="Q27" s="66"/>
      <c r="R27" s="66"/>
      <c r="S27" s="66"/>
      <c r="T27" s="130"/>
      <c r="U27" s="208">
        <f t="shared" si="1"/>
        <v>9.4999999999999998E-3</v>
      </c>
      <c r="AB27" s="234">
        <f t="shared" si="2"/>
        <v>9.4999999999999998E-3</v>
      </c>
    </row>
    <row r="28" spans="1:28" ht="11.25" customHeight="1" x14ac:dyDescent="0.2">
      <c r="E28" s="117">
        <v>21</v>
      </c>
      <c r="F28" s="753"/>
      <c r="G28" s="754"/>
      <c r="H28" s="755"/>
      <c r="I28" s="218" t="str">
        <f t="shared" si="3"/>
        <v/>
      </c>
      <c r="J28" s="747"/>
      <c r="K28" s="65"/>
      <c r="L28" s="66"/>
      <c r="M28" s="235" t="str">
        <f>IF(F7="","",F7)</f>
        <v>Pretest</v>
      </c>
      <c r="N28" s="236"/>
      <c r="O28" s="236"/>
      <c r="P28" s="235" t="str">
        <f>IF(G7="","",G7)</f>
        <v>Posttest</v>
      </c>
      <c r="Q28" s="237"/>
      <c r="R28" s="237"/>
      <c r="S28" s="237"/>
      <c r="T28" s="130"/>
      <c r="U28" s="208">
        <f t="shared" si="1"/>
        <v>9.4999999999999998E-3</v>
      </c>
      <c r="AB28" s="51">
        <f t="shared" si="2"/>
        <v>9.4999999999999998E-3</v>
      </c>
    </row>
    <row r="29" spans="1:28" ht="11.25" customHeight="1" x14ac:dyDescent="0.3">
      <c r="E29" s="229">
        <v>22</v>
      </c>
      <c r="F29" s="753"/>
      <c r="G29" s="754"/>
      <c r="H29" s="755"/>
      <c r="I29" s="218" t="str">
        <f t="shared" si="3"/>
        <v/>
      </c>
      <c r="J29" s="756"/>
      <c r="K29" s="65"/>
      <c r="L29" s="822" t="s">
        <v>772</v>
      </c>
      <c r="M29" s="762">
        <f>IF(AND(N17&gt;0,COUNT(F8:F1007)=N17),AVERAGE(F8:F1007),"")</f>
        <v>445.125</v>
      </c>
      <c r="N29" s="66"/>
      <c r="O29" s="222" t="s">
        <v>773</v>
      </c>
      <c r="P29" s="324">
        <f>IF(AND(N17&gt;0,COUNT(G8:G1007)=N17),AVERAGE(G8:G1007),"")</f>
        <v>451.25</v>
      </c>
      <c r="Q29" s="224" t="str">
        <f>IF($J$7&lt;&gt;"",$J$7,"")</f>
        <v>ms</v>
      </c>
      <c r="R29" s="224"/>
      <c r="S29" s="225"/>
      <c r="T29" s="130"/>
      <c r="U29" s="208">
        <f t="shared" si="1"/>
        <v>9.4999999999999998E-3</v>
      </c>
      <c r="X29" s="227"/>
      <c r="Y29" s="227"/>
      <c r="AB29" s="51">
        <f t="shared" si="2"/>
        <v>9.4999999999999998E-3</v>
      </c>
    </row>
    <row r="30" spans="1:28" ht="11.25" customHeight="1" x14ac:dyDescent="0.3">
      <c r="E30" s="117">
        <v>23</v>
      </c>
      <c r="F30" s="753"/>
      <c r="G30" s="754"/>
      <c r="H30" s="755"/>
      <c r="I30" s="218" t="str">
        <f t="shared" si="3"/>
        <v/>
      </c>
      <c r="J30" s="747"/>
      <c r="K30" s="65"/>
      <c r="L30" s="822" t="s">
        <v>776</v>
      </c>
      <c r="M30" s="720">
        <f>IF(AND(N17&gt;1,COUNT(F8:F1007)=N17),STDEV(F8:F1007),"")</f>
        <v>14.846235694131838</v>
      </c>
      <c r="N30" s="66"/>
      <c r="O30" s="222" t="s">
        <v>777</v>
      </c>
      <c r="P30" s="324">
        <f>IF(AND(N17&gt;1,COUNT(G8:G1007)=N17),STDEV(G8:G1007),"")</f>
        <v>12.406795373043412</v>
      </c>
      <c r="Q30" s="224" t="str">
        <f>IF($J$7&lt;&gt;"",$J$7,"")</f>
        <v>ms</v>
      </c>
      <c r="R30" s="224"/>
      <c r="S30" s="225"/>
      <c r="T30" s="130"/>
      <c r="U30" s="208">
        <f t="shared" si="1"/>
        <v>9.4999999999999998E-3</v>
      </c>
      <c r="AB30" s="51">
        <f t="shared" si="2"/>
        <v>9.4999999999999998E-3</v>
      </c>
    </row>
    <row r="31" spans="1:28" ht="11.25" customHeight="1" x14ac:dyDescent="0.3">
      <c r="E31" s="117">
        <v>24</v>
      </c>
      <c r="F31" s="753"/>
      <c r="G31" s="754"/>
      <c r="H31" s="755"/>
      <c r="I31" s="218" t="str">
        <f t="shared" si="3"/>
        <v/>
      </c>
      <c r="J31" s="747"/>
      <c r="K31" s="65"/>
      <c r="L31" s="823" t="s">
        <v>778</v>
      </c>
      <c r="M31" s="324">
        <f>IF(AND(N17&gt;1,COUNT(F8:F1007)=N17),(M30/SQRT(N17))*TINV(1-Q11/100,(N17-1)),"")</f>
        <v>12.411763647740019</v>
      </c>
      <c r="N31" s="66"/>
      <c r="O31" s="222" t="s">
        <v>779</v>
      </c>
      <c r="P31" s="324">
        <f>IF(AND(N17&gt;1,COUNT(G8:G1007)=N17),(P30/SQRT(N17))*TINV(1-$Q$11/100,(N17-1)),"")</f>
        <v>10.372340502242993</v>
      </c>
      <c r="Q31" s="224" t="str">
        <f>IF($J$7&lt;&gt;"",$J$7,"")</f>
        <v>ms</v>
      </c>
      <c r="R31" s="224"/>
      <c r="S31" s="225"/>
      <c r="T31" s="130"/>
      <c r="U31" s="208">
        <f t="shared" si="1"/>
        <v>9.4999999999999998E-3</v>
      </c>
      <c r="Y31" s="227"/>
      <c r="AB31" s="51">
        <f t="shared" si="2"/>
        <v>9.4999999999999998E-3</v>
      </c>
    </row>
    <row r="32" spans="1:28" ht="11.25" customHeight="1" x14ac:dyDescent="0.2">
      <c r="E32" s="117">
        <v>25</v>
      </c>
      <c r="F32" s="753"/>
      <c r="G32" s="754"/>
      <c r="H32" s="755"/>
      <c r="I32" s="218" t="str">
        <f t="shared" si="3"/>
        <v/>
      </c>
      <c r="J32" s="747"/>
      <c r="K32" s="65"/>
      <c r="L32" s="66"/>
      <c r="M32" s="231" t="s">
        <v>576</v>
      </c>
      <c r="N32" s="896">
        <f>IF(AND(N17&gt;1,M30&gt;0,P30&gt;0,Y3),CORREL(F8:F1007,G8:G1007),"")</f>
        <v>0.88706837547029271</v>
      </c>
      <c r="O32" s="238"/>
      <c r="P32" s="66"/>
      <c r="Q32" s="66"/>
      <c r="R32" s="66"/>
      <c r="S32" s="66"/>
      <c r="T32" s="130"/>
      <c r="U32" s="208">
        <f t="shared" si="1"/>
        <v>9.4999999999999998E-3</v>
      </c>
      <c r="AB32" s="51">
        <f t="shared" si="2"/>
        <v>9.4999999999999998E-3</v>
      </c>
    </row>
    <row r="33" spans="5:28" ht="11.25" customHeight="1" x14ac:dyDescent="0.2">
      <c r="E33" s="229">
        <v>26</v>
      </c>
      <c r="F33" s="753"/>
      <c r="G33" s="754"/>
      <c r="H33" s="755"/>
      <c r="I33" s="218" t="str">
        <f t="shared" si="3"/>
        <v/>
      </c>
      <c r="J33" s="747"/>
      <c r="K33" s="65"/>
      <c r="L33" s="66"/>
      <c r="M33" s="66"/>
      <c r="N33" s="66"/>
      <c r="O33" s="66"/>
      <c r="P33" s="66"/>
      <c r="Q33" s="66"/>
      <c r="R33" s="66"/>
      <c r="S33" s="66"/>
      <c r="T33" s="130"/>
      <c r="U33" s="208">
        <f t="shared" si="1"/>
        <v>9.4999999999999998E-3</v>
      </c>
      <c r="AB33" s="51">
        <f t="shared" si="2"/>
        <v>9.4999999999999998E-3</v>
      </c>
    </row>
    <row r="34" spans="5:28" ht="11.25" customHeight="1" x14ac:dyDescent="0.3">
      <c r="E34" s="117">
        <v>27</v>
      </c>
      <c r="F34" s="753"/>
      <c r="G34" s="754"/>
      <c r="H34" s="755"/>
      <c r="I34" s="731" t="str">
        <f t="shared" si="3"/>
        <v/>
      </c>
      <c r="K34" s="791" t="s">
        <v>1067</v>
      </c>
      <c r="L34" s="15"/>
      <c r="M34" s="839" t="s">
        <v>1084</v>
      </c>
      <c r="N34" s="840">
        <f>IF(AND(Y3,N17&gt;1),C12,"")</f>
        <v>13.68099568222806</v>
      </c>
      <c r="O34" s="838" t="str">
        <f>IF(AND(dispddt,N18&lt;&gt;"",P18&lt;&gt;"",Z56=1),O25/X70,"")</f>
        <v/>
      </c>
      <c r="P34" s="835" t="str">
        <f>IF($J$7&lt;&gt;"",$J$7,"")</f>
        <v>ms</v>
      </c>
      <c r="Q34" s="15"/>
      <c r="R34" s="858" t="s">
        <v>1089</v>
      </c>
      <c r="S34" s="15"/>
      <c r="T34" s="16"/>
      <c r="U34" s="208">
        <f t="shared" si="1"/>
        <v>9.4999999999999998E-3</v>
      </c>
      <c r="AB34" s="51">
        <f t="shared" si="2"/>
        <v>9.4999999999999998E-3</v>
      </c>
    </row>
    <row r="35" spans="5:28" ht="11.25" customHeight="1" x14ac:dyDescent="0.2">
      <c r="E35" s="117">
        <v>28</v>
      </c>
      <c r="F35" s="753"/>
      <c r="G35" s="754"/>
      <c r="H35" s="755"/>
      <c r="I35" s="731" t="str">
        <f t="shared" si="3"/>
        <v/>
      </c>
      <c r="J35" s="45"/>
      <c r="K35" s="75"/>
      <c r="L35" s="17"/>
      <c r="M35" s="844" t="s">
        <v>1074</v>
      </c>
      <c r="N35" s="837">
        <f>IF(AND(Y3,N17&gt;1),N18/C12,"")</f>
        <v>0.44770133272949725</v>
      </c>
      <c r="O35" s="45"/>
      <c r="P35" s="612" t="s">
        <v>1069</v>
      </c>
      <c r="Q35" s="836" t="str">
        <f>IF(C11,cidpl*N19/(C12*SQRT(N17)),"")</f>
        <v/>
      </c>
      <c r="R35" s="796" t="s">
        <v>572</v>
      </c>
      <c r="S35" s="836" t="str">
        <f>IF(C11,cidpu*N19/(C12*SQRT(N17)),"")</f>
        <v/>
      </c>
      <c r="T35" s="797" t="s">
        <v>531</v>
      </c>
      <c r="U35" s="208">
        <f t="shared" si="1"/>
        <v>9.4999999999999998E-3</v>
      </c>
      <c r="AB35" s="51">
        <f t="shared" si="2"/>
        <v>9.4999999999999998E-3</v>
      </c>
    </row>
    <row r="36" spans="5:28" ht="11.25" customHeight="1" x14ac:dyDescent="0.2">
      <c r="E36" s="117">
        <v>29</v>
      </c>
      <c r="F36" s="753"/>
      <c r="G36" s="754"/>
      <c r="H36" s="755"/>
      <c r="I36" s="731" t="str">
        <f t="shared" si="3"/>
        <v/>
      </c>
      <c r="J36" s="45"/>
      <c r="K36" s="819">
        <v>10</v>
      </c>
      <c r="L36" s="302"/>
      <c r="M36" s="17"/>
      <c r="N36" s="17"/>
      <c r="O36" s="801"/>
      <c r="P36" s="17"/>
      <c r="Q36" s="17"/>
      <c r="R36" s="17"/>
      <c r="S36" s="17"/>
      <c r="T36" s="18"/>
      <c r="U36" s="208">
        <f t="shared" si="1"/>
        <v>9.4999999999999998E-3</v>
      </c>
      <c r="Z36" s="107"/>
      <c r="AB36" s="51">
        <f t="shared" si="2"/>
        <v>9.4999999999999998E-3</v>
      </c>
    </row>
    <row r="37" spans="5:28" ht="11.25" customHeight="1" x14ac:dyDescent="0.3">
      <c r="E37" s="229">
        <v>30</v>
      </c>
      <c r="F37" s="753"/>
      <c r="G37" s="754"/>
      <c r="H37" s="755"/>
      <c r="I37" s="218" t="str">
        <f t="shared" si="3"/>
        <v/>
      </c>
      <c r="J37" s="747"/>
      <c r="K37" s="857" t="s">
        <v>1091</v>
      </c>
      <c r="L37" s="17"/>
      <c r="M37" s="17"/>
      <c r="N37" s="17"/>
      <c r="O37" s="17"/>
      <c r="P37" s="302"/>
      <c r="Q37" s="886" t="s">
        <v>1120</v>
      </c>
      <c r="R37" s="888"/>
      <c r="S37" s="892" t="str">
        <f>IF(C11,(S35-Q35)/2,"")</f>
        <v/>
      </c>
      <c r="T37" s="887"/>
      <c r="U37" s="208"/>
      <c r="Y37" s="3"/>
      <c r="AB37" s="57"/>
    </row>
    <row r="38" spans="5:28" ht="11.25" customHeight="1" x14ac:dyDescent="0.3">
      <c r="E38" s="117">
        <v>31</v>
      </c>
      <c r="F38" s="753"/>
      <c r="G38" s="754"/>
      <c r="H38" s="755"/>
      <c r="I38" s="218" t="str">
        <f t="shared" si="3"/>
        <v/>
      </c>
      <c r="J38" s="747"/>
      <c r="K38" s="75"/>
      <c r="L38" s="17"/>
      <c r="M38" s="886" t="s">
        <v>1117</v>
      </c>
      <c r="N38" s="837">
        <f>IF(AND(Q23&gt;1,N35&lt;&gt;""),N35*$U$62,"")</f>
        <v>0.39764962549930533</v>
      </c>
      <c r="O38" s="45"/>
      <c r="P38" s="302"/>
      <c r="Q38" s="280"/>
      <c r="R38" s="280"/>
      <c r="S38" s="280"/>
      <c r="T38" s="887"/>
      <c r="U38" s="208"/>
      <c r="AB38" s="57"/>
    </row>
    <row r="39" spans="5:28" ht="11.25" customHeight="1" x14ac:dyDescent="0.2">
      <c r="E39" s="117">
        <v>32</v>
      </c>
      <c r="F39" s="753"/>
      <c r="G39" s="754"/>
      <c r="H39" s="755"/>
      <c r="I39" s="218" t="str">
        <f t="shared" si="3"/>
        <v/>
      </c>
      <c r="J39" s="747"/>
      <c r="K39" s="852"/>
      <c r="L39" s="853"/>
      <c r="M39" s="853"/>
      <c r="N39" s="853"/>
      <c r="O39" s="853"/>
      <c r="P39" s="853"/>
      <c r="Q39" s="853"/>
      <c r="R39" s="853"/>
      <c r="S39" s="853"/>
      <c r="T39" s="854"/>
      <c r="U39" s="208"/>
      <c r="AB39" s="57"/>
    </row>
    <row r="40" spans="5:28" ht="11.25" customHeight="1" x14ac:dyDescent="0.2">
      <c r="E40" s="117">
        <v>33</v>
      </c>
      <c r="F40" s="753"/>
      <c r="G40" s="754"/>
      <c r="H40" s="755"/>
      <c r="I40" s="218" t="str">
        <f t="shared" si="3"/>
        <v/>
      </c>
      <c r="J40" s="747"/>
      <c r="K40"/>
      <c r="L40"/>
      <c r="M40"/>
      <c r="N40"/>
      <c r="O40"/>
      <c r="P40"/>
      <c r="Q40"/>
      <c r="R40"/>
      <c r="S40"/>
      <c r="T40"/>
      <c r="U40" s="208"/>
      <c r="AB40" s="57"/>
    </row>
    <row r="41" spans="5:28" ht="11.25" customHeight="1" x14ac:dyDescent="0.2">
      <c r="E41" s="229">
        <v>34</v>
      </c>
      <c r="F41" s="753"/>
      <c r="G41" s="754"/>
      <c r="H41" s="755"/>
      <c r="I41" s="218" t="str">
        <f t="shared" si="3"/>
        <v/>
      </c>
      <c r="J41" s="747"/>
      <c r="K41"/>
      <c r="L41"/>
      <c r="M41"/>
      <c r="N41"/>
      <c r="O41"/>
      <c r="P41"/>
      <c r="Q41"/>
      <c r="R41"/>
      <c r="S41"/>
      <c r="T41"/>
      <c r="U41" s="208"/>
      <c r="AB41" s="57"/>
    </row>
    <row r="42" spans="5:28" ht="11.25" customHeight="1" x14ac:dyDescent="0.2">
      <c r="E42" s="117">
        <v>35</v>
      </c>
      <c r="F42" s="753"/>
      <c r="G42" s="754"/>
      <c r="H42" s="755"/>
      <c r="I42" s="218" t="str">
        <f t="shared" si="3"/>
        <v/>
      </c>
      <c r="J42" s="747"/>
      <c r="K42"/>
      <c r="L42"/>
      <c r="M42"/>
      <c r="N42"/>
      <c r="O42"/>
      <c r="P42"/>
      <c r="Q42"/>
      <c r="R42"/>
      <c r="S42"/>
      <c r="T42"/>
      <c r="U42" s="208"/>
      <c r="AB42" s="57"/>
    </row>
    <row r="43" spans="5:28" ht="11.25" customHeight="1" x14ac:dyDescent="0.2">
      <c r="E43" s="117">
        <v>36</v>
      </c>
      <c r="F43" s="753"/>
      <c r="G43" s="754"/>
      <c r="H43" s="755"/>
      <c r="I43" s="218" t="str">
        <f t="shared" si="3"/>
        <v/>
      </c>
      <c r="J43" s="747"/>
      <c r="K43"/>
      <c r="L43"/>
      <c r="M43"/>
      <c r="N43"/>
      <c r="O43"/>
      <c r="P43"/>
      <c r="Q43"/>
      <c r="R43"/>
      <c r="S43"/>
      <c r="T43"/>
      <c r="U43" s="208"/>
      <c r="AB43" s="57"/>
    </row>
    <row r="44" spans="5:28" ht="11.25" customHeight="1" x14ac:dyDescent="0.2">
      <c r="E44" s="117">
        <v>37</v>
      </c>
      <c r="F44" s="753"/>
      <c r="G44" s="754"/>
      <c r="H44" s="755"/>
      <c r="I44" s="218" t="str">
        <f t="shared" si="3"/>
        <v/>
      </c>
      <c r="J44" s="747"/>
      <c r="K44"/>
      <c r="L44"/>
      <c r="M44"/>
      <c r="N44"/>
      <c r="O44"/>
      <c r="P44"/>
      <c r="Q44"/>
      <c r="R44"/>
      <c r="S44"/>
      <c r="T44"/>
      <c r="U44" s="208"/>
      <c r="AB44" s="57"/>
    </row>
    <row r="45" spans="5:28" ht="11.25" customHeight="1" x14ac:dyDescent="0.2">
      <c r="E45" s="229">
        <v>38</v>
      </c>
      <c r="F45" s="753"/>
      <c r="G45" s="754"/>
      <c r="H45" s="755"/>
      <c r="I45" s="218" t="str">
        <f t="shared" si="3"/>
        <v/>
      </c>
      <c r="J45" s="747"/>
      <c r="K45"/>
      <c r="L45"/>
      <c r="M45"/>
      <c r="N45"/>
      <c r="O45"/>
      <c r="P45"/>
      <c r="Q45"/>
      <c r="R45"/>
      <c r="S45"/>
      <c r="T45"/>
      <c r="U45" s="208"/>
      <c r="AB45" s="57"/>
    </row>
    <row r="46" spans="5:28" ht="11.25" customHeight="1" x14ac:dyDescent="0.2">
      <c r="E46" s="117">
        <v>39</v>
      </c>
      <c r="F46" s="753"/>
      <c r="G46" s="754"/>
      <c r="H46" s="755"/>
      <c r="I46" s="218" t="str">
        <f t="shared" si="3"/>
        <v/>
      </c>
      <c r="J46" s="747"/>
      <c r="K46"/>
      <c r="L46"/>
      <c r="M46"/>
      <c r="N46"/>
      <c r="O46"/>
      <c r="P46"/>
      <c r="Q46"/>
      <c r="R46"/>
      <c r="S46"/>
      <c r="T46"/>
      <c r="U46" s="208"/>
      <c r="AB46" s="57"/>
    </row>
    <row r="47" spans="5:28" ht="11.25" customHeight="1" x14ac:dyDescent="0.2">
      <c r="E47" s="117">
        <v>40</v>
      </c>
      <c r="F47" s="753"/>
      <c r="G47" s="754"/>
      <c r="H47" s="755"/>
      <c r="I47" s="218" t="str">
        <f t="shared" si="3"/>
        <v/>
      </c>
      <c r="J47" s="747"/>
      <c r="K47"/>
      <c r="L47"/>
      <c r="M47"/>
      <c r="N47"/>
      <c r="O47"/>
      <c r="P47"/>
      <c r="Q47"/>
      <c r="R47"/>
      <c r="S47"/>
      <c r="T47"/>
      <c r="U47" s="208"/>
      <c r="AB47" s="57"/>
    </row>
    <row r="48" spans="5:28" ht="11.25" customHeight="1" x14ac:dyDescent="0.2">
      <c r="E48" s="229">
        <v>41</v>
      </c>
      <c r="F48" s="753"/>
      <c r="G48" s="754"/>
      <c r="H48" s="755"/>
      <c r="I48" s="218" t="str">
        <f t="shared" si="3"/>
        <v/>
      </c>
      <c r="J48" s="747"/>
      <c r="K48"/>
      <c r="L48"/>
      <c r="M48" s="765"/>
      <c r="N48" s="765"/>
      <c r="O48"/>
      <c r="P48"/>
      <c r="Q48"/>
      <c r="R48"/>
      <c r="S48"/>
      <c r="T48"/>
      <c r="U48" s="208"/>
      <c r="AB48" s="57"/>
    </row>
    <row r="49" spans="5:33" ht="11.25" customHeight="1" x14ac:dyDescent="0.2">
      <c r="E49" s="117">
        <v>42</v>
      </c>
      <c r="F49" s="753"/>
      <c r="G49" s="754"/>
      <c r="H49" s="755"/>
      <c r="I49" s="218" t="str">
        <f t="shared" si="3"/>
        <v/>
      </c>
      <c r="J49" s="747"/>
      <c r="K49"/>
      <c r="L49"/>
      <c r="M49" s="765"/>
      <c r="N49" s="765"/>
      <c r="O49"/>
      <c r="P49"/>
      <c r="Q49"/>
      <c r="R49"/>
      <c r="S49"/>
      <c r="T49"/>
      <c r="U49" s="208"/>
      <c r="AB49" s="57"/>
    </row>
    <row r="50" spans="5:33" ht="11.25" customHeight="1" x14ac:dyDescent="0.2">
      <c r="E50" s="117">
        <v>43</v>
      </c>
      <c r="F50" s="753"/>
      <c r="G50" s="754"/>
      <c r="H50" s="755"/>
      <c r="I50" s="218" t="str">
        <f t="shared" si="3"/>
        <v/>
      </c>
      <c r="J50" s="747"/>
      <c r="K50"/>
      <c r="L50"/>
      <c r="M50" s="765"/>
      <c r="N50" s="765"/>
      <c r="O50"/>
      <c r="P50"/>
      <c r="Q50"/>
      <c r="R50"/>
      <c r="S50"/>
      <c r="T50"/>
      <c r="U50" s="208"/>
      <c r="AB50" s="57"/>
    </row>
    <row r="51" spans="5:33" ht="11.25" customHeight="1" x14ac:dyDescent="0.2">
      <c r="E51" s="229">
        <v>44</v>
      </c>
      <c r="F51" s="753"/>
      <c r="G51" s="754"/>
      <c r="H51" s="755"/>
      <c r="I51" s="218" t="str">
        <f t="shared" si="3"/>
        <v/>
      </c>
      <c r="J51" s="747"/>
      <c r="K51"/>
      <c r="L51"/>
      <c r="M51" s="765"/>
      <c r="N51" s="765"/>
      <c r="O51"/>
      <c r="P51"/>
      <c r="Q51"/>
      <c r="R51"/>
      <c r="S51"/>
      <c r="T51"/>
      <c r="U51" s="208"/>
      <c r="AB51" s="57"/>
    </row>
    <row r="52" spans="5:33" ht="11.25" customHeight="1" x14ac:dyDescent="0.2">
      <c r="E52" s="117">
        <v>45</v>
      </c>
      <c r="F52" s="753"/>
      <c r="G52" s="754"/>
      <c r="H52" s="755"/>
      <c r="I52" s="218" t="str">
        <f t="shared" si="3"/>
        <v/>
      </c>
      <c r="J52" s="747"/>
      <c r="K52"/>
      <c r="L52"/>
      <c r="M52" s="765"/>
      <c r="N52" s="765"/>
      <c r="O52"/>
      <c r="P52"/>
      <c r="Q52"/>
      <c r="R52"/>
      <c r="S52"/>
      <c r="T52"/>
      <c r="U52" s="208"/>
      <c r="AB52" s="57"/>
    </row>
    <row r="53" spans="5:33" ht="11.25" customHeight="1" x14ac:dyDescent="0.2">
      <c r="E53" s="117">
        <v>46</v>
      </c>
      <c r="F53" s="753"/>
      <c r="G53" s="754"/>
      <c r="H53" s="755"/>
      <c r="I53" s="218" t="str">
        <f t="shared" si="3"/>
        <v/>
      </c>
      <c r="J53" s="747"/>
      <c r="K53"/>
      <c r="L53"/>
      <c r="N53" s="765"/>
      <c r="O53"/>
      <c r="P53"/>
      <c r="Q53"/>
      <c r="R53"/>
      <c r="S53"/>
      <c r="T53"/>
      <c r="U53" s="208"/>
      <c r="AB53" s="57"/>
    </row>
    <row r="54" spans="5:33" ht="11.25" customHeight="1" x14ac:dyDescent="0.2">
      <c r="E54" s="229">
        <v>47</v>
      </c>
      <c r="F54" s="753"/>
      <c r="G54" s="754"/>
      <c r="H54" s="755"/>
      <c r="I54" s="218" t="str">
        <f t="shared" si="3"/>
        <v/>
      </c>
      <c r="J54" s="747"/>
      <c r="K54"/>
      <c r="L54"/>
      <c r="N54" s="765"/>
      <c r="O54"/>
      <c r="P54"/>
      <c r="Q54"/>
      <c r="R54"/>
      <c r="S54"/>
      <c r="T54"/>
      <c r="U54" s="208"/>
      <c r="AB54" s="57"/>
    </row>
    <row r="55" spans="5:33" ht="11.25" customHeight="1" x14ac:dyDescent="0.2">
      <c r="E55" s="117">
        <v>48</v>
      </c>
      <c r="F55" s="753"/>
      <c r="G55" s="754"/>
      <c r="H55" s="755"/>
      <c r="I55" s="218" t="str">
        <f t="shared" si="3"/>
        <v/>
      </c>
      <c r="J55" s="747"/>
      <c r="K55"/>
      <c r="L55"/>
      <c r="M55"/>
      <c r="N55"/>
      <c r="O55"/>
      <c r="P55"/>
      <c r="Q55"/>
      <c r="R55"/>
      <c r="S55"/>
      <c r="T55"/>
      <c r="U55" s="208"/>
      <c r="AB55" s="57"/>
    </row>
    <row r="56" spans="5:33" ht="11.25" customHeight="1" x14ac:dyDescent="0.2">
      <c r="E56" s="117">
        <v>49</v>
      </c>
      <c r="F56" s="753"/>
      <c r="G56" s="754"/>
      <c r="H56" s="755"/>
      <c r="I56" s="218" t="str">
        <f t="shared" si="3"/>
        <v/>
      </c>
      <c r="J56" s="747"/>
      <c r="K56"/>
      <c r="L56"/>
      <c r="M56"/>
      <c r="N56"/>
      <c r="O56"/>
      <c r="P56"/>
      <c r="Q56"/>
      <c r="R56"/>
      <c r="S56"/>
      <c r="T56"/>
      <c r="U56" s="208"/>
      <c r="AB56" s="57"/>
    </row>
    <row r="57" spans="5:33" ht="11.25" customHeight="1" x14ac:dyDescent="0.2">
      <c r="E57" s="229">
        <v>50</v>
      </c>
      <c r="F57" s="753"/>
      <c r="G57" s="754"/>
      <c r="H57" s="755"/>
      <c r="I57" s="218" t="str">
        <f t="shared" si="3"/>
        <v/>
      </c>
      <c r="J57" s="747"/>
      <c r="K57"/>
      <c r="L57"/>
      <c r="M57"/>
      <c r="N57"/>
      <c r="O57"/>
      <c r="P57"/>
      <c r="Q57"/>
      <c r="R57"/>
      <c r="S57"/>
      <c r="T57"/>
      <c r="U57" s="208"/>
    </row>
    <row r="58" spans="5:33" ht="11.25" customHeight="1" x14ac:dyDescent="0.2">
      <c r="E58" s="117">
        <v>51</v>
      </c>
      <c r="F58" s="753"/>
      <c r="G58" s="754"/>
      <c r="H58" s="755"/>
      <c r="I58" s="218" t="str">
        <f t="shared" si="3"/>
        <v/>
      </c>
      <c r="J58" s="747"/>
      <c r="K58"/>
      <c r="L58"/>
      <c r="M58"/>
      <c r="N58"/>
      <c r="O58"/>
      <c r="P58"/>
      <c r="Q58"/>
      <c r="R58"/>
      <c r="S58"/>
      <c r="T58"/>
      <c r="U58" s="208"/>
    </row>
    <row r="59" spans="5:33" ht="11.25" customHeight="1" x14ac:dyDescent="0.2">
      <c r="E59" s="117">
        <v>52</v>
      </c>
      <c r="F59" s="753"/>
      <c r="G59" s="754"/>
      <c r="H59" s="755"/>
      <c r="I59" s="218" t="str">
        <f t="shared" si="3"/>
        <v/>
      </c>
      <c r="J59" s="747"/>
      <c r="K59"/>
      <c r="L59"/>
      <c r="M59"/>
      <c r="N59"/>
      <c r="O59"/>
      <c r="P59"/>
      <c r="Q59"/>
      <c r="R59"/>
      <c r="S59"/>
      <c r="T59"/>
      <c r="U59" s="208"/>
    </row>
    <row r="60" spans="5:33" ht="11.25" customHeight="1" x14ac:dyDescent="0.2">
      <c r="E60" s="229">
        <v>53</v>
      </c>
      <c r="F60" s="753"/>
      <c r="G60" s="754"/>
      <c r="H60" s="755"/>
      <c r="I60" s="218" t="str">
        <f t="shared" si="3"/>
        <v/>
      </c>
      <c r="J60" s="747"/>
      <c r="K60"/>
      <c r="L60"/>
      <c r="M60"/>
      <c r="N60"/>
      <c r="O60"/>
      <c r="Q60"/>
      <c r="R60"/>
      <c r="S60"/>
      <c r="T60"/>
      <c r="U60" s="208"/>
    </row>
    <row r="61" spans="5:33" ht="11.25" customHeight="1" x14ac:dyDescent="0.2">
      <c r="E61" s="117">
        <v>54</v>
      </c>
      <c r="F61" s="753"/>
      <c r="G61" s="754"/>
      <c r="H61" s="755"/>
      <c r="I61" s="218" t="str">
        <f t="shared" si="3"/>
        <v/>
      </c>
      <c r="J61" s="747"/>
      <c r="K61" s="239"/>
      <c r="L61" s="239"/>
      <c r="M61"/>
      <c r="N61"/>
      <c r="O61"/>
      <c r="Q61"/>
      <c r="R61"/>
      <c r="S61"/>
      <c r="T61"/>
    </row>
    <row r="62" spans="5:33" ht="11.25" customHeight="1" x14ac:dyDescent="0.2">
      <c r="E62" s="117">
        <v>55</v>
      </c>
      <c r="F62" s="753"/>
      <c r="G62" s="754"/>
      <c r="H62" s="755"/>
      <c r="I62" s="218" t="str">
        <f t="shared" si="3"/>
        <v/>
      </c>
      <c r="J62" s="747"/>
      <c r="K62" s="240" t="s">
        <v>608</v>
      </c>
      <c r="L62" s="137"/>
      <c r="M62"/>
      <c r="N62"/>
      <c r="O62"/>
      <c r="P62" s="765" t="s">
        <v>1044</v>
      </c>
      <c r="Q62" s="765"/>
      <c r="R62" s="849"/>
      <c r="S62"/>
      <c r="T62" s="3" t="s">
        <v>1088</v>
      </c>
      <c r="U62" s="1">
        <f>EXP(GAMMALN(Q23/2))/(SQRT(Q23/2)*EXP(GAMMALN(Q23/2-0.5)))</f>
        <v>0.88820290767275123</v>
      </c>
      <c r="W62" s="1" t="s">
        <v>584</v>
      </c>
      <c r="Z62" s="172" t="s">
        <v>585</v>
      </c>
      <c r="AC62" s="3" t="s">
        <v>720</v>
      </c>
      <c r="AD62" s="1" t="s">
        <v>624</v>
      </c>
      <c r="AE62" s="172" t="s">
        <v>632</v>
      </c>
      <c r="AF62" s="172" t="s">
        <v>633</v>
      </c>
      <c r="AG62" s="172" t="s">
        <v>721</v>
      </c>
    </row>
    <row r="63" spans="5:33" ht="11.25" customHeight="1" x14ac:dyDescent="0.2">
      <c r="E63" s="229">
        <v>56</v>
      </c>
      <c r="F63" s="753"/>
      <c r="G63" s="754"/>
      <c r="H63" s="755"/>
      <c r="I63" s="218" t="str">
        <f t="shared" si="3"/>
        <v/>
      </c>
      <c r="J63" s="747"/>
      <c r="K63" s="241">
        <f t="shared" ref="K63:K126" si="4">IF(I8&lt;&gt;"",(F8+G8)/2,"")</f>
        <v>442</v>
      </c>
      <c r="L63" s="137"/>
      <c r="M63" s="763"/>
      <c r="N63" s="763"/>
      <c r="O63" s="763"/>
      <c r="P63" s="768">
        <f>$X$23</f>
        <v>1.4</v>
      </c>
      <c r="Q63" s="769">
        <f>IF(AND(F8&lt;&gt;"",$Y$5,$Y$2),F8,NA())</f>
        <v>441</v>
      </c>
      <c r="R63" s="45"/>
      <c r="S63" s="763"/>
      <c r="U63" s="763"/>
      <c r="W63" s="1" t="str">
        <f>$V$9</f>
        <v>Measure 1</v>
      </c>
      <c r="X63" s="1" t="str">
        <f>$W$9</f>
        <v>Measure 2</v>
      </c>
      <c r="Z63" s="1" t="str">
        <f>$V$9</f>
        <v>Measure 1</v>
      </c>
      <c r="AA63" s="1" t="str">
        <f>$W$9</f>
        <v>Measure 2</v>
      </c>
      <c r="AC63" s="3">
        <v>10</v>
      </c>
      <c r="AD63" s="1">
        <f t="shared" ref="AD63:AD83" si="5">$Y$21*AC63</f>
        <v>50</v>
      </c>
      <c r="AE63" s="1">
        <f t="shared" ref="AE63:AE83" si="6">$M$29+$Y$21*AC63</f>
        <v>495.125</v>
      </c>
      <c r="AF63" s="1">
        <f t="shared" ref="AF63:AF83" si="7">IF($Y$2,$X$22,NA())</f>
        <v>4.5999999999999996</v>
      </c>
      <c r="AG63" s="1" t="e">
        <f t="shared" ref="AG63:AG83" si="8">IF(AND($Y$2,AE63&lt;=$Y$17+$Y$21,AE63&gt;=$Y$18-$Y$21),AE63,NA())</f>
        <v>#N/A</v>
      </c>
    </row>
    <row r="64" spans="5:33" ht="11.25" customHeight="1" x14ac:dyDescent="0.2">
      <c r="E64" s="117">
        <v>57</v>
      </c>
      <c r="F64" s="753"/>
      <c r="G64" s="754"/>
      <c r="H64" s="755"/>
      <c r="I64" s="218" t="str">
        <f t="shared" si="3"/>
        <v/>
      </c>
      <c r="J64" s="747"/>
      <c r="K64" s="241">
        <f t="shared" si="4"/>
        <v>461.5</v>
      </c>
      <c r="L64" s="137"/>
      <c r="M64" s="3" t="s">
        <v>595</v>
      </c>
      <c r="N64" s="3" t="s">
        <v>596</v>
      </c>
      <c r="O64" s="3"/>
      <c r="P64" s="770">
        <f>$X$24</f>
        <v>2.6</v>
      </c>
      <c r="Q64" s="771">
        <f>IF(AND(G8&lt;&gt;"",$Y$5,$Y$2),G8,NA())</f>
        <v>443</v>
      </c>
      <c r="R64" s="45"/>
      <c r="V64" s="172" t="s">
        <v>586</v>
      </c>
      <c r="W64" s="3" t="s">
        <v>565</v>
      </c>
      <c r="X64" s="3" t="s">
        <v>596</v>
      </c>
      <c r="Y64" s="172" t="s">
        <v>586</v>
      </c>
      <c r="Z64" s="3" t="s">
        <v>565</v>
      </c>
      <c r="AA64" s="3" t="s">
        <v>596</v>
      </c>
      <c r="AC64" s="3">
        <v>9</v>
      </c>
      <c r="AD64" s="1">
        <f t="shared" si="5"/>
        <v>45</v>
      </c>
      <c r="AE64" s="1">
        <f t="shared" si="6"/>
        <v>490.125</v>
      </c>
      <c r="AF64" s="1">
        <f t="shared" si="7"/>
        <v>4.5999999999999996</v>
      </c>
      <c r="AG64" s="1" t="e">
        <f t="shared" si="8"/>
        <v>#N/A</v>
      </c>
    </row>
    <row r="65" spans="5:33" ht="11.25" customHeight="1" x14ac:dyDescent="0.2">
      <c r="E65" s="117">
        <v>58</v>
      </c>
      <c r="F65" s="753"/>
      <c r="G65" s="754"/>
      <c r="H65" s="755"/>
      <c r="I65" s="218" t="str">
        <f t="shared" si="3"/>
        <v/>
      </c>
      <c r="J65" s="747"/>
      <c r="K65" s="241">
        <f t="shared" si="4"/>
        <v>443</v>
      </c>
      <c r="L65" s="137"/>
      <c r="P65" s="766">
        <f>$X$23</f>
        <v>1.4</v>
      </c>
      <c r="Q65" s="288">
        <f>IF(AND(F9&lt;&gt;"",$Y$5,$Y$2),F9,NA())</f>
        <v>462</v>
      </c>
      <c r="R65" s="45"/>
      <c r="T65" s="1">
        <v>1</v>
      </c>
      <c r="U65" s="1">
        <v>3.9</v>
      </c>
      <c r="V65" s="1">
        <f t="shared" ref="V65:V96" si="9">IF(AND(I8&lt;&gt;"",$Y$6,$Y$2),$M$29+I8,NA())</f>
        <v>447.125</v>
      </c>
      <c r="Y65" s="1">
        <f>IF(AND(I8&lt;&gt;"",$W$3,$Y$2,$Y$5,$Y$6),$M$29+I8,NA())</f>
        <v>447.125</v>
      </c>
      <c r="Z65" s="1">
        <f>$X$23</f>
        <v>1.4</v>
      </c>
      <c r="AA65" s="1">
        <f>IF(AND(F8&lt;&gt;"",$W$3,$Y$2,$Y$5,$Y$6),F8,NA())</f>
        <v>441</v>
      </c>
      <c r="AC65" s="3">
        <v>8</v>
      </c>
      <c r="AD65" s="1">
        <f t="shared" si="5"/>
        <v>40</v>
      </c>
      <c r="AE65" s="1">
        <f t="shared" si="6"/>
        <v>485.125</v>
      </c>
      <c r="AF65" s="1">
        <f t="shared" si="7"/>
        <v>4.5999999999999996</v>
      </c>
      <c r="AG65" s="1" t="e">
        <f t="shared" si="8"/>
        <v>#N/A</v>
      </c>
    </row>
    <row r="66" spans="5:33" ht="11.25" customHeight="1" x14ac:dyDescent="0.2">
      <c r="E66" s="229">
        <v>59</v>
      </c>
      <c r="F66" s="753"/>
      <c r="G66" s="754"/>
      <c r="H66" s="755"/>
      <c r="I66" s="218" t="str">
        <f t="shared" si="3"/>
        <v/>
      </c>
      <c r="J66" s="747"/>
      <c r="K66" s="241">
        <f t="shared" si="4"/>
        <v>452.5</v>
      </c>
      <c r="L66" s="137"/>
      <c r="P66" s="767">
        <f>$X$24</f>
        <v>2.6</v>
      </c>
      <c r="Q66" s="148">
        <f>IF(AND(G9&lt;&gt;"",$Y$5,$Y$2),G9,NA())</f>
        <v>461</v>
      </c>
      <c r="R66" s="45"/>
      <c r="T66" s="1">
        <v>2</v>
      </c>
      <c r="U66" s="1">
        <v>3.9</v>
      </c>
      <c r="V66" s="1">
        <f t="shared" si="9"/>
        <v>444.125</v>
      </c>
      <c r="Z66" s="1">
        <f>$X$24</f>
        <v>2.6</v>
      </c>
      <c r="AA66" s="1">
        <f>IF(AND(F8&lt;&gt;"",$W$3,$Y$2,$Y$5,$Y$6),G8,NA())</f>
        <v>443</v>
      </c>
      <c r="AC66" s="3">
        <v>7</v>
      </c>
      <c r="AD66" s="1">
        <f t="shared" si="5"/>
        <v>35</v>
      </c>
      <c r="AE66" s="1">
        <f t="shared" si="6"/>
        <v>480.125</v>
      </c>
      <c r="AF66" s="1">
        <f t="shared" si="7"/>
        <v>4.5999999999999996</v>
      </c>
      <c r="AG66" s="1" t="e">
        <f t="shared" si="8"/>
        <v>#N/A</v>
      </c>
    </row>
    <row r="67" spans="5:33" ht="11.25" customHeight="1" x14ac:dyDescent="0.2">
      <c r="E67" s="117">
        <v>60</v>
      </c>
      <c r="F67" s="753"/>
      <c r="G67" s="754"/>
      <c r="H67" s="755"/>
      <c r="I67" s="218" t="str">
        <f t="shared" si="3"/>
        <v/>
      </c>
      <c r="J67" s="747"/>
      <c r="K67" s="241">
        <f t="shared" si="4"/>
        <v>433.5</v>
      </c>
      <c r="L67" s="137"/>
      <c r="P67" s="768">
        <f>$X$23</f>
        <v>1.4</v>
      </c>
      <c r="Q67" s="769">
        <f>IF(AND(F10&lt;&gt;"",$Y$5,$Y$2),F10,NA())</f>
        <v>445</v>
      </c>
      <c r="R67" s="45"/>
      <c r="T67" s="1">
        <v>3</v>
      </c>
      <c r="U67" s="1">
        <v>3.9</v>
      </c>
      <c r="V67" s="1">
        <f t="shared" si="9"/>
        <v>441.125</v>
      </c>
      <c r="Y67" s="1" t="e">
        <f>IF(AND(I10&lt;&gt;"",$W$4,$Y$2,$Y$5,$Y$6),$M$29+I10,NA())</f>
        <v>#N/A</v>
      </c>
      <c r="Z67" s="1">
        <f>$X$23</f>
        <v>1.4</v>
      </c>
      <c r="AA67" s="1" t="e">
        <f>IF(AND(F10&lt;&gt;"",$W$4,$Y$2,$Y$5,$Y$6),F10,NA())</f>
        <v>#N/A</v>
      </c>
      <c r="AC67" s="3">
        <v>6</v>
      </c>
      <c r="AD67" s="1">
        <f t="shared" si="5"/>
        <v>30</v>
      </c>
      <c r="AE67" s="1">
        <f t="shared" si="6"/>
        <v>475.125</v>
      </c>
      <c r="AF67" s="1">
        <f t="shared" si="7"/>
        <v>4.5999999999999996</v>
      </c>
      <c r="AG67" s="1" t="e">
        <f t="shared" si="8"/>
        <v>#N/A</v>
      </c>
    </row>
    <row r="68" spans="5:33" ht="11.25" customHeight="1" x14ac:dyDescent="0.2">
      <c r="E68" s="117">
        <v>61</v>
      </c>
      <c r="F68" s="753"/>
      <c r="G68" s="754"/>
      <c r="H68" s="755"/>
      <c r="I68" s="218" t="str">
        <f t="shared" si="3"/>
        <v/>
      </c>
      <c r="J68" s="747"/>
      <c r="K68" s="241">
        <f t="shared" si="4"/>
        <v>461.5</v>
      </c>
      <c r="L68" s="137"/>
      <c r="P68" s="770">
        <f>$X$24</f>
        <v>2.6</v>
      </c>
      <c r="Q68" s="771">
        <f>IF(AND(G10&lt;&gt;"",$Y$5,$Y$2),G10,NA())</f>
        <v>441</v>
      </c>
      <c r="R68" s="45"/>
      <c r="T68" s="1">
        <v>4</v>
      </c>
      <c r="U68" s="1">
        <v>3.9</v>
      </c>
      <c r="V68" s="1">
        <f t="shared" si="9"/>
        <v>458.125</v>
      </c>
      <c r="Z68" s="1">
        <f>$X$24</f>
        <v>2.6</v>
      </c>
      <c r="AA68" s="1" t="e">
        <f>IF(AND(F10&lt;&gt;"",$W$4,$Y$2,$Y$5,$Y$6),G10,NA())</f>
        <v>#N/A</v>
      </c>
      <c r="AC68" s="3">
        <v>5</v>
      </c>
      <c r="AD68" s="1">
        <f t="shared" si="5"/>
        <v>25</v>
      </c>
      <c r="AE68" s="1">
        <f t="shared" si="6"/>
        <v>470.125</v>
      </c>
      <c r="AF68" s="1">
        <f t="shared" si="7"/>
        <v>4.5999999999999996</v>
      </c>
      <c r="AG68" s="1">
        <f t="shared" si="8"/>
        <v>470.125</v>
      </c>
    </row>
    <row r="69" spans="5:33" ht="11.25" customHeight="1" x14ac:dyDescent="0.2">
      <c r="E69" s="229">
        <v>62</v>
      </c>
      <c r="F69" s="753"/>
      <c r="G69" s="754"/>
      <c r="H69" s="755"/>
      <c r="I69" s="218" t="str">
        <f t="shared" si="3"/>
        <v/>
      </c>
      <c r="J69" s="747"/>
      <c r="K69" s="241">
        <f t="shared" si="4"/>
        <v>462.5</v>
      </c>
      <c r="L69" s="137"/>
      <c r="P69" s="766">
        <f>$X$23</f>
        <v>1.4</v>
      </c>
      <c r="Q69" s="288">
        <f>IF(AND(F11&lt;&gt;"",$Y$5,$Y$2),F11,NA())</f>
        <v>446</v>
      </c>
      <c r="R69" s="45"/>
      <c r="T69" s="1">
        <v>5</v>
      </c>
      <c r="U69" s="1">
        <v>3.9</v>
      </c>
      <c r="V69" s="1">
        <f t="shared" si="9"/>
        <v>460.125</v>
      </c>
      <c r="Y69" s="1" t="e">
        <f>IF(AND(I12&lt;&gt;"",$W$5,$Y$2,$Y$5,$Y$6),$M$29+I12,NA())</f>
        <v>#N/A</v>
      </c>
      <c r="Z69" s="1">
        <f>$X$23</f>
        <v>1.4</v>
      </c>
      <c r="AA69" s="1" t="e">
        <f>IF(AND(F12&lt;&gt;"",$W$5,$Y$2,$Y$5,$Y$6),F12,NA())</f>
        <v>#N/A</v>
      </c>
      <c r="AC69" s="3">
        <v>4</v>
      </c>
      <c r="AD69" s="1">
        <f t="shared" si="5"/>
        <v>20</v>
      </c>
      <c r="AE69" s="1">
        <f t="shared" si="6"/>
        <v>465.125</v>
      </c>
      <c r="AF69" s="1">
        <f t="shared" si="7"/>
        <v>4.5999999999999996</v>
      </c>
      <c r="AG69" s="1">
        <f t="shared" si="8"/>
        <v>465.125</v>
      </c>
    </row>
    <row r="70" spans="5:33" ht="11.25" customHeight="1" x14ac:dyDescent="0.2">
      <c r="E70" s="117">
        <v>63</v>
      </c>
      <c r="F70" s="753"/>
      <c r="G70" s="754"/>
      <c r="H70" s="755"/>
      <c r="I70" s="218" t="str">
        <f t="shared" si="3"/>
        <v/>
      </c>
      <c r="J70" s="747"/>
      <c r="K70" s="241">
        <f t="shared" si="4"/>
        <v>429</v>
      </c>
      <c r="L70" s="137"/>
      <c r="P70" s="767">
        <f>$X$24</f>
        <v>2.6</v>
      </c>
      <c r="Q70" s="148">
        <f>IF(AND(G11&lt;&gt;"",$Y$5,$Y$2),G11,NA())</f>
        <v>459</v>
      </c>
      <c r="R70" s="45"/>
      <c r="T70" s="1">
        <v>6</v>
      </c>
      <c r="U70" s="1">
        <v>3.9</v>
      </c>
      <c r="V70" s="1">
        <f t="shared" si="9"/>
        <v>450.125</v>
      </c>
      <c r="Z70" s="1">
        <f>$X$24</f>
        <v>2.6</v>
      </c>
      <c r="AA70" s="1" t="e">
        <f>IF(AND(F12&lt;&gt;"",$W$5,$Y$2,$Y$5,$Y$6),G12,NA())</f>
        <v>#N/A</v>
      </c>
      <c r="AC70" s="3">
        <v>3</v>
      </c>
      <c r="AD70" s="1">
        <f t="shared" si="5"/>
        <v>15</v>
      </c>
      <c r="AE70" s="1">
        <f t="shared" si="6"/>
        <v>460.125</v>
      </c>
      <c r="AF70" s="1">
        <f t="shared" si="7"/>
        <v>4.5999999999999996</v>
      </c>
      <c r="AG70" s="1">
        <f t="shared" si="8"/>
        <v>460.125</v>
      </c>
    </row>
    <row r="71" spans="5:33" ht="11.25" customHeight="1" x14ac:dyDescent="0.2">
      <c r="E71" s="117">
        <v>64</v>
      </c>
      <c r="F71" s="753"/>
      <c r="G71" s="754"/>
      <c r="H71" s="755"/>
      <c r="I71" s="218" t="str">
        <f t="shared" si="3"/>
        <v/>
      </c>
      <c r="J71" s="747"/>
      <c r="K71" s="241" t="str">
        <f t="shared" si="4"/>
        <v/>
      </c>
      <c r="L71" s="137"/>
      <c r="P71" s="768">
        <f>$X$23</f>
        <v>1.4</v>
      </c>
      <c r="Q71" s="769">
        <f>IF(AND(F12&lt;&gt;"",$Y$5,$Y$2),F12,NA())</f>
        <v>426</v>
      </c>
      <c r="R71" s="45"/>
      <c r="T71" s="1">
        <v>7</v>
      </c>
      <c r="U71" s="1">
        <v>3.9</v>
      </c>
      <c r="V71" s="1">
        <f t="shared" si="9"/>
        <v>452.125</v>
      </c>
      <c r="Y71" s="1" t="e">
        <f>IF(AND(I14&lt;&gt;"",$W$6,$Y$2,$Y$5,$Y$6),$M$29+I14,NA())</f>
        <v>#N/A</v>
      </c>
      <c r="Z71" s="1">
        <f>$X$23</f>
        <v>1.4</v>
      </c>
      <c r="AA71" s="1" t="e">
        <f>IF(AND(F14&lt;&gt;"",$W$6,$Y$2,$Y$5,$Y$6),F14,NA())</f>
        <v>#N/A</v>
      </c>
      <c r="AC71" s="3">
        <v>2</v>
      </c>
      <c r="AD71" s="1">
        <f t="shared" si="5"/>
        <v>10</v>
      </c>
      <c r="AE71" s="1">
        <f t="shared" si="6"/>
        <v>455.125</v>
      </c>
      <c r="AF71" s="1">
        <f t="shared" si="7"/>
        <v>4.5999999999999996</v>
      </c>
      <c r="AG71" s="1">
        <f t="shared" si="8"/>
        <v>455.125</v>
      </c>
    </row>
    <row r="72" spans="5:33" ht="11.25" customHeight="1" x14ac:dyDescent="0.2">
      <c r="E72" s="229">
        <v>65</v>
      </c>
      <c r="F72" s="753"/>
      <c r="G72" s="754"/>
      <c r="H72" s="755"/>
      <c r="I72" s="218" t="str">
        <f t="shared" ref="I72:I135" si="10">IF(AND(F72&lt;&gt;"",G72&lt;&gt;""),G72-F72,"")</f>
        <v/>
      </c>
      <c r="J72" s="747"/>
      <c r="K72" s="241" t="str">
        <f t="shared" si="4"/>
        <v/>
      </c>
      <c r="L72" s="137"/>
      <c r="P72" s="770">
        <f>$X$24</f>
        <v>2.6</v>
      </c>
      <c r="Q72" s="771">
        <f>IF(AND(G12&lt;&gt;"",$Y$5,$Y$2),G12,NA())</f>
        <v>441</v>
      </c>
      <c r="R72" s="45"/>
      <c r="T72" s="1">
        <v>8</v>
      </c>
      <c r="U72" s="1">
        <v>3.9</v>
      </c>
      <c r="V72" s="1">
        <f t="shared" si="9"/>
        <v>457.125</v>
      </c>
      <c r="Z72" s="1">
        <f>$X$24</f>
        <v>2.6</v>
      </c>
      <c r="AA72" s="1" t="e">
        <f>IF(AND(F14&lt;&gt;"",$W$6,$Y$2,$Y$5,$Y$6),G14,NA())</f>
        <v>#N/A</v>
      </c>
      <c r="AC72" s="3">
        <v>1</v>
      </c>
      <c r="AD72" s="1">
        <f t="shared" si="5"/>
        <v>5</v>
      </c>
      <c r="AE72" s="1">
        <f t="shared" si="6"/>
        <v>450.125</v>
      </c>
      <c r="AF72" s="1">
        <f t="shared" si="7"/>
        <v>4.5999999999999996</v>
      </c>
      <c r="AG72" s="1">
        <f t="shared" si="8"/>
        <v>450.125</v>
      </c>
    </row>
    <row r="73" spans="5:33" ht="11.25" customHeight="1" x14ac:dyDescent="0.2">
      <c r="E73" s="117">
        <v>66</v>
      </c>
      <c r="F73" s="753"/>
      <c r="G73" s="754"/>
      <c r="H73" s="755"/>
      <c r="I73" s="218" t="str">
        <f t="shared" si="10"/>
        <v/>
      </c>
      <c r="J73" s="747"/>
      <c r="K73" s="241" t="str">
        <f t="shared" si="4"/>
        <v/>
      </c>
      <c r="L73" s="137"/>
      <c r="P73" s="766">
        <f>$X$23</f>
        <v>1.4</v>
      </c>
      <c r="Q73" s="288">
        <f>IF(AND(F13&lt;&gt;"",$Y$5,$Y$2),F13,NA())</f>
        <v>459</v>
      </c>
      <c r="R73" s="45"/>
      <c r="T73" s="1">
        <v>9</v>
      </c>
      <c r="U73" s="1">
        <v>3.9</v>
      </c>
      <c r="V73" s="1" t="e">
        <f t="shared" si="9"/>
        <v>#N/A</v>
      </c>
      <c r="AC73" s="3">
        <v>0</v>
      </c>
      <c r="AD73" s="1">
        <f t="shared" si="5"/>
        <v>0</v>
      </c>
      <c r="AE73" s="1">
        <f t="shared" si="6"/>
        <v>445.125</v>
      </c>
      <c r="AF73" s="1">
        <f t="shared" si="7"/>
        <v>4.5999999999999996</v>
      </c>
      <c r="AG73" s="1">
        <f t="shared" si="8"/>
        <v>445.125</v>
      </c>
    </row>
    <row r="74" spans="5:33" ht="11.25" customHeight="1" x14ac:dyDescent="0.2">
      <c r="E74" s="117">
        <v>67</v>
      </c>
      <c r="F74" s="753"/>
      <c r="G74" s="754"/>
      <c r="H74" s="755"/>
      <c r="I74" s="218" t="str">
        <f t="shared" si="10"/>
        <v/>
      </c>
      <c r="J74" s="747"/>
      <c r="K74" s="241" t="str">
        <f t="shared" si="4"/>
        <v/>
      </c>
      <c r="L74" s="137"/>
      <c r="P74" s="767">
        <f>$X$24</f>
        <v>2.6</v>
      </c>
      <c r="Q74" s="148">
        <f>IF(AND(G13&lt;&gt;"",$Y$5,$Y$2),G13,NA())</f>
        <v>464</v>
      </c>
      <c r="R74" s="45"/>
      <c r="T74" s="1">
        <v>10</v>
      </c>
      <c r="U74" s="1">
        <v>3.9</v>
      </c>
      <c r="V74" s="1" t="e">
        <f t="shared" si="9"/>
        <v>#N/A</v>
      </c>
      <c r="AC74" s="3">
        <v>-1</v>
      </c>
      <c r="AD74" s="1">
        <f t="shared" si="5"/>
        <v>-5</v>
      </c>
      <c r="AE74" s="1">
        <f t="shared" si="6"/>
        <v>440.125</v>
      </c>
      <c r="AF74" s="1">
        <f t="shared" si="7"/>
        <v>4.5999999999999996</v>
      </c>
      <c r="AG74" s="1">
        <f t="shared" si="8"/>
        <v>440.125</v>
      </c>
    </row>
    <row r="75" spans="5:33" ht="11.25" customHeight="1" x14ac:dyDescent="0.2">
      <c r="E75" s="229">
        <v>68</v>
      </c>
      <c r="F75" s="753"/>
      <c r="G75" s="754"/>
      <c r="H75" s="755"/>
      <c r="I75" s="218" t="str">
        <f t="shared" si="10"/>
        <v/>
      </c>
      <c r="J75" s="747"/>
      <c r="K75" s="241" t="str">
        <f t="shared" si="4"/>
        <v/>
      </c>
      <c r="L75" s="137"/>
      <c r="P75" s="768">
        <f>$X$23</f>
        <v>1.4</v>
      </c>
      <c r="Q75" s="769">
        <f>IF(AND(F14&lt;&gt;"",$Y$5,$Y$2),F14,NA())</f>
        <v>459</v>
      </c>
      <c r="R75" s="45"/>
      <c r="U75" s="1">
        <v>3.9</v>
      </c>
      <c r="V75" s="1" t="e">
        <f t="shared" si="9"/>
        <v>#N/A</v>
      </c>
      <c r="AC75" s="3">
        <v>-2</v>
      </c>
      <c r="AD75" s="1">
        <f t="shared" si="5"/>
        <v>-10</v>
      </c>
      <c r="AE75" s="1">
        <f t="shared" si="6"/>
        <v>435.125</v>
      </c>
      <c r="AF75" s="1">
        <f t="shared" si="7"/>
        <v>4.5999999999999996</v>
      </c>
      <c r="AG75" s="1">
        <f t="shared" si="8"/>
        <v>435.125</v>
      </c>
    </row>
    <row r="76" spans="5:33" ht="11.25" customHeight="1" x14ac:dyDescent="0.2">
      <c r="E76" s="117">
        <v>69</v>
      </c>
      <c r="F76" s="753"/>
      <c r="G76" s="754"/>
      <c r="H76" s="755"/>
      <c r="I76" s="218" t="str">
        <f t="shared" si="10"/>
        <v/>
      </c>
      <c r="J76" s="747"/>
      <c r="K76" s="241" t="str">
        <f t="shared" si="4"/>
        <v/>
      </c>
      <c r="L76" s="137"/>
      <c r="P76" s="770">
        <f>$X$24</f>
        <v>2.6</v>
      </c>
      <c r="Q76" s="771">
        <f>IF(AND(G14&lt;&gt;"",$Y$5,$Y$2),G14,NA())</f>
        <v>466</v>
      </c>
      <c r="R76" s="45"/>
      <c r="U76" s="1">
        <v>3.9</v>
      </c>
      <c r="V76" s="1" t="e">
        <f t="shared" si="9"/>
        <v>#N/A</v>
      </c>
      <c r="AC76" s="3">
        <v>-3</v>
      </c>
      <c r="AD76" s="1">
        <f t="shared" si="5"/>
        <v>-15</v>
      </c>
      <c r="AE76" s="1">
        <f t="shared" si="6"/>
        <v>430.125</v>
      </c>
      <c r="AF76" s="1">
        <f t="shared" si="7"/>
        <v>4.5999999999999996</v>
      </c>
      <c r="AG76" s="1">
        <f t="shared" si="8"/>
        <v>430.125</v>
      </c>
    </row>
    <row r="77" spans="5:33" ht="11.25" customHeight="1" x14ac:dyDescent="0.2">
      <c r="E77" s="117">
        <v>70</v>
      </c>
      <c r="F77" s="753"/>
      <c r="G77" s="754"/>
      <c r="H77" s="755"/>
      <c r="I77" s="218" t="str">
        <f t="shared" si="10"/>
        <v/>
      </c>
      <c r="J77" s="747"/>
      <c r="K77" s="241" t="str">
        <f t="shared" si="4"/>
        <v/>
      </c>
      <c r="L77" s="137"/>
      <c r="P77" s="766">
        <f>$X$23</f>
        <v>1.4</v>
      </c>
      <c r="Q77" s="288">
        <f>IF(AND(F15&lt;&gt;"",$Y$5,$Y$2),F15,NA())</f>
        <v>423</v>
      </c>
      <c r="R77" s="45"/>
      <c r="U77" s="1">
        <v>3.9</v>
      </c>
      <c r="V77" s="1" t="e">
        <f t="shared" si="9"/>
        <v>#N/A</v>
      </c>
      <c r="AC77" s="3">
        <v>-4</v>
      </c>
      <c r="AD77" s="1">
        <f t="shared" si="5"/>
        <v>-20</v>
      </c>
      <c r="AE77" s="1">
        <f t="shared" si="6"/>
        <v>425.125</v>
      </c>
      <c r="AF77" s="1">
        <f t="shared" si="7"/>
        <v>4.5999999999999996</v>
      </c>
      <c r="AG77" s="1">
        <f t="shared" si="8"/>
        <v>425.125</v>
      </c>
    </row>
    <row r="78" spans="5:33" ht="11.25" customHeight="1" x14ac:dyDescent="0.2">
      <c r="E78" s="229">
        <v>71</v>
      </c>
      <c r="F78" s="753"/>
      <c r="G78" s="754"/>
      <c r="H78" s="755"/>
      <c r="I78" s="218" t="str">
        <f t="shared" si="10"/>
        <v/>
      </c>
      <c r="J78" s="747"/>
      <c r="K78" s="241" t="str">
        <f t="shared" si="4"/>
        <v/>
      </c>
      <c r="L78" s="137"/>
      <c r="P78" s="767">
        <f>$X$24</f>
        <v>2.6</v>
      </c>
      <c r="Q78" s="148">
        <f>IF(AND(G15&lt;&gt;"",$Y$5,$Y$2),G15,NA())</f>
        <v>435</v>
      </c>
      <c r="R78" s="137"/>
      <c r="U78" s="1">
        <v>3.9</v>
      </c>
      <c r="V78" s="1" t="e">
        <f t="shared" si="9"/>
        <v>#N/A</v>
      </c>
      <c r="AC78" s="3">
        <v>-5</v>
      </c>
      <c r="AD78" s="1">
        <f t="shared" si="5"/>
        <v>-25</v>
      </c>
      <c r="AE78" s="1">
        <f t="shared" si="6"/>
        <v>420.125</v>
      </c>
      <c r="AF78" s="1">
        <f t="shared" si="7"/>
        <v>4.5999999999999996</v>
      </c>
      <c r="AG78" s="1">
        <f t="shared" si="8"/>
        <v>420.125</v>
      </c>
    </row>
    <row r="79" spans="5:33" ht="11.25" customHeight="1" x14ac:dyDescent="0.2">
      <c r="E79" s="117">
        <v>72</v>
      </c>
      <c r="F79" s="753"/>
      <c r="G79" s="754"/>
      <c r="H79" s="755"/>
      <c r="I79" s="218" t="str">
        <f t="shared" si="10"/>
        <v/>
      </c>
      <c r="J79" s="747"/>
      <c r="K79" s="241" t="str">
        <f t="shared" si="4"/>
        <v/>
      </c>
      <c r="L79" s="137"/>
      <c r="P79" s="766">
        <f>$X$23</f>
        <v>1.4</v>
      </c>
      <c r="Q79" s="288" t="e">
        <f>IF(AND(F16&lt;&gt;"",$Y$5,$Y$2),F16,NA())</f>
        <v>#N/A</v>
      </c>
      <c r="R79" s="137"/>
      <c r="U79" s="1">
        <v>3.9</v>
      </c>
      <c r="V79" s="1" t="e">
        <f t="shared" si="9"/>
        <v>#N/A</v>
      </c>
      <c r="AC79" s="3">
        <v>-6</v>
      </c>
      <c r="AD79" s="1">
        <f t="shared" si="5"/>
        <v>-30</v>
      </c>
      <c r="AE79" s="1">
        <f t="shared" si="6"/>
        <v>415.125</v>
      </c>
      <c r="AF79" s="1">
        <f t="shared" si="7"/>
        <v>4.5999999999999996</v>
      </c>
      <c r="AG79" s="1" t="e">
        <f t="shared" si="8"/>
        <v>#N/A</v>
      </c>
    </row>
    <row r="80" spans="5:33" ht="11.25" customHeight="1" x14ac:dyDescent="0.2">
      <c r="E80" s="117">
        <v>73</v>
      </c>
      <c r="F80" s="753"/>
      <c r="G80" s="754"/>
      <c r="H80" s="755"/>
      <c r="I80" s="218" t="str">
        <f t="shared" si="10"/>
        <v/>
      </c>
      <c r="J80" s="747"/>
      <c r="K80" s="241" t="str">
        <f t="shared" si="4"/>
        <v/>
      </c>
      <c r="L80" s="137"/>
      <c r="P80" s="767">
        <f>$X$24</f>
        <v>2.6</v>
      </c>
      <c r="Q80" s="148" t="e">
        <f>IF(AND(G16&lt;&gt;"",$Y$5,$Y$2),G16,NA())</f>
        <v>#N/A</v>
      </c>
      <c r="R80" s="137"/>
      <c r="U80" s="1">
        <v>3.9</v>
      </c>
      <c r="V80" s="1" t="e">
        <f t="shared" si="9"/>
        <v>#N/A</v>
      </c>
      <c r="AC80" s="3">
        <v>-7</v>
      </c>
      <c r="AD80" s="1">
        <f t="shared" si="5"/>
        <v>-35</v>
      </c>
      <c r="AE80" s="1">
        <f t="shared" si="6"/>
        <v>410.125</v>
      </c>
      <c r="AF80" s="1">
        <f t="shared" si="7"/>
        <v>4.5999999999999996</v>
      </c>
      <c r="AG80" s="1" t="e">
        <f t="shared" si="8"/>
        <v>#N/A</v>
      </c>
    </row>
    <row r="81" spans="5:33" ht="11.25" customHeight="1" x14ac:dyDescent="0.2">
      <c r="E81" s="229">
        <v>74</v>
      </c>
      <c r="F81" s="753"/>
      <c r="G81" s="754"/>
      <c r="H81" s="755"/>
      <c r="I81" s="218" t="str">
        <f t="shared" si="10"/>
        <v/>
      </c>
      <c r="J81" s="747"/>
      <c r="K81" s="241" t="str">
        <f t="shared" si="4"/>
        <v/>
      </c>
      <c r="L81" s="137"/>
      <c r="P81" s="766">
        <f>$X$23</f>
        <v>1.4</v>
      </c>
      <c r="Q81" s="288" t="e">
        <f>IF(AND(F17&lt;&gt;"",$Y$5,$Y$2),F17,NA())</f>
        <v>#N/A</v>
      </c>
      <c r="R81" s="137"/>
      <c r="U81" s="1">
        <v>3.9</v>
      </c>
      <c r="V81" s="1" t="e">
        <f t="shared" si="9"/>
        <v>#N/A</v>
      </c>
      <c r="AC81" s="3">
        <v>-8</v>
      </c>
      <c r="AD81" s="1">
        <f t="shared" si="5"/>
        <v>-40</v>
      </c>
      <c r="AE81" s="1">
        <f t="shared" si="6"/>
        <v>405.125</v>
      </c>
      <c r="AF81" s="1">
        <f t="shared" si="7"/>
        <v>4.5999999999999996</v>
      </c>
      <c r="AG81" s="1" t="e">
        <f t="shared" si="8"/>
        <v>#N/A</v>
      </c>
    </row>
    <row r="82" spans="5:33" ht="11.25" customHeight="1" x14ac:dyDescent="0.2">
      <c r="E82" s="117">
        <v>75</v>
      </c>
      <c r="F82" s="753"/>
      <c r="G82" s="754"/>
      <c r="H82" s="755"/>
      <c r="I82" s="218" t="str">
        <f t="shared" si="10"/>
        <v/>
      </c>
      <c r="J82" s="747"/>
      <c r="K82" s="241" t="str">
        <f t="shared" si="4"/>
        <v/>
      </c>
      <c r="L82" s="137"/>
      <c r="P82" s="767">
        <f>$X$24</f>
        <v>2.6</v>
      </c>
      <c r="Q82" s="148" t="e">
        <f>IF(AND(G17&lt;&gt;"",$Y$5,$Y$2),G17,NA())</f>
        <v>#N/A</v>
      </c>
      <c r="R82" s="137"/>
      <c r="U82" s="1">
        <v>3.9</v>
      </c>
      <c r="V82" s="1" t="e">
        <f t="shared" si="9"/>
        <v>#N/A</v>
      </c>
      <c r="AC82" s="3">
        <v>-9</v>
      </c>
      <c r="AD82" s="1">
        <f t="shared" si="5"/>
        <v>-45</v>
      </c>
      <c r="AE82" s="1">
        <f t="shared" si="6"/>
        <v>400.125</v>
      </c>
      <c r="AF82" s="1">
        <f t="shared" si="7"/>
        <v>4.5999999999999996</v>
      </c>
      <c r="AG82" s="1" t="e">
        <f t="shared" si="8"/>
        <v>#N/A</v>
      </c>
    </row>
    <row r="83" spans="5:33" ht="11.25" customHeight="1" x14ac:dyDescent="0.2">
      <c r="E83" s="117">
        <v>76</v>
      </c>
      <c r="F83" s="753"/>
      <c r="G83" s="754"/>
      <c r="H83" s="755"/>
      <c r="I83" s="218" t="str">
        <f t="shared" si="10"/>
        <v/>
      </c>
      <c r="J83" s="747"/>
      <c r="K83" s="241" t="str">
        <f t="shared" si="4"/>
        <v/>
      </c>
      <c r="L83" s="137"/>
      <c r="P83" s="259">
        <f>$X$23</f>
        <v>1.4</v>
      </c>
      <c r="Q83" s="288" t="e">
        <f>IF(AND(F18&lt;&gt;"",$Y$5,$Y$2),F18,NA())</f>
        <v>#N/A</v>
      </c>
      <c r="R83" s="137"/>
      <c r="U83" s="1">
        <v>3.9</v>
      </c>
      <c r="V83" s="1" t="e">
        <f t="shared" si="9"/>
        <v>#N/A</v>
      </c>
      <c r="AC83" s="3">
        <v>-10</v>
      </c>
      <c r="AD83" s="1">
        <f t="shared" si="5"/>
        <v>-50</v>
      </c>
      <c r="AE83" s="1">
        <f t="shared" si="6"/>
        <v>395.125</v>
      </c>
      <c r="AF83" s="1">
        <f t="shared" si="7"/>
        <v>4.5999999999999996</v>
      </c>
      <c r="AG83" s="1" t="e">
        <f t="shared" si="8"/>
        <v>#N/A</v>
      </c>
    </row>
    <row r="84" spans="5:33" ht="11.25" customHeight="1" x14ac:dyDescent="0.2">
      <c r="E84" s="229">
        <v>77</v>
      </c>
      <c r="F84" s="753"/>
      <c r="G84" s="754"/>
      <c r="H84" s="755"/>
      <c r="I84" s="218" t="str">
        <f t="shared" si="10"/>
        <v/>
      </c>
      <c r="J84" s="747"/>
      <c r="K84" s="241" t="str">
        <f t="shared" si="4"/>
        <v/>
      </c>
      <c r="L84" s="137"/>
      <c r="P84" s="147">
        <f>$X$24</f>
        <v>2.6</v>
      </c>
      <c r="Q84" s="148" t="e">
        <f>IF(AND(G18&lt;&gt;"",$Y$5,$Y$2),G18,NA())</f>
        <v>#N/A</v>
      </c>
      <c r="R84" s="137"/>
      <c r="U84" s="1">
        <v>3.9</v>
      </c>
      <c r="V84" s="1" t="e">
        <f t="shared" si="9"/>
        <v>#N/A</v>
      </c>
    </row>
    <row r="85" spans="5:33" ht="11.25" customHeight="1" x14ac:dyDescent="0.2">
      <c r="E85" s="117">
        <v>78</v>
      </c>
      <c r="F85" s="753"/>
      <c r="G85" s="754"/>
      <c r="H85" s="755"/>
      <c r="I85" s="218" t="str">
        <f t="shared" si="10"/>
        <v/>
      </c>
      <c r="J85" s="747"/>
      <c r="K85" s="241" t="str">
        <f t="shared" si="4"/>
        <v/>
      </c>
      <c r="L85" s="137"/>
      <c r="P85" s="259">
        <f>$X$23</f>
        <v>1.4</v>
      </c>
      <c r="Q85" s="288" t="e">
        <f>IF(AND(F19&lt;&gt;"",$Y$5,$Y$2),F19,NA())</f>
        <v>#N/A</v>
      </c>
      <c r="R85" s="137"/>
      <c r="U85" s="1">
        <v>3.9</v>
      </c>
      <c r="V85" s="1" t="e">
        <f t="shared" si="9"/>
        <v>#N/A</v>
      </c>
    </row>
    <row r="86" spans="5:33" ht="11.25" customHeight="1" x14ac:dyDescent="0.2">
      <c r="E86" s="117">
        <v>79</v>
      </c>
      <c r="F86" s="753"/>
      <c r="G86" s="754"/>
      <c r="H86" s="755"/>
      <c r="I86" s="218" t="str">
        <f t="shared" si="10"/>
        <v/>
      </c>
      <c r="J86" s="747"/>
      <c r="K86" s="241" t="str">
        <f t="shared" si="4"/>
        <v/>
      </c>
      <c r="L86" s="137"/>
      <c r="P86" s="147">
        <f>$X$24</f>
        <v>2.6</v>
      </c>
      <c r="Q86" s="148" t="e">
        <f>IF(AND(G19&lt;&gt;"",$Y$5,$Y$2),G19,NA())</f>
        <v>#N/A</v>
      </c>
      <c r="R86" s="137"/>
      <c r="U86" s="1">
        <v>3.9</v>
      </c>
      <c r="V86" s="1" t="e">
        <f t="shared" si="9"/>
        <v>#N/A</v>
      </c>
    </row>
    <row r="87" spans="5:33" ht="11.25" customHeight="1" x14ac:dyDescent="0.2">
      <c r="E87" s="229">
        <v>80</v>
      </c>
      <c r="F87" s="753"/>
      <c r="G87" s="754"/>
      <c r="H87" s="755"/>
      <c r="I87" s="218" t="str">
        <f t="shared" si="10"/>
        <v/>
      </c>
      <c r="J87" s="747"/>
      <c r="K87" s="241" t="str">
        <f t="shared" si="4"/>
        <v/>
      </c>
      <c r="L87" s="137"/>
      <c r="P87" s="259">
        <f>$X$23</f>
        <v>1.4</v>
      </c>
      <c r="Q87" s="288" t="e">
        <f>IF(AND(F20&lt;&gt;"",$Y$5,$Y$2),F20,NA())</f>
        <v>#N/A</v>
      </c>
      <c r="R87" s="137"/>
      <c r="U87" s="1">
        <v>3.9</v>
      </c>
      <c r="V87" s="1" t="e">
        <f t="shared" si="9"/>
        <v>#N/A</v>
      </c>
    </row>
    <row r="88" spans="5:33" ht="11.25" customHeight="1" x14ac:dyDescent="0.2">
      <c r="E88" s="117">
        <v>81</v>
      </c>
      <c r="F88" s="753"/>
      <c r="G88" s="754"/>
      <c r="H88" s="755"/>
      <c r="I88" s="218" t="str">
        <f t="shared" si="10"/>
        <v/>
      </c>
      <c r="J88" s="747"/>
      <c r="K88" s="241" t="str">
        <f t="shared" si="4"/>
        <v/>
      </c>
      <c r="L88" s="137"/>
      <c r="P88" s="147">
        <f>$X$24</f>
        <v>2.6</v>
      </c>
      <c r="Q88" s="148" t="e">
        <f>IF(AND(G20&lt;&gt;"",$Y$5,$Y$2),G20,NA())</f>
        <v>#N/A</v>
      </c>
      <c r="R88" s="137"/>
      <c r="U88" s="1">
        <v>3.9</v>
      </c>
      <c r="V88" s="1" t="e">
        <f t="shared" si="9"/>
        <v>#N/A</v>
      </c>
    </row>
    <row r="89" spans="5:33" ht="11.25" customHeight="1" x14ac:dyDescent="0.2">
      <c r="E89" s="117">
        <v>82</v>
      </c>
      <c r="F89" s="753"/>
      <c r="G89" s="754"/>
      <c r="H89" s="755"/>
      <c r="I89" s="218" t="str">
        <f t="shared" si="10"/>
        <v/>
      </c>
      <c r="J89" s="747"/>
      <c r="K89" s="241" t="str">
        <f t="shared" si="4"/>
        <v/>
      </c>
      <c r="L89" s="137"/>
      <c r="P89" s="259">
        <f>$X$23</f>
        <v>1.4</v>
      </c>
      <c r="Q89" s="288" t="e">
        <f>IF(AND(F21&lt;&gt;"",$Y$5,$Y$2),F21,NA())</f>
        <v>#N/A</v>
      </c>
      <c r="R89" s="137"/>
      <c r="U89" s="1">
        <v>3.9</v>
      </c>
      <c r="V89" s="1" t="e">
        <f t="shared" si="9"/>
        <v>#N/A</v>
      </c>
    </row>
    <row r="90" spans="5:33" ht="11.25" customHeight="1" x14ac:dyDescent="0.2">
      <c r="E90" s="229">
        <v>83</v>
      </c>
      <c r="F90" s="753"/>
      <c r="G90" s="754"/>
      <c r="H90" s="755"/>
      <c r="I90" s="218" t="str">
        <f t="shared" si="10"/>
        <v/>
      </c>
      <c r="J90" s="747"/>
      <c r="K90" s="241" t="str">
        <f t="shared" si="4"/>
        <v/>
      </c>
      <c r="L90" s="137"/>
      <c r="P90" s="147">
        <f>$X$24</f>
        <v>2.6</v>
      </c>
      <c r="Q90" s="148" t="e">
        <f>IF(AND(G21&lt;&gt;"",$Y$5,$Y$2),G21,NA())</f>
        <v>#N/A</v>
      </c>
      <c r="R90" s="137"/>
      <c r="U90" s="1">
        <v>3.9</v>
      </c>
      <c r="V90" s="1" t="e">
        <f t="shared" si="9"/>
        <v>#N/A</v>
      </c>
    </row>
    <row r="91" spans="5:33" ht="11.25" customHeight="1" x14ac:dyDescent="0.2">
      <c r="E91" s="117">
        <v>84</v>
      </c>
      <c r="F91" s="753"/>
      <c r="G91" s="754"/>
      <c r="H91" s="755"/>
      <c r="I91" s="218" t="str">
        <f t="shared" si="10"/>
        <v/>
      </c>
      <c r="J91" s="747"/>
      <c r="K91" s="241" t="str">
        <f t="shared" si="4"/>
        <v/>
      </c>
      <c r="L91" s="137"/>
      <c r="P91" s="259">
        <f>$X$23</f>
        <v>1.4</v>
      </c>
      <c r="Q91" s="288" t="e">
        <f>IF(AND(F22&lt;&gt;"",$Y$5,$Y$2),F22,NA())</f>
        <v>#N/A</v>
      </c>
      <c r="R91" s="137"/>
      <c r="U91" s="1">
        <v>3.9</v>
      </c>
      <c r="V91" s="1" t="e">
        <f t="shared" si="9"/>
        <v>#N/A</v>
      </c>
    </row>
    <row r="92" spans="5:33" ht="11.25" customHeight="1" x14ac:dyDescent="0.2">
      <c r="E92" s="117">
        <v>85</v>
      </c>
      <c r="F92" s="753"/>
      <c r="G92" s="754"/>
      <c r="H92" s="755"/>
      <c r="I92" s="218" t="str">
        <f t="shared" si="10"/>
        <v/>
      </c>
      <c r="J92" s="747"/>
      <c r="K92" s="241" t="str">
        <f t="shared" si="4"/>
        <v/>
      </c>
      <c r="L92" s="137"/>
      <c r="P92" s="147">
        <f>$X$24</f>
        <v>2.6</v>
      </c>
      <c r="Q92" s="148" t="e">
        <f>IF(AND(G22&lt;&gt;"",$Y$5,$Y$2),G22,NA())</f>
        <v>#N/A</v>
      </c>
      <c r="R92" s="137"/>
      <c r="U92" s="1">
        <v>3.9</v>
      </c>
      <c r="V92" s="1" t="e">
        <f t="shared" si="9"/>
        <v>#N/A</v>
      </c>
    </row>
    <row r="93" spans="5:33" ht="11.25" customHeight="1" x14ac:dyDescent="0.2">
      <c r="E93" s="229">
        <v>86</v>
      </c>
      <c r="F93" s="753"/>
      <c r="G93" s="754"/>
      <c r="H93" s="755"/>
      <c r="I93" s="218" t="str">
        <f t="shared" si="10"/>
        <v/>
      </c>
      <c r="J93" s="747"/>
      <c r="K93" s="241" t="str">
        <f t="shared" si="4"/>
        <v/>
      </c>
      <c r="L93" s="137"/>
      <c r="P93" s="259">
        <f>$X$23</f>
        <v>1.4</v>
      </c>
      <c r="Q93" s="288" t="e">
        <f>IF(AND(F23&lt;&gt;"",$Y$5,$Y$2),F23,NA())</f>
        <v>#N/A</v>
      </c>
      <c r="R93" s="137"/>
      <c r="U93" s="1">
        <v>3.9</v>
      </c>
      <c r="V93" s="1" t="e">
        <f t="shared" si="9"/>
        <v>#N/A</v>
      </c>
    </row>
    <row r="94" spans="5:33" ht="11.25" customHeight="1" x14ac:dyDescent="0.2">
      <c r="E94" s="117">
        <v>87</v>
      </c>
      <c r="F94" s="753"/>
      <c r="G94" s="754"/>
      <c r="H94" s="755"/>
      <c r="I94" s="218" t="str">
        <f t="shared" si="10"/>
        <v/>
      </c>
      <c r="J94" s="747"/>
      <c r="K94" s="241" t="str">
        <f t="shared" si="4"/>
        <v/>
      </c>
      <c r="L94" s="137"/>
      <c r="P94" s="147">
        <f>$X$24</f>
        <v>2.6</v>
      </c>
      <c r="Q94" s="148" t="e">
        <f>IF(AND(G23&lt;&gt;"",$Y$5,$Y$2),G23,NA())</f>
        <v>#N/A</v>
      </c>
      <c r="R94" s="137"/>
      <c r="U94" s="1">
        <v>3.9</v>
      </c>
      <c r="V94" s="1" t="e">
        <f t="shared" si="9"/>
        <v>#N/A</v>
      </c>
    </row>
    <row r="95" spans="5:33" ht="11.25" customHeight="1" x14ac:dyDescent="0.2">
      <c r="E95" s="117">
        <v>88</v>
      </c>
      <c r="F95" s="753"/>
      <c r="G95" s="754"/>
      <c r="H95" s="755"/>
      <c r="I95" s="218" t="str">
        <f t="shared" si="10"/>
        <v/>
      </c>
      <c r="J95" s="747"/>
      <c r="K95" s="241" t="str">
        <f t="shared" si="4"/>
        <v/>
      </c>
      <c r="L95" s="137"/>
      <c r="P95" s="259">
        <f>$X$23</f>
        <v>1.4</v>
      </c>
      <c r="Q95" s="288" t="e">
        <f>IF(AND(F24&lt;&gt;"",$Y$5,$Y$2),F24,NA())</f>
        <v>#N/A</v>
      </c>
      <c r="R95" s="137"/>
      <c r="U95" s="1">
        <v>3.9</v>
      </c>
      <c r="V95" s="1" t="e">
        <f t="shared" si="9"/>
        <v>#N/A</v>
      </c>
    </row>
    <row r="96" spans="5:33" ht="11.25" customHeight="1" x14ac:dyDescent="0.2">
      <c r="E96" s="229">
        <v>89</v>
      </c>
      <c r="F96" s="753"/>
      <c r="G96" s="754"/>
      <c r="H96" s="755"/>
      <c r="I96" s="218" t="str">
        <f t="shared" si="10"/>
        <v/>
      </c>
      <c r="J96" s="747"/>
      <c r="K96" s="241" t="str">
        <f t="shared" si="4"/>
        <v/>
      </c>
      <c r="L96" s="137"/>
      <c r="P96" s="147">
        <f>$X$24</f>
        <v>2.6</v>
      </c>
      <c r="Q96" s="148" t="e">
        <f>IF(AND(G24&lt;&gt;"",$Y$5,$Y$2),G24,NA())</f>
        <v>#N/A</v>
      </c>
      <c r="R96" s="137"/>
      <c r="U96" s="1">
        <v>3.9</v>
      </c>
      <c r="V96" s="1" t="e">
        <f t="shared" si="9"/>
        <v>#N/A</v>
      </c>
    </row>
    <row r="97" spans="5:22" ht="11.25" customHeight="1" x14ac:dyDescent="0.2">
      <c r="E97" s="117">
        <v>90</v>
      </c>
      <c r="F97" s="753"/>
      <c r="G97" s="754"/>
      <c r="H97" s="755"/>
      <c r="I97" s="218" t="str">
        <f t="shared" si="10"/>
        <v/>
      </c>
      <c r="J97" s="747"/>
      <c r="K97" s="241" t="str">
        <f t="shared" si="4"/>
        <v/>
      </c>
      <c r="L97" s="137"/>
      <c r="P97" s="259">
        <f>$X$23</f>
        <v>1.4</v>
      </c>
      <c r="Q97" s="288" t="e">
        <f>IF(AND(F25&lt;&gt;"",$Y$5,$Y$2),F25,NA())</f>
        <v>#N/A</v>
      </c>
      <c r="R97" s="137"/>
      <c r="U97" s="1">
        <v>3.9</v>
      </c>
      <c r="V97" s="1" t="e">
        <f t="shared" ref="V97:V128" si="11">IF(AND(I40&lt;&gt;"",$Y$6,$Y$2),$M$29+I40,NA())</f>
        <v>#N/A</v>
      </c>
    </row>
    <row r="98" spans="5:22" ht="11.25" customHeight="1" x14ac:dyDescent="0.2">
      <c r="E98" s="117">
        <v>91</v>
      </c>
      <c r="F98" s="753"/>
      <c r="G98" s="754"/>
      <c r="H98" s="755"/>
      <c r="I98" s="218" t="str">
        <f t="shared" si="10"/>
        <v/>
      </c>
      <c r="J98" s="747"/>
      <c r="K98" s="241" t="str">
        <f t="shared" si="4"/>
        <v/>
      </c>
      <c r="L98" s="137"/>
      <c r="P98" s="147">
        <f>$X$24</f>
        <v>2.6</v>
      </c>
      <c r="Q98" s="148" t="e">
        <f>IF(AND(G25&lt;&gt;"",$Y$5,$Y$2),G25,NA())</f>
        <v>#N/A</v>
      </c>
      <c r="R98" s="137"/>
      <c r="U98" s="1">
        <v>3.9</v>
      </c>
      <c r="V98" s="1" t="e">
        <f t="shared" si="11"/>
        <v>#N/A</v>
      </c>
    </row>
    <row r="99" spans="5:22" ht="11.25" customHeight="1" x14ac:dyDescent="0.2">
      <c r="E99" s="229">
        <v>92</v>
      </c>
      <c r="F99" s="753"/>
      <c r="G99" s="754"/>
      <c r="H99" s="755"/>
      <c r="I99" s="218" t="str">
        <f t="shared" si="10"/>
        <v/>
      </c>
      <c r="J99" s="747"/>
      <c r="K99" s="241" t="str">
        <f t="shared" si="4"/>
        <v/>
      </c>
      <c r="L99" s="137"/>
      <c r="P99" s="259">
        <f>$X$23</f>
        <v>1.4</v>
      </c>
      <c r="Q99" s="288" t="e">
        <f>IF(AND(F26&lt;&gt;"",$Y$5,$Y$2),F26,NA())</f>
        <v>#N/A</v>
      </c>
      <c r="R99" s="137"/>
      <c r="U99" s="1">
        <v>3.9</v>
      </c>
      <c r="V99" s="1" t="e">
        <f t="shared" si="11"/>
        <v>#N/A</v>
      </c>
    </row>
    <row r="100" spans="5:22" ht="11.25" customHeight="1" x14ac:dyDescent="0.2">
      <c r="E100" s="117">
        <v>93</v>
      </c>
      <c r="F100" s="753"/>
      <c r="G100" s="754"/>
      <c r="H100" s="755"/>
      <c r="I100" s="218" t="str">
        <f t="shared" si="10"/>
        <v/>
      </c>
      <c r="J100" s="747"/>
      <c r="K100" s="241" t="str">
        <f t="shared" si="4"/>
        <v/>
      </c>
      <c r="L100" s="137"/>
      <c r="P100" s="147">
        <f>$X$24</f>
        <v>2.6</v>
      </c>
      <c r="Q100" s="148" t="e">
        <f>IF(AND(G26&lt;&gt;"",$Y$5,$Y$2),G26,NA())</f>
        <v>#N/A</v>
      </c>
      <c r="R100" s="137"/>
      <c r="U100" s="1">
        <v>3.9</v>
      </c>
      <c r="V100" s="1" t="e">
        <f t="shared" si="11"/>
        <v>#N/A</v>
      </c>
    </row>
    <row r="101" spans="5:22" ht="11.25" customHeight="1" x14ac:dyDescent="0.2">
      <c r="E101" s="117">
        <v>94</v>
      </c>
      <c r="F101" s="753"/>
      <c r="G101" s="754"/>
      <c r="H101" s="755"/>
      <c r="I101" s="218" t="str">
        <f t="shared" si="10"/>
        <v/>
      </c>
      <c r="J101" s="747"/>
      <c r="K101" s="241" t="str">
        <f t="shared" si="4"/>
        <v/>
      </c>
      <c r="L101" s="137"/>
      <c r="P101" s="259">
        <f>$X$23</f>
        <v>1.4</v>
      </c>
      <c r="Q101" s="288" t="e">
        <f>IF(AND(F27&lt;&gt;"",$Y$5,$Y$2),F27,NA())</f>
        <v>#N/A</v>
      </c>
      <c r="R101" s="137"/>
      <c r="U101" s="1">
        <v>3.9</v>
      </c>
      <c r="V101" s="1" t="e">
        <f t="shared" si="11"/>
        <v>#N/A</v>
      </c>
    </row>
    <row r="102" spans="5:22" ht="11.25" customHeight="1" x14ac:dyDescent="0.2">
      <c r="E102" s="229">
        <v>95</v>
      </c>
      <c r="F102" s="753"/>
      <c r="G102" s="754"/>
      <c r="H102" s="755"/>
      <c r="I102" s="218" t="str">
        <f t="shared" si="10"/>
        <v/>
      </c>
      <c r="J102" s="747"/>
      <c r="K102" s="241" t="str">
        <f t="shared" si="4"/>
        <v/>
      </c>
      <c r="L102" s="137"/>
      <c r="P102" s="147">
        <f>$X$24</f>
        <v>2.6</v>
      </c>
      <c r="Q102" s="148" t="e">
        <f>IF(AND(G27&lt;&gt;"",$Y$5,$Y$2),G27,NA())</f>
        <v>#N/A</v>
      </c>
      <c r="R102" s="137"/>
      <c r="U102" s="1">
        <v>3.9</v>
      </c>
      <c r="V102" s="1" t="e">
        <f t="shared" si="11"/>
        <v>#N/A</v>
      </c>
    </row>
    <row r="103" spans="5:22" ht="11.25" customHeight="1" x14ac:dyDescent="0.2">
      <c r="E103" s="117">
        <v>96</v>
      </c>
      <c r="F103" s="753"/>
      <c r="G103" s="754"/>
      <c r="H103" s="755"/>
      <c r="I103" s="218" t="str">
        <f t="shared" si="10"/>
        <v/>
      </c>
      <c r="J103" s="747"/>
      <c r="K103" s="241" t="str">
        <f t="shared" si="4"/>
        <v/>
      </c>
      <c r="L103" s="137"/>
      <c r="P103" s="259">
        <f>$X$23</f>
        <v>1.4</v>
      </c>
      <c r="Q103" s="288" t="e">
        <f>IF(AND(F28&lt;&gt;"",$Y$5,$Y$2),F28,NA())</f>
        <v>#N/A</v>
      </c>
      <c r="R103" s="137"/>
      <c r="U103" s="1">
        <v>3.9</v>
      </c>
      <c r="V103" s="1" t="e">
        <f t="shared" si="11"/>
        <v>#N/A</v>
      </c>
    </row>
    <row r="104" spans="5:22" ht="11.25" customHeight="1" x14ac:dyDescent="0.2">
      <c r="E104" s="117">
        <v>97</v>
      </c>
      <c r="F104" s="753"/>
      <c r="G104" s="754"/>
      <c r="H104" s="755"/>
      <c r="I104" s="218" t="str">
        <f t="shared" si="10"/>
        <v/>
      </c>
      <c r="J104" s="747"/>
      <c r="K104" s="241" t="str">
        <f t="shared" si="4"/>
        <v/>
      </c>
      <c r="L104" s="137"/>
      <c r="P104" s="147">
        <f>$X$24</f>
        <v>2.6</v>
      </c>
      <c r="Q104" s="148" t="e">
        <f>IF(AND(G28&lt;&gt;"",$Y$5,$Y$2),G28,NA())</f>
        <v>#N/A</v>
      </c>
      <c r="R104" s="137"/>
      <c r="U104" s="1">
        <v>3.9</v>
      </c>
      <c r="V104" s="1" t="e">
        <f t="shared" si="11"/>
        <v>#N/A</v>
      </c>
    </row>
    <row r="105" spans="5:22" ht="11.25" customHeight="1" x14ac:dyDescent="0.2">
      <c r="E105" s="229">
        <v>98</v>
      </c>
      <c r="F105" s="753"/>
      <c r="G105" s="754"/>
      <c r="H105" s="755"/>
      <c r="I105" s="218" t="str">
        <f t="shared" si="10"/>
        <v/>
      </c>
      <c r="J105" s="747"/>
      <c r="K105" s="241" t="str">
        <f t="shared" si="4"/>
        <v/>
      </c>
      <c r="L105" s="137"/>
      <c r="P105" s="259">
        <f>$X$23</f>
        <v>1.4</v>
      </c>
      <c r="Q105" s="288" t="e">
        <f>IF(AND(F29&lt;&gt;"",$Y$5,$Y$2),F29,NA())</f>
        <v>#N/A</v>
      </c>
      <c r="R105" s="137"/>
      <c r="U105" s="1">
        <v>3.9</v>
      </c>
      <c r="V105" s="1" t="e">
        <f t="shared" si="11"/>
        <v>#N/A</v>
      </c>
    </row>
    <row r="106" spans="5:22" ht="11.25" customHeight="1" x14ac:dyDescent="0.2">
      <c r="E106" s="117">
        <v>99</v>
      </c>
      <c r="F106" s="753"/>
      <c r="G106" s="754"/>
      <c r="H106" s="755"/>
      <c r="I106" s="218" t="str">
        <f t="shared" si="10"/>
        <v/>
      </c>
      <c r="J106" s="747"/>
      <c r="K106" s="241" t="str">
        <f t="shared" si="4"/>
        <v/>
      </c>
      <c r="L106" s="137"/>
      <c r="P106" s="147">
        <f>$X$24</f>
        <v>2.6</v>
      </c>
      <c r="Q106" s="148" t="e">
        <f>IF(AND(G29&lt;&gt;"",$Y$5,$Y$2),G29,NA())</f>
        <v>#N/A</v>
      </c>
      <c r="R106" s="137"/>
      <c r="U106" s="1">
        <v>3.9</v>
      </c>
      <c r="V106" s="1" t="e">
        <f t="shared" si="11"/>
        <v>#N/A</v>
      </c>
    </row>
    <row r="107" spans="5:22" ht="11.25" customHeight="1" x14ac:dyDescent="0.2">
      <c r="E107" s="117">
        <v>100</v>
      </c>
      <c r="F107" s="753"/>
      <c r="G107" s="754"/>
      <c r="H107" s="755"/>
      <c r="I107" s="731" t="str">
        <f t="shared" si="10"/>
        <v/>
      </c>
      <c r="J107" s="764"/>
      <c r="K107" s="241" t="str">
        <f t="shared" si="4"/>
        <v/>
      </c>
      <c r="L107" s="137"/>
      <c r="P107" s="259">
        <f>$X$23</f>
        <v>1.4</v>
      </c>
      <c r="Q107" s="288" t="e">
        <f>IF(AND(F30&lt;&gt;"",$Y$5,$Y$2),F30,NA())</f>
        <v>#N/A</v>
      </c>
      <c r="R107" s="137"/>
      <c r="U107" s="1">
        <v>3.9</v>
      </c>
      <c r="V107" s="1" t="e">
        <f t="shared" si="11"/>
        <v>#N/A</v>
      </c>
    </row>
    <row r="108" spans="5:22" ht="11.25" customHeight="1" x14ac:dyDescent="0.2">
      <c r="E108" s="117">
        <v>101</v>
      </c>
      <c r="F108" s="753"/>
      <c r="G108" s="754"/>
      <c r="H108" s="732"/>
      <c r="I108" s="731" t="str">
        <f t="shared" si="10"/>
        <v/>
      </c>
      <c r="J108" s="45"/>
      <c r="K108" s="241" t="str">
        <f t="shared" si="4"/>
        <v/>
      </c>
      <c r="L108" s="137"/>
      <c r="P108" s="147">
        <f>$X$24</f>
        <v>2.6</v>
      </c>
      <c r="Q108" s="148" t="e">
        <f>IF(AND(G30&lt;&gt;"",$Y$5,$Y$2),G30,NA())</f>
        <v>#N/A</v>
      </c>
      <c r="R108" s="137"/>
      <c r="U108" s="1">
        <v>3.9</v>
      </c>
      <c r="V108" s="1" t="e">
        <f t="shared" si="11"/>
        <v>#N/A</v>
      </c>
    </row>
    <row r="109" spans="5:22" ht="11.25" customHeight="1" x14ac:dyDescent="0.2">
      <c r="E109" s="117">
        <v>102</v>
      </c>
      <c r="F109" s="753"/>
      <c r="G109" s="754"/>
      <c r="H109" s="732"/>
      <c r="I109" s="731" t="str">
        <f t="shared" si="10"/>
        <v/>
      </c>
      <c r="K109" s="241" t="str">
        <f t="shared" si="4"/>
        <v/>
      </c>
      <c r="L109" s="137"/>
      <c r="P109" s="259">
        <f>$X$23</f>
        <v>1.4</v>
      </c>
      <c r="Q109" s="288" t="e">
        <f>IF(AND(F31&lt;&gt;"",$Y$5,$Y$2),F31,NA())</f>
        <v>#N/A</v>
      </c>
      <c r="R109" s="137"/>
      <c r="U109" s="1">
        <v>3.9</v>
      </c>
      <c r="V109" s="1" t="e">
        <f t="shared" si="11"/>
        <v>#N/A</v>
      </c>
    </row>
    <row r="110" spans="5:22" ht="11.25" customHeight="1" x14ac:dyDescent="0.2">
      <c r="E110" s="117">
        <v>103</v>
      </c>
      <c r="F110" s="753"/>
      <c r="G110" s="754"/>
      <c r="H110" s="732"/>
      <c r="I110" s="731" t="str">
        <f t="shared" si="10"/>
        <v/>
      </c>
      <c r="K110" s="241" t="str">
        <f t="shared" si="4"/>
        <v/>
      </c>
      <c r="L110" s="137"/>
      <c r="P110" s="147">
        <f>$X$24</f>
        <v>2.6</v>
      </c>
      <c r="Q110" s="148" t="e">
        <f>IF(AND(G31&lt;&gt;"",$Y$5,$Y$2),G31,NA())</f>
        <v>#N/A</v>
      </c>
      <c r="R110" s="137"/>
      <c r="U110" s="1">
        <v>3.9</v>
      </c>
      <c r="V110" s="1" t="e">
        <f t="shared" si="11"/>
        <v>#N/A</v>
      </c>
    </row>
    <row r="111" spans="5:22" ht="11.25" customHeight="1" x14ac:dyDescent="0.2">
      <c r="E111" s="117">
        <v>104</v>
      </c>
      <c r="F111" s="753"/>
      <c r="G111" s="754"/>
      <c r="H111" s="732"/>
      <c r="I111" s="731" t="str">
        <f t="shared" si="10"/>
        <v/>
      </c>
      <c r="K111" s="241" t="str">
        <f t="shared" si="4"/>
        <v/>
      </c>
      <c r="L111" s="137"/>
      <c r="P111" s="259">
        <f>$X$23</f>
        <v>1.4</v>
      </c>
      <c r="Q111" s="288" t="e">
        <f>IF(AND(F32&lt;&gt;"",$Y$5,$Y$2),F32,NA())</f>
        <v>#N/A</v>
      </c>
      <c r="R111" s="137"/>
      <c r="U111" s="1">
        <v>3.9</v>
      </c>
      <c r="V111" s="1" t="e">
        <f t="shared" si="11"/>
        <v>#N/A</v>
      </c>
    </row>
    <row r="112" spans="5:22" ht="11.25" customHeight="1" x14ac:dyDescent="0.2">
      <c r="E112" s="117">
        <v>105</v>
      </c>
      <c r="F112" s="753"/>
      <c r="G112" s="754"/>
      <c r="H112" s="732"/>
      <c r="I112" s="731" t="str">
        <f t="shared" si="10"/>
        <v/>
      </c>
      <c r="K112" s="241" t="str">
        <f t="shared" si="4"/>
        <v/>
      </c>
      <c r="L112" s="137"/>
      <c r="P112" s="147">
        <f>$X$24</f>
        <v>2.6</v>
      </c>
      <c r="Q112" s="148" t="e">
        <f>IF(AND(G32&lt;&gt;"",$Y$5,$Y$2),G32,NA())</f>
        <v>#N/A</v>
      </c>
      <c r="R112" s="137"/>
      <c r="U112" s="1">
        <v>3.9</v>
      </c>
      <c r="V112" s="1" t="e">
        <f t="shared" si="11"/>
        <v>#N/A</v>
      </c>
    </row>
    <row r="113" spans="5:22" ht="11.25" customHeight="1" x14ac:dyDescent="0.2">
      <c r="E113" s="117">
        <v>106</v>
      </c>
      <c r="F113" s="753"/>
      <c r="G113" s="754"/>
      <c r="H113" s="732"/>
      <c r="I113" s="731" t="str">
        <f t="shared" si="10"/>
        <v/>
      </c>
      <c r="K113" s="241" t="str">
        <f t="shared" si="4"/>
        <v/>
      </c>
      <c r="L113" s="137"/>
      <c r="P113" s="259">
        <f>$X$23</f>
        <v>1.4</v>
      </c>
      <c r="Q113" s="288" t="e">
        <f>IF(AND(F33&lt;&gt;"",$Y$5,$Y$2),F33,NA())</f>
        <v>#N/A</v>
      </c>
      <c r="R113" s="137"/>
      <c r="U113" s="1">
        <v>3.9</v>
      </c>
      <c r="V113" s="1" t="e">
        <f t="shared" si="11"/>
        <v>#N/A</v>
      </c>
    </row>
    <row r="114" spans="5:22" ht="11.25" customHeight="1" x14ac:dyDescent="0.2">
      <c r="E114" s="117">
        <v>107</v>
      </c>
      <c r="F114" s="753"/>
      <c r="G114" s="754"/>
      <c r="H114" s="732"/>
      <c r="I114" s="731" t="str">
        <f t="shared" si="10"/>
        <v/>
      </c>
      <c r="K114" s="241" t="str">
        <f t="shared" si="4"/>
        <v/>
      </c>
      <c r="L114" s="137"/>
      <c r="P114" s="147">
        <f>$X$24</f>
        <v>2.6</v>
      </c>
      <c r="Q114" s="148" t="e">
        <f>IF(AND(G33&lt;&gt;"",$Y$5,$Y$2),G33,NA())</f>
        <v>#N/A</v>
      </c>
      <c r="R114" s="137"/>
      <c r="U114" s="1">
        <v>3.9</v>
      </c>
      <c r="V114" s="1" t="e">
        <f t="shared" si="11"/>
        <v>#N/A</v>
      </c>
    </row>
    <row r="115" spans="5:22" ht="11.25" customHeight="1" x14ac:dyDescent="0.2">
      <c r="E115" s="117">
        <v>108</v>
      </c>
      <c r="F115" s="753"/>
      <c r="G115" s="754"/>
      <c r="H115" s="732"/>
      <c r="I115" s="731" t="str">
        <f t="shared" si="10"/>
        <v/>
      </c>
      <c r="K115" s="241" t="str">
        <f t="shared" si="4"/>
        <v/>
      </c>
      <c r="L115" s="137"/>
      <c r="P115" s="259">
        <f>$X$23</f>
        <v>1.4</v>
      </c>
      <c r="Q115" s="288" t="e">
        <f>IF(AND(F34&lt;&gt;"",$Y$5,$Y$2),F34,NA())</f>
        <v>#N/A</v>
      </c>
      <c r="R115" s="137"/>
      <c r="U115" s="1">
        <v>3.9</v>
      </c>
      <c r="V115" s="1" t="e">
        <f t="shared" si="11"/>
        <v>#N/A</v>
      </c>
    </row>
    <row r="116" spans="5:22" ht="11.25" customHeight="1" x14ac:dyDescent="0.2">
      <c r="E116" s="117">
        <v>109</v>
      </c>
      <c r="F116" s="753"/>
      <c r="G116" s="754"/>
      <c r="H116" s="732"/>
      <c r="I116" s="731" t="str">
        <f t="shared" si="10"/>
        <v/>
      </c>
      <c r="K116" s="241" t="str">
        <f t="shared" si="4"/>
        <v/>
      </c>
      <c r="L116" s="137"/>
      <c r="P116" s="147">
        <f>$X$24</f>
        <v>2.6</v>
      </c>
      <c r="Q116" s="148" t="e">
        <f>IF(AND(G34&lt;&gt;"",$Y$5,$Y$2),G34,NA())</f>
        <v>#N/A</v>
      </c>
      <c r="R116" s="137"/>
      <c r="U116" s="1">
        <v>3.9</v>
      </c>
      <c r="V116" s="1" t="e">
        <f t="shared" si="11"/>
        <v>#N/A</v>
      </c>
    </row>
    <row r="117" spans="5:22" ht="11.25" customHeight="1" x14ac:dyDescent="0.2">
      <c r="E117" s="117">
        <v>110</v>
      </c>
      <c r="F117" s="753"/>
      <c r="G117" s="754"/>
      <c r="H117" s="732"/>
      <c r="I117" s="731" t="str">
        <f t="shared" si="10"/>
        <v/>
      </c>
      <c r="K117" s="241" t="str">
        <f t="shared" si="4"/>
        <v/>
      </c>
      <c r="L117" s="137"/>
      <c r="P117" s="259">
        <f>$X$23</f>
        <v>1.4</v>
      </c>
      <c r="Q117" s="288" t="e">
        <f>IF(AND(F35&lt;&gt;"",$Y$5,$Y$2),F35,NA())</f>
        <v>#N/A</v>
      </c>
      <c r="R117" s="137"/>
      <c r="U117" s="1">
        <v>3.9</v>
      </c>
      <c r="V117" s="1" t="e">
        <f t="shared" si="11"/>
        <v>#N/A</v>
      </c>
    </row>
    <row r="118" spans="5:22" ht="11.25" customHeight="1" x14ac:dyDescent="0.2">
      <c r="E118" s="117">
        <v>111</v>
      </c>
      <c r="F118" s="753"/>
      <c r="G118" s="754"/>
      <c r="H118" s="732"/>
      <c r="I118" s="731" t="str">
        <f t="shared" si="10"/>
        <v/>
      </c>
      <c r="K118" s="241" t="str">
        <f t="shared" si="4"/>
        <v/>
      </c>
      <c r="L118" s="137"/>
      <c r="P118" s="147">
        <f>$X$24</f>
        <v>2.6</v>
      </c>
      <c r="Q118" s="148" t="e">
        <f>IF(AND(G35&lt;&gt;"",$Y$5,$Y$2),G35,NA())</f>
        <v>#N/A</v>
      </c>
      <c r="R118" s="137"/>
      <c r="U118" s="1">
        <v>3.9</v>
      </c>
      <c r="V118" s="1" t="e">
        <f t="shared" si="11"/>
        <v>#N/A</v>
      </c>
    </row>
    <row r="119" spans="5:22" ht="11.25" customHeight="1" x14ac:dyDescent="0.2">
      <c r="E119" s="117">
        <v>112</v>
      </c>
      <c r="F119" s="753"/>
      <c r="G119" s="754"/>
      <c r="H119" s="732"/>
      <c r="I119" s="731" t="str">
        <f t="shared" si="10"/>
        <v/>
      </c>
      <c r="K119" s="241" t="str">
        <f t="shared" si="4"/>
        <v/>
      </c>
      <c r="L119" s="137"/>
      <c r="P119" s="259">
        <f>$X$23</f>
        <v>1.4</v>
      </c>
      <c r="Q119" s="288" t="e">
        <f>IF(AND(F36&lt;&gt;"",$Y$5,$Y$2),F36,NA())</f>
        <v>#N/A</v>
      </c>
      <c r="R119" s="137"/>
      <c r="U119" s="1">
        <v>3.9</v>
      </c>
      <c r="V119" s="1" t="e">
        <f t="shared" si="11"/>
        <v>#N/A</v>
      </c>
    </row>
    <row r="120" spans="5:22" ht="11.25" customHeight="1" x14ac:dyDescent="0.2">
      <c r="E120" s="117">
        <v>113</v>
      </c>
      <c r="F120" s="753"/>
      <c r="G120" s="754"/>
      <c r="H120" s="732"/>
      <c r="I120" s="731" t="str">
        <f t="shared" si="10"/>
        <v/>
      </c>
      <c r="K120" s="241" t="str">
        <f t="shared" si="4"/>
        <v/>
      </c>
      <c r="L120" s="137"/>
      <c r="P120" s="147">
        <f>$X$24</f>
        <v>2.6</v>
      </c>
      <c r="Q120" s="148" t="e">
        <f>IF(AND(G36&lt;&gt;"",$Y$5,$Y$2),G36,NA())</f>
        <v>#N/A</v>
      </c>
      <c r="R120" s="137"/>
      <c r="U120" s="1">
        <v>3.9</v>
      </c>
      <c r="V120" s="1" t="e">
        <f t="shared" si="11"/>
        <v>#N/A</v>
      </c>
    </row>
    <row r="121" spans="5:22" ht="11.25" customHeight="1" x14ac:dyDescent="0.2">
      <c r="E121" s="117">
        <v>114</v>
      </c>
      <c r="F121" s="753"/>
      <c r="G121" s="754"/>
      <c r="H121" s="732"/>
      <c r="I121" s="731" t="str">
        <f t="shared" si="10"/>
        <v/>
      </c>
      <c r="K121" s="241" t="str">
        <f t="shared" si="4"/>
        <v/>
      </c>
      <c r="L121" s="137"/>
      <c r="P121" s="259">
        <f>$X$23</f>
        <v>1.4</v>
      </c>
      <c r="Q121" s="288" t="e">
        <f>IF(AND(F37&lt;&gt;"",$Y$5,$Y$2),F37,NA())</f>
        <v>#N/A</v>
      </c>
      <c r="R121" s="137"/>
      <c r="U121" s="1">
        <v>3.9</v>
      </c>
      <c r="V121" s="1" t="e">
        <f t="shared" si="11"/>
        <v>#N/A</v>
      </c>
    </row>
    <row r="122" spans="5:22" ht="11.25" customHeight="1" x14ac:dyDescent="0.2">
      <c r="E122" s="117">
        <v>115</v>
      </c>
      <c r="F122" s="753"/>
      <c r="G122" s="754"/>
      <c r="H122" s="732"/>
      <c r="I122" s="731" t="str">
        <f t="shared" si="10"/>
        <v/>
      </c>
      <c r="K122" s="241" t="str">
        <f t="shared" si="4"/>
        <v/>
      </c>
      <c r="L122" s="137"/>
      <c r="P122" s="147">
        <f>$X$24</f>
        <v>2.6</v>
      </c>
      <c r="Q122" s="148" t="e">
        <f>IF(AND(G37&lt;&gt;"",$Y$5,$Y$2),G37,NA())</f>
        <v>#N/A</v>
      </c>
      <c r="R122" s="137"/>
      <c r="U122" s="1">
        <v>3.9</v>
      </c>
      <c r="V122" s="1" t="e">
        <f t="shared" si="11"/>
        <v>#N/A</v>
      </c>
    </row>
    <row r="123" spans="5:22" ht="11.25" customHeight="1" x14ac:dyDescent="0.2">
      <c r="E123" s="117">
        <v>116</v>
      </c>
      <c r="F123" s="753"/>
      <c r="G123" s="754"/>
      <c r="H123" s="732"/>
      <c r="I123" s="731" t="str">
        <f t="shared" si="10"/>
        <v/>
      </c>
      <c r="K123" s="241" t="str">
        <f t="shared" si="4"/>
        <v/>
      </c>
      <c r="L123" s="137"/>
      <c r="P123" s="259">
        <f>$X$23</f>
        <v>1.4</v>
      </c>
      <c r="Q123" s="288" t="e">
        <f>IF(AND(F38&lt;&gt;"",$Y$5,$Y$2),F38,NA())</f>
        <v>#N/A</v>
      </c>
      <c r="R123" s="137"/>
      <c r="U123" s="1">
        <v>3.9</v>
      </c>
      <c r="V123" s="1" t="e">
        <f t="shared" si="11"/>
        <v>#N/A</v>
      </c>
    </row>
    <row r="124" spans="5:22" ht="11.25" customHeight="1" x14ac:dyDescent="0.2">
      <c r="E124" s="117">
        <v>117</v>
      </c>
      <c r="F124" s="753"/>
      <c r="G124" s="754"/>
      <c r="H124" s="732"/>
      <c r="I124" s="731" t="str">
        <f t="shared" si="10"/>
        <v/>
      </c>
      <c r="K124" s="241" t="str">
        <f t="shared" si="4"/>
        <v/>
      </c>
      <c r="L124" s="137"/>
      <c r="P124" s="147">
        <f>$X$24</f>
        <v>2.6</v>
      </c>
      <c r="Q124" s="148" t="e">
        <f>IF(AND(G38&lt;&gt;"",$Y$5,$Y$2),G38,NA())</f>
        <v>#N/A</v>
      </c>
      <c r="R124" s="137"/>
      <c r="U124" s="1">
        <v>3.9</v>
      </c>
      <c r="V124" s="1" t="e">
        <f t="shared" si="11"/>
        <v>#N/A</v>
      </c>
    </row>
    <row r="125" spans="5:22" ht="11.25" customHeight="1" x14ac:dyDescent="0.2">
      <c r="E125" s="117">
        <v>118</v>
      </c>
      <c r="F125" s="753"/>
      <c r="G125" s="754"/>
      <c r="H125" s="732"/>
      <c r="I125" s="731" t="str">
        <f t="shared" si="10"/>
        <v/>
      </c>
      <c r="K125" s="241" t="str">
        <f t="shared" si="4"/>
        <v/>
      </c>
      <c r="L125" s="137"/>
      <c r="P125" s="259">
        <f>$X$23</f>
        <v>1.4</v>
      </c>
      <c r="Q125" s="288" t="e">
        <f>IF(AND(F39&lt;&gt;"",$Y$5,$Y$2),F39,NA())</f>
        <v>#N/A</v>
      </c>
      <c r="R125" s="137"/>
      <c r="U125" s="1">
        <v>3.9</v>
      </c>
      <c r="V125" s="1" t="e">
        <f t="shared" si="11"/>
        <v>#N/A</v>
      </c>
    </row>
    <row r="126" spans="5:22" ht="11.25" customHeight="1" x14ac:dyDescent="0.2">
      <c r="E126" s="117">
        <v>119</v>
      </c>
      <c r="F126" s="753"/>
      <c r="G126" s="754"/>
      <c r="H126" s="732"/>
      <c r="I126" s="731" t="str">
        <f t="shared" si="10"/>
        <v/>
      </c>
      <c r="K126" s="241" t="str">
        <f t="shared" si="4"/>
        <v/>
      </c>
      <c r="L126" s="137"/>
      <c r="P126" s="147">
        <f>$X$24</f>
        <v>2.6</v>
      </c>
      <c r="Q126" s="148" t="e">
        <f>IF(AND(G39&lt;&gt;"",$Y$5,$Y$2),G39,NA())</f>
        <v>#N/A</v>
      </c>
      <c r="R126" s="137"/>
      <c r="U126" s="1">
        <v>3.9</v>
      </c>
      <c r="V126" s="1" t="e">
        <f t="shared" si="11"/>
        <v>#N/A</v>
      </c>
    </row>
    <row r="127" spans="5:22" ht="11.25" customHeight="1" x14ac:dyDescent="0.2">
      <c r="E127" s="117">
        <v>120</v>
      </c>
      <c r="F127" s="753"/>
      <c r="G127" s="754"/>
      <c r="H127" s="732"/>
      <c r="I127" s="731" t="str">
        <f t="shared" si="10"/>
        <v/>
      </c>
      <c r="K127" s="241" t="str">
        <f t="shared" ref="K127:K190" si="12">IF(I72&lt;&gt;"",(F72+G72)/2,"")</f>
        <v/>
      </c>
      <c r="L127" s="137"/>
      <c r="P127" s="259">
        <f>$X$23</f>
        <v>1.4</v>
      </c>
      <c r="Q127" s="288" t="e">
        <f>IF(AND(F40&lt;&gt;"",$Y$5,$Y$2),F40,NA())</f>
        <v>#N/A</v>
      </c>
      <c r="R127" s="137"/>
      <c r="U127" s="1">
        <v>3.9</v>
      </c>
      <c r="V127" s="1" t="e">
        <f t="shared" si="11"/>
        <v>#N/A</v>
      </c>
    </row>
    <row r="128" spans="5:22" ht="11.25" customHeight="1" x14ac:dyDescent="0.2">
      <c r="E128" s="117">
        <v>121</v>
      </c>
      <c r="F128" s="753"/>
      <c r="G128" s="754"/>
      <c r="H128" s="732"/>
      <c r="I128" s="731" t="str">
        <f t="shared" si="10"/>
        <v/>
      </c>
      <c r="K128" s="241" t="str">
        <f t="shared" si="12"/>
        <v/>
      </c>
      <c r="L128" s="137"/>
      <c r="P128" s="147">
        <f>$X$24</f>
        <v>2.6</v>
      </c>
      <c r="Q128" s="148" t="e">
        <f>IF(AND(G40&lt;&gt;"",$Y$5,$Y$2),G40,NA())</f>
        <v>#N/A</v>
      </c>
      <c r="R128" s="137"/>
      <c r="U128" s="1">
        <v>3.9</v>
      </c>
      <c r="V128" s="1" t="e">
        <f t="shared" si="11"/>
        <v>#N/A</v>
      </c>
    </row>
    <row r="129" spans="5:22" ht="11.25" customHeight="1" x14ac:dyDescent="0.2">
      <c r="E129" s="117">
        <v>122</v>
      </c>
      <c r="F129" s="753"/>
      <c r="G129" s="754"/>
      <c r="H129" s="732"/>
      <c r="I129" s="731" t="str">
        <f t="shared" si="10"/>
        <v/>
      </c>
      <c r="K129" s="241" t="str">
        <f t="shared" si="12"/>
        <v/>
      </c>
      <c r="L129" s="137"/>
      <c r="P129" s="259">
        <f>$X$23</f>
        <v>1.4</v>
      </c>
      <c r="Q129" s="288" t="e">
        <f>IF(AND(F41&lt;&gt;"",$Y$5,$Y$2),F41,NA())</f>
        <v>#N/A</v>
      </c>
      <c r="R129" s="137"/>
      <c r="U129" s="1">
        <v>3.9</v>
      </c>
      <c r="V129" s="1" t="e">
        <f t="shared" ref="V129:V160" si="13">IF(AND(I72&lt;&gt;"",$Y$6,$Y$2),$M$29+I72,NA())</f>
        <v>#N/A</v>
      </c>
    </row>
    <row r="130" spans="5:22" ht="11.25" customHeight="1" x14ac:dyDescent="0.2">
      <c r="E130" s="117">
        <v>123</v>
      </c>
      <c r="F130" s="753"/>
      <c r="G130" s="754"/>
      <c r="H130" s="732"/>
      <c r="I130" s="731" t="str">
        <f t="shared" si="10"/>
        <v/>
      </c>
      <c r="K130" s="241" t="str">
        <f t="shared" si="12"/>
        <v/>
      </c>
      <c r="L130" s="137"/>
      <c r="P130" s="147">
        <f>$X$24</f>
        <v>2.6</v>
      </c>
      <c r="Q130" s="148" t="e">
        <f>IF(AND(G41&lt;&gt;"",$Y$5,$Y$2),G41,NA())</f>
        <v>#N/A</v>
      </c>
      <c r="R130" s="137"/>
      <c r="U130" s="1">
        <v>3.9</v>
      </c>
      <c r="V130" s="1" t="e">
        <f t="shared" si="13"/>
        <v>#N/A</v>
      </c>
    </row>
    <row r="131" spans="5:22" ht="11.25" customHeight="1" x14ac:dyDescent="0.2">
      <c r="E131" s="117">
        <v>124</v>
      </c>
      <c r="F131" s="753"/>
      <c r="G131" s="754"/>
      <c r="H131" s="732"/>
      <c r="I131" s="731" t="str">
        <f t="shared" si="10"/>
        <v/>
      </c>
      <c r="K131" s="241" t="str">
        <f t="shared" si="12"/>
        <v/>
      </c>
      <c r="L131" s="137"/>
      <c r="P131" s="259">
        <f>$X$23</f>
        <v>1.4</v>
      </c>
      <c r="Q131" s="288" t="e">
        <f>IF(AND(F42&lt;&gt;"",$Y$5,$Y$2),F42,NA())</f>
        <v>#N/A</v>
      </c>
      <c r="R131" s="137"/>
      <c r="U131" s="1">
        <v>3.9</v>
      </c>
      <c r="V131" s="1" t="e">
        <f t="shared" si="13"/>
        <v>#N/A</v>
      </c>
    </row>
    <row r="132" spans="5:22" ht="11.25" customHeight="1" x14ac:dyDescent="0.2">
      <c r="E132" s="117">
        <v>125</v>
      </c>
      <c r="F132" s="753"/>
      <c r="G132" s="754"/>
      <c r="H132" s="732"/>
      <c r="I132" s="731" t="str">
        <f t="shared" si="10"/>
        <v/>
      </c>
      <c r="K132" s="241" t="str">
        <f t="shared" si="12"/>
        <v/>
      </c>
      <c r="L132" s="137"/>
      <c r="P132" s="147">
        <f>$X$24</f>
        <v>2.6</v>
      </c>
      <c r="Q132" s="148" t="e">
        <f>IF(AND(G42&lt;&gt;"",$Y$5,$Y$2),G42,NA())</f>
        <v>#N/A</v>
      </c>
      <c r="R132" s="137"/>
      <c r="U132" s="1">
        <v>3.9</v>
      </c>
      <c r="V132" s="1" t="e">
        <f t="shared" si="13"/>
        <v>#N/A</v>
      </c>
    </row>
    <row r="133" spans="5:22" ht="11.25" customHeight="1" x14ac:dyDescent="0.2">
      <c r="E133" s="117">
        <v>126</v>
      </c>
      <c r="F133" s="753"/>
      <c r="G133" s="754"/>
      <c r="H133" s="732"/>
      <c r="I133" s="731" t="str">
        <f t="shared" si="10"/>
        <v/>
      </c>
      <c r="K133" s="241" t="str">
        <f t="shared" si="12"/>
        <v/>
      </c>
      <c r="L133" s="137"/>
      <c r="P133" s="259">
        <f>$X$23</f>
        <v>1.4</v>
      </c>
      <c r="Q133" s="288" t="e">
        <f>IF(AND(F43&lt;&gt;"",$Y$5,$Y$2),F43,NA())</f>
        <v>#N/A</v>
      </c>
      <c r="R133" s="137"/>
      <c r="U133" s="1">
        <v>3.9</v>
      </c>
      <c r="V133" s="1" t="e">
        <f t="shared" si="13"/>
        <v>#N/A</v>
      </c>
    </row>
    <row r="134" spans="5:22" ht="11.25" customHeight="1" x14ac:dyDescent="0.2">
      <c r="E134" s="117">
        <v>127</v>
      </c>
      <c r="F134" s="753"/>
      <c r="G134" s="754"/>
      <c r="H134" s="732"/>
      <c r="I134" s="731" t="str">
        <f t="shared" si="10"/>
        <v/>
      </c>
      <c r="K134" s="241" t="str">
        <f t="shared" si="12"/>
        <v/>
      </c>
      <c r="L134" s="137"/>
      <c r="P134" s="147">
        <f>$X$24</f>
        <v>2.6</v>
      </c>
      <c r="Q134" s="148" t="e">
        <f>IF(AND(G43&lt;&gt;"",$Y$5,$Y$2),G43,NA())</f>
        <v>#N/A</v>
      </c>
      <c r="R134" s="137"/>
      <c r="U134" s="1">
        <v>3.9</v>
      </c>
      <c r="V134" s="1" t="e">
        <f t="shared" si="13"/>
        <v>#N/A</v>
      </c>
    </row>
    <row r="135" spans="5:22" ht="11.25" customHeight="1" x14ac:dyDescent="0.2">
      <c r="E135" s="117">
        <v>128</v>
      </c>
      <c r="F135" s="753"/>
      <c r="G135" s="754"/>
      <c r="H135" s="732"/>
      <c r="I135" s="731" t="str">
        <f t="shared" si="10"/>
        <v/>
      </c>
      <c r="K135" s="241" t="str">
        <f t="shared" si="12"/>
        <v/>
      </c>
      <c r="L135" s="137"/>
      <c r="P135" s="259">
        <f>$X$23</f>
        <v>1.4</v>
      </c>
      <c r="Q135" s="288" t="e">
        <f>IF(AND(F44&lt;&gt;"",$Y$5,$Y$2),F44,NA())</f>
        <v>#N/A</v>
      </c>
      <c r="R135" s="137"/>
      <c r="U135" s="1">
        <v>3.9</v>
      </c>
      <c r="V135" s="1" t="e">
        <f t="shared" si="13"/>
        <v>#N/A</v>
      </c>
    </row>
    <row r="136" spans="5:22" ht="11.25" customHeight="1" x14ac:dyDescent="0.2">
      <c r="E136" s="117">
        <v>129</v>
      </c>
      <c r="F136" s="753"/>
      <c r="G136" s="754"/>
      <c r="H136" s="732"/>
      <c r="I136" s="731" t="str">
        <f t="shared" ref="I136:I199" si="14">IF(AND(F136&lt;&gt;"",G136&lt;&gt;""),G136-F136,"")</f>
        <v/>
      </c>
      <c r="K136" s="241" t="str">
        <f t="shared" si="12"/>
        <v/>
      </c>
      <c r="L136" s="137"/>
      <c r="P136" s="147">
        <f>$X$24</f>
        <v>2.6</v>
      </c>
      <c r="Q136" s="148" t="e">
        <f>IF(AND(G44&lt;&gt;"",$Y$5,$Y$2),G44,NA())</f>
        <v>#N/A</v>
      </c>
      <c r="R136" s="137"/>
      <c r="U136" s="1">
        <v>3.9</v>
      </c>
      <c r="V136" s="1" t="e">
        <f t="shared" si="13"/>
        <v>#N/A</v>
      </c>
    </row>
    <row r="137" spans="5:22" ht="11.25" customHeight="1" x14ac:dyDescent="0.2">
      <c r="E137" s="117">
        <v>130</v>
      </c>
      <c r="F137" s="753"/>
      <c r="G137" s="754"/>
      <c r="H137" s="732"/>
      <c r="I137" s="731" t="str">
        <f t="shared" si="14"/>
        <v/>
      </c>
      <c r="K137" s="241" t="str">
        <f t="shared" si="12"/>
        <v/>
      </c>
      <c r="L137" s="137"/>
      <c r="P137" s="259">
        <f>$X$23</f>
        <v>1.4</v>
      </c>
      <c r="Q137" s="288" t="e">
        <f>IF(AND(F45&lt;&gt;"",$Y$5,$Y$2),F45,NA())</f>
        <v>#N/A</v>
      </c>
      <c r="R137" s="137"/>
      <c r="U137" s="1">
        <v>3.9</v>
      </c>
      <c r="V137" s="1" t="e">
        <f t="shared" si="13"/>
        <v>#N/A</v>
      </c>
    </row>
    <row r="138" spans="5:22" ht="11.25" customHeight="1" x14ac:dyDescent="0.2">
      <c r="E138" s="117">
        <v>131</v>
      </c>
      <c r="F138" s="753"/>
      <c r="G138" s="754"/>
      <c r="H138" s="732"/>
      <c r="I138" s="731" t="str">
        <f t="shared" si="14"/>
        <v/>
      </c>
      <c r="K138" s="241" t="str">
        <f t="shared" si="12"/>
        <v/>
      </c>
      <c r="L138" s="137"/>
      <c r="P138" s="147">
        <f>$X$24</f>
        <v>2.6</v>
      </c>
      <c r="Q138" s="148" t="e">
        <f>IF(AND(G45&lt;&gt;"",$Y$5,$Y$2),G45,NA())</f>
        <v>#N/A</v>
      </c>
      <c r="R138" s="137"/>
      <c r="U138" s="1">
        <v>3.9</v>
      </c>
      <c r="V138" s="1" t="e">
        <f t="shared" si="13"/>
        <v>#N/A</v>
      </c>
    </row>
    <row r="139" spans="5:22" ht="11.25" customHeight="1" x14ac:dyDescent="0.2">
      <c r="E139" s="117">
        <v>132</v>
      </c>
      <c r="F139" s="753"/>
      <c r="G139" s="754"/>
      <c r="H139" s="732"/>
      <c r="I139" s="731" t="str">
        <f t="shared" si="14"/>
        <v/>
      </c>
      <c r="K139" s="241" t="str">
        <f t="shared" si="12"/>
        <v/>
      </c>
      <c r="L139" s="137"/>
      <c r="P139" s="259">
        <f>$X$23</f>
        <v>1.4</v>
      </c>
      <c r="Q139" s="288" t="e">
        <f>IF(AND(F46&lt;&gt;"",$Y$5,$Y$2),F46,NA())</f>
        <v>#N/A</v>
      </c>
      <c r="R139" s="137"/>
      <c r="U139" s="1">
        <v>3.9</v>
      </c>
      <c r="V139" s="1" t="e">
        <f t="shared" si="13"/>
        <v>#N/A</v>
      </c>
    </row>
    <row r="140" spans="5:22" ht="11.25" customHeight="1" x14ac:dyDescent="0.2">
      <c r="E140" s="117">
        <v>133</v>
      </c>
      <c r="F140" s="753"/>
      <c r="G140" s="754"/>
      <c r="H140" s="732"/>
      <c r="I140" s="731" t="str">
        <f t="shared" si="14"/>
        <v/>
      </c>
      <c r="K140" s="241" t="str">
        <f t="shared" si="12"/>
        <v/>
      </c>
      <c r="L140" s="137"/>
      <c r="P140" s="147">
        <f>$X$24</f>
        <v>2.6</v>
      </c>
      <c r="Q140" s="148" t="e">
        <f>IF(AND(G46&lt;&gt;"",$Y$5,$Y$2),G46,NA())</f>
        <v>#N/A</v>
      </c>
      <c r="R140" s="137"/>
      <c r="U140" s="1">
        <v>3.9</v>
      </c>
      <c r="V140" s="1" t="e">
        <f t="shared" si="13"/>
        <v>#N/A</v>
      </c>
    </row>
    <row r="141" spans="5:22" ht="11.25" customHeight="1" x14ac:dyDescent="0.2">
      <c r="E141" s="117">
        <v>134</v>
      </c>
      <c r="F141" s="753"/>
      <c r="G141" s="754"/>
      <c r="H141" s="732"/>
      <c r="I141" s="731" t="str">
        <f t="shared" si="14"/>
        <v/>
      </c>
      <c r="K141" s="241" t="str">
        <f t="shared" si="12"/>
        <v/>
      </c>
      <c r="L141" s="137"/>
      <c r="P141" s="259">
        <f>$X$23</f>
        <v>1.4</v>
      </c>
      <c r="Q141" s="288" t="e">
        <f>IF(AND(F47&lt;&gt;"",$Y$5,$Y$2),F47,NA())</f>
        <v>#N/A</v>
      </c>
      <c r="R141" s="137"/>
      <c r="U141" s="1">
        <v>3.9</v>
      </c>
      <c r="V141" s="1" t="e">
        <f t="shared" si="13"/>
        <v>#N/A</v>
      </c>
    </row>
    <row r="142" spans="5:22" ht="11.25" customHeight="1" x14ac:dyDescent="0.2">
      <c r="E142" s="117">
        <v>135</v>
      </c>
      <c r="F142" s="753"/>
      <c r="G142" s="754"/>
      <c r="H142" s="732"/>
      <c r="I142" s="731" t="str">
        <f t="shared" si="14"/>
        <v/>
      </c>
      <c r="K142" s="241" t="str">
        <f t="shared" si="12"/>
        <v/>
      </c>
      <c r="L142" s="137"/>
      <c r="P142" s="161">
        <f>$X$24</f>
        <v>2.6</v>
      </c>
      <c r="Q142" s="264" t="e">
        <f>IF(AND(G47&lt;&gt;"",$Y$5,$Y$2),G47,NA())</f>
        <v>#N/A</v>
      </c>
      <c r="R142" s="137"/>
      <c r="U142" s="1">
        <v>3.9</v>
      </c>
      <c r="V142" s="1" t="e">
        <f t="shared" si="13"/>
        <v>#N/A</v>
      </c>
    </row>
    <row r="143" spans="5:22" ht="11.25" customHeight="1" x14ac:dyDescent="0.2">
      <c r="E143" s="117">
        <v>136</v>
      </c>
      <c r="F143" s="753"/>
      <c r="G143" s="754"/>
      <c r="H143" s="732"/>
      <c r="I143" s="731" t="str">
        <f t="shared" si="14"/>
        <v/>
      </c>
      <c r="K143" s="241" t="str">
        <f t="shared" si="12"/>
        <v/>
      </c>
      <c r="L143" s="137"/>
      <c r="P143" s="259">
        <f>$X$23</f>
        <v>1.4</v>
      </c>
      <c r="Q143" s="288" t="e">
        <f>IF(AND(F48&lt;&gt;"",$Y$5,$Y$2),F48,NA())</f>
        <v>#N/A</v>
      </c>
      <c r="R143" s="137"/>
      <c r="U143" s="1">
        <v>3.9</v>
      </c>
      <c r="V143" s="1" t="e">
        <f t="shared" si="13"/>
        <v>#N/A</v>
      </c>
    </row>
    <row r="144" spans="5:22" ht="11.25" customHeight="1" x14ac:dyDescent="0.2">
      <c r="E144" s="117">
        <v>137</v>
      </c>
      <c r="F144" s="753"/>
      <c r="G144" s="754"/>
      <c r="H144" s="732"/>
      <c r="I144" s="731" t="str">
        <f t="shared" si="14"/>
        <v/>
      </c>
      <c r="K144" s="241" t="str">
        <f t="shared" si="12"/>
        <v/>
      </c>
      <c r="L144" s="137"/>
      <c r="P144" s="147">
        <f>$X$24</f>
        <v>2.6</v>
      </c>
      <c r="Q144" s="148" t="e">
        <f>IF(AND(G48&lt;&gt;"",$Y$5,$Y$2),G48,NA())</f>
        <v>#N/A</v>
      </c>
      <c r="R144" s="137"/>
      <c r="U144" s="1">
        <v>3.9</v>
      </c>
      <c r="V144" s="1" t="e">
        <f t="shared" si="13"/>
        <v>#N/A</v>
      </c>
    </row>
    <row r="145" spans="5:22" ht="11.25" customHeight="1" x14ac:dyDescent="0.2">
      <c r="E145" s="117">
        <v>138</v>
      </c>
      <c r="F145" s="753"/>
      <c r="G145" s="754"/>
      <c r="H145" s="732"/>
      <c r="I145" s="731" t="str">
        <f t="shared" si="14"/>
        <v/>
      </c>
      <c r="K145" s="241" t="str">
        <f t="shared" si="12"/>
        <v/>
      </c>
      <c r="L145" s="137"/>
      <c r="P145" s="259">
        <f>$X$23</f>
        <v>1.4</v>
      </c>
      <c r="Q145" s="288" t="e">
        <f>IF(AND(F49&lt;&gt;"",$Y$5,$Y$2),F49,NA())</f>
        <v>#N/A</v>
      </c>
      <c r="R145" s="137"/>
      <c r="U145" s="1">
        <v>3.9</v>
      </c>
      <c r="V145" s="1" t="e">
        <f t="shared" si="13"/>
        <v>#N/A</v>
      </c>
    </row>
    <row r="146" spans="5:22" ht="11.25" customHeight="1" x14ac:dyDescent="0.2">
      <c r="E146" s="117">
        <v>139</v>
      </c>
      <c r="F146" s="753"/>
      <c r="G146" s="754"/>
      <c r="H146" s="732"/>
      <c r="I146" s="731" t="str">
        <f t="shared" si="14"/>
        <v/>
      </c>
      <c r="K146" s="241" t="str">
        <f t="shared" si="12"/>
        <v/>
      </c>
      <c r="L146" s="137"/>
      <c r="P146" s="147">
        <f>$X$24</f>
        <v>2.6</v>
      </c>
      <c r="Q146" s="148" t="e">
        <f>IF(AND(G49&lt;&gt;"",$Y$5,$Y$2),G49,NA())</f>
        <v>#N/A</v>
      </c>
      <c r="R146" s="137"/>
      <c r="U146" s="1">
        <v>3.9</v>
      </c>
      <c r="V146" s="1" t="e">
        <f t="shared" si="13"/>
        <v>#N/A</v>
      </c>
    </row>
    <row r="147" spans="5:22" ht="11.25" customHeight="1" x14ac:dyDescent="0.2">
      <c r="E147" s="117">
        <v>140</v>
      </c>
      <c r="F147" s="753"/>
      <c r="G147" s="754"/>
      <c r="H147" s="732"/>
      <c r="I147" s="731" t="str">
        <f t="shared" si="14"/>
        <v/>
      </c>
      <c r="K147" s="241" t="str">
        <f t="shared" si="12"/>
        <v/>
      </c>
      <c r="L147" s="137"/>
      <c r="P147" s="259">
        <f>$X$23</f>
        <v>1.4</v>
      </c>
      <c r="Q147" s="288" t="e">
        <f>IF(AND(F50&lt;&gt;"",$Y$5,$Y$2),F50,NA())</f>
        <v>#N/A</v>
      </c>
      <c r="R147" s="137"/>
      <c r="U147" s="1">
        <v>3.9</v>
      </c>
      <c r="V147" s="1" t="e">
        <f t="shared" si="13"/>
        <v>#N/A</v>
      </c>
    </row>
    <row r="148" spans="5:22" ht="11.25" customHeight="1" x14ac:dyDescent="0.2">
      <c r="E148" s="117">
        <v>141</v>
      </c>
      <c r="F148" s="753"/>
      <c r="G148" s="754"/>
      <c r="H148" s="732"/>
      <c r="I148" s="731" t="str">
        <f t="shared" si="14"/>
        <v/>
      </c>
      <c r="K148" s="241" t="str">
        <f t="shared" si="12"/>
        <v/>
      </c>
      <c r="L148" s="137"/>
      <c r="P148" s="147">
        <f>$X$24</f>
        <v>2.6</v>
      </c>
      <c r="Q148" s="148" t="e">
        <f>IF(AND(G50&lt;&gt;"",$Y$5,$Y$2),G50,NA())</f>
        <v>#N/A</v>
      </c>
      <c r="R148" s="137"/>
      <c r="U148" s="1">
        <v>3.9</v>
      </c>
      <c r="V148" s="1" t="e">
        <f t="shared" si="13"/>
        <v>#N/A</v>
      </c>
    </row>
    <row r="149" spans="5:22" ht="11.25" customHeight="1" x14ac:dyDescent="0.2">
      <c r="E149" s="117">
        <v>142</v>
      </c>
      <c r="F149" s="753"/>
      <c r="G149" s="754"/>
      <c r="H149" s="732"/>
      <c r="I149" s="731" t="str">
        <f t="shared" si="14"/>
        <v/>
      </c>
      <c r="K149" s="241" t="str">
        <f t="shared" si="12"/>
        <v/>
      </c>
      <c r="L149" s="137"/>
      <c r="P149" s="259">
        <f>$X$23</f>
        <v>1.4</v>
      </c>
      <c r="Q149" s="288" t="e">
        <f>IF(AND(F51&lt;&gt;"",$Y$5,$Y$2),F51,NA())</f>
        <v>#N/A</v>
      </c>
      <c r="R149" s="137"/>
      <c r="U149" s="1">
        <v>3.9</v>
      </c>
      <c r="V149" s="1" t="e">
        <f t="shared" si="13"/>
        <v>#N/A</v>
      </c>
    </row>
    <row r="150" spans="5:22" ht="11.25" customHeight="1" x14ac:dyDescent="0.2">
      <c r="E150" s="117">
        <v>143</v>
      </c>
      <c r="F150" s="753"/>
      <c r="G150" s="754"/>
      <c r="H150" s="732"/>
      <c r="I150" s="731" t="str">
        <f t="shared" si="14"/>
        <v/>
      </c>
      <c r="K150" s="241" t="str">
        <f t="shared" si="12"/>
        <v/>
      </c>
      <c r="L150" s="137"/>
      <c r="P150" s="147">
        <f>$X$24</f>
        <v>2.6</v>
      </c>
      <c r="Q150" s="148" t="e">
        <f>IF(AND(G51&lt;&gt;"",$Y$5,$Y$2),G51,NA())</f>
        <v>#N/A</v>
      </c>
      <c r="R150" s="137"/>
      <c r="U150" s="1">
        <v>3.9</v>
      </c>
      <c r="V150" s="1" t="e">
        <f t="shared" si="13"/>
        <v>#N/A</v>
      </c>
    </row>
    <row r="151" spans="5:22" ht="11.25" customHeight="1" x14ac:dyDescent="0.2">
      <c r="E151" s="117">
        <v>144</v>
      </c>
      <c r="F151" s="753"/>
      <c r="G151" s="754"/>
      <c r="H151" s="732"/>
      <c r="I151" s="731" t="str">
        <f t="shared" si="14"/>
        <v/>
      </c>
      <c r="K151" s="241" t="str">
        <f t="shared" si="12"/>
        <v/>
      </c>
      <c r="L151" s="137"/>
      <c r="P151" s="259">
        <f>$X$23</f>
        <v>1.4</v>
      </c>
      <c r="Q151" s="288" t="e">
        <f>IF(AND(F52&lt;&gt;"",$Y$5,$Y$2),F52,NA())</f>
        <v>#N/A</v>
      </c>
      <c r="R151" s="137"/>
      <c r="U151" s="1">
        <v>3.9</v>
      </c>
      <c r="V151" s="1" t="e">
        <f t="shared" si="13"/>
        <v>#N/A</v>
      </c>
    </row>
    <row r="152" spans="5:22" ht="11.25" customHeight="1" x14ac:dyDescent="0.2">
      <c r="E152" s="117">
        <v>145</v>
      </c>
      <c r="F152" s="753"/>
      <c r="G152" s="754"/>
      <c r="H152" s="732"/>
      <c r="I152" s="731" t="str">
        <f t="shared" si="14"/>
        <v/>
      </c>
      <c r="K152" s="241" t="str">
        <f t="shared" si="12"/>
        <v/>
      </c>
      <c r="L152" s="137"/>
      <c r="P152" s="147">
        <f>$X$24</f>
        <v>2.6</v>
      </c>
      <c r="Q152" s="148" t="e">
        <f>IF(AND(G52&lt;&gt;"",$Y$5,$Y$2),G52,NA())</f>
        <v>#N/A</v>
      </c>
      <c r="R152" s="137"/>
      <c r="U152" s="1">
        <v>3.9</v>
      </c>
      <c r="V152" s="1" t="e">
        <f t="shared" si="13"/>
        <v>#N/A</v>
      </c>
    </row>
    <row r="153" spans="5:22" ht="11.25" customHeight="1" x14ac:dyDescent="0.2">
      <c r="E153" s="117">
        <v>146</v>
      </c>
      <c r="F153" s="753"/>
      <c r="G153" s="754"/>
      <c r="H153" s="732"/>
      <c r="I153" s="731" t="str">
        <f t="shared" si="14"/>
        <v/>
      </c>
      <c r="K153" s="241" t="str">
        <f t="shared" si="12"/>
        <v/>
      </c>
      <c r="L153" s="137"/>
      <c r="P153" s="259">
        <f>$X$23</f>
        <v>1.4</v>
      </c>
      <c r="Q153" s="288" t="e">
        <f>IF(AND(F53&lt;&gt;"",$Y$5,$Y$2),F53,NA())</f>
        <v>#N/A</v>
      </c>
      <c r="R153" s="137"/>
      <c r="U153" s="1">
        <v>3.9</v>
      </c>
      <c r="V153" s="1" t="e">
        <f t="shared" si="13"/>
        <v>#N/A</v>
      </c>
    </row>
    <row r="154" spans="5:22" ht="11.25" customHeight="1" x14ac:dyDescent="0.2">
      <c r="E154" s="117">
        <v>147</v>
      </c>
      <c r="F154" s="753"/>
      <c r="G154" s="754"/>
      <c r="H154" s="732"/>
      <c r="I154" s="731" t="str">
        <f t="shared" si="14"/>
        <v/>
      </c>
      <c r="K154" s="241" t="str">
        <f t="shared" si="12"/>
        <v/>
      </c>
      <c r="L154" s="137"/>
      <c r="P154" s="147">
        <f>$X$24</f>
        <v>2.6</v>
      </c>
      <c r="Q154" s="148" t="e">
        <f>IF(AND(G53&lt;&gt;"",$Y$5,$Y$2),G53,NA())</f>
        <v>#N/A</v>
      </c>
      <c r="R154" s="137"/>
      <c r="U154" s="1">
        <v>3.9</v>
      </c>
      <c r="V154" s="1" t="e">
        <f t="shared" si="13"/>
        <v>#N/A</v>
      </c>
    </row>
    <row r="155" spans="5:22" ht="11.25" customHeight="1" x14ac:dyDescent="0.2">
      <c r="E155" s="117">
        <v>148</v>
      </c>
      <c r="F155" s="753"/>
      <c r="G155" s="754"/>
      <c r="H155" s="732"/>
      <c r="I155" s="731" t="str">
        <f t="shared" si="14"/>
        <v/>
      </c>
      <c r="K155" s="241" t="str">
        <f t="shared" si="12"/>
        <v/>
      </c>
      <c r="L155" s="137"/>
      <c r="P155" s="259">
        <f>$X$23</f>
        <v>1.4</v>
      </c>
      <c r="Q155" s="288" t="e">
        <f>IF(AND(F54&lt;&gt;"",$Y$5,$Y$2),F54,NA())</f>
        <v>#N/A</v>
      </c>
      <c r="R155" s="137"/>
      <c r="U155" s="1">
        <v>3.9</v>
      </c>
      <c r="V155" s="1" t="e">
        <f t="shared" si="13"/>
        <v>#N/A</v>
      </c>
    </row>
    <row r="156" spans="5:22" ht="11.25" customHeight="1" x14ac:dyDescent="0.2">
      <c r="E156" s="117">
        <v>149</v>
      </c>
      <c r="F156" s="753"/>
      <c r="G156" s="754"/>
      <c r="H156" s="732"/>
      <c r="I156" s="731" t="str">
        <f t="shared" si="14"/>
        <v/>
      </c>
      <c r="K156" s="241" t="str">
        <f t="shared" si="12"/>
        <v/>
      </c>
      <c r="L156" s="137"/>
      <c r="P156" s="147">
        <f>$X$24</f>
        <v>2.6</v>
      </c>
      <c r="Q156" s="148" t="e">
        <f>IF(AND(G54&lt;&gt;"",$Y$5,$Y$2),G54,NA())</f>
        <v>#N/A</v>
      </c>
      <c r="R156" s="137"/>
      <c r="U156" s="1">
        <v>3.9</v>
      </c>
      <c r="V156" s="1" t="e">
        <f t="shared" si="13"/>
        <v>#N/A</v>
      </c>
    </row>
    <row r="157" spans="5:22" ht="11.25" customHeight="1" x14ac:dyDescent="0.2">
      <c r="E157" s="117">
        <v>150</v>
      </c>
      <c r="F157" s="753"/>
      <c r="G157" s="754"/>
      <c r="H157" s="732"/>
      <c r="I157" s="731" t="str">
        <f t="shared" si="14"/>
        <v/>
      </c>
      <c r="K157" s="241" t="str">
        <f t="shared" si="12"/>
        <v/>
      </c>
      <c r="L157" s="137"/>
      <c r="P157" s="259">
        <f>$X$23</f>
        <v>1.4</v>
      </c>
      <c r="Q157" s="288" t="e">
        <f>IF(AND(F55&lt;&gt;"",$Y$5,$Y$2),F55,NA())</f>
        <v>#N/A</v>
      </c>
      <c r="R157" s="137"/>
      <c r="U157" s="1">
        <v>3.9</v>
      </c>
      <c r="V157" s="1" t="e">
        <f t="shared" si="13"/>
        <v>#N/A</v>
      </c>
    </row>
    <row r="158" spans="5:22" ht="11.25" customHeight="1" x14ac:dyDescent="0.2">
      <c r="E158" s="117">
        <v>151</v>
      </c>
      <c r="F158" s="753"/>
      <c r="G158" s="754"/>
      <c r="H158" s="732"/>
      <c r="I158" s="731" t="str">
        <f t="shared" si="14"/>
        <v/>
      </c>
      <c r="K158" s="241" t="str">
        <f t="shared" si="12"/>
        <v/>
      </c>
      <c r="L158" s="137"/>
      <c r="P158" s="147">
        <f>$X$24</f>
        <v>2.6</v>
      </c>
      <c r="Q158" s="148" t="e">
        <f>IF(AND(G55&lt;&gt;"",$Y$5,$Y$2),G55,NA())</f>
        <v>#N/A</v>
      </c>
      <c r="R158" s="137"/>
      <c r="U158" s="1">
        <v>3.9</v>
      </c>
      <c r="V158" s="1" t="e">
        <f t="shared" si="13"/>
        <v>#N/A</v>
      </c>
    </row>
    <row r="159" spans="5:22" ht="11.25" customHeight="1" x14ac:dyDescent="0.2">
      <c r="E159" s="117">
        <v>152</v>
      </c>
      <c r="F159" s="753"/>
      <c r="G159" s="754"/>
      <c r="H159" s="732"/>
      <c r="I159" s="731" t="str">
        <f t="shared" si="14"/>
        <v/>
      </c>
      <c r="K159" s="241" t="str">
        <f t="shared" si="12"/>
        <v/>
      </c>
      <c r="L159" s="137"/>
      <c r="P159" s="259">
        <f>$X$23</f>
        <v>1.4</v>
      </c>
      <c r="Q159" s="288" t="e">
        <f>IF(AND(F56&lt;&gt;"",$Y$5,$Y$2),F56,NA())</f>
        <v>#N/A</v>
      </c>
      <c r="R159" s="137"/>
      <c r="U159" s="1">
        <v>3.9</v>
      </c>
      <c r="V159" s="1" t="e">
        <f t="shared" si="13"/>
        <v>#N/A</v>
      </c>
    </row>
    <row r="160" spans="5:22" ht="11.25" customHeight="1" x14ac:dyDescent="0.2">
      <c r="E160" s="117">
        <v>153</v>
      </c>
      <c r="F160" s="753"/>
      <c r="G160" s="754"/>
      <c r="H160" s="732"/>
      <c r="I160" s="731" t="str">
        <f t="shared" si="14"/>
        <v/>
      </c>
      <c r="K160" s="241" t="str">
        <f t="shared" si="12"/>
        <v/>
      </c>
      <c r="L160" s="137"/>
      <c r="P160" s="147">
        <f>$X$24</f>
        <v>2.6</v>
      </c>
      <c r="Q160" s="148" t="e">
        <f>IF(AND(G56&lt;&gt;"",$Y$5,$Y$2),G56,NA())</f>
        <v>#N/A</v>
      </c>
      <c r="R160" s="137"/>
      <c r="U160" s="1">
        <v>3.9</v>
      </c>
      <c r="V160" s="1" t="e">
        <f t="shared" si="13"/>
        <v>#N/A</v>
      </c>
    </row>
    <row r="161" spans="5:22" ht="11.25" customHeight="1" x14ac:dyDescent="0.2">
      <c r="E161" s="117">
        <v>154</v>
      </c>
      <c r="F161" s="753"/>
      <c r="G161" s="754"/>
      <c r="H161" s="732"/>
      <c r="I161" s="731" t="str">
        <f t="shared" si="14"/>
        <v/>
      </c>
      <c r="K161" s="241" t="str">
        <f t="shared" si="12"/>
        <v/>
      </c>
      <c r="L161" s="137"/>
      <c r="P161" s="259">
        <f>$X$23</f>
        <v>1.4</v>
      </c>
      <c r="Q161" s="288" t="e">
        <f>IF(AND(F57&lt;&gt;"",$Y$5,$Y$2),F57,NA())</f>
        <v>#N/A</v>
      </c>
      <c r="R161" s="137"/>
      <c r="U161" s="1">
        <v>3.9</v>
      </c>
      <c r="V161" s="1" t="e">
        <f>IF(AND(I104&lt;&gt;"",$Y$6,$Y$2),$M$29+I104,NA())</f>
        <v>#N/A</v>
      </c>
    </row>
    <row r="162" spans="5:22" ht="11.25" customHeight="1" x14ac:dyDescent="0.2">
      <c r="E162" s="117">
        <v>155</v>
      </c>
      <c r="F162" s="753"/>
      <c r="G162" s="754"/>
      <c r="H162" s="732"/>
      <c r="I162" s="731" t="str">
        <f t="shared" si="14"/>
        <v/>
      </c>
      <c r="K162" s="241" t="str">
        <f t="shared" si="12"/>
        <v/>
      </c>
      <c r="L162" s="137"/>
      <c r="P162" s="147">
        <f>$X$24</f>
        <v>2.6</v>
      </c>
      <c r="Q162" s="148" t="e">
        <f>IF(AND(G57&lt;&gt;"",$Y$5,$Y$2),G57,NA())</f>
        <v>#N/A</v>
      </c>
      <c r="R162" s="137"/>
      <c r="U162" s="1">
        <v>3.9</v>
      </c>
      <c r="V162" s="1" t="e">
        <f>IF(AND(I105&lt;&gt;"",$Y$6,$Y$2),$M$29+I105,NA())</f>
        <v>#N/A</v>
      </c>
    </row>
    <row r="163" spans="5:22" ht="11.25" customHeight="1" x14ac:dyDescent="0.2">
      <c r="E163" s="117">
        <v>156</v>
      </c>
      <c r="F163" s="753"/>
      <c r="G163" s="754"/>
      <c r="H163" s="732"/>
      <c r="I163" s="731" t="str">
        <f t="shared" si="14"/>
        <v/>
      </c>
      <c r="K163" s="241" t="str">
        <f t="shared" si="12"/>
        <v/>
      </c>
      <c r="L163" s="137"/>
      <c r="P163" s="259">
        <f>$X$23</f>
        <v>1.4</v>
      </c>
      <c r="Q163" s="288" t="e">
        <f>IF(AND(F58&lt;&gt;"",$Y$5,$Y$2),F58,NA())</f>
        <v>#N/A</v>
      </c>
      <c r="R163" s="137"/>
      <c r="U163" s="1">
        <v>3.9</v>
      </c>
      <c r="V163" s="1" t="e">
        <f>IF(AND(I106&lt;&gt;"",$Y$6,$Y$2),$M$29+I106,NA())</f>
        <v>#N/A</v>
      </c>
    </row>
    <row r="164" spans="5:22" ht="11.25" customHeight="1" x14ac:dyDescent="0.2">
      <c r="E164" s="117">
        <v>157</v>
      </c>
      <c r="F164" s="753"/>
      <c r="G164" s="754"/>
      <c r="H164" s="732"/>
      <c r="I164" s="731" t="str">
        <f t="shared" si="14"/>
        <v/>
      </c>
      <c r="K164" s="241" t="str">
        <f t="shared" si="12"/>
        <v/>
      </c>
      <c r="L164" s="137"/>
      <c r="P164" s="147">
        <f>$X$24</f>
        <v>2.6</v>
      </c>
      <c r="Q164" s="148" t="e">
        <f>IF(AND(G58&lt;&gt;"",$Y$5,$Y$2),G58,NA())</f>
        <v>#N/A</v>
      </c>
      <c r="R164" s="137"/>
      <c r="U164" s="1">
        <v>3.9</v>
      </c>
      <c r="V164" s="1" t="e">
        <f>IF(AND(I107&lt;&gt;"",$Y$6,$Y$2),$M$29+I107,NA())</f>
        <v>#N/A</v>
      </c>
    </row>
    <row r="165" spans="5:22" ht="11.25" customHeight="1" x14ac:dyDescent="0.2">
      <c r="E165" s="117">
        <v>158</v>
      </c>
      <c r="F165" s="753"/>
      <c r="G165" s="754"/>
      <c r="H165" s="732"/>
      <c r="I165" s="731" t="str">
        <f t="shared" si="14"/>
        <v/>
      </c>
      <c r="K165" s="241" t="str">
        <f t="shared" si="12"/>
        <v/>
      </c>
      <c r="L165" s="137"/>
      <c r="P165" s="259">
        <f>$X$23</f>
        <v>1.4</v>
      </c>
      <c r="Q165" s="288" t="e">
        <f>IF(AND(F59&lt;&gt;"",$Y$5,$Y$2),F59,NA())</f>
        <v>#N/A</v>
      </c>
      <c r="R165" s="137"/>
    </row>
    <row r="166" spans="5:22" ht="11.25" customHeight="1" x14ac:dyDescent="0.2">
      <c r="E166" s="117">
        <v>159</v>
      </c>
      <c r="F166" s="753"/>
      <c r="G166" s="754"/>
      <c r="H166" s="732"/>
      <c r="I166" s="731" t="str">
        <f t="shared" si="14"/>
        <v/>
      </c>
      <c r="K166" s="241" t="str">
        <f t="shared" si="12"/>
        <v/>
      </c>
      <c r="L166" s="137"/>
      <c r="P166" s="147">
        <f>$X$24</f>
        <v>2.6</v>
      </c>
      <c r="Q166" s="148" t="e">
        <f>IF(AND(G59&lt;&gt;"",$Y$5,$Y$2),G59,NA())</f>
        <v>#N/A</v>
      </c>
      <c r="R166" s="137"/>
    </row>
    <row r="167" spans="5:22" ht="11.25" customHeight="1" x14ac:dyDescent="0.2">
      <c r="E167" s="117">
        <v>160</v>
      </c>
      <c r="F167" s="753"/>
      <c r="G167" s="754"/>
      <c r="H167" s="732"/>
      <c r="I167" s="731" t="str">
        <f t="shared" si="14"/>
        <v/>
      </c>
      <c r="K167" s="241" t="str">
        <f t="shared" si="12"/>
        <v/>
      </c>
      <c r="L167" s="137"/>
      <c r="P167" s="259">
        <f>$X$23</f>
        <v>1.4</v>
      </c>
      <c r="Q167" s="288" t="e">
        <f>IF(AND(F60&lt;&gt;"",$Y$5,$Y$2),F60,NA())</f>
        <v>#N/A</v>
      </c>
      <c r="R167" s="137"/>
    </row>
    <row r="168" spans="5:22" ht="11.25" customHeight="1" x14ac:dyDescent="0.2">
      <c r="E168" s="117">
        <v>161</v>
      </c>
      <c r="F168" s="753"/>
      <c r="G168" s="754"/>
      <c r="H168" s="732"/>
      <c r="I168" s="731" t="str">
        <f t="shared" si="14"/>
        <v/>
      </c>
      <c r="K168" s="241" t="str">
        <f t="shared" si="12"/>
        <v/>
      </c>
      <c r="L168" s="137"/>
      <c r="P168" s="147">
        <f>$X$24</f>
        <v>2.6</v>
      </c>
      <c r="Q168" s="148" t="e">
        <f>IF(AND(G60&lt;&gt;"",$Y$5,$Y$2),G60,NA())</f>
        <v>#N/A</v>
      </c>
      <c r="R168" s="137"/>
    </row>
    <row r="169" spans="5:22" ht="11.25" customHeight="1" x14ac:dyDescent="0.2">
      <c r="E169" s="117">
        <v>162</v>
      </c>
      <c r="F169" s="753"/>
      <c r="G169" s="754"/>
      <c r="H169" s="732"/>
      <c r="I169" s="731" t="str">
        <f t="shared" si="14"/>
        <v/>
      </c>
      <c r="K169" s="241" t="str">
        <f t="shared" si="12"/>
        <v/>
      </c>
      <c r="L169" s="137"/>
      <c r="P169" s="259">
        <f>$X$23</f>
        <v>1.4</v>
      </c>
      <c r="Q169" s="288" t="e">
        <f>IF(AND(F61&lt;&gt;"",$Y$5,$Y$2),F61,NA())</f>
        <v>#N/A</v>
      </c>
      <c r="R169" s="137"/>
    </row>
    <row r="170" spans="5:22" ht="11.25" customHeight="1" x14ac:dyDescent="0.2">
      <c r="E170" s="117">
        <v>163</v>
      </c>
      <c r="F170" s="753"/>
      <c r="G170" s="754"/>
      <c r="H170" s="732"/>
      <c r="I170" s="731" t="str">
        <f t="shared" si="14"/>
        <v/>
      </c>
      <c r="K170" s="241" t="str">
        <f t="shared" si="12"/>
        <v/>
      </c>
      <c r="L170" s="137"/>
      <c r="P170" s="147">
        <f>$X$24</f>
        <v>2.6</v>
      </c>
      <c r="Q170" s="148" t="e">
        <f>IF(AND(G61&lt;&gt;"",$Y$5,$Y$2),G61,NA())</f>
        <v>#N/A</v>
      </c>
      <c r="R170" s="137"/>
    </row>
    <row r="171" spans="5:22" ht="11.25" customHeight="1" x14ac:dyDescent="0.2">
      <c r="E171" s="117">
        <v>164</v>
      </c>
      <c r="F171" s="753"/>
      <c r="G171" s="754"/>
      <c r="H171" s="732"/>
      <c r="I171" s="731" t="str">
        <f t="shared" si="14"/>
        <v/>
      </c>
      <c r="K171" s="241" t="str">
        <f t="shared" si="12"/>
        <v/>
      </c>
      <c r="L171" s="137"/>
      <c r="P171" s="259">
        <f>$X$23</f>
        <v>1.4</v>
      </c>
      <c r="Q171" s="288" t="e">
        <f>IF(AND(F62&lt;&gt;"",$Y$5,$Y$2),F62,NA())</f>
        <v>#N/A</v>
      </c>
      <c r="R171" s="137"/>
    </row>
    <row r="172" spans="5:22" ht="11.25" customHeight="1" x14ac:dyDescent="0.2">
      <c r="E172" s="117">
        <v>165</v>
      </c>
      <c r="F172" s="753"/>
      <c r="G172" s="754"/>
      <c r="H172" s="732"/>
      <c r="I172" s="731" t="str">
        <f t="shared" si="14"/>
        <v/>
      </c>
      <c r="K172" s="241" t="str">
        <f t="shared" si="12"/>
        <v/>
      </c>
      <c r="L172" s="137"/>
      <c r="P172" s="147">
        <f>$X$24</f>
        <v>2.6</v>
      </c>
      <c r="Q172" s="148" t="e">
        <f>IF(AND(G62&lt;&gt;"",$Y$5,$Y$2),G62,NA())</f>
        <v>#N/A</v>
      </c>
      <c r="R172" s="137"/>
    </row>
    <row r="173" spans="5:22" ht="11.25" customHeight="1" x14ac:dyDescent="0.2">
      <c r="E173" s="117">
        <v>166</v>
      </c>
      <c r="F173" s="753"/>
      <c r="G173" s="754"/>
      <c r="H173" s="732"/>
      <c r="I173" s="731" t="str">
        <f t="shared" si="14"/>
        <v/>
      </c>
      <c r="K173" s="241" t="str">
        <f t="shared" si="12"/>
        <v/>
      </c>
      <c r="L173" s="137"/>
      <c r="P173" s="259">
        <f>$X$23</f>
        <v>1.4</v>
      </c>
      <c r="Q173" s="288" t="e">
        <f>IF(AND(F63&lt;&gt;"",$Y$5,$Y$2),F63,NA())</f>
        <v>#N/A</v>
      </c>
      <c r="R173" s="137"/>
    </row>
    <row r="174" spans="5:22" ht="11.25" customHeight="1" x14ac:dyDescent="0.2">
      <c r="E174" s="117">
        <v>167</v>
      </c>
      <c r="F174" s="753"/>
      <c r="G174" s="754"/>
      <c r="H174" s="732"/>
      <c r="I174" s="731" t="str">
        <f t="shared" si="14"/>
        <v/>
      </c>
      <c r="K174" s="241" t="str">
        <f t="shared" si="12"/>
        <v/>
      </c>
      <c r="L174" s="137"/>
      <c r="P174" s="147">
        <f>$X$24</f>
        <v>2.6</v>
      </c>
      <c r="Q174" s="148" t="e">
        <f>IF(AND(G63&lt;&gt;"",$Y$5,$Y$2),G63,NA())</f>
        <v>#N/A</v>
      </c>
      <c r="R174" s="137"/>
    </row>
    <row r="175" spans="5:22" ht="11.25" customHeight="1" x14ac:dyDescent="0.2">
      <c r="E175" s="117">
        <v>168</v>
      </c>
      <c r="F175" s="753"/>
      <c r="G175" s="754"/>
      <c r="H175" s="732"/>
      <c r="I175" s="731" t="str">
        <f t="shared" si="14"/>
        <v/>
      </c>
      <c r="K175" s="241" t="str">
        <f t="shared" si="12"/>
        <v/>
      </c>
      <c r="L175" s="137"/>
      <c r="P175" s="259">
        <f>$X$23</f>
        <v>1.4</v>
      </c>
      <c r="Q175" s="288" t="e">
        <f>IF(AND(F64&lt;&gt;"",$Y$5,$Y$2),F64,NA())</f>
        <v>#N/A</v>
      </c>
      <c r="R175" s="137"/>
    </row>
    <row r="176" spans="5:22" ht="11.25" customHeight="1" x14ac:dyDescent="0.2">
      <c r="E176" s="117">
        <v>169</v>
      </c>
      <c r="F176" s="753"/>
      <c r="G176" s="754"/>
      <c r="H176" s="732"/>
      <c r="I176" s="731" t="str">
        <f t="shared" si="14"/>
        <v/>
      </c>
      <c r="K176" s="241" t="str">
        <f t="shared" si="12"/>
        <v/>
      </c>
      <c r="L176" s="137"/>
      <c r="P176" s="147">
        <f>$X$24</f>
        <v>2.6</v>
      </c>
      <c r="Q176" s="148" t="e">
        <f>IF(AND(G64&lt;&gt;"",$Y$5,$Y$2),G64,NA())</f>
        <v>#N/A</v>
      </c>
      <c r="R176" s="137"/>
    </row>
    <row r="177" spans="5:18" ht="11.25" customHeight="1" x14ac:dyDescent="0.2">
      <c r="E177" s="117">
        <v>170</v>
      </c>
      <c r="F177" s="753"/>
      <c r="G177" s="754"/>
      <c r="H177" s="732"/>
      <c r="I177" s="731" t="str">
        <f t="shared" si="14"/>
        <v/>
      </c>
      <c r="K177" s="241" t="str">
        <f t="shared" si="12"/>
        <v/>
      </c>
      <c r="L177" s="137"/>
      <c r="P177" s="259">
        <f>$X$23</f>
        <v>1.4</v>
      </c>
      <c r="Q177" s="288" t="e">
        <f>IF(AND(F65&lt;&gt;"",$Y$5,$Y$2),F65,NA())</f>
        <v>#N/A</v>
      </c>
      <c r="R177" s="137"/>
    </row>
    <row r="178" spans="5:18" ht="11.25" customHeight="1" x14ac:dyDescent="0.2">
      <c r="E178" s="117">
        <v>171</v>
      </c>
      <c r="F178" s="753"/>
      <c r="G178" s="754"/>
      <c r="H178" s="732"/>
      <c r="I178" s="731" t="str">
        <f t="shared" si="14"/>
        <v/>
      </c>
      <c r="K178" s="241" t="str">
        <f t="shared" si="12"/>
        <v/>
      </c>
      <c r="L178" s="137"/>
      <c r="P178" s="147">
        <f>$X$24</f>
        <v>2.6</v>
      </c>
      <c r="Q178" s="148" t="e">
        <f>IF(AND(G65&lt;&gt;"",$Y$5,$Y$2),G65,NA())</f>
        <v>#N/A</v>
      </c>
      <c r="R178" s="137"/>
    </row>
    <row r="179" spans="5:18" ht="11.25" customHeight="1" x14ac:dyDescent="0.2">
      <c r="E179" s="117">
        <v>172</v>
      </c>
      <c r="F179" s="753"/>
      <c r="G179" s="754"/>
      <c r="H179" s="732"/>
      <c r="I179" s="731" t="str">
        <f t="shared" si="14"/>
        <v/>
      </c>
      <c r="K179" s="241" t="str">
        <f t="shared" si="12"/>
        <v/>
      </c>
      <c r="L179" s="137"/>
      <c r="P179" s="259">
        <f>$X$23</f>
        <v>1.4</v>
      </c>
      <c r="Q179" s="288" t="e">
        <f>IF(AND(F66&lt;&gt;"",$Y$5,$Y$2),F66,NA())</f>
        <v>#N/A</v>
      </c>
      <c r="R179" s="137"/>
    </row>
    <row r="180" spans="5:18" ht="11.25" customHeight="1" x14ac:dyDescent="0.2">
      <c r="E180" s="117">
        <v>173</v>
      </c>
      <c r="F180" s="753"/>
      <c r="G180" s="754"/>
      <c r="H180" s="732"/>
      <c r="I180" s="731" t="str">
        <f t="shared" si="14"/>
        <v/>
      </c>
      <c r="K180" s="241" t="str">
        <f t="shared" si="12"/>
        <v/>
      </c>
      <c r="L180" s="137"/>
      <c r="P180" s="147">
        <f>$X$24</f>
        <v>2.6</v>
      </c>
      <c r="Q180" s="148" t="e">
        <f>IF(AND(G66&lt;&gt;"",$Y$5,$Y$2),G66,NA())</f>
        <v>#N/A</v>
      </c>
      <c r="R180" s="137"/>
    </row>
    <row r="181" spans="5:18" ht="11.25" customHeight="1" x14ac:dyDescent="0.2">
      <c r="E181" s="117">
        <v>174</v>
      </c>
      <c r="F181" s="753"/>
      <c r="G181" s="754"/>
      <c r="H181" s="732"/>
      <c r="I181" s="731" t="str">
        <f t="shared" si="14"/>
        <v/>
      </c>
      <c r="K181" s="241" t="str">
        <f t="shared" si="12"/>
        <v/>
      </c>
      <c r="L181" s="137"/>
      <c r="P181" s="259">
        <f>$X$23</f>
        <v>1.4</v>
      </c>
      <c r="Q181" s="288" t="e">
        <f>IF(AND(F67&lt;&gt;"",$Y$5,$Y$2),F67,NA())</f>
        <v>#N/A</v>
      </c>
      <c r="R181" s="137"/>
    </row>
    <row r="182" spans="5:18" ht="11.25" customHeight="1" x14ac:dyDescent="0.2">
      <c r="E182" s="117">
        <v>175</v>
      </c>
      <c r="F182" s="753"/>
      <c r="G182" s="754"/>
      <c r="H182" s="732"/>
      <c r="I182" s="731" t="str">
        <f t="shared" si="14"/>
        <v/>
      </c>
      <c r="K182" s="241" t="str">
        <f t="shared" si="12"/>
        <v/>
      </c>
      <c r="L182" s="137"/>
      <c r="P182" s="147">
        <f>$X$24</f>
        <v>2.6</v>
      </c>
      <c r="Q182" s="148" t="e">
        <f>IF(AND(G67&lt;&gt;"",$Y$5,$Y$2),G67,NA())</f>
        <v>#N/A</v>
      </c>
      <c r="R182" s="137"/>
    </row>
    <row r="183" spans="5:18" ht="11.25" customHeight="1" x14ac:dyDescent="0.2">
      <c r="E183" s="117">
        <v>176</v>
      </c>
      <c r="F183" s="753"/>
      <c r="G183" s="754"/>
      <c r="H183" s="732"/>
      <c r="I183" s="731" t="str">
        <f t="shared" si="14"/>
        <v/>
      </c>
      <c r="K183" s="241" t="str">
        <f t="shared" si="12"/>
        <v/>
      </c>
      <c r="L183" s="137"/>
      <c r="P183" s="259">
        <f>$X$23</f>
        <v>1.4</v>
      </c>
      <c r="Q183" s="288" t="e">
        <f>IF(AND(F68&lt;&gt;"",$Y$5,$Y$2),F68,NA())</f>
        <v>#N/A</v>
      </c>
      <c r="R183" s="137"/>
    </row>
    <row r="184" spans="5:18" ht="11.25" customHeight="1" x14ac:dyDescent="0.2">
      <c r="E184" s="117">
        <v>177</v>
      </c>
      <c r="F184" s="753"/>
      <c r="G184" s="754"/>
      <c r="H184" s="732"/>
      <c r="I184" s="731" t="str">
        <f t="shared" si="14"/>
        <v/>
      </c>
      <c r="K184" s="241" t="str">
        <f t="shared" si="12"/>
        <v/>
      </c>
      <c r="L184" s="137"/>
      <c r="P184" s="147">
        <f>$X$24</f>
        <v>2.6</v>
      </c>
      <c r="Q184" s="148" t="e">
        <f>IF(AND(G68&lt;&gt;"",$Y$5,$Y$2),G68,NA())</f>
        <v>#N/A</v>
      </c>
      <c r="R184" s="137"/>
    </row>
    <row r="185" spans="5:18" ht="11.25" customHeight="1" x14ac:dyDescent="0.2">
      <c r="E185" s="117">
        <v>178</v>
      </c>
      <c r="F185" s="753"/>
      <c r="G185" s="754"/>
      <c r="H185" s="732"/>
      <c r="I185" s="731" t="str">
        <f t="shared" si="14"/>
        <v/>
      </c>
      <c r="K185" s="241" t="str">
        <f t="shared" si="12"/>
        <v/>
      </c>
      <c r="L185" s="137"/>
      <c r="P185" s="259">
        <f>$X$23</f>
        <v>1.4</v>
      </c>
      <c r="Q185" s="288" t="e">
        <f>IF(AND(F69&lt;&gt;"",$Y$5,$Y$2),F69,NA())</f>
        <v>#N/A</v>
      </c>
      <c r="R185" s="137"/>
    </row>
    <row r="186" spans="5:18" ht="11.25" customHeight="1" x14ac:dyDescent="0.2">
      <c r="E186" s="117">
        <v>179</v>
      </c>
      <c r="F186" s="753"/>
      <c r="G186" s="754"/>
      <c r="H186" s="732"/>
      <c r="I186" s="731" t="str">
        <f t="shared" si="14"/>
        <v/>
      </c>
      <c r="K186" s="241" t="str">
        <f t="shared" si="12"/>
        <v/>
      </c>
      <c r="L186" s="137"/>
      <c r="P186" s="147">
        <f>$X$24</f>
        <v>2.6</v>
      </c>
      <c r="Q186" s="148" t="e">
        <f>IF(AND(G69&lt;&gt;"",$Y$5,$Y$2),G69,NA())</f>
        <v>#N/A</v>
      </c>
      <c r="R186" s="137"/>
    </row>
    <row r="187" spans="5:18" ht="11.25" customHeight="1" x14ac:dyDescent="0.2">
      <c r="E187" s="117">
        <v>180</v>
      </c>
      <c r="F187" s="753"/>
      <c r="G187" s="754"/>
      <c r="H187" s="732"/>
      <c r="I187" s="731" t="str">
        <f t="shared" si="14"/>
        <v/>
      </c>
      <c r="K187" s="241" t="str">
        <f t="shared" si="12"/>
        <v/>
      </c>
      <c r="L187" s="137"/>
      <c r="P187" s="259">
        <f>$X$23</f>
        <v>1.4</v>
      </c>
      <c r="Q187" s="288" t="e">
        <f>IF(AND(F70&lt;&gt;"",$Y$5,$Y$2),F70,NA())</f>
        <v>#N/A</v>
      </c>
      <c r="R187" s="137"/>
    </row>
    <row r="188" spans="5:18" ht="11.25" customHeight="1" x14ac:dyDescent="0.2">
      <c r="E188" s="117">
        <v>181</v>
      </c>
      <c r="F188" s="753"/>
      <c r="G188" s="754"/>
      <c r="H188" s="732"/>
      <c r="I188" s="731" t="str">
        <f t="shared" si="14"/>
        <v/>
      </c>
      <c r="K188" s="241" t="str">
        <f t="shared" si="12"/>
        <v/>
      </c>
      <c r="L188" s="137"/>
      <c r="P188" s="147">
        <f>$X$24</f>
        <v>2.6</v>
      </c>
      <c r="Q188" s="148" t="e">
        <f>IF(AND(G70&lt;&gt;"",$Y$5,$Y$2),G70,NA())</f>
        <v>#N/A</v>
      </c>
      <c r="R188" s="137"/>
    </row>
    <row r="189" spans="5:18" ht="11.25" customHeight="1" x14ac:dyDescent="0.2">
      <c r="E189" s="117">
        <v>182</v>
      </c>
      <c r="F189" s="753"/>
      <c r="G189" s="754"/>
      <c r="H189" s="732"/>
      <c r="I189" s="731" t="str">
        <f t="shared" si="14"/>
        <v/>
      </c>
      <c r="K189" s="241" t="str">
        <f t="shared" si="12"/>
        <v/>
      </c>
      <c r="L189" s="137"/>
      <c r="P189" s="259">
        <f>$X$23</f>
        <v>1.4</v>
      </c>
      <c r="Q189" s="288" t="e">
        <f>IF(AND(F71&lt;&gt;"",$Y$5,$Y$2),F71,NA())</f>
        <v>#N/A</v>
      </c>
      <c r="R189" s="137"/>
    </row>
    <row r="190" spans="5:18" ht="11.25" customHeight="1" x14ac:dyDescent="0.2">
      <c r="E190" s="117">
        <v>183</v>
      </c>
      <c r="F190" s="753"/>
      <c r="G190" s="754"/>
      <c r="H190" s="732"/>
      <c r="I190" s="731" t="str">
        <f t="shared" si="14"/>
        <v/>
      </c>
      <c r="K190" s="241" t="str">
        <f t="shared" si="12"/>
        <v/>
      </c>
      <c r="L190" s="137"/>
      <c r="P190" s="147">
        <f>$X$24</f>
        <v>2.6</v>
      </c>
      <c r="Q190" s="148" t="e">
        <f>IF(AND(G71&lt;&gt;"",$Y$5,$Y$2),G71,NA())</f>
        <v>#N/A</v>
      </c>
      <c r="R190" s="137"/>
    </row>
    <row r="191" spans="5:18" ht="11.25" customHeight="1" x14ac:dyDescent="0.2">
      <c r="E191" s="117">
        <v>184</v>
      </c>
      <c r="F191" s="753"/>
      <c r="G191" s="754"/>
      <c r="H191" s="732"/>
      <c r="I191" s="731" t="str">
        <f t="shared" si="14"/>
        <v/>
      </c>
      <c r="K191" s="241" t="str">
        <f t="shared" ref="K191:K254" si="15">IF(I136&lt;&gt;"",(F136+G136)/2,"")</f>
        <v/>
      </c>
      <c r="L191" s="137"/>
      <c r="P191" s="259">
        <f>$X$23</f>
        <v>1.4</v>
      </c>
      <c r="Q191" s="288" t="e">
        <f>IF(AND(F72&lt;&gt;"",$Y$5,$Y$2),F72,NA())</f>
        <v>#N/A</v>
      </c>
      <c r="R191" s="137"/>
    </row>
    <row r="192" spans="5:18" ht="11.25" customHeight="1" x14ac:dyDescent="0.2">
      <c r="E192" s="117">
        <v>185</v>
      </c>
      <c r="F192" s="753"/>
      <c r="G192" s="754"/>
      <c r="H192" s="732"/>
      <c r="I192" s="731" t="str">
        <f t="shared" si="14"/>
        <v/>
      </c>
      <c r="K192" s="241" t="str">
        <f t="shared" si="15"/>
        <v/>
      </c>
      <c r="L192" s="137"/>
      <c r="P192" s="147">
        <f>$X$24</f>
        <v>2.6</v>
      </c>
      <c r="Q192" s="148" t="e">
        <f>IF(AND(G72&lt;&gt;"",$Y$5,$Y$2),G72,NA())</f>
        <v>#N/A</v>
      </c>
      <c r="R192" s="137"/>
    </row>
    <row r="193" spans="5:18" ht="11.25" customHeight="1" x14ac:dyDescent="0.2">
      <c r="E193" s="117">
        <v>186</v>
      </c>
      <c r="F193" s="753"/>
      <c r="G193" s="754"/>
      <c r="H193" s="732"/>
      <c r="I193" s="731" t="str">
        <f t="shared" si="14"/>
        <v/>
      </c>
      <c r="K193" s="241" t="str">
        <f t="shared" si="15"/>
        <v/>
      </c>
      <c r="L193" s="137"/>
      <c r="P193" s="259">
        <f>$X$23</f>
        <v>1.4</v>
      </c>
      <c r="Q193" s="288" t="e">
        <f>IF(AND(F73&lt;&gt;"",$Y$5,$Y$2),F73,NA())</f>
        <v>#N/A</v>
      </c>
      <c r="R193" s="137"/>
    </row>
    <row r="194" spans="5:18" ht="11.25" customHeight="1" x14ac:dyDescent="0.2">
      <c r="E194" s="117">
        <v>187</v>
      </c>
      <c r="F194" s="753"/>
      <c r="G194" s="754"/>
      <c r="H194" s="732"/>
      <c r="I194" s="731" t="str">
        <f t="shared" si="14"/>
        <v/>
      </c>
      <c r="K194" s="241" t="str">
        <f t="shared" si="15"/>
        <v/>
      </c>
      <c r="L194" s="137"/>
      <c r="P194" s="147">
        <f>$X$24</f>
        <v>2.6</v>
      </c>
      <c r="Q194" s="148" t="e">
        <f>IF(AND(G73&lt;&gt;"",$Y$5,$Y$2),G73,NA())</f>
        <v>#N/A</v>
      </c>
      <c r="R194" s="137"/>
    </row>
    <row r="195" spans="5:18" ht="11.25" customHeight="1" x14ac:dyDescent="0.2">
      <c r="E195" s="117">
        <v>188</v>
      </c>
      <c r="F195" s="753"/>
      <c r="G195" s="754"/>
      <c r="H195" s="732"/>
      <c r="I195" s="731" t="str">
        <f t="shared" si="14"/>
        <v/>
      </c>
      <c r="K195" s="241" t="str">
        <f t="shared" si="15"/>
        <v/>
      </c>
      <c r="L195" s="137"/>
      <c r="P195" s="259">
        <f>$X$23</f>
        <v>1.4</v>
      </c>
      <c r="Q195" s="288" t="e">
        <f>IF(AND(F74&lt;&gt;"",$Y$5,$Y$2),F74,NA())</f>
        <v>#N/A</v>
      </c>
      <c r="R195" s="137"/>
    </row>
    <row r="196" spans="5:18" ht="11.25" customHeight="1" x14ac:dyDescent="0.2">
      <c r="E196" s="117">
        <v>189</v>
      </c>
      <c r="F196" s="753"/>
      <c r="G196" s="754"/>
      <c r="H196" s="732"/>
      <c r="I196" s="731" t="str">
        <f t="shared" si="14"/>
        <v/>
      </c>
      <c r="K196" s="241" t="str">
        <f t="shared" si="15"/>
        <v/>
      </c>
      <c r="L196" s="137"/>
      <c r="P196" s="147">
        <f>$X$24</f>
        <v>2.6</v>
      </c>
      <c r="Q196" s="148" t="e">
        <f>IF(AND(G74&lt;&gt;"",$Y$5,$Y$2),G74,NA())</f>
        <v>#N/A</v>
      </c>
      <c r="R196" s="137"/>
    </row>
    <row r="197" spans="5:18" ht="11.25" customHeight="1" x14ac:dyDescent="0.2">
      <c r="E197" s="117">
        <v>190</v>
      </c>
      <c r="F197" s="753"/>
      <c r="G197" s="754"/>
      <c r="H197" s="732"/>
      <c r="I197" s="731" t="str">
        <f t="shared" si="14"/>
        <v/>
      </c>
      <c r="K197" s="241" t="str">
        <f t="shared" si="15"/>
        <v/>
      </c>
      <c r="L197" s="137"/>
      <c r="P197" s="259">
        <f>$X$23</f>
        <v>1.4</v>
      </c>
      <c r="Q197" s="288" t="e">
        <f>IF(AND(F75&lt;&gt;"",$Y$5,$Y$2),F75,NA())</f>
        <v>#N/A</v>
      </c>
      <c r="R197" s="137"/>
    </row>
    <row r="198" spans="5:18" ht="11.25" customHeight="1" x14ac:dyDescent="0.2">
      <c r="E198" s="117">
        <v>191</v>
      </c>
      <c r="F198" s="753"/>
      <c r="G198" s="754"/>
      <c r="H198" s="732"/>
      <c r="I198" s="731" t="str">
        <f t="shared" si="14"/>
        <v/>
      </c>
      <c r="K198" s="241" t="str">
        <f t="shared" si="15"/>
        <v/>
      </c>
      <c r="L198" s="137"/>
      <c r="P198" s="147">
        <f>$X$24</f>
        <v>2.6</v>
      </c>
      <c r="Q198" s="148" t="e">
        <f>IF(AND(G75&lt;&gt;"",$Y$5,$Y$2),G75,NA())</f>
        <v>#N/A</v>
      </c>
      <c r="R198" s="137"/>
    </row>
    <row r="199" spans="5:18" ht="11.25" customHeight="1" x14ac:dyDescent="0.2">
      <c r="E199" s="117">
        <v>192</v>
      </c>
      <c r="F199" s="753"/>
      <c r="G199" s="754"/>
      <c r="H199" s="732"/>
      <c r="I199" s="731" t="str">
        <f t="shared" si="14"/>
        <v/>
      </c>
      <c r="K199" s="241" t="str">
        <f t="shared" si="15"/>
        <v/>
      </c>
      <c r="L199" s="137"/>
      <c r="P199" s="259">
        <f>$X$23</f>
        <v>1.4</v>
      </c>
      <c r="Q199" s="288" t="e">
        <f>IF(AND(F76&lt;&gt;"",$Y$5,$Y$2),F76,NA())</f>
        <v>#N/A</v>
      </c>
      <c r="R199" s="137"/>
    </row>
    <row r="200" spans="5:18" ht="11.25" customHeight="1" x14ac:dyDescent="0.2">
      <c r="E200" s="117">
        <v>193</v>
      </c>
      <c r="F200" s="753"/>
      <c r="G200" s="754"/>
      <c r="H200" s="732"/>
      <c r="I200" s="731" t="str">
        <f t="shared" ref="I200:I263" si="16">IF(AND(F200&lt;&gt;"",G200&lt;&gt;""),G200-F200,"")</f>
        <v/>
      </c>
      <c r="K200" s="241" t="str">
        <f t="shared" si="15"/>
        <v/>
      </c>
      <c r="L200" s="137"/>
      <c r="P200" s="147">
        <f>$X$24</f>
        <v>2.6</v>
      </c>
      <c r="Q200" s="148" t="e">
        <f>IF(AND(G76&lt;&gt;"",$Y$5,$Y$2),G76,NA())</f>
        <v>#N/A</v>
      </c>
      <c r="R200" s="137"/>
    </row>
    <row r="201" spans="5:18" ht="11.25" customHeight="1" x14ac:dyDescent="0.2">
      <c r="E201" s="117">
        <v>194</v>
      </c>
      <c r="F201" s="753"/>
      <c r="G201" s="754"/>
      <c r="H201" s="732"/>
      <c r="I201" s="731" t="str">
        <f t="shared" si="16"/>
        <v/>
      </c>
      <c r="K201" s="241" t="str">
        <f t="shared" si="15"/>
        <v/>
      </c>
      <c r="L201" s="137"/>
      <c r="P201" s="259">
        <f>$X$23</f>
        <v>1.4</v>
      </c>
      <c r="Q201" s="288" t="e">
        <f>IF(AND(F77&lt;&gt;"",$Y$5,$Y$2),F77,NA())</f>
        <v>#N/A</v>
      </c>
      <c r="R201" s="137"/>
    </row>
    <row r="202" spans="5:18" ht="11.25" customHeight="1" x14ac:dyDescent="0.2">
      <c r="E202" s="117">
        <v>195</v>
      </c>
      <c r="F202" s="753"/>
      <c r="G202" s="754"/>
      <c r="H202" s="732"/>
      <c r="I202" s="731" t="str">
        <f t="shared" si="16"/>
        <v/>
      </c>
      <c r="K202" s="241" t="str">
        <f t="shared" si="15"/>
        <v/>
      </c>
      <c r="L202" s="137"/>
      <c r="P202" s="147">
        <f>$X$24</f>
        <v>2.6</v>
      </c>
      <c r="Q202" s="148" t="e">
        <f>IF(AND(G77&lt;&gt;"",$Y$5,$Y$2),G77,NA())</f>
        <v>#N/A</v>
      </c>
      <c r="R202" s="137"/>
    </row>
    <row r="203" spans="5:18" ht="11.25" customHeight="1" x14ac:dyDescent="0.2">
      <c r="E203" s="117">
        <v>196</v>
      </c>
      <c r="F203" s="753"/>
      <c r="G203" s="754"/>
      <c r="H203" s="732"/>
      <c r="I203" s="731" t="str">
        <f t="shared" si="16"/>
        <v/>
      </c>
      <c r="K203" s="241" t="str">
        <f t="shared" si="15"/>
        <v/>
      </c>
      <c r="L203" s="137"/>
      <c r="P203" s="259">
        <f>$X$23</f>
        <v>1.4</v>
      </c>
      <c r="Q203" s="288" t="e">
        <f>IF(AND(F78&lt;&gt;"",$Y$5,$Y$2),F78,NA())</f>
        <v>#N/A</v>
      </c>
      <c r="R203" s="137"/>
    </row>
    <row r="204" spans="5:18" ht="11.25" customHeight="1" x14ac:dyDescent="0.2">
      <c r="E204" s="117">
        <v>197</v>
      </c>
      <c r="F204" s="753"/>
      <c r="G204" s="754"/>
      <c r="H204" s="732"/>
      <c r="I204" s="731" t="str">
        <f t="shared" si="16"/>
        <v/>
      </c>
      <c r="K204" s="241" t="str">
        <f t="shared" si="15"/>
        <v/>
      </c>
      <c r="L204" s="137"/>
      <c r="P204" s="147">
        <f>$X$24</f>
        <v>2.6</v>
      </c>
      <c r="Q204" s="148" t="e">
        <f>IF(AND(G78&lt;&gt;"",$Y$5,$Y$2),G78,NA())</f>
        <v>#N/A</v>
      </c>
      <c r="R204" s="137"/>
    </row>
    <row r="205" spans="5:18" ht="11.25" customHeight="1" x14ac:dyDescent="0.2">
      <c r="E205" s="117">
        <v>198</v>
      </c>
      <c r="F205" s="753"/>
      <c r="G205" s="754"/>
      <c r="H205" s="732"/>
      <c r="I205" s="731" t="str">
        <f t="shared" si="16"/>
        <v/>
      </c>
      <c r="K205" s="241" t="str">
        <f t="shared" si="15"/>
        <v/>
      </c>
      <c r="L205" s="137"/>
      <c r="P205" s="259">
        <f>$X$23</f>
        <v>1.4</v>
      </c>
      <c r="Q205" s="288" t="e">
        <f>IF(AND(F79&lt;&gt;"",$Y$5,$Y$2),F79,NA())</f>
        <v>#N/A</v>
      </c>
      <c r="R205" s="137"/>
    </row>
    <row r="206" spans="5:18" ht="11.25" customHeight="1" x14ac:dyDescent="0.2">
      <c r="E206" s="117">
        <v>199</v>
      </c>
      <c r="F206" s="753"/>
      <c r="G206" s="754"/>
      <c r="H206" s="732"/>
      <c r="I206" s="731" t="str">
        <f t="shared" si="16"/>
        <v/>
      </c>
      <c r="K206" s="241" t="str">
        <f t="shared" si="15"/>
        <v/>
      </c>
      <c r="L206" s="137"/>
      <c r="P206" s="147">
        <f>$X$24</f>
        <v>2.6</v>
      </c>
      <c r="Q206" s="148" t="e">
        <f>IF(AND(G79&lt;&gt;"",$Y$5,$Y$2),G79,NA())</f>
        <v>#N/A</v>
      </c>
      <c r="R206" s="137"/>
    </row>
    <row r="207" spans="5:18" ht="11.25" customHeight="1" x14ac:dyDescent="0.2">
      <c r="E207" s="117">
        <v>200</v>
      </c>
      <c r="F207" s="753"/>
      <c r="G207" s="754"/>
      <c r="H207" s="732"/>
      <c r="I207" s="731" t="str">
        <f t="shared" si="16"/>
        <v/>
      </c>
      <c r="K207" s="241" t="str">
        <f t="shared" si="15"/>
        <v/>
      </c>
      <c r="L207" s="137"/>
      <c r="P207" s="259">
        <f>$X$23</f>
        <v>1.4</v>
      </c>
      <c r="Q207" s="288" t="e">
        <f>IF(AND(F80&lt;&gt;"",$Y$5,$Y$2),F80,NA())</f>
        <v>#N/A</v>
      </c>
      <c r="R207" s="137"/>
    </row>
    <row r="208" spans="5:18" ht="11.25" customHeight="1" x14ac:dyDescent="0.2">
      <c r="E208" s="117">
        <v>201</v>
      </c>
      <c r="F208" s="753"/>
      <c r="G208" s="754"/>
      <c r="H208" s="732"/>
      <c r="I208" s="731" t="str">
        <f t="shared" si="16"/>
        <v/>
      </c>
      <c r="K208" s="241" t="str">
        <f t="shared" si="15"/>
        <v/>
      </c>
      <c r="L208" s="137"/>
      <c r="P208" s="147">
        <f>$X$24</f>
        <v>2.6</v>
      </c>
      <c r="Q208" s="148" t="e">
        <f>IF(AND(G80&lt;&gt;"",$Y$5,$Y$2),G80,NA())</f>
        <v>#N/A</v>
      </c>
      <c r="R208" s="137"/>
    </row>
    <row r="209" spans="5:18" ht="11.25" customHeight="1" x14ac:dyDescent="0.2">
      <c r="E209" s="117">
        <v>202</v>
      </c>
      <c r="F209" s="753"/>
      <c r="G209" s="754"/>
      <c r="H209" s="732"/>
      <c r="I209" s="731" t="str">
        <f t="shared" si="16"/>
        <v/>
      </c>
      <c r="K209" s="241" t="str">
        <f t="shared" si="15"/>
        <v/>
      </c>
      <c r="L209" s="137"/>
      <c r="P209" s="259">
        <f>$X$23</f>
        <v>1.4</v>
      </c>
      <c r="Q209" s="288" t="e">
        <f>IF(AND(F81&lt;&gt;"",$Y$5,$Y$2),F81,NA())</f>
        <v>#N/A</v>
      </c>
      <c r="R209" s="137"/>
    </row>
    <row r="210" spans="5:18" ht="11.25" customHeight="1" x14ac:dyDescent="0.2">
      <c r="E210" s="117">
        <v>203</v>
      </c>
      <c r="F210" s="753"/>
      <c r="G210" s="754"/>
      <c r="H210" s="732"/>
      <c r="I210" s="731" t="str">
        <f t="shared" si="16"/>
        <v/>
      </c>
      <c r="K210" s="241" t="str">
        <f t="shared" si="15"/>
        <v/>
      </c>
      <c r="L210" s="137"/>
      <c r="P210" s="147">
        <f>$X$24</f>
        <v>2.6</v>
      </c>
      <c r="Q210" s="148" t="e">
        <f>IF(AND(G81&lt;&gt;"",$Y$5,$Y$2),G81,NA())</f>
        <v>#N/A</v>
      </c>
      <c r="R210" s="137"/>
    </row>
    <row r="211" spans="5:18" ht="11.25" customHeight="1" x14ac:dyDescent="0.2">
      <c r="E211" s="117">
        <v>204</v>
      </c>
      <c r="F211" s="753"/>
      <c r="G211" s="754"/>
      <c r="H211" s="732"/>
      <c r="I211" s="731" t="str">
        <f t="shared" si="16"/>
        <v/>
      </c>
      <c r="K211" s="241" t="str">
        <f t="shared" si="15"/>
        <v/>
      </c>
      <c r="L211" s="137"/>
      <c r="P211" s="259">
        <f>$X$23</f>
        <v>1.4</v>
      </c>
      <c r="Q211" s="288" t="e">
        <f>IF(AND(F82&lt;&gt;"",$Y$5,$Y$2),F82,NA())</f>
        <v>#N/A</v>
      </c>
      <c r="R211" s="137"/>
    </row>
    <row r="212" spans="5:18" ht="11.25" customHeight="1" x14ac:dyDescent="0.2">
      <c r="E212" s="117">
        <v>205</v>
      </c>
      <c r="F212" s="753"/>
      <c r="G212" s="754"/>
      <c r="H212" s="732"/>
      <c r="I212" s="731" t="str">
        <f t="shared" si="16"/>
        <v/>
      </c>
      <c r="K212" s="241" t="str">
        <f t="shared" si="15"/>
        <v/>
      </c>
      <c r="L212" s="137"/>
      <c r="P212" s="147">
        <f>$X$24</f>
        <v>2.6</v>
      </c>
      <c r="Q212" s="148" t="e">
        <f>IF(AND(G82&lt;&gt;"",$Y$5,$Y$2),G82,NA())</f>
        <v>#N/A</v>
      </c>
      <c r="R212" s="137"/>
    </row>
    <row r="213" spans="5:18" ht="11.25" customHeight="1" x14ac:dyDescent="0.2">
      <c r="E213" s="117">
        <v>206</v>
      </c>
      <c r="F213" s="753"/>
      <c r="G213" s="754"/>
      <c r="H213" s="732"/>
      <c r="I213" s="731" t="str">
        <f t="shared" si="16"/>
        <v/>
      </c>
      <c r="K213" s="241" t="str">
        <f t="shared" si="15"/>
        <v/>
      </c>
      <c r="L213" s="137"/>
      <c r="P213" s="259">
        <f>$X$23</f>
        <v>1.4</v>
      </c>
      <c r="Q213" s="288" t="e">
        <f>IF(AND(F83&lt;&gt;"",$Y$5,$Y$2),F83,NA())</f>
        <v>#N/A</v>
      </c>
      <c r="R213" s="137"/>
    </row>
    <row r="214" spans="5:18" ht="11.25" customHeight="1" x14ac:dyDescent="0.2">
      <c r="E214" s="117">
        <v>207</v>
      </c>
      <c r="F214" s="753"/>
      <c r="G214" s="754"/>
      <c r="H214" s="732"/>
      <c r="I214" s="731" t="str">
        <f t="shared" si="16"/>
        <v/>
      </c>
      <c r="K214" s="241" t="str">
        <f t="shared" si="15"/>
        <v/>
      </c>
      <c r="L214" s="137"/>
      <c r="P214" s="147">
        <f>$X$24</f>
        <v>2.6</v>
      </c>
      <c r="Q214" s="148" t="e">
        <f>IF(AND(G83&lt;&gt;"",$Y$5,$Y$2),G83,NA())</f>
        <v>#N/A</v>
      </c>
      <c r="R214" s="137"/>
    </row>
    <row r="215" spans="5:18" ht="11.25" customHeight="1" x14ac:dyDescent="0.2">
      <c r="E215" s="117">
        <v>208</v>
      </c>
      <c r="F215" s="753"/>
      <c r="G215" s="754"/>
      <c r="H215" s="732"/>
      <c r="I215" s="731" t="str">
        <f t="shared" si="16"/>
        <v/>
      </c>
      <c r="K215" s="241" t="str">
        <f t="shared" si="15"/>
        <v/>
      </c>
      <c r="L215" s="137"/>
      <c r="P215" s="259">
        <f>$X$23</f>
        <v>1.4</v>
      </c>
      <c r="Q215" s="288" t="e">
        <f>IF(AND(F84&lt;&gt;"",$Y$5,$Y$2),F84,NA())</f>
        <v>#N/A</v>
      </c>
      <c r="R215" s="137"/>
    </row>
    <row r="216" spans="5:18" ht="11.25" customHeight="1" x14ac:dyDescent="0.2">
      <c r="E216" s="117">
        <v>209</v>
      </c>
      <c r="F216" s="753"/>
      <c r="G216" s="754"/>
      <c r="H216" s="732"/>
      <c r="I216" s="731" t="str">
        <f t="shared" si="16"/>
        <v/>
      </c>
      <c r="K216" s="241" t="str">
        <f t="shared" si="15"/>
        <v/>
      </c>
      <c r="L216" s="137"/>
      <c r="P216" s="147">
        <f>$X$24</f>
        <v>2.6</v>
      </c>
      <c r="Q216" s="148" t="e">
        <f>IF(AND(G84&lt;&gt;"",$Y$5,$Y$2),G84,NA())</f>
        <v>#N/A</v>
      </c>
      <c r="R216" s="137"/>
    </row>
    <row r="217" spans="5:18" ht="11.25" customHeight="1" x14ac:dyDescent="0.2">
      <c r="E217" s="117">
        <v>210</v>
      </c>
      <c r="F217" s="753"/>
      <c r="G217" s="754"/>
      <c r="H217" s="732"/>
      <c r="I217" s="731" t="str">
        <f t="shared" si="16"/>
        <v/>
      </c>
      <c r="K217" s="241" t="str">
        <f t="shared" si="15"/>
        <v/>
      </c>
      <c r="L217" s="137"/>
      <c r="P217" s="259">
        <f>$X$23</f>
        <v>1.4</v>
      </c>
      <c r="Q217" s="288" t="e">
        <f>IF(AND(F85&lt;&gt;"",$Y$5,$Y$2),F85,NA())</f>
        <v>#N/A</v>
      </c>
      <c r="R217" s="137"/>
    </row>
    <row r="218" spans="5:18" ht="11.25" customHeight="1" x14ac:dyDescent="0.2">
      <c r="E218" s="117">
        <v>211</v>
      </c>
      <c r="F218" s="753"/>
      <c r="G218" s="754"/>
      <c r="H218" s="732"/>
      <c r="I218" s="731" t="str">
        <f t="shared" si="16"/>
        <v/>
      </c>
      <c r="K218" s="241" t="str">
        <f t="shared" si="15"/>
        <v/>
      </c>
      <c r="L218" s="137"/>
      <c r="P218" s="147">
        <f>$X$24</f>
        <v>2.6</v>
      </c>
      <c r="Q218" s="148" t="e">
        <f>IF(AND(G85&lt;&gt;"",$Y$5,$Y$2),G85,NA())</f>
        <v>#N/A</v>
      </c>
      <c r="R218" s="137"/>
    </row>
    <row r="219" spans="5:18" ht="11.25" customHeight="1" x14ac:dyDescent="0.2">
      <c r="E219" s="117">
        <v>212</v>
      </c>
      <c r="F219" s="753"/>
      <c r="G219" s="754"/>
      <c r="H219" s="732"/>
      <c r="I219" s="731" t="str">
        <f t="shared" si="16"/>
        <v/>
      </c>
      <c r="K219" s="241" t="str">
        <f t="shared" si="15"/>
        <v/>
      </c>
      <c r="L219" s="137"/>
      <c r="P219" s="259">
        <f>$X$23</f>
        <v>1.4</v>
      </c>
      <c r="Q219" s="288" t="e">
        <f>IF(AND(F86&lt;&gt;"",$Y$5,$Y$2),F86,NA())</f>
        <v>#N/A</v>
      </c>
      <c r="R219" s="137"/>
    </row>
    <row r="220" spans="5:18" ht="11.25" customHeight="1" x14ac:dyDescent="0.2">
      <c r="E220" s="117">
        <v>213</v>
      </c>
      <c r="F220" s="753"/>
      <c r="G220" s="754"/>
      <c r="H220" s="732"/>
      <c r="I220" s="731" t="str">
        <f t="shared" si="16"/>
        <v/>
      </c>
      <c r="K220" s="241" t="str">
        <f t="shared" si="15"/>
        <v/>
      </c>
      <c r="L220" s="137"/>
      <c r="P220" s="147">
        <f>$X$24</f>
        <v>2.6</v>
      </c>
      <c r="Q220" s="148" t="e">
        <f>IF(AND(G86&lt;&gt;"",$Y$5,$Y$2),G86,NA())</f>
        <v>#N/A</v>
      </c>
      <c r="R220" s="137"/>
    </row>
    <row r="221" spans="5:18" ht="11.25" customHeight="1" x14ac:dyDescent="0.2">
      <c r="E221" s="117">
        <v>214</v>
      </c>
      <c r="F221" s="753"/>
      <c r="G221" s="754"/>
      <c r="H221" s="732"/>
      <c r="I221" s="731" t="str">
        <f t="shared" si="16"/>
        <v/>
      </c>
      <c r="K221" s="241" t="str">
        <f t="shared" si="15"/>
        <v/>
      </c>
      <c r="L221" s="137"/>
      <c r="P221" s="259">
        <f>$X$23</f>
        <v>1.4</v>
      </c>
      <c r="Q221" s="288" t="e">
        <f>IF(AND(F87&lt;&gt;"",$Y$5,$Y$2),F87,NA())</f>
        <v>#N/A</v>
      </c>
      <c r="R221" s="137"/>
    </row>
    <row r="222" spans="5:18" ht="11.25" customHeight="1" x14ac:dyDescent="0.2">
      <c r="E222" s="117">
        <v>215</v>
      </c>
      <c r="F222" s="753"/>
      <c r="G222" s="754"/>
      <c r="H222" s="732"/>
      <c r="I222" s="731" t="str">
        <f t="shared" si="16"/>
        <v/>
      </c>
      <c r="K222" s="241" t="str">
        <f t="shared" si="15"/>
        <v/>
      </c>
      <c r="L222" s="137"/>
      <c r="P222" s="147">
        <f>$X$24</f>
        <v>2.6</v>
      </c>
      <c r="Q222" s="148" t="e">
        <f>IF(AND(G87&lt;&gt;"",$Y$5,$Y$2),G87,NA())</f>
        <v>#N/A</v>
      </c>
      <c r="R222" s="137"/>
    </row>
    <row r="223" spans="5:18" ht="11.25" customHeight="1" x14ac:dyDescent="0.2">
      <c r="E223" s="117">
        <v>216</v>
      </c>
      <c r="F223" s="753"/>
      <c r="G223" s="754"/>
      <c r="H223" s="732"/>
      <c r="I223" s="731" t="str">
        <f t="shared" si="16"/>
        <v/>
      </c>
      <c r="K223" s="241" t="str">
        <f t="shared" si="15"/>
        <v/>
      </c>
      <c r="L223" s="137"/>
      <c r="P223" s="259">
        <f>$X$23</f>
        <v>1.4</v>
      </c>
      <c r="Q223" s="288" t="e">
        <f>IF(AND(F88&lt;&gt;"",$Y$5,$Y$2),F88,NA())</f>
        <v>#N/A</v>
      </c>
      <c r="R223" s="137"/>
    </row>
    <row r="224" spans="5:18" ht="11.25" customHeight="1" x14ac:dyDescent="0.2">
      <c r="E224" s="117">
        <v>217</v>
      </c>
      <c r="F224" s="753"/>
      <c r="G224" s="754"/>
      <c r="H224" s="732"/>
      <c r="I224" s="731" t="str">
        <f t="shared" si="16"/>
        <v/>
      </c>
      <c r="K224" s="241" t="str">
        <f t="shared" si="15"/>
        <v/>
      </c>
      <c r="L224" s="137"/>
      <c r="P224" s="147">
        <f>$X$24</f>
        <v>2.6</v>
      </c>
      <c r="Q224" s="148" t="e">
        <f>IF(AND(G88&lt;&gt;"",$Y$5,$Y$2),G88,NA())</f>
        <v>#N/A</v>
      </c>
      <c r="R224" s="137"/>
    </row>
    <row r="225" spans="5:18" ht="11.25" customHeight="1" x14ac:dyDescent="0.2">
      <c r="E225" s="117">
        <v>218</v>
      </c>
      <c r="F225" s="753"/>
      <c r="G225" s="754"/>
      <c r="H225" s="732"/>
      <c r="I225" s="731" t="str">
        <f t="shared" si="16"/>
        <v/>
      </c>
      <c r="K225" s="241" t="str">
        <f t="shared" si="15"/>
        <v/>
      </c>
      <c r="L225" s="137"/>
      <c r="P225" s="259">
        <f>$X$23</f>
        <v>1.4</v>
      </c>
      <c r="Q225" s="288" t="e">
        <f>IF(AND(F89&lt;&gt;"",$Y$5,$Y$2),F89,NA())</f>
        <v>#N/A</v>
      </c>
      <c r="R225" s="137"/>
    </row>
    <row r="226" spans="5:18" ht="11.25" customHeight="1" x14ac:dyDescent="0.2">
      <c r="E226" s="117">
        <v>219</v>
      </c>
      <c r="F226" s="753"/>
      <c r="G226" s="754"/>
      <c r="H226" s="732"/>
      <c r="I226" s="731" t="str">
        <f t="shared" si="16"/>
        <v/>
      </c>
      <c r="K226" s="241" t="str">
        <f t="shared" si="15"/>
        <v/>
      </c>
      <c r="L226" s="137"/>
      <c r="P226" s="147">
        <f>$X$24</f>
        <v>2.6</v>
      </c>
      <c r="Q226" s="148" t="e">
        <f>IF(AND(G89&lt;&gt;"",$Y$5,$Y$2),G89,NA())</f>
        <v>#N/A</v>
      </c>
      <c r="R226" s="137"/>
    </row>
    <row r="227" spans="5:18" ht="11.25" customHeight="1" x14ac:dyDescent="0.2">
      <c r="E227" s="117">
        <v>220</v>
      </c>
      <c r="F227" s="753"/>
      <c r="G227" s="754"/>
      <c r="H227" s="732"/>
      <c r="I227" s="731" t="str">
        <f t="shared" si="16"/>
        <v/>
      </c>
      <c r="K227" s="241" t="str">
        <f t="shared" si="15"/>
        <v/>
      </c>
      <c r="L227" s="137"/>
      <c r="P227" s="259">
        <f>$X$23</f>
        <v>1.4</v>
      </c>
      <c r="Q227" s="288" t="e">
        <f>IF(AND(F90&lt;&gt;"",$Y$5,$Y$2),F90,NA())</f>
        <v>#N/A</v>
      </c>
      <c r="R227" s="137"/>
    </row>
    <row r="228" spans="5:18" ht="11.25" customHeight="1" x14ac:dyDescent="0.2">
      <c r="E228" s="117">
        <v>221</v>
      </c>
      <c r="F228" s="753"/>
      <c r="G228" s="754"/>
      <c r="H228" s="732"/>
      <c r="I228" s="731" t="str">
        <f t="shared" si="16"/>
        <v/>
      </c>
      <c r="K228" s="241" t="str">
        <f t="shared" si="15"/>
        <v/>
      </c>
      <c r="L228" s="137"/>
      <c r="P228" s="147">
        <f>$X$24</f>
        <v>2.6</v>
      </c>
      <c r="Q228" s="148" t="e">
        <f>IF(AND(G90&lt;&gt;"",$Y$5,$Y$2),G90,NA())</f>
        <v>#N/A</v>
      </c>
      <c r="R228" s="137"/>
    </row>
    <row r="229" spans="5:18" ht="11.25" customHeight="1" x14ac:dyDescent="0.2">
      <c r="E229" s="117">
        <v>222</v>
      </c>
      <c r="F229" s="753"/>
      <c r="G229" s="754"/>
      <c r="H229" s="732"/>
      <c r="I229" s="731" t="str">
        <f t="shared" si="16"/>
        <v/>
      </c>
      <c r="K229" s="241" t="str">
        <f t="shared" si="15"/>
        <v/>
      </c>
      <c r="L229" s="137"/>
      <c r="P229" s="259">
        <f>$X$23</f>
        <v>1.4</v>
      </c>
      <c r="Q229" s="288" t="e">
        <f>IF(AND(F91&lt;&gt;"",$Y$5,$Y$2),F91,NA())</f>
        <v>#N/A</v>
      </c>
      <c r="R229" s="137"/>
    </row>
    <row r="230" spans="5:18" ht="11.25" customHeight="1" x14ac:dyDescent="0.2">
      <c r="E230" s="117">
        <v>223</v>
      </c>
      <c r="F230" s="753"/>
      <c r="G230" s="754"/>
      <c r="H230" s="732"/>
      <c r="I230" s="731" t="str">
        <f t="shared" si="16"/>
        <v/>
      </c>
      <c r="K230" s="241" t="str">
        <f t="shared" si="15"/>
        <v/>
      </c>
      <c r="L230" s="137"/>
      <c r="P230" s="147">
        <f>$X$24</f>
        <v>2.6</v>
      </c>
      <c r="Q230" s="148" t="e">
        <f>IF(AND(G91&lt;&gt;"",$Y$5,$Y$2),G91,NA())</f>
        <v>#N/A</v>
      </c>
      <c r="R230" s="137"/>
    </row>
    <row r="231" spans="5:18" ht="11.25" customHeight="1" x14ac:dyDescent="0.2">
      <c r="E231" s="117">
        <v>224</v>
      </c>
      <c r="F231" s="753"/>
      <c r="G231" s="754"/>
      <c r="H231" s="732"/>
      <c r="I231" s="731" t="str">
        <f t="shared" si="16"/>
        <v/>
      </c>
      <c r="K231" s="241" t="str">
        <f t="shared" si="15"/>
        <v/>
      </c>
      <c r="L231" s="137"/>
      <c r="P231" s="259">
        <f>$X$23</f>
        <v>1.4</v>
      </c>
      <c r="Q231" s="288" t="e">
        <f>IF(AND(F92&lt;&gt;"",$Y$5,$Y$2),F92,NA())</f>
        <v>#N/A</v>
      </c>
      <c r="R231" s="137"/>
    </row>
    <row r="232" spans="5:18" ht="11.25" customHeight="1" x14ac:dyDescent="0.2">
      <c r="E232" s="117">
        <v>225</v>
      </c>
      <c r="F232" s="753"/>
      <c r="G232" s="754"/>
      <c r="H232" s="732"/>
      <c r="I232" s="731" t="str">
        <f t="shared" si="16"/>
        <v/>
      </c>
      <c r="K232" s="241" t="str">
        <f t="shared" si="15"/>
        <v/>
      </c>
      <c r="L232" s="137"/>
      <c r="P232" s="147">
        <f>$X$24</f>
        <v>2.6</v>
      </c>
      <c r="Q232" s="148" t="e">
        <f>IF(AND(G92&lt;&gt;"",$Y$5,$Y$2),G92,NA())</f>
        <v>#N/A</v>
      </c>
      <c r="R232" s="137"/>
    </row>
    <row r="233" spans="5:18" ht="11.25" customHeight="1" x14ac:dyDescent="0.2">
      <c r="E233" s="117">
        <v>226</v>
      </c>
      <c r="F233" s="753"/>
      <c r="G233" s="754"/>
      <c r="H233" s="732"/>
      <c r="I233" s="731" t="str">
        <f t="shared" si="16"/>
        <v/>
      </c>
      <c r="K233" s="241" t="str">
        <f t="shared" si="15"/>
        <v/>
      </c>
      <c r="L233" s="137"/>
      <c r="P233" s="259">
        <f>$X$23</f>
        <v>1.4</v>
      </c>
      <c r="Q233" s="288" t="e">
        <f>IF(AND(F93&lt;&gt;"",$Y$5,$Y$2),F93,NA())</f>
        <v>#N/A</v>
      </c>
      <c r="R233" s="137"/>
    </row>
    <row r="234" spans="5:18" ht="11.25" customHeight="1" x14ac:dyDescent="0.2">
      <c r="E234" s="117">
        <v>227</v>
      </c>
      <c r="F234" s="753"/>
      <c r="G234" s="754"/>
      <c r="H234" s="732"/>
      <c r="I234" s="731" t="str">
        <f t="shared" si="16"/>
        <v/>
      </c>
      <c r="K234" s="241" t="str">
        <f t="shared" si="15"/>
        <v/>
      </c>
      <c r="L234" s="137"/>
      <c r="P234" s="147">
        <f>$X$24</f>
        <v>2.6</v>
      </c>
      <c r="Q234" s="148" t="e">
        <f>IF(AND(G93&lt;&gt;"",$Y$5,$Y$2),G93,NA())</f>
        <v>#N/A</v>
      </c>
      <c r="R234" s="137"/>
    </row>
    <row r="235" spans="5:18" ht="11.25" customHeight="1" x14ac:dyDescent="0.2">
      <c r="E235" s="117">
        <v>228</v>
      </c>
      <c r="F235" s="753"/>
      <c r="G235" s="754"/>
      <c r="H235" s="732"/>
      <c r="I235" s="731" t="str">
        <f t="shared" si="16"/>
        <v/>
      </c>
      <c r="K235" s="241" t="str">
        <f t="shared" si="15"/>
        <v/>
      </c>
      <c r="L235" s="137"/>
      <c r="P235" s="259">
        <f>$X$23</f>
        <v>1.4</v>
      </c>
      <c r="Q235" s="288" t="e">
        <f>IF(AND(F94&lt;&gt;"",$Y$5,$Y$2),F94,NA())</f>
        <v>#N/A</v>
      </c>
      <c r="R235" s="137"/>
    </row>
    <row r="236" spans="5:18" ht="11.25" customHeight="1" x14ac:dyDescent="0.2">
      <c r="E236" s="117">
        <v>229</v>
      </c>
      <c r="F236" s="753"/>
      <c r="G236" s="754"/>
      <c r="H236" s="732"/>
      <c r="I236" s="731" t="str">
        <f t="shared" si="16"/>
        <v/>
      </c>
      <c r="K236" s="241" t="str">
        <f t="shared" si="15"/>
        <v/>
      </c>
      <c r="L236" s="137"/>
      <c r="P236" s="147">
        <f>$X$24</f>
        <v>2.6</v>
      </c>
      <c r="Q236" s="148" t="e">
        <f>IF(AND(G94&lt;&gt;"",$Y$5,$Y$2),G94,NA())</f>
        <v>#N/A</v>
      </c>
      <c r="R236" s="137"/>
    </row>
    <row r="237" spans="5:18" ht="11.25" customHeight="1" x14ac:dyDescent="0.2">
      <c r="E237" s="117">
        <v>230</v>
      </c>
      <c r="F237" s="753"/>
      <c r="G237" s="754"/>
      <c r="H237" s="732"/>
      <c r="I237" s="731" t="str">
        <f t="shared" si="16"/>
        <v/>
      </c>
      <c r="K237" s="241" t="str">
        <f t="shared" si="15"/>
        <v/>
      </c>
      <c r="L237" s="137"/>
      <c r="P237" s="259">
        <f>$X$23</f>
        <v>1.4</v>
      </c>
      <c r="Q237" s="288" t="e">
        <f>IF(AND(F95&lt;&gt;"",$Y$5,$Y$2),F95,NA())</f>
        <v>#N/A</v>
      </c>
      <c r="R237" s="137"/>
    </row>
    <row r="238" spans="5:18" ht="11.25" customHeight="1" x14ac:dyDescent="0.2">
      <c r="E238" s="117">
        <v>231</v>
      </c>
      <c r="F238" s="753"/>
      <c r="G238" s="754"/>
      <c r="H238" s="732"/>
      <c r="I238" s="731" t="str">
        <f t="shared" si="16"/>
        <v/>
      </c>
      <c r="K238" s="241" t="str">
        <f t="shared" si="15"/>
        <v/>
      </c>
      <c r="L238" s="137"/>
      <c r="P238" s="147">
        <f>$X$24</f>
        <v>2.6</v>
      </c>
      <c r="Q238" s="148" t="e">
        <f>IF(AND(G95&lt;&gt;"",$Y$5,$Y$2),G95,NA())</f>
        <v>#N/A</v>
      </c>
      <c r="R238" s="137"/>
    </row>
    <row r="239" spans="5:18" ht="11.25" customHeight="1" x14ac:dyDescent="0.2">
      <c r="E239" s="117">
        <v>232</v>
      </c>
      <c r="F239" s="753"/>
      <c r="G239" s="754"/>
      <c r="H239" s="732"/>
      <c r="I239" s="731" t="str">
        <f t="shared" si="16"/>
        <v/>
      </c>
      <c r="K239" s="241" t="str">
        <f t="shared" si="15"/>
        <v/>
      </c>
      <c r="L239" s="137"/>
      <c r="P239" s="259">
        <f>$X$23</f>
        <v>1.4</v>
      </c>
      <c r="Q239" s="288" t="e">
        <f>IF(AND(F96&lt;&gt;"",$Y$5,$Y$2),F96,NA())</f>
        <v>#N/A</v>
      </c>
      <c r="R239" s="137"/>
    </row>
    <row r="240" spans="5:18" ht="11.25" customHeight="1" x14ac:dyDescent="0.2">
      <c r="E240" s="117">
        <v>233</v>
      </c>
      <c r="F240" s="753"/>
      <c r="G240" s="754"/>
      <c r="H240" s="732"/>
      <c r="I240" s="731" t="str">
        <f t="shared" si="16"/>
        <v/>
      </c>
      <c r="K240" s="241" t="str">
        <f t="shared" si="15"/>
        <v/>
      </c>
      <c r="L240" s="137"/>
      <c r="P240" s="147">
        <f>$X$24</f>
        <v>2.6</v>
      </c>
      <c r="Q240" s="148" t="e">
        <f>IF(AND(G96&lt;&gt;"",$Y$5,$Y$2),G96,NA())</f>
        <v>#N/A</v>
      </c>
      <c r="R240" s="137"/>
    </row>
    <row r="241" spans="5:18" ht="11.25" customHeight="1" x14ac:dyDescent="0.2">
      <c r="E241" s="117">
        <v>234</v>
      </c>
      <c r="F241" s="753"/>
      <c r="G241" s="754"/>
      <c r="H241" s="732"/>
      <c r="I241" s="731" t="str">
        <f t="shared" si="16"/>
        <v/>
      </c>
      <c r="K241" s="241" t="str">
        <f t="shared" si="15"/>
        <v/>
      </c>
      <c r="L241" s="137"/>
      <c r="P241" s="259">
        <f>$X$23</f>
        <v>1.4</v>
      </c>
      <c r="Q241" s="288" t="e">
        <f>IF(AND(F97&lt;&gt;"",$Y$5,$Y$2),F97,NA())</f>
        <v>#N/A</v>
      </c>
      <c r="R241" s="137"/>
    </row>
    <row r="242" spans="5:18" ht="11.25" customHeight="1" x14ac:dyDescent="0.2">
      <c r="E242" s="117">
        <v>235</v>
      </c>
      <c r="F242" s="753"/>
      <c r="G242" s="754"/>
      <c r="H242" s="732"/>
      <c r="I242" s="731" t="str">
        <f t="shared" si="16"/>
        <v/>
      </c>
      <c r="K242" s="241" t="str">
        <f t="shared" si="15"/>
        <v/>
      </c>
      <c r="L242" s="137"/>
      <c r="P242" s="147">
        <f>$X$24</f>
        <v>2.6</v>
      </c>
      <c r="Q242" s="148" t="e">
        <f>IF(AND(G97&lt;&gt;"",$Y$5,$Y$2),G97,NA())</f>
        <v>#N/A</v>
      </c>
      <c r="R242" s="137"/>
    </row>
    <row r="243" spans="5:18" ht="11.25" customHeight="1" x14ac:dyDescent="0.2">
      <c r="E243" s="117">
        <v>236</v>
      </c>
      <c r="F243" s="753"/>
      <c r="G243" s="754"/>
      <c r="H243" s="732"/>
      <c r="I243" s="731" t="str">
        <f t="shared" si="16"/>
        <v/>
      </c>
      <c r="K243" s="241" t="str">
        <f t="shared" si="15"/>
        <v/>
      </c>
      <c r="L243" s="137"/>
      <c r="P243" s="259">
        <f>$X$23</f>
        <v>1.4</v>
      </c>
      <c r="Q243" s="288" t="e">
        <f>IF(AND(F98&lt;&gt;"",$Y$5,$Y$2),F98,NA())</f>
        <v>#N/A</v>
      </c>
      <c r="R243" s="137"/>
    </row>
    <row r="244" spans="5:18" ht="11.25" customHeight="1" x14ac:dyDescent="0.2">
      <c r="E244" s="117">
        <v>237</v>
      </c>
      <c r="F244" s="753"/>
      <c r="G244" s="754"/>
      <c r="H244" s="732"/>
      <c r="I244" s="731" t="str">
        <f t="shared" si="16"/>
        <v/>
      </c>
      <c r="K244" s="241" t="str">
        <f t="shared" si="15"/>
        <v/>
      </c>
      <c r="L244" s="137"/>
      <c r="P244" s="147">
        <f>$X$24</f>
        <v>2.6</v>
      </c>
      <c r="Q244" s="148" t="e">
        <f>IF(AND(G98&lt;&gt;"",$Y$5,$Y$2),G98,NA())</f>
        <v>#N/A</v>
      </c>
      <c r="R244" s="137"/>
    </row>
    <row r="245" spans="5:18" ht="11.25" customHeight="1" x14ac:dyDescent="0.2">
      <c r="E245" s="117">
        <v>238</v>
      </c>
      <c r="F245" s="753"/>
      <c r="G245" s="754"/>
      <c r="H245" s="732"/>
      <c r="I245" s="731" t="str">
        <f t="shared" si="16"/>
        <v/>
      </c>
      <c r="K245" s="241" t="str">
        <f t="shared" si="15"/>
        <v/>
      </c>
      <c r="L245" s="137"/>
      <c r="P245" s="259">
        <f>$X$23</f>
        <v>1.4</v>
      </c>
      <c r="Q245" s="288" t="e">
        <f>IF(AND(F99&lt;&gt;"",$Y$5,$Y$2),F99,NA())</f>
        <v>#N/A</v>
      </c>
      <c r="R245" s="137"/>
    </row>
    <row r="246" spans="5:18" ht="11.25" customHeight="1" x14ac:dyDescent="0.2">
      <c r="E246" s="117">
        <v>239</v>
      </c>
      <c r="F246" s="753"/>
      <c r="G246" s="754"/>
      <c r="H246" s="732"/>
      <c r="I246" s="731" t="str">
        <f t="shared" si="16"/>
        <v/>
      </c>
      <c r="K246" s="241" t="str">
        <f t="shared" si="15"/>
        <v/>
      </c>
      <c r="L246" s="137"/>
      <c r="P246" s="147">
        <f>$X$24</f>
        <v>2.6</v>
      </c>
      <c r="Q246" s="148" t="e">
        <f>IF(AND(G99&lt;&gt;"",$Y$5,$Y$2),G99,NA())</f>
        <v>#N/A</v>
      </c>
      <c r="R246" s="137"/>
    </row>
    <row r="247" spans="5:18" ht="11.25" customHeight="1" x14ac:dyDescent="0.2">
      <c r="E247" s="117">
        <v>240</v>
      </c>
      <c r="F247" s="753"/>
      <c r="G247" s="754"/>
      <c r="H247" s="732"/>
      <c r="I247" s="731" t="str">
        <f t="shared" si="16"/>
        <v/>
      </c>
      <c r="K247" s="241" t="str">
        <f t="shared" si="15"/>
        <v/>
      </c>
      <c r="L247" s="137"/>
      <c r="P247" s="259">
        <f>$X$23</f>
        <v>1.4</v>
      </c>
      <c r="Q247" s="288" t="e">
        <f>IF(AND(F100&lt;&gt;"",$Y$5,$Y$2),F100,NA())</f>
        <v>#N/A</v>
      </c>
      <c r="R247" s="137"/>
    </row>
    <row r="248" spans="5:18" ht="11.25" customHeight="1" x14ac:dyDescent="0.2">
      <c r="E248" s="117">
        <v>241</v>
      </c>
      <c r="F248" s="753"/>
      <c r="G248" s="754"/>
      <c r="H248" s="732"/>
      <c r="I248" s="731" t="str">
        <f t="shared" si="16"/>
        <v/>
      </c>
      <c r="K248" s="241" t="str">
        <f t="shared" si="15"/>
        <v/>
      </c>
      <c r="L248" s="137"/>
      <c r="P248" s="147">
        <f>$X$24</f>
        <v>2.6</v>
      </c>
      <c r="Q248" s="148" t="e">
        <f>IF(AND(G100&lt;&gt;"",$Y$5,$Y$2),G100,NA())</f>
        <v>#N/A</v>
      </c>
      <c r="R248" s="137"/>
    </row>
    <row r="249" spans="5:18" ht="11.25" customHeight="1" x14ac:dyDescent="0.2">
      <c r="E249" s="117">
        <v>242</v>
      </c>
      <c r="F249" s="753"/>
      <c r="G249" s="754"/>
      <c r="H249" s="732"/>
      <c r="I249" s="731" t="str">
        <f t="shared" si="16"/>
        <v/>
      </c>
      <c r="K249" s="241" t="str">
        <f t="shared" si="15"/>
        <v/>
      </c>
      <c r="L249" s="137"/>
      <c r="P249" s="259">
        <f>$X$23</f>
        <v>1.4</v>
      </c>
      <c r="Q249" s="288" t="e">
        <f>IF(AND(F101&lt;&gt;"",$Y$5,$Y$2),F101,NA())</f>
        <v>#N/A</v>
      </c>
      <c r="R249" s="137"/>
    </row>
    <row r="250" spans="5:18" ht="11.25" customHeight="1" x14ac:dyDescent="0.2">
      <c r="E250" s="117">
        <v>243</v>
      </c>
      <c r="F250" s="753"/>
      <c r="G250" s="754"/>
      <c r="H250" s="732"/>
      <c r="I250" s="731" t="str">
        <f t="shared" si="16"/>
        <v/>
      </c>
      <c r="K250" s="241" t="str">
        <f t="shared" si="15"/>
        <v/>
      </c>
      <c r="L250" s="137"/>
      <c r="P250" s="147">
        <f>$X$24</f>
        <v>2.6</v>
      </c>
      <c r="Q250" s="148" t="e">
        <f>IF(AND(G101&lt;&gt;"",$Y$5,$Y$2),G101,NA())</f>
        <v>#N/A</v>
      </c>
      <c r="R250" s="137"/>
    </row>
    <row r="251" spans="5:18" ht="11.25" customHeight="1" x14ac:dyDescent="0.2">
      <c r="E251" s="117">
        <v>244</v>
      </c>
      <c r="F251" s="753"/>
      <c r="G251" s="754"/>
      <c r="H251" s="732"/>
      <c r="I251" s="731" t="str">
        <f t="shared" si="16"/>
        <v/>
      </c>
      <c r="K251" s="241" t="str">
        <f t="shared" si="15"/>
        <v/>
      </c>
      <c r="L251" s="137"/>
      <c r="P251" s="259">
        <f>$X$23</f>
        <v>1.4</v>
      </c>
      <c r="Q251" s="288" t="e">
        <f>IF(AND(F102&lt;&gt;"",$Y$5,$Y$2),F102,NA())</f>
        <v>#N/A</v>
      </c>
      <c r="R251" s="137"/>
    </row>
    <row r="252" spans="5:18" ht="11.25" customHeight="1" x14ac:dyDescent="0.2">
      <c r="E252" s="117">
        <v>245</v>
      </c>
      <c r="F252" s="753"/>
      <c r="G252" s="754"/>
      <c r="H252" s="732"/>
      <c r="I252" s="731" t="str">
        <f t="shared" si="16"/>
        <v/>
      </c>
      <c r="K252" s="241" t="str">
        <f t="shared" si="15"/>
        <v/>
      </c>
      <c r="L252" s="137"/>
      <c r="P252" s="147">
        <f>$X$24</f>
        <v>2.6</v>
      </c>
      <c r="Q252" s="148" t="e">
        <f>IF(AND(G102&lt;&gt;"",$Y$5,$Y$2),G102,NA())</f>
        <v>#N/A</v>
      </c>
      <c r="R252" s="137"/>
    </row>
    <row r="253" spans="5:18" ht="11.25" customHeight="1" x14ac:dyDescent="0.2">
      <c r="E253" s="117">
        <v>246</v>
      </c>
      <c r="F253" s="753"/>
      <c r="G253" s="754"/>
      <c r="H253" s="732"/>
      <c r="I253" s="731" t="str">
        <f t="shared" si="16"/>
        <v/>
      </c>
      <c r="K253" s="241" t="str">
        <f t="shared" si="15"/>
        <v/>
      </c>
      <c r="L253" s="137"/>
      <c r="P253" s="259">
        <f>$X$23</f>
        <v>1.4</v>
      </c>
      <c r="Q253" s="288" t="e">
        <f>IF(AND(F103&lt;&gt;"",$Y$5,$Y$2),F103,NA())</f>
        <v>#N/A</v>
      </c>
      <c r="R253" s="137"/>
    </row>
    <row r="254" spans="5:18" ht="11.25" customHeight="1" x14ac:dyDescent="0.2">
      <c r="E254" s="117">
        <v>247</v>
      </c>
      <c r="F254" s="753"/>
      <c r="G254" s="754"/>
      <c r="H254" s="732"/>
      <c r="I254" s="731" t="str">
        <f t="shared" si="16"/>
        <v/>
      </c>
      <c r="K254" s="241" t="str">
        <f t="shared" si="15"/>
        <v/>
      </c>
      <c r="L254" s="137"/>
      <c r="P254" s="147">
        <f>$X$24</f>
        <v>2.6</v>
      </c>
      <c r="Q254" s="148" t="e">
        <f>IF(AND(G103&lt;&gt;"",$Y$5,$Y$2),G103,NA())</f>
        <v>#N/A</v>
      </c>
      <c r="R254" s="137"/>
    </row>
    <row r="255" spans="5:18" ht="11.25" customHeight="1" x14ac:dyDescent="0.2">
      <c r="E255" s="117">
        <v>248</v>
      </c>
      <c r="F255" s="753"/>
      <c r="G255" s="754"/>
      <c r="H255" s="732"/>
      <c r="I255" s="731" t="str">
        <f t="shared" si="16"/>
        <v/>
      </c>
      <c r="K255" s="241" t="str">
        <f t="shared" ref="K255:K318" si="17">IF(I200&lt;&gt;"",(F200+G200)/2,"")</f>
        <v/>
      </c>
      <c r="L255" s="137"/>
      <c r="P255" s="259">
        <f>$X$23</f>
        <v>1.4</v>
      </c>
      <c r="Q255" s="288" t="e">
        <f>IF(AND(F104&lt;&gt;"",$Y$5,$Y$2),F104,NA())</f>
        <v>#N/A</v>
      </c>
      <c r="R255" s="137"/>
    </row>
    <row r="256" spans="5:18" ht="11.25" customHeight="1" x14ac:dyDescent="0.2">
      <c r="E256" s="117">
        <v>249</v>
      </c>
      <c r="F256" s="753"/>
      <c r="G256" s="754"/>
      <c r="H256" s="732"/>
      <c r="I256" s="731" t="str">
        <f t="shared" si="16"/>
        <v/>
      </c>
      <c r="K256" s="241" t="str">
        <f t="shared" si="17"/>
        <v/>
      </c>
      <c r="L256" s="137"/>
      <c r="P256" s="147">
        <f>$X$24</f>
        <v>2.6</v>
      </c>
      <c r="Q256" s="148" t="e">
        <f>IF(AND(G104&lt;&gt;"",$Y$5,$Y$2),G104,NA())</f>
        <v>#N/A</v>
      </c>
      <c r="R256" s="137"/>
    </row>
    <row r="257" spans="5:18" ht="11.25" customHeight="1" x14ac:dyDescent="0.2">
      <c r="E257" s="117">
        <v>250</v>
      </c>
      <c r="F257" s="753"/>
      <c r="G257" s="754"/>
      <c r="H257" s="732"/>
      <c r="I257" s="731" t="str">
        <f t="shared" si="16"/>
        <v/>
      </c>
      <c r="K257" s="241" t="str">
        <f t="shared" si="17"/>
        <v/>
      </c>
      <c r="L257" s="137"/>
      <c r="P257" s="259">
        <f>$X$23</f>
        <v>1.4</v>
      </c>
      <c r="Q257" s="288" t="e">
        <f>IF(AND(F105&lt;&gt;"",$Y$5,$Y$2),F105,NA())</f>
        <v>#N/A</v>
      </c>
      <c r="R257" s="137"/>
    </row>
    <row r="258" spans="5:18" ht="11.25" customHeight="1" x14ac:dyDescent="0.2">
      <c r="E258" s="117">
        <v>251</v>
      </c>
      <c r="F258" s="753"/>
      <c r="G258" s="754"/>
      <c r="H258" s="732"/>
      <c r="I258" s="731" t="str">
        <f t="shared" si="16"/>
        <v/>
      </c>
      <c r="K258" s="241" t="str">
        <f t="shared" si="17"/>
        <v/>
      </c>
      <c r="L258" s="137"/>
      <c r="P258" s="147">
        <f>$X$24</f>
        <v>2.6</v>
      </c>
      <c r="Q258" s="148" t="e">
        <f>IF(AND(G105&lt;&gt;"",$Y$5,$Y$2),G105,NA())</f>
        <v>#N/A</v>
      </c>
      <c r="R258" s="137"/>
    </row>
    <row r="259" spans="5:18" ht="11.25" customHeight="1" x14ac:dyDescent="0.2">
      <c r="E259" s="117">
        <v>252</v>
      </c>
      <c r="F259" s="753"/>
      <c r="G259" s="754"/>
      <c r="H259" s="732"/>
      <c r="I259" s="731" t="str">
        <f t="shared" si="16"/>
        <v/>
      </c>
      <c r="K259" s="241" t="str">
        <f t="shared" si="17"/>
        <v/>
      </c>
      <c r="L259" s="137"/>
      <c r="P259" s="259">
        <f>$X$23</f>
        <v>1.4</v>
      </c>
      <c r="Q259" s="288" t="e">
        <f>IF(AND(F106&lt;&gt;"",$Y$5,$Y$2),F106,NA())</f>
        <v>#N/A</v>
      </c>
      <c r="R259" s="137"/>
    </row>
    <row r="260" spans="5:18" ht="11.25" customHeight="1" x14ac:dyDescent="0.2">
      <c r="E260" s="117">
        <v>253</v>
      </c>
      <c r="F260" s="753"/>
      <c r="G260" s="754"/>
      <c r="H260" s="732"/>
      <c r="I260" s="731" t="str">
        <f t="shared" si="16"/>
        <v/>
      </c>
      <c r="K260" s="241" t="str">
        <f t="shared" si="17"/>
        <v/>
      </c>
      <c r="L260" s="137"/>
      <c r="P260" s="147">
        <f>$X$24</f>
        <v>2.6</v>
      </c>
      <c r="Q260" s="148" t="e">
        <f>IF(AND(G106&lt;&gt;"",$Y$5,$Y$2),G106,NA())</f>
        <v>#N/A</v>
      </c>
      <c r="R260" s="137"/>
    </row>
    <row r="261" spans="5:18" ht="11.25" customHeight="1" x14ac:dyDescent="0.2">
      <c r="E261" s="117">
        <v>254</v>
      </c>
      <c r="F261" s="753"/>
      <c r="G261" s="754"/>
      <c r="H261" s="732"/>
      <c r="I261" s="731" t="str">
        <f t="shared" si="16"/>
        <v/>
      </c>
      <c r="K261" s="241" t="str">
        <f t="shared" si="17"/>
        <v/>
      </c>
      <c r="L261" s="137"/>
      <c r="P261" s="259">
        <f>$X$23</f>
        <v>1.4</v>
      </c>
      <c r="Q261" s="288" t="e">
        <f>IF(AND(F107&lt;&gt;"",$Y$5,$Y$2),F107,NA())</f>
        <v>#N/A</v>
      </c>
      <c r="R261" s="137"/>
    </row>
    <row r="262" spans="5:18" ht="11.25" customHeight="1" x14ac:dyDescent="0.2">
      <c r="E262" s="117">
        <v>255</v>
      </c>
      <c r="F262" s="753"/>
      <c r="G262" s="754"/>
      <c r="H262" s="732"/>
      <c r="I262" s="731" t="str">
        <f t="shared" si="16"/>
        <v/>
      </c>
      <c r="K262" s="241" t="str">
        <f t="shared" si="17"/>
        <v/>
      </c>
      <c r="L262" s="137"/>
      <c r="P262" s="147">
        <f>$X$24</f>
        <v>2.6</v>
      </c>
      <c r="Q262" s="148" t="e">
        <f>IF(AND(G107&lt;&gt;"",$Y$5,$Y$2),G107,NA())</f>
        <v>#N/A</v>
      </c>
      <c r="R262" s="137"/>
    </row>
    <row r="263" spans="5:18" ht="11.25" customHeight="1" x14ac:dyDescent="0.2">
      <c r="E263" s="117">
        <v>256</v>
      </c>
      <c r="F263" s="753"/>
      <c r="G263" s="754"/>
      <c r="H263" s="732"/>
      <c r="I263" s="731" t="str">
        <f t="shared" si="16"/>
        <v/>
      </c>
      <c r="K263" s="241" t="str">
        <f t="shared" si="17"/>
        <v/>
      </c>
      <c r="L263" s="137"/>
    </row>
    <row r="264" spans="5:18" ht="11.25" customHeight="1" x14ac:dyDescent="0.2">
      <c r="E264" s="117">
        <v>257</v>
      </c>
      <c r="F264" s="753"/>
      <c r="G264" s="754"/>
      <c r="H264" s="732"/>
      <c r="I264" s="731" t="str">
        <f t="shared" ref="I264:I327" si="18">IF(AND(F264&lt;&gt;"",G264&lt;&gt;""),G264-F264,"")</f>
        <v/>
      </c>
      <c r="K264" s="241" t="str">
        <f t="shared" si="17"/>
        <v/>
      </c>
      <c r="L264" s="137"/>
    </row>
    <row r="265" spans="5:18" ht="11.25" customHeight="1" x14ac:dyDescent="0.2">
      <c r="E265" s="117">
        <v>258</v>
      </c>
      <c r="F265" s="753"/>
      <c r="G265" s="754"/>
      <c r="H265" s="732"/>
      <c r="I265" s="731" t="str">
        <f t="shared" si="18"/>
        <v/>
      </c>
      <c r="K265" s="241" t="str">
        <f t="shared" si="17"/>
        <v/>
      </c>
      <c r="L265" s="137"/>
    </row>
    <row r="266" spans="5:18" ht="11.25" customHeight="1" x14ac:dyDescent="0.2">
      <c r="E266" s="117">
        <v>259</v>
      </c>
      <c r="F266" s="753"/>
      <c r="G266" s="754"/>
      <c r="H266" s="732"/>
      <c r="I266" s="731" t="str">
        <f t="shared" si="18"/>
        <v/>
      </c>
      <c r="K266" s="241" t="str">
        <f t="shared" si="17"/>
        <v/>
      </c>
      <c r="L266" s="137"/>
    </row>
    <row r="267" spans="5:18" ht="11.25" customHeight="1" x14ac:dyDescent="0.2">
      <c r="E267" s="117">
        <v>260</v>
      </c>
      <c r="F267" s="753"/>
      <c r="G267" s="754"/>
      <c r="H267" s="732"/>
      <c r="I267" s="731" t="str">
        <f t="shared" si="18"/>
        <v/>
      </c>
      <c r="K267" s="241" t="str">
        <f t="shared" si="17"/>
        <v/>
      </c>
      <c r="L267" s="137"/>
    </row>
    <row r="268" spans="5:18" ht="11.25" customHeight="1" x14ac:dyDescent="0.2">
      <c r="E268" s="117">
        <v>261</v>
      </c>
      <c r="F268" s="753"/>
      <c r="G268" s="754"/>
      <c r="H268" s="732"/>
      <c r="I268" s="731" t="str">
        <f t="shared" si="18"/>
        <v/>
      </c>
      <c r="K268" s="241" t="str">
        <f t="shared" si="17"/>
        <v/>
      </c>
      <c r="L268" s="137"/>
    </row>
    <row r="269" spans="5:18" ht="11.25" customHeight="1" x14ac:dyDescent="0.2">
      <c r="E269" s="117">
        <v>262</v>
      </c>
      <c r="F269" s="753"/>
      <c r="G269" s="754"/>
      <c r="H269" s="732"/>
      <c r="I269" s="731" t="str">
        <f t="shared" si="18"/>
        <v/>
      </c>
      <c r="K269" s="241" t="str">
        <f t="shared" si="17"/>
        <v/>
      </c>
      <c r="L269" s="137"/>
    </row>
    <row r="270" spans="5:18" ht="11.25" customHeight="1" x14ac:dyDescent="0.2">
      <c r="E270" s="117">
        <v>263</v>
      </c>
      <c r="F270" s="753"/>
      <c r="G270" s="754"/>
      <c r="H270" s="732"/>
      <c r="I270" s="731" t="str">
        <f t="shared" si="18"/>
        <v/>
      </c>
      <c r="K270" s="241" t="str">
        <f t="shared" si="17"/>
        <v/>
      </c>
      <c r="L270" s="137"/>
    </row>
    <row r="271" spans="5:18" ht="11.25" customHeight="1" x14ac:dyDescent="0.2">
      <c r="E271" s="117">
        <v>264</v>
      </c>
      <c r="F271" s="753"/>
      <c r="G271" s="754"/>
      <c r="H271" s="732"/>
      <c r="I271" s="731" t="str">
        <f t="shared" si="18"/>
        <v/>
      </c>
      <c r="K271" s="241" t="str">
        <f t="shared" si="17"/>
        <v/>
      </c>
      <c r="L271" s="137"/>
    </row>
    <row r="272" spans="5:18" ht="11.25" customHeight="1" x14ac:dyDescent="0.2">
      <c r="E272" s="117">
        <v>265</v>
      </c>
      <c r="F272" s="753"/>
      <c r="G272" s="754"/>
      <c r="H272" s="732"/>
      <c r="I272" s="731" t="str">
        <f t="shared" si="18"/>
        <v/>
      </c>
      <c r="K272" s="241" t="str">
        <f t="shared" si="17"/>
        <v/>
      </c>
      <c r="L272" s="137"/>
    </row>
    <row r="273" spans="5:12" ht="11.25" customHeight="1" x14ac:dyDescent="0.2">
      <c r="E273" s="117">
        <v>266</v>
      </c>
      <c r="F273" s="753"/>
      <c r="G273" s="754"/>
      <c r="H273" s="732"/>
      <c r="I273" s="731" t="str">
        <f t="shared" si="18"/>
        <v/>
      </c>
      <c r="K273" s="241" t="str">
        <f t="shared" si="17"/>
        <v/>
      </c>
      <c r="L273" s="137"/>
    </row>
    <row r="274" spans="5:12" ht="11.25" customHeight="1" x14ac:dyDescent="0.2">
      <c r="E274" s="117">
        <v>267</v>
      </c>
      <c r="F274" s="753"/>
      <c r="G274" s="754"/>
      <c r="H274" s="732"/>
      <c r="I274" s="731" t="str">
        <f t="shared" si="18"/>
        <v/>
      </c>
      <c r="K274" s="241" t="str">
        <f t="shared" si="17"/>
        <v/>
      </c>
      <c r="L274" s="137"/>
    </row>
    <row r="275" spans="5:12" ht="11.25" customHeight="1" x14ac:dyDescent="0.2">
      <c r="E275" s="117">
        <v>268</v>
      </c>
      <c r="F275" s="753"/>
      <c r="G275" s="754"/>
      <c r="H275" s="732"/>
      <c r="I275" s="731" t="str">
        <f t="shared" si="18"/>
        <v/>
      </c>
      <c r="K275" s="241" t="str">
        <f t="shared" si="17"/>
        <v/>
      </c>
      <c r="L275" s="137"/>
    </row>
    <row r="276" spans="5:12" ht="11.25" customHeight="1" x14ac:dyDescent="0.2">
      <c r="E276" s="117">
        <v>269</v>
      </c>
      <c r="F276" s="753"/>
      <c r="G276" s="754"/>
      <c r="H276" s="732"/>
      <c r="I276" s="731" t="str">
        <f t="shared" si="18"/>
        <v/>
      </c>
      <c r="K276" s="241" t="str">
        <f t="shared" si="17"/>
        <v/>
      </c>
      <c r="L276" s="137"/>
    </row>
    <row r="277" spans="5:12" ht="11.25" customHeight="1" x14ac:dyDescent="0.2">
      <c r="E277" s="117">
        <v>270</v>
      </c>
      <c r="F277" s="753"/>
      <c r="G277" s="754"/>
      <c r="H277" s="732"/>
      <c r="I277" s="731" t="str">
        <f t="shared" si="18"/>
        <v/>
      </c>
      <c r="K277" s="241" t="str">
        <f t="shared" si="17"/>
        <v/>
      </c>
      <c r="L277" s="137"/>
    </row>
    <row r="278" spans="5:12" ht="11.25" customHeight="1" x14ac:dyDescent="0.2">
      <c r="E278" s="117">
        <v>271</v>
      </c>
      <c r="F278" s="753"/>
      <c r="G278" s="754"/>
      <c r="H278" s="732"/>
      <c r="I278" s="731" t="str">
        <f t="shared" si="18"/>
        <v/>
      </c>
      <c r="K278" s="241" t="str">
        <f t="shared" si="17"/>
        <v/>
      </c>
      <c r="L278" s="137"/>
    </row>
    <row r="279" spans="5:12" ht="11.25" customHeight="1" x14ac:dyDescent="0.2">
      <c r="E279" s="117">
        <v>272</v>
      </c>
      <c r="F279" s="753"/>
      <c r="G279" s="754"/>
      <c r="H279" s="732"/>
      <c r="I279" s="731" t="str">
        <f t="shared" si="18"/>
        <v/>
      </c>
      <c r="K279" s="241" t="str">
        <f t="shared" si="17"/>
        <v/>
      </c>
      <c r="L279" s="137"/>
    </row>
    <row r="280" spans="5:12" ht="11.25" customHeight="1" x14ac:dyDescent="0.2">
      <c r="E280" s="117">
        <v>273</v>
      </c>
      <c r="F280" s="753"/>
      <c r="G280" s="754"/>
      <c r="H280" s="732"/>
      <c r="I280" s="731" t="str">
        <f t="shared" si="18"/>
        <v/>
      </c>
      <c r="K280" s="241" t="str">
        <f t="shared" si="17"/>
        <v/>
      </c>
      <c r="L280" s="137"/>
    </row>
    <row r="281" spans="5:12" ht="11.25" customHeight="1" x14ac:dyDescent="0.2">
      <c r="E281" s="117">
        <v>274</v>
      </c>
      <c r="F281" s="753"/>
      <c r="G281" s="754"/>
      <c r="H281" s="732"/>
      <c r="I281" s="731" t="str">
        <f t="shared" si="18"/>
        <v/>
      </c>
      <c r="K281" s="241" t="str">
        <f t="shared" si="17"/>
        <v/>
      </c>
      <c r="L281" s="137"/>
    </row>
    <row r="282" spans="5:12" ht="11.25" customHeight="1" x14ac:dyDescent="0.2">
      <c r="E282" s="117">
        <v>275</v>
      </c>
      <c r="F282" s="753"/>
      <c r="G282" s="754"/>
      <c r="H282" s="732"/>
      <c r="I282" s="731" t="str">
        <f t="shared" si="18"/>
        <v/>
      </c>
      <c r="K282" s="241" t="str">
        <f t="shared" si="17"/>
        <v/>
      </c>
      <c r="L282" s="137"/>
    </row>
    <row r="283" spans="5:12" ht="11.25" customHeight="1" x14ac:dyDescent="0.2">
      <c r="E283" s="117">
        <v>276</v>
      </c>
      <c r="F283" s="753"/>
      <c r="G283" s="754"/>
      <c r="H283" s="732"/>
      <c r="I283" s="731" t="str">
        <f t="shared" si="18"/>
        <v/>
      </c>
      <c r="K283" s="241" t="str">
        <f t="shared" si="17"/>
        <v/>
      </c>
      <c r="L283" s="137"/>
    </row>
    <row r="284" spans="5:12" ht="11.25" customHeight="1" x14ac:dyDescent="0.2">
      <c r="E284" s="117">
        <v>277</v>
      </c>
      <c r="F284" s="753"/>
      <c r="G284" s="754"/>
      <c r="H284" s="732"/>
      <c r="I284" s="731" t="str">
        <f t="shared" si="18"/>
        <v/>
      </c>
      <c r="K284" s="241" t="str">
        <f t="shared" si="17"/>
        <v/>
      </c>
      <c r="L284" s="137"/>
    </row>
    <row r="285" spans="5:12" ht="11.25" customHeight="1" x14ac:dyDescent="0.2">
      <c r="E285" s="117">
        <v>278</v>
      </c>
      <c r="F285" s="753"/>
      <c r="G285" s="754"/>
      <c r="H285" s="732"/>
      <c r="I285" s="731" t="str">
        <f t="shared" si="18"/>
        <v/>
      </c>
      <c r="K285" s="241" t="str">
        <f t="shared" si="17"/>
        <v/>
      </c>
      <c r="L285" s="137"/>
    </row>
    <row r="286" spans="5:12" ht="11.25" customHeight="1" x14ac:dyDescent="0.2">
      <c r="E286" s="117">
        <v>279</v>
      </c>
      <c r="F286" s="753"/>
      <c r="G286" s="754"/>
      <c r="H286" s="732"/>
      <c r="I286" s="731" t="str">
        <f t="shared" si="18"/>
        <v/>
      </c>
      <c r="K286" s="241" t="str">
        <f t="shared" si="17"/>
        <v/>
      </c>
      <c r="L286" s="137"/>
    </row>
    <row r="287" spans="5:12" ht="11.25" customHeight="1" x14ac:dyDescent="0.2">
      <c r="E287" s="117">
        <v>280</v>
      </c>
      <c r="F287" s="753"/>
      <c r="G287" s="754"/>
      <c r="H287" s="732"/>
      <c r="I287" s="731" t="str">
        <f t="shared" si="18"/>
        <v/>
      </c>
      <c r="K287" s="241" t="str">
        <f t="shared" si="17"/>
        <v/>
      </c>
      <c r="L287" s="137"/>
    </row>
    <row r="288" spans="5:12" ht="11.25" customHeight="1" x14ac:dyDescent="0.2">
      <c r="E288" s="117">
        <v>281</v>
      </c>
      <c r="F288" s="753"/>
      <c r="G288" s="754"/>
      <c r="H288" s="732"/>
      <c r="I288" s="731" t="str">
        <f t="shared" si="18"/>
        <v/>
      </c>
      <c r="K288" s="241" t="str">
        <f t="shared" si="17"/>
        <v/>
      </c>
      <c r="L288" s="137"/>
    </row>
    <row r="289" spans="5:12" ht="11.25" customHeight="1" x14ac:dyDescent="0.2">
      <c r="E289" s="117">
        <v>282</v>
      </c>
      <c r="F289" s="753"/>
      <c r="G289" s="754"/>
      <c r="H289" s="732"/>
      <c r="I289" s="731" t="str">
        <f t="shared" si="18"/>
        <v/>
      </c>
      <c r="K289" s="241" t="str">
        <f t="shared" si="17"/>
        <v/>
      </c>
      <c r="L289" s="137"/>
    </row>
    <row r="290" spans="5:12" ht="11.25" customHeight="1" x14ac:dyDescent="0.2">
      <c r="E290" s="117">
        <v>283</v>
      </c>
      <c r="F290" s="753"/>
      <c r="G290" s="754"/>
      <c r="H290" s="732"/>
      <c r="I290" s="731" t="str">
        <f t="shared" si="18"/>
        <v/>
      </c>
      <c r="K290" s="241" t="str">
        <f t="shared" si="17"/>
        <v/>
      </c>
      <c r="L290" s="137"/>
    </row>
    <row r="291" spans="5:12" ht="11.25" customHeight="1" x14ac:dyDescent="0.2">
      <c r="E291" s="117">
        <v>284</v>
      </c>
      <c r="F291" s="753"/>
      <c r="G291" s="754"/>
      <c r="H291" s="732"/>
      <c r="I291" s="731" t="str">
        <f t="shared" si="18"/>
        <v/>
      </c>
      <c r="K291" s="241" t="str">
        <f t="shared" si="17"/>
        <v/>
      </c>
      <c r="L291" s="137"/>
    </row>
    <row r="292" spans="5:12" ht="11.25" customHeight="1" x14ac:dyDescent="0.2">
      <c r="E292" s="117">
        <v>285</v>
      </c>
      <c r="F292" s="753"/>
      <c r="G292" s="754"/>
      <c r="H292" s="732"/>
      <c r="I292" s="731" t="str">
        <f t="shared" si="18"/>
        <v/>
      </c>
      <c r="K292" s="241" t="str">
        <f t="shared" si="17"/>
        <v/>
      </c>
      <c r="L292" s="137"/>
    </row>
    <row r="293" spans="5:12" ht="11.25" customHeight="1" x14ac:dyDescent="0.2">
      <c r="E293" s="117">
        <v>286</v>
      </c>
      <c r="F293" s="753"/>
      <c r="G293" s="754"/>
      <c r="H293" s="732"/>
      <c r="I293" s="731" t="str">
        <f t="shared" si="18"/>
        <v/>
      </c>
      <c r="K293" s="241" t="str">
        <f t="shared" si="17"/>
        <v/>
      </c>
      <c r="L293" s="137"/>
    </row>
    <row r="294" spans="5:12" ht="11.25" customHeight="1" x14ac:dyDescent="0.2">
      <c r="E294" s="117">
        <v>287</v>
      </c>
      <c r="F294" s="753"/>
      <c r="G294" s="754"/>
      <c r="H294" s="732"/>
      <c r="I294" s="731" t="str">
        <f t="shared" si="18"/>
        <v/>
      </c>
      <c r="K294" s="241" t="str">
        <f t="shared" si="17"/>
        <v/>
      </c>
      <c r="L294" s="137"/>
    </row>
    <row r="295" spans="5:12" ht="11.25" customHeight="1" x14ac:dyDescent="0.2">
      <c r="E295" s="117">
        <v>288</v>
      </c>
      <c r="F295" s="753"/>
      <c r="G295" s="754"/>
      <c r="H295" s="732"/>
      <c r="I295" s="731" t="str">
        <f t="shared" si="18"/>
        <v/>
      </c>
      <c r="K295" s="241" t="str">
        <f t="shared" si="17"/>
        <v/>
      </c>
      <c r="L295" s="137"/>
    </row>
    <row r="296" spans="5:12" ht="11.25" customHeight="1" x14ac:dyDescent="0.2">
      <c r="E296" s="117">
        <v>289</v>
      </c>
      <c r="F296" s="753"/>
      <c r="G296" s="754"/>
      <c r="H296" s="732"/>
      <c r="I296" s="731" t="str">
        <f t="shared" si="18"/>
        <v/>
      </c>
      <c r="K296" s="241" t="str">
        <f t="shared" si="17"/>
        <v/>
      </c>
      <c r="L296" s="137"/>
    </row>
    <row r="297" spans="5:12" ht="11.25" customHeight="1" x14ac:dyDescent="0.2">
      <c r="E297" s="117">
        <v>290</v>
      </c>
      <c r="F297" s="753"/>
      <c r="G297" s="754"/>
      <c r="H297" s="732"/>
      <c r="I297" s="731" t="str">
        <f t="shared" si="18"/>
        <v/>
      </c>
      <c r="K297" s="241" t="str">
        <f t="shared" si="17"/>
        <v/>
      </c>
      <c r="L297" s="137"/>
    </row>
    <row r="298" spans="5:12" ht="11.25" customHeight="1" x14ac:dyDescent="0.2">
      <c r="E298" s="117">
        <v>291</v>
      </c>
      <c r="F298" s="753"/>
      <c r="G298" s="754"/>
      <c r="H298" s="732"/>
      <c r="I298" s="731" t="str">
        <f t="shared" si="18"/>
        <v/>
      </c>
      <c r="K298" s="241" t="str">
        <f t="shared" si="17"/>
        <v/>
      </c>
      <c r="L298" s="137"/>
    </row>
    <row r="299" spans="5:12" ht="11.25" customHeight="1" x14ac:dyDescent="0.2">
      <c r="E299" s="117">
        <v>292</v>
      </c>
      <c r="F299" s="753"/>
      <c r="G299" s="754"/>
      <c r="H299" s="732"/>
      <c r="I299" s="731" t="str">
        <f t="shared" si="18"/>
        <v/>
      </c>
      <c r="K299" s="241" t="str">
        <f t="shared" si="17"/>
        <v/>
      </c>
      <c r="L299" s="137"/>
    </row>
    <row r="300" spans="5:12" ht="11.25" customHeight="1" x14ac:dyDescent="0.2">
      <c r="E300" s="117">
        <v>293</v>
      </c>
      <c r="F300" s="753"/>
      <c r="G300" s="754"/>
      <c r="H300" s="732"/>
      <c r="I300" s="731" t="str">
        <f t="shared" si="18"/>
        <v/>
      </c>
      <c r="K300" s="241" t="str">
        <f t="shared" si="17"/>
        <v/>
      </c>
      <c r="L300" s="137"/>
    </row>
    <row r="301" spans="5:12" ht="11.25" customHeight="1" x14ac:dyDescent="0.2">
      <c r="E301" s="117">
        <v>294</v>
      </c>
      <c r="F301" s="753"/>
      <c r="G301" s="754"/>
      <c r="H301" s="732"/>
      <c r="I301" s="731" t="str">
        <f t="shared" si="18"/>
        <v/>
      </c>
      <c r="K301" s="241" t="str">
        <f t="shared" si="17"/>
        <v/>
      </c>
      <c r="L301" s="137"/>
    </row>
    <row r="302" spans="5:12" ht="11.25" customHeight="1" x14ac:dyDescent="0.2">
      <c r="E302" s="117">
        <v>295</v>
      </c>
      <c r="F302" s="753"/>
      <c r="G302" s="754"/>
      <c r="H302" s="732"/>
      <c r="I302" s="731" t="str">
        <f t="shared" si="18"/>
        <v/>
      </c>
      <c r="K302" s="241" t="str">
        <f t="shared" si="17"/>
        <v/>
      </c>
      <c r="L302" s="137"/>
    </row>
    <row r="303" spans="5:12" ht="11.25" customHeight="1" x14ac:dyDescent="0.2">
      <c r="E303" s="117">
        <v>296</v>
      </c>
      <c r="F303" s="753"/>
      <c r="G303" s="754"/>
      <c r="H303" s="732"/>
      <c r="I303" s="731" t="str">
        <f t="shared" si="18"/>
        <v/>
      </c>
      <c r="K303" s="241" t="str">
        <f t="shared" si="17"/>
        <v/>
      </c>
      <c r="L303" s="137"/>
    </row>
    <row r="304" spans="5:12" ht="11.25" customHeight="1" x14ac:dyDescent="0.2">
      <c r="E304" s="117">
        <v>297</v>
      </c>
      <c r="F304" s="753"/>
      <c r="G304" s="754"/>
      <c r="H304" s="732"/>
      <c r="I304" s="731" t="str">
        <f t="shared" si="18"/>
        <v/>
      </c>
      <c r="K304" s="241" t="str">
        <f t="shared" si="17"/>
        <v/>
      </c>
      <c r="L304" s="137"/>
    </row>
    <row r="305" spans="5:12" ht="11.25" customHeight="1" x14ac:dyDescent="0.2">
      <c r="E305" s="117">
        <v>298</v>
      </c>
      <c r="F305" s="753"/>
      <c r="G305" s="754"/>
      <c r="H305" s="732"/>
      <c r="I305" s="731" t="str">
        <f t="shared" si="18"/>
        <v/>
      </c>
      <c r="K305" s="241" t="str">
        <f t="shared" si="17"/>
        <v/>
      </c>
      <c r="L305" s="137"/>
    </row>
    <row r="306" spans="5:12" ht="11.25" customHeight="1" x14ac:dyDescent="0.2">
      <c r="E306" s="117">
        <v>299</v>
      </c>
      <c r="F306" s="753"/>
      <c r="G306" s="754"/>
      <c r="H306" s="732"/>
      <c r="I306" s="731" t="str">
        <f t="shared" si="18"/>
        <v/>
      </c>
      <c r="K306" s="241" t="str">
        <f t="shared" si="17"/>
        <v/>
      </c>
      <c r="L306" s="137"/>
    </row>
    <row r="307" spans="5:12" ht="11.25" customHeight="1" x14ac:dyDescent="0.2">
      <c r="E307" s="117">
        <v>300</v>
      </c>
      <c r="F307" s="753"/>
      <c r="G307" s="754"/>
      <c r="H307" s="732"/>
      <c r="I307" s="731" t="str">
        <f t="shared" si="18"/>
        <v/>
      </c>
      <c r="K307" s="241" t="str">
        <f t="shared" si="17"/>
        <v/>
      </c>
      <c r="L307" s="137"/>
    </row>
    <row r="308" spans="5:12" ht="11.25" customHeight="1" x14ac:dyDescent="0.2">
      <c r="E308" s="117">
        <v>301</v>
      </c>
      <c r="F308" s="753"/>
      <c r="G308" s="754"/>
      <c r="H308" s="732"/>
      <c r="I308" s="731" t="str">
        <f t="shared" si="18"/>
        <v/>
      </c>
      <c r="K308" s="241" t="str">
        <f t="shared" si="17"/>
        <v/>
      </c>
      <c r="L308" s="137"/>
    </row>
    <row r="309" spans="5:12" ht="11.25" customHeight="1" x14ac:dyDescent="0.2">
      <c r="E309" s="117">
        <v>302</v>
      </c>
      <c r="F309" s="753"/>
      <c r="G309" s="754"/>
      <c r="H309" s="732"/>
      <c r="I309" s="731" t="str">
        <f t="shared" si="18"/>
        <v/>
      </c>
      <c r="K309" s="241" t="str">
        <f t="shared" si="17"/>
        <v/>
      </c>
      <c r="L309" s="137"/>
    </row>
    <row r="310" spans="5:12" ht="11.25" customHeight="1" x14ac:dyDescent="0.2">
      <c r="E310" s="117">
        <v>303</v>
      </c>
      <c r="F310" s="753"/>
      <c r="G310" s="754"/>
      <c r="H310" s="732"/>
      <c r="I310" s="731" t="str">
        <f t="shared" si="18"/>
        <v/>
      </c>
      <c r="K310" s="241" t="str">
        <f t="shared" si="17"/>
        <v/>
      </c>
      <c r="L310" s="137"/>
    </row>
    <row r="311" spans="5:12" ht="11.25" customHeight="1" x14ac:dyDescent="0.2">
      <c r="E311" s="117">
        <v>304</v>
      </c>
      <c r="F311" s="753"/>
      <c r="G311" s="754"/>
      <c r="H311" s="732"/>
      <c r="I311" s="731" t="str">
        <f t="shared" si="18"/>
        <v/>
      </c>
      <c r="K311" s="241" t="str">
        <f t="shared" si="17"/>
        <v/>
      </c>
      <c r="L311" s="137"/>
    </row>
    <row r="312" spans="5:12" ht="11.25" customHeight="1" x14ac:dyDescent="0.2">
      <c r="E312" s="117">
        <v>305</v>
      </c>
      <c r="F312" s="753"/>
      <c r="G312" s="754"/>
      <c r="H312" s="732"/>
      <c r="I312" s="731" t="str">
        <f t="shared" si="18"/>
        <v/>
      </c>
      <c r="K312" s="241" t="str">
        <f t="shared" si="17"/>
        <v/>
      </c>
      <c r="L312" s="137"/>
    </row>
    <row r="313" spans="5:12" ht="11.25" customHeight="1" x14ac:dyDescent="0.2">
      <c r="E313" s="117">
        <v>306</v>
      </c>
      <c r="F313" s="753"/>
      <c r="G313" s="754"/>
      <c r="H313" s="732"/>
      <c r="I313" s="731" t="str">
        <f t="shared" si="18"/>
        <v/>
      </c>
      <c r="K313" s="241" t="str">
        <f t="shared" si="17"/>
        <v/>
      </c>
      <c r="L313" s="137"/>
    </row>
    <row r="314" spans="5:12" ht="11.25" customHeight="1" x14ac:dyDescent="0.2">
      <c r="E314" s="117">
        <v>307</v>
      </c>
      <c r="F314" s="753"/>
      <c r="G314" s="754"/>
      <c r="H314" s="732"/>
      <c r="I314" s="731" t="str">
        <f t="shared" si="18"/>
        <v/>
      </c>
      <c r="K314" s="241" t="str">
        <f t="shared" si="17"/>
        <v/>
      </c>
      <c r="L314" s="137"/>
    </row>
    <row r="315" spans="5:12" ht="11.25" customHeight="1" x14ac:dyDescent="0.2">
      <c r="E315" s="117">
        <v>308</v>
      </c>
      <c r="F315" s="753"/>
      <c r="G315" s="754"/>
      <c r="H315" s="732"/>
      <c r="I315" s="731" t="str">
        <f t="shared" si="18"/>
        <v/>
      </c>
      <c r="K315" s="241" t="str">
        <f t="shared" si="17"/>
        <v/>
      </c>
      <c r="L315" s="137"/>
    </row>
    <row r="316" spans="5:12" ht="11.25" customHeight="1" x14ac:dyDescent="0.2">
      <c r="E316" s="117">
        <v>309</v>
      </c>
      <c r="F316" s="753"/>
      <c r="G316" s="754"/>
      <c r="H316" s="732"/>
      <c r="I316" s="731" t="str">
        <f t="shared" si="18"/>
        <v/>
      </c>
      <c r="K316" s="241" t="str">
        <f t="shared" si="17"/>
        <v/>
      </c>
      <c r="L316" s="137"/>
    </row>
    <row r="317" spans="5:12" ht="11.25" customHeight="1" x14ac:dyDescent="0.2">
      <c r="E317" s="117">
        <v>310</v>
      </c>
      <c r="F317" s="753"/>
      <c r="G317" s="754"/>
      <c r="H317" s="732"/>
      <c r="I317" s="731" t="str">
        <f t="shared" si="18"/>
        <v/>
      </c>
      <c r="K317" s="241" t="str">
        <f t="shared" si="17"/>
        <v/>
      </c>
      <c r="L317" s="137"/>
    </row>
    <row r="318" spans="5:12" ht="11.25" customHeight="1" x14ac:dyDescent="0.2">
      <c r="E318" s="117">
        <v>311</v>
      </c>
      <c r="F318" s="753"/>
      <c r="G318" s="754"/>
      <c r="H318" s="732"/>
      <c r="I318" s="731" t="str">
        <f t="shared" si="18"/>
        <v/>
      </c>
      <c r="K318" s="241" t="str">
        <f t="shared" si="17"/>
        <v/>
      </c>
      <c r="L318" s="137"/>
    </row>
    <row r="319" spans="5:12" ht="11.25" customHeight="1" x14ac:dyDescent="0.2">
      <c r="E319" s="117">
        <v>312</v>
      </c>
      <c r="F319" s="753"/>
      <c r="G319" s="754"/>
      <c r="H319" s="732"/>
      <c r="I319" s="731" t="str">
        <f t="shared" si="18"/>
        <v/>
      </c>
      <c r="K319" s="241" t="str">
        <f t="shared" ref="K319:K382" si="19">IF(I264&lt;&gt;"",(F264+G264)/2,"")</f>
        <v/>
      </c>
      <c r="L319" s="137"/>
    </row>
    <row r="320" spans="5:12" ht="11.25" customHeight="1" x14ac:dyDescent="0.2">
      <c r="E320" s="117">
        <v>313</v>
      </c>
      <c r="F320" s="753"/>
      <c r="G320" s="754"/>
      <c r="H320" s="732"/>
      <c r="I320" s="731" t="str">
        <f t="shared" si="18"/>
        <v/>
      </c>
      <c r="K320" s="241" t="str">
        <f t="shared" si="19"/>
        <v/>
      </c>
      <c r="L320" s="137"/>
    </row>
    <row r="321" spans="5:12" ht="11.25" customHeight="1" x14ac:dyDescent="0.2">
      <c r="E321" s="117">
        <v>314</v>
      </c>
      <c r="F321" s="753"/>
      <c r="G321" s="754"/>
      <c r="H321" s="732"/>
      <c r="I321" s="731" t="str">
        <f t="shared" si="18"/>
        <v/>
      </c>
      <c r="K321" s="241" t="str">
        <f t="shared" si="19"/>
        <v/>
      </c>
      <c r="L321" s="137"/>
    </row>
    <row r="322" spans="5:12" ht="11.25" customHeight="1" x14ac:dyDescent="0.2">
      <c r="E322" s="117">
        <v>315</v>
      </c>
      <c r="F322" s="753"/>
      <c r="G322" s="754"/>
      <c r="H322" s="732"/>
      <c r="I322" s="731" t="str">
        <f t="shared" si="18"/>
        <v/>
      </c>
      <c r="K322" s="241" t="str">
        <f t="shared" si="19"/>
        <v/>
      </c>
      <c r="L322" s="137"/>
    </row>
    <row r="323" spans="5:12" ht="11.25" customHeight="1" x14ac:dyDescent="0.2">
      <c r="E323" s="117">
        <v>316</v>
      </c>
      <c r="F323" s="753"/>
      <c r="G323" s="754"/>
      <c r="H323" s="732"/>
      <c r="I323" s="731" t="str">
        <f t="shared" si="18"/>
        <v/>
      </c>
      <c r="K323" s="241" t="str">
        <f t="shared" si="19"/>
        <v/>
      </c>
      <c r="L323" s="137"/>
    </row>
    <row r="324" spans="5:12" ht="11.25" customHeight="1" x14ac:dyDescent="0.2">
      <c r="E324" s="117">
        <v>317</v>
      </c>
      <c r="F324" s="753"/>
      <c r="G324" s="754"/>
      <c r="H324" s="732"/>
      <c r="I324" s="731" t="str">
        <f t="shared" si="18"/>
        <v/>
      </c>
      <c r="K324" s="241" t="str">
        <f t="shared" si="19"/>
        <v/>
      </c>
      <c r="L324" s="137"/>
    </row>
    <row r="325" spans="5:12" ht="11.25" customHeight="1" x14ac:dyDescent="0.2">
      <c r="E325" s="117">
        <v>318</v>
      </c>
      <c r="F325" s="753"/>
      <c r="G325" s="754"/>
      <c r="H325" s="732"/>
      <c r="I325" s="731" t="str">
        <f t="shared" si="18"/>
        <v/>
      </c>
      <c r="K325" s="241" t="str">
        <f t="shared" si="19"/>
        <v/>
      </c>
      <c r="L325" s="137"/>
    </row>
    <row r="326" spans="5:12" ht="11.25" customHeight="1" x14ac:dyDescent="0.2">
      <c r="E326" s="117">
        <v>319</v>
      </c>
      <c r="F326" s="753"/>
      <c r="G326" s="754"/>
      <c r="H326" s="732"/>
      <c r="I326" s="731" t="str">
        <f t="shared" si="18"/>
        <v/>
      </c>
      <c r="K326" s="241" t="str">
        <f t="shared" si="19"/>
        <v/>
      </c>
      <c r="L326" s="137"/>
    </row>
    <row r="327" spans="5:12" ht="11.25" customHeight="1" x14ac:dyDescent="0.2">
      <c r="E327" s="117">
        <v>320</v>
      </c>
      <c r="F327" s="753"/>
      <c r="G327" s="754"/>
      <c r="H327" s="732"/>
      <c r="I327" s="731" t="str">
        <f t="shared" si="18"/>
        <v/>
      </c>
      <c r="K327" s="241" t="str">
        <f t="shared" si="19"/>
        <v/>
      </c>
      <c r="L327" s="137"/>
    </row>
    <row r="328" spans="5:12" ht="11.25" customHeight="1" x14ac:dyDescent="0.2">
      <c r="E328" s="117">
        <v>321</v>
      </c>
      <c r="F328" s="753"/>
      <c r="G328" s="754"/>
      <c r="H328" s="732"/>
      <c r="I328" s="731" t="str">
        <f t="shared" ref="I328:I391" si="20">IF(AND(F328&lt;&gt;"",G328&lt;&gt;""),G328-F328,"")</f>
        <v/>
      </c>
      <c r="K328" s="241" t="str">
        <f t="shared" si="19"/>
        <v/>
      </c>
      <c r="L328" s="137"/>
    </row>
    <row r="329" spans="5:12" ht="11.25" customHeight="1" x14ac:dyDescent="0.2">
      <c r="E329" s="117">
        <v>322</v>
      </c>
      <c r="F329" s="753"/>
      <c r="G329" s="754"/>
      <c r="H329" s="732"/>
      <c r="I329" s="731" t="str">
        <f t="shared" si="20"/>
        <v/>
      </c>
      <c r="K329" s="241" t="str">
        <f t="shared" si="19"/>
        <v/>
      </c>
      <c r="L329" s="137"/>
    </row>
    <row r="330" spans="5:12" ht="11.25" customHeight="1" x14ac:dyDescent="0.2">
      <c r="E330" s="117">
        <v>323</v>
      </c>
      <c r="F330" s="753"/>
      <c r="G330" s="754"/>
      <c r="H330" s="732"/>
      <c r="I330" s="731" t="str">
        <f t="shared" si="20"/>
        <v/>
      </c>
      <c r="K330" s="241" t="str">
        <f t="shared" si="19"/>
        <v/>
      </c>
      <c r="L330" s="137"/>
    </row>
    <row r="331" spans="5:12" ht="11.25" customHeight="1" x14ac:dyDescent="0.2">
      <c r="E331" s="117">
        <v>324</v>
      </c>
      <c r="F331" s="753"/>
      <c r="G331" s="754"/>
      <c r="H331" s="732"/>
      <c r="I331" s="731" t="str">
        <f t="shared" si="20"/>
        <v/>
      </c>
      <c r="K331" s="241" t="str">
        <f t="shared" si="19"/>
        <v/>
      </c>
      <c r="L331" s="137"/>
    </row>
    <row r="332" spans="5:12" ht="11.25" customHeight="1" x14ac:dyDescent="0.2">
      <c r="E332" s="117">
        <v>325</v>
      </c>
      <c r="F332" s="753"/>
      <c r="G332" s="754"/>
      <c r="H332" s="732"/>
      <c r="I332" s="731" t="str">
        <f t="shared" si="20"/>
        <v/>
      </c>
      <c r="K332" s="241" t="str">
        <f t="shared" si="19"/>
        <v/>
      </c>
      <c r="L332" s="137"/>
    </row>
    <row r="333" spans="5:12" ht="11.25" customHeight="1" x14ac:dyDescent="0.2">
      <c r="E333" s="117">
        <v>326</v>
      </c>
      <c r="F333" s="753"/>
      <c r="G333" s="754"/>
      <c r="H333" s="732"/>
      <c r="I333" s="731" t="str">
        <f t="shared" si="20"/>
        <v/>
      </c>
      <c r="K333" s="241" t="str">
        <f t="shared" si="19"/>
        <v/>
      </c>
      <c r="L333" s="137"/>
    </row>
    <row r="334" spans="5:12" ht="11.25" customHeight="1" x14ac:dyDescent="0.2">
      <c r="E334" s="117">
        <v>327</v>
      </c>
      <c r="F334" s="753"/>
      <c r="G334" s="754"/>
      <c r="H334" s="732"/>
      <c r="I334" s="731" t="str">
        <f t="shared" si="20"/>
        <v/>
      </c>
      <c r="K334" s="241" t="str">
        <f t="shared" si="19"/>
        <v/>
      </c>
      <c r="L334" s="137"/>
    </row>
    <row r="335" spans="5:12" ht="11.25" customHeight="1" x14ac:dyDescent="0.2">
      <c r="E335" s="117">
        <v>328</v>
      </c>
      <c r="F335" s="753"/>
      <c r="G335" s="754"/>
      <c r="H335" s="732"/>
      <c r="I335" s="731" t="str">
        <f t="shared" si="20"/>
        <v/>
      </c>
      <c r="K335" s="241" t="str">
        <f t="shared" si="19"/>
        <v/>
      </c>
      <c r="L335" s="137"/>
    </row>
    <row r="336" spans="5:12" ht="11.25" customHeight="1" x14ac:dyDescent="0.2">
      <c r="E336" s="117">
        <v>329</v>
      </c>
      <c r="F336" s="753"/>
      <c r="G336" s="754"/>
      <c r="H336" s="732"/>
      <c r="I336" s="731" t="str">
        <f t="shared" si="20"/>
        <v/>
      </c>
      <c r="K336" s="241" t="str">
        <f t="shared" si="19"/>
        <v/>
      </c>
      <c r="L336" s="137"/>
    </row>
    <row r="337" spans="5:12" ht="11.25" customHeight="1" x14ac:dyDescent="0.2">
      <c r="E337" s="117">
        <v>330</v>
      </c>
      <c r="F337" s="753"/>
      <c r="G337" s="754"/>
      <c r="H337" s="732"/>
      <c r="I337" s="731" t="str">
        <f t="shared" si="20"/>
        <v/>
      </c>
      <c r="K337" s="241" t="str">
        <f t="shared" si="19"/>
        <v/>
      </c>
      <c r="L337" s="137"/>
    </row>
    <row r="338" spans="5:12" ht="11.25" customHeight="1" x14ac:dyDescent="0.2">
      <c r="E338" s="117">
        <v>331</v>
      </c>
      <c r="F338" s="753"/>
      <c r="G338" s="754"/>
      <c r="H338" s="732"/>
      <c r="I338" s="731" t="str">
        <f t="shared" si="20"/>
        <v/>
      </c>
      <c r="K338" s="241" t="str">
        <f t="shared" si="19"/>
        <v/>
      </c>
      <c r="L338" s="137"/>
    </row>
    <row r="339" spans="5:12" ht="11.25" customHeight="1" x14ac:dyDescent="0.2">
      <c r="E339" s="117">
        <v>332</v>
      </c>
      <c r="F339" s="753"/>
      <c r="G339" s="754"/>
      <c r="H339" s="732"/>
      <c r="I339" s="731" t="str">
        <f t="shared" si="20"/>
        <v/>
      </c>
      <c r="K339" s="241" t="str">
        <f t="shared" si="19"/>
        <v/>
      </c>
      <c r="L339" s="137"/>
    </row>
    <row r="340" spans="5:12" ht="11.25" customHeight="1" x14ac:dyDescent="0.2">
      <c r="E340" s="117">
        <v>333</v>
      </c>
      <c r="F340" s="753"/>
      <c r="G340" s="754"/>
      <c r="H340" s="732"/>
      <c r="I340" s="731" t="str">
        <f t="shared" si="20"/>
        <v/>
      </c>
      <c r="K340" s="241" t="str">
        <f t="shared" si="19"/>
        <v/>
      </c>
      <c r="L340" s="137"/>
    </row>
    <row r="341" spans="5:12" ht="11.25" customHeight="1" x14ac:dyDescent="0.2">
      <c r="E341" s="117">
        <v>334</v>
      </c>
      <c r="F341" s="753"/>
      <c r="G341" s="754"/>
      <c r="H341" s="732"/>
      <c r="I341" s="731" t="str">
        <f t="shared" si="20"/>
        <v/>
      </c>
      <c r="K341" s="241" t="str">
        <f t="shared" si="19"/>
        <v/>
      </c>
      <c r="L341" s="137"/>
    </row>
    <row r="342" spans="5:12" ht="11.25" customHeight="1" x14ac:dyDescent="0.2">
      <c r="E342" s="117">
        <v>335</v>
      </c>
      <c r="F342" s="753"/>
      <c r="G342" s="754"/>
      <c r="H342" s="732"/>
      <c r="I342" s="731" t="str">
        <f t="shared" si="20"/>
        <v/>
      </c>
      <c r="K342" s="241" t="str">
        <f t="shared" si="19"/>
        <v/>
      </c>
      <c r="L342" s="137"/>
    </row>
    <row r="343" spans="5:12" ht="11.25" customHeight="1" x14ac:dyDescent="0.2">
      <c r="E343" s="117">
        <v>336</v>
      </c>
      <c r="F343" s="753"/>
      <c r="G343" s="754"/>
      <c r="H343" s="732"/>
      <c r="I343" s="731" t="str">
        <f t="shared" si="20"/>
        <v/>
      </c>
      <c r="K343" s="241" t="str">
        <f t="shared" si="19"/>
        <v/>
      </c>
      <c r="L343" s="137"/>
    </row>
    <row r="344" spans="5:12" ht="11.25" customHeight="1" x14ac:dyDescent="0.2">
      <c r="E344" s="117">
        <v>337</v>
      </c>
      <c r="F344" s="753"/>
      <c r="G344" s="754"/>
      <c r="H344" s="732"/>
      <c r="I344" s="731" t="str">
        <f t="shared" si="20"/>
        <v/>
      </c>
      <c r="K344" s="241" t="str">
        <f t="shared" si="19"/>
        <v/>
      </c>
      <c r="L344" s="137"/>
    </row>
    <row r="345" spans="5:12" ht="11.25" customHeight="1" x14ac:dyDescent="0.2">
      <c r="E345" s="117">
        <v>338</v>
      </c>
      <c r="F345" s="753"/>
      <c r="G345" s="754"/>
      <c r="H345" s="732"/>
      <c r="I345" s="731" t="str">
        <f t="shared" si="20"/>
        <v/>
      </c>
      <c r="K345" s="241" t="str">
        <f t="shared" si="19"/>
        <v/>
      </c>
      <c r="L345" s="137"/>
    </row>
    <row r="346" spans="5:12" ht="11.25" customHeight="1" x14ac:dyDescent="0.2">
      <c r="E346" s="117">
        <v>339</v>
      </c>
      <c r="F346" s="753"/>
      <c r="G346" s="754"/>
      <c r="H346" s="732"/>
      <c r="I346" s="731" t="str">
        <f t="shared" si="20"/>
        <v/>
      </c>
      <c r="K346" s="241" t="str">
        <f t="shared" si="19"/>
        <v/>
      </c>
      <c r="L346" s="137"/>
    </row>
    <row r="347" spans="5:12" ht="11.25" customHeight="1" x14ac:dyDescent="0.2">
      <c r="E347" s="117">
        <v>340</v>
      </c>
      <c r="F347" s="753"/>
      <c r="G347" s="754"/>
      <c r="H347" s="732"/>
      <c r="I347" s="731" t="str">
        <f t="shared" si="20"/>
        <v/>
      </c>
      <c r="K347" s="241" t="str">
        <f t="shared" si="19"/>
        <v/>
      </c>
      <c r="L347" s="137"/>
    </row>
    <row r="348" spans="5:12" ht="11.25" customHeight="1" x14ac:dyDescent="0.2">
      <c r="E348" s="117">
        <v>341</v>
      </c>
      <c r="F348" s="753"/>
      <c r="G348" s="754"/>
      <c r="H348" s="732"/>
      <c r="I348" s="731" t="str">
        <f t="shared" si="20"/>
        <v/>
      </c>
      <c r="K348" s="241" t="str">
        <f t="shared" si="19"/>
        <v/>
      </c>
      <c r="L348" s="137"/>
    </row>
    <row r="349" spans="5:12" ht="11.25" customHeight="1" x14ac:dyDescent="0.2">
      <c r="E349" s="117">
        <v>342</v>
      </c>
      <c r="F349" s="753"/>
      <c r="G349" s="754"/>
      <c r="H349" s="732"/>
      <c r="I349" s="731" t="str">
        <f t="shared" si="20"/>
        <v/>
      </c>
      <c r="K349" s="241" t="str">
        <f t="shared" si="19"/>
        <v/>
      </c>
      <c r="L349" s="137"/>
    </row>
    <row r="350" spans="5:12" ht="11.25" customHeight="1" x14ac:dyDescent="0.2">
      <c r="E350" s="117">
        <v>343</v>
      </c>
      <c r="F350" s="753"/>
      <c r="G350" s="754"/>
      <c r="H350" s="732"/>
      <c r="I350" s="731" t="str">
        <f t="shared" si="20"/>
        <v/>
      </c>
      <c r="K350" s="241" t="str">
        <f t="shared" si="19"/>
        <v/>
      </c>
      <c r="L350" s="137"/>
    </row>
    <row r="351" spans="5:12" ht="11.25" customHeight="1" x14ac:dyDescent="0.2">
      <c r="E351" s="117">
        <v>344</v>
      </c>
      <c r="F351" s="753"/>
      <c r="G351" s="754"/>
      <c r="H351" s="732"/>
      <c r="I351" s="731" t="str">
        <f t="shared" si="20"/>
        <v/>
      </c>
      <c r="K351" s="241" t="str">
        <f t="shared" si="19"/>
        <v/>
      </c>
      <c r="L351" s="137"/>
    </row>
    <row r="352" spans="5:12" ht="11.25" customHeight="1" x14ac:dyDescent="0.2">
      <c r="E352" s="117">
        <v>345</v>
      </c>
      <c r="F352" s="753"/>
      <c r="G352" s="754"/>
      <c r="H352" s="732"/>
      <c r="I352" s="731" t="str">
        <f t="shared" si="20"/>
        <v/>
      </c>
      <c r="K352" s="241" t="str">
        <f t="shared" si="19"/>
        <v/>
      </c>
      <c r="L352" s="137"/>
    </row>
    <row r="353" spans="5:12" ht="11.25" customHeight="1" x14ac:dyDescent="0.2">
      <c r="E353" s="117">
        <v>346</v>
      </c>
      <c r="F353" s="753"/>
      <c r="G353" s="754"/>
      <c r="H353" s="732"/>
      <c r="I353" s="731" t="str">
        <f t="shared" si="20"/>
        <v/>
      </c>
      <c r="K353" s="241" t="str">
        <f t="shared" si="19"/>
        <v/>
      </c>
      <c r="L353" s="137"/>
    </row>
    <row r="354" spans="5:12" ht="11.25" customHeight="1" x14ac:dyDescent="0.2">
      <c r="E354" s="117">
        <v>347</v>
      </c>
      <c r="F354" s="753"/>
      <c r="G354" s="754"/>
      <c r="H354" s="732"/>
      <c r="I354" s="731" t="str">
        <f t="shared" si="20"/>
        <v/>
      </c>
      <c r="K354" s="241" t="str">
        <f t="shared" si="19"/>
        <v/>
      </c>
      <c r="L354" s="137"/>
    </row>
    <row r="355" spans="5:12" ht="11.25" customHeight="1" x14ac:dyDescent="0.2">
      <c r="E355" s="117">
        <v>348</v>
      </c>
      <c r="F355" s="753"/>
      <c r="G355" s="754"/>
      <c r="H355" s="732"/>
      <c r="I355" s="731" t="str">
        <f t="shared" si="20"/>
        <v/>
      </c>
      <c r="K355" s="241" t="str">
        <f t="shared" si="19"/>
        <v/>
      </c>
      <c r="L355" s="137"/>
    </row>
    <row r="356" spans="5:12" ht="11.25" customHeight="1" x14ac:dyDescent="0.2">
      <c r="E356" s="117">
        <v>349</v>
      </c>
      <c r="F356" s="753"/>
      <c r="G356" s="754"/>
      <c r="H356" s="732"/>
      <c r="I356" s="731" t="str">
        <f t="shared" si="20"/>
        <v/>
      </c>
      <c r="K356" s="241" t="str">
        <f t="shared" si="19"/>
        <v/>
      </c>
      <c r="L356" s="137"/>
    </row>
    <row r="357" spans="5:12" ht="11.25" customHeight="1" x14ac:dyDescent="0.2">
      <c r="E357" s="117">
        <v>350</v>
      </c>
      <c r="F357" s="753"/>
      <c r="G357" s="754"/>
      <c r="H357" s="732"/>
      <c r="I357" s="731" t="str">
        <f t="shared" si="20"/>
        <v/>
      </c>
      <c r="K357" s="241" t="str">
        <f t="shared" si="19"/>
        <v/>
      </c>
      <c r="L357" s="137"/>
    </row>
    <row r="358" spans="5:12" ht="11.25" customHeight="1" x14ac:dyDescent="0.2">
      <c r="E358" s="117">
        <v>351</v>
      </c>
      <c r="F358" s="753"/>
      <c r="G358" s="754"/>
      <c r="H358" s="732"/>
      <c r="I358" s="731" t="str">
        <f t="shared" si="20"/>
        <v/>
      </c>
      <c r="K358" s="241" t="str">
        <f t="shared" si="19"/>
        <v/>
      </c>
      <c r="L358" s="137"/>
    </row>
    <row r="359" spans="5:12" ht="11.25" customHeight="1" x14ac:dyDescent="0.2">
      <c r="E359" s="117">
        <v>352</v>
      </c>
      <c r="F359" s="753"/>
      <c r="G359" s="754"/>
      <c r="H359" s="732"/>
      <c r="I359" s="731" t="str">
        <f t="shared" si="20"/>
        <v/>
      </c>
      <c r="K359" s="241" t="str">
        <f t="shared" si="19"/>
        <v/>
      </c>
      <c r="L359" s="137"/>
    </row>
    <row r="360" spans="5:12" ht="11.25" customHeight="1" x14ac:dyDescent="0.2">
      <c r="E360" s="117">
        <v>353</v>
      </c>
      <c r="F360" s="753"/>
      <c r="G360" s="754"/>
      <c r="H360" s="732"/>
      <c r="I360" s="731" t="str">
        <f t="shared" si="20"/>
        <v/>
      </c>
      <c r="K360" s="241" t="str">
        <f t="shared" si="19"/>
        <v/>
      </c>
      <c r="L360" s="137"/>
    </row>
    <row r="361" spans="5:12" ht="11.25" customHeight="1" x14ac:dyDescent="0.2">
      <c r="E361" s="117">
        <v>354</v>
      </c>
      <c r="F361" s="753"/>
      <c r="G361" s="754"/>
      <c r="H361" s="732"/>
      <c r="I361" s="731" t="str">
        <f t="shared" si="20"/>
        <v/>
      </c>
      <c r="K361" s="241" t="str">
        <f t="shared" si="19"/>
        <v/>
      </c>
      <c r="L361" s="137"/>
    </row>
    <row r="362" spans="5:12" ht="11.25" customHeight="1" x14ac:dyDescent="0.2">
      <c r="E362" s="117">
        <v>355</v>
      </c>
      <c r="F362" s="753"/>
      <c r="G362" s="754"/>
      <c r="H362" s="732"/>
      <c r="I362" s="731" t="str">
        <f t="shared" si="20"/>
        <v/>
      </c>
      <c r="K362" s="241" t="str">
        <f t="shared" si="19"/>
        <v/>
      </c>
      <c r="L362" s="137"/>
    </row>
    <row r="363" spans="5:12" ht="11.25" customHeight="1" x14ac:dyDescent="0.2">
      <c r="E363" s="117">
        <v>356</v>
      </c>
      <c r="F363" s="753"/>
      <c r="G363" s="754"/>
      <c r="H363" s="732"/>
      <c r="I363" s="731" t="str">
        <f t="shared" si="20"/>
        <v/>
      </c>
      <c r="K363" s="241" t="str">
        <f t="shared" si="19"/>
        <v/>
      </c>
      <c r="L363" s="137"/>
    </row>
    <row r="364" spans="5:12" ht="11.25" customHeight="1" x14ac:dyDescent="0.2">
      <c r="E364" s="117">
        <v>357</v>
      </c>
      <c r="F364" s="753"/>
      <c r="G364" s="754"/>
      <c r="H364" s="732"/>
      <c r="I364" s="731" t="str">
        <f t="shared" si="20"/>
        <v/>
      </c>
      <c r="K364" s="241" t="str">
        <f t="shared" si="19"/>
        <v/>
      </c>
      <c r="L364" s="137"/>
    </row>
    <row r="365" spans="5:12" ht="11.25" customHeight="1" x14ac:dyDescent="0.2">
      <c r="E365" s="117">
        <v>358</v>
      </c>
      <c r="F365" s="753"/>
      <c r="G365" s="754"/>
      <c r="H365" s="732"/>
      <c r="I365" s="731" t="str">
        <f t="shared" si="20"/>
        <v/>
      </c>
      <c r="K365" s="241" t="str">
        <f t="shared" si="19"/>
        <v/>
      </c>
      <c r="L365" s="137"/>
    </row>
    <row r="366" spans="5:12" ht="11.25" customHeight="1" x14ac:dyDescent="0.2">
      <c r="E366" s="117">
        <v>359</v>
      </c>
      <c r="F366" s="753"/>
      <c r="G366" s="754"/>
      <c r="H366" s="732"/>
      <c r="I366" s="731" t="str">
        <f t="shared" si="20"/>
        <v/>
      </c>
      <c r="K366" s="241" t="str">
        <f t="shared" si="19"/>
        <v/>
      </c>
      <c r="L366" s="137"/>
    </row>
    <row r="367" spans="5:12" ht="11.25" customHeight="1" x14ac:dyDescent="0.2">
      <c r="E367" s="117">
        <v>360</v>
      </c>
      <c r="F367" s="753"/>
      <c r="G367" s="754"/>
      <c r="H367" s="732"/>
      <c r="I367" s="731" t="str">
        <f t="shared" si="20"/>
        <v/>
      </c>
      <c r="K367" s="241" t="str">
        <f t="shared" si="19"/>
        <v/>
      </c>
      <c r="L367" s="137"/>
    </row>
    <row r="368" spans="5:12" ht="11.25" customHeight="1" x14ac:dyDescent="0.2">
      <c r="E368" s="117">
        <v>361</v>
      </c>
      <c r="F368" s="753"/>
      <c r="G368" s="754"/>
      <c r="H368" s="732"/>
      <c r="I368" s="731" t="str">
        <f t="shared" si="20"/>
        <v/>
      </c>
      <c r="K368" s="241" t="str">
        <f t="shared" si="19"/>
        <v/>
      </c>
      <c r="L368" s="137"/>
    </row>
    <row r="369" spans="5:12" ht="11.25" customHeight="1" x14ac:dyDescent="0.2">
      <c r="E369" s="117">
        <v>362</v>
      </c>
      <c r="F369" s="753"/>
      <c r="G369" s="754"/>
      <c r="H369" s="732"/>
      <c r="I369" s="731" t="str">
        <f t="shared" si="20"/>
        <v/>
      </c>
      <c r="K369" s="241" t="str">
        <f t="shared" si="19"/>
        <v/>
      </c>
      <c r="L369" s="137"/>
    </row>
    <row r="370" spans="5:12" ht="11.25" customHeight="1" x14ac:dyDescent="0.2">
      <c r="E370" s="117">
        <v>363</v>
      </c>
      <c r="F370" s="753"/>
      <c r="G370" s="754"/>
      <c r="H370" s="732"/>
      <c r="I370" s="731" t="str">
        <f t="shared" si="20"/>
        <v/>
      </c>
      <c r="K370" s="241" t="str">
        <f t="shared" si="19"/>
        <v/>
      </c>
      <c r="L370" s="137"/>
    </row>
    <row r="371" spans="5:12" ht="11.25" customHeight="1" x14ac:dyDescent="0.2">
      <c r="E371" s="117">
        <v>364</v>
      </c>
      <c r="F371" s="753"/>
      <c r="G371" s="754"/>
      <c r="H371" s="732"/>
      <c r="I371" s="731" t="str">
        <f t="shared" si="20"/>
        <v/>
      </c>
      <c r="K371" s="241" t="str">
        <f t="shared" si="19"/>
        <v/>
      </c>
      <c r="L371" s="137"/>
    </row>
    <row r="372" spans="5:12" ht="11.25" customHeight="1" x14ac:dyDescent="0.2">
      <c r="E372" s="117">
        <v>365</v>
      </c>
      <c r="F372" s="753"/>
      <c r="G372" s="754"/>
      <c r="H372" s="732"/>
      <c r="I372" s="731" t="str">
        <f t="shared" si="20"/>
        <v/>
      </c>
      <c r="K372" s="241" t="str">
        <f t="shared" si="19"/>
        <v/>
      </c>
      <c r="L372" s="137"/>
    </row>
    <row r="373" spans="5:12" ht="11.25" customHeight="1" x14ac:dyDescent="0.2">
      <c r="E373" s="117">
        <v>366</v>
      </c>
      <c r="F373" s="753"/>
      <c r="G373" s="754"/>
      <c r="H373" s="732"/>
      <c r="I373" s="731" t="str">
        <f t="shared" si="20"/>
        <v/>
      </c>
      <c r="K373" s="241" t="str">
        <f t="shared" si="19"/>
        <v/>
      </c>
      <c r="L373" s="137"/>
    </row>
    <row r="374" spans="5:12" ht="11.25" customHeight="1" x14ac:dyDescent="0.2">
      <c r="E374" s="117">
        <v>367</v>
      </c>
      <c r="F374" s="753"/>
      <c r="G374" s="754"/>
      <c r="H374" s="732"/>
      <c r="I374" s="731" t="str">
        <f t="shared" si="20"/>
        <v/>
      </c>
      <c r="K374" s="241" t="str">
        <f t="shared" si="19"/>
        <v/>
      </c>
      <c r="L374" s="137"/>
    </row>
    <row r="375" spans="5:12" ht="11.25" customHeight="1" x14ac:dyDescent="0.2">
      <c r="E375" s="117">
        <v>368</v>
      </c>
      <c r="F375" s="753"/>
      <c r="G375" s="754"/>
      <c r="H375" s="732"/>
      <c r="I375" s="731" t="str">
        <f t="shared" si="20"/>
        <v/>
      </c>
      <c r="K375" s="241" t="str">
        <f t="shared" si="19"/>
        <v/>
      </c>
      <c r="L375" s="137"/>
    </row>
    <row r="376" spans="5:12" ht="11.25" customHeight="1" x14ac:dyDescent="0.2">
      <c r="E376" s="117">
        <v>369</v>
      </c>
      <c r="F376" s="753"/>
      <c r="G376" s="754"/>
      <c r="H376" s="732"/>
      <c r="I376" s="731" t="str">
        <f t="shared" si="20"/>
        <v/>
      </c>
      <c r="K376" s="241" t="str">
        <f t="shared" si="19"/>
        <v/>
      </c>
      <c r="L376" s="137"/>
    </row>
    <row r="377" spans="5:12" ht="11.25" customHeight="1" x14ac:dyDescent="0.2">
      <c r="E377" s="117">
        <v>370</v>
      </c>
      <c r="F377" s="753"/>
      <c r="G377" s="754"/>
      <c r="H377" s="732"/>
      <c r="I377" s="731" t="str">
        <f t="shared" si="20"/>
        <v/>
      </c>
      <c r="K377" s="241" t="str">
        <f t="shared" si="19"/>
        <v/>
      </c>
      <c r="L377" s="137"/>
    </row>
    <row r="378" spans="5:12" ht="11.25" customHeight="1" x14ac:dyDescent="0.2">
      <c r="E378" s="117">
        <v>371</v>
      </c>
      <c r="F378" s="753"/>
      <c r="G378" s="754"/>
      <c r="H378" s="732"/>
      <c r="I378" s="731" t="str">
        <f t="shared" si="20"/>
        <v/>
      </c>
      <c r="K378" s="241" t="str">
        <f t="shared" si="19"/>
        <v/>
      </c>
      <c r="L378" s="137"/>
    </row>
    <row r="379" spans="5:12" ht="11.25" customHeight="1" x14ac:dyDescent="0.2">
      <c r="E379" s="117">
        <v>372</v>
      </c>
      <c r="F379" s="753"/>
      <c r="G379" s="754"/>
      <c r="H379" s="732"/>
      <c r="I379" s="731" t="str">
        <f t="shared" si="20"/>
        <v/>
      </c>
      <c r="K379" s="241" t="str">
        <f t="shared" si="19"/>
        <v/>
      </c>
      <c r="L379" s="137"/>
    </row>
    <row r="380" spans="5:12" ht="11.25" customHeight="1" x14ac:dyDescent="0.2">
      <c r="E380" s="117">
        <v>373</v>
      </c>
      <c r="F380" s="753"/>
      <c r="G380" s="754"/>
      <c r="H380" s="732"/>
      <c r="I380" s="731" t="str">
        <f t="shared" si="20"/>
        <v/>
      </c>
      <c r="K380" s="241" t="str">
        <f t="shared" si="19"/>
        <v/>
      </c>
      <c r="L380" s="137"/>
    </row>
    <row r="381" spans="5:12" ht="11.25" customHeight="1" x14ac:dyDescent="0.2">
      <c r="E381" s="117">
        <v>374</v>
      </c>
      <c r="F381" s="753"/>
      <c r="G381" s="754"/>
      <c r="H381" s="732"/>
      <c r="I381" s="731" t="str">
        <f t="shared" si="20"/>
        <v/>
      </c>
      <c r="K381" s="241" t="str">
        <f t="shared" si="19"/>
        <v/>
      </c>
      <c r="L381" s="137"/>
    </row>
    <row r="382" spans="5:12" ht="11.25" customHeight="1" x14ac:dyDescent="0.2">
      <c r="E382" s="117">
        <v>375</v>
      </c>
      <c r="F382" s="753"/>
      <c r="G382" s="754"/>
      <c r="H382" s="732"/>
      <c r="I382" s="731" t="str">
        <f t="shared" si="20"/>
        <v/>
      </c>
      <c r="K382" s="241" t="str">
        <f t="shared" si="19"/>
        <v/>
      </c>
      <c r="L382" s="137"/>
    </row>
    <row r="383" spans="5:12" ht="11.25" customHeight="1" x14ac:dyDescent="0.2">
      <c r="E383" s="117">
        <v>376</v>
      </c>
      <c r="F383" s="753"/>
      <c r="G383" s="754"/>
      <c r="H383" s="732"/>
      <c r="I383" s="731" t="str">
        <f t="shared" si="20"/>
        <v/>
      </c>
      <c r="K383" s="241" t="str">
        <f t="shared" ref="K383:K446" si="21">IF(I328&lt;&gt;"",(F328+G328)/2,"")</f>
        <v/>
      </c>
      <c r="L383" s="137"/>
    </row>
    <row r="384" spans="5:12" ht="11.25" customHeight="1" x14ac:dyDescent="0.2">
      <c r="E384" s="117">
        <v>377</v>
      </c>
      <c r="F384" s="753"/>
      <c r="G384" s="754"/>
      <c r="H384" s="732"/>
      <c r="I384" s="731" t="str">
        <f t="shared" si="20"/>
        <v/>
      </c>
      <c r="K384" s="241" t="str">
        <f t="shared" si="21"/>
        <v/>
      </c>
      <c r="L384" s="137"/>
    </row>
    <row r="385" spans="5:12" ht="11.25" customHeight="1" x14ac:dyDescent="0.2">
      <c r="E385" s="117">
        <v>378</v>
      </c>
      <c r="F385" s="753"/>
      <c r="G385" s="754"/>
      <c r="H385" s="732"/>
      <c r="I385" s="731" t="str">
        <f t="shared" si="20"/>
        <v/>
      </c>
      <c r="K385" s="241" t="str">
        <f t="shared" si="21"/>
        <v/>
      </c>
      <c r="L385" s="137"/>
    </row>
    <row r="386" spans="5:12" ht="11.25" customHeight="1" x14ac:dyDescent="0.2">
      <c r="E386" s="117">
        <v>379</v>
      </c>
      <c r="F386" s="753"/>
      <c r="G386" s="754"/>
      <c r="H386" s="732"/>
      <c r="I386" s="731" t="str">
        <f t="shared" si="20"/>
        <v/>
      </c>
      <c r="K386" s="241" t="str">
        <f t="shared" si="21"/>
        <v/>
      </c>
      <c r="L386" s="137"/>
    </row>
    <row r="387" spans="5:12" ht="11.25" customHeight="1" x14ac:dyDescent="0.2">
      <c r="E387" s="117">
        <v>380</v>
      </c>
      <c r="F387" s="753"/>
      <c r="G387" s="754"/>
      <c r="H387" s="732"/>
      <c r="I387" s="731" t="str">
        <f t="shared" si="20"/>
        <v/>
      </c>
      <c r="K387" s="241" t="str">
        <f t="shared" si="21"/>
        <v/>
      </c>
      <c r="L387" s="137"/>
    </row>
    <row r="388" spans="5:12" ht="11.25" customHeight="1" x14ac:dyDescent="0.2">
      <c r="E388" s="117">
        <v>381</v>
      </c>
      <c r="F388" s="753"/>
      <c r="G388" s="754"/>
      <c r="H388" s="732"/>
      <c r="I388" s="731" t="str">
        <f t="shared" si="20"/>
        <v/>
      </c>
      <c r="K388" s="241" t="str">
        <f t="shared" si="21"/>
        <v/>
      </c>
      <c r="L388" s="137"/>
    </row>
    <row r="389" spans="5:12" ht="11.25" customHeight="1" x14ac:dyDescent="0.2">
      <c r="E389" s="117">
        <v>382</v>
      </c>
      <c r="F389" s="753"/>
      <c r="G389" s="754"/>
      <c r="H389" s="732"/>
      <c r="I389" s="731" t="str">
        <f t="shared" si="20"/>
        <v/>
      </c>
      <c r="K389" s="241" t="str">
        <f t="shared" si="21"/>
        <v/>
      </c>
      <c r="L389" s="137"/>
    </row>
    <row r="390" spans="5:12" ht="11.25" customHeight="1" x14ac:dyDescent="0.2">
      <c r="E390" s="117">
        <v>383</v>
      </c>
      <c r="F390" s="753"/>
      <c r="G390" s="754"/>
      <c r="H390" s="732"/>
      <c r="I390" s="731" t="str">
        <f t="shared" si="20"/>
        <v/>
      </c>
      <c r="K390" s="241" t="str">
        <f t="shared" si="21"/>
        <v/>
      </c>
      <c r="L390" s="137"/>
    </row>
    <row r="391" spans="5:12" ht="11.25" customHeight="1" x14ac:dyDescent="0.2">
      <c r="E391" s="117">
        <v>384</v>
      </c>
      <c r="F391" s="753"/>
      <c r="G391" s="754"/>
      <c r="H391" s="732"/>
      <c r="I391" s="731" t="str">
        <f t="shared" si="20"/>
        <v/>
      </c>
      <c r="K391" s="241" t="str">
        <f t="shared" si="21"/>
        <v/>
      </c>
      <c r="L391" s="137"/>
    </row>
    <row r="392" spans="5:12" ht="11.25" customHeight="1" x14ac:dyDescent="0.2">
      <c r="E392" s="117">
        <v>385</v>
      </c>
      <c r="F392" s="753"/>
      <c r="G392" s="754"/>
      <c r="H392" s="732"/>
      <c r="I392" s="731" t="str">
        <f t="shared" ref="I392:I455" si="22">IF(AND(F392&lt;&gt;"",G392&lt;&gt;""),G392-F392,"")</f>
        <v/>
      </c>
      <c r="K392" s="241" t="str">
        <f t="shared" si="21"/>
        <v/>
      </c>
      <c r="L392" s="137"/>
    </row>
    <row r="393" spans="5:12" ht="11.25" customHeight="1" x14ac:dyDescent="0.2">
      <c r="E393" s="117">
        <v>386</v>
      </c>
      <c r="F393" s="753"/>
      <c r="G393" s="754"/>
      <c r="H393" s="732"/>
      <c r="I393" s="731" t="str">
        <f t="shared" si="22"/>
        <v/>
      </c>
      <c r="K393" s="241" t="str">
        <f t="shared" si="21"/>
        <v/>
      </c>
      <c r="L393" s="137"/>
    </row>
    <row r="394" spans="5:12" ht="11.25" customHeight="1" x14ac:dyDescent="0.2">
      <c r="E394" s="117">
        <v>387</v>
      </c>
      <c r="F394" s="753"/>
      <c r="G394" s="754"/>
      <c r="H394" s="732"/>
      <c r="I394" s="731" t="str">
        <f t="shared" si="22"/>
        <v/>
      </c>
      <c r="K394" s="241" t="str">
        <f t="shared" si="21"/>
        <v/>
      </c>
      <c r="L394" s="137"/>
    </row>
    <row r="395" spans="5:12" ht="11.25" customHeight="1" x14ac:dyDescent="0.2">
      <c r="E395" s="117">
        <v>388</v>
      </c>
      <c r="F395" s="753"/>
      <c r="G395" s="754"/>
      <c r="H395" s="732"/>
      <c r="I395" s="731" t="str">
        <f t="shared" si="22"/>
        <v/>
      </c>
      <c r="K395" s="241" t="str">
        <f t="shared" si="21"/>
        <v/>
      </c>
      <c r="L395" s="137"/>
    </row>
    <row r="396" spans="5:12" ht="11.25" customHeight="1" x14ac:dyDescent="0.2">
      <c r="E396" s="117">
        <v>389</v>
      </c>
      <c r="F396" s="753"/>
      <c r="G396" s="754"/>
      <c r="H396" s="732"/>
      <c r="I396" s="731" t="str">
        <f t="shared" si="22"/>
        <v/>
      </c>
      <c r="K396" s="241" t="str">
        <f t="shared" si="21"/>
        <v/>
      </c>
      <c r="L396" s="137"/>
    </row>
    <row r="397" spans="5:12" ht="11.25" customHeight="1" x14ac:dyDescent="0.2">
      <c r="E397" s="117">
        <v>390</v>
      </c>
      <c r="F397" s="753"/>
      <c r="G397" s="754"/>
      <c r="H397" s="732"/>
      <c r="I397" s="731" t="str">
        <f t="shared" si="22"/>
        <v/>
      </c>
      <c r="K397" s="241" t="str">
        <f t="shared" si="21"/>
        <v/>
      </c>
      <c r="L397" s="137"/>
    </row>
    <row r="398" spans="5:12" ht="11.25" customHeight="1" x14ac:dyDescent="0.2">
      <c r="E398" s="117">
        <v>391</v>
      </c>
      <c r="F398" s="753"/>
      <c r="G398" s="754"/>
      <c r="H398" s="732"/>
      <c r="I398" s="731" t="str">
        <f t="shared" si="22"/>
        <v/>
      </c>
      <c r="K398" s="241" t="str">
        <f t="shared" si="21"/>
        <v/>
      </c>
      <c r="L398" s="137"/>
    </row>
    <row r="399" spans="5:12" ht="11.25" customHeight="1" x14ac:dyDescent="0.2">
      <c r="E399" s="117">
        <v>392</v>
      </c>
      <c r="F399" s="753"/>
      <c r="G399" s="754"/>
      <c r="H399" s="732"/>
      <c r="I399" s="731" t="str">
        <f t="shared" si="22"/>
        <v/>
      </c>
      <c r="K399" s="241" t="str">
        <f t="shared" si="21"/>
        <v/>
      </c>
      <c r="L399" s="137"/>
    </row>
    <row r="400" spans="5:12" ht="11.25" customHeight="1" x14ac:dyDescent="0.2">
      <c r="E400" s="117">
        <v>393</v>
      </c>
      <c r="F400" s="753"/>
      <c r="G400" s="754"/>
      <c r="H400" s="732"/>
      <c r="I400" s="731" t="str">
        <f t="shared" si="22"/>
        <v/>
      </c>
      <c r="K400" s="241" t="str">
        <f t="shared" si="21"/>
        <v/>
      </c>
      <c r="L400" s="137"/>
    </row>
    <row r="401" spans="5:12" ht="11.25" customHeight="1" x14ac:dyDescent="0.2">
      <c r="E401" s="117">
        <v>394</v>
      </c>
      <c r="F401" s="753"/>
      <c r="G401" s="754"/>
      <c r="H401" s="732"/>
      <c r="I401" s="731" t="str">
        <f t="shared" si="22"/>
        <v/>
      </c>
      <c r="K401" s="241" t="str">
        <f t="shared" si="21"/>
        <v/>
      </c>
      <c r="L401" s="137"/>
    </row>
    <row r="402" spans="5:12" ht="11.25" customHeight="1" x14ac:dyDescent="0.2">
      <c r="E402" s="117">
        <v>395</v>
      </c>
      <c r="F402" s="753"/>
      <c r="G402" s="754"/>
      <c r="H402" s="732"/>
      <c r="I402" s="731" t="str">
        <f t="shared" si="22"/>
        <v/>
      </c>
      <c r="K402" s="241" t="str">
        <f t="shared" si="21"/>
        <v/>
      </c>
      <c r="L402" s="137"/>
    </row>
    <row r="403" spans="5:12" ht="11.25" customHeight="1" x14ac:dyDescent="0.2">
      <c r="E403" s="117">
        <v>396</v>
      </c>
      <c r="F403" s="753"/>
      <c r="G403" s="754"/>
      <c r="H403" s="732"/>
      <c r="I403" s="731" t="str">
        <f t="shared" si="22"/>
        <v/>
      </c>
      <c r="K403" s="241" t="str">
        <f t="shared" si="21"/>
        <v/>
      </c>
      <c r="L403" s="137"/>
    </row>
    <row r="404" spans="5:12" ht="11.25" customHeight="1" x14ac:dyDescent="0.2">
      <c r="E404" s="117">
        <v>397</v>
      </c>
      <c r="F404" s="753"/>
      <c r="G404" s="754"/>
      <c r="H404" s="732"/>
      <c r="I404" s="731" t="str">
        <f t="shared" si="22"/>
        <v/>
      </c>
      <c r="K404" s="241" t="str">
        <f t="shared" si="21"/>
        <v/>
      </c>
      <c r="L404" s="137"/>
    </row>
    <row r="405" spans="5:12" ht="11.25" customHeight="1" x14ac:dyDescent="0.2">
      <c r="E405" s="117">
        <v>398</v>
      </c>
      <c r="F405" s="753"/>
      <c r="G405" s="754"/>
      <c r="H405" s="732"/>
      <c r="I405" s="731" t="str">
        <f t="shared" si="22"/>
        <v/>
      </c>
      <c r="K405" s="241" t="str">
        <f t="shared" si="21"/>
        <v/>
      </c>
      <c r="L405" s="137"/>
    </row>
    <row r="406" spans="5:12" ht="11.25" customHeight="1" x14ac:dyDescent="0.2">
      <c r="E406" s="117">
        <v>399</v>
      </c>
      <c r="F406" s="753"/>
      <c r="G406" s="754"/>
      <c r="H406" s="732"/>
      <c r="I406" s="731" t="str">
        <f t="shared" si="22"/>
        <v/>
      </c>
      <c r="K406" s="241" t="str">
        <f t="shared" si="21"/>
        <v/>
      </c>
      <c r="L406" s="137"/>
    </row>
    <row r="407" spans="5:12" ht="11.25" customHeight="1" x14ac:dyDescent="0.2">
      <c r="E407" s="117">
        <v>400</v>
      </c>
      <c r="F407" s="753"/>
      <c r="G407" s="754"/>
      <c r="H407" s="732"/>
      <c r="I407" s="731" t="str">
        <f t="shared" si="22"/>
        <v/>
      </c>
      <c r="K407" s="241" t="str">
        <f t="shared" si="21"/>
        <v/>
      </c>
      <c r="L407" s="137"/>
    </row>
    <row r="408" spans="5:12" ht="11.25" customHeight="1" x14ac:dyDescent="0.2">
      <c r="E408" s="117">
        <v>401</v>
      </c>
      <c r="F408" s="753"/>
      <c r="G408" s="754"/>
      <c r="H408" s="732"/>
      <c r="I408" s="731" t="str">
        <f t="shared" si="22"/>
        <v/>
      </c>
      <c r="K408" s="241" t="str">
        <f t="shared" si="21"/>
        <v/>
      </c>
      <c r="L408" s="137"/>
    </row>
    <row r="409" spans="5:12" ht="11.25" customHeight="1" x14ac:dyDescent="0.2">
      <c r="E409" s="117">
        <v>402</v>
      </c>
      <c r="F409" s="753"/>
      <c r="G409" s="754"/>
      <c r="H409" s="732"/>
      <c r="I409" s="731" t="str">
        <f t="shared" si="22"/>
        <v/>
      </c>
      <c r="K409" s="241" t="str">
        <f t="shared" si="21"/>
        <v/>
      </c>
      <c r="L409" s="137"/>
    </row>
    <row r="410" spans="5:12" ht="11.25" customHeight="1" x14ac:dyDescent="0.2">
      <c r="E410" s="117">
        <v>403</v>
      </c>
      <c r="F410" s="753"/>
      <c r="G410" s="754"/>
      <c r="H410" s="732"/>
      <c r="I410" s="731" t="str">
        <f t="shared" si="22"/>
        <v/>
      </c>
      <c r="K410" s="241" t="str">
        <f t="shared" si="21"/>
        <v/>
      </c>
      <c r="L410" s="137"/>
    </row>
    <row r="411" spans="5:12" ht="11.25" customHeight="1" x14ac:dyDescent="0.2">
      <c r="E411" s="117">
        <v>404</v>
      </c>
      <c r="F411" s="753"/>
      <c r="G411" s="754"/>
      <c r="H411" s="732"/>
      <c r="I411" s="731" t="str">
        <f t="shared" si="22"/>
        <v/>
      </c>
      <c r="K411" s="241" t="str">
        <f t="shared" si="21"/>
        <v/>
      </c>
      <c r="L411" s="137"/>
    </row>
    <row r="412" spans="5:12" ht="11.25" customHeight="1" x14ac:dyDescent="0.2">
      <c r="E412" s="117">
        <v>405</v>
      </c>
      <c r="F412" s="753"/>
      <c r="G412" s="754"/>
      <c r="H412" s="732"/>
      <c r="I412" s="731" t="str">
        <f t="shared" si="22"/>
        <v/>
      </c>
      <c r="K412" s="241" t="str">
        <f t="shared" si="21"/>
        <v/>
      </c>
      <c r="L412" s="137"/>
    </row>
    <row r="413" spans="5:12" ht="11.25" customHeight="1" x14ac:dyDescent="0.2">
      <c r="E413" s="117">
        <v>406</v>
      </c>
      <c r="F413" s="753"/>
      <c r="G413" s="754"/>
      <c r="H413" s="732"/>
      <c r="I413" s="731" t="str">
        <f t="shared" si="22"/>
        <v/>
      </c>
      <c r="K413" s="241" t="str">
        <f t="shared" si="21"/>
        <v/>
      </c>
      <c r="L413" s="137"/>
    </row>
    <row r="414" spans="5:12" ht="11.25" customHeight="1" x14ac:dyDescent="0.2">
      <c r="E414" s="117">
        <v>407</v>
      </c>
      <c r="F414" s="753"/>
      <c r="G414" s="754"/>
      <c r="H414" s="732"/>
      <c r="I414" s="731" t="str">
        <f t="shared" si="22"/>
        <v/>
      </c>
      <c r="K414" s="241" t="str">
        <f t="shared" si="21"/>
        <v/>
      </c>
      <c r="L414" s="137"/>
    </row>
    <row r="415" spans="5:12" ht="11.25" customHeight="1" x14ac:dyDescent="0.2">
      <c r="E415" s="117">
        <v>408</v>
      </c>
      <c r="F415" s="753"/>
      <c r="G415" s="754"/>
      <c r="H415" s="732"/>
      <c r="I415" s="731" t="str">
        <f t="shared" si="22"/>
        <v/>
      </c>
      <c r="K415" s="241" t="str">
        <f t="shared" si="21"/>
        <v/>
      </c>
      <c r="L415" s="137"/>
    </row>
    <row r="416" spans="5:12" ht="11.25" customHeight="1" x14ac:dyDescent="0.2">
      <c r="E416" s="117">
        <v>409</v>
      </c>
      <c r="F416" s="753"/>
      <c r="G416" s="754"/>
      <c r="H416" s="732"/>
      <c r="I416" s="731" t="str">
        <f t="shared" si="22"/>
        <v/>
      </c>
      <c r="K416" s="241" t="str">
        <f t="shared" si="21"/>
        <v/>
      </c>
      <c r="L416" s="137"/>
    </row>
    <row r="417" spans="5:12" ht="11.25" customHeight="1" x14ac:dyDescent="0.2">
      <c r="E417" s="117">
        <v>410</v>
      </c>
      <c r="F417" s="753"/>
      <c r="G417" s="754"/>
      <c r="H417" s="732"/>
      <c r="I417" s="731" t="str">
        <f t="shared" si="22"/>
        <v/>
      </c>
      <c r="K417" s="241" t="str">
        <f t="shared" si="21"/>
        <v/>
      </c>
      <c r="L417" s="137"/>
    </row>
    <row r="418" spans="5:12" ht="11.25" customHeight="1" x14ac:dyDescent="0.2">
      <c r="E418" s="117">
        <v>411</v>
      </c>
      <c r="F418" s="753"/>
      <c r="G418" s="754"/>
      <c r="H418" s="732"/>
      <c r="I418" s="731" t="str">
        <f t="shared" si="22"/>
        <v/>
      </c>
      <c r="K418" s="241" t="str">
        <f t="shared" si="21"/>
        <v/>
      </c>
      <c r="L418" s="137"/>
    </row>
    <row r="419" spans="5:12" ht="11.25" customHeight="1" x14ac:dyDescent="0.2">
      <c r="E419" s="117">
        <v>412</v>
      </c>
      <c r="F419" s="753"/>
      <c r="G419" s="754"/>
      <c r="H419" s="732"/>
      <c r="I419" s="731" t="str">
        <f t="shared" si="22"/>
        <v/>
      </c>
      <c r="K419" s="241" t="str">
        <f t="shared" si="21"/>
        <v/>
      </c>
      <c r="L419" s="137"/>
    </row>
    <row r="420" spans="5:12" ht="11.25" customHeight="1" x14ac:dyDescent="0.2">
      <c r="E420" s="117">
        <v>413</v>
      </c>
      <c r="F420" s="753"/>
      <c r="G420" s="754"/>
      <c r="H420" s="732"/>
      <c r="I420" s="731" t="str">
        <f t="shared" si="22"/>
        <v/>
      </c>
      <c r="K420" s="241" t="str">
        <f t="shared" si="21"/>
        <v/>
      </c>
      <c r="L420" s="137"/>
    </row>
    <row r="421" spans="5:12" ht="11.25" customHeight="1" x14ac:dyDescent="0.2">
      <c r="E421" s="117">
        <v>414</v>
      </c>
      <c r="F421" s="753"/>
      <c r="G421" s="754"/>
      <c r="H421" s="732"/>
      <c r="I421" s="731" t="str">
        <f t="shared" si="22"/>
        <v/>
      </c>
      <c r="K421" s="241" t="str">
        <f t="shared" si="21"/>
        <v/>
      </c>
      <c r="L421" s="137"/>
    </row>
    <row r="422" spans="5:12" ht="11.25" customHeight="1" x14ac:dyDescent="0.2">
      <c r="E422" s="117">
        <v>415</v>
      </c>
      <c r="F422" s="753"/>
      <c r="G422" s="754"/>
      <c r="H422" s="732"/>
      <c r="I422" s="731" t="str">
        <f t="shared" si="22"/>
        <v/>
      </c>
      <c r="K422" s="241" t="str">
        <f t="shared" si="21"/>
        <v/>
      </c>
      <c r="L422" s="137"/>
    </row>
    <row r="423" spans="5:12" ht="11.25" customHeight="1" x14ac:dyDescent="0.2">
      <c r="E423" s="117">
        <v>416</v>
      </c>
      <c r="F423" s="753"/>
      <c r="G423" s="754"/>
      <c r="H423" s="732"/>
      <c r="I423" s="731" t="str">
        <f t="shared" si="22"/>
        <v/>
      </c>
      <c r="K423" s="241" t="str">
        <f t="shared" si="21"/>
        <v/>
      </c>
      <c r="L423" s="137"/>
    </row>
    <row r="424" spans="5:12" ht="11.25" customHeight="1" x14ac:dyDescent="0.2">
      <c r="E424" s="117">
        <v>417</v>
      </c>
      <c r="F424" s="753"/>
      <c r="G424" s="754"/>
      <c r="H424" s="732"/>
      <c r="I424" s="731" t="str">
        <f t="shared" si="22"/>
        <v/>
      </c>
      <c r="K424" s="241" t="str">
        <f t="shared" si="21"/>
        <v/>
      </c>
      <c r="L424" s="137"/>
    </row>
    <row r="425" spans="5:12" ht="11.25" customHeight="1" x14ac:dyDescent="0.2">
      <c r="E425" s="117">
        <v>418</v>
      </c>
      <c r="F425" s="753"/>
      <c r="G425" s="754"/>
      <c r="H425" s="732"/>
      <c r="I425" s="731" t="str">
        <f t="shared" si="22"/>
        <v/>
      </c>
      <c r="K425" s="241" t="str">
        <f t="shared" si="21"/>
        <v/>
      </c>
      <c r="L425" s="137"/>
    </row>
    <row r="426" spans="5:12" ht="11.25" customHeight="1" x14ac:dyDescent="0.2">
      <c r="E426" s="117">
        <v>419</v>
      </c>
      <c r="F426" s="753"/>
      <c r="G426" s="754"/>
      <c r="H426" s="732"/>
      <c r="I426" s="731" t="str">
        <f t="shared" si="22"/>
        <v/>
      </c>
      <c r="K426" s="241" t="str">
        <f t="shared" si="21"/>
        <v/>
      </c>
      <c r="L426" s="137"/>
    </row>
    <row r="427" spans="5:12" ht="11.25" customHeight="1" x14ac:dyDescent="0.2">
      <c r="E427" s="117">
        <v>420</v>
      </c>
      <c r="F427" s="753"/>
      <c r="G427" s="754"/>
      <c r="H427" s="732"/>
      <c r="I427" s="731" t="str">
        <f t="shared" si="22"/>
        <v/>
      </c>
      <c r="K427" s="241" t="str">
        <f t="shared" si="21"/>
        <v/>
      </c>
      <c r="L427" s="137"/>
    </row>
    <row r="428" spans="5:12" ht="11.25" customHeight="1" x14ac:dyDescent="0.2">
      <c r="E428" s="117">
        <v>421</v>
      </c>
      <c r="F428" s="753"/>
      <c r="G428" s="754"/>
      <c r="H428" s="732"/>
      <c r="I428" s="731" t="str">
        <f t="shared" si="22"/>
        <v/>
      </c>
      <c r="K428" s="241" t="str">
        <f t="shared" si="21"/>
        <v/>
      </c>
      <c r="L428" s="137"/>
    </row>
    <row r="429" spans="5:12" ht="11.25" customHeight="1" x14ac:dyDescent="0.2">
      <c r="E429" s="117">
        <v>422</v>
      </c>
      <c r="F429" s="753"/>
      <c r="G429" s="754"/>
      <c r="H429" s="732"/>
      <c r="I429" s="731" t="str">
        <f t="shared" si="22"/>
        <v/>
      </c>
      <c r="K429" s="241" t="str">
        <f t="shared" si="21"/>
        <v/>
      </c>
      <c r="L429" s="137"/>
    </row>
    <row r="430" spans="5:12" ht="11.25" customHeight="1" x14ac:dyDescent="0.2">
      <c r="E430" s="117">
        <v>423</v>
      </c>
      <c r="F430" s="753"/>
      <c r="G430" s="754"/>
      <c r="H430" s="732"/>
      <c r="I430" s="731" t="str">
        <f t="shared" si="22"/>
        <v/>
      </c>
      <c r="K430" s="241" t="str">
        <f t="shared" si="21"/>
        <v/>
      </c>
      <c r="L430" s="137"/>
    </row>
    <row r="431" spans="5:12" ht="11.25" customHeight="1" x14ac:dyDescent="0.2">
      <c r="E431" s="117">
        <v>424</v>
      </c>
      <c r="F431" s="753"/>
      <c r="G431" s="754"/>
      <c r="H431" s="732"/>
      <c r="I431" s="731" t="str">
        <f t="shared" si="22"/>
        <v/>
      </c>
      <c r="K431" s="241" t="str">
        <f t="shared" si="21"/>
        <v/>
      </c>
      <c r="L431" s="137"/>
    </row>
    <row r="432" spans="5:12" ht="11.25" customHeight="1" x14ac:dyDescent="0.2">
      <c r="E432" s="117">
        <v>425</v>
      </c>
      <c r="F432" s="753"/>
      <c r="G432" s="754"/>
      <c r="H432" s="732"/>
      <c r="I432" s="731" t="str">
        <f t="shared" si="22"/>
        <v/>
      </c>
      <c r="K432" s="241" t="str">
        <f t="shared" si="21"/>
        <v/>
      </c>
      <c r="L432" s="137"/>
    </row>
    <row r="433" spans="5:12" ht="11.25" customHeight="1" x14ac:dyDescent="0.2">
      <c r="E433" s="117">
        <v>426</v>
      </c>
      <c r="F433" s="753"/>
      <c r="G433" s="754"/>
      <c r="H433" s="732"/>
      <c r="I433" s="731" t="str">
        <f t="shared" si="22"/>
        <v/>
      </c>
      <c r="K433" s="241" t="str">
        <f t="shared" si="21"/>
        <v/>
      </c>
      <c r="L433" s="137"/>
    </row>
    <row r="434" spans="5:12" ht="11.25" customHeight="1" x14ac:dyDescent="0.2">
      <c r="E434" s="117">
        <v>427</v>
      </c>
      <c r="F434" s="753"/>
      <c r="G434" s="754"/>
      <c r="H434" s="732"/>
      <c r="I434" s="731" t="str">
        <f t="shared" si="22"/>
        <v/>
      </c>
      <c r="K434" s="241" t="str">
        <f t="shared" si="21"/>
        <v/>
      </c>
      <c r="L434" s="137"/>
    </row>
    <row r="435" spans="5:12" ht="11.25" customHeight="1" x14ac:dyDescent="0.2">
      <c r="E435" s="117">
        <v>428</v>
      </c>
      <c r="F435" s="753"/>
      <c r="G435" s="754"/>
      <c r="H435" s="732"/>
      <c r="I435" s="731" t="str">
        <f t="shared" si="22"/>
        <v/>
      </c>
      <c r="K435" s="241" t="str">
        <f t="shared" si="21"/>
        <v/>
      </c>
      <c r="L435" s="137"/>
    </row>
    <row r="436" spans="5:12" ht="11.25" customHeight="1" x14ac:dyDescent="0.2">
      <c r="E436" s="117">
        <v>429</v>
      </c>
      <c r="F436" s="753"/>
      <c r="G436" s="754"/>
      <c r="H436" s="732"/>
      <c r="I436" s="731" t="str">
        <f t="shared" si="22"/>
        <v/>
      </c>
      <c r="K436" s="241" t="str">
        <f t="shared" si="21"/>
        <v/>
      </c>
      <c r="L436" s="137"/>
    </row>
    <row r="437" spans="5:12" ht="11.25" customHeight="1" x14ac:dyDescent="0.2">
      <c r="E437" s="117">
        <v>430</v>
      </c>
      <c r="F437" s="753"/>
      <c r="G437" s="754"/>
      <c r="H437" s="732"/>
      <c r="I437" s="731" t="str">
        <f t="shared" si="22"/>
        <v/>
      </c>
      <c r="K437" s="241" t="str">
        <f t="shared" si="21"/>
        <v/>
      </c>
      <c r="L437" s="137"/>
    </row>
    <row r="438" spans="5:12" ht="11.25" customHeight="1" x14ac:dyDescent="0.2">
      <c r="E438" s="117">
        <v>431</v>
      </c>
      <c r="F438" s="753"/>
      <c r="G438" s="754"/>
      <c r="H438" s="732"/>
      <c r="I438" s="731" t="str">
        <f t="shared" si="22"/>
        <v/>
      </c>
      <c r="K438" s="241" t="str">
        <f t="shared" si="21"/>
        <v/>
      </c>
      <c r="L438" s="137"/>
    </row>
    <row r="439" spans="5:12" ht="11.25" customHeight="1" x14ac:dyDescent="0.2">
      <c r="E439" s="117">
        <v>432</v>
      </c>
      <c r="F439" s="753"/>
      <c r="G439" s="754"/>
      <c r="H439" s="732"/>
      <c r="I439" s="731" t="str">
        <f t="shared" si="22"/>
        <v/>
      </c>
      <c r="K439" s="241" t="str">
        <f t="shared" si="21"/>
        <v/>
      </c>
      <c r="L439" s="137"/>
    </row>
    <row r="440" spans="5:12" ht="11.25" customHeight="1" x14ac:dyDescent="0.2">
      <c r="E440" s="117">
        <v>433</v>
      </c>
      <c r="F440" s="753"/>
      <c r="G440" s="754"/>
      <c r="H440" s="732"/>
      <c r="I440" s="731" t="str">
        <f t="shared" si="22"/>
        <v/>
      </c>
      <c r="K440" s="241" t="str">
        <f t="shared" si="21"/>
        <v/>
      </c>
      <c r="L440" s="137"/>
    </row>
    <row r="441" spans="5:12" ht="11.25" customHeight="1" x14ac:dyDescent="0.2">
      <c r="E441" s="117">
        <v>434</v>
      </c>
      <c r="F441" s="753"/>
      <c r="G441" s="754"/>
      <c r="H441" s="732"/>
      <c r="I441" s="731" t="str">
        <f t="shared" si="22"/>
        <v/>
      </c>
      <c r="K441" s="241" t="str">
        <f t="shared" si="21"/>
        <v/>
      </c>
      <c r="L441" s="137"/>
    </row>
    <row r="442" spans="5:12" ht="11.25" customHeight="1" x14ac:dyDescent="0.2">
      <c r="E442" s="117">
        <v>435</v>
      </c>
      <c r="F442" s="753"/>
      <c r="G442" s="754"/>
      <c r="H442" s="732"/>
      <c r="I442" s="731" t="str">
        <f t="shared" si="22"/>
        <v/>
      </c>
      <c r="K442" s="241" t="str">
        <f t="shared" si="21"/>
        <v/>
      </c>
      <c r="L442" s="137"/>
    </row>
    <row r="443" spans="5:12" ht="11.25" customHeight="1" x14ac:dyDescent="0.2">
      <c r="E443" s="117">
        <v>436</v>
      </c>
      <c r="F443" s="753"/>
      <c r="G443" s="754"/>
      <c r="H443" s="732"/>
      <c r="I443" s="731" t="str">
        <f t="shared" si="22"/>
        <v/>
      </c>
      <c r="K443" s="241" t="str">
        <f t="shared" si="21"/>
        <v/>
      </c>
      <c r="L443" s="137"/>
    </row>
    <row r="444" spans="5:12" ht="11.25" customHeight="1" x14ac:dyDescent="0.2">
      <c r="E444" s="117">
        <v>437</v>
      </c>
      <c r="F444" s="753"/>
      <c r="G444" s="754"/>
      <c r="H444" s="732"/>
      <c r="I444" s="731" t="str">
        <f t="shared" si="22"/>
        <v/>
      </c>
      <c r="K444" s="241" t="str">
        <f t="shared" si="21"/>
        <v/>
      </c>
      <c r="L444" s="137"/>
    </row>
    <row r="445" spans="5:12" ht="11.25" customHeight="1" x14ac:dyDescent="0.2">
      <c r="E445" s="117">
        <v>438</v>
      </c>
      <c r="F445" s="753"/>
      <c r="G445" s="754"/>
      <c r="H445" s="732"/>
      <c r="I445" s="731" t="str">
        <f t="shared" si="22"/>
        <v/>
      </c>
      <c r="K445" s="241" t="str">
        <f t="shared" si="21"/>
        <v/>
      </c>
      <c r="L445" s="137"/>
    </row>
    <row r="446" spans="5:12" ht="11.25" customHeight="1" x14ac:dyDescent="0.2">
      <c r="E446" s="117">
        <v>439</v>
      </c>
      <c r="F446" s="753"/>
      <c r="G446" s="754"/>
      <c r="H446" s="732"/>
      <c r="I446" s="731" t="str">
        <f t="shared" si="22"/>
        <v/>
      </c>
      <c r="K446" s="241" t="str">
        <f t="shared" si="21"/>
        <v/>
      </c>
      <c r="L446" s="137"/>
    </row>
    <row r="447" spans="5:12" ht="11.25" customHeight="1" x14ac:dyDescent="0.2">
      <c r="E447" s="117">
        <v>440</v>
      </c>
      <c r="F447" s="753"/>
      <c r="G447" s="754"/>
      <c r="H447" s="732"/>
      <c r="I447" s="731" t="str">
        <f t="shared" si="22"/>
        <v/>
      </c>
      <c r="K447" s="241" t="str">
        <f t="shared" ref="K447:K510" si="23">IF(I392&lt;&gt;"",(F392+G392)/2,"")</f>
        <v/>
      </c>
      <c r="L447" s="137"/>
    </row>
    <row r="448" spans="5:12" ht="11.25" customHeight="1" x14ac:dyDescent="0.2">
      <c r="E448" s="117">
        <v>441</v>
      </c>
      <c r="F448" s="753"/>
      <c r="G448" s="754"/>
      <c r="H448" s="732"/>
      <c r="I448" s="731" t="str">
        <f t="shared" si="22"/>
        <v/>
      </c>
      <c r="K448" s="241" t="str">
        <f t="shared" si="23"/>
        <v/>
      </c>
      <c r="L448" s="137"/>
    </row>
    <row r="449" spans="5:12" ht="11.25" customHeight="1" x14ac:dyDescent="0.2">
      <c r="E449" s="117">
        <v>442</v>
      </c>
      <c r="F449" s="753"/>
      <c r="G449" s="754"/>
      <c r="H449" s="732"/>
      <c r="I449" s="731" t="str">
        <f t="shared" si="22"/>
        <v/>
      </c>
      <c r="K449" s="241" t="str">
        <f t="shared" si="23"/>
        <v/>
      </c>
      <c r="L449" s="137"/>
    </row>
    <row r="450" spans="5:12" ht="11.25" customHeight="1" x14ac:dyDescent="0.2">
      <c r="E450" s="117">
        <v>443</v>
      </c>
      <c r="F450" s="753"/>
      <c r="G450" s="754"/>
      <c r="H450" s="732"/>
      <c r="I450" s="731" t="str">
        <f t="shared" si="22"/>
        <v/>
      </c>
      <c r="K450" s="241" t="str">
        <f t="shared" si="23"/>
        <v/>
      </c>
      <c r="L450" s="137"/>
    </row>
    <row r="451" spans="5:12" ht="11.25" customHeight="1" x14ac:dyDescent="0.2">
      <c r="E451" s="117">
        <v>444</v>
      </c>
      <c r="F451" s="753"/>
      <c r="G451" s="754"/>
      <c r="H451" s="732"/>
      <c r="I451" s="731" t="str">
        <f t="shared" si="22"/>
        <v/>
      </c>
      <c r="K451" s="241" t="str">
        <f t="shared" si="23"/>
        <v/>
      </c>
      <c r="L451" s="137"/>
    </row>
    <row r="452" spans="5:12" ht="11.25" customHeight="1" x14ac:dyDescent="0.2">
      <c r="E452" s="117">
        <v>445</v>
      </c>
      <c r="F452" s="753"/>
      <c r="G452" s="754"/>
      <c r="H452" s="732"/>
      <c r="I452" s="731" t="str">
        <f t="shared" si="22"/>
        <v/>
      </c>
      <c r="K452" s="241" t="str">
        <f t="shared" si="23"/>
        <v/>
      </c>
      <c r="L452" s="137"/>
    </row>
    <row r="453" spans="5:12" ht="11.25" customHeight="1" x14ac:dyDescent="0.2">
      <c r="E453" s="117">
        <v>446</v>
      </c>
      <c r="F453" s="753"/>
      <c r="G453" s="754"/>
      <c r="H453" s="732"/>
      <c r="I453" s="731" t="str">
        <f t="shared" si="22"/>
        <v/>
      </c>
      <c r="K453" s="241" t="str">
        <f t="shared" si="23"/>
        <v/>
      </c>
      <c r="L453" s="137"/>
    </row>
    <row r="454" spans="5:12" ht="11.25" customHeight="1" x14ac:dyDescent="0.2">
      <c r="E454" s="117">
        <v>447</v>
      </c>
      <c r="F454" s="753"/>
      <c r="G454" s="754"/>
      <c r="H454" s="732"/>
      <c r="I454" s="731" t="str">
        <f t="shared" si="22"/>
        <v/>
      </c>
      <c r="K454" s="241" t="str">
        <f t="shared" si="23"/>
        <v/>
      </c>
      <c r="L454" s="137"/>
    </row>
    <row r="455" spans="5:12" ht="11.25" customHeight="1" x14ac:dyDescent="0.2">
      <c r="E455" s="117">
        <v>448</v>
      </c>
      <c r="F455" s="753"/>
      <c r="G455" s="754"/>
      <c r="H455" s="732"/>
      <c r="I455" s="731" t="str">
        <f t="shared" si="22"/>
        <v/>
      </c>
      <c r="K455" s="241" t="str">
        <f t="shared" si="23"/>
        <v/>
      </c>
      <c r="L455" s="137"/>
    </row>
    <row r="456" spans="5:12" ht="11.25" customHeight="1" x14ac:dyDescent="0.2">
      <c r="E456" s="117">
        <v>449</v>
      </c>
      <c r="F456" s="753"/>
      <c r="G456" s="754"/>
      <c r="H456" s="732"/>
      <c r="I456" s="731" t="str">
        <f t="shared" ref="I456:I519" si="24">IF(AND(F456&lt;&gt;"",G456&lt;&gt;""),G456-F456,"")</f>
        <v/>
      </c>
      <c r="K456" s="241" t="str">
        <f t="shared" si="23"/>
        <v/>
      </c>
      <c r="L456" s="137"/>
    </row>
    <row r="457" spans="5:12" ht="11.25" customHeight="1" x14ac:dyDescent="0.2">
      <c r="E457" s="117">
        <v>450</v>
      </c>
      <c r="F457" s="753"/>
      <c r="G457" s="754"/>
      <c r="H457" s="732"/>
      <c r="I457" s="731" t="str">
        <f t="shared" si="24"/>
        <v/>
      </c>
      <c r="K457" s="241" t="str">
        <f t="shared" si="23"/>
        <v/>
      </c>
      <c r="L457" s="137"/>
    </row>
    <row r="458" spans="5:12" ht="11.25" customHeight="1" x14ac:dyDescent="0.2">
      <c r="E458" s="117">
        <v>451</v>
      </c>
      <c r="F458" s="753"/>
      <c r="G458" s="754"/>
      <c r="H458" s="732"/>
      <c r="I458" s="731" t="str">
        <f t="shared" si="24"/>
        <v/>
      </c>
      <c r="K458" s="241" t="str">
        <f t="shared" si="23"/>
        <v/>
      </c>
      <c r="L458" s="137"/>
    </row>
    <row r="459" spans="5:12" ht="11.25" customHeight="1" x14ac:dyDescent="0.2">
      <c r="E459" s="117">
        <v>452</v>
      </c>
      <c r="F459" s="753"/>
      <c r="G459" s="754"/>
      <c r="H459" s="732"/>
      <c r="I459" s="731" t="str">
        <f t="shared" si="24"/>
        <v/>
      </c>
      <c r="K459" s="241" t="str">
        <f t="shared" si="23"/>
        <v/>
      </c>
      <c r="L459" s="137"/>
    </row>
    <row r="460" spans="5:12" ht="11.25" customHeight="1" x14ac:dyDescent="0.2">
      <c r="E460" s="117">
        <v>453</v>
      </c>
      <c r="F460" s="753"/>
      <c r="G460" s="754"/>
      <c r="H460" s="732"/>
      <c r="I460" s="731" t="str">
        <f t="shared" si="24"/>
        <v/>
      </c>
      <c r="K460" s="241" t="str">
        <f t="shared" si="23"/>
        <v/>
      </c>
      <c r="L460" s="137"/>
    </row>
    <row r="461" spans="5:12" ht="11.25" customHeight="1" x14ac:dyDescent="0.2">
      <c r="E461" s="117">
        <v>454</v>
      </c>
      <c r="F461" s="753"/>
      <c r="G461" s="754"/>
      <c r="H461" s="732"/>
      <c r="I461" s="731" t="str">
        <f t="shared" si="24"/>
        <v/>
      </c>
      <c r="K461" s="241" t="str">
        <f t="shared" si="23"/>
        <v/>
      </c>
      <c r="L461" s="137"/>
    </row>
    <row r="462" spans="5:12" ht="11.25" customHeight="1" x14ac:dyDescent="0.2">
      <c r="E462" s="117">
        <v>455</v>
      </c>
      <c r="F462" s="753"/>
      <c r="G462" s="754"/>
      <c r="H462" s="732"/>
      <c r="I462" s="731" t="str">
        <f t="shared" si="24"/>
        <v/>
      </c>
      <c r="K462" s="241" t="str">
        <f t="shared" si="23"/>
        <v/>
      </c>
      <c r="L462" s="137"/>
    </row>
    <row r="463" spans="5:12" ht="11.25" customHeight="1" x14ac:dyDescent="0.2">
      <c r="E463" s="117">
        <v>456</v>
      </c>
      <c r="F463" s="753"/>
      <c r="G463" s="754"/>
      <c r="H463" s="732"/>
      <c r="I463" s="731" t="str">
        <f t="shared" si="24"/>
        <v/>
      </c>
      <c r="K463" s="241" t="str">
        <f t="shared" si="23"/>
        <v/>
      </c>
      <c r="L463" s="137"/>
    </row>
    <row r="464" spans="5:12" ht="11.25" customHeight="1" x14ac:dyDescent="0.2">
      <c r="E464" s="117">
        <v>457</v>
      </c>
      <c r="F464" s="753"/>
      <c r="G464" s="754"/>
      <c r="H464" s="732"/>
      <c r="I464" s="731" t="str">
        <f t="shared" si="24"/>
        <v/>
      </c>
      <c r="K464" s="241" t="str">
        <f t="shared" si="23"/>
        <v/>
      </c>
      <c r="L464" s="137"/>
    </row>
    <row r="465" spans="5:12" ht="11.25" customHeight="1" x14ac:dyDescent="0.2">
      <c r="E465" s="117">
        <v>458</v>
      </c>
      <c r="F465" s="753"/>
      <c r="G465" s="754"/>
      <c r="H465" s="732"/>
      <c r="I465" s="731" t="str">
        <f t="shared" si="24"/>
        <v/>
      </c>
      <c r="K465" s="241" t="str">
        <f t="shared" si="23"/>
        <v/>
      </c>
      <c r="L465" s="137"/>
    </row>
    <row r="466" spans="5:12" ht="11.25" customHeight="1" x14ac:dyDescent="0.2">
      <c r="E466" s="117">
        <v>459</v>
      </c>
      <c r="F466" s="753"/>
      <c r="G466" s="754"/>
      <c r="H466" s="732"/>
      <c r="I466" s="731" t="str">
        <f t="shared" si="24"/>
        <v/>
      </c>
      <c r="K466" s="241" t="str">
        <f t="shared" si="23"/>
        <v/>
      </c>
      <c r="L466" s="137"/>
    </row>
    <row r="467" spans="5:12" ht="11.25" customHeight="1" x14ac:dyDescent="0.2">
      <c r="E467" s="117">
        <v>460</v>
      </c>
      <c r="F467" s="753"/>
      <c r="G467" s="754"/>
      <c r="H467" s="732"/>
      <c r="I467" s="731" t="str">
        <f t="shared" si="24"/>
        <v/>
      </c>
      <c r="K467" s="241" t="str">
        <f t="shared" si="23"/>
        <v/>
      </c>
      <c r="L467" s="137"/>
    </row>
    <row r="468" spans="5:12" ht="11.25" customHeight="1" x14ac:dyDescent="0.2">
      <c r="E468" s="117">
        <v>461</v>
      </c>
      <c r="F468" s="753"/>
      <c r="G468" s="754"/>
      <c r="H468" s="732"/>
      <c r="I468" s="731" t="str">
        <f t="shared" si="24"/>
        <v/>
      </c>
      <c r="K468" s="241" t="str">
        <f t="shared" si="23"/>
        <v/>
      </c>
      <c r="L468" s="137"/>
    </row>
    <row r="469" spans="5:12" ht="11.25" customHeight="1" x14ac:dyDescent="0.2">
      <c r="E469" s="117">
        <v>462</v>
      </c>
      <c r="F469" s="753"/>
      <c r="G469" s="754"/>
      <c r="H469" s="732"/>
      <c r="I469" s="731" t="str">
        <f t="shared" si="24"/>
        <v/>
      </c>
      <c r="K469" s="241" t="str">
        <f t="shared" si="23"/>
        <v/>
      </c>
      <c r="L469" s="137"/>
    </row>
    <row r="470" spans="5:12" ht="11.25" customHeight="1" x14ac:dyDescent="0.2">
      <c r="E470" s="117">
        <v>463</v>
      </c>
      <c r="F470" s="753"/>
      <c r="G470" s="754"/>
      <c r="H470" s="732"/>
      <c r="I470" s="731" t="str">
        <f t="shared" si="24"/>
        <v/>
      </c>
      <c r="K470" s="241" t="str">
        <f t="shared" si="23"/>
        <v/>
      </c>
      <c r="L470" s="137"/>
    </row>
    <row r="471" spans="5:12" ht="11.25" customHeight="1" x14ac:dyDescent="0.2">
      <c r="E471" s="117">
        <v>464</v>
      </c>
      <c r="F471" s="753"/>
      <c r="G471" s="754"/>
      <c r="H471" s="732"/>
      <c r="I471" s="731" t="str">
        <f t="shared" si="24"/>
        <v/>
      </c>
      <c r="K471" s="241" t="str">
        <f t="shared" si="23"/>
        <v/>
      </c>
      <c r="L471" s="137"/>
    </row>
    <row r="472" spans="5:12" ht="11.25" customHeight="1" x14ac:dyDescent="0.2">
      <c r="E472" s="117">
        <v>465</v>
      </c>
      <c r="F472" s="753"/>
      <c r="G472" s="754"/>
      <c r="H472" s="732"/>
      <c r="I472" s="731" t="str">
        <f t="shared" si="24"/>
        <v/>
      </c>
      <c r="K472" s="241" t="str">
        <f t="shared" si="23"/>
        <v/>
      </c>
      <c r="L472" s="137"/>
    </row>
    <row r="473" spans="5:12" ht="11.25" customHeight="1" x14ac:dyDescent="0.2">
      <c r="E473" s="117">
        <v>466</v>
      </c>
      <c r="F473" s="753"/>
      <c r="G473" s="754"/>
      <c r="H473" s="732"/>
      <c r="I473" s="731" t="str">
        <f t="shared" si="24"/>
        <v/>
      </c>
      <c r="K473" s="241" t="str">
        <f t="shared" si="23"/>
        <v/>
      </c>
      <c r="L473" s="137"/>
    </row>
    <row r="474" spans="5:12" ht="11.25" customHeight="1" x14ac:dyDescent="0.2">
      <c r="E474" s="117">
        <v>467</v>
      </c>
      <c r="F474" s="753"/>
      <c r="G474" s="754"/>
      <c r="H474" s="732"/>
      <c r="I474" s="731" t="str">
        <f t="shared" si="24"/>
        <v/>
      </c>
      <c r="K474" s="241" t="str">
        <f t="shared" si="23"/>
        <v/>
      </c>
      <c r="L474" s="137"/>
    </row>
    <row r="475" spans="5:12" ht="11.25" customHeight="1" x14ac:dyDescent="0.2">
      <c r="E475" s="117">
        <v>468</v>
      </c>
      <c r="F475" s="753"/>
      <c r="G475" s="754"/>
      <c r="H475" s="732"/>
      <c r="I475" s="731" t="str">
        <f t="shared" si="24"/>
        <v/>
      </c>
      <c r="K475" s="241" t="str">
        <f t="shared" si="23"/>
        <v/>
      </c>
      <c r="L475" s="137"/>
    </row>
    <row r="476" spans="5:12" ht="11.25" customHeight="1" x14ac:dyDescent="0.2">
      <c r="E476" s="117">
        <v>469</v>
      </c>
      <c r="F476" s="753"/>
      <c r="G476" s="754"/>
      <c r="H476" s="732"/>
      <c r="I476" s="731" t="str">
        <f t="shared" si="24"/>
        <v/>
      </c>
      <c r="K476" s="241" t="str">
        <f t="shared" si="23"/>
        <v/>
      </c>
      <c r="L476" s="137"/>
    </row>
    <row r="477" spans="5:12" ht="11.25" customHeight="1" x14ac:dyDescent="0.2">
      <c r="E477" s="117">
        <v>470</v>
      </c>
      <c r="F477" s="753"/>
      <c r="G477" s="754"/>
      <c r="H477" s="732"/>
      <c r="I477" s="731" t="str">
        <f t="shared" si="24"/>
        <v/>
      </c>
      <c r="K477" s="241" t="str">
        <f t="shared" si="23"/>
        <v/>
      </c>
      <c r="L477" s="137"/>
    </row>
    <row r="478" spans="5:12" ht="11.25" customHeight="1" x14ac:dyDescent="0.2">
      <c r="E478" s="117">
        <v>471</v>
      </c>
      <c r="F478" s="753"/>
      <c r="G478" s="754"/>
      <c r="H478" s="732"/>
      <c r="I478" s="731" t="str">
        <f t="shared" si="24"/>
        <v/>
      </c>
      <c r="K478" s="241" t="str">
        <f t="shared" si="23"/>
        <v/>
      </c>
      <c r="L478" s="137"/>
    </row>
    <row r="479" spans="5:12" ht="11.25" customHeight="1" x14ac:dyDescent="0.2">
      <c r="E479" s="117">
        <v>472</v>
      </c>
      <c r="F479" s="753"/>
      <c r="G479" s="754"/>
      <c r="H479" s="732"/>
      <c r="I479" s="731" t="str">
        <f t="shared" si="24"/>
        <v/>
      </c>
      <c r="K479" s="241" t="str">
        <f t="shared" si="23"/>
        <v/>
      </c>
      <c r="L479" s="137"/>
    </row>
    <row r="480" spans="5:12" ht="11.25" customHeight="1" x14ac:dyDescent="0.2">
      <c r="E480" s="117">
        <v>473</v>
      </c>
      <c r="F480" s="753"/>
      <c r="G480" s="754"/>
      <c r="H480" s="732"/>
      <c r="I480" s="731" t="str">
        <f t="shared" si="24"/>
        <v/>
      </c>
      <c r="K480" s="241" t="str">
        <f t="shared" si="23"/>
        <v/>
      </c>
      <c r="L480" s="137"/>
    </row>
    <row r="481" spans="5:12" ht="11.25" customHeight="1" x14ac:dyDescent="0.2">
      <c r="E481" s="117">
        <v>474</v>
      </c>
      <c r="F481" s="753"/>
      <c r="G481" s="754"/>
      <c r="H481" s="732"/>
      <c r="I481" s="731" t="str">
        <f t="shared" si="24"/>
        <v/>
      </c>
      <c r="K481" s="241" t="str">
        <f t="shared" si="23"/>
        <v/>
      </c>
      <c r="L481" s="137"/>
    </row>
    <row r="482" spans="5:12" ht="11.25" customHeight="1" x14ac:dyDescent="0.2">
      <c r="E482" s="117">
        <v>475</v>
      </c>
      <c r="F482" s="753"/>
      <c r="G482" s="754"/>
      <c r="H482" s="732"/>
      <c r="I482" s="731" t="str">
        <f t="shared" si="24"/>
        <v/>
      </c>
      <c r="K482" s="241" t="str">
        <f t="shared" si="23"/>
        <v/>
      </c>
      <c r="L482" s="137"/>
    </row>
    <row r="483" spans="5:12" ht="11.25" customHeight="1" x14ac:dyDescent="0.2">
      <c r="E483" s="117">
        <v>476</v>
      </c>
      <c r="F483" s="753"/>
      <c r="G483" s="754"/>
      <c r="H483" s="732"/>
      <c r="I483" s="731" t="str">
        <f t="shared" si="24"/>
        <v/>
      </c>
      <c r="K483" s="241" t="str">
        <f t="shared" si="23"/>
        <v/>
      </c>
      <c r="L483" s="137"/>
    </row>
    <row r="484" spans="5:12" ht="11.25" customHeight="1" x14ac:dyDescent="0.2">
      <c r="E484" s="117">
        <v>477</v>
      </c>
      <c r="F484" s="753"/>
      <c r="G484" s="754"/>
      <c r="H484" s="732"/>
      <c r="I484" s="731" t="str">
        <f t="shared" si="24"/>
        <v/>
      </c>
      <c r="K484" s="241" t="str">
        <f t="shared" si="23"/>
        <v/>
      </c>
      <c r="L484" s="137"/>
    </row>
    <row r="485" spans="5:12" ht="11.25" customHeight="1" x14ac:dyDescent="0.2">
      <c r="E485" s="117">
        <v>478</v>
      </c>
      <c r="F485" s="753"/>
      <c r="G485" s="754"/>
      <c r="H485" s="732"/>
      <c r="I485" s="731" t="str">
        <f t="shared" si="24"/>
        <v/>
      </c>
      <c r="K485" s="241" t="str">
        <f t="shared" si="23"/>
        <v/>
      </c>
      <c r="L485" s="137"/>
    </row>
    <row r="486" spans="5:12" ht="11.25" customHeight="1" x14ac:dyDescent="0.2">
      <c r="E486" s="117">
        <v>479</v>
      </c>
      <c r="F486" s="753"/>
      <c r="G486" s="754"/>
      <c r="H486" s="732"/>
      <c r="I486" s="731" t="str">
        <f t="shared" si="24"/>
        <v/>
      </c>
      <c r="K486" s="241" t="str">
        <f t="shared" si="23"/>
        <v/>
      </c>
      <c r="L486" s="137"/>
    </row>
    <row r="487" spans="5:12" ht="11.25" customHeight="1" x14ac:dyDescent="0.2">
      <c r="E487" s="117">
        <v>480</v>
      </c>
      <c r="F487" s="753"/>
      <c r="G487" s="754"/>
      <c r="H487" s="732"/>
      <c r="I487" s="731" t="str">
        <f t="shared" si="24"/>
        <v/>
      </c>
      <c r="K487" s="241" t="str">
        <f t="shared" si="23"/>
        <v/>
      </c>
      <c r="L487" s="137"/>
    </row>
    <row r="488" spans="5:12" ht="11.25" customHeight="1" x14ac:dyDescent="0.2">
      <c r="E488" s="117">
        <v>481</v>
      </c>
      <c r="F488" s="753"/>
      <c r="G488" s="754"/>
      <c r="H488" s="732"/>
      <c r="I488" s="731" t="str">
        <f t="shared" si="24"/>
        <v/>
      </c>
      <c r="K488" s="241" t="str">
        <f t="shared" si="23"/>
        <v/>
      </c>
      <c r="L488" s="137"/>
    </row>
    <row r="489" spans="5:12" ht="11.25" customHeight="1" x14ac:dyDescent="0.2">
      <c r="E489" s="117">
        <v>482</v>
      </c>
      <c r="F489" s="753"/>
      <c r="G489" s="754"/>
      <c r="H489" s="732"/>
      <c r="I489" s="731" t="str">
        <f t="shared" si="24"/>
        <v/>
      </c>
      <c r="K489" s="241" t="str">
        <f t="shared" si="23"/>
        <v/>
      </c>
      <c r="L489" s="137"/>
    </row>
    <row r="490" spans="5:12" ht="11.25" customHeight="1" x14ac:dyDescent="0.2">
      <c r="E490" s="117">
        <v>483</v>
      </c>
      <c r="F490" s="753"/>
      <c r="G490" s="754"/>
      <c r="H490" s="732"/>
      <c r="I490" s="731" t="str">
        <f t="shared" si="24"/>
        <v/>
      </c>
      <c r="K490" s="241" t="str">
        <f t="shared" si="23"/>
        <v/>
      </c>
      <c r="L490" s="137"/>
    </row>
    <row r="491" spans="5:12" ht="11.25" customHeight="1" x14ac:dyDescent="0.2">
      <c r="E491" s="117">
        <v>484</v>
      </c>
      <c r="F491" s="753"/>
      <c r="G491" s="754"/>
      <c r="H491" s="732"/>
      <c r="I491" s="731" t="str">
        <f t="shared" si="24"/>
        <v/>
      </c>
      <c r="K491" s="241" t="str">
        <f t="shared" si="23"/>
        <v/>
      </c>
      <c r="L491" s="137"/>
    </row>
    <row r="492" spans="5:12" ht="11.25" customHeight="1" x14ac:dyDescent="0.2">
      <c r="E492" s="117">
        <v>485</v>
      </c>
      <c r="F492" s="753"/>
      <c r="G492" s="754"/>
      <c r="H492" s="732"/>
      <c r="I492" s="731" t="str">
        <f t="shared" si="24"/>
        <v/>
      </c>
      <c r="K492" s="241" t="str">
        <f t="shared" si="23"/>
        <v/>
      </c>
      <c r="L492" s="137"/>
    </row>
    <row r="493" spans="5:12" ht="11.25" customHeight="1" x14ac:dyDescent="0.2">
      <c r="E493" s="117">
        <v>486</v>
      </c>
      <c r="F493" s="753"/>
      <c r="G493" s="754"/>
      <c r="H493" s="732"/>
      <c r="I493" s="731" t="str">
        <f t="shared" si="24"/>
        <v/>
      </c>
      <c r="K493" s="241" t="str">
        <f t="shared" si="23"/>
        <v/>
      </c>
      <c r="L493" s="137"/>
    </row>
    <row r="494" spans="5:12" ht="11.25" customHeight="1" x14ac:dyDescent="0.2">
      <c r="E494" s="117">
        <v>487</v>
      </c>
      <c r="F494" s="753"/>
      <c r="G494" s="754"/>
      <c r="H494" s="732"/>
      <c r="I494" s="731" t="str">
        <f t="shared" si="24"/>
        <v/>
      </c>
      <c r="K494" s="241" t="str">
        <f t="shared" si="23"/>
        <v/>
      </c>
      <c r="L494" s="137"/>
    </row>
    <row r="495" spans="5:12" ht="11.25" customHeight="1" x14ac:dyDescent="0.2">
      <c r="E495" s="117">
        <v>488</v>
      </c>
      <c r="F495" s="753"/>
      <c r="G495" s="754"/>
      <c r="H495" s="732"/>
      <c r="I495" s="731" t="str">
        <f t="shared" si="24"/>
        <v/>
      </c>
      <c r="K495" s="241" t="str">
        <f t="shared" si="23"/>
        <v/>
      </c>
      <c r="L495" s="137"/>
    </row>
    <row r="496" spans="5:12" ht="11.25" customHeight="1" x14ac:dyDescent="0.2">
      <c r="E496" s="117">
        <v>489</v>
      </c>
      <c r="F496" s="753"/>
      <c r="G496" s="754"/>
      <c r="H496" s="732"/>
      <c r="I496" s="731" t="str">
        <f t="shared" si="24"/>
        <v/>
      </c>
      <c r="K496" s="241" t="str">
        <f t="shared" si="23"/>
        <v/>
      </c>
      <c r="L496" s="137"/>
    </row>
    <row r="497" spans="5:12" ht="11.25" customHeight="1" x14ac:dyDescent="0.2">
      <c r="E497" s="117">
        <v>490</v>
      </c>
      <c r="F497" s="753"/>
      <c r="G497" s="754"/>
      <c r="H497" s="732"/>
      <c r="I497" s="731" t="str">
        <f t="shared" si="24"/>
        <v/>
      </c>
      <c r="K497" s="241" t="str">
        <f t="shared" si="23"/>
        <v/>
      </c>
      <c r="L497" s="137"/>
    </row>
    <row r="498" spans="5:12" ht="11.25" customHeight="1" x14ac:dyDescent="0.2">
      <c r="E498" s="117">
        <v>491</v>
      </c>
      <c r="F498" s="753"/>
      <c r="G498" s="754"/>
      <c r="H498" s="732"/>
      <c r="I498" s="731" t="str">
        <f t="shared" si="24"/>
        <v/>
      </c>
      <c r="K498" s="241" t="str">
        <f t="shared" si="23"/>
        <v/>
      </c>
      <c r="L498" s="137"/>
    </row>
    <row r="499" spans="5:12" ht="11.25" customHeight="1" x14ac:dyDescent="0.2">
      <c r="E499" s="117">
        <v>492</v>
      </c>
      <c r="F499" s="753"/>
      <c r="G499" s="754"/>
      <c r="H499" s="732"/>
      <c r="I499" s="731" t="str">
        <f t="shared" si="24"/>
        <v/>
      </c>
      <c r="K499" s="241" t="str">
        <f t="shared" si="23"/>
        <v/>
      </c>
      <c r="L499" s="137"/>
    </row>
    <row r="500" spans="5:12" ht="11.25" customHeight="1" x14ac:dyDescent="0.2">
      <c r="E500" s="117">
        <v>493</v>
      </c>
      <c r="F500" s="753"/>
      <c r="G500" s="754"/>
      <c r="H500" s="732"/>
      <c r="I500" s="731" t="str">
        <f t="shared" si="24"/>
        <v/>
      </c>
      <c r="K500" s="241" t="str">
        <f t="shared" si="23"/>
        <v/>
      </c>
      <c r="L500" s="137"/>
    </row>
    <row r="501" spans="5:12" ht="11.25" customHeight="1" x14ac:dyDescent="0.2">
      <c r="E501" s="117">
        <v>494</v>
      </c>
      <c r="F501" s="753"/>
      <c r="G501" s="754"/>
      <c r="H501" s="732"/>
      <c r="I501" s="731" t="str">
        <f t="shared" si="24"/>
        <v/>
      </c>
      <c r="K501" s="241" t="str">
        <f t="shared" si="23"/>
        <v/>
      </c>
      <c r="L501" s="137"/>
    </row>
    <row r="502" spans="5:12" ht="11.25" customHeight="1" x14ac:dyDescent="0.2">
      <c r="E502" s="117">
        <v>495</v>
      </c>
      <c r="F502" s="753"/>
      <c r="G502" s="754"/>
      <c r="H502" s="732"/>
      <c r="I502" s="731" t="str">
        <f t="shared" si="24"/>
        <v/>
      </c>
      <c r="K502" s="241" t="str">
        <f t="shared" si="23"/>
        <v/>
      </c>
      <c r="L502" s="137"/>
    </row>
    <row r="503" spans="5:12" ht="11.25" customHeight="1" x14ac:dyDescent="0.2">
      <c r="E503" s="117">
        <v>496</v>
      </c>
      <c r="F503" s="753"/>
      <c r="G503" s="754"/>
      <c r="H503" s="732"/>
      <c r="I503" s="731" t="str">
        <f t="shared" si="24"/>
        <v/>
      </c>
      <c r="K503" s="241" t="str">
        <f t="shared" si="23"/>
        <v/>
      </c>
      <c r="L503" s="137"/>
    </row>
    <row r="504" spans="5:12" ht="11.25" customHeight="1" x14ac:dyDescent="0.2">
      <c r="E504" s="117">
        <v>497</v>
      </c>
      <c r="F504" s="753"/>
      <c r="G504" s="754"/>
      <c r="H504" s="732"/>
      <c r="I504" s="731" t="str">
        <f t="shared" si="24"/>
        <v/>
      </c>
      <c r="K504" s="241" t="str">
        <f t="shared" si="23"/>
        <v/>
      </c>
      <c r="L504" s="137"/>
    </row>
    <row r="505" spans="5:12" ht="11.25" customHeight="1" x14ac:dyDescent="0.2">
      <c r="E505" s="117">
        <v>498</v>
      </c>
      <c r="F505" s="753"/>
      <c r="G505" s="754"/>
      <c r="H505" s="732"/>
      <c r="I505" s="731" t="str">
        <f t="shared" si="24"/>
        <v/>
      </c>
      <c r="K505" s="241" t="str">
        <f t="shared" si="23"/>
        <v/>
      </c>
      <c r="L505" s="137"/>
    </row>
    <row r="506" spans="5:12" ht="11.25" customHeight="1" x14ac:dyDescent="0.2">
      <c r="E506" s="117">
        <v>499</v>
      </c>
      <c r="F506" s="753"/>
      <c r="G506" s="754"/>
      <c r="H506" s="732"/>
      <c r="I506" s="731" t="str">
        <f t="shared" si="24"/>
        <v/>
      </c>
      <c r="K506" s="241" t="str">
        <f t="shared" si="23"/>
        <v/>
      </c>
      <c r="L506" s="137"/>
    </row>
    <row r="507" spans="5:12" ht="11.25" customHeight="1" x14ac:dyDescent="0.2">
      <c r="E507" s="117">
        <v>500</v>
      </c>
      <c r="F507" s="753"/>
      <c r="G507" s="754"/>
      <c r="H507" s="732"/>
      <c r="I507" s="731" t="str">
        <f t="shared" si="24"/>
        <v/>
      </c>
      <c r="K507" s="241" t="str">
        <f t="shared" si="23"/>
        <v/>
      </c>
      <c r="L507" s="137"/>
    </row>
    <row r="508" spans="5:12" ht="11.25" customHeight="1" x14ac:dyDescent="0.2">
      <c r="E508" s="117">
        <v>501</v>
      </c>
      <c r="F508" s="753"/>
      <c r="G508" s="754"/>
      <c r="H508" s="732"/>
      <c r="I508" s="731" t="str">
        <f t="shared" si="24"/>
        <v/>
      </c>
      <c r="K508" s="241" t="str">
        <f t="shared" si="23"/>
        <v/>
      </c>
      <c r="L508" s="137"/>
    </row>
    <row r="509" spans="5:12" ht="11.25" customHeight="1" x14ac:dyDescent="0.2">
      <c r="E509" s="117">
        <v>502</v>
      </c>
      <c r="F509" s="753"/>
      <c r="G509" s="754"/>
      <c r="H509" s="732"/>
      <c r="I509" s="731" t="str">
        <f t="shared" si="24"/>
        <v/>
      </c>
      <c r="K509" s="241" t="str">
        <f t="shared" si="23"/>
        <v/>
      </c>
      <c r="L509" s="137"/>
    </row>
    <row r="510" spans="5:12" ht="11.25" customHeight="1" x14ac:dyDescent="0.2">
      <c r="E510" s="117">
        <v>503</v>
      </c>
      <c r="F510" s="753"/>
      <c r="G510" s="754"/>
      <c r="H510" s="732"/>
      <c r="I510" s="731" t="str">
        <f t="shared" si="24"/>
        <v/>
      </c>
      <c r="K510" s="241" t="str">
        <f t="shared" si="23"/>
        <v/>
      </c>
      <c r="L510" s="137"/>
    </row>
    <row r="511" spans="5:12" ht="11.25" customHeight="1" x14ac:dyDescent="0.2">
      <c r="E511" s="117">
        <v>504</v>
      </c>
      <c r="F511" s="753"/>
      <c r="G511" s="754"/>
      <c r="H511" s="732"/>
      <c r="I511" s="731" t="str">
        <f t="shared" si="24"/>
        <v/>
      </c>
      <c r="K511" s="241" t="str">
        <f t="shared" ref="K511:K574" si="25">IF(I456&lt;&gt;"",(F456+G456)/2,"")</f>
        <v/>
      </c>
      <c r="L511" s="137"/>
    </row>
    <row r="512" spans="5:12" ht="11.25" customHeight="1" x14ac:dyDescent="0.2">
      <c r="E512" s="117">
        <v>505</v>
      </c>
      <c r="F512" s="753"/>
      <c r="G512" s="754"/>
      <c r="H512" s="732"/>
      <c r="I512" s="731" t="str">
        <f t="shared" si="24"/>
        <v/>
      </c>
      <c r="K512" s="241" t="str">
        <f t="shared" si="25"/>
        <v/>
      </c>
      <c r="L512" s="137"/>
    </row>
    <row r="513" spans="5:12" ht="11.25" customHeight="1" x14ac:dyDescent="0.2">
      <c r="E513" s="117">
        <v>506</v>
      </c>
      <c r="F513" s="753"/>
      <c r="G513" s="754"/>
      <c r="H513" s="732"/>
      <c r="I513" s="731" t="str">
        <f t="shared" si="24"/>
        <v/>
      </c>
      <c r="K513" s="241" t="str">
        <f t="shared" si="25"/>
        <v/>
      </c>
      <c r="L513" s="137"/>
    </row>
    <row r="514" spans="5:12" ht="11.25" customHeight="1" x14ac:dyDescent="0.2">
      <c r="E514" s="117">
        <v>507</v>
      </c>
      <c r="F514" s="753"/>
      <c r="G514" s="754"/>
      <c r="H514" s="732"/>
      <c r="I514" s="731" t="str">
        <f t="shared" si="24"/>
        <v/>
      </c>
      <c r="K514" s="241" t="str">
        <f t="shared" si="25"/>
        <v/>
      </c>
      <c r="L514" s="137"/>
    </row>
    <row r="515" spans="5:12" ht="11.25" customHeight="1" x14ac:dyDescent="0.2">
      <c r="E515" s="117">
        <v>508</v>
      </c>
      <c r="F515" s="753"/>
      <c r="G515" s="754"/>
      <c r="H515" s="732"/>
      <c r="I515" s="731" t="str">
        <f t="shared" si="24"/>
        <v/>
      </c>
      <c r="K515" s="241" t="str">
        <f t="shared" si="25"/>
        <v/>
      </c>
      <c r="L515" s="137"/>
    </row>
    <row r="516" spans="5:12" ht="11.25" customHeight="1" x14ac:dyDescent="0.2">
      <c r="E516" s="117">
        <v>509</v>
      </c>
      <c r="F516" s="753"/>
      <c r="G516" s="754"/>
      <c r="H516" s="732"/>
      <c r="I516" s="731" t="str">
        <f t="shared" si="24"/>
        <v/>
      </c>
      <c r="K516" s="241" t="str">
        <f t="shared" si="25"/>
        <v/>
      </c>
      <c r="L516" s="137"/>
    </row>
    <row r="517" spans="5:12" ht="11.25" customHeight="1" x14ac:dyDescent="0.2">
      <c r="E517" s="117">
        <v>510</v>
      </c>
      <c r="F517" s="753"/>
      <c r="G517" s="754"/>
      <c r="H517" s="732"/>
      <c r="I517" s="731" t="str">
        <f t="shared" si="24"/>
        <v/>
      </c>
      <c r="K517" s="241" t="str">
        <f t="shared" si="25"/>
        <v/>
      </c>
      <c r="L517" s="137"/>
    </row>
    <row r="518" spans="5:12" ht="11.25" customHeight="1" x14ac:dyDescent="0.2">
      <c r="E518" s="117">
        <v>511</v>
      </c>
      <c r="F518" s="753"/>
      <c r="G518" s="754"/>
      <c r="H518" s="732"/>
      <c r="I518" s="731" t="str">
        <f t="shared" si="24"/>
        <v/>
      </c>
      <c r="K518" s="241" t="str">
        <f t="shared" si="25"/>
        <v/>
      </c>
      <c r="L518" s="137"/>
    </row>
    <row r="519" spans="5:12" ht="11.25" customHeight="1" x14ac:dyDescent="0.2">
      <c r="E519" s="117">
        <v>512</v>
      </c>
      <c r="F519" s="753"/>
      <c r="G519" s="754"/>
      <c r="H519" s="732"/>
      <c r="I519" s="731" t="str">
        <f t="shared" si="24"/>
        <v/>
      </c>
      <c r="K519" s="241" t="str">
        <f t="shared" si="25"/>
        <v/>
      </c>
      <c r="L519" s="137"/>
    </row>
    <row r="520" spans="5:12" ht="11.25" customHeight="1" x14ac:dyDescent="0.2">
      <c r="E520" s="117">
        <v>513</v>
      </c>
      <c r="F520" s="753"/>
      <c r="G520" s="754"/>
      <c r="H520" s="732"/>
      <c r="I520" s="731" t="str">
        <f t="shared" ref="I520:I583" si="26">IF(AND(F520&lt;&gt;"",G520&lt;&gt;""),G520-F520,"")</f>
        <v/>
      </c>
      <c r="K520" s="241" t="str">
        <f t="shared" si="25"/>
        <v/>
      </c>
      <c r="L520" s="137"/>
    </row>
    <row r="521" spans="5:12" ht="11.25" customHeight="1" x14ac:dyDescent="0.2">
      <c r="E521" s="117">
        <v>514</v>
      </c>
      <c r="F521" s="753"/>
      <c r="G521" s="754"/>
      <c r="H521" s="732"/>
      <c r="I521" s="731" t="str">
        <f t="shared" si="26"/>
        <v/>
      </c>
      <c r="K521" s="241" t="str">
        <f t="shared" si="25"/>
        <v/>
      </c>
      <c r="L521" s="137"/>
    </row>
    <row r="522" spans="5:12" ht="11.25" customHeight="1" x14ac:dyDescent="0.2">
      <c r="E522" s="117">
        <v>515</v>
      </c>
      <c r="F522" s="753"/>
      <c r="G522" s="754"/>
      <c r="H522" s="732"/>
      <c r="I522" s="731" t="str">
        <f t="shared" si="26"/>
        <v/>
      </c>
      <c r="K522" s="241" t="str">
        <f t="shared" si="25"/>
        <v/>
      </c>
      <c r="L522" s="137"/>
    </row>
    <row r="523" spans="5:12" ht="11.25" customHeight="1" x14ac:dyDescent="0.2">
      <c r="E523" s="117">
        <v>516</v>
      </c>
      <c r="F523" s="753"/>
      <c r="G523" s="754"/>
      <c r="H523" s="732"/>
      <c r="I523" s="731" t="str">
        <f t="shared" si="26"/>
        <v/>
      </c>
      <c r="K523" s="241" t="str">
        <f t="shared" si="25"/>
        <v/>
      </c>
      <c r="L523" s="137"/>
    </row>
    <row r="524" spans="5:12" ht="11.25" customHeight="1" x14ac:dyDescent="0.2">
      <c r="E524" s="117">
        <v>517</v>
      </c>
      <c r="F524" s="753"/>
      <c r="G524" s="754"/>
      <c r="H524" s="732"/>
      <c r="I524" s="731" t="str">
        <f t="shared" si="26"/>
        <v/>
      </c>
      <c r="K524" s="241" t="str">
        <f t="shared" si="25"/>
        <v/>
      </c>
      <c r="L524" s="137"/>
    </row>
    <row r="525" spans="5:12" ht="11.25" customHeight="1" x14ac:dyDescent="0.2">
      <c r="E525" s="117">
        <v>518</v>
      </c>
      <c r="F525" s="753"/>
      <c r="G525" s="754"/>
      <c r="H525" s="732"/>
      <c r="I525" s="731" t="str">
        <f t="shared" si="26"/>
        <v/>
      </c>
      <c r="K525" s="241" t="str">
        <f t="shared" si="25"/>
        <v/>
      </c>
      <c r="L525" s="137"/>
    </row>
    <row r="526" spans="5:12" ht="11.25" customHeight="1" x14ac:dyDescent="0.2">
      <c r="E526" s="117">
        <v>519</v>
      </c>
      <c r="F526" s="753"/>
      <c r="G526" s="754"/>
      <c r="H526" s="732"/>
      <c r="I526" s="731" t="str">
        <f t="shared" si="26"/>
        <v/>
      </c>
      <c r="K526" s="241" t="str">
        <f t="shared" si="25"/>
        <v/>
      </c>
      <c r="L526" s="137"/>
    </row>
    <row r="527" spans="5:12" ht="11.25" customHeight="1" x14ac:dyDescent="0.2">
      <c r="E527" s="117">
        <v>520</v>
      </c>
      <c r="F527" s="753"/>
      <c r="G527" s="754"/>
      <c r="H527" s="732"/>
      <c r="I527" s="731" t="str">
        <f t="shared" si="26"/>
        <v/>
      </c>
      <c r="K527" s="241" t="str">
        <f t="shared" si="25"/>
        <v/>
      </c>
      <c r="L527" s="137"/>
    </row>
    <row r="528" spans="5:12" ht="11.25" customHeight="1" x14ac:dyDescent="0.2">
      <c r="E528" s="117">
        <v>521</v>
      </c>
      <c r="F528" s="753"/>
      <c r="G528" s="754"/>
      <c r="H528" s="732"/>
      <c r="I528" s="731" t="str">
        <f t="shared" si="26"/>
        <v/>
      </c>
      <c r="K528" s="241" t="str">
        <f t="shared" si="25"/>
        <v/>
      </c>
      <c r="L528" s="137"/>
    </row>
    <row r="529" spans="5:12" ht="11.25" customHeight="1" x14ac:dyDescent="0.2">
      <c r="E529" s="117">
        <v>522</v>
      </c>
      <c r="F529" s="753"/>
      <c r="G529" s="754"/>
      <c r="H529" s="732"/>
      <c r="I529" s="731" t="str">
        <f t="shared" si="26"/>
        <v/>
      </c>
      <c r="K529" s="241" t="str">
        <f t="shared" si="25"/>
        <v/>
      </c>
      <c r="L529" s="137"/>
    </row>
    <row r="530" spans="5:12" ht="11.25" customHeight="1" x14ac:dyDescent="0.2">
      <c r="E530" s="117">
        <v>523</v>
      </c>
      <c r="F530" s="753"/>
      <c r="G530" s="754"/>
      <c r="H530" s="732"/>
      <c r="I530" s="731" t="str">
        <f t="shared" si="26"/>
        <v/>
      </c>
      <c r="K530" s="241" t="str">
        <f t="shared" si="25"/>
        <v/>
      </c>
      <c r="L530" s="137"/>
    </row>
    <row r="531" spans="5:12" ht="11.25" customHeight="1" x14ac:dyDescent="0.2">
      <c r="E531" s="117">
        <v>524</v>
      </c>
      <c r="F531" s="753"/>
      <c r="G531" s="754"/>
      <c r="H531" s="732"/>
      <c r="I531" s="731" t="str">
        <f t="shared" si="26"/>
        <v/>
      </c>
      <c r="K531" s="241" t="str">
        <f t="shared" si="25"/>
        <v/>
      </c>
      <c r="L531" s="137"/>
    </row>
    <row r="532" spans="5:12" ht="11.25" customHeight="1" x14ac:dyDescent="0.2">
      <c r="E532" s="117">
        <v>525</v>
      </c>
      <c r="F532" s="753"/>
      <c r="G532" s="754"/>
      <c r="H532" s="732"/>
      <c r="I532" s="731" t="str">
        <f t="shared" si="26"/>
        <v/>
      </c>
      <c r="K532" s="241" t="str">
        <f t="shared" si="25"/>
        <v/>
      </c>
      <c r="L532" s="137"/>
    </row>
    <row r="533" spans="5:12" ht="11.25" customHeight="1" x14ac:dyDescent="0.2">
      <c r="E533" s="117">
        <v>526</v>
      </c>
      <c r="F533" s="753"/>
      <c r="G533" s="754"/>
      <c r="H533" s="732"/>
      <c r="I533" s="731" t="str">
        <f t="shared" si="26"/>
        <v/>
      </c>
      <c r="K533" s="241" t="str">
        <f t="shared" si="25"/>
        <v/>
      </c>
      <c r="L533" s="137"/>
    </row>
    <row r="534" spans="5:12" ht="11.25" customHeight="1" x14ac:dyDescent="0.2">
      <c r="E534" s="117">
        <v>527</v>
      </c>
      <c r="F534" s="753"/>
      <c r="G534" s="754"/>
      <c r="H534" s="732"/>
      <c r="I534" s="731" t="str">
        <f t="shared" si="26"/>
        <v/>
      </c>
      <c r="K534" s="241" t="str">
        <f t="shared" si="25"/>
        <v/>
      </c>
      <c r="L534" s="137"/>
    </row>
    <row r="535" spans="5:12" ht="11.25" customHeight="1" x14ac:dyDescent="0.2">
      <c r="E535" s="117">
        <v>528</v>
      </c>
      <c r="F535" s="753"/>
      <c r="G535" s="754"/>
      <c r="H535" s="732"/>
      <c r="I535" s="731" t="str">
        <f t="shared" si="26"/>
        <v/>
      </c>
      <c r="K535" s="241" t="str">
        <f t="shared" si="25"/>
        <v/>
      </c>
      <c r="L535" s="137"/>
    </row>
    <row r="536" spans="5:12" ht="11.25" customHeight="1" x14ac:dyDescent="0.2">
      <c r="E536" s="117">
        <v>529</v>
      </c>
      <c r="F536" s="753"/>
      <c r="G536" s="754"/>
      <c r="H536" s="732"/>
      <c r="I536" s="731" t="str">
        <f t="shared" si="26"/>
        <v/>
      </c>
      <c r="K536" s="241" t="str">
        <f t="shared" si="25"/>
        <v/>
      </c>
      <c r="L536" s="137"/>
    </row>
    <row r="537" spans="5:12" ht="11.25" customHeight="1" x14ac:dyDescent="0.2">
      <c r="E537" s="117">
        <v>530</v>
      </c>
      <c r="F537" s="753"/>
      <c r="G537" s="754"/>
      <c r="H537" s="732"/>
      <c r="I537" s="731" t="str">
        <f t="shared" si="26"/>
        <v/>
      </c>
      <c r="K537" s="241" t="str">
        <f t="shared" si="25"/>
        <v/>
      </c>
      <c r="L537" s="137"/>
    </row>
    <row r="538" spans="5:12" ht="11.25" customHeight="1" x14ac:dyDescent="0.2">
      <c r="E538" s="117">
        <v>531</v>
      </c>
      <c r="F538" s="753"/>
      <c r="G538" s="754"/>
      <c r="H538" s="732"/>
      <c r="I538" s="731" t="str">
        <f t="shared" si="26"/>
        <v/>
      </c>
      <c r="K538" s="241" t="str">
        <f t="shared" si="25"/>
        <v/>
      </c>
      <c r="L538" s="137"/>
    </row>
    <row r="539" spans="5:12" ht="11.25" customHeight="1" x14ac:dyDescent="0.2">
      <c r="E539" s="117">
        <v>532</v>
      </c>
      <c r="F539" s="753"/>
      <c r="G539" s="754"/>
      <c r="H539" s="732"/>
      <c r="I539" s="731" t="str">
        <f t="shared" si="26"/>
        <v/>
      </c>
      <c r="K539" s="241" t="str">
        <f t="shared" si="25"/>
        <v/>
      </c>
      <c r="L539" s="137"/>
    </row>
    <row r="540" spans="5:12" ht="11.25" customHeight="1" x14ac:dyDescent="0.2">
      <c r="E540" s="117">
        <v>533</v>
      </c>
      <c r="F540" s="753"/>
      <c r="G540" s="754"/>
      <c r="H540" s="732"/>
      <c r="I540" s="731" t="str">
        <f t="shared" si="26"/>
        <v/>
      </c>
      <c r="K540" s="241" t="str">
        <f t="shared" si="25"/>
        <v/>
      </c>
      <c r="L540" s="137"/>
    </row>
    <row r="541" spans="5:12" ht="11.25" customHeight="1" x14ac:dyDescent="0.2">
      <c r="E541" s="117">
        <v>534</v>
      </c>
      <c r="F541" s="753"/>
      <c r="G541" s="754"/>
      <c r="H541" s="732"/>
      <c r="I541" s="731" t="str">
        <f t="shared" si="26"/>
        <v/>
      </c>
      <c r="K541" s="241" t="str">
        <f t="shared" si="25"/>
        <v/>
      </c>
      <c r="L541" s="137"/>
    </row>
    <row r="542" spans="5:12" ht="11.25" customHeight="1" x14ac:dyDescent="0.2">
      <c r="E542" s="117">
        <v>535</v>
      </c>
      <c r="F542" s="753"/>
      <c r="G542" s="754"/>
      <c r="H542" s="732"/>
      <c r="I542" s="731" t="str">
        <f t="shared" si="26"/>
        <v/>
      </c>
      <c r="K542" s="241" t="str">
        <f t="shared" si="25"/>
        <v/>
      </c>
      <c r="L542" s="137"/>
    </row>
    <row r="543" spans="5:12" ht="11.25" customHeight="1" x14ac:dyDescent="0.2">
      <c r="E543" s="117">
        <v>536</v>
      </c>
      <c r="F543" s="753"/>
      <c r="G543" s="754"/>
      <c r="H543" s="732"/>
      <c r="I543" s="731" t="str">
        <f t="shared" si="26"/>
        <v/>
      </c>
      <c r="K543" s="241" t="str">
        <f t="shared" si="25"/>
        <v/>
      </c>
      <c r="L543" s="137"/>
    </row>
    <row r="544" spans="5:12" ht="11.25" customHeight="1" x14ac:dyDescent="0.2">
      <c r="E544" s="117">
        <v>537</v>
      </c>
      <c r="F544" s="753"/>
      <c r="G544" s="754"/>
      <c r="H544" s="732"/>
      <c r="I544" s="731" t="str">
        <f t="shared" si="26"/>
        <v/>
      </c>
      <c r="K544" s="241" t="str">
        <f t="shared" si="25"/>
        <v/>
      </c>
      <c r="L544" s="137"/>
    </row>
    <row r="545" spans="5:12" ht="11.25" customHeight="1" x14ac:dyDescent="0.2">
      <c r="E545" s="117">
        <v>538</v>
      </c>
      <c r="F545" s="753"/>
      <c r="G545" s="754"/>
      <c r="H545" s="732"/>
      <c r="I545" s="731" t="str">
        <f t="shared" si="26"/>
        <v/>
      </c>
      <c r="K545" s="241" t="str">
        <f t="shared" si="25"/>
        <v/>
      </c>
      <c r="L545" s="137"/>
    </row>
    <row r="546" spans="5:12" ht="11.25" customHeight="1" x14ac:dyDescent="0.2">
      <c r="E546" s="117">
        <v>539</v>
      </c>
      <c r="F546" s="753"/>
      <c r="G546" s="754"/>
      <c r="H546" s="732"/>
      <c r="I546" s="731" t="str">
        <f t="shared" si="26"/>
        <v/>
      </c>
      <c r="K546" s="241" t="str">
        <f t="shared" si="25"/>
        <v/>
      </c>
      <c r="L546" s="137"/>
    </row>
    <row r="547" spans="5:12" ht="11.25" customHeight="1" x14ac:dyDescent="0.2">
      <c r="E547" s="117">
        <v>540</v>
      </c>
      <c r="F547" s="753"/>
      <c r="G547" s="754"/>
      <c r="H547" s="732"/>
      <c r="I547" s="731" t="str">
        <f t="shared" si="26"/>
        <v/>
      </c>
      <c r="K547" s="241" t="str">
        <f t="shared" si="25"/>
        <v/>
      </c>
      <c r="L547" s="137"/>
    </row>
    <row r="548" spans="5:12" ht="11.25" customHeight="1" x14ac:dyDescent="0.2">
      <c r="E548" s="117">
        <v>541</v>
      </c>
      <c r="F548" s="753"/>
      <c r="G548" s="754"/>
      <c r="H548" s="732"/>
      <c r="I548" s="731" t="str">
        <f t="shared" si="26"/>
        <v/>
      </c>
      <c r="K548" s="241" t="str">
        <f t="shared" si="25"/>
        <v/>
      </c>
      <c r="L548" s="137"/>
    </row>
    <row r="549" spans="5:12" ht="11.25" customHeight="1" x14ac:dyDescent="0.2">
      <c r="E549" s="117">
        <v>542</v>
      </c>
      <c r="F549" s="753"/>
      <c r="G549" s="754"/>
      <c r="H549" s="732"/>
      <c r="I549" s="731" t="str">
        <f t="shared" si="26"/>
        <v/>
      </c>
      <c r="K549" s="241" t="str">
        <f t="shared" si="25"/>
        <v/>
      </c>
      <c r="L549" s="137"/>
    </row>
    <row r="550" spans="5:12" ht="11.25" customHeight="1" x14ac:dyDescent="0.2">
      <c r="E550" s="117">
        <v>543</v>
      </c>
      <c r="F550" s="753"/>
      <c r="G550" s="754"/>
      <c r="H550" s="732"/>
      <c r="I550" s="731" t="str">
        <f t="shared" si="26"/>
        <v/>
      </c>
      <c r="K550" s="241" t="str">
        <f t="shared" si="25"/>
        <v/>
      </c>
      <c r="L550" s="137"/>
    </row>
    <row r="551" spans="5:12" ht="11.25" customHeight="1" x14ac:dyDescent="0.2">
      <c r="E551" s="117">
        <v>544</v>
      </c>
      <c r="F551" s="753"/>
      <c r="G551" s="754"/>
      <c r="H551" s="732"/>
      <c r="I551" s="731" t="str">
        <f t="shared" si="26"/>
        <v/>
      </c>
      <c r="K551" s="241" t="str">
        <f t="shared" si="25"/>
        <v/>
      </c>
      <c r="L551" s="137"/>
    </row>
    <row r="552" spans="5:12" ht="11.25" customHeight="1" x14ac:dyDescent="0.2">
      <c r="E552" s="117">
        <v>545</v>
      </c>
      <c r="F552" s="753"/>
      <c r="G552" s="754"/>
      <c r="H552" s="732"/>
      <c r="I552" s="731" t="str">
        <f t="shared" si="26"/>
        <v/>
      </c>
      <c r="K552" s="241" t="str">
        <f t="shared" si="25"/>
        <v/>
      </c>
      <c r="L552" s="137"/>
    </row>
    <row r="553" spans="5:12" ht="11.25" customHeight="1" x14ac:dyDescent="0.2">
      <c r="E553" s="117">
        <v>546</v>
      </c>
      <c r="F553" s="753"/>
      <c r="G553" s="754"/>
      <c r="H553" s="732"/>
      <c r="I553" s="731" t="str">
        <f t="shared" si="26"/>
        <v/>
      </c>
      <c r="K553" s="241" t="str">
        <f t="shared" si="25"/>
        <v/>
      </c>
      <c r="L553" s="137"/>
    </row>
    <row r="554" spans="5:12" ht="11.25" customHeight="1" x14ac:dyDescent="0.2">
      <c r="E554" s="117">
        <v>547</v>
      </c>
      <c r="F554" s="753"/>
      <c r="G554" s="754"/>
      <c r="H554" s="732"/>
      <c r="I554" s="731" t="str">
        <f t="shared" si="26"/>
        <v/>
      </c>
      <c r="K554" s="241" t="str">
        <f t="shared" si="25"/>
        <v/>
      </c>
      <c r="L554" s="137"/>
    </row>
    <row r="555" spans="5:12" ht="11.25" customHeight="1" x14ac:dyDescent="0.2">
      <c r="E555" s="117">
        <v>548</v>
      </c>
      <c r="F555" s="753"/>
      <c r="G555" s="754"/>
      <c r="H555" s="732"/>
      <c r="I555" s="731" t="str">
        <f t="shared" si="26"/>
        <v/>
      </c>
      <c r="K555" s="241" t="str">
        <f t="shared" si="25"/>
        <v/>
      </c>
      <c r="L555" s="137"/>
    </row>
    <row r="556" spans="5:12" ht="11.25" customHeight="1" x14ac:dyDescent="0.2">
      <c r="E556" s="117">
        <v>549</v>
      </c>
      <c r="F556" s="753"/>
      <c r="G556" s="754"/>
      <c r="H556" s="732"/>
      <c r="I556" s="731" t="str">
        <f t="shared" si="26"/>
        <v/>
      </c>
      <c r="K556" s="241" t="str">
        <f t="shared" si="25"/>
        <v/>
      </c>
      <c r="L556" s="137"/>
    </row>
    <row r="557" spans="5:12" ht="11.25" customHeight="1" x14ac:dyDescent="0.2">
      <c r="E557" s="117">
        <v>550</v>
      </c>
      <c r="F557" s="753"/>
      <c r="G557" s="754"/>
      <c r="H557" s="732"/>
      <c r="I557" s="731" t="str">
        <f t="shared" si="26"/>
        <v/>
      </c>
      <c r="K557" s="241" t="str">
        <f t="shared" si="25"/>
        <v/>
      </c>
      <c r="L557" s="137"/>
    </row>
    <row r="558" spans="5:12" ht="11.25" customHeight="1" x14ac:dyDescent="0.2">
      <c r="E558" s="117">
        <v>551</v>
      </c>
      <c r="F558" s="753"/>
      <c r="G558" s="754"/>
      <c r="H558" s="732"/>
      <c r="I558" s="731" t="str">
        <f t="shared" si="26"/>
        <v/>
      </c>
      <c r="K558" s="241" t="str">
        <f t="shared" si="25"/>
        <v/>
      </c>
      <c r="L558" s="137"/>
    </row>
    <row r="559" spans="5:12" ht="11.25" customHeight="1" x14ac:dyDescent="0.2">
      <c r="E559" s="117">
        <v>552</v>
      </c>
      <c r="F559" s="753"/>
      <c r="G559" s="754"/>
      <c r="H559" s="732"/>
      <c r="I559" s="731" t="str">
        <f t="shared" si="26"/>
        <v/>
      </c>
      <c r="K559" s="241" t="str">
        <f t="shared" si="25"/>
        <v/>
      </c>
      <c r="L559" s="137"/>
    </row>
    <row r="560" spans="5:12" ht="11.25" customHeight="1" x14ac:dyDescent="0.2">
      <c r="E560" s="117">
        <v>553</v>
      </c>
      <c r="F560" s="753"/>
      <c r="G560" s="754"/>
      <c r="H560" s="732"/>
      <c r="I560" s="731" t="str">
        <f t="shared" si="26"/>
        <v/>
      </c>
      <c r="K560" s="241" t="str">
        <f t="shared" si="25"/>
        <v/>
      </c>
      <c r="L560" s="137"/>
    </row>
    <row r="561" spans="5:12" ht="11.25" customHeight="1" x14ac:dyDescent="0.2">
      <c r="E561" s="117">
        <v>554</v>
      </c>
      <c r="F561" s="753"/>
      <c r="G561" s="754"/>
      <c r="H561" s="732"/>
      <c r="I561" s="731" t="str">
        <f t="shared" si="26"/>
        <v/>
      </c>
      <c r="K561" s="241" t="str">
        <f t="shared" si="25"/>
        <v/>
      </c>
      <c r="L561" s="137"/>
    </row>
    <row r="562" spans="5:12" ht="11.25" customHeight="1" x14ac:dyDescent="0.2">
      <c r="E562" s="117">
        <v>555</v>
      </c>
      <c r="F562" s="753"/>
      <c r="G562" s="754"/>
      <c r="H562" s="732"/>
      <c r="I562" s="731" t="str">
        <f t="shared" si="26"/>
        <v/>
      </c>
      <c r="K562" s="241" t="str">
        <f t="shared" si="25"/>
        <v/>
      </c>
      <c r="L562" s="137"/>
    </row>
    <row r="563" spans="5:12" ht="11.25" customHeight="1" x14ac:dyDescent="0.2">
      <c r="E563" s="117">
        <v>556</v>
      </c>
      <c r="F563" s="753"/>
      <c r="G563" s="754"/>
      <c r="H563" s="732"/>
      <c r="I563" s="731" t="str">
        <f t="shared" si="26"/>
        <v/>
      </c>
      <c r="K563" s="241" t="str">
        <f t="shared" si="25"/>
        <v/>
      </c>
      <c r="L563" s="137"/>
    </row>
    <row r="564" spans="5:12" ht="11.25" customHeight="1" x14ac:dyDescent="0.2">
      <c r="E564" s="117">
        <v>557</v>
      </c>
      <c r="F564" s="753"/>
      <c r="G564" s="754"/>
      <c r="H564" s="732"/>
      <c r="I564" s="731" t="str">
        <f t="shared" si="26"/>
        <v/>
      </c>
      <c r="K564" s="241" t="str">
        <f t="shared" si="25"/>
        <v/>
      </c>
      <c r="L564" s="137"/>
    </row>
    <row r="565" spans="5:12" ht="11.25" customHeight="1" x14ac:dyDescent="0.2">
      <c r="E565" s="117">
        <v>558</v>
      </c>
      <c r="F565" s="753"/>
      <c r="G565" s="754"/>
      <c r="H565" s="732"/>
      <c r="I565" s="731" t="str">
        <f t="shared" si="26"/>
        <v/>
      </c>
      <c r="K565" s="241" t="str">
        <f t="shared" si="25"/>
        <v/>
      </c>
      <c r="L565" s="137"/>
    </row>
    <row r="566" spans="5:12" ht="11.25" customHeight="1" x14ac:dyDescent="0.2">
      <c r="E566" s="117">
        <v>559</v>
      </c>
      <c r="F566" s="753"/>
      <c r="G566" s="754"/>
      <c r="H566" s="732"/>
      <c r="I566" s="731" t="str">
        <f t="shared" si="26"/>
        <v/>
      </c>
      <c r="K566" s="241" t="str">
        <f t="shared" si="25"/>
        <v/>
      </c>
      <c r="L566" s="137"/>
    </row>
    <row r="567" spans="5:12" ht="11.25" customHeight="1" x14ac:dyDescent="0.2">
      <c r="E567" s="117">
        <v>560</v>
      </c>
      <c r="F567" s="753"/>
      <c r="G567" s="754"/>
      <c r="H567" s="732"/>
      <c r="I567" s="731" t="str">
        <f t="shared" si="26"/>
        <v/>
      </c>
      <c r="K567" s="241" t="str">
        <f t="shared" si="25"/>
        <v/>
      </c>
      <c r="L567" s="137"/>
    </row>
    <row r="568" spans="5:12" ht="11.25" customHeight="1" x14ac:dyDescent="0.2">
      <c r="E568" s="117">
        <v>561</v>
      </c>
      <c r="F568" s="753"/>
      <c r="G568" s="754"/>
      <c r="H568" s="732"/>
      <c r="I568" s="731" t="str">
        <f t="shared" si="26"/>
        <v/>
      </c>
      <c r="K568" s="241" t="str">
        <f t="shared" si="25"/>
        <v/>
      </c>
      <c r="L568" s="137"/>
    </row>
    <row r="569" spans="5:12" ht="11.25" customHeight="1" x14ac:dyDescent="0.2">
      <c r="E569" s="117">
        <v>562</v>
      </c>
      <c r="F569" s="753"/>
      <c r="G569" s="754"/>
      <c r="H569" s="732"/>
      <c r="I569" s="731" t="str">
        <f t="shared" si="26"/>
        <v/>
      </c>
      <c r="K569" s="241" t="str">
        <f t="shared" si="25"/>
        <v/>
      </c>
      <c r="L569" s="137"/>
    </row>
    <row r="570" spans="5:12" ht="11.25" customHeight="1" x14ac:dyDescent="0.2">
      <c r="E570" s="117">
        <v>563</v>
      </c>
      <c r="F570" s="753"/>
      <c r="G570" s="754"/>
      <c r="H570" s="732"/>
      <c r="I570" s="731" t="str">
        <f t="shared" si="26"/>
        <v/>
      </c>
      <c r="K570" s="241" t="str">
        <f t="shared" si="25"/>
        <v/>
      </c>
      <c r="L570" s="137"/>
    </row>
    <row r="571" spans="5:12" ht="11.25" customHeight="1" x14ac:dyDescent="0.2">
      <c r="E571" s="117">
        <v>564</v>
      </c>
      <c r="F571" s="753"/>
      <c r="G571" s="754"/>
      <c r="H571" s="732"/>
      <c r="I571" s="731" t="str">
        <f t="shared" si="26"/>
        <v/>
      </c>
      <c r="K571" s="241" t="str">
        <f t="shared" si="25"/>
        <v/>
      </c>
      <c r="L571" s="137"/>
    </row>
    <row r="572" spans="5:12" ht="11.25" customHeight="1" x14ac:dyDescent="0.2">
      <c r="E572" s="117">
        <v>565</v>
      </c>
      <c r="F572" s="753"/>
      <c r="G572" s="754"/>
      <c r="H572" s="732"/>
      <c r="I572" s="731" t="str">
        <f t="shared" si="26"/>
        <v/>
      </c>
      <c r="K572" s="241" t="str">
        <f t="shared" si="25"/>
        <v/>
      </c>
      <c r="L572" s="137"/>
    </row>
    <row r="573" spans="5:12" ht="11.25" customHeight="1" x14ac:dyDescent="0.2">
      <c r="E573" s="117">
        <v>566</v>
      </c>
      <c r="F573" s="753"/>
      <c r="G573" s="754"/>
      <c r="H573" s="732"/>
      <c r="I573" s="731" t="str">
        <f t="shared" si="26"/>
        <v/>
      </c>
      <c r="K573" s="241" t="str">
        <f t="shared" si="25"/>
        <v/>
      </c>
      <c r="L573" s="137"/>
    </row>
    <row r="574" spans="5:12" ht="11.25" customHeight="1" x14ac:dyDescent="0.2">
      <c r="E574" s="117">
        <v>567</v>
      </c>
      <c r="F574" s="753"/>
      <c r="G574" s="754"/>
      <c r="H574" s="732"/>
      <c r="I574" s="731" t="str">
        <f t="shared" si="26"/>
        <v/>
      </c>
      <c r="K574" s="241" t="str">
        <f t="shared" si="25"/>
        <v/>
      </c>
      <c r="L574" s="137"/>
    </row>
    <row r="575" spans="5:12" ht="11.25" customHeight="1" x14ac:dyDescent="0.2">
      <c r="E575" s="117">
        <v>568</v>
      </c>
      <c r="F575" s="753"/>
      <c r="G575" s="754"/>
      <c r="H575" s="732"/>
      <c r="I575" s="731" t="str">
        <f t="shared" si="26"/>
        <v/>
      </c>
      <c r="K575" s="241" t="str">
        <f t="shared" ref="K575:K638" si="27">IF(I520&lt;&gt;"",(F520+G520)/2,"")</f>
        <v/>
      </c>
      <c r="L575" s="137"/>
    </row>
    <row r="576" spans="5:12" ht="11.25" customHeight="1" x14ac:dyDescent="0.2">
      <c r="E576" s="117">
        <v>569</v>
      </c>
      <c r="F576" s="753"/>
      <c r="G576" s="754"/>
      <c r="H576" s="732"/>
      <c r="I576" s="731" t="str">
        <f t="shared" si="26"/>
        <v/>
      </c>
      <c r="K576" s="241" t="str">
        <f t="shared" si="27"/>
        <v/>
      </c>
      <c r="L576" s="137"/>
    </row>
    <row r="577" spans="5:12" ht="11.25" customHeight="1" x14ac:dyDescent="0.2">
      <c r="E577" s="117">
        <v>570</v>
      </c>
      <c r="F577" s="753"/>
      <c r="G577" s="754"/>
      <c r="H577" s="732"/>
      <c r="I577" s="731" t="str">
        <f t="shared" si="26"/>
        <v/>
      </c>
      <c r="K577" s="241" t="str">
        <f t="shared" si="27"/>
        <v/>
      </c>
      <c r="L577" s="137"/>
    </row>
    <row r="578" spans="5:12" ht="11.25" customHeight="1" x14ac:dyDescent="0.2">
      <c r="E578" s="117">
        <v>571</v>
      </c>
      <c r="F578" s="753"/>
      <c r="G578" s="754"/>
      <c r="H578" s="732"/>
      <c r="I578" s="731" t="str">
        <f t="shared" si="26"/>
        <v/>
      </c>
      <c r="K578" s="241" t="str">
        <f t="shared" si="27"/>
        <v/>
      </c>
      <c r="L578" s="137"/>
    </row>
    <row r="579" spans="5:12" ht="11.25" customHeight="1" x14ac:dyDescent="0.2">
      <c r="E579" s="117">
        <v>572</v>
      </c>
      <c r="F579" s="753"/>
      <c r="G579" s="754"/>
      <c r="H579" s="732"/>
      <c r="I579" s="731" t="str">
        <f t="shared" si="26"/>
        <v/>
      </c>
      <c r="K579" s="241" t="str">
        <f t="shared" si="27"/>
        <v/>
      </c>
      <c r="L579" s="137"/>
    </row>
    <row r="580" spans="5:12" ht="11.25" customHeight="1" x14ac:dyDescent="0.2">
      <c r="E580" s="117">
        <v>573</v>
      </c>
      <c r="F580" s="753"/>
      <c r="G580" s="754"/>
      <c r="H580" s="732"/>
      <c r="I580" s="731" t="str">
        <f t="shared" si="26"/>
        <v/>
      </c>
      <c r="K580" s="241" t="str">
        <f t="shared" si="27"/>
        <v/>
      </c>
      <c r="L580" s="137"/>
    </row>
    <row r="581" spans="5:12" ht="11.25" customHeight="1" x14ac:dyDescent="0.2">
      <c r="E581" s="117">
        <v>574</v>
      </c>
      <c r="F581" s="753"/>
      <c r="G581" s="754"/>
      <c r="H581" s="732"/>
      <c r="I581" s="731" t="str">
        <f t="shared" si="26"/>
        <v/>
      </c>
      <c r="K581" s="241" t="str">
        <f t="shared" si="27"/>
        <v/>
      </c>
      <c r="L581" s="137"/>
    </row>
    <row r="582" spans="5:12" ht="11.25" customHeight="1" x14ac:dyDescent="0.2">
      <c r="E582" s="117">
        <v>575</v>
      </c>
      <c r="F582" s="753"/>
      <c r="G582" s="754"/>
      <c r="H582" s="732"/>
      <c r="I582" s="731" t="str">
        <f t="shared" si="26"/>
        <v/>
      </c>
      <c r="K582" s="241" t="str">
        <f t="shared" si="27"/>
        <v/>
      </c>
      <c r="L582" s="137"/>
    </row>
    <row r="583" spans="5:12" ht="11.25" customHeight="1" x14ac:dyDescent="0.2">
      <c r="E583" s="117">
        <v>576</v>
      </c>
      <c r="F583" s="753"/>
      <c r="G583" s="754"/>
      <c r="H583" s="732"/>
      <c r="I583" s="731" t="str">
        <f t="shared" si="26"/>
        <v/>
      </c>
      <c r="K583" s="241" t="str">
        <f t="shared" si="27"/>
        <v/>
      </c>
      <c r="L583" s="137"/>
    </row>
    <row r="584" spans="5:12" ht="11.25" customHeight="1" x14ac:dyDescent="0.2">
      <c r="E584" s="117">
        <v>577</v>
      </c>
      <c r="F584" s="753"/>
      <c r="G584" s="754"/>
      <c r="H584" s="732"/>
      <c r="I584" s="731" t="str">
        <f t="shared" ref="I584:I647" si="28">IF(AND(F584&lt;&gt;"",G584&lt;&gt;""),G584-F584,"")</f>
        <v/>
      </c>
      <c r="K584" s="241" t="str">
        <f t="shared" si="27"/>
        <v/>
      </c>
      <c r="L584" s="137"/>
    </row>
    <row r="585" spans="5:12" ht="11.25" customHeight="1" x14ac:dyDescent="0.2">
      <c r="E585" s="117">
        <v>578</v>
      </c>
      <c r="F585" s="753"/>
      <c r="G585" s="754"/>
      <c r="H585" s="732"/>
      <c r="I585" s="731" t="str">
        <f t="shared" si="28"/>
        <v/>
      </c>
      <c r="K585" s="241" t="str">
        <f t="shared" si="27"/>
        <v/>
      </c>
      <c r="L585" s="137"/>
    </row>
    <row r="586" spans="5:12" ht="11.25" customHeight="1" x14ac:dyDescent="0.2">
      <c r="E586" s="117">
        <v>579</v>
      </c>
      <c r="F586" s="753"/>
      <c r="G586" s="754"/>
      <c r="H586" s="732"/>
      <c r="I586" s="731" t="str">
        <f t="shared" si="28"/>
        <v/>
      </c>
      <c r="K586" s="241" t="str">
        <f t="shared" si="27"/>
        <v/>
      </c>
      <c r="L586" s="137"/>
    </row>
    <row r="587" spans="5:12" ht="11.25" customHeight="1" x14ac:dyDescent="0.2">
      <c r="E587" s="117">
        <v>580</v>
      </c>
      <c r="F587" s="753"/>
      <c r="G587" s="754"/>
      <c r="H587" s="732"/>
      <c r="I587" s="731" t="str">
        <f t="shared" si="28"/>
        <v/>
      </c>
      <c r="K587" s="241" t="str">
        <f t="shared" si="27"/>
        <v/>
      </c>
      <c r="L587" s="137"/>
    </row>
    <row r="588" spans="5:12" ht="11.25" customHeight="1" x14ac:dyDescent="0.2">
      <c r="E588" s="117">
        <v>581</v>
      </c>
      <c r="F588" s="753"/>
      <c r="G588" s="754"/>
      <c r="H588" s="732"/>
      <c r="I588" s="731" t="str">
        <f t="shared" si="28"/>
        <v/>
      </c>
      <c r="K588" s="241" t="str">
        <f t="shared" si="27"/>
        <v/>
      </c>
      <c r="L588" s="137"/>
    </row>
    <row r="589" spans="5:12" ht="11.25" customHeight="1" x14ac:dyDescent="0.2">
      <c r="E589" s="117">
        <v>582</v>
      </c>
      <c r="F589" s="753"/>
      <c r="G589" s="754"/>
      <c r="H589" s="732"/>
      <c r="I589" s="731" t="str">
        <f t="shared" si="28"/>
        <v/>
      </c>
      <c r="K589" s="241" t="str">
        <f t="shared" si="27"/>
        <v/>
      </c>
      <c r="L589" s="137"/>
    </row>
    <row r="590" spans="5:12" ht="11.25" customHeight="1" x14ac:dyDescent="0.2">
      <c r="E590" s="117">
        <v>583</v>
      </c>
      <c r="F590" s="753"/>
      <c r="G590" s="754"/>
      <c r="H590" s="732"/>
      <c r="I590" s="731" t="str">
        <f t="shared" si="28"/>
        <v/>
      </c>
      <c r="K590" s="241" t="str">
        <f t="shared" si="27"/>
        <v/>
      </c>
      <c r="L590" s="137"/>
    </row>
    <row r="591" spans="5:12" ht="11.25" customHeight="1" x14ac:dyDescent="0.2">
      <c r="E591" s="117">
        <v>584</v>
      </c>
      <c r="F591" s="753"/>
      <c r="G591" s="754"/>
      <c r="H591" s="732"/>
      <c r="I591" s="731" t="str">
        <f t="shared" si="28"/>
        <v/>
      </c>
      <c r="K591" s="241" t="str">
        <f t="shared" si="27"/>
        <v/>
      </c>
      <c r="L591" s="137"/>
    </row>
    <row r="592" spans="5:12" ht="11.25" customHeight="1" x14ac:dyDescent="0.2">
      <c r="E592" s="117">
        <v>585</v>
      </c>
      <c r="F592" s="753"/>
      <c r="G592" s="754"/>
      <c r="H592" s="732"/>
      <c r="I592" s="731" t="str">
        <f t="shared" si="28"/>
        <v/>
      </c>
      <c r="K592" s="241" t="str">
        <f t="shared" si="27"/>
        <v/>
      </c>
      <c r="L592" s="137"/>
    </row>
    <row r="593" spans="5:12" ht="11.25" customHeight="1" x14ac:dyDescent="0.2">
      <c r="E593" s="117">
        <v>586</v>
      </c>
      <c r="F593" s="753"/>
      <c r="G593" s="754"/>
      <c r="H593" s="732"/>
      <c r="I593" s="731" t="str">
        <f t="shared" si="28"/>
        <v/>
      </c>
      <c r="K593" s="241" t="str">
        <f t="shared" si="27"/>
        <v/>
      </c>
      <c r="L593" s="137"/>
    </row>
    <row r="594" spans="5:12" ht="11.25" customHeight="1" x14ac:dyDescent="0.2">
      <c r="E594" s="117">
        <v>587</v>
      </c>
      <c r="F594" s="753"/>
      <c r="G594" s="754"/>
      <c r="H594" s="732"/>
      <c r="I594" s="731" t="str">
        <f t="shared" si="28"/>
        <v/>
      </c>
      <c r="K594" s="241" t="str">
        <f t="shared" si="27"/>
        <v/>
      </c>
      <c r="L594" s="137"/>
    </row>
    <row r="595" spans="5:12" ht="11.25" customHeight="1" x14ac:dyDescent="0.2">
      <c r="E595" s="117">
        <v>588</v>
      </c>
      <c r="F595" s="753"/>
      <c r="G595" s="754"/>
      <c r="H595" s="732"/>
      <c r="I595" s="731" t="str">
        <f t="shared" si="28"/>
        <v/>
      </c>
      <c r="K595" s="241" t="str">
        <f t="shared" si="27"/>
        <v/>
      </c>
      <c r="L595" s="137"/>
    </row>
    <row r="596" spans="5:12" ht="11.25" customHeight="1" x14ac:dyDescent="0.2">
      <c r="E596" s="117">
        <v>589</v>
      </c>
      <c r="F596" s="753"/>
      <c r="G596" s="754"/>
      <c r="H596" s="732"/>
      <c r="I596" s="731" t="str">
        <f t="shared" si="28"/>
        <v/>
      </c>
      <c r="K596" s="241" t="str">
        <f t="shared" si="27"/>
        <v/>
      </c>
      <c r="L596" s="137"/>
    </row>
    <row r="597" spans="5:12" ht="11.25" customHeight="1" x14ac:dyDescent="0.2">
      <c r="E597" s="117">
        <v>590</v>
      </c>
      <c r="F597" s="753"/>
      <c r="G597" s="754"/>
      <c r="H597" s="732"/>
      <c r="I597" s="731" t="str">
        <f t="shared" si="28"/>
        <v/>
      </c>
      <c r="K597" s="241" t="str">
        <f t="shared" si="27"/>
        <v/>
      </c>
      <c r="L597" s="137"/>
    </row>
    <row r="598" spans="5:12" ht="11.25" customHeight="1" x14ac:dyDescent="0.2">
      <c r="E598" s="117">
        <v>591</v>
      </c>
      <c r="F598" s="753"/>
      <c r="G598" s="754"/>
      <c r="H598" s="732"/>
      <c r="I598" s="731" t="str">
        <f t="shared" si="28"/>
        <v/>
      </c>
      <c r="K598" s="241" t="str">
        <f t="shared" si="27"/>
        <v/>
      </c>
      <c r="L598" s="137"/>
    </row>
    <row r="599" spans="5:12" ht="11.25" customHeight="1" x14ac:dyDescent="0.2">
      <c r="E599" s="117">
        <v>592</v>
      </c>
      <c r="F599" s="753"/>
      <c r="G599" s="754"/>
      <c r="H599" s="732"/>
      <c r="I599" s="731" t="str">
        <f t="shared" si="28"/>
        <v/>
      </c>
      <c r="K599" s="241" t="str">
        <f t="shared" si="27"/>
        <v/>
      </c>
      <c r="L599" s="137"/>
    </row>
    <row r="600" spans="5:12" ht="11.25" customHeight="1" x14ac:dyDescent="0.2">
      <c r="E600" s="117">
        <v>593</v>
      </c>
      <c r="F600" s="753"/>
      <c r="G600" s="754"/>
      <c r="H600" s="732"/>
      <c r="I600" s="731" t="str">
        <f t="shared" si="28"/>
        <v/>
      </c>
      <c r="K600" s="241" t="str">
        <f t="shared" si="27"/>
        <v/>
      </c>
      <c r="L600" s="137"/>
    </row>
    <row r="601" spans="5:12" ht="11.25" customHeight="1" x14ac:dyDescent="0.2">
      <c r="E601" s="117">
        <v>594</v>
      </c>
      <c r="F601" s="753"/>
      <c r="G601" s="754"/>
      <c r="H601" s="732"/>
      <c r="I601" s="731" t="str">
        <f t="shared" si="28"/>
        <v/>
      </c>
      <c r="K601" s="241" t="str">
        <f t="shared" si="27"/>
        <v/>
      </c>
      <c r="L601" s="137"/>
    </row>
    <row r="602" spans="5:12" ht="11.25" customHeight="1" x14ac:dyDescent="0.2">
      <c r="E602" s="117">
        <v>595</v>
      </c>
      <c r="F602" s="753"/>
      <c r="G602" s="754"/>
      <c r="H602" s="732"/>
      <c r="I602" s="731" t="str">
        <f t="shared" si="28"/>
        <v/>
      </c>
      <c r="K602" s="241" t="str">
        <f t="shared" si="27"/>
        <v/>
      </c>
      <c r="L602" s="137"/>
    </row>
    <row r="603" spans="5:12" ht="11.25" customHeight="1" x14ac:dyDescent="0.2">
      <c r="E603" s="117">
        <v>596</v>
      </c>
      <c r="F603" s="753"/>
      <c r="G603" s="754"/>
      <c r="H603" s="732"/>
      <c r="I603" s="731" t="str">
        <f t="shared" si="28"/>
        <v/>
      </c>
      <c r="K603" s="241" t="str">
        <f t="shared" si="27"/>
        <v/>
      </c>
      <c r="L603" s="137"/>
    </row>
    <row r="604" spans="5:12" ht="11.25" customHeight="1" x14ac:dyDescent="0.2">
      <c r="E604" s="117">
        <v>597</v>
      </c>
      <c r="F604" s="753"/>
      <c r="G604" s="754"/>
      <c r="H604" s="732"/>
      <c r="I604" s="731" t="str">
        <f t="shared" si="28"/>
        <v/>
      </c>
      <c r="K604" s="241" t="str">
        <f t="shared" si="27"/>
        <v/>
      </c>
      <c r="L604" s="137"/>
    </row>
    <row r="605" spans="5:12" ht="11.25" customHeight="1" x14ac:dyDescent="0.2">
      <c r="E605" s="117">
        <v>598</v>
      </c>
      <c r="F605" s="753"/>
      <c r="G605" s="754"/>
      <c r="H605" s="732"/>
      <c r="I605" s="731" t="str">
        <f t="shared" si="28"/>
        <v/>
      </c>
      <c r="K605" s="241" t="str">
        <f t="shared" si="27"/>
        <v/>
      </c>
      <c r="L605" s="137"/>
    </row>
    <row r="606" spans="5:12" ht="11.25" customHeight="1" x14ac:dyDescent="0.2">
      <c r="E606" s="117">
        <v>599</v>
      </c>
      <c r="F606" s="753"/>
      <c r="G606" s="754"/>
      <c r="H606" s="732"/>
      <c r="I606" s="731" t="str">
        <f t="shared" si="28"/>
        <v/>
      </c>
      <c r="K606" s="241" t="str">
        <f t="shared" si="27"/>
        <v/>
      </c>
      <c r="L606" s="137"/>
    </row>
    <row r="607" spans="5:12" ht="11.25" customHeight="1" x14ac:dyDescent="0.2">
      <c r="E607" s="117">
        <v>600</v>
      </c>
      <c r="F607" s="753"/>
      <c r="G607" s="754"/>
      <c r="H607" s="732"/>
      <c r="I607" s="731" t="str">
        <f t="shared" si="28"/>
        <v/>
      </c>
      <c r="K607" s="241" t="str">
        <f t="shared" si="27"/>
        <v/>
      </c>
      <c r="L607" s="137"/>
    </row>
    <row r="608" spans="5:12" ht="11.25" customHeight="1" x14ac:dyDescent="0.2">
      <c r="E608" s="117">
        <v>601</v>
      </c>
      <c r="F608" s="753"/>
      <c r="G608" s="754"/>
      <c r="H608" s="732"/>
      <c r="I608" s="731" t="str">
        <f t="shared" si="28"/>
        <v/>
      </c>
      <c r="K608" s="241" t="str">
        <f t="shared" si="27"/>
        <v/>
      </c>
      <c r="L608" s="137"/>
    </row>
    <row r="609" spans="5:12" ht="11.25" customHeight="1" x14ac:dyDescent="0.2">
      <c r="E609" s="117">
        <v>602</v>
      </c>
      <c r="F609" s="753"/>
      <c r="G609" s="754"/>
      <c r="H609" s="732"/>
      <c r="I609" s="731" t="str">
        <f t="shared" si="28"/>
        <v/>
      </c>
      <c r="K609" s="241" t="str">
        <f t="shared" si="27"/>
        <v/>
      </c>
      <c r="L609" s="137"/>
    </row>
    <row r="610" spans="5:12" ht="11.25" customHeight="1" x14ac:dyDescent="0.2">
      <c r="E610" s="117">
        <v>603</v>
      </c>
      <c r="F610" s="753"/>
      <c r="G610" s="754"/>
      <c r="H610" s="732"/>
      <c r="I610" s="731" t="str">
        <f t="shared" si="28"/>
        <v/>
      </c>
      <c r="K610" s="241" t="str">
        <f t="shared" si="27"/>
        <v/>
      </c>
      <c r="L610" s="137"/>
    </row>
    <row r="611" spans="5:12" ht="11.25" customHeight="1" x14ac:dyDescent="0.2">
      <c r="E611" s="117">
        <v>604</v>
      </c>
      <c r="F611" s="753"/>
      <c r="G611" s="754"/>
      <c r="H611" s="732"/>
      <c r="I611" s="731" t="str">
        <f t="shared" si="28"/>
        <v/>
      </c>
      <c r="K611" s="241" t="str">
        <f t="shared" si="27"/>
        <v/>
      </c>
      <c r="L611" s="137"/>
    </row>
    <row r="612" spans="5:12" ht="11.25" customHeight="1" x14ac:dyDescent="0.2">
      <c r="E612" s="117">
        <v>605</v>
      </c>
      <c r="F612" s="753"/>
      <c r="G612" s="754"/>
      <c r="H612" s="732"/>
      <c r="I612" s="731" t="str">
        <f t="shared" si="28"/>
        <v/>
      </c>
      <c r="K612" s="241" t="str">
        <f t="shared" si="27"/>
        <v/>
      </c>
      <c r="L612" s="137"/>
    </row>
    <row r="613" spans="5:12" ht="11.25" customHeight="1" x14ac:dyDescent="0.2">
      <c r="E613" s="117">
        <v>606</v>
      </c>
      <c r="F613" s="753"/>
      <c r="G613" s="754"/>
      <c r="H613" s="732"/>
      <c r="I613" s="731" t="str">
        <f t="shared" si="28"/>
        <v/>
      </c>
      <c r="K613" s="241" t="str">
        <f t="shared" si="27"/>
        <v/>
      </c>
      <c r="L613" s="137"/>
    </row>
    <row r="614" spans="5:12" ht="11.25" customHeight="1" x14ac:dyDescent="0.2">
      <c r="E614" s="117">
        <v>607</v>
      </c>
      <c r="F614" s="753"/>
      <c r="G614" s="754"/>
      <c r="H614" s="732"/>
      <c r="I614" s="731" t="str">
        <f t="shared" si="28"/>
        <v/>
      </c>
      <c r="K614" s="241" t="str">
        <f t="shared" si="27"/>
        <v/>
      </c>
      <c r="L614" s="137"/>
    </row>
    <row r="615" spans="5:12" ht="11.25" customHeight="1" x14ac:dyDescent="0.2">
      <c r="E615" s="117">
        <v>608</v>
      </c>
      <c r="F615" s="753"/>
      <c r="G615" s="754"/>
      <c r="H615" s="732"/>
      <c r="I615" s="731" t="str">
        <f t="shared" si="28"/>
        <v/>
      </c>
      <c r="K615" s="241" t="str">
        <f t="shared" si="27"/>
        <v/>
      </c>
      <c r="L615" s="137"/>
    </row>
    <row r="616" spans="5:12" ht="11.25" customHeight="1" x14ac:dyDescent="0.2">
      <c r="E616" s="117">
        <v>609</v>
      </c>
      <c r="F616" s="753"/>
      <c r="G616" s="754"/>
      <c r="H616" s="732"/>
      <c r="I616" s="731" t="str">
        <f t="shared" si="28"/>
        <v/>
      </c>
      <c r="K616" s="241" t="str">
        <f t="shared" si="27"/>
        <v/>
      </c>
      <c r="L616" s="137"/>
    </row>
    <row r="617" spans="5:12" ht="11.25" customHeight="1" x14ac:dyDescent="0.2">
      <c r="E617" s="117">
        <v>610</v>
      </c>
      <c r="F617" s="753"/>
      <c r="G617" s="754"/>
      <c r="H617" s="732"/>
      <c r="I617" s="731" t="str">
        <f t="shared" si="28"/>
        <v/>
      </c>
      <c r="K617" s="241" t="str">
        <f t="shared" si="27"/>
        <v/>
      </c>
      <c r="L617" s="137"/>
    </row>
    <row r="618" spans="5:12" ht="11.25" customHeight="1" x14ac:dyDescent="0.2">
      <c r="E618" s="117">
        <v>611</v>
      </c>
      <c r="F618" s="753"/>
      <c r="G618" s="754"/>
      <c r="H618" s="732"/>
      <c r="I618" s="731" t="str">
        <f t="shared" si="28"/>
        <v/>
      </c>
      <c r="K618" s="241" t="str">
        <f t="shared" si="27"/>
        <v/>
      </c>
      <c r="L618" s="137"/>
    </row>
    <row r="619" spans="5:12" ht="11.25" customHeight="1" x14ac:dyDescent="0.2">
      <c r="E619" s="117">
        <v>612</v>
      </c>
      <c r="F619" s="753"/>
      <c r="G619" s="754"/>
      <c r="H619" s="732"/>
      <c r="I619" s="731" t="str">
        <f t="shared" si="28"/>
        <v/>
      </c>
      <c r="K619" s="241" t="str">
        <f t="shared" si="27"/>
        <v/>
      </c>
      <c r="L619" s="137"/>
    </row>
    <row r="620" spans="5:12" ht="11.25" customHeight="1" x14ac:dyDescent="0.2">
      <c r="E620" s="117">
        <v>613</v>
      </c>
      <c r="F620" s="753"/>
      <c r="G620" s="754"/>
      <c r="H620" s="732"/>
      <c r="I620" s="731" t="str">
        <f t="shared" si="28"/>
        <v/>
      </c>
      <c r="K620" s="241" t="str">
        <f t="shared" si="27"/>
        <v/>
      </c>
      <c r="L620" s="137"/>
    </row>
    <row r="621" spans="5:12" ht="11.25" customHeight="1" x14ac:dyDescent="0.2">
      <c r="E621" s="117">
        <v>614</v>
      </c>
      <c r="F621" s="753"/>
      <c r="G621" s="754"/>
      <c r="H621" s="732"/>
      <c r="I621" s="731" t="str">
        <f t="shared" si="28"/>
        <v/>
      </c>
      <c r="K621" s="241" t="str">
        <f t="shared" si="27"/>
        <v/>
      </c>
      <c r="L621" s="137"/>
    </row>
    <row r="622" spans="5:12" ht="11.25" customHeight="1" x14ac:dyDescent="0.2">
      <c r="E622" s="117">
        <v>615</v>
      </c>
      <c r="F622" s="753"/>
      <c r="G622" s="754"/>
      <c r="H622" s="732"/>
      <c r="I622" s="731" t="str">
        <f t="shared" si="28"/>
        <v/>
      </c>
      <c r="K622" s="241" t="str">
        <f t="shared" si="27"/>
        <v/>
      </c>
      <c r="L622" s="137"/>
    </row>
    <row r="623" spans="5:12" ht="11.25" customHeight="1" x14ac:dyDescent="0.2">
      <c r="E623" s="117">
        <v>616</v>
      </c>
      <c r="F623" s="753"/>
      <c r="G623" s="754"/>
      <c r="H623" s="732"/>
      <c r="I623" s="731" t="str">
        <f t="shared" si="28"/>
        <v/>
      </c>
      <c r="K623" s="241" t="str">
        <f t="shared" si="27"/>
        <v/>
      </c>
      <c r="L623" s="137"/>
    </row>
    <row r="624" spans="5:12" ht="11.25" customHeight="1" x14ac:dyDescent="0.2">
      <c r="E624" s="117">
        <v>617</v>
      </c>
      <c r="F624" s="753"/>
      <c r="G624" s="754"/>
      <c r="H624" s="732"/>
      <c r="I624" s="731" t="str">
        <f t="shared" si="28"/>
        <v/>
      </c>
      <c r="K624" s="241" t="str">
        <f t="shared" si="27"/>
        <v/>
      </c>
      <c r="L624" s="137"/>
    </row>
    <row r="625" spans="5:12" ht="11.25" customHeight="1" x14ac:dyDescent="0.2">
      <c r="E625" s="117">
        <v>618</v>
      </c>
      <c r="F625" s="753"/>
      <c r="G625" s="754"/>
      <c r="H625" s="732"/>
      <c r="I625" s="731" t="str">
        <f t="shared" si="28"/>
        <v/>
      </c>
      <c r="K625" s="241" t="str">
        <f t="shared" si="27"/>
        <v/>
      </c>
      <c r="L625" s="137"/>
    </row>
    <row r="626" spans="5:12" ht="11.25" customHeight="1" x14ac:dyDescent="0.2">
      <c r="E626" s="117">
        <v>619</v>
      </c>
      <c r="F626" s="753"/>
      <c r="G626" s="754"/>
      <c r="H626" s="732"/>
      <c r="I626" s="731" t="str">
        <f t="shared" si="28"/>
        <v/>
      </c>
      <c r="K626" s="241" t="str">
        <f t="shared" si="27"/>
        <v/>
      </c>
      <c r="L626" s="137"/>
    </row>
    <row r="627" spans="5:12" ht="11.25" customHeight="1" x14ac:dyDescent="0.2">
      <c r="E627" s="117">
        <v>620</v>
      </c>
      <c r="F627" s="753"/>
      <c r="G627" s="754"/>
      <c r="H627" s="732"/>
      <c r="I627" s="731" t="str">
        <f t="shared" si="28"/>
        <v/>
      </c>
      <c r="K627" s="241" t="str">
        <f t="shared" si="27"/>
        <v/>
      </c>
      <c r="L627" s="137"/>
    </row>
    <row r="628" spans="5:12" ht="11.25" customHeight="1" x14ac:dyDescent="0.2">
      <c r="E628" s="117">
        <v>621</v>
      </c>
      <c r="F628" s="753"/>
      <c r="G628" s="754"/>
      <c r="H628" s="732"/>
      <c r="I628" s="731" t="str">
        <f t="shared" si="28"/>
        <v/>
      </c>
      <c r="K628" s="241" t="str">
        <f t="shared" si="27"/>
        <v/>
      </c>
      <c r="L628" s="137"/>
    </row>
    <row r="629" spans="5:12" ht="11.25" customHeight="1" x14ac:dyDescent="0.2">
      <c r="E629" s="117">
        <v>622</v>
      </c>
      <c r="F629" s="753"/>
      <c r="G629" s="754"/>
      <c r="H629" s="732"/>
      <c r="I629" s="731" t="str">
        <f t="shared" si="28"/>
        <v/>
      </c>
      <c r="K629" s="241" t="str">
        <f t="shared" si="27"/>
        <v/>
      </c>
      <c r="L629" s="137"/>
    </row>
    <row r="630" spans="5:12" ht="11.25" customHeight="1" x14ac:dyDescent="0.2">
      <c r="E630" s="117">
        <v>623</v>
      </c>
      <c r="F630" s="753"/>
      <c r="G630" s="754"/>
      <c r="H630" s="732"/>
      <c r="I630" s="731" t="str">
        <f t="shared" si="28"/>
        <v/>
      </c>
      <c r="K630" s="241" t="str">
        <f t="shared" si="27"/>
        <v/>
      </c>
      <c r="L630" s="137"/>
    </row>
    <row r="631" spans="5:12" ht="11.25" customHeight="1" x14ac:dyDescent="0.2">
      <c r="E631" s="117">
        <v>624</v>
      </c>
      <c r="F631" s="753"/>
      <c r="G631" s="754"/>
      <c r="H631" s="732"/>
      <c r="I631" s="731" t="str">
        <f t="shared" si="28"/>
        <v/>
      </c>
      <c r="K631" s="241" t="str">
        <f t="shared" si="27"/>
        <v/>
      </c>
      <c r="L631" s="137"/>
    </row>
    <row r="632" spans="5:12" ht="11.25" customHeight="1" x14ac:dyDescent="0.2">
      <c r="E632" s="117">
        <v>625</v>
      </c>
      <c r="F632" s="753"/>
      <c r="G632" s="754"/>
      <c r="H632" s="732"/>
      <c r="I632" s="731" t="str">
        <f t="shared" si="28"/>
        <v/>
      </c>
      <c r="K632" s="241" t="str">
        <f t="shared" si="27"/>
        <v/>
      </c>
      <c r="L632" s="137"/>
    </row>
    <row r="633" spans="5:12" ht="11.25" customHeight="1" x14ac:dyDescent="0.2">
      <c r="E633" s="117">
        <v>626</v>
      </c>
      <c r="F633" s="753"/>
      <c r="G633" s="754"/>
      <c r="H633" s="732"/>
      <c r="I633" s="731" t="str">
        <f t="shared" si="28"/>
        <v/>
      </c>
      <c r="K633" s="241" t="str">
        <f t="shared" si="27"/>
        <v/>
      </c>
      <c r="L633" s="137"/>
    </row>
    <row r="634" spans="5:12" ht="11.25" customHeight="1" x14ac:dyDescent="0.2">
      <c r="E634" s="117">
        <v>627</v>
      </c>
      <c r="F634" s="753"/>
      <c r="G634" s="754"/>
      <c r="H634" s="732"/>
      <c r="I634" s="731" t="str">
        <f t="shared" si="28"/>
        <v/>
      </c>
      <c r="K634" s="241" t="str">
        <f t="shared" si="27"/>
        <v/>
      </c>
      <c r="L634" s="137"/>
    </row>
    <row r="635" spans="5:12" ht="11.25" customHeight="1" x14ac:dyDescent="0.2">
      <c r="E635" s="117">
        <v>628</v>
      </c>
      <c r="F635" s="753"/>
      <c r="G635" s="754"/>
      <c r="H635" s="732"/>
      <c r="I635" s="731" t="str">
        <f t="shared" si="28"/>
        <v/>
      </c>
      <c r="K635" s="241" t="str">
        <f t="shared" si="27"/>
        <v/>
      </c>
      <c r="L635" s="137"/>
    </row>
    <row r="636" spans="5:12" ht="11.25" customHeight="1" x14ac:dyDescent="0.2">
      <c r="E636" s="117">
        <v>629</v>
      </c>
      <c r="F636" s="753"/>
      <c r="G636" s="754"/>
      <c r="H636" s="732"/>
      <c r="I636" s="731" t="str">
        <f t="shared" si="28"/>
        <v/>
      </c>
      <c r="K636" s="241" t="str">
        <f t="shared" si="27"/>
        <v/>
      </c>
      <c r="L636" s="137"/>
    </row>
    <row r="637" spans="5:12" ht="11.25" customHeight="1" x14ac:dyDescent="0.2">
      <c r="E637" s="117">
        <v>630</v>
      </c>
      <c r="F637" s="753"/>
      <c r="G637" s="754"/>
      <c r="H637" s="732"/>
      <c r="I637" s="731" t="str">
        <f t="shared" si="28"/>
        <v/>
      </c>
      <c r="K637" s="241" t="str">
        <f t="shared" si="27"/>
        <v/>
      </c>
      <c r="L637" s="137"/>
    </row>
    <row r="638" spans="5:12" ht="11.25" customHeight="1" x14ac:dyDescent="0.2">
      <c r="E638" s="117">
        <v>631</v>
      </c>
      <c r="F638" s="753"/>
      <c r="G638" s="754"/>
      <c r="H638" s="732"/>
      <c r="I638" s="731" t="str">
        <f t="shared" si="28"/>
        <v/>
      </c>
      <c r="K638" s="241" t="str">
        <f t="shared" si="27"/>
        <v/>
      </c>
      <c r="L638" s="137"/>
    </row>
    <row r="639" spans="5:12" ht="11.25" customHeight="1" x14ac:dyDescent="0.2">
      <c r="E639" s="117">
        <v>632</v>
      </c>
      <c r="F639" s="753"/>
      <c r="G639" s="754"/>
      <c r="H639" s="732"/>
      <c r="I639" s="731" t="str">
        <f t="shared" si="28"/>
        <v/>
      </c>
      <c r="K639" s="241" t="str">
        <f t="shared" ref="K639:K702" si="29">IF(I584&lt;&gt;"",(F584+G584)/2,"")</f>
        <v/>
      </c>
      <c r="L639" s="137"/>
    </row>
    <row r="640" spans="5:12" ht="11.25" customHeight="1" x14ac:dyDescent="0.2">
      <c r="E640" s="117">
        <v>633</v>
      </c>
      <c r="F640" s="753"/>
      <c r="G640" s="754"/>
      <c r="H640" s="732"/>
      <c r="I640" s="731" t="str">
        <f t="shared" si="28"/>
        <v/>
      </c>
      <c r="K640" s="241" t="str">
        <f t="shared" si="29"/>
        <v/>
      </c>
      <c r="L640" s="137"/>
    </row>
    <row r="641" spans="5:12" ht="11.25" customHeight="1" x14ac:dyDescent="0.2">
      <c r="E641" s="117">
        <v>634</v>
      </c>
      <c r="F641" s="753"/>
      <c r="G641" s="754"/>
      <c r="H641" s="732"/>
      <c r="I641" s="731" t="str">
        <f t="shared" si="28"/>
        <v/>
      </c>
      <c r="K641" s="241" t="str">
        <f t="shared" si="29"/>
        <v/>
      </c>
      <c r="L641" s="137"/>
    </row>
    <row r="642" spans="5:12" ht="11.25" customHeight="1" x14ac:dyDescent="0.2">
      <c r="E642" s="117">
        <v>635</v>
      </c>
      <c r="F642" s="753"/>
      <c r="G642" s="754"/>
      <c r="H642" s="732"/>
      <c r="I642" s="731" t="str">
        <f t="shared" si="28"/>
        <v/>
      </c>
      <c r="K642" s="241" t="str">
        <f t="shared" si="29"/>
        <v/>
      </c>
      <c r="L642" s="137"/>
    </row>
    <row r="643" spans="5:12" ht="11.25" customHeight="1" x14ac:dyDescent="0.2">
      <c r="E643" s="117">
        <v>636</v>
      </c>
      <c r="F643" s="753"/>
      <c r="G643" s="754"/>
      <c r="H643" s="732"/>
      <c r="I643" s="731" t="str">
        <f t="shared" si="28"/>
        <v/>
      </c>
      <c r="K643" s="241" t="str">
        <f t="shared" si="29"/>
        <v/>
      </c>
      <c r="L643" s="137"/>
    </row>
    <row r="644" spans="5:12" ht="11.25" customHeight="1" x14ac:dyDescent="0.2">
      <c r="E644" s="117">
        <v>637</v>
      </c>
      <c r="F644" s="753"/>
      <c r="G644" s="754"/>
      <c r="H644" s="732"/>
      <c r="I644" s="731" t="str">
        <f t="shared" si="28"/>
        <v/>
      </c>
      <c r="K644" s="241" t="str">
        <f t="shared" si="29"/>
        <v/>
      </c>
      <c r="L644" s="137"/>
    </row>
    <row r="645" spans="5:12" ht="11.25" customHeight="1" x14ac:dyDescent="0.2">
      <c r="E645" s="117">
        <v>638</v>
      </c>
      <c r="F645" s="753"/>
      <c r="G645" s="754"/>
      <c r="H645" s="732"/>
      <c r="I645" s="731" t="str">
        <f t="shared" si="28"/>
        <v/>
      </c>
      <c r="K645" s="241" t="str">
        <f t="shared" si="29"/>
        <v/>
      </c>
      <c r="L645" s="137"/>
    </row>
    <row r="646" spans="5:12" ht="11.25" customHeight="1" x14ac:dyDescent="0.2">
      <c r="E646" s="117">
        <v>639</v>
      </c>
      <c r="F646" s="753"/>
      <c r="G646" s="754"/>
      <c r="H646" s="732"/>
      <c r="I646" s="731" t="str">
        <f t="shared" si="28"/>
        <v/>
      </c>
      <c r="K646" s="241" t="str">
        <f t="shared" si="29"/>
        <v/>
      </c>
      <c r="L646" s="137"/>
    </row>
    <row r="647" spans="5:12" ht="11.25" customHeight="1" x14ac:dyDescent="0.2">
      <c r="E647" s="117">
        <v>640</v>
      </c>
      <c r="F647" s="753"/>
      <c r="G647" s="754"/>
      <c r="H647" s="732"/>
      <c r="I647" s="731" t="str">
        <f t="shared" si="28"/>
        <v/>
      </c>
      <c r="K647" s="241" t="str">
        <f t="shared" si="29"/>
        <v/>
      </c>
      <c r="L647" s="137"/>
    </row>
    <row r="648" spans="5:12" ht="11.25" customHeight="1" x14ac:dyDescent="0.2">
      <c r="E648" s="117">
        <v>641</v>
      </c>
      <c r="F648" s="753"/>
      <c r="G648" s="754"/>
      <c r="H648" s="732"/>
      <c r="I648" s="731" t="str">
        <f t="shared" ref="I648:I711" si="30">IF(AND(F648&lt;&gt;"",G648&lt;&gt;""),G648-F648,"")</f>
        <v/>
      </c>
      <c r="K648" s="241" t="str">
        <f t="shared" si="29"/>
        <v/>
      </c>
      <c r="L648" s="137"/>
    </row>
    <row r="649" spans="5:12" ht="11.25" customHeight="1" x14ac:dyDescent="0.2">
      <c r="E649" s="117">
        <v>642</v>
      </c>
      <c r="F649" s="753"/>
      <c r="G649" s="754"/>
      <c r="H649" s="732"/>
      <c r="I649" s="731" t="str">
        <f t="shared" si="30"/>
        <v/>
      </c>
      <c r="K649" s="241" t="str">
        <f t="shared" si="29"/>
        <v/>
      </c>
      <c r="L649" s="137"/>
    </row>
    <row r="650" spans="5:12" ht="11.25" customHeight="1" x14ac:dyDescent="0.2">
      <c r="E650" s="117">
        <v>643</v>
      </c>
      <c r="F650" s="753"/>
      <c r="G650" s="754"/>
      <c r="H650" s="732"/>
      <c r="I650" s="731" t="str">
        <f t="shared" si="30"/>
        <v/>
      </c>
      <c r="K650" s="241" t="str">
        <f t="shared" si="29"/>
        <v/>
      </c>
      <c r="L650" s="137"/>
    </row>
    <row r="651" spans="5:12" ht="11.25" customHeight="1" x14ac:dyDescent="0.2">
      <c r="E651" s="117">
        <v>644</v>
      </c>
      <c r="F651" s="753"/>
      <c r="G651" s="754"/>
      <c r="H651" s="732"/>
      <c r="I651" s="731" t="str">
        <f t="shared" si="30"/>
        <v/>
      </c>
      <c r="K651" s="241" t="str">
        <f t="shared" si="29"/>
        <v/>
      </c>
      <c r="L651" s="137"/>
    </row>
    <row r="652" spans="5:12" ht="11.25" customHeight="1" x14ac:dyDescent="0.2">
      <c r="E652" s="117">
        <v>645</v>
      </c>
      <c r="F652" s="753"/>
      <c r="G652" s="754"/>
      <c r="H652" s="732"/>
      <c r="I652" s="731" t="str">
        <f t="shared" si="30"/>
        <v/>
      </c>
      <c r="K652" s="241" t="str">
        <f t="shared" si="29"/>
        <v/>
      </c>
      <c r="L652" s="137"/>
    </row>
    <row r="653" spans="5:12" ht="11.25" customHeight="1" x14ac:dyDescent="0.2">
      <c r="E653" s="117">
        <v>646</v>
      </c>
      <c r="F653" s="753"/>
      <c r="G653" s="754"/>
      <c r="H653" s="732"/>
      <c r="I653" s="731" t="str">
        <f t="shared" si="30"/>
        <v/>
      </c>
      <c r="K653" s="241" t="str">
        <f t="shared" si="29"/>
        <v/>
      </c>
      <c r="L653" s="137"/>
    </row>
    <row r="654" spans="5:12" ht="11.25" customHeight="1" x14ac:dyDescent="0.2">
      <c r="E654" s="117">
        <v>647</v>
      </c>
      <c r="F654" s="753"/>
      <c r="G654" s="754"/>
      <c r="H654" s="732"/>
      <c r="I654" s="731" t="str">
        <f t="shared" si="30"/>
        <v/>
      </c>
      <c r="K654" s="241" t="str">
        <f t="shared" si="29"/>
        <v/>
      </c>
      <c r="L654" s="137"/>
    </row>
    <row r="655" spans="5:12" ht="11.25" customHeight="1" x14ac:dyDescent="0.2">
      <c r="E655" s="117">
        <v>648</v>
      </c>
      <c r="F655" s="753"/>
      <c r="G655" s="754"/>
      <c r="H655" s="732"/>
      <c r="I655" s="731" t="str">
        <f t="shared" si="30"/>
        <v/>
      </c>
      <c r="K655" s="241" t="str">
        <f t="shared" si="29"/>
        <v/>
      </c>
      <c r="L655" s="137"/>
    </row>
    <row r="656" spans="5:12" ht="11.25" customHeight="1" x14ac:dyDescent="0.2">
      <c r="E656" s="117">
        <v>649</v>
      </c>
      <c r="F656" s="753"/>
      <c r="G656" s="754"/>
      <c r="H656" s="732"/>
      <c r="I656" s="731" t="str">
        <f t="shared" si="30"/>
        <v/>
      </c>
      <c r="K656" s="241" t="str">
        <f t="shared" si="29"/>
        <v/>
      </c>
      <c r="L656" s="137"/>
    </row>
    <row r="657" spans="5:12" ht="11.25" customHeight="1" x14ac:dyDescent="0.2">
      <c r="E657" s="117">
        <v>650</v>
      </c>
      <c r="F657" s="753"/>
      <c r="G657" s="754"/>
      <c r="H657" s="732"/>
      <c r="I657" s="731" t="str">
        <f t="shared" si="30"/>
        <v/>
      </c>
      <c r="K657" s="241" t="str">
        <f t="shared" si="29"/>
        <v/>
      </c>
      <c r="L657" s="137"/>
    </row>
    <row r="658" spans="5:12" ht="11.25" customHeight="1" x14ac:dyDescent="0.2">
      <c r="E658" s="117">
        <v>651</v>
      </c>
      <c r="F658" s="753"/>
      <c r="G658" s="754"/>
      <c r="H658" s="732"/>
      <c r="I658" s="731" t="str">
        <f t="shared" si="30"/>
        <v/>
      </c>
      <c r="K658" s="241" t="str">
        <f t="shared" si="29"/>
        <v/>
      </c>
      <c r="L658" s="137"/>
    </row>
    <row r="659" spans="5:12" ht="11.25" customHeight="1" x14ac:dyDescent="0.2">
      <c r="E659" s="117">
        <v>652</v>
      </c>
      <c r="F659" s="753"/>
      <c r="G659" s="754"/>
      <c r="H659" s="732"/>
      <c r="I659" s="731" t="str">
        <f t="shared" si="30"/>
        <v/>
      </c>
      <c r="K659" s="241" t="str">
        <f t="shared" si="29"/>
        <v/>
      </c>
      <c r="L659" s="137"/>
    </row>
    <row r="660" spans="5:12" ht="11.25" customHeight="1" x14ac:dyDescent="0.2">
      <c r="E660" s="117">
        <v>653</v>
      </c>
      <c r="F660" s="753"/>
      <c r="G660" s="754"/>
      <c r="H660" s="732"/>
      <c r="I660" s="731" t="str">
        <f t="shared" si="30"/>
        <v/>
      </c>
      <c r="K660" s="241" t="str">
        <f t="shared" si="29"/>
        <v/>
      </c>
      <c r="L660" s="137"/>
    </row>
    <row r="661" spans="5:12" ht="11.25" customHeight="1" x14ac:dyDescent="0.2">
      <c r="E661" s="117">
        <v>654</v>
      </c>
      <c r="F661" s="753"/>
      <c r="G661" s="754"/>
      <c r="H661" s="732"/>
      <c r="I661" s="731" t="str">
        <f t="shared" si="30"/>
        <v/>
      </c>
      <c r="K661" s="241" t="str">
        <f t="shared" si="29"/>
        <v/>
      </c>
      <c r="L661" s="137"/>
    </row>
    <row r="662" spans="5:12" ht="11.25" customHeight="1" x14ac:dyDescent="0.2">
      <c r="E662" s="117">
        <v>655</v>
      </c>
      <c r="F662" s="753"/>
      <c r="G662" s="754"/>
      <c r="H662" s="732"/>
      <c r="I662" s="731" t="str">
        <f t="shared" si="30"/>
        <v/>
      </c>
      <c r="K662" s="241" t="str">
        <f t="shared" si="29"/>
        <v/>
      </c>
      <c r="L662" s="137"/>
    </row>
    <row r="663" spans="5:12" ht="11.25" customHeight="1" x14ac:dyDescent="0.2">
      <c r="E663" s="117">
        <v>656</v>
      </c>
      <c r="F663" s="753"/>
      <c r="G663" s="754"/>
      <c r="H663" s="732"/>
      <c r="I663" s="731" t="str">
        <f t="shared" si="30"/>
        <v/>
      </c>
      <c r="K663" s="241" t="str">
        <f t="shared" si="29"/>
        <v/>
      </c>
      <c r="L663" s="137"/>
    </row>
    <row r="664" spans="5:12" ht="11.25" customHeight="1" x14ac:dyDescent="0.2">
      <c r="E664" s="117">
        <v>657</v>
      </c>
      <c r="F664" s="753"/>
      <c r="G664" s="754"/>
      <c r="H664" s="732"/>
      <c r="I664" s="731" t="str">
        <f t="shared" si="30"/>
        <v/>
      </c>
      <c r="K664" s="241" t="str">
        <f t="shared" si="29"/>
        <v/>
      </c>
      <c r="L664" s="137"/>
    </row>
    <row r="665" spans="5:12" ht="11.25" customHeight="1" x14ac:dyDescent="0.2">
      <c r="E665" s="117">
        <v>658</v>
      </c>
      <c r="F665" s="753"/>
      <c r="G665" s="754"/>
      <c r="H665" s="732"/>
      <c r="I665" s="731" t="str">
        <f t="shared" si="30"/>
        <v/>
      </c>
      <c r="K665" s="241" t="str">
        <f t="shared" si="29"/>
        <v/>
      </c>
      <c r="L665" s="137"/>
    </row>
    <row r="666" spans="5:12" ht="11.25" customHeight="1" x14ac:dyDescent="0.2">
      <c r="E666" s="117">
        <v>659</v>
      </c>
      <c r="F666" s="753"/>
      <c r="G666" s="754"/>
      <c r="H666" s="732"/>
      <c r="I666" s="731" t="str">
        <f t="shared" si="30"/>
        <v/>
      </c>
      <c r="K666" s="241" t="str">
        <f t="shared" si="29"/>
        <v/>
      </c>
      <c r="L666" s="137"/>
    </row>
    <row r="667" spans="5:12" ht="11.25" customHeight="1" x14ac:dyDescent="0.2">
      <c r="E667" s="117">
        <v>660</v>
      </c>
      <c r="F667" s="753"/>
      <c r="G667" s="754"/>
      <c r="H667" s="732"/>
      <c r="I667" s="731" t="str">
        <f t="shared" si="30"/>
        <v/>
      </c>
      <c r="K667" s="241" t="str">
        <f t="shared" si="29"/>
        <v/>
      </c>
      <c r="L667" s="137"/>
    </row>
    <row r="668" spans="5:12" ht="11.25" customHeight="1" x14ac:dyDescent="0.2">
      <c r="E668" s="117">
        <v>661</v>
      </c>
      <c r="F668" s="753"/>
      <c r="G668" s="754"/>
      <c r="H668" s="732"/>
      <c r="I668" s="731" t="str">
        <f t="shared" si="30"/>
        <v/>
      </c>
      <c r="K668" s="241" t="str">
        <f t="shared" si="29"/>
        <v/>
      </c>
      <c r="L668" s="137"/>
    </row>
    <row r="669" spans="5:12" ht="11.25" customHeight="1" x14ac:dyDescent="0.2">
      <c r="E669" s="117">
        <v>662</v>
      </c>
      <c r="F669" s="753"/>
      <c r="G669" s="754"/>
      <c r="H669" s="732"/>
      <c r="I669" s="731" t="str">
        <f t="shared" si="30"/>
        <v/>
      </c>
      <c r="K669" s="241" t="str">
        <f t="shared" si="29"/>
        <v/>
      </c>
      <c r="L669" s="137"/>
    </row>
    <row r="670" spans="5:12" ht="11.25" customHeight="1" x14ac:dyDescent="0.2">
      <c r="E670" s="117">
        <v>663</v>
      </c>
      <c r="F670" s="753"/>
      <c r="G670" s="754"/>
      <c r="H670" s="732"/>
      <c r="I670" s="731" t="str">
        <f t="shared" si="30"/>
        <v/>
      </c>
      <c r="K670" s="241" t="str">
        <f t="shared" si="29"/>
        <v/>
      </c>
      <c r="L670" s="137"/>
    </row>
    <row r="671" spans="5:12" ht="11.25" customHeight="1" x14ac:dyDescent="0.2">
      <c r="E671" s="117">
        <v>664</v>
      </c>
      <c r="F671" s="753"/>
      <c r="G671" s="754"/>
      <c r="H671" s="732"/>
      <c r="I671" s="731" t="str">
        <f t="shared" si="30"/>
        <v/>
      </c>
      <c r="K671" s="241" t="str">
        <f t="shared" si="29"/>
        <v/>
      </c>
      <c r="L671" s="137"/>
    </row>
    <row r="672" spans="5:12" ht="11.25" customHeight="1" x14ac:dyDescent="0.2">
      <c r="E672" s="117">
        <v>665</v>
      </c>
      <c r="F672" s="753"/>
      <c r="G672" s="754"/>
      <c r="H672" s="732"/>
      <c r="I672" s="731" t="str">
        <f t="shared" si="30"/>
        <v/>
      </c>
      <c r="K672" s="241" t="str">
        <f t="shared" si="29"/>
        <v/>
      </c>
      <c r="L672" s="137"/>
    </row>
    <row r="673" spans="5:12" ht="11.25" customHeight="1" x14ac:dyDescent="0.2">
      <c r="E673" s="117">
        <v>666</v>
      </c>
      <c r="F673" s="753"/>
      <c r="G673" s="754"/>
      <c r="H673" s="732"/>
      <c r="I673" s="731" t="str">
        <f t="shared" si="30"/>
        <v/>
      </c>
      <c r="K673" s="241" t="str">
        <f t="shared" si="29"/>
        <v/>
      </c>
      <c r="L673" s="137"/>
    </row>
    <row r="674" spans="5:12" ht="11.25" customHeight="1" x14ac:dyDescent="0.2">
      <c r="E674" s="117">
        <v>667</v>
      </c>
      <c r="F674" s="753"/>
      <c r="G674" s="754"/>
      <c r="H674" s="732"/>
      <c r="I674" s="731" t="str">
        <f t="shared" si="30"/>
        <v/>
      </c>
      <c r="K674" s="241" t="str">
        <f t="shared" si="29"/>
        <v/>
      </c>
      <c r="L674" s="137"/>
    </row>
    <row r="675" spans="5:12" ht="11.25" customHeight="1" x14ac:dyDescent="0.2">
      <c r="E675" s="117">
        <v>668</v>
      </c>
      <c r="F675" s="753"/>
      <c r="G675" s="754"/>
      <c r="H675" s="732"/>
      <c r="I675" s="731" t="str">
        <f t="shared" si="30"/>
        <v/>
      </c>
      <c r="K675" s="241" t="str">
        <f t="shared" si="29"/>
        <v/>
      </c>
      <c r="L675" s="137"/>
    </row>
    <row r="676" spans="5:12" ht="11.25" customHeight="1" x14ac:dyDescent="0.2">
      <c r="E676" s="117">
        <v>669</v>
      </c>
      <c r="F676" s="753"/>
      <c r="G676" s="754"/>
      <c r="H676" s="732"/>
      <c r="I676" s="731" t="str">
        <f t="shared" si="30"/>
        <v/>
      </c>
      <c r="K676" s="241" t="str">
        <f t="shared" si="29"/>
        <v/>
      </c>
      <c r="L676" s="137"/>
    </row>
    <row r="677" spans="5:12" ht="11.25" customHeight="1" x14ac:dyDescent="0.2">
      <c r="E677" s="117">
        <v>670</v>
      </c>
      <c r="F677" s="753"/>
      <c r="G677" s="754"/>
      <c r="H677" s="732"/>
      <c r="I677" s="731" t="str">
        <f t="shared" si="30"/>
        <v/>
      </c>
      <c r="K677" s="241" t="str">
        <f t="shared" si="29"/>
        <v/>
      </c>
      <c r="L677" s="137"/>
    </row>
    <row r="678" spans="5:12" ht="11.25" customHeight="1" x14ac:dyDescent="0.2">
      <c r="E678" s="117">
        <v>671</v>
      </c>
      <c r="F678" s="753"/>
      <c r="G678" s="754"/>
      <c r="H678" s="732"/>
      <c r="I678" s="731" t="str">
        <f t="shared" si="30"/>
        <v/>
      </c>
      <c r="K678" s="241" t="str">
        <f t="shared" si="29"/>
        <v/>
      </c>
      <c r="L678" s="137"/>
    </row>
    <row r="679" spans="5:12" ht="11.25" customHeight="1" x14ac:dyDescent="0.2">
      <c r="E679" s="117">
        <v>672</v>
      </c>
      <c r="F679" s="753"/>
      <c r="G679" s="754"/>
      <c r="H679" s="732"/>
      <c r="I679" s="731" t="str">
        <f t="shared" si="30"/>
        <v/>
      </c>
      <c r="K679" s="241" t="str">
        <f t="shared" si="29"/>
        <v/>
      </c>
      <c r="L679" s="137"/>
    </row>
    <row r="680" spans="5:12" ht="11.25" customHeight="1" x14ac:dyDescent="0.2">
      <c r="E680" s="117">
        <v>673</v>
      </c>
      <c r="F680" s="753"/>
      <c r="G680" s="754"/>
      <c r="H680" s="732"/>
      <c r="I680" s="731" t="str">
        <f t="shared" si="30"/>
        <v/>
      </c>
      <c r="K680" s="241" t="str">
        <f t="shared" si="29"/>
        <v/>
      </c>
      <c r="L680" s="137"/>
    </row>
    <row r="681" spans="5:12" ht="11.25" customHeight="1" x14ac:dyDescent="0.2">
      <c r="E681" s="117">
        <v>674</v>
      </c>
      <c r="F681" s="753"/>
      <c r="G681" s="754"/>
      <c r="H681" s="732"/>
      <c r="I681" s="731" t="str">
        <f t="shared" si="30"/>
        <v/>
      </c>
      <c r="K681" s="241" t="str">
        <f t="shared" si="29"/>
        <v/>
      </c>
      <c r="L681" s="137"/>
    </row>
    <row r="682" spans="5:12" ht="11.25" customHeight="1" x14ac:dyDescent="0.2">
      <c r="E682" s="117">
        <v>675</v>
      </c>
      <c r="F682" s="753"/>
      <c r="G682" s="754"/>
      <c r="H682" s="732"/>
      <c r="I682" s="731" t="str">
        <f t="shared" si="30"/>
        <v/>
      </c>
      <c r="K682" s="241" t="str">
        <f t="shared" si="29"/>
        <v/>
      </c>
      <c r="L682" s="137"/>
    </row>
    <row r="683" spans="5:12" ht="11.25" customHeight="1" x14ac:dyDescent="0.2">
      <c r="E683" s="117">
        <v>676</v>
      </c>
      <c r="F683" s="753"/>
      <c r="G683" s="754"/>
      <c r="H683" s="732"/>
      <c r="I683" s="731" t="str">
        <f t="shared" si="30"/>
        <v/>
      </c>
      <c r="K683" s="241" t="str">
        <f t="shared" si="29"/>
        <v/>
      </c>
      <c r="L683" s="137"/>
    </row>
    <row r="684" spans="5:12" ht="11.25" customHeight="1" x14ac:dyDescent="0.2">
      <c r="E684" s="117">
        <v>677</v>
      </c>
      <c r="F684" s="753"/>
      <c r="G684" s="754"/>
      <c r="H684" s="732"/>
      <c r="I684" s="731" t="str">
        <f t="shared" si="30"/>
        <v/>
      </c>
      <c r="K684" s="241" t="str">
        <f t="shared" si="29"/>
        <v/>
      </c>
      <c r="L684" s="137"/>
    </row>
    <row r="685" spans="5:12" ht="11.25" customHeight="1" x14ac:dyDescent="0.2">
      <c r="E685" s="117">
        <v>678</v>
      </c>
      <c r="F685" s="753"/>
      <c r="G685" s="754"/>
      <c r="H685" s="732"/>
      <c r="I685" s="731" t="str">
        <f t="shared" si="30"/>
        <v/>
      </c>
      <c r="K685" s="241" t="str">
        <f t="shared" si="29"/>
        <v/>
      </c>
      <c r="L685" s="137"/>
    </row>
    <row r="686" spans="5:12" ht="11.25" customHeight="1" x14ac:dyDescent="0.2">
      <c r="E686" s="117">
        <v>679</v>
      </c>
      <c r="F686" s="753"/>
      <c r="G686" s="754"/>
      <c r="H686" s="732"/>
      <c r="I686" s="731" t="str">
        <f t="shared" si="30"/>
        <v/>
      </c>
      <c r="K686" s="241" t="str">
        <f t="shared" si="29"/>
        <v/>
      </c>
      <c r="L686" s="137"/>
    </row>
    <row r="687" spans="5:12" ht="11.25" customHeight="1" x14ac:dyDescent="0.2">
      <c r="E687" s="117">
        <v>680</v>
      </c>
      <c r="F687" s="753"/>
      <c r="G687" s="754"/>
      <c r="H687" s="732"/>
      <c r="I687" s="731" t="str">
        <f t="shared" si="30"/>
        <v/>
      </c>
      <c r="K687" s="241" t="str">
        <f t="shared" si="29"/>
        <v/>
      </c>
      <c r="L687" s="137"/>
    </row>
    <row r="688" spans="5:12" ht="11.25" customHeight="1" x14ac:dyDescent="0.2">
      <c r="E688" s="117">
        <v>681</v>
      </c>
      <c r="F688" s="753"/>
      <c r="G688" s="754"/>
      <c r="H688" s="732"/>
      <c r="I688" s="731" t="str">
        <f t="shared" si="30"/>
        <v/>
      </c>
      <c r="K688" s="241" t="str">
        <f t="shared" si="29"/>
        <v/>
      </c>
      <c r="L688" s="137"/>
    </row>
    <row r="689" spans="5:12" ht="11.25" customHeight="1" x14ac:dyDescent="0.2">
      <c r="E689" s="117">
        <v>682</v>
      </c>
      <c r="F689" s="753"/>
      <c r="G689" s="754"/>
      <c r="H689" s="732"/>
      <c r="I689" s="731" t="str">
        <f t="shared" si="30"/>
        <v/>
      </c>
      <c r="K689" s="241" t="str">
        <f t="shared" si="29"/>
        <v/>
      </c>
      <c r="L689" s="137"/>
    </row>
    <row r="690" spans="5:12" ht="11.25" customHeight="1" x14ac:dyDescent="0.2">
      <c r="E690" s="117">
        <v>683</v>
      </c>
      <c r="F690" s="753"/>
      <c r="G690" s="754"/>
      <c r="H690" s="732"/>
      <c r="I690" s="731" t="str">
        <f t="shared" si="30"/>
        <v/>
      </c>
      <c r="K690" s="241" t="str">
        <f t="shared" si="29"/>
        <v/>
      </c>
      <c r="L690" s="137"/>
    </row>
    <row r="691" spans="5:12" ht="11.25" customHeight="1" x14ac:dyDescent="0.2">
      <c r="E691" s="117">
        <v>684</v>
      </c>
      <c r="F691" s="753"/>
      <c r="G691" s="754"/>
      <c r="H691" s="732"/>
      <c r="I691" s="731" t="str">
        <f t="shared" si="30"/>
        <v/>
      </c>
      <c r="K691" s="241" t="str">
        <f t="shared" si="29"/>
        <v/>
      </c>
      <c r="L691" s="137"/>
    </row>
    <row r="692" spans="5:12" ht="11.25" customHeight="1" x14ac:dyDescent="0.2">
      <c r="E692" s="117">
        <v>685</v>
      </c>
      <c r="F692" s="753"/>
      <c r="G692" s="754"/>
      <c r="H692" s="732"/>
      <c r="I692" s="731" t="str">
        <f t="shared" si="30"/>
        <v/>
      </c>
      <c r="K692" s="241" t="str">
        <f t="shared" si="29"/>
        <v/>
      </c>
      <c r="L692" s="137"/>
    </row>
    <row r="693" spans="5:12" ht="11.25" customHeight="1" x14ac:dyDescent="0.2">
      <c r="E693" s="117">
        <v>686</v>
      </c>
      <c r="F693" s="753"/>
      <c r="G693" s="754"/>
      <c r="H693" s="732"/>
      <c r="I693" s="731" t="str">
        <f t="shared" si="30"/>
        <v/>
      </c>
      <c r="K693" s="241" t="str">
        <f t="shared" si="29"/>
        <v/>
      </c>
      <c r="L693" s="137"/>
    </row>
    <row r="694" spans="5:12" ht="11.25" customHeight="1" x14ac:dyDescent="0.2">
      <c r="E694" s="117">
        <v>687</v>
      </c>
      <c r="F694" s="753"/>
      <c r="G694" s="754"/>
      <c r="H694" s="732"/>
      <c r="I694" s="731" t="str">
        <f t="shared" si="30"/>
        <v/>
      </c>
      <c r="K694" s="241" t="str">
        <f t="shared" si="29"/>
        <v/>
      </c>
      <c r="L694" s="137"/>
    </row>
    <row r="695" spans="5:12" ht="11.25" customHeight="1" x14ac:dyDescent="0.2">
      <c r="E695" s="117">
        <v>688</v>
      </c>
      <c r="F695" s="753"/>
      <c r="G695" s="754"/>
      <c r="H695" s="732"/>
      <c r="I695" s="731" t="str">
        <f t="shared" si="30"/>
        <v/>
      </c>
      <c r="K695" s="241" t="str">
        <f t="shared" si="29"/>
        <v/>
      </c>
      <c r="L695" s="137"/>
    </row>
    <row r="696" spans="5:12" ht="11.25" customHeight="1" x14ac:dyDescent="0.2">
      <c r="E696" s="117">
        <v>689</v>
      </c>
      <c r="F696" s="753"/>
      <c r="G696" s="754"/>
      <c r="H696" s="732"/>
      <c r="I696" s="731" t="str">
        <f t="shared" si="30"/>
        <v/>
      </c>
      <c r="K696" s="241" t="str">
        <f t="shared" si="29"/>
        <v/>
      </c>
      <c r="L696" s="137"/>
    </row>
    <row r="697" spans="5:12" ht="11.25" customHeight="1" x14ac:dyDescent="0.2">
      <c r="E697" s="117">
        <v>690</v>
      </c>
      <c r="F697" s="753"/>
      <c r="G697" s="754"/>
      <c r="H697" s="732"/>
      <c r="I697" s="731" t="str">
        <f t="shared" si="30"/>
        <v/>
      </c>
      <c r="K697" s="241" t="str">
        <f t="shared" si="29"/>
        <v/>
      </c>
      <c r="L697" s="137"/>
    </row>
    <row r="698" spans="5:12" ht="11.25" customHeight="1" x14ac:dyDescent="0.2">
      <c r="E698" s="117">
        <v>691</v>
      </c>
      <c r="F698" s="753"/>
      <c r="G698" s="754"/>
      <c r="H698" s="732"/>
      <c r="I698" s="731" t="str">
        <f t="shared" si="30"/>
        <v/>
      </c>
      <c r="K698" s="241" t="str">
        <f t="shared" si="29"/>
        <v/>
      </c>
      <c r="L698" s="137"/>
    </row>
    <row r="699" spans="5:12" ht="11.25" customHeight="1" x14ac:dyDescent="0.2">
      <c r="E699" s="117">
        <v>692</v>
      </c>
      <c r="F699" s="753"/>
      <c r="G699" s="754"/>
      <c r="H699" s="732"/>
      <c r="I699" s="731" t="str">
        <f t="shared" si="30"/>
        <v/>
      </c>
      <c r="K699" s="241" t="str">
        <f t="shared" si="29"/>
        <v/>
      </c>
      <c r="L699" s="137"/>
    </row>
    <row r="700" spans="5:12" ht="11.25" customHeight="1" x14ac:dyDescent="0.2">
      <c r="E700" s="117">
        <v>693</v>
      </c>
      <c r="F700" s="753"/>
      <c r="G700" s="754"/>
      <c r="H700" s="732"/>
      <c r="I700" s="731" t="str">
        <f t="shared" si="30"/>
        <v/>
      </c>
      <c r="K700" s="241" t="str">
        <f t="shared" si="29"/>
        <v/>
      </c>
      <c r="L700" s="137"/>
    </row>
    <row r="701" spans="5:12" ht="11.25" customHeight="1" x14ac:dyDescent="0.2">
      <c r="E701" s="117">
        <v>694</v>
      </c>
      <c r="F701" s="753"/>
      <c r="G701" s="754"/>
      <c r="H701" s="732"/>
      <c r="I701" s="731" t="str">
        <f t="shared" si="30"/>
        <v/>
      </c>
      <c r="K701" s="241" t="str">
        <f t="shared" si="29"/>
        <v/>
      </c>
      <c r="L701" s="137"/>
    </row>
    <row r="702" spans="5:12" ht="11.25" customHeight="1" x14ac:dyDescent="0.2">
      <c r="E702" s="117">
        <v>695</v>
      </c>
      <c r="F702" s="753"/>
      <c r="G702" s="754"/>
      <c r="H702" s="732"/>
      <c r="I702" s="731" t="str">
        <f t="shared" si="30"/>
        <v/>
      </c>
      <c r="K702" s="241" t="str">
        <f t="shared" si="29"/>
        <v/>
      </c>
      <c r="L702" s="137"/>
    </row>
    <row r="703" spans="5:12" ht="11.25" customHeight="1" x14ac:dyDescent="0.2">
      <c r="E703" s="117">
        <v>696</v>
      </c>
      <c r="F703" s="753"/>
      <c r="G703" s="754"/>
      <c r="H703" s="732"/>
      <c r="I703" s="731" t="str">
        <f t="shared" si="30"/>
        <v/>
      </c>
      <c r="K703" s="241" t="str">
        <f t="shared" ref="K703:K766" si="31">IF(I648&lt;&gt;"",(F648+G648)/2,"")</f>
        <v/>
      </c>
      <c r="L703" s="137"/>
    </row>
    <row r="704" spans="5:12" ht="11.25" customHeight="1" x14ac:dyDescent="0.2">
      <c r="E704" s="117">
        <v>697</v>
      </c>
      <c r="F704" s="753"/>
      <c r="G704" s="754"/>
      <c r="H704" s="732"/>
      <c r="I704" s="731" t="str">
        <f t="shared" si="30"/>
        <v/>
      </c>
      <c r="K704" s="241" t="str">
        <f t="shared" si="31"/>
        <v/>
      </c>
      <c r="L704" s="137"/>
    </row>
    <row r="705" spans="5:12" ht="11.25" customHeight="1" x14ac:dyDescent="0.2">
      <c r="E705" s="117">
        <v>698</v>
      </c>
      <c r="F705" s="753"/>
      <c r="G705" s="754"/>
      <c r="H705" s="732"/>
      <c r="I705" s="731" t="str">
        <f t="shared" si="30"/>
        <v/>
      </c>
      <c r="K705" s="241" t="str">
        <f t="shared" si="31"/>
        <v/>
      </c>
      <c r="L705" s="137"/>
    </row>
    <row r="706" spans="5:12" ht="11.25" customHeight="1" x14ac:dyDescent="0.2">
      <c r="E706" s="117">
        <v>699</v>
      </c>
      <c r="F706" s="753"/>
      <c r="G706" s="754"/>
      <c r="H706" s="732"/>
      <c r="I706" s="731" t="str">
        <f t="shared" si="30"/>
        <v/>
      </c>
      <c r="K706" s="241" t="str">
        <f t="shared" si="31"/>
        <v/>
      </c>
      <c r="L706" s="137"/>
    </row>
    <row r="707" spans="5:12" ht="11.25" customHeight="1" x14ac:dyDescent="0.2">
      <c r="E707" s="117">
        <v>700</v>
      </c>
      <c r="F707" s="753"/>
      <c r="G707" s="754"/>
      <c r="H707" s="732"/>
      <c r="I707" s="731" t="str">
        <f t="shared" si="30"/>
        <v/>
      </c>
      <c r="K707" s="241" t="str">
        <f t="shared" si="31"/>
        <v/>
      </c>
      <c r="L707" s="137"/>
    </row>
    <row r="708" spans="5:12" ht="11.25" customHeight="1" x14ac:dyDescent="0.2">
      <c r="E708" s="117">
        <v>701</v>
      </c>
      <c r="F708" s="753"/>
      <c r="G708" s="754"/>
      <c r="H708" s="732"/>
      <c r="I708" s="731" t="str">
        <f t="shared" si="30"/>
        <v/>
      </c>
      <c r="K708" s="241" t="str">
        <f t="shared" si="31"/>
        <v/>
      </c>
      <c r="L708" s="137"/>
    </row>
    <row r="709" spans="5:12" ht="11.25" customHeight="1" x14ac:dyDescent="0.2">
      <c r="E709" s="117">
        <v>702</v>
      </c>
      <c r="F709" s="753"/>
      <c r="G709" s="754"/>
      <c r="H709" s="732"/>
      <c r="I709" s="731" t="str">
        <f t="shared" si="30"/>
        <v/>
      </c>
      <c r="K709" s="241" t="str">
        <f t="shared" si="31"/>
        <v/>
      </c>
      <c r="L709" s="137"/>
    </row>
    <row r="710" spans="5:12" ht="11.25" customHeight="1" x14ac:dyDescent="0.2">
      <c r="E710" s="117">
        <v>703</v>
      </c>
      <c r="F710" s="753"/>
      <c r="G710" s="754"/>
      <c r="H710" s="732"/>
      <c r="I710" s="731" t="str">
        <f t="shared" si="30"/>
        <v/>
      </c>
      <c r="K710" s="241" t="str">
        <f t="shared" si="31"/>
        <v/>
      </c>
      <c r="L710" s="137"/>
    </row>
    <row r="711" spans="5:12" ht="11.25" customHeight="1" x14ac:dyDescent="0.2">
      <c r="E711" s="117">
        <v>704</v>
      </c>
      <c r="F711" s="753"/>
      <c r="G711" s="754"/>
      <c r="H711" s="732"/>
      <c r="I711" s="731" t="str">
        <f t="shared" si="30"/>
        <v/>
      </c>
      <c r="K711" s="241" t="str">
        <f t="shared" si="31"/>
        <v/>
      </c>
      <c r="L711" s="137"/>
    </row>
    <row r="712" spans="5:12" ht="11.25" customHeight="1" x14ac:dyDescent="0.2">
      <c r="E712" s="117">
        <v>705</v>
      </c>
      <c r="F712" s="753"/>
      <c r="G712" s="754"/>
      <c r="H712" s="732"/>
      <c r="I712" s="731" t="str">
        <f t="shared" ref="I712:I775" si="32">IF(AND(F712&lt;&gt;"",G712&lt;&gt;""),G712-F712,"")</f>
        <v/>
      </c>
      <c r="K712" s="241" t="str">
        <f t="shared" si="31"/>
        <v/>
      </c>
      <c r="L712" s="137"/>
    </row>
    <row r="713" spans="5:12" ht="11.25" customHeight="1" x14ac:dyDescent="0.2">
      <c r="E713" s="117">
        <v>706</v>
      </c>
      <c r="F713" s="753"/>
      <c r="G713" s="754"/>
      <c r="H713" s="732"/>
      <c r="I713" s="731" t="str">
        <f t="shared" si="32"/>
        <v/>
      </c>
      <c r="K713" s="241" t="str">
        <f t="shared" si="31"/>
        <v/>
      </c>
      <c r="L713" s="137"/>
    </row>
    <row r="714" spans="5:12" ht="11.25" customHeight="1" x14ac:dyDescent="0.2">
      <c r="E714" s="117">
        <v>707</v>
      </c>
      <c r="F714" s="753"/>
      <c r="G714" s="754"/>
      <c r="H714" s="732"/>
      <c r="I714" s="731" t="str">
        <f t="shared" si="32"/>
        <v/>
      </c>
      <c r="K714" s="241" t="str">
        <f t="shared" si="31"/>
        <v/>
      </c>
      <c r="L714" s="137"/>
    </row>
    <row r="715" spans="5:12" ht="11.25" customHeight="1" x14ac:dyDescent="0.2">
      <c r="E715" s="117">
        <v>708</v>
      </c>
      <c r="F715" s="753"/>
      <c r="G715" s="754"/>
      <c r="H715" s="732"/>
      <c r="I715" s="731" t="str">
        <f t="shared" si="32"/>
        <v/>
      </c>
      <c r="K715" s="241" t="str">
        <f t="shared" si="31"/>
        <v/>
      </c>
      <c r="L715" s="137"/>
    </row>
    <row r="716" spans="5:12" ht="11.25" customHeight="1" x14ac:dyDescent="0.2">
      <c r="E716" s="117">
        <v>709</v>
      </c>
      <c r="F716" s="753"/>
      <c r="G716" s="754"/>
      <c r="H716" s="732"/>
      <c r="I716" s="731" t="str">
        <f t="shared" si="32"/>
        <v/>
      </c>
      <c r="K716" s="241" t="str">
        <f t="shared" si="31"/>
        <v/>
      </c>
      <c r="L716" s="137"/>
    </row>
    <row r="717" spans="5:12" ht="11.25" customHeight="1" x14ac:dyDescent="0.2">
      <c r="E717" s="117">
        <v>710</v>
      </c>
      <c r="F717" s="753"/>
      <c r="G717" s="754"/>
      <c r="H717" s="732"/>
      <c r="I717" s="731" t="str">
        <f t="shared" si="32"/>
        <v/>
      </c>
      <c r="K717" s="241" t="str">
        <f t="shared" si="31"/>
        <v/>
      </c>
      <c r="L717" s="137"/>
    </row>
    <row r="718" spans="5:12" ht="11.25" customHeight="1" x14ac:dyDescent="0.2">
      <c r="E718" s="117">
        <v>711</v>
      </c>
      <c r="F718" s="753"/>
      <c r="G718" s="754"/>
      <c r="H718" s="732"/>
      <c r="I718" s="731" t="str">
        <f t="shared" si="32"/>
        <v/>
      </c>
      <c r="K718" s="241" t="str">
        <f t="shared" si="31"/>
        <v/>
      </c>
      <c r="L718" s="137"/>
    </row>
    <row r="719" spans="5:12" ht="11.25" customHeight="1" x14ac:dyDescent="0.2">
      <c r="E719" s="117">
        <v>712</v>
      </c>
      <c r="F719" s="753"/>
      <c r="G719" s="754"/>
      <c r="H719" s="732"/>
      <c r="I719" s="731" t="str">
        <f t="shared" si="32"/>
        <v/>
      </c>
      <c r="K719" s="241" t="str">
        <f t="shared" si="31"/>
        <v/>
      </c>
      <c r="L719" s="137"/>
    </row>
    <row r="720" spans="5:12" ht="11.25" customHeight="1" x14ac:dyDescent="0.2">
      <c r="E720" s="117">
        <v>713</v>
      </c>
      <c r="F720" s="753"/>
      <c r="G720" s="754"/>
      <c r="H720" s="732"/>
      <c r="I720" s="731" t="str">
        <f t="shared" si="32"/>
        <v/>
      </c>
      <c r="K720" s="241" t="str">
        <f t="shared" si="31"/>
        <v/>
      </c>
      <c r="L720" s="137"/>
    </row>
    <row r="721" spans="5:12" ht="11.25" customHeight="1" x14ac:dyDescent="0.2">
      <c r="E721" s="117">
        <v>714</v>
      </c>
      <c r="F721" s="753"/>
      <c r="G721" s="754"/>
      <c r="H721" s="732"/>
      <c r="I721" s="731" t="str">
        <f t="shared" si="32"/>
        <v/>
      </c>
      <c r="K721" s="241" t="str">
        <f t="shared" si="31"/>
        <v/>
      </c>
      <c r="L721" s="137"/>
    </row>
    <row r="722" spans="5:12" ht="11.25" customHeight="1" x14ac:dyDescent="0.2">
      <c r="E722" s="117">
        <v>715</v>
      </c>
      <c r="F722" s="753"/>
      <c r="G722" s="754"/>
      <c r="H722" s="732"/>
      <c r="I722" s="731" t="str">
        <f t="shared" si="32"/>
        <v/>
      </c>
      <c r="K722" s="241" t="str">
        <f t="shared" si="31"/>
        <v/>
      </c>
      <c r="L722" s="137"/>
    </row>
    <row r="723" spans="5:12" ht="11.25" customHeight="1" x14ac:dyDescent="0.2">
      <c r="E723" s="117">
        <v>716</v>
      </c>
      <c r="F723" s="753"/>
      <c r="G723" s="754"/>
      <c r="H723" s="732"/>
      <c r="I723" s="731" t="str">
        <f t="shared" si="32"/>
        <v/>
      </c>
      <c r="K723" s="241" t="str">
        <f t="shared" si="31"/>
        <v/>
      </c>
      <c r="L723" s="137"/>
    </row>
    <row r="724" spans="5:12" ht="11.25" customHeight="1" x14ac:dyDescent="0.2">
      <c r="E724" s="117">
        <v>717</v>
      </c>
      <c r="F724" s="753"/>
      <c r="G724" s="754"/>
      <c r="H724" s="732"/>
      <c r="I724" s="731" t="str">
        <f t="shared" si="32"/>
        <v/>
      </c>
      <c r="K724" s="241" t="str">
        <f t="shared" si="31"/>
        <v/>
      </c>
      <c r="L724" s="137"/>
    </row>
    <row r="725" spans="5:12" ht="11.25" customHeight="1" x14ac:dyDescent="0.2">
      <c r="E725" s="117">
        <v>718</v>
      </c>
      <c r="F725" s="753"/>
      <c r="G725" s="754"/>
      <c r="H725" s="732"/>
      <c r="I725" s="731" t="str">
        <f t="shared" si="32"/>
        <v/>
      </c>
      <c r="K725" s="241" t="str">
        <f t="shared" si="31"/>
        <v/>
      </c>
      <c r="L725" s="137"/>
    </row>
    <row r="726" spans="5:12" ht="11.25" customHeight="1" x14ac:dyDescent="0.2">
      <c r="E726" s="117">
        <v>719</v>
      </c>
      <c r="F726" s="753"/>
      <c r="G726" s="754"/>
      <c r="H726" s="732"/>
      <c r="I726" s="731" t="str">
        <f t="shared" si="32"/>
        <v/>
      </c>
      <c r="K726" s="241" t="str">
        <f t="shared" si="31"/>
        <v/>
      </c>
      <c r="L726" s="137"/>
    </row>
    <row r="727" spans="5:12" ht="11.25" customHeight="1" x14ac:dyDescent="0.2">
      <c r="E727" s="117">
        <v>720</v>
      </c>
      <c r="F727" s="753"/>
      <c r="G727" s="754"/>
      <c r="H727" s="732"/>
      <c r="I727" s="731" t="str">
        <f t="shared" si="32"/>
        <v/>
      </c>
      <c r="K727" s="241" t="str">
        <f t="shared" si="31"/>
        <v/>
      </c>
      <c r="L727" s="137"/>
    </row>
    <row r="728" spans="5:12" ht="11.25" customHeight="1" x14ac:dyDescent="0.2">
      <c r="E728" s="117">
        <v>721</v>
      </c>
      <c r="F728" s="753"/>
      <c r="G728" s="754"/>
      <c r="H728" s="732"/>
      <c r="I728" s="731" t="str">
        <f t="shared" si="32"/>
        <v/>
      </c>
      <c r="K728" s="241" t="str">
        <f t="shared" si="31"/>
        <v/>
      </c>
      <c r="L728" s="137"/>
    </row>
    <row r="729" spans="5:12" ht="11.25" customHeight="1" x14ac:dyDescent="0.2">
      <c r="E729" s="117">
        <v>722</v>
      </c>
      <c r="F729" s="753"/>
      <c r="G729" s="754"/>
      <c r="H729" s="732"/>
      <c r="I729" s="731" t="str">
        <f t="shared" si="32"/>
        <v/>
      </c>
      <c r="K729" s="241" t="str">
        <f t="shared" si="31"/>
        <v/>
      </c>
      <c r="L729" s="137"/>
    </row>
    <row r="730" spans="5:12" ht="11.25" customHeight="1" x14ac:dyDescent="0.2">
      <c r="E730" s="117">
        <v>723</v>
      </c>
      <c r="F730" s="753"/>
      <c r="G730" s="754"/>
      <c r="H730" s="732"/>
      <c r="I730" s="731" t="str">
        <f t="shared" si="32"/>
        <v/>
      </c>
      <c r="K730" s="241" t="str">
        <f t="shared" si="31"/>
        <v/>
      </c>
      <c r="L730" s="137"/>
    </row>
    <row r="731" spans="5:12" ht="11.25" customHeight="1" x14ac:dyDescent="0.2">
      <c r="E731" s="117">
        <v>724</v>
      </c>
      <c r="F731" s="753"/>
      <c r="G731" s="754"/>
      <c r="H731" s="732"/>
      <c r="I731" s="731" t="str">
        <f t="shared" si="32"/>
        <v/>
      </c>
      <c r="K731" s="241" t="str">
        <f t="shared" si="31"/>
        <v/>
      </c>
      <c r="L731" s="137"/>
    </row>
    <row r="732" spans="5:12" ht="11.25" customHeight="1" x14ac:dyDescent="0.2">
      <c r="E732" s="117">
        <v>725</v>
      </c>
      <c r="F732" s="753"/>
      <c r="G732" s="754"/>
      <c r="H732" s="732"/>
      <c r="I732" s="731" t="str">
        <f t="shared" si="32"/>
        <v/>
      </c>
      <c r="K732" s="241" t="str">
        <f t="shared" si="31"/>
        <v/>
      </c>
      <c r="L732" s="137"/>
    </row>
    <row r="733" spans="5:12" ht="11.25" customHeight="1" x14ac:dyDescent="0.2">
      <c r="E733" s="117">
        <v>726</v>
      </c>
      <c r="F733" s="753"/>
      <c r="G733" s="754"/>
      <c r="H733" s="732"/>
      <c r="I733" s="731" t="str">
        <f t="shared" si="32"/>
        <v/>
      </c>
      <c r="K733" s="241" t="str">
        <f t="shared" si="31"/>
        <v/>
      </c>
      <c r="L733" s="137"/>
    </row>
    <row r="734" spans="5:12" ht="11.25" customHeight="1" x14ac:dyDescent="0.2">
      <c r="E734" s="117">
        <v>727</v>
      </c>
      <c r="F734" s="753"/>
      <c r="G734" s="754"/>
      <c r="H734" s="732"/>
      <c r="I734" s="731" t="str">
        <f t="shared" si="32"/>
        <v/>
      </c>
      <c r="K734" s="241" t="str">
        <f t="shared" si="31"/>
        <v/>
      </c>
      <c r="L734" s="137"/>
    </row>
    <row r="735" spans="5:12" ht="11.25" customHeight="1" x14ac:dyDescent="0.2">
      <c r="E735" s="117">
        <v>728</v>
      </c>
      <c r="F735" s="753"/>
      <c r="G735" s="754"/>
      <c r="H735" s="732"/>
      <c r="I735" s="731" t="str">
        <f t="shared" si="32"/>
        <v/>
      </c>
      <c r="K735" s="241" t="str">
        <f t="shared" si="31"/>
        <v/>
      </c>
      <c r="L735" s="137"/>
    </row>
    <row r="736" spans="5:12" ht="11.25" customHeight="1" x14ac:dyDescent="0.2">
      <c r="E736" s="117">
        <v>729</v>
      </c>
      <c r="F736" s="753"/>
      <c r="G736" s="754"/>
      <c r="H736" s="732"/>
      <c r="I736" s="731" t="str">
        <f t="shared" si="32"/>
        <v/>
      </c>
      <c r="K736" s="241" t="str">
        <f t="shared" si="31"/>
        <v/>
      </c>
      <c r="L736" s="137"/>
    </row>
    <row r="737" spans="5:12" ht="11.25" customHeight="1" x14ac:dyDescent="0.2">
      <c r="E737" s="117">
        <v>730</v>
      </c>
      <c r="F737" s="753"/>
      <c r="G737" s="754"/>
      <c r="H737" s="732"/>
      <c r="I737" s="731" t="str">
        <f t="shared" si="32"/>
        <v/>
      </c>
      <c r="K737" s="241" t="str">
        <f t="shared" si="31"/>
        <v/>
      </c>
      <c r="L737" s="137"/>
    </row>
    <row r="738" spans="5:12" ht="11.25" customHeight="1" x14ac:dyDescent="0.2">
      <c r="E738" s="117">
        <v>731</v>
      </c>
      <c r="F738" s="753"/>
      <c r="G738" s="754"/>
      <c r="H738" s="732"/>
      <c r="I738" s="731" t="str">
        <f t="shared" si="32"/>
        <v/>
      </c>
      <c r="K738" s="241" t="str">
        <f t="shared" si="31"/>
        <v/>
      </c>
      <c r="L738" s="137"/>
    </row>
    <row r="739" spans="5:12" ht="11.25" customHeight="1" x14ac:dyDescent="0.2">
      <c r="E739" s="117">
        <v>732</v>
      </c>
      <c r="F739" s="753"/>
      <c r="G739" s="754"/>
      <c r="H739" s="732"/>
      <c r="I739" s="731" t="str">
        <f t="shared" si="32"/>
        <v/>
      </c>
      <c r="K739" s="241" t="str">
        <f t="shared" si="31"/>
        <v/>
      </c>
      <c r="L739" s="137"/>
    </row>
    <row r="740" spans="5:12" ht="11.25" customHeight="1" x14ac:dyDescent="0.2">
      <c r="E740" s="117">
        <v>733</v>
      </c>
      <c r="F740" s="753"/>
      <c r="G740" s="754"/>
      <c r="H740" s="732"/>
      <c r="I740" s="731" t="str">
        <f t="shared" si="32"/>
        <v/>
      </c>
      <c r="K740" s="241" t="str">
        <f t="shared" si="31"/>
        <v/>
      </c>
      <c r="L740" s="137"/>
    </row>
    <row r="741" spans="5:12" ht="11.25" customHeight="1" x14ac:dyDescent="0.2">
      <c r="E741" s="117">
        <v>734</v>
      </c>
      <c r="F741" s="753"/>
      <c r="G741" s="754"/>
      <c r="H741" s="732"/>
      <c r="I741" s="731" t="str">
        <f t="shared" si="32"/>
        <v/>
      </c>
      <c r="K741" s="241" t="str">
        <f t="shared" si="31"/>
        <v/>
      </c>
      <c r="L741" s="137"/>
    </row>
    <row r="742" spans="5:12" ht="11.25" customHeight="1" x14ac:dyDescent="0.2">
      <c r="E742" s="117">
        <v>735</v>
      </c>
      <c r="F742" s="753"/>
      <c r="G742" s="754"/>
      <c r="H742" s="732"/>
      <c r="I742" s="731" t="str">
        <f t="shared" si="32"/>
        <v/>
      </c>
      <c r="K742" s="241" t="str">
        <f t="shared" si="31"/>
        <v/>
      </c>
      <c r="L742" s="137"/>
    </row>
    <row r="743" spans="5:12" ht="11.25" customHeight="1" x14ac:dyDescent="0.2">
      <c r="E743" s="117">
        <v>736</v>
      </c>
      <c r="F743" s="753"/>
      <c r="G743" s="754"/>
      <c r="H743" s="732"/>
      <c r="I743" s="731" t="str">
        <f t="shared" si="32"/>
        <v/>
      </c>
      <c r="K743" s="241" t="str">
        <f t="shared" si="31"/>
        <v/>
      </c>
      <c r="L743" s="137"/>
    </row>
    <row r="744" spans="5:12" ht="11.25" customHeight="1" x14ac:dyDescent="0.2">
      <c r="E744" s="117">
        <v>737</v>
      </c>
      <c r="F744" s="753"/>
      <c r="G744" s="754"/>
      <c r="H744" s="732"/>
      <c r="I744" s="731" t="str">
        <f t="shared" si="32"/>
        <v/>
      </c>
      <c r="K744" s="241" t="str">
        <f t="shared" si="31"/>
        <v/>
      </c>
      <c r="L744" s="137"/>
    </row>
    <row r="745" spans="5:12" ht="11.25" customHeight="1" x14ac:dyDescent="0.2">
      <c r="E745" s="117">
        <v>738</v>
      </c>
      <c r="F745" s="753"/>
      <c r="G745" s="754"/>
      <c r="H745" s="732"/>
      <c r="I745" s="731" t="str">
        <f t="shared" si="32"/>
        <v/>
      </c>
      <c r="K745" s="241" t="str">
        <f t="shared" si="31"/>
        <v/>
      </c>
      <c r="L745" s="137"/>
    </row>
    <row r="746" spans="5:12" ht="11.25" customHeight="1" x14ac:dyDescent="0.2">
      <c r="E746" s="117">
        <v>739</v>
      </c>
      <c r="F746" s="753"/>
      <c r="G746" s="754"/>
      <c r="H746" s="732"/>
      <c r="I746" s="731" t="str">
        <f t="shared" si="32"/>
        <v/>
      </c>
      <c r="K746" s="241" t="str">
        <f t="shared" si="31"/>
        <v/>
      </c>
      <c r="L746" s="137"/>
    </row>
    <row r="747" spans="5:12" ht="11.25" customHeight="1" x14ac:dyDescent="0.2">
      <c r="E747" s="117">
        <v>740</v>
      </c>
      <c r="F747" s="753"/>
      <c r="G747" s="754"/>
      <c r="H747" s="732"/>
      <c r="I747" s="731" t="str">
        <f t="shared" si="32"/>
        <v/>
      </c>
      <c r="K747" s="241" t="str">
        <f t="shared" si="31"/>
        <v/>
      </c>
      <c r="L747" s="137"/>
    </row>
    <row r="748" spans="5:12" ht="11.25" customHeight="1" x14ac:dyDescent="0.2">
      <c r="E748" s="117">
        <v>741</v>
      </c>
      <c r="F748" s="753"/>
      <c r="G748" s="754"/>
      <c r="H748" s="732"/>
      <c r="I748" s="731" t="str">
        <f t="shared" si="32"/>
        <v/>
      </c>
      <c r="K748" s="241" t="str">
        <f t="shared" si="31"/>
        <v/>
      </c>
      <c r="L748" s="137"/>
    </row>
    <row r="749" spans="5:12" ht="11.25" customHeight="1" x14ac:dyDescent="0.2">
      <c r="E749" s="117">
        <v>742</v>
      </c>
      <c r="F749" s="753"/>
      <c r="G749" s="754"/>
      <c r="H749" s="732"/>
      <c r="I749" s="731" t="str">
        <f t="shared" si="32"/>
        <v/>
      </c>
      <c r="K749" s="241" t="str">
        <f t="shared" si="31"/>
        <v/>
      </c>
      <c r="L749" s="137"/>
    </row>
    <row r="750" spans="5:12" ht="11.25" customHeight="1" x14ac:dyDescent="0.2">
      <c r="E750" s="117">
        <v>743</v>
      </c>
      <c r="F750" s="753"/>
      <c r="G750" s="754"/>
      <c r="H750" s="732"/>
      <c r="I750" s="731" t="str">
        <f t="shared" si="32"/>
        <v/>
      </c>
      <c r="K750" s="241" t="str">
        <f t="shared" si="31"/>
        <v/>
      </c>
      <c r="L750" s="137"/>
    </row>
    <row r="751" spans="5:12" ht="11.25" customHeight="1" x14ac:dyDescent="0.2">
      <c r="E751" s="117">
        <v>744</v>
      </c>
      <c r="F751" s="753"/>
      <c r="G751" s="754"/>
      <c r="H751" s="732"/>
      <c r="I751" s="731" t="str">
        <f t="shared" si="32"/>
        <v/>
      </c>
      <c r="K751" s="241" t="str">
        <f t="shared" si="31"/>
        <v/>
      </c>
      <c r="L751" s="137"/>
    </row>
    <row r="752" spans="5:12" ht="11.25" customHeight="1" x14ac:dyDescent="0.2">
      <c r="E752" s="117">
        <v>745</v>
      </c>
      <c r="F752" s="753"/>
      <c r="G752" s="754"/>
      <c r="H752" s="732"/>
      <c r="I752" s="731" t="str">
        <f t="shared" si="32"/>
        <v/>
      </c>
      <c r="K752" s="241" t="str">
        <f t="shared" si="31"/>
        <v/>
      </c>
      <c r="L752" s="137"/>
    </row>
    <row r="753" spans="5:12" ht="11.25" customHeight="1" x14ac:dyDescent="0.2">
      <c r="E753" s="117">
        <v>746</v>
      </c>
      <c r="F753" s="753"/>
      <c r="G753" s="754"/>
      <c r="H753" s="732"/>
      <c r="I753" s="731" t="str">
        <f t="shared" si="32"/>
        <v/>
      </c>
      <c r="K753" s="241" t="str">
        <f t="shared" si="31"/>
        <v/>
      </c>
      <c r="L753" s="137"/>
    </row>
    <row r="754" spans="5:12" ht="11.25" customHeight="1" x14ac:dyDescent="0.2">
      <c r="E754" s="117">
        <v>747</v>
      </c>
      <c r="F754" s="753"/>
      <c r="G754" s="754"/>
      <c r="H754" s="732"/>
      <c r="I754" s="731" t="str">
        <f t="shared" si="32"/>
        <v/>
      </c>
      <c r="K754" s="241" t="str">
        <f t="shared" si="31"/>
        <v/>
      </c>
      <c r="L754" s="137"/>
    </row>
    <row r="755" spans="5:12" ht="11.25" customHeight="1" x14ac:dyDescent="0.2">
      <c r="E755" s="117">
        <v>748</v>
      </c>
      <c r="F755" s="753"/>
      <c r="G755" s="754"/>
      <c r="H755" s="732"/>
      <c r="I755" s="731" t="str">
        <f t="shared" si="32"/>
        <v/>
      </c>
      <c r="K755" s="241" t="str">
        <f t="shared" si="31"/>
        <v/>
      </c>
      <c r="L755" s="137"/>
    </row>
    <row r="756" spans="5:12" ht="11.25" customHeight="1" x14ac:dyDescent="0.2">
      <c r="E756" s="117">
        <v>749</v>
      </c>
      <c r="F756" s="753"/>
      <c r="G756" s="754"/>
      <c r="H756" s="732"/>
      <c r="I756" s="731" t="str">
        <f t="shared" si="32"/>
        <v/>
      </c>
      <c r="K756" s="241" t="str">
        <f t="shared" si="31"/>
        <v/>
      </c>
      <c r="L756" s="137"/>
    </row>
    <row r="757" spans="5:12" ht="11.25" customHeight="1" x14ac:dyDescent="0.2">
      <c r="E757" s="117">
        <v>750</v>
      </c>
      <c r="F757" s="753"/>
      <c r="G757" s="754"/>
      <c r="H757" s="732"/>
      <c r="I757" s="731" t="str">
        <f t="shared" si="32"/>
        <v/>
      </c>
      <c r="K757" s="241" t="str">
        <f t="shared" si="31"/>
        <v/>
      </c>
      <c r="L757" s="137"/>
    </row>
    <row r="758" spans="5:12" ht="11.25" customHeight="1" x14ac:dyDescent="0.2">
      <c r="E758" s="117">
        <v>751</v>
      </c>
      <c r="F758" s="753"/>
      <c r="G758" s="754"/>
      <c r="H758" s="732"/>
      <c r="I758" s="731" t="str">
        <f t="shared" si="32"/>
        <v/>
      </c>
      <c r="K758" s="241" t="str">
        <f t="shared" si="31"/>
        <v/>
      </c>
      <c r="L758" s="137"/>
    </row>
    <row r="759" spans="5:12" ht="11.25" customHeight="1" x14ac:dyDescent="0.2">
      <c r="E759" s="117">
        <v>752</v>
      </c>
      <c r="F759" s="753"/>
      <c r="G759" s="754"/>
      <c r="H759" s="732"/>
      <c r="I759" s="731" t="str">
        <f t="shared" si="32"/>
        <v/>
      </c>
      <c r="K759" s="241" t="str">
        <f t="shared" si="31"/>
        <v/>
      </c>
      <c r="L759" s="137"/>
    </row>
    <row r="760" spans="5:12" ht="11.25" customHeight="1" x14ac:dyDescent="0.2">
      <c r="E760" s="117">
        <v>753</v>
      </c>
      <c r="F760" s="753"/>
      <c r="G760" s="754"/>
      <c r="H760" s="732"/>
      <c r="I760" s="731" t="str">
        <f t="shared" si="32"/>
        <v/>
      </c>
      <c r="K760" s="241" t="str">
        <f t="shared" si="31"/>
        <v/>
      </c>
      <c r="L760" s="137"/>
    </row>
    <row r="761" spans="5:12" ht="11.25" customHeight="1" x14ac:dyDescent="0.2">
      <c r="E761" s="117">
        <v>754</v>
      </c>
      <c r="F761" s="753"/>
      <c r="G761" s="754"/>
      <c r="H761" s="732"/>
      <c r="I761" s="731" t="str">
        <f t="shared" si="32"/>
        <v/>
      </c>
      <c r="K761" s="241" t="str">
        <f t="shared" si="31"/>
        <v/>
      </c>
      <c r="L761" s="137"/>
    </row>
    <row r="762" spans="5:12" ht="11.25" customHeight="1" x14ac:dyDescent="0.2">
      <c r="E762" s="117">
        <v>755</v>
      </c>
      <c r="F762" s="753"/>
      <c r="G762" s="754"/>
      <c r="H762" s="732"/>
      <c r="I762" s="731" t="str">
        <f t="shared" si="32"/>
        <v/>
      </c>
      <c r="K762" s="241" t="str">
        <f t="shared" si="31"/>
        <v/>
      </c>
      <c r="L762" s="137"/>
    </row>
    <row r="763" spans="5:12" ht="11.25" customHeight="1" x14ac:dyDescent="0.2">
      <c r="E763" s="117">
        <v>756</v>
      </c>
      <c r="F763" s="753"/>
      <c r="G763" s="754"/>
      <c r="H763" s="732"/>
      <c r="I763" s="731" t="str">
        <f t="shared" si="32"/>
        <v/>
      </c>
      <c r="K763" s="241" t="str">
        <f t="shared" si="31"/>
        <v/>
      </c>
      <c r="L763" s="137"/>
    </row>
    <row r="764" spans="5:12" ht="11.25" customHeight="1" x14ac:dyDescent="0.2">
      <c r="E764" s="117">
        <v>757</v>
      </c>
      <c r="F764" s="753"/>
      <c r="G764" s="754"/>
      <c r="H764" s="732"/>
      <c r="I764" s="731" t="str">
        <f t="shared" si="32"/>
        <v/>
      </c>
      <c r="K764" s="241" t="str">
        <f t="shared" si="31"/>
        <v/>
      </c>
      <c r="L764" s="137"/>
    </row>
    <row r="765" spans="5:12" ht="11.25" customHeight="1" x14ac:dyDescent="0.2">
      <c r="E765" s="117">
        <v>758</v>
      </c>
      <c r="F765" s="753"/>
      <c r="G765" s="754"/>
      <c r="H765" s="732"/>
      <c r="I765" s="731" t="str">
        <f t="shared" si="32"/>
        <v/>
      </c>
      <c r="K765" s="241" t="str">
        <f t="shared" si="31"/>
        <v/>
      </c>
      <c r="L765" s="137"/>
    </row>
    <row r="766" spans="5:12" ht="11.25" customHeight="1" x14ac:dyDescent="0.2">
      <c r="E766" s="117">
        <v>759</v>
      </c>
      <c r="F766" s="753"/>
      <c r="G766" s="754"/>
      <c r="H766" s="732"/>
      <c r="I766" s="731" t="str">
        <f t="shared" si="32"/>
        <v/>
      </c>
      <c r="K766" s="241" t="str">
        <f t="shared" si="31"/>
        <v/>
      </c>
      <c r="L766" s="137"/>
    </row>
    <row r="767" spans="5:12" ht="11.25" customHeight="1" x14ac:dyDescent="0.2">
      <c r="E767" s="117">
        <v>760</v>
      </c>
      <c r="F767" s="753"/>
      <c r="G767" s="754"/>
      <c r="H767" s="732"/>
      <c r="I767" s="731" t="str">
        <f t="shared" si="32"/>
        <v/>
      </c>
      <c r="K767" s="241" t="str">
        <f t="shared" ref="K767:K830" si="33">IF(I712&lt;&gt;"",(F712+G712)/2,"")</f>
        <v/>
      </c>
      <c r="L767" s="137"/>
    </row>
    <row r="768" spans="5:12" ht="11.25" customHeight="1" x14ac:dyDescent="0.2">
      <c r="E768" s="117">
        <v>761</v>
      </c>
      <c r="F768" s="753"/>
      <c r="G768" s="754"/>
      <c r="H768" s="732"/>
      <c r="I768" s="731" t="str">
        <f t="shared" si="32"/>
        <v/>
      </c>
      <c r="K768" s="241" t="str">
        <f t="shared" si="33"/>
        <v/>
      </c>
      <c r="L768" s="137"/>
    </row>
    <row r="769" spans="5:12" ht="11.25" customHeight="1" x14ac:dyDescent="0.2">
      <c r="E769" s="117">
        <v>762</v>
      </c>
      <c r="F769" s="753"/>
      <c r="G769" s="754"/>
      <c r="H769" s="732"/>
      <c r="I769" s="731" t="str">
        <f t="shared" si="32"/>
        <v/>
      </c>
      <c r="K769" s="241" t="str">
        <f t="shared" si="33"/>
        <v/>
      </c>
      <c r="L769" s="137"/>
    </row>
    <row r="770" spans="5:12" ht="11.25" customHeight="1" x14ac:dyDescent="0.2">
      <c r="E770" s="117">
        <v>763</v>
      </c>
      <c r="F770" s="753"/>
      <c r="G770" s="754"/>
      <c r="H770" s="732"/>
      <c r="I770" s="731" t="str">
        <f t="shared" si="32"/>
        <v/>
      </c>
      <c r="K770" s="241" t="str">
        <f t="shared" si="33"/>
        <v/>
      </c>
      <c r="L770" s="137"/>
    </row>
    <row r="771" spans="5:12" ht="11.25" customHeight="1" x14ac:dyDescent="0.2">
      <c r="E771" s="117">
        <v>764</v>
      </c>
      <c r="F771" s="753"/>
      <c r="G771" s="754"/>
      <c r="H771" s="732"/>
      <c r="I771" s="731" t="str">
        <f t="shared" si="32"/>
        <v/>
      </c>
      <c r="K771" s="241" t="str">
        <f t="shared" si="33"/>
        <v/>
      </c>
      <c r="L771" s="137"/>
    </row>
    <row r="772" spans="5:12" ht="11.25" customHeight="1" x14ac:dyDescent="0.2">
      <c r="E772" s="117">
        <v>765</v>
      </c>
      <c r="F772" s="753"/>
      <c r="G772" s="754"/>
      <c r="H772" s="732"/>
      <c r="I772" s="731" t="str">
        <f t="shared" si="32"/>
        <v/>
      </c>
      <c r="K772" s="241" t="str">
        <f t="shared" si="33"/>
        <v/>
      </c>
      <c r="L772" s="137"/>
    </row>
    <row r="773" spans="5:12" ht="11.25" customHeight="1" x14ac:dyDescent="0.2">
      <c r="E773" s="117">
        <v>766</v>
      </c>
      <c r="F773" s="753"/>
      <c r="G773" s="754"/>
      <c r="H773" s="732"/>
      <c r="I773" s="731" t="str">
        <f t="shared" si="32"/>
        <v/>
      </c>
      <c r="K773" s="241" t="str">
        <f t="shared" si="33"/>
        <v/>
      </c>
      <c r="L773" s="137"/>
    </row>
    <row r="774" spans="5:12" ht="11.25" customHeight="1" x14ac:dyDescent="0.2">
      <c r="E774" s="117">
        <v>767</v>
      </c>
      <c r="F774" s="753"/>
      <c r="G774" s="754"/>
      <c r="H774" s="732"/>
      <c r="I774" s="731" t="str">
        <f t="shared" si="32"/>
        <v/>
      </c>
      <c r="K774" s="241" t="str">
        <f t="shared" si="33"/>
        <v/>
      </c>
      <c r="L774" s="137"/>
    </row>
    <row r="775" spans="5:12" ht="11.25" customHeight="1" x14ac:dyDescent="0.2">
      <c r="E775" s="117">
        <v>768</v>
      </c>
      <c r="F775" s="753"/>
      <c r="G775" s="754"/>
      <c r="H775" s="732"/>
      <c r="I775" s="731" t="str">
        <f t="shared" si="32"/>
        <v/>
      </c>
      <c r="K775" s="241" t="str">
        <f t="shared" si="33"/>
        <v/>
      </c>
      <c r="L775" s="137"/>
    </row>
    <row r="776" spans="5:12" ht="11.25" customHeight="1" x14ac:dyDescent="0.2">
      <c r="E776" s="117">
        <v>769</v>
      </c>
      <c r="F776" s="753"/>
      <c r="G776" s="754"/>
      <c r="H776" s="732"/>
      <c r="I776" s="731" t="str">
        <f t="shared" ref="I776:I839" si="34">IF(AND(F776&lt;&gt;"",G776&lt;&gt;""),G776-F776,"")</f>
        <v/>
      </c>
      <c r="K776" s="241" t="str">
        <f t="shared" si="33"/>
        <v/>
      </c>
      <c r="L776" s="137"/>
    </row>
    <row r="777" spans="5:12" ht="11.25" customHeight="1" x14ac:dyDescent="0.2">
      <c r="E777" s="117">
        <v>770</v>
      </c>
      <c r="F777" s="753"/>
      <c r="G777" s="754"/>
      <c r="H777" s="732"/>
      <c r="I777" s="731" t="str">
        <f t="shared" si="34"/>
        <v/>
      </c>
      <c r="K777" s="241" t="str">
        <f t="shared" si="33"/>
        <v/>
      </c>
      <c r="L777" s="137"/>
    </row>
    <row r="778" spans="5:12" ht="11.25" customHeight="1" x14ac:dyDescent="0.2">
      <c r="E778" s="117">
        <v>771</v>
      </c>
      <c r="F778" s="753"/>
      <c r="G778" s="754"/>
      <c r="H778" s="732"/>
      <c r="I778" s="731" t="str">
        <f t="shared" si="34"/>
        <v/>
      </c>
      <c r="K778" s="241" t="str">
        <f t="shared" si="33"/>
        <v/>
      </c>
      <c r="L778" s="137"/>
    </row>
    <row r="779" spans="5:12" ht="11.25" customHeight="1" x14ac:dyDescent="0.2">
      <c r="E779" s="117">
        <v>772</v>
      </c>
      <c r="F779" s="753"/>
      <c r="G779" s="754"/>
      <c r="H779" s="732"/>
      <c r="I779" s="731" t="str">
        <f t="shared" si="34"/>
        <v/>
      </c>
      <c r="K779" s="241" t="str">
        <f t="shared" si="33"/>
        <v/>
      </c>
      <c r="L779" s="137"/>
    </row>
    <row r="780" spans="5:12" ht="11.25" customHeight="1" x14ac:dyDescent="0.2">
      <c r="E780" s="117">
        <v>773</v>
      </c>
      <c r="F780" s="753"/>
      <c r="G780" s="754"/>
      <c r="H780" s="732"/>
      <c r="I780" s="731" t="str">
        <f t="shared" si="34"/>
        <v/>
      </c>
      <c r="K780" s="241" t="str">
        <f t="shared" si="33"/>
        <v/>
      </c>
      <c r="L780" s="137"/>
    </row>
    <row r="781" spans="5:12" ht="11.25" customHeight="1" x14ac:dyDescent="0.2">
      <c r="E781" s="117">
        <v>774</v>
      </c>
      <c r="F781" s="753"/>
      <c r="G781" s="754"/>
      <c r="H781" s="732"/>
      <c r="I781" s="731" t="str">
        <f t="shared" si="34"/>
        <v/>
      </c>
      <c r="K781" s="241" t="str">
        <f t="shared" si="33"/>
        <v/>
      </c>
      <c r="L781" s="137"/>
    </row>
    <row r="782" spans="5:12" ht="11.25" customHeight="1" x14ac:dyDescent="0.2">
      <c r="E782" s="117">
        <v>775</v>
      </c>
      <c r="F782" s="753"/>
      <c r="G782" s="754"/>
      <c r="H782" s="732"/>
      <c r="I782" s="731" t="str">
        <f t="shared" si="34"/>
        <v/>
      </c>
      <c r="K782" s="241" t="str">
        <f t="shared" si="33"/>
        <v/>
      </c>
      <c r="L782" s="137"/>
    </row>
    <row r="783" spans="5:12" ht="11.25" customHeight="1" x14ac:dyDescent="0.2">
      <c r="E783" s="117">
        <v>776</v>
      </c>
      <c r="F783" s="753"/>
      <c r="G783" s="754"/>
      <c r="H783" s="732"/>
      <c r="I783" s="731" t="str">
        <f t="shared" si="34"/>
        <v/>
      </c>
      <c r="K783" s="241" t="str">
        <f t="shared" si="33"/>
        <v/>
      </c>
      <c r="L783" s="137"/>
    </row>
    <row r="784" spans="5:12" ht="11.25" customHeight="1" x14ac:dyDescent="0.2">
      <c r="E784" s="117">
        <v>777</v>
      </c>
      <c r="F784" s="753"/>
      <c r="G784" s="754"/>
      <c r="H784" s="732"/>
      <c r="I784" s="731" t="str">
        <f t="shared" si="34"/>
        <v/>
      </c>
      <c r="K784" s="241" t="str">
        <f t="shared" si="33"/>
        <v/>
      </c>
      <c r="L784" s="137"/>
    </row>
    <row r="785" spans="5:12" ht="11.25" customHeight="1" x14ac:dyDescent="0.2">
      <c r="E785" s="117">
        <v>778</v>
      </c>
      <c r="F785" s="753"/>
      <c r="G785" s="754"/>
      <c r="H785" s="732"/>
      <c r="I785" s="731" t="str">
        <f t="shared" si="34"/>
        <v/>
      </c>
      <c r="K785" s="241" t="str">
        <f t="shared" si="33"/>
        <v/>
      </c>
      <c r="L785" s="137"/>
    </row>
    <row r="786" spans="5:12" ht="11.25" customHeight="1" x14ac:dyDescent="0.2">
      <c r="E786" s="117">
        <v>779</v>
      </c>
      <c r="F786" s="753"/>
      <c r="G786" s="754"/>
      <c r="H786" s="732"/>
      <c r="I786" s="731" t="str">
        <f t="shared" si="34"/>
        <v/>
      </c>
      <c r="K786" s="241" t="str">
        <f t="shared" si="33"/>
        <v/>
      </c>
      <c r="L786" s="137"/>
    </row>
    <row r="787" spans="5:12" ht="11.25" customHeight="1" x14ac:dyDescent="0.2">
      <c r="E787" s="117">
        <v>780</v>
      </c>
      <c r="F787" s="753"/>
      <c r="G787" s="754"/>
      <c r="H787" s="732"/>
      <c r="I787" s="731" t="str">
        <f t="shared" si="34"/>
        <v/>
      </c>
      <c r="K787" s="241" t="str">
        <f t="shared" si="33"/>
        <v/>
      </c>
      <c r="L787" s="137"/>
    </row>
    <row r="788" spans="5:12" ht="11.25" customHeight="1" x14ac:dyDescent="0.2">
      <c r="E788" s="117">
        <v>781</v>
      </c>
      <c r="F788" s="753"/>
      <c r="G788" s="754"/>
      <c r="H788" s="732"/>
      <c r="I788" s="731" t="str">
        <f t="shared" si="34"/>
        <v/>
      </c>
      <c r="K788" s="241" t="str">
        <f t="shared" si="33"/>
        <v/>
      </c>
      <c r="L788" s="137"/>
    </row>
    <row r="789" spans="5:12" ht="11.25" customHeight="1" x14ac:dyDescent="0.2">
      <c r="E789" s="117">
        <v>782</v>
      </c>
      <c r="F789" s="753"/>
      <c r="G789" s="754"/>
      <c r="H789" s="732"/>
      <c r="I789" s="731" t="str">
        <f t="shared" si="34"/>
        <v/>
      </c>
      <c r="K789" s="241" t="str">
        <f t="shared" si="33"/>
        <v/>
      </c>
      <c r="L789" s="137"/>
    </row>
    <row r="790" spans="5:12" ht="11.25" customHeight="1" x14ac:dyDescent="0.2">
      <c r="E790" s="117">
        <v>783</v>
      </c>
      <c r="F790" s="753"/>
      <c r="G790" s="754"/>
      <c r="H790" s="732"/>
      <c r="I790" s="731" t="str">
        <f t="shared" si="34"/>
        <v/>
      </c>
      <c r="K790" s="241" t="str">
        <f t="shared" si="33"/>
        <v/>
      </c>
      <c r="L790" s="137"/>
    </row>
    <row r="791" spans="5:12" ht="11.25" customHeight="1" x14ac:dyDescent="0.2">
      <c r="E791" s="117">
        <v>784</v>
      </c>
      <c r="F791" s="753"/>
      <c r="G791" s="754"/>
      <c r="H791" s="732"/>
      <c r="I791" s="731" t="str">
        <f t="shared" si="34"/>
        <v/>
      </c>
      <c r="K791" s="241" t="str">
        <f t="shared" si="33"/>
        <v/>
      </c>
      <c r="L791" s="137"/>
    </row>
    <row r="792" spans="5:12" ht="11.25" customHeight="1" x14ac:dyDescent="0.2">
      <c r="E792" s="117">
        <v>785</v>
      </c>
      <c r="F792" s="753"/>
      <c r="G792" s="754"/>
      <c r="H792" s="732"/>
      <c r="I792" s="731" t="str">
        <f t="shared" si="34"/>
        <v/>
      </c>
      <c r="K792" s="241" t="str">
        <f t="shared" si="33"/>
        <v/>
      </c>
      <c r="L792" s="137"/>
    </row>
    <row r="793" spans="5:12" ht="11.25" customHeight="1" x14ac:dyDescent="0.2">
      <c r="E793" s="117">
        <v>786</v>
      </c>
      <c r="F793" s="753"/>
      <c r="G793" s="754"/>
      <c r="H793" s="732"/>
      <c r="I793" s="731" t="str">
        <f t="shared" si="34"/>
        <v/>
      </c>
      <c r="K793" s="241" t="str">
        <f t="shared" si="33"/>
        <v/>
      </c>
      <c r="L793" s="137"/>
    </row>
    <row r="794" spans="5:12" ht="11.25" customHeight="1" x14ac:dyDescent="0.2">
      <c r="E794" s="117">
        <v>787</v>
      </c>
      <c r="F794" s="753"/>
      <c r="G794" s="754"/>
      <c r="H794" s="732"/>
      <c r="I794" s="731" t="str">
        <f t="shared" si="34"/>
        <v/>
      </c>
      <c r="K794" s="241" t="str">
        <f t="shared" si="33"/>
        <v/>
      </c>
      <c r="L794" s="137"/>
    </row>
    <row r="795" spans="5:12" ht="11.25" customHeight="1" x14ac:dyDescent="0.2">
      <c r="E795" s="117">
        <v>788</v>
      </c>
      <c r="F795" s="753"/>
      <c r="G795" s="754"/>
      <c r="H795" s="732"/>
      <c r="I795" s="731" t="str">
        <f t="shared" si="34"/>
        <v/>
      </c>
      <c r="K795" s="241" t="str">
        <f t="shared" si="33"/>
        <v/>
      </c>
      <c r="L795" s="137"/>
    </row>
    <row r="796" spans="5:12" ht="11.25" customHeight="1" x14ac:dyDescent="0.2">
      <c r="E796" s="117">
        <v>789</v>
      </c>
      <c r="F796" s="753"/>
      <c r="G796" s="754"/>
      <c r="H796" s="732"/>
      <c r="I796" s="731" t="str">
        <f t="shared" si="34"/>
        <v/>
      </c>
      <c r="K796" s="241" t="str">
        <f t="shared" si="33"/>
        <v/>
      </c>
      <c r="L796" s="137"/>
    </row>
    <row r="797" spans="5:12" ht="11.25" customHeight="1" x14ac:dyDescent="0.2">
      <c r="E797" s="117">
        <v>790</v>
      </c>
      <c r="F797" s="753"/>
      <c r="G797" s="754"/>
      <c r="H797" s="732"/>
      <c r="I797" s="731" t="str">
        <f t="shared" si="34"/>
        <v/>
      </c>
      <c r="K797" s="241" t="str">
        <f t="shared" si="33"/>
        <v/>
      </c>
      <c r="L797" s="137"/>
    </row>
    <row r="798" spans="5:12" ht="11.25" customHeight="1" x14ac:dyDescent="0.2">
      <c r="E798" s="117">
        <v>791</v>
      </c>
      <c r="F798" s="753"/>
      <c r="G798" s="754"/>
      <c r="H798" s="732"/>
      <c r="I798" s="731" t="str">
        <f t="shared" si="34"/>
        <v/>
      </c>
      <c r="K798" s="241" t="str">
        <f t="shared" si="33"/>
        <v/>
      </c>
      <c r="L798" s="137"/>
    </row>
    <row r="799" spans="5:12" ht="11.25" customHeight="1" x14ac:dyDescent="0.2">
      <c r="E799" s="117">
        <v>792</v>
      </c>
      <c r="F799" s="753"/>
      <c r="G799" s="754"/>
      <c r="H799" s="732"/>
      <c r="I799" s="731" t="str">
        <f t="shared" si="34"/>
        <v/>
      </c>
      <c r="K799" s="241" t="str">
        <f t="shared" si="33"/>
        <v/>
      </c>
      <c r="L799" s="137"/>
    </row>
    <row r="800" spans="5:12" ht="11.25" customHeight="1" x14ac:dyDescent="0.2">
      <c r="E800" s="117">
        <v>793</v>
      </c>
      <c r="F800" s="753"/>
      <c r="G800" s="754"/>
      <c r="H800" s="732"/>
      <c r="I800" s="731" t="str">
        <f t="shared" si="34"/>
        <v/>
      </c>
      <c r="K800" s="241" t="str">
        <f t="shared" si="33"/>
        <v/>
      </c>
      <c r="L800" s="137"/>
    </row>
    <row r="801" spans="5:12" ht="11.25" customHeight="1" x14ac:dyDescent="0.2">
      <c r="E801" s="117">
        <v>794</v>
      </c>
      <c r="F801" s="753"/>
      <c r="G801" s="754"/>
      <c r="H801" s="732"/>
      <c r="I801" s="731" t="str">
        <f t="shared" si="34"/>
        <v/>
      </c>
      <c r="K801" s="241" t="str">
        <f t="shared" si="33"/>
        <v/>
      </c>
      <c r="L801" s="137"/>
    </row>
    <row r="802" spans="5:12" ht="11.25" customHeight="1" x14ac:dyDescent="0.2">
      <c r="E802" s="117">
        <v>795</v>
      </c>
      <c r="F802" s="753"/>
      <c r="G802" s="754"/>
      <c r="H802" s="732"/>
      <c r="I802" s="731" t="str">
        <f t="shared" si="34"/>
        <v/>
      </c>
      <c r="K802" s="241" t="str">
        <f t="shared" si="33"/>
        <v/>
      </c>
      <c r="L802" s="137"/>
    </row>
    <row r="803" spans="5:12" ht="11.25" customHeight="1" x14ac:dyDescent="0.2">
      <c r="E803" s="117">
        <v>796</v>
      </c>
      <c r="F803" s="753"/>
      <c r="G803" s="754"/>
      <c r="H803" s="732"/>
      <c r="I803" s="731" t="str">
        <f t="shared" si="34"/>
        <v/>
      </c>
      <c r="K803" s="241" t="str">
        <f t="shared" si="33"/>
        <v/>
      </c>
      <c r="L803" s="137"/>
    </row>
    <row r="804" spans="5:12" ht="11.25" customHeight="1" x14ac:dyDescent="0.2">
      <c r="E804" s="117">
        <v>797</v>
      </c>
      <c r="F804" s="753"/>
      <c r="G804" s="754"/>
      <c r="H804" s="732"/>
      <c r="I804" s="731" t="str">
        <f t="shared" si="34"/>
        <v/>
      </c>
      <c r="K804" s="241" t="str">
        <f t="shared" si="33"/>
        <v/>
      </c>
      <c r="L804" s="137"/>
    </row>
    <row r="805" spans="5:12" ht="11.25" customHeight="1" x14ac:dyDescent="0.2">
      <c r="E805" s="117">
        <v>798</v>
      </c>
      <c r="F805" s="753"/>
      <c r="G805" s="754"/>
      <c r="H805" s="732"/>
      <c r="I805" s="731" t="str">
        <f t="shared" si="34"/>
        <v/>
      </c>
      <c r="K805" s="241" t="str">
        <f t="shared" si="33"/>
        <v/>
      </c>
      <c r="L805" s="137"/>
    </row>
    <row r="806" spans="5:12" ht="11.25" customHeight="1" x14ac:dyDescent="0.2">
      <c r="E806" s="117">
        <v>799</v>
      </c>
      <c r="F806" s="753"/>
      <c r="G806" s="754"/>
      <c r="H806" s="732"/>
      <c r="I806" s="731" t="str">
        <f t="shared" si="34"/>
        <v/>
      </c>
      <c r="K806" s="241" t="str">
        <f t="shared" si="33"/>
        <v/>
      </c>
      <c r="L806" s="137"/>
    </row>
    <row r="807" spans="5:12" ht="11.25" customHeight="1" x14ac:dyDescent="0.2">
      <c r="E807" s="117">
        <v>800</v>
      </c>
      <c r="F807" s="753"/>
      <c r="G807" s="754"/>
      <c r="H807" s="732"/>
      <c r="I807" s="731" t="str">
        <f t="shared" si="34"/>
        <v/>
      </c>
      <c r="K807" s="241" t="str">
        <f t="shared" si="33"/>
        <v/>
      </c>
      <c r="L807" s="137"/>
    </row>
    <row r="808" spans="5:12" ht="11.25" customHeight="1" x14ac:dyDescent="0.2">
      <c r="E808" s="117">
        <v>801</v>
      </c>
      <c r="F808" s="753"/>
      <c r="G808" s="754"/>
      <c r="H808" s="732"/>
      <c r="I808" s="731" t="str">
        <f t="shared" si="34"/>
        <v/>
      </c>
      <c r="K808" s="241" t="str">
        <f t="shared" si="33"/>
        <v/>
      </c>
      <c r="L808" s="137"/>
    </row>
    <row r="809" spans="5:12" ht="11.25" customHeight="1" x14ac:dyDescent="0.2">
      <c r="E809" s="117">
        <v>802</v>
      </c>
      <c r="F809" s="753"/>
      <c r="G809" s="754"/>
      <c r="H809" s="732"/>
      <c r="I809" s="731" t="str">
        <f t="shared" si="34"/>
        <v/>
      </c>
      <c r="K809" s="241" t="str">
        <f t="shared" si="33"/>
        <v/>
      </c>
      <c r="L809" s="137"/>
    </row>
    <row r="810" spans="5:12" ht="11.25" customHeight="1" x14ac:dyDescent="0.2">
      <c r="E810" s="117">
        <v>803</v>
      </c>
      <c r="F810" s="753"/>
      <c r="G810" s="754"/>
      <c r="H810" s="732"/>
      <c r="I810" s="731" t="str">
        <f t="shared" si="34"/>
        <v/>
      </c>
      <c r="K810" s="241" t="str">
        <f t="shared" si="33"/>
        <v/>
      </c>
      <c r="L810" s="137"/>
    </row>
    <row r="811" spans="5:12" ht="11.25" customHeight="1" x14ac:dyDescent="0.2">
      <c r="E811" s="117">
        <v>804</v>
      </c>
      <c r="F811" s="753"/>
      <c r="G811" s="754"/>
      <c r="H811" s="732"/>
      <c r="I811" s="731" t="str">
        <f t="shared" si="34"/>
        <v/>
      </c>
      <c r="K811" s="241" t="str">
        <f t="shared" si="33"/>
        <v/>
      </c>
      <c r="L811" s="137"/>
    </row>
    <row r="812" spans="5:12" ht="11.25" customHeight="1" x14ac:dyDescent="0.2">
      <c r="E812" s="117">
        <v>805</v>
      </c>
      <c r="F812" s="753"/>
      <c r="G812" s="754"/>
      <c r="H812" s="732"/>
      <c r="I812" s="731" t="str">
        <f t="shared" si="34"/>
        <v/>
      </c>
      <c r="K812" s="241" t="str">
        <f t="shared" si="33"/>
        <v/>
      </c>
      <c r="L812" s="137"/>
    </row>
    <row r="813" spans="5:12" ht="11.25" customHeight="1" x14ac:dyDescent="0.2">
      <c r="E813" s="117">
        <v>806</v>
      </c>
      <c r="F813" s="753"/>
      <c r="G813" s="754"/>
      <c r="H813" s="732"/>
      <c r="I813" s="731" t="str">
        <f t="shared" si="34"/>
        <v/>
      </c>
      <c r="K813" s="241" t="str">
        <f t="shared" si="33"/>
        <v/>
      </c>
      <c r="L813" s="137"/>
    </row>
    <row r="814" spans="5:12" ht="11.25" customHeight="1" x14ac:dyDescent="0.2">
      <c r="E814" s="117">
        <v>807</v>
      </c>
      <c r="F814" s="753"/>
      <c r="G814" s="754"/>
      <c r="H814" s="732"/>
      <c r="I814" s="731" t="str">
        <f t="shared" si="34"/>
        <v/>
      </c>
      <c r="K814" s="241" t="str">
        <f t="shared" si="33"/>
        <v/>
      </c>
      <c r="L814" s="137"/>
    </row>
    <row r="815" spans="5:12" ht="11.25" customHeight="1" x14ac:dyDescent="0.2">
      <c r="E815" s="117">
        <v>808</v>
      </c>
      <c r="F815" s="753"/>
      <c r="G815" s="754"/>
      <c r="H815" s="732"/>
      <c r="I815" s="731" t="str">
        <f t="shared" si="34"/>
        <v/>
      </c>
      <c r="K815" s="241" t="str">
        <f t="shared" si="33"/>
        <v/>
      </c>
      <c r="L815" s="137"/>
    </row>
    <row r="816" spans="5:12" ht="11.25" customHeight="1" x14ac:dyDescent="0.2">
      <c r="E816" s="117">
        <v>809</v>
      </c>
      <c r="F816" s="753"/>
      <c r="G816" s="754"/>
      <c r="H816" s="732"/>
      <c r="I816" s="731" t="str">
        <f t="shared" si="34"/>
        <v/>
      </c>
      <c r="K816" s="241" t="str">
        <f t="shared" si="33"/>
        <v/>
      </c>
      <c r="L816" s="137"/>
    </row>
    <row r="817" spans="5:12" ht="11.25" customHeight="1" x14ac:dyDescent="0.2">
      <c r="E817" s="117">
        <v>810</v>
      </c>
      <c r="F817" s="753"/>
      <c r="G817" s="754"/>
      <c r="H817" s="732"/>
      <c r="I817" s="731" t="str">
        <f t="shared" si="34"/>
        <v/>
      </c>
      <c r="K817" s="241" t="str">
        <f t="shared" si="33"/>
        <v/>
      </c>
      <c r="L817" s="137"/>
    </row>
    <row r="818" spans="5:12" ht="11.25" customHeight="1" x14ac:dyDescent="0.2">
      <c r="E818" s="117">
        <v>811</v>
      </c>
      <c r="F818" s="753"/>
      <c r="G818" s="754"/>
      <c r="H818" s="732"/>
      <c r="I818" s="731" t="str">
        <f t="shared" si="34"/>
        <v/>
      </c>
      <c r="K818" s="241" t="str">
        <f t="shared" si="33"/>
        <v/>
      </c>
      <c r="L818" s="137"/>
    </row>
    <row r="819" spans="5:12" ht="11.25" customHeight="1" x14ac:dyDescent="0.2">
      <c r="E819" s="117">
        <v>812</v>
      </c>
      <c r="F819" s="753"/>
      <c r="G819" s="754"/>
      <c r="H819" s="732"/>
      <c r="I819" s="731" t="str">
        <f t="shared" si="34"/>
        <v/>
      </c>
      <c r="K819" s="241" t="str">
        <f t="shared" si="33"/>
        <v/>
      </c>
      <c r="L819" s="137"/>
    </row>
    <row r="820" spans="5:12" ht="11.25" customHeight="1" x14ac:dyDescent="0.2">
      <c r="E820" s="117">
        <v>813</v>
      </c>
      <c r="F820" s="753"/>
      <c r="G820" s="754"/>
      <c r="H820" s="732"/>
      <c r="I820" s="731" t="str">
        <f t="shared" si="34"/>
        <v/>
      </c>
      <c r="K820" s="241" t="str">
        <f t="shared" si="33"/>
        <v/>
      </c>
      <c r="L820" s="137"/>
    </row>
    <row r="821" spans="5:12" ht="11.25" customHeight="1" x14ac:dyDescent="0.2">
      <c r="E821" s="117">
        <v>814</v>
      </c>
      <c r="F821" s="753"/>
      <c r="G821" s="754"/>
      <c r="H821" s="732"/>
      <c r="I821" s="731" t="str">
        <f t="shared" si="34"/>
        <v/>
      </c>
      <c r="K821" s="241" t="str">
        <f t="shared" si="33"/>
        <v/>
      </c>
      <c r="L821" s="137"/>
    </row>
    <row r="822" spans="5:12" ht="11.25" customHeight="1" x14ac:dyDescent="0.2">
      <c r="E822" s="117">
        <v>815</v>
      </c>
      <c r="F822" s="753"/>
      <c r="G822" s="754"/>
      <c r="H822" s="732"/>
      <c r="I822" s="731" t="str">
        <f t="shared" si="34"/>
        <v/>
      </c>
      <c r="K822" s="241" t="str">
        <f t="shared" si="33"/>
        <v/>
      </c>
      <c r="L822" s="137"/>
    </row>
    <row r="823" spans="5:12" ht="11.25" customHeight="1" x14ac:dyDescent="0.2">
      <c r="E823" s="117">
        <v>816</v>
      </c>
      <c r="F823" s="753"/>
      <c r="G823" s="754"/>
      <c r="H823" s="732"/>
      <c r="I823" s="731" t="str">
        <f t="shared" si="34"/>
        <v/>
      </c>
      <c r="K823" s="241" t="str">
        <f t="shared" si="33"/>
        <v/>
      </c>
      <c r="L823" s="137"/>
    </row>
    <row r="824" spans="5:12" ht="11.25" customHeight="1" x14ac:dyDescent="0.2">
      <c r="E824" s="117">
        <v>817</v>
      </c>
      <c r="F824" s="753"/>
      <c r="G824" s="754"/>
      <c r="H824" s="732"/>
      <c r="I824" s="731" t="str">
        <f t="shared" si="34"/>
        <v/>
      </c>
      <c r="K824" s="241" t="str">
        <f t="shared" si="33"/>
        <v/>
      </c>
      <c r="L824" s="137"/>
    </row>
    <row r="825" spans="5:12" ht="11.25" customHeight="1" x14ac:dyDescent="0.2">
      <c r="E825" s="117">
        <v>818</v>
      </c>
      <c r="F825" s="753"/>
      <c r="G825" s="754"/>
      <c r="H825" s="732"/>
      <c r="I825" s="731" t="str">
        <f t="shared" si="34"/>
        <v/>
      </c>
      <c r="K825" s="241" t="str">
        <f t="shared" si="33"/>
        <v/>
      </c>
      <c r="L825" s="137"/>
    </row>
    <row r="826" spans="5:12" ht="11.25" customHeight="1" x14ac:dyDescent="0.2">
      <c r="E826" s="117">
        <v>819</v>
      </c>
      <c r="F826" s="753"/>
      <c r="G826" s="754"/>
      <c r="H826" s="732"/>
      <c r="I826" s="731" t="str">
        <f t="shared" si="34"/>
        <v/>
      </c>
      <c r="K826" s="241" t="str">
        <f t="shared" si="33"/>
        <v/>
      </c>
      <c r="L826" s="137"/>
    </row>
    <row r="827" spans="5:12" ht="11.25" customHeight="1" x14ac:dyDescent="0.2">
      <c r="E827" s="117">
        <v>820</v>
      </c>
      <c r="F827" s="753"/>
      <c r="G827" s="754"/>
      <c r="H827" s="732"/>
      <c r="I827" s="731" t="str">
        <f t="shared" si="34"/>
        <v/>
      </c>
      <c r="K827" s="241" t="str">
        <f t="shared" si="33"/>
        <v/>
      </c>
      <c r="L827" s="137"/>
    </row>
    <row r="828" spans="5:12" ht="11.25" customHeight="1" x14ac:dyDescent="0.2">
      <c r="E828" s="117">
        <v>821</v>
      </c>
      <c r="F828" s="753"/>
      <c r="G828" s="754"/>
      <c r="H828" s="732"/>
      <c r="I828" s="731" t="str">
        <f t="shared" si="34"/>
        <v/>
      </c>
      <c r="K828" s="241" t="str">
        <f t="shared" si="33"/>
        <v/>
      </c>
      <c r="L828" s="137"/>
    </row>
    <row r="829" spans="5:12" ht="11.25" customHeight="1" x14ac:dyDescent="0.2">
      <c r="E829" s="117">
        <v>822</v>
      </c>
      <c r="F829" s="753"/>
      <c r="G829" s="754"/>
      <c r="H829" s="732"/>
      <c r="I829" s="731" t="str">
        <f t="shared" si="34"/>
        <v/>
      </c>
      <c r="K829" s="241" t="str">
        <f t="shared" si="33"/>
        <v/>
      </c>
      <c r="L829" s="137"/>
    </row>
    <row r="830" spans="5:12" ht="11.25" customHeight="1" x14ac:dyDescent="0.2">
      <c r="E830" s="117">
        <v>823</v>
      </c>
      <c r="F830" s="753"/>
      <c r="G830" s="754"/>
      <c r="H830" s="732"/>
      <c r="I830" s="731" t="str">
        <f t="shared" si="34"/>
        <v/>
      </c>
      <c r="K830" s="241" t="str">
        <f t="shared" si="33"/>
        <v/>
      </c>
      <c r="L830" s="137"/>
    </row>
    <row r="831" spans="5:12" ht="11.25" customHeight="1" x14ac:dyDescent="0.2">
      <c r="E831" s="117">
        <v>824</v>
      </c>
      <c r="F831" s="753"/>
      <c r="G831" s="754"/>
      <c r="H831" s="732"/>
      <c r="I831" s="731" t="str">
        <f t="shared" si="34"/>
        <v/>
      </c>
      <c r="K831" s="241" t="str">
        <f t="shared" ref="K831:K894" si="35">IF(I776&lt;&gt;"",(F776+G776)/2,"")</f>
        <v/>
      </c>
      <c r="L831" s="137"/>
    </row>
    <row r="832" spans="5:12" ht="11.25" customHeight="1" x14ac:dyDescent="0.2">
      <c r="E832" s="117">
        <v>825</v>
      </c>
      <c r="F832" s="753"/>
      <c r="G832" s="754"/>
      <c r="H832" s="732"/>
      <c r="I832" s="731" t="str">
        <f t="shared" si="34"/>
        <v/>
      </c>
      <c r="K832" s="241" t="str">
        <f t="shared" si="35"/>
        <v/>
      </c>
      <c r="L832" s="137"/>
    </row>
    <row r="833" spans="5:12" ht="11.25" customHeight="1" x14ac:dyDescent="0.2">
      <c r="E833" s="117">
        <v>826</v>
      </c>
      <c r="F833" s="753"/>
      <c r="G833" s="754"/>
      <c r="H833" s="732"/>
      <c r="I833" s="731" t="str">
        <f t="shared" si="34"/>
        <v/>
      </c>
      <c r="K833" s="241" t="str">
        <f t="shared" si="35"/>
        <v/>
      </c>
      <c r="L833" s="137"/>
    </row>
    <row r="834" spans="5:12" ht="11.25" customHeight="1" x14ac:dyDescent="0.2">
      <c r="E834" s="117">
        <v>827</v>
      </c>
      <c r="F834" s="753"/>
      <c r="G834" s="754"/>
      <c r="H834" s="732"/>
      <c r="I834" s="731" t="str">
        <f t="shared" si="34"/>
        <v/>
      </c>
      <c r="K834" s="241" t="str">
        <f t="shared" si="35"/>
        <v/>
      </c>
      <c r="L834" s="137"/>
    </row>
    <row r="835" spans="5:12" ht="11.25" customHeight="1" x14ac:dyDescent="0.2">
      <c r="E835" s="117">
        <v>828</v>
      </c>
      <c r="F835" s="753"/>
      <c r="G835" s="754"/>
      <c r="H835" s="732"/>
      <c r="I835" s="731" t="str">
        <f t="shared" si="34"/>
        <v/>
      </c>
      <c r="K835" s="241" t="str">
        <f t="shared" si="35"/>
        <v/>
      </c>
      <c r="L835" s="137"/>
    </row>
    <row r="836" spans="5:12" ht="11.25" customHeight="1" x14ac:dyDescent="0.2">
      <c r="E836" s="117">
        <v>829</v>
      </c>
      <c r="F836" s="753"/>
      <c r="G836" s="754"/>
      <c r="H836" s="732"/>
      <c r="I836" s="731" t="str">
        <f t="shared" si="34"/>
        <v/>
      </c>
      <c r="K836" s="241" t="str">
        <f t="shared" si="35"/>
        <v/>
      </c>
      <c r="L836" s="137"/>
    </row>
    <row r="837" spans="5:12" ht="11.25" customHeight="1" x14ac:dyDescent="0.2">
      <c r="E837" s="117">
        <v>830</v>
      </c>
      <c r="F837" s="753"/>
      <c r="G837" s="754"/>
      <c r="H837" s="732"/>
      <c r="I837" s="731" t="str">
        <f t="shared" si="34"/>
        <v/>
      </c>
      <c r="K837" s="241" t="str">
        <f t="shared" si="35"/>
        <v/>
      </c>
      <c r="L837" s="137"/>
    </row>
    <row r="838" spans="5:12" ht="11.25" customHeight="1" x14ac:dyDescent="0.2">
      <c r="E838" s="117">
        <v>831</v>
      </c>
      <c r="F838" s="753"/>
      <c r="G838" s="754"/>
      <c r="H838" s="732"/>
      <c r="I838" s="731" t="str">
        <f t="shared" si="34"/>
        <v/>
      </c>
      <c r="K838" s="241" t="str">
        <f t="shared" si="35"/>
        <v/>
      </c>
      <c r="L838" s="137"/>
    </row>
    <row r="839" spans="5:12" ht="11.25" customHeight="1" x14ac:dyDescent="0.2">
      <c r="E839" s="117">
        <v>832</v>
      </c>
      <c r="F839" s="753"/>
      <c r="G839" s="754"/>
      <c r="H839" s="732"/>
      <c r="I839" s="731" t="str">
        <f t="shared" si="34"/>
        <v/>
      </c>
      <c r="K839" s="241" t="str">
        <f t="shared" si="35"/>
        <v/>
      </c>
      <c r="L839" s="137"/>
    </row>
    <row r="840" spans="5:12" ht="11.25" customHeight="1" x14ac:dyDescent="0.2">
      <c r="E840" s="117">
        <v>833</v>
      </c>
      <c r="F840" s="753"/>
      <c r="G840" s="754"/>
      <c r="H840" s="732"/>
      <c r="I840" s="731" t="str">
        <f t="shared" ref="I840:I903" si="36">IF(AND(F840&lt;&gt;"",G840&lt;&gt;""),G840-F840,"")</f>
        <v/>
      </c>
      <c r="K840" s="241" t="str">
        <f t="shared" si="35"/>
        <v/>
      </c>
      <c r="L840" s="137"/>
    </row>
    <row r="841" spans="5:12" ht="11.25" customHeight="1" x14ac:dyDescent="0.2">
      <c r="E841" s="117">
        <v>834</v>
      </c>
      <c r="F841" s="753"/>
      <c r="G841" s="754"/>
      <c r="H841" s="732"/>
      <c r="I841" s="731" t="str">
        <f t="shared" si="36"/>
        <v/>
      </c>
      <c r="K841" s="241" t="str">
        <f t="shared" si="35"/>
        <v/>
      </c>
      <c r="L841" s="137"/>
    </row>
    <row r="842" spans="5:12" ht="11.25" customHeight="1" x14ac:dyDescent="0.2">
      <c r="E842" s="117">
        <v>835</v>
      </c>
      <c r="F842" s="753"/>
      <c r="G842" s="754"/>
      <c r="H842" s="732"/>
      <c r="I842" s="731" t="str">
        <f t="shared" si="36"/>
        <v/>
      </c>
      <c r="K842" s="241" t="str">
        <f t="shared" si="35"/>
        <v/>
      </c>
      <c r="L842" s="137"/>
    </row>
    <row r="843" spans="5:12" ht="11.25" customHeight="1" x14ac:dyDescent="0.2">
      <c r="E843" s="117">
        <v>836</v>
      </c>
      <c r="F843" s="753"/>
      <c r="G843" s="754"/>
      <c r="H843" s="732"/>
      <c r="I843" s="731" t="str">
        <f t="shared" si="36"/>
        <v/>
      </c>
      <c r="K843" s="241" t="str">
        <f t="shared" si="35"/>
        <v/>
      </c>
      <c r="L843" s="137"/>
    </row>
    <row r="844" spans="5:12" ht="11.25" customHeight="1" x14ac:dyDescent="0.2">
      <c r="E844" s="117">
        <v>837</v>
      </c>
      <c r="F844" s="753"/>
      <c r="G844" s="754"/>
      <c r="H844" s="732"/>
      <c r="I844" s="731" t="str">
        <f t="shared" si="36"/>
        <v/>
      </c>
      <c r="K844" s="241" t="str">
        <f t="shared" si="35"/>
        <v/>
      </c>
      <c r="L844" s="137"/>
    </row>
    <row r="845" spans="5:12" ht="11.25" customHeight="1" x14ac:dyDescent="0.2">
      <c r="E845" s="117">
        <v>838</v>
      </c>
      <c r="F845" s="753"/>
      <c r="G845" s="754"/>
      <c r="H845" s="732"/>
      <c r="I845" s="731" t="str">
        <f t="shared" si="36"/>
        <v/>
      </c>
      <c r="K845" s="241" t="str">
        <f t="shared" si="35"/>
        <v/>
      </c>
      <c r="L845" s="137"/>
    </row>
    <row r="846" spans="5:12" ht="11.25" customHeight="1" x14ac:dyDescent="0.2">
      <c r="E846" s="117">
        <v>839</v>
      </c>
      <c r="F846" s="753"/>
      <c r="G846" s="754"/>
      <c r="H846" s="732"/>
      <c r="I846" s="731" t="str">
        <f t="shared" si="36"/>
        <v/>
      </c>
      <c r="K846" s="241" t="str">
        <f t="shared" si="35"/>
        <v/>
      </c>
      <c r="L846" s="137"/>
    </row>
    <row r="847" spans="5:12" ht="11.25" customHeight="1" x14ac:dyDescent="0.2">
      <c r="E847" s="117">
        <v>840</v>
      </c>
      <c r="F847" s="753"/>
      <c r="G847" s="754"/>
      <c r="H847" s="732"/>
      <c r="I847" s="731" t="str">
        <f t="shared" si="36"/>
        <v/>
      </c>
      <c r="K847" s="241" t="str">
        <f t="shared" si="35"/>
        <v/>
      </c>
      <c r="L847" s="137"/>
    </row>
    <row r="848" spans="5:12" ht="11.25" customHeight="1" x14ac:dyDescent="0.2">
      <c r="E848" s="117">
        <v>841</v>
      </c>
      <c r="F848" s="753"/>
      <c r="G848" s="754"/>
      <c r="H848" s="732"/>
      <c r="I848" s="731" t="str">
        <f t="shared" si="36"/>
        <v/>
      </c>
      <c r="K848" s="241" t="str">
        <f t="shared" si="35"/>
        <v/>
      </c>
      <c r="L848" s="137"/>
    </row>
    <row r="849" spans="5:12" ht="11.25" customHeight="1" x14ac:dyDescent="0.2">
      <c r="E849" s="117">
        <v>842</v>
      </c>
      <c r="F849" s="753"/>
      <c r="G849" s="754"/>
      <c r="H849" s="732"/>
      <c r="I849" s="731" t="str">
        <f t="shared" si="36"/>
        <v/>
      </c>
      <c r="K849" s="241" t="str">
        <f t="shared" si="35"/>
        <v/>
      </c>
      <c r="L849" s="137"/>
    </row>
    <row r="850" spans="5:12" ht="11.25" customHeight="1" x14ac:dyDescent="0.2">
      <c r="E850" s="117">
        <v>843</v>
      </c>
      <c r="F850" s="753"/>
      <c r="G850" s="754"/>
      <c r="H850" s="732"/>
      <c r="I850" s="731" t="str">
        <f t="shared" si="36"/>
        <v/>
      </c>
      <c r="K850" s="241" t="str">
        <f t="shared" si="35"/>
        <v/>
      </c>
      <c r="L850" s="137"/>
    </row>
    <row r="851" spans="5:12" ht="11.25" customHeight="1" x14ac:dyDescent="0.2">
      <c r="E851" s="117">
        <v>844</v>
      </c>
      <c r="F851" s="753"/>
      <c r="G851" s="754"/>
      <c r="H851" s="732"/>
      <c r="I851" s="731" t="str">
        <f t="shared" si="36"/>
        <v/>
      </c>
      <c r="K851" s="241" t="str">
        <f t="shared" si="35"/>
        <v/>
      </c>
      <c r="L851" s="137"/>
    </row>
    <row r="852" spans="5:12" ht="11.25" customHeight="1" x14ac:dyDescent="0.2">
      <c r="E852" s="117">
        <v>845</v>
      </c>
      <c r="F852" s="753"/>
      <c r="G852" s="754"/>
      <c r="H852" s="732"/>
      <c r="I852" s="731" t="str">
        <f t="shared" si="36"/>
        <v/>
      </c>
      <c r="K852" s="241" t="str">
        <f t="shared" si="35"/>
        <v/>
      </c>
      <c r="L852" s="137"/>
    </row>
    <row r="853" spans="5:12" ht="11.25" customHeight="1" x14ac:dyDescent="0.2">
      <c r="E853" s="117">
        <v>846</v>
      </c>
      <c r="F853" s="753"/>
      <c r="G853" s="754"/>
      <c r="H853" s="732"/>
      <c r="I853" s="731" t="str">
        <f t="shared" si="36"/>
        <v/>
      </c>
      <c r="K853" s="241" t="str">
        <f t="shared" si="35"/>
        <v/>
      </c>
      <c r="L853" s="137"/>
    </row>
    <row r="854" spans="5:12" ht="11.25" customHeight="1" x14ac:dyDescent="0.2">
      <c r="E854" s="117">
        <v>847</v>
      </c>
      <c r="F854" s="753"/>
      <c r="G854" s="754"/>
      <c r="H854" s="732"/>
      <c r="I854" s="731" t="str">
        <f t="shared" si="36"/>
        <v/>
      </c>
      <c r="K854" s="241" t="str">
        <f t="shared" si="35"/>
        <v/>
      </c>
      <c r="L854" s="137"/>
    </row>
    <row r="855" spans="5:12" ht="11.25" customHeight="1" x14ac:dyDescent="0.2">
      <c r="E855" s="117">
        <v>848</v>
      </c>
      <c r="F855" s="753"/>
      <c r="G855" s="754"/>
      <c r="H855" s="732"/>
      <c r="I855" s="731" t="str">
        <f t="shared" si="36"/>
        <v/>
      </c>
      <c r="K855" s="241" t="str">
        <f t="shared" si="35"/>
        <v/>
      </c>
      <c r="L855" s="137"/>
    </row>
    <row r="856" spans="5:12" ht="11.25" customHeight="1" x14ac:dyDescent="0.2">
      <c r="E856" s="117">
        <v>849</v>
      </c>
      <c r="F856" s="753"/>
      <c r="G856" s="754"/>
      <c r="H856" s="732"/>
      <c r="I856" s="731" t="str">
        <f t="shared" si="36"/>
        <v/>
      </c>
      <c r="K856" s="241" t="str">
        <f t="shared" si="35"/>
        <v/>
      </c>
      <c r="L856" s="137"/>
    </row>
    <row r="857" spans="5:12" ht="11.25" customHeight="1" x14ac:dyDescent="0.2">
      <c r="E857" s="117">
        <v>850</v>
      </c>
      <c r="F857" s="753"/>
      <c r="G857" s="754"/>
      <c r="H857" s="732"/>
      <c r="I857" s="731" t="str">
        <f t="shared" si="36"/>
        <v/>
      </c>
      <c r="K857" s="241" t="str">
        <f t="shared" si="35"/>
        <v/>
      </c>
      <c r="L857" s="137"/>
    </row>
    <row r="858" spans="5:12" ht="11.25" customHeight="1" x14ac:dyDescent="0.2">
      <c r="E858" s="117">
        <v>851</v>
      </c>
      <c r="F858" s="753"/>
      <c r="G858" s="754"/>
      <c r="H858" s="732"/>
      <c r="I858" s="731" t="str">
        <f t="shared" si="36"/>
        <v/>
      </c>
      <c r="K858" s="241" t="str">
        <f t="shared" si="35"/>
        <v/>
      </c>
      <c r="L858" s="137"/>
    </row>
    <row r="859" spans="5:12" ht="11.25" customHeight="1" x14ac:dyDescent="0.2">
      <c r="E859" s="117">
        <v>852</v>
      </c>
      <c r="F859" s="753"/>
      <c r="G859" s="754"/>
      <c r="H859" s="732"/>
      <c r="I859" s="731" t="str">
        <f t="shared" si="36"/>
        <v/>
      </c>
      <c r="K859" s="241" t="str">
        <f t="shared" si="35"/>
        <v/>
      </c>
      <c r="L859" s="137"/>
    </row>
    <row r="860" spans="5:12" ht="11.25" customHeight="1" x14ac:dyDescent="0.2">
      <c r="E860" s="117">
        <v>853</v>
      </c>
      <c r="F860" s="753"/>
      <c r="G860" s="754"/>
      <c r="H860" s="732"/>
      <c r="I860" s="731" t="str">
        <f t="shared" si="36"/>
        <v/>
      </c>
      <c r="K860" s="241" t="str">
        <f t="shared" si="35"/>
        <v/>
      </c>
      <c r="L860" s="137"/>
    </row>
    <row r="861" spans="5:12" ht="11.25" customHeight="1" x14ac:dyDescent="0.2">
      <c r="E861" s="117">
        <v>854</v>
      </c>
      <c r="F861" s="753"/>
      <c r="G861" s="754"/>
      <c r="H861" s="732"/>
      <c r="I861" s="731" t="str">
        <f t="shared" si="36"/>
        <v/>
      </c>
      <c r="K861" s="241" t="str">
        <f t="shared" si="35"/>
        <v/>
      </c>
      <c r="L861" s="137"/>
    </row>
    <row r="862" spans="5:12" ht="11.25" customHeight="1" x14ac:dyDescent="0.2">
      <c r="E862" s="117">
        <v>855</v>
      </c>
      <c r="F862" s="753"/>
      <c r="G862" s="754"/>
      <c r="H862" s="732"/>
      <c r="I862" s="731" t="str">
        <f t="shared" si="36"/>
        <v/>
      </c>
      <c r="K862" s="241" t="str">
        <f t="shared" si="35"/>
        <v/>
      </c>
      <c r="L862" s="137"/>
    </row>
    <row r="863" spans="5:12" ht="11.25" customHeight="1" x14ac:dyDescent="0.2">
      <c r="E863" s="117">
        <v>856</v>
      </c>
      <c r="F863" s="753"/>
      <c r="G863" s="754"/>
      <c r="H863" s="732"/>
      <c r="I863" s="731" t="str">
        <f t="shared" si="36"/>
        <v/>
      </c>
      <c r="K863" s="241" t="str">
        <f t="shared" si="35"/>
        <v/>
      </c>
      <c r="L863" s="137"/>
    </row>
    <row r="864" spans="5:12" ht="11.25" customHeight="1" x14ac:dyDescent="0.2">
      <c r="E864" s="117">
        <v>857</v>
      </c>
      <c r="F864" s="753"/>
      <c r="G864" s="754"/>
      <c r="H864" s="732"/>
      <c r="I864" s="731" t="str">
        <f t="shared" si="36"/>
        <v/>
      </c>
      <c r="K864" s="241" t="str">
        <f t="shared" si="35"/>
        <v/>
      </c>
      <c r="L864" s="137"/>
    </row>
    <row r="865" spans="5:12" ht="11.25" customHeight="1" x14ac:dyDescent="0.2">
      <c r="E865" s="117">
        <v>858</v>
      </c>
      <c r="F865" s="753"/>
      <c r="G865" s="754"/>
      <c r="H865" s="732"/>
      <c r="I865" s="731" t="str">
        <f t="shared" si="36"/>
        <v/>
      </c>
      <c r="K865" s="241" t="str">
        <f t="shared" si="35"/>
        <v/>
      </c>
      <c r="L865" s="137"/>
    </row>
    <row r="866" spans="5:12" ht="11.25" customHeight="1" x14ac:dyDescent="0.2">
      <c r="E866" s="117">
        <v>859</v>
      </c>
      <c r="F866" s="753"/>
      <c r="G866" s="754"/>
      <c r="H866" s="732"/>
      <c r="I866" s="731" t="str">
        <f t="shared" si="36"/>
        <v/>
      </c>
      <c r="K866" s="241" t="str">
        <f t="shared" si="35"/>
        <v/>
      </c>
      <c r="L866" s="137"/>
    </row>
    <row r="867" spans="5:12" ht="11.25" customHeight="1" x14ac:dyDescent="0.2">
      <c r="E867" s="117">
        <v>860</v>
      </c>
      <c r="F867" s="753"/>
      <c r="G867" s="754"/>
      <c r="H867" s="732"/>
      <c r="I867" s="731" t="str">
        <f t="shared" si="36"/>
        <v/>
      </c>
      <c r="K867" s="241" t="str">
        <f t="shared" si="35"/>
        <v/>
      </c>
      <c r="L867" s="137"/>
    </row>
    <row r="868" spans="5:12" ht="11.25" customHeight="1" x14ac:dyDescent="0.2">
      <c r="E868" s="117">
        <v>861</v>
      </c>
      <c r="F868" s="753"/>
      <c r="G868" s="754"/>
      <c r="H868" s="732"/>
      <c r="I868" s="731" t="str">
        <f t="shared" si="36"/>
        <v/>
      </c>
      <c r="K868" s="241" t="str">
        <f t="shared" si="35"/>
        <v/>
      </c>
      <c r="L868" s="137"/>
    </row>
    <row r="869" spans="5:12" ht="11.25" customHeight="1" x14ac:dyDescent="0.2">
      <c r="E869" s="117">
        <v>862</v>
      </c>
      <c r="F869" s="753"/>
      <c r="G869" s="754"/>
      <c r="H869" s="732"/>
      <c r="I869" s="731" t="str">
        <f t="shared" si="36"/>
        <v/>
      </c>
      <c r="K869" s="241" t="str">
        <f t="shared" si="35"/>
        <v/>
      </c>
      <c r="L869" s="137"/>
    </row>
    <row r="870" spans="5:12" ht="11.25" customHeight="1" x14ac:dyDescent="0.2">
      <c r="E870" s="117">
        <v>863</v>
      </c>
      <c r="F870" s="753"/>
      <c r="G870" s="754"/>
      <c r="H870" s="732"/>
      <c r="I870" s="731" t="str">
        <f t="shared" si="36"/>
        <v/>
      </c>
      <c r="K870" s="241" t="str">
        <f t="shared" si="35"/>
        <v/>
      </c>
      <c r="L870" s="137"/>
    </row>
    <row r="871" spans="5:12" ht="11.25" customHeight="1" x14ac:dyDescent="0.2">
      <c r="E871" s="117">
        <v>864</v>
      </c>
      <c r="F871" s="753"/>
      <c r="G871" s="754"/>
      <c r="H871" s="732"/>
      <c r="I871" s="731" t="str">
        <f t="shared" si="36"/>
        <v/>
      </c>
      <c r="K871" s="241" t="str">
        <f t="shared" si="35"/>
        <v/>
      </c>
      <c r="L871" s="137"/>
    </row>
    <row r="872" spans="5:12" ht="11.25" customHeight="1" x14ac:dyDescent="0.2">
      <c r="E872" s="117">
        <v>865</v>
      </c>
      <c r="F872" s="753"/>
      <c r="G872" s="754"/>
      <c r="H872" s="732"/>
      <c r="I872" s="731" t="str">
        <f t="shared" si="36"/>
        <v/>
      </c>
      <c r="K872" s="241" t="str">
        <f t="shared" si="35"/>
        <v/>
      </c>
      <c r="L872" s="137"/>
    </row>
    <row r="873" spans="5:12" ht="11.25" customHeight="1" x14ac:dyDescent="0.2">
      <c r="E873" s="117">
        <v>866</v>
      </c>
      <c r="F873" s="753"/>
      <c r="G873" s="754"/>
      <c r="H873" s="732"/>
      <c r="I873" s="731" t="str">
        <f t="shared" si="36"/>
        <v/>
      </c>
      <c r="K873" s="241" t="str">
        <f t="shared" si="35"/>
        <v/>
      </c>
      <c r="L873" s="137"/>
    </row>
    <row r="874" spans="5:12" ht="11.25" customHeight="1" x14ac:dyDescent="0.2">
      <c r="E874" s="117">
        <v>867</v>
      </c>
      <c r="F874" s="753"/>
      <c r="G874" s="754"/>
      <c r="H874" s="732"/>
      <c r="I874" s="731" t="str">
        <f t="shared" si="36"/>
        <v/>
      </c>
      <c r="K874" s="241" t="str">
        <f t="shared" si="35"/>
        <v/>
      </c>
      <c r="L874" s="137"/>
    </row>
    <row r="875" spans="5:12" ht="11.25" customHeight="1" x14ac:dyDescent="0.2">
      <c r="E875" s="117">
        <v>868</v>
      </c>
      <c r="F875" s="753"/>
      <c r="G875" s="754"/>
      <c r="H875" s="732"/>
      <c r="I875" s="731" t="str">
        <f t="shared" si="36"/>
        <v/>
      </c>
      <c r="K875" s="241" t="str">
        <f t="shared" si="35"/>
        <v/>
      </c>
      <c r="L875" s="137"/>
    </row>
    <row r="876" spans="5:12" ht="11.25" customHeight="1" x14ac:dyDescent="0.2">
      <c r="E876" s="117">
        <v>869</v>
      </c>
      <c r="F876" s="753"/>
      <c r="G876" s="754"/>
      <c r="H876" s="732"/>
      <c r="I876" s="731" t="str">
        <f t="shared" si="36"/>
        <v/>
      </c>
      <c r="K876" s="241" t="str">
        <f t="shared" si="35"/>
        <v/>
      </c>
      <c r="L876" s="137"/>
    </row>
    <row r="877" spans="5:12" ht="11.25" customHeight="1" x14ac:dyDescent="0.2">
      <c r="E877" s="117">
        <v>870</v>
      </c>
      <c r="F877" s="753"/>
      <c r="G877" s="754"/>
      <c r="H877" s="732"/>
      <c r="I877" s="731" t="str">
        <f t="shared" si="36"/>
        <v/>
      </c>
      <c r="K877" s="241" t="str">
        <f t="shared" si="35"/>
        <v/>
      </c>
      <c r="L877" s="137"/>
    </row>
    <row r="878" spans="5:12" ht="11.25" customHeight="1" x14ac:dyDescent="0.2">
      <c r="E878" s="117">
        <v>871</v>
      </c>
      <c r="F878" s="753"/>
      <c r="G878" s="754"/>
      <c r="H878" s="732"/>
      <c r="I878" s="731" t="str">
        <f t="shared" si="36"/>
        <v/>
      </c>
      <c r="K878" s="241" t="str">
        <f t="shared" si="35"/>
        <v/>
      </c>
      <c r="L878" s="137"/>
    </row>
    <row r="879" spans="5:12" ht="11.25" customHeight="1" x14ac:dyDescent="0.2">
      <c r="E879" s="117">
        <v>872</v>
      </c>
      <c r="F879" s="753"/>
      <c r="G879" s="754"/>
      <c r="H879" s="732"/>
      <c r="I879" s="731" t="str">
        <f t="shared" si="36"/>
        <v/>
      </c>
      <c r="K879" s="241" t="str">
        <f t="shared" si="35"/>
        <v/>
      </c>
      <c r="L879" s="137"/>
    </row>
    <row r="880" spans="5:12" ht="11.25" customHeight="1" x14ac:dyDescent="0.2">
      <c r="E880" s="117">
        <v>873</v>
      </c>
      <c r="F880" s="753"/>
      <c r="G880" s="754"/>
      <c r="H880" s="732"/>
      <c r="I880" s="731" t="str">
        <f t="shared" si="36"/>
        <v/>
      </c>
      <c r="K880" s="241" t="str">
        <f t="shared" si="35"/>
        <v/>
      </c>
      <c r="L880" s="137"/>
    </row>
    <row r="881" spans="5:12" ht="11.25" customHeight="1" x14ac:dyDescent="0.2">
      <c r="E881" s="117">
        <v>874</v>
      </c>
      <c r="F881" s="753"/>
      <c r="G881" s="754"/>
      <c r="H881" s="732"/>
      <c r="I881" s="731" t="str">
        <f t="shared" si="36"/>
        <v/>
      </c>
      <c r="K881" s="241" t="str">
        <f t="shared" si="35"/>
        <v/>
      </c>
      <c r="L881" s="137"/>
    </row>
    <row r="882" spans="5:12" ht="11.25" customHeight="1" x14ac:dyDescent="0.2">
      <c r="E882" s="117">
        <v>875</v>
      </c>
      <c r="F882" s="753"/>
      <c r="G882" s="754"/>
      <c r="H882" s="732"/>
      <c r="I882" s="731" t="str">
        <f t="shared" si="36"/>
        <v/>
      </c>
      <c r="K882" s="241" t="str">
        <f t="shared" si="35"/>
        <v/>
      </c>
      <c r="L882" s="137"/>
    </row>
    <row r="883" spans="5:12" ht="11.25" customHeight="1" x14ac:dyDescent="0.2">
      <c r="E883" s="117">
        <v>876</v>
      </c>
      <c r="F883" s="753"/>
      <c r="G883" s="754"/>
      <c r="H883" s="732"/>
      <c r="I883" s="731" t="str">
        <f t="shared" si="36"/>
        <v/>
      </c>
      <c r="K883" s="241" t="str">
        <f t="shared" si="35"/>
        <v/>
      </c>
      <c r="L883" s="137"/>
    </row>
    <row r="884" spans="5:12" ht="11.25" customHeight="1" x14ac:dyDescent="0.2">
      <c r="E884" s="117">
        <v>877</v>
      </c>
      <c r="F884" s="753"/>
      <c r="G884" s="754"/>
      <c r="H884" s="732"/>
      <c r="I884" s="731" t="str">
        <f t="shared" si="36"/>
        <v/>
      </c>
      <c r="K884" s="241" t="str">
        <f t="shared" si="35"/>
        <v/>
      </c>
      <c r="L884" s="137"/>
    </row>
    <row r="885" spans="5:12" ht="11.25" customHeight="1" x14ac:dyDescent="0.2">
      <c r="E885" s="117">
        <v>878</v>
      </c>
      <c r="F885" s="753"/>
      <c r="G885" s="754"/>
      <c r="H885" s="732"/>
      <c r="I885" s="731" t="str">
        <f t="shared" si="36"/>
        <v/>
      </c>
      <c r="K885" s="241" t="str">
        <f t="shared" si="35"/>
        <v/>
      </c>
      <c r="L885" s="137"/>
    </row>
    <row r="886" spans="5:12" ht="11.25" customHeight="1" x14ac:dyDescent="0.2">
      <c r="E886" s="117">
        <v>879</v>
      </c>
      <c r="F886" s="753"/>
      <c r="G886" s="754"/>
      <c r="H886" s="732"/>
      <c r="I886" s="731" t="str">
        <f t="shared" si="36"/>
        <v/>
      </c>
      <c r="K886" s="241" t="str">
        <f t="shared" si="35"/>
        <v/>
      </c>
      <c r="L886" s="137"/>
    </row>
    <row r="887" spans="5:12" ht="11.25" customHeight="1" x14ac:dyDescent="0.2">
      <c r="E887" s="117">
        <v>880</v>
      </c>
      <c r="F887" s="753"/>
      <c r="G887" s="754"/>
      <c r="H887" s="732"/>
      <c r="I887" s="731" t="str">
        <f t="shared" si="36"/>
        <v/>
      </c>
      <c r="K887" s="241" t="str">
        <f t="shared" si="35"/>
        <v/>
      </c>
      <c r="L887" s="137"/>
    </row>
    <row r="888" spans="5:12" ht="11.25" customHeight="1" x14ac:dyDescent="0.2">
      <c r="E888" s="117">
        <v>881</v>
      </c>
      <c r="F888" s="753"/>
      <c r="G888" s="754"/>
      <c r="H888" s="732"/>
      <c r="I888" s="731" t="str">
        <f t="shared" si="36"/>
        <v/>
      </c>
      <c r="K888" s="241" t="str">
        <f t="shared" si="35"/>
        <v/>
      </c>
      <c r="L888" s="137"/>
    </row>
    <row r="889" spans="5:12" ht="11.25" customHeight="1" x14ac:dyDescent="0.2">
      <c r="E889" s="117">
        <v>882</v>
      </c>
      <c r="F889" s="753"/>
      <c r="G889" s="754"/>
      <c r="H889" s="732"/>
      <c r="I889" s="731" t="str">
        <f t="shared" si="36"/>
        <v/>
      </c>
      <c r="K889" s="241" t="str">
        <f t="shared" si="35"/>
        <v/>
      </c>
      <c r="L889" s="137"/>
    </row>
    <row r="890" spans="5:12" ht="11.25" customHeight="1" x14ac:dyDescent="0.2">
      <c r="E890" s="117">
        <v>883</v>
      </c>
      <c r="F890" s="753"/>
      <c r="G890" s="754"/>
      <c r="H890" s="732"/>
      <c r="I890" s="731" t="str">
        <f t="shared" si="36"/>
        <v/>
      </c>
      <c r="K890" s="241" t="str">
        <f t="shared" si="35"/>
        <v/>
      </c>
      <c r="L890" s="137"/>
    </row>
    <row r="891" spans="5:12" ht="11.25" customHeight="1" x14ac:dyDescent="0.2">
      <c r="E891" s="117">
        <v>884</v>
      </c>
      <c r="F891" s="753"/>
      <c r="G891" s="754"/>
      <c r="H891" s="732"/>
      <c r="I891" s="731" t="str">
        <f t="shared" si="36"/>
        <v/>
      </c>
      <c r="K891" s="241" t="str">
        <f t="shared" si="35"/>
        <v/>
      </c>
      <c r="L891" s="137"/>
    </row>
    <row r="892" spans="5:12" ht="11.25" customHeight="1" x14ac:dyDescent="0.2">
      <c r="E892" s="117">
        <v>885</v>
      </c>
      <c r="F892" s="753"/>
      <c r="G892" s="754"/>
      <c r="H892" s="732"/>
      <c r="I892" s="731" t="str">
        <f t="shared" si="36"/>
        <v/>
      </c>
      <c r="K892" s="241" t="str">
        <f t="shared" si="35"/>
        <v/>
      </c>
      <c r="L892" s="137"/>
    </row>
    <row r="893" spans="5:12" ht="11.25" customHeight="1" x14ac:dyDescent="0.2">
      <c r="E893" s="117">
        <v>886</v>
      </c>
      <c r="F893" s="753"/>
      <c r="G893" s="754"/>
      <c r="H893" s="732"/>
      <c r="I893" s="731" t="str">
        <f t="shared" si="36"/>
        <v/>
      </c>
      <c r="K893" s="241" t="str">
        <f t="shared" si="35"/>
        <v/>
      </c>
      <c r="L893" s="137"/>
    </row>
    <row r="894" spans="5:12" ht="11.25" customHeight="1" x14ac:dyDescent="0.2">
      <c r="E894" s="117">
        <v>887</v>
      </c>
      <c r="F894" s="753"/>
      <c r="G894" s="754"/>
      <c r="H894" s="732"/>
      <c r="I894" s="731" t="str">
        <f t="shared" si="36"/>
        <v/>
      </c>
      <c r="K894" s="241" t="str">
        <f t="shared" si="35"/>
        <v/>
      </c>
      <c r="L894" s="137"/>
    </row>
    <row r="895" spans="5:12" ht="11.25" customHeight="1" x14ac:dyDescent="0.2">
      <c r="E895" s="117">
        <v>888</v>
      </c>
      <c r="F895" s="753"/>
      <c r="G895" s="754"/>
      <c r="H895" s="732"/>
      <c r="I895" s="731" t="str">
        <f t="shared" si="36"/>
        <v/>
      </c>
      <c r="K895" s="241" t="str">
        <f t="shared" ref="K895:K958" si="37">IF(I840&lt;&gt;"",(F840+G840)/2,"")</f>
        <v/>
      </c>
      <c r="L895" s="137"/>
    </row>
    <row r="896" spans="5:12" ht="11.25" customHeight="1" x14ac:dyDescent="0.2">
      <c r="E896" s="117">
        <v>889</v>
      </c>
      <c r="F896" s="753"/>
      <c r="G896" s="754"/>
      <c r="H896" s="732"/>
      <c r="I896" s="731" t="str">
        <f t="shared" si="36"/>
        <v/>
      </c>
      <c r="K896" s="241" t="str">
        <f t="shared" si="37"/>
        <v/>
      </c>
      <c r="L896" s="137"/>
    </row>
    <row r="897" spans="5:12" ht="11.25" customHeight="1" x14ac:dyDescent="0.2">
      <c r="E897" s="117">
        <v>890</v>
      </c>
      <c r="F897" s="753"/>
      <c r="G897" s="754"/>
      <c r="H897" s="732"/>
      <c r="I897" s="731" t="str">
        <f t="shared" si="36"/>
        <v/>
      </c>
      <c r="K897" s="241" t="str">
        <f t="shared" si="37"/>
        <v/>
      </c>
      <c r="L897" s="137"/>
    </row>
    <row r="898" spans="5:12" ht="11.25" customHeight="1" x14ac:dyDescent="0.2">
      <c r="E898" s="117">
        <v>891</v>
      </c>
      <c r="F898" s="753"/>
      <c r="G898" s="754"/>
      <c r="H898" s="732"/>
      <c r="I898" s="731" t="str">
        <f t="shared" si="36"/>
        <v/>
      </c>
      <c r="K898" s="241" t="str">
        <f t="shared" si="37"/>
        <v/>
      </c>
      <c r="L898" s="137"/>
    </row>
    <row r="899" spans="5:12" ht="11.25" customHeight="1" x14ac:dyDescent="0.2">
      <c r="E899" s="117">
        <v>892</v>
      </c>
      <c r="F899" s="753"/>
      <c r="G899" s="754"/>
      <c r="H899" s="732"/>
      <c r="I899" s="731" t="str">
        <f t="shared" si="36"/>
        <v/>
      </c>
      <c r="K899" s="241" t="str">
        <f t="shared" si="37"/>
        <v/>
      </c>
      <c r="L899" s="137"/>
    </row>
    <row r="900" spans="5:12" ht="11.25" customHeight="1" x14ac:dyDescent="0.2">
      <c r="E900" s="117">
        <v>893</v>
      </c>
      <c r="F900" s="753"/>
      <c r="G900" s="754"/>
      <c r="H900" s="732"/>
      <c r="I900" s="731" t="str">
        <f t="shared" si="36"/>
        <v/>
      </c>
      <c r="K900" s="241" t="str">
        <f t="shared" si="37"/>
        <v/>
      </c>
      <c r="L900" s="137"/>
    </row>
    <row r="901" spans="5:12" ht="11.25" customHeight="1" x14ac:dyDescent="0.2">
      <c r="E901" s="117">
        <v>894</v>
      </c>
      <c r="F901" s="753"/>
      <c r="G901" s="754"/>
      <c r="H901" s="732"/>
      <c r="I901" s="731" t="str">
        <f t="shared" si="36"/>
        <v/>
      </c>
      <c r="K901" s="241" t="str">
        <f t="shared" si="37"/>
        <v/>
      </c>
      <c r="L901" s="137"/>
    </row>
    <row r="902" spans="5:12" ht="11.25" customHeight="1" x14ac:dyDescent="0.2">
      <c r="E902" s="117">
        <v>895</v>
      </c>
      <c r="F902" s="753"/>
      <c r="G902" s="754"/>
      <c r="H902" s="732"/>
      <c r="I902" s="731" t="str">
        <f t="shared" si="36"/>
        <v/>
      </c>
      <c r="K902" s="241" t="str">
        <f t="shared" si="37"/>
        <v/>
      </c>
      <c r="L902" s="137"/>
    </row>
    <row r="903" spans="5:12" ht="11.25" customHeight="1" x14ac:dyDescent="0.2">
      <c r="E903" s="117">
        <v>896</v>
      </c>
      <c r="F903" s="753"/>
      <c r="G903" s="754"/>
      <c r="H903" s="732"/>
      <c r="I903" s="731" t="str">
        <f t="shared" si="36"/>
        <v/>
      </c>
      <c r="K903" s="241" t="str">
        <f t="shared" si="37"/>
        <v/>
      </c>
      <c r="L903" s="137"/>
    </row>
    <row r="904" spans="5:12" ht="11.25" customHeight="1" x14ac:dyDescent="0.2">
      <c r="E904" s="117">
        <v>897</v>
      </c>
      <c r="F904" s="753"/>
      <c r="G904" s="754"/>
      <c r="H904" s="732"/>
      <c r="I904" s="731" t="str">
        <f t="shared" ref="I904:I967" si="38">IF(AND(F904&lt;&gt;"",G904&lt;&gt;""),G904-F904,"")</f>
        <v/>
      </c>
      <c r="K904" s="241" t="str">
        <f t="shared" si="37"/>
        <v/>
      </c>
      <c r="L904" s="137"/>
    </row>
    <row r="905" spans="5:12" ht="11.25" customHeight="1" x14ac:dyDescent="0.2">
      <c r="E905" s="117">
        <v>898</v>
      </c>
      <c r="F905" s="753"/>
      <c r="G905" s="754"/>
      <c r="H905" s="732"/>
      <c r="I905" s="731" t="str">
        <f t="shared" si="38"/>
        <v/>
      </c>
      <c r="K905" s="241" t="str">
        <f t="shared" si="37"/>
        <v/>
      </c>
      <c r="L905" s="137"/>
    </row>
    <row r="906" spans="5:12" ht="11.25" customHeight="1" x14ac:dyDescent="0.2">
      <c r="E906" s="117">
        <v>899</v>
      </c>
      <c r="F906" s="753"/>
      <c r="G906" s="754"/>
      <c r="H906" s="732"/>
      <c r="I906" s="731" t="str">
        <f t="shared" si="38"/>
        <v/>
      </c>
      <c r="K906" s="241" t="str">
        <f t="shared" si="37"/>
        <v/>
      </c>
      <c r="L906" s="137"/>
    </row>
    <row r="907" spans="5:12" ht="11.25" customHeight="1" x14ac:dyDescent="0.2">
      <c r="E907" s="117">
        <v>900</v>
      </c>
      <c r="F907" s="753"/>
      <c r="G907" s="754"/>
      <c r="H907" s="732"/>
      <c r="I907" s="731" t="str">
        <f t="shared" si="38"/>
        <v/>
      </c>
      <c r="K907" s="241" t="str">
        <f t="shared" si="37"/>
        <v/>
      </c>
      <c r="L907" s="137"/>
    </row>
    <row r="908" spans="5:12" ht="11.25" customHeight="1" x14ac:dyDescent="0.2">
      <c r="E908" s="117">
        <v>901</v>
      </c>
      <c r="F908" s="753"/>
      <c r="G908" s="754"/>
      <c r="H908" s="732"/>
      <c r="I908" s="731" t="str">
        <f t="shared" si="38"/>
        <v/>
      </c>
      <c r="K908" s="241" t="str">
        <f t="shared" si="37"/>
        <v/>
      </c>
      <c r="L908" s="137"/>
    </row>
    <row r="909" spans="5:12" ht="11.25" customHeight="1" x14ac:dyDescent="0.2">
      <c r="E909" s="117">
        <v>902</v>
      </c>
      <c r="F909" s="753"/>
      <c r="G909" s="754"/>
      <c r="H909" s="732"/>
      <c r="I909" s="731" t="str">
        <f t="shared" si="38"/>
        <v/>
      </c>
      <c r="K909" s="241" t="str">
        <f t="shared" si="37"/>
        <v/>
      </c>
      <c r="L909" s="137"/>
    </row>
    <row r="910" spans="5:12" ht="11.25" customHeight="1" x14ac:dyDescent="0.2">
      <c r="E910" s="117">
        <v>903</v>
      </c>
      <c r="F910" s="753"/>
      <c r="G910" s="754"/>
      <c r="H910" s="732"/>
      <c r="I910" s="731" t="str">
        <f t="shared" si="38"/>
        <v/>
      </c>
      <c r="K910" s="241" t="str">
        <f t="shared" si="37"/>
        <v/>
      </c>
      <c r="L910" s="137"/>
    </row>
    <row r="911" spans="5:12" ht="11.25" customHeight="1" x14ac:dyDescent="0.2">
      <c r="E911" s="117">
        <v>904</v>
      </c>
      <c r="F911" s="753"/>
      <c r="G911" s="754"/>
      <c r="H911" s="732"/>
      <c r="I911" s="731" t="str">
        <f t="shared" si="38"/>
        <v/>
      </c>
      <c r="K911" s="241" t="str">
        <f t="shared" si="37"/>
        <v/>
      </c>
      <c r="L911" s="137"/>
    </row>
    <row r="912" spans="5:12" ht="11.25" customHeight="1" x14ac:dyDescent="0.2">
      <c r="E912" s="117">
        <v>905</v>
      </c>
      <c r="F912" s="753"/>
      <c r="G912" s="754"/>
      <c r="H912" s="732"/>
      <c r="I912" s="731" t="str">
        <f t="shared" si="38"/>
        <v/>
      </c>
      <c r="K912" s="241" t="str">
        <f t="shared" si="37"/>
        <v/>
      </c>
      <c r="L912" s="137"/>
    </row>
    <row r="913" spans="5:12" ht="11.25" customHeight="1" x14ac:dyDescent="0.2">
      <c r="E913" s="117">
        <v>906</v>
      </c>
      <c r="F913" s="753"/>
      <c r="G913" s="754"/>
      <c r="H913" s="732"/>
      <c r="I913" s="731" t="str">
        <f t="shared" si="38"/>
        <v/>
      </c>
      <c r="K913" s="241" t="str">
        <f t="shared" si="37"/>
        <v/>
      </c>
      <c r="L913" s="137"/>
    </row>
    <row r="914" spans="5:12" ht="11.25" customHeight="1" x14ac:dyDescent="0.2">
      <c r="E914" s="117">
        <v>907</v>
      </c>
      <c r="F914" s="753"/>
      <c r="G914" s="754"/>
      <c r="H914" s="732"/>
      <c r="I914" s="731" t="str">
        <f t="shared" si="38"/>
        <v/>
      </c>
      <c r="K914" s="241" t="str">
        <f t="shared" si="37"/>
        <v/>
      </c>
      <c r="L914" s="137"/>
    </row>
    <row r="915" spans="5:12" ht="11.25" customHeight="1" x14ac:dyDescent="0.2">
      <c r="E915" s="117">
        <v>908</v>
      </c>
      <c r="F915" s="753"/>
      <c r="G915" s="754"/>
      <c r="H915" s="732"/>
      <c r="I915" s="731" t="str">
        <f t="shared" si="38"/>
        <v/>
      </c>
      <c r="K915" s="241" t="str">
        <f t="shared" si="37"/>
        <v/>
      </c>
      <c r="L915" s="137"/>
    </row>
    <row r="916" spans="5:12" ht="11.25" customHeight="1" x14ac:dyDescent="0.2">
      <c r="E916" s="117">
        <v>909</v>
      </c>
      <c r="F916" s="753"/>
      <c r="G916" s="754"/>
      <c r="H916" s="732"/>
      <c r="I916" s="731" t="str">
        <f t="shared" si="38"/>
        <v/>
      </c>
      <c r="K916" s="241" t="str">
        <f t="shared" si="37"/>
        <v/>
      </c>
      <c r="L916" s="137"/>
    </row>
    <row r="917" spans="5:12" ht="11.25" customHeight="1" x14ac:dyDescent="0.2">
      <c r="E917" s="117">
        <v>910</v>
      </c>
      <c r="F917" s="753"/>
      <c r="G917" s="754"/>
      <c r="H917" s="732"/>
      <c r="I917" s="731" t="str">
        <f t="shared" si="38"/>
        <v/>
      </c>
      <c r="K917" s="241" t="str">
        <f t="shared" si="37"/>
        <v/>
      </c>
      <c r="L917" s="137"/>
    </row>
    <row r="918" spans="5:12" ht="11.25" customHeight="1" x14ac:dyDescent="0.2">
      <c r="E918" s="117">
        <v>911</v>
      </c>
      <c r="F918" s="753"/>
      <c r="G918" s="754"/>
      <c r="H918" s="732"/>
      <c r="I918" s="731" t="str">
        <f t="shared" si="38"/>
        <v/>
      </c>
      <c r="K918" s="241" t="str">
        <f t="shared" si="37"/>
        <v/>
      </c>
      <c r="L918" s="137"/>
    </row>
    <row r="919" spans="5:12" ht="11.25" customHeight="1" x14ac:dyDescent="0.2">
      <c r="E919" s="117">
        <v>912</v>
      </c>
      <c r="F919" s="753"/>
      <c r="G919" s="754"/>
      <c r="H919" s="732"/>
      <c r="I919" s="731" t="str">
        <f t="shared" si="38"/>
        <v/>
      </c>
      <c r="K919" s="241" t="str">
        <f t="shared" si="37"/>
        <v/>
      </c>
      <c r="L919" s="137"/>
    </row>
    <row r="920" spans="5:12" ht="11.25" customHeight="1" x14ac:dyDescent="0.2">
      <c r="E920" s="117">
        <v>913</v>
      </c>
      <c r="F920" s="753"/>
      <c r="G920" s="754"/>
      <c r="H920" s="732"/>
      <c r="I920" s="731" t="str">
        <f t="shared" si="38"/>
        <v/>
      </c>
      <c r="K920" s="241" t="str">
        <f t="shared" si="37"/>
        <v/>
      </c>
      <c r="L920" s="137"/>
    </row>
    <row r="921" spans="5:12" ht="11.25" customHeight="1" x14ac:dyDescent="0.2">
      <c r="E921" s="117">
        <v>914</v>
      </c>
      <c r="F921" s="753"/>
      <c r="G921" s="754"/>
      <c r="H921" s="732"/>
      <c r="I921" s="731" t="str">
        <f t="shared" si="38"/>
        <v/>
      </c>
      <c r="K921" s="241" t="str">
        <f t="shared" si="37"/>
        <v/>
      </c>
      <c r="L921" s="137"/>
    </row>
    <row r="922" spans="5:12" ht="11.25" customHeight="1" x14ac:dyDescent="0.2">
      <c r="E922" s="117">
        <v>915</v>
      </c>
      <c r="F922" s="753"/>
      <c r="G922" s="754"/>
      <c r="H922" s="732"/>
      <c r="I922" s="731" t="str">
        <f t="shared" si="38"/>
        <v/>
      </c>
      <c r="K922" s="241" t="str">
        <f t="shared" si="37"/>
        <v/>
      </c>
      <c r="L922" s="137"/>
    </row>
    <row r="923" spans="5:12" ht="11.25" customHeight="1" x14ac:dyDescent="0.2">
      <c r="E923" s="117">
        <v>916</v>
      </c>
      <c r="F923" s="753"/>
      <c r="G923" s="754"/>
      <c r="H923" s="732"/>
      <c r="I923" s="731" t="str">
        <f t="shared" si="38"/>
        <v/>
      </c>
      <c r="K923" s="241" t="str">
        <f t="shared" si="37"/>
        <v/>
      </c>
      <c r="L923" s="137"/>
    </row>
    <row r="924" spans="5:12" ht="11.25" customHeight="1" x14ac:dyDescent="0.2">
      <c r="E924" s="117">
        <v>917</v>
      </c>
      <c r="F924" s="753"/>
      <c r="G924" s="754"/>
      <c r="H924" s="732"/>
      <c r="I924" s="731" t="str">
        <f t="shared" si="38"/>
        <v/>
      </c>
      <c r="K924" s="241" t="str">
        <f t="shared" si="37"/>
        <v/>
      </c>
      <c r="L924" s="137"/>
    </row>
    <row r="925" spans="5:12" ht="11.25" customHeight="1" x14ac:dyDescent="0.2">
      <c r="E925" s="117">
        <v>918</v>
      </c>
      <c r="F925" s="753"/>
      <c r="G925" s="754"/>
      <c r="H925" s="732"/>
      <c r="I925" s="731" t="str">
        <f t="shared" si="38"/>
        <v/>
      </c>
      <c r="K925" s="241" t="str">
        <f t="shared" si="37"/>
        <v/>
      </c>
      <c r="L925" s="137"/>
    </row>
    <row r="926" spans="5:12" ht="11.25" customHeight="1" x14ac:dyDescent="0.2">
      <c r="E926" s="117">
        <v>919</v>
      </c>
      <c r="F926" s="753"/>
      <c r="G926" s="754"/>
      <c r="H926" s="732"/>
      <c r="I926" s="731" t="str">
        <f t="shared" si="38"/>
        <v/>
      </c>
      <c r="K926" s="241" t="str">
        <f t="shared" si="37"/>
        <v/>
      </c>
      <c r="L926" s="137"/>
    </row>
    <row r="927" spans="5:12" ht="11.25" customHeight="1" x14ac:dyDescent="0.2">
      <c r="E927" s="117">
        <v>920</v>
      </c>
      <c r="F927" s="753"/>
      <c r="G927" s="754"/>
      <c r="H927" s="732"/>
      <c r="I927" s="731" t="str">
        <f t="shared" si="38"/>
        <v/>
      </c>
      <c r="K927" s="241" t="str">
        <f t="shared" si="37"/>
        <v/>
      </c>
      <c r="L927" s="137"/>
    </row>
    <row r="928" spans="5:12" ht="11.25" customHeight="1" x14ac:dyDescent="0.2">
      <c r="E928" s="117">
        <v>921</v>
      </c>
      <c r="F928" s="753"/>
      <c r="G928" s="754"/>
      <c r="H928" s="732"/>
      <c r="I928" s="731" t="str">
        <f t="shared" si="38"/>
        <v/>
      </c>
      <c r="K928" s="241" t="str">
        <f t="shared" si="37"/>
        <v/>
      </c>
      <c r="L928" s="137"/>
    </row>
    <row r="929" spans="5:12" ht="11.25" customHeight="1" x14ac:dyDescent="0.2">
      <c r="E929" s="117">
        <v>922</v>
      </c>
      <c r="F929" s="753"/>
      <c r="G929" s="754"/>
      <c r="H929" s="732"/>
      <c r="I929" s="731" t="str">
        <f t="shared" si="38"/>
        <v/>
      </c>
      <c r="K929" s="241" t="str">
        <f t="shared" si="37"/>
        <v/>
      </c>
      <c r="L929" s="137"/>
    </row>
    <row r="930" spans="5:12" ht="11.25" customHeight="1" x14ac:dyDescent="0.2">
      <c r="E930" s="117">
        <v>923</v>
      </c>
      <c r="F930" s="753"/>
      <c r="G930" s="754"/>
      <c r="H930" s="732"/>
      <c r="I930" s="731" t="str">
        <f t="shared" si="38"/>
        <v/>
      </c>
      <c r="K930" s="241" t="str">
        <f t="shared" si="37"/>
        <v/>
      </c>
      <c r="L930" s="137"/>
    </row>
    <row r="931" spans="5:12" ht="11.25" customHeight="1" x14ac:dyDescent="0.2">
      <c r="E931" s="117">
        <v>924</v>
      </c>
      <c r="F931" s="753"/>
      <c r="G931" s="754"/>
      <c r="H931" s="732"/>
      <c r="I931" s="731" t="str">
        <f t="shared" si="38"/>
        <v/>
      </c>
      <c r="K931" s="241" t="str">
        <f t="shared" si="37"/>
        <v/>
      </c>
      <c r="L931" s="137"/>
    </row>
    <row r="932" spans="5:12" ht="11.25" customHeight="1" x14ac:dyDescent="0.2">
      <c r="E932" s="117">
        <v>925</v>
      </c>
      <c r="F932" s="753"/>
      <c r="G932" s="754"/>
      <c r="H932" s="732"/>
      <c r="I932" s="731" t="str">
        <f t="shared" si="38"/>
        <v/>
      </c>
      <c r="K932" s="241" t="str">
        <f t="shared" si="37"/>
        <v/>
      </c>
      <c r="L932" s="137"/>
    </row>
    <row r="933" spans="5:12" ht="11.25" customHeight="1" x14ac:dyDescent="0.2">
      <c r="E933" s="117">
        <v>926</v>
      </c>
      <c r="F933" s="753"/>
      <c r="G933" s="754"/>
      <c r="H933" s="732"/>
      <c r="I933" s="731" t="str">
        <f t="shared" si="38"/>
        <v/>
      </c>
      <c r="K933" s="241" t="str">
        <f t="shared" si="37"/>
        <v/>
      </c>
      <c r="L933" s="137"/>
    </row>
    <row r="934" spans="5:12" ht="11.25" customHeight="1" x14ac:dyDescent="0.2">
      <c r="E934" s="117">
        <v>927</v>
      </c>
      <c r="F934" s="753"/>
      <c r="G934" s="754"/>
      <c r="H934" s="732"/>
      <c r="I934" s="731" t="str">
        <f t="shared" si="38"/>
        <v/>
      </c>
      <c r="K934" s="241" t="str">
        <f t="shared" si="37"/>
        <v/>
      </c>
      <c r="L934" s="137"/>
    </row>
    <row r="935" spans="5:12" ht="11.25" customHeight="1" x14ac:dyDescent="0.2">
      <c r="E935" s="117">
        <v>928</v>
      </c>
      <c r="F935" s="753"/>
      <c r="G935" s="754"/>
      <c r="H935" s="732"/>
      <c r="I935" s="731" t="str">
        <f t="shared" si="38"/>
        <v/>
      </c>
      <c r="K935" s="241" t="str">
        <f t="shared" si="37"/>
        <v/>
      </c>
      <c r="L935" s="137"/>
    </row>
    <row r="936" spans="5:12" ht="11.25" customHeight="1" x14ac:dyDescent="0.2">
      <c r="E936" s="117">
        <v>929</v>
      </c>
      <c r="F936" s="753"/>
      <c r="G936" s="754"/>
      <c r="H936" s="732"/>
      <c r="I936" s="731" t="str">
        <f t="shared" si="38"/>
        <v/>
      </c>
      <c r="K936" s="241" t="str">
        <f t="shared" si="37"/>
        <v/>
      </c>
      <c r="L936" s="137"/>
    </row>
    <row r="937" spans="5:12" ht="11.25" customHeight="1" x14ac:dyDescent="0.2">
      <c r="E937" s="117">
        <v>930</v>
      </c>
      <c r="F937" s="753"/>
      <c r="G937" s="754"/>
      <c r="H937" s="732"/>
      <c r="I937" s="731" t="str">
        <f t="shared" si="38"/>
        <v/>
      </c>
      <c r="K937" s="241" t="str">
        <f t="shared" si="37"/>
        <v/>
      </c>
      <c r="L937" s="137"/>
    </row>
    <row r="938" spans="5:12" ht="11.25" customHeight="1" x14ac:dyDescent="0.2">
      <c r="E938" s="117">
        <v>931</v>
      </c>
      <c r="F938" s="753"/>
      <c r="G938" s="754"/>
      <c r="H938" s="732"/>
      <c r="I938" s="731" t="str">
        <f t="shared" si="38"/>
        <v/>
      </c>
      <c r="K938" s="241" t="str">
        <f t="shared" si="37"/>
        <v/>
      </c>
      <c r="L938" s="137"/>
    </row>
    <row r="939" spans="5:12" ht="11.25" customHeight="1" x14ac:dyDescent="0.2">
      <c r="E939" s="117">
        <v>932</v>
      </c>
      <c r="F939" s="753"/>
      <c r="G939" s="754"/>
      <c r="H939" s="732"/>
      <c r="I939" s="731" t="str">
        <f t="shared" si="38"/>
        <v/>
      </c>
      <c r="K939" s="241" t="str">
        <f t="shared" si="37"/>
        <v/>
      </c>
      <c r="L939" s="137"/>
    </row>
    <row r="940" spans="5:12" ht="11.25" customHeight="1" x14ac:dyDescent="0.2">
      <c r="E940" s="117">
        <v>933</v>
      </c>
      <c r="F940" s="753"/>
      <c r="G940" s="754"/>
      <c r="H940" s="732"/>
      <c r="I940" s="731" t="str">
        <f t="shared" si="38"/>
        <v/>
      </c>
      <c r="K940" s="241" t="str">
        <f t="shared" si="37"/>
        <v/>
      </c>
      <c r="L940" s="137"/>
    </row>
    <row r="941" spans="5:12" ht="11.25" customHeight="1" x14ac:dyDescent="0.2">
      <c r="E941" s="117">
        <v>934</v>
      </c>
      <c r="F941" s="753"/>
      <c r="G941" s="754"/>
      <c r="H941" s="732"/>
      <c r="I941" s="731" t="str">
        <f t="shared" si="38"/>
        <v/>
      </c>
      <c r="K941" s="241" t="str">
        <f t="shared" si="37"/>
        <v/>
      </c>
      <c r="L941" s="137"/>
    </row>
    <row r="942" spans="5:12" ht="11.25" customHeight="1" x14ac:dyDescent="0.2">
      <c r="E942" s="117">
        <v>935</v>
      </c>
      <c r="F942" s="753"/>
      <c r="G942" s="754"/>
      <c r="H942" s="732"/>
      <c r="I942" s="731" t="str">
        <f t="shared" si="38"/>
        <v/>
      </c>
      <c r="K942" s="241" t="str">
        <f t="shared" si="37"/>
        <v/>
      </c>
      <c r="L942" s="137"/>
    </row>
    <row r="943" spans="5:12" ht="11.25" customHeight="1" x14ac:dyDescent="0.2">
      <c r="E943" s="117">
        <v>936</v>
      </c>
      <c r="F943" s="753"/>
      <c r="G943" s="754"/>
      <c r="H943" s="732"/>
      <c r="I943" s="731" t="str">
        <f t="shared" si="38"/>
        <v/>
      </c>
      <c r="K943" s="241" t="str">
        <f t="shared" si="37"/>
        <v/>
      </c>
      <c r="L943" s="137"/>
    </row>
    <row r="944" spans="5:12" ht="11.25" customHeight="1" x14ac:dyDescent="0.2">
      <c r="E944" s="117">
        <v>937</v>
      </c>
      <c r="F944" s="753"/>
      <c r="G944" s="754"/>
      <c r="H944" s="732"/>
      <c r="I944" s="731" t="str">
        <f t="shared" si="38"/>
        <v/>
      </c>
      <c r="K944" s="241" t="str">
        <f t="shared" si="37"/>
        <v/>
      </c>
      <c r="L944" s="137"/>
    </row>
    <row r="945" spans="5:12" ht="11.25" customHeight="1" x14ac:dyDescent="0.2">
      <c r="E945" s="117">
        <v>938</v>
      </c>
      <c r="F945" s="753"/>
      <c r="G945" s="754"/>
      <c r="H945" s="732"/>
      <c r="I945" s="731" t="str">
        <f t="shared" si="38"/>
        <v/>
      </c>
      <c r="K945" s="241" t="str">
        <f t="shared" si="37"/>
        <v/>
      </c>
      <c r="L945" s="137"/>
    </row>
    <row r="946" spans="5:12" ht="11.25" customHeight="1" x14ac:dyDescent="0.2">
      <c r="E946" s="117">
        <v>939</v>
      </c>
      <c r="F946" s="753"/>
      <c r="G946" s="754"/>
      <c r="H946" s="732"/>
      <c r="I946" s="731" t="str">
        <f t="shared" si="38"/>
        <v/>
      </c>
      <c r="K946" s="241" t="str">
        <f t="shared" si="37"/>
        <v/>
      </c>
      <c r="L946" s="137"/>
    </row>
    <row r="947" spans="5:12" ht="11.25" customHeight="1" x14ac:dyDescent="0.2">
      <c r="E947" s="117">
        <v>940</v>
      </c>
      <c r="F947" s="753"/>
      <c r="G947" s="754"/>
      <c r="H947" s="732"/>
      <c r="I947" s="731" t="str">
        <f t="shared" si="38"/>
        <v/>
      </c>
      <c r="K947" s="241" t="str">
        <f t="shared" si="37"/>
        <v/>
      </c>
      <c r="L947" s="137"/>
    </row>
    <row r="948" spans="5:12" ht="11.25" customHeight="1" x14ac:dyDescent="0.2">
      <c r="E948" s="117">
        <v>941</v>
      </c>
      <c r="F948" s="753"/>
      <c r="G948" s="754"/>
      <c r="H948" s="732"/>
      <c r="I948" s="731" t="str">
        <f t="shared" si="38"/>
        <v/>
      </c>
      <c r="K948" s="241" t="str">
        <f t="shared" si="37"/>
        <v/>
      </c>
      <c r="L948" s="137"/>
    </row>
    <row r="949" spans="5:12" ht="11.25" customHeight="1" x14ac:dyDescent="0.2">
      <c r="E949" s="117">
        <v>942</v>
      </c>
      <c r="F949" s="753"/>
      <c r="G949" s="754"/>
      <c r="H949" s="732"/>
      <c r="I949" s="731" t="str">
        <f t="shared" si="38"/>
        <v/>
      </c>
      <c r="K949" s="241" t="str">
        <f t="shared" si="37"/>
        <v/>
      </c>
      <c r="L949" s="137"/>
    </row>
    <row r="950" spans="5:12" ht="11.25" customHeight="1" x14ac:dyDescent="0.2">
      <c r="E950" s="117">
        <v>943</v>
      </c>
      <c r="F950" s="753"/>
      <c r="G950" s="754"/>
      <c r="H950" s="732"/>
      <c r="I950" s="731" t="str">
        <f t="shared" si="38"/>
        <v/>
      </c>
      <c r="K950" s="241" t="str">
        <f t="shared" si="37"/>
        <v/>
      </c>
      <c r="L950" s="137"/>
    </row>
    <row r="951" spans="5:12" ht="11.25" customHeight="1" x14ac:dyDescent="0.2">
      <c r="E951" s="117">
        <v>944</v>
      </c>
      <c r="F951" s="753"/>
      <c r="G951" s="754"/>
      <c r="H951" s="732"/>
      <c r="I951" s="731" t="str">
        <f t="shared" si="38"/>
        <v/>
      </c>
      <c r="K951" s="241" t="str">
        <f t="shared" si="37"/>
        <v/>
      </c>
      <c r="L951" s="137"/>
    </row>
    <row r="952" spans="5:12" ht="11.25" customHeight="1" x14ac:dyDescent="0.2">
      <c r="E952" s="117">
        <v>945</v>
      </c>
      <c r="F952" s="753"/>
      <c r="G952" s="754"/>
      <c r="H952" s="732"/>
      <c r="I952" s="731" t="str">
        <f t="shared" si="38"/>
        <v/>
      </c>
      <c r="K952" s="241" t="str">
        <f t="shared" si="37"/>
        <v/>
      </c>
      <c r="L952" s="137"/>
    </row>
    <row r="953" spans="5:12" ht="11.25" customHeight="1" x14ac:dyDescent="0.2">
      <c r="E953" s="117">
        <v>946</v>
      </c>
      <c r="F953" s="753"/>
      <c r="G953" s="754"/>
      <c r="H953" s="732"/>
      <c r="I953" s="731" t="str">
        <f t="shared" si="38"/>
        <v/>
      </c>
      <c r="K953" s="241" t="str">
        <f t="shared" si="37"/>
        <v/>
      </c>
      <c r="L953" s="137"/>
    </row>
    <row r="954" spans="5:12" ht="11.25" customHeight="1" x14ac:dyDescent="0.2">
      <c r="E954" s="117">
        <v>947</v>
      </c>
      <c r="F954" s="753"/>
      <c r="G954" s="754"/>
      <c r="H954" s="732"/>
      <c r="I954" s="731" t="str">
        <f t="shared" si="38"/>
        <v/>
      </c>
      <c r="K954" s="241" t="str">
        <f t="shared" si="37"/>
        <v/>
      </c>
      <c r="L954" s="137"/>
    </row>
    <row r="955" spans="5:12" ht="11.25" customHeight="1" x14ac:dyDescent="0.2">
      <c r="E955" s="117">
        <v>948</v>
      </c>
      <c r="F955" s="753"/>
      <c r="G955" s="754"/>
      <c r="H955" s="732"/>
      <c r="I955" s="731" t="str">
        <f t="shared" si="38"/>
        <v/>
      </c>
      <c r="K955" s="241" t="str">
        <f t="shared" si="37"/>
        <v/>
      </c>
      <c r="L955" s="137"/>
    </row>
    <row r="956" spans="5:12" ht="11.25" customHeight="1" x14ac:dyDescent="0.2">
      <c r="E956" s="117">
        <v>949</v>
      </c>
      <c r="F956" s="753"/>
      <c r="G956" s="754"/>
      <c r="H956" s="732"/>
      <c r="I956" s="731" t="str">
        <f t="shared" si="38"/>
        <v/>
      </c>
      <c r="K956" s="241" t="str">
        <f t="shared" si="37"/>
        <v/>
      </c>
      <c r="L956" s="137"/>
    </row>
    <row r="957" spans="5:12" ht="11.25" customHeight="1" x14ac:dyDescent="0.2">
      <c r="E957" s="117">
        <v>950</v>
      </c>
      <c r="F957" s="753"/>
      <c r="G957" s="754"/>
      <c r="H957" s="732"/>
      <c r="I957" s="731" t="str">
        <f t="shared" si="38"/>
        <v/>
      </c>
      <c r="K957" s="241" t="str">
        <f t="shared" si="37"/>
        <v/>
      </c>
      <c r="L957" s="137"/>
    </row>
    <row r="958" spans="5:12" ht="11.25" customHeight="1" x14ac:dyDescent="0.2">
      <c r="E958" s="117">
        <v>951</v>
      </c>
      <c r="F958" s="753"/>
      <c r="G958" s="754"/>
      <c r="H958" s="732"/>
      <c r="I958" s="731" t="str">
        <f t="shared" si="38"/>
        <v/>
      </c>
      <c r="K958" s="241" t="str">
        <f t="shared" si="37"/>
        <v/>
      </c>
      <c r="L958" s="137"/>
    </row>
    <row r="959" spans="5:12" ht="11.25" customHeight="1" x14ac:dyDescent="0.2">
      <c r="E959" s="117">
        <v>952</v>
      </c>
      <c r="F959" s="753"/>
      <c r="G959" s="754"/>
      <c r="H959" s="732"/>
      <c r="I959" s="731" t="str">
        <f t="shared" si="38"/>
        <v/>
      </c>
      <c r="K959" s="241" t="str">
        <f t="shared" ref="K959:K1022" si="39">IF(I904&lt;&gt;"",(F904+G904)/2,"")</f>
        <v/>
      </c>
      <c r="L959" s="137"/>
    </row>
    <row r="960" spans="5:12" ht="11.25" customHeight="1" x14ac:dyDescent="0.2">
      <c r="E960" s="117">
        <v>953</v>
      </c>
      <c r="F960" s="753"/>
      <c r="G960" s="754"/>
      <c r="H960" s="732"/>
      <c r="I960" s="731" t="str">
        <f t="shared" si="38"/>
        <v/>
      </c>
      <c r="K960" s="241" t="str">
        <f t="shared" si="39"/>
        <v/>
      </c>
      <c r="L960" s="137"/>
    </row>
    <row r="961" spans="5:12" ht="11.25" customHeight="1" x14ac:dyDescent="0.2">
      <c r="E961" s="117">
        <v>954</v>
      </c>
      <c r="F961" s="753"/>
      <c r="G961" s="754"/>
      <c r="H961" s="732"/>
      <c r="I961" s="731" t="str">
        <f t="shared" si="38"/>
        <v/>
      </c>
      <c r="K961" s="241" t="str">
        <f t="shared" si="39"/>
        <v/>
      </c>
      <c r="L961" s="137"/>
    </row>
    <row r="962" spans="5:12" ht="11.25" customHeight="1" x14ac:dyDescent="0.2">
      <c r="E962" s="117">
        <v>955</v>
      </c>
      <c r="F962" s="753"/>
      <c r="G962" s="754"/>
      <c r="H962" s="732"/>
      <c r="I962" s="731" t="str">
        <f t="shared" si="38"/>
        <v/>
      </c>
      <c r="K962" s="241" t="str">
        <f t="shared" si="39"/>
        <v/>
      </c>
      <c r="L962" s="137"/>
    </row>
    <row r="963" spans="5:12" ht="11.25" customHeight="1" x14ac:dyDescent="0.2">
      <c r="E963" s="117">
        <v>956</v>
      </c>
      <c r="F963" s="753"/>
      <c r="G963" s="754"/>
      <c r="H963" s="732"/>
      <c r="I963" s="731" t="str">
        <f t="shared" si="38"/>
        <v/>
      </c>
      <c r="K963" s="241" t="str">
        <f t="shared" si="39"/>
        <v/>
      </c>
      <c r="L963" s="137"/>
    </row>
    <row r="964" spans="5:12" ht="11.25" customHeight="1" x14ac:dyDescent="0.2">
      <c r="E964" s="117">
        <v>957</v>
      </c>
      <c r="F964" s="753"/>
      <c r="G964" s="754"/>
      <c r="H964" s="732"/>
      <c r="I964" s="731" t="str">
        <f t="shared" si="38"/>
        <v/>
      </c>
      <c r="K964" s="241" t="str">
        <f t="shared" si="39"/>
        <v/>
      </c>
      <c r="L964" s="137"/>
    </row>
    <row r="965" spans="5:12" ht="11.25" customHeight="1" x14ac:dyDescent="0.2">
      <c r="E965" s="117">
        <v>958</v>
      </c>
      <c r="F965" s="753"/>
      <c r="G965" s="754"/>
      <c r="H965" s="732"/>
      <c r="I965" s="731" t="str">
        <f t="shared" si="38"/>
        <v/>
      </c>
      <c r="K965" s="241" t="str">
        <f t="shared" si="39"/>
        <v/>
      </c>
      <c r="L965" s="137"/>
    </row>
    <row r="966" spans="5:12" ht="11.25" customHeight="1" x14ac:dyDescent="0.2">
      <c r="E966" s="117">
        <v>959</v>
      </c>
      <c r="F966" s="753"/>
      <c r="G966" s="754"/>
      <c r="H966" s="732"/>
      <c r="I966" s="731" t="str">
        <f t="shared" si="38"/>
        <v/>
      </c>
      <c r="K966" s="241" t="str">
        <f t="shared" si="39"/>
        <v/>
      </c>
      <c r="L966" s="137"/>
    </row>
    <row r="967" spans="5:12" ht="11.25" customHeight="1" x14ac:dyDescent="0.2">
      <c r="E967" s="117">
        <v>960</v>
      </c>
      <c r="F967" s="753"/>
      <c r="G967" s="754"/>
      <c r="H967" s="732"/>
      <c r="I967" s="731" t="str">
        <f t="shared" si="38"/>
        <v/>
      </c>
      <c r="K967" s="241" t="str">
        <f t="shared" si="39"/>
        <v/>
      </c>
      <c r="L967" s="137"/>
    </row>
    <row r="968" spans="5:12" ht="11.25" customHeight="1" x14ac:dyDescent="0.2">
      <c r="E968" s="117">
        <v>961</v>
      </c>
      <c r="F968" s="753"/>
      <c r="G968" s="754"/>
      <c r="H968" s="732"/>
      <c r="I968" s="731" t="str">
        <f t="shared" ref="I968:I1007" si="40">IF(AND(F968&lt;&gt;"",G968&lt;&gt;""),G968-F968,"")</f>
        <v/>
      </c>
      <c r="K968" s="241" t="str">
        <f t="shared" si="39"/>
        <v/>
      </c>
      <c r="L968" s="137"/>
    </row>
    <row r="969" spans="5:12" ht="11.25" customHeight="1" x14ac:dyDescent="0.2">
      <c r="E969" s="117">
        <v>962</v>
      </c>
      <c r="F969" s="753"/>
      <c r="G969" s="754"/>
      <c r="H969" s="732"/>
      <c r="I969" s="731" t="str">
        <f t="shared" si="40"/>
        <v/>
      </c>
      <c r="K969" s="241" t="str">
        <f t="shared" si="39"/>
        <v/>
      </c>
      <c r="L969" s="137"/>
    </row>
    <row r="970" spans="5:12" ht="11.25" customHeight="1" x14ac:dyDescent="0.2">
      <c r="E970" s="117">
        <v>963</v>
      </c>
      <c r="F970" s="753"/>
      <c r="G970" s="754"/>
      <c r="H970" s="732"/>
      <c r="I970" s="731" t="str">
        <f t="shared" si="40"/>
        <v/>
      </c>
      <c r="K970" s="241" t="str">
        <f t="shared" si="39"/>
        <v/>
      </c>
      <c r="L970" s="137"/>
    </row>
    <row r="971" spans="5:12" ht="11.25" customHeight="1" x14ac:dyDescent="0.2">
      <c r="E971" s="117">
        <v>964</v>
      </c>
      <c r="F971" s="753"/>
      <c r="G971" s="754"/>
      <c r="H971" s="732"/>
      <c r="I971" s="731" t="str">
        <f t="shared" si="40"/>
        <v/>
      </c>
      <c r="K971" s="241" t="str">
        <f t="shared" si="39"/>
        <v/>
      </c>
      <c r="L971" s="137"/>
    </row>
    <row r="972" spans="5:12" ht="11.25" customHeight="1" x14ac:dyDescent="0.2">
      <c r="E972" s="117">
        <v>965</v>
      </c>
      <c r="F972" s="753"/>
      <c r="G972" s="754"/>
      <c r="H972" s="732"/>
      <c r="I972" s="731" t="str">
        <f t="shared" si="40"/>
        <v/>
      </c>
      <c r="K972" s="241" t="str">
        <f t="shared" si="39"/>
        <v/>
      </c>
      <c r="L972" s="137"/>
    </row>
    <row r="973" spans="5:12" ht="11.25" customHeight="1" x14ac:dyDescent="0.2">
      <c r="E973" s="117">
        <v>966</v>
      </c>
      <c r="F973" s="753"/>
      <c r="G973" s="754"/>
      <c r="H973" s="732"/>
      <c r="I973" s="731" t="str">
        <f t="shared" si="40"/>
        <v/>
      </c>
      <c r="K973" s="241" t="str">
        <f t="shared" si="39"/>
        <v/>
      </c>
      <c r="L973" s="137"/>
    </row>
    <row r="974" spans="5:12" ht="11.25" customHeight="1" x14ac:dyDescent="0.2">
      <c r="E974" s="117">
        <v>967</v>
      </c>
      <c r="F974" s="753"/>
      <c r="G974" s="754"/>
      <c r="H974" s="732"/>
      <c r="I974" s="731" t="str">
        <f t="shared" si="40"/>
        <v/>
      </c>
      <c r="K974" s="241" t="str">
        <f t="shared" si="39"/>
        <v/>
      </c>
      <c r="L974" s="137"/>
    </row>
    <row r="975" spans="5:12" ht="11.25" customHeight="1" x14ac:dyDescent="0.2">
      <c r="E975" s="117">
        <v>968</v>
      </c>
      <c r="F975" s="753"/>
      <c r="G975" s="754"/>
      <c r="H975" s="732"/>
      <c r="I975" s="731" t="str">
        <f t="shared" si="40"/>
        <v/>
      </c>
      <c r="K975" s="241" t="str">
        <f t="shared" si="39"/>
        <v/>
      </c>
      <c r="L975" s="137"/>
    </row>
    <row r="976" spans="5:12" ht="11.25" customHeight="1" x14ac:dyDescent="0.2">
      <c r="E976" s="117">
        <v>969</v>
      </c>
      <c r="F976" s="753"/>
      <c r="G976" s="754"/>
      <c r="H976" s="732"/>
      <c r="I976" s="731" t="str">
        <f t="shared" si="40"/>
        <v/>
      </c>
      <c r="K976" s="241" t="str">
        <f t="shared" si="39"/>
        <v/>
      </c>
      <c r="L976" s="137"/>
    </row>
    <row r="977" spans="5:12" ht="11.25" customHeight="1" x14ac:dyDescent="0.2">
      <c r="E977" s="117">
        <v>970</v>
      </c>
      <c r="F977" s="753"/>
      <c r="G977" s="754"/>
      <c r="H977" s="732"/>
      <c r="I977" s="731" t="str">
        <f t="shared" si="40"/>
        <v/>
      </c>
      <c r="K977" s="241" t="str">
        <f t="shared" si="39"/>
        <v/>
      </c>
      <c r="L977" s="137"/>
    </row>
    <row r="978" spans="5:12" ht="11.25" customHeight="1" x14ac:dyDescent="0.2">
      <c r="E978" s="117">
        <v>971</v>
      </c>
      <c r="F978" s="753"/>
      <c r="G978" s="754"/>
      <c r="H978" s="732"/>
      <c r="I978" s="731" t="str">
        <f t="shared" si="40"/>
        <v/>
      </c>
      <c r="K978" s="241" t="str">
        <f t="shared" si="39"/>
        <v/>
      </c>
      <c r="L978" s="137"/>
    </row>
    <row r="979" spans="5:12" ht="11.25" customHeight="1" x14ac:dyDescent="0.2">
      <c r="E979" s="117">
        <v>972</v>
      </c>
      <c r="F979" s="753"/>
      <c r="G979" s="754"/>
      <c r="H979" s="732"/>
      <c r="I979" s="731" t="str">
        <f t="shared" si="40"/>
        <v/>
      </c>
      <c r="K979" s="241" t="str">
        <f t="shared" si="39"/>
        <v/>
      </c>
      <c r="L979" s="137"/>
    </row>
    <row r="980" spans="5:12" ht="11.25" customHeight="1" x14ac:dyDescent="0.2">
      <c r="E980" s="117">
        <v>973</v>
      </c>
      <c r="F980" s="753"/>
      <c r="G980" s="754"/>
      <c r="H980" s="732"/>
      <c r="I980" s="731" t="str">
        <f t="shared" si="40"/>
        <v/>
      </c>
      <c r="K980" s="241" t="str">
        <f t="shared" si="39"/>
        <v/>
      </c>
      <c r="L980" s="137"/>
    </row>
    <row r="981" spans="5:12" ht="11.25" customHeight="1" x14ac:dyDescent="0.2">
      <c r="E981" s="117">
        <v>974</v>
      </c>
      <c r="F981" s="753"/>
      <c r="G981" s="754"/>
      <c r="H981" s="732"/>
      <c r="I981" s="731" t="str">
        <f t="shared" si="40"/>
        <v/>
      </c>
      <c r="K981" s="241" t="str">
        <f t="shared" si="39"/>
        <v/>
      </c>
      <c r="L981" s="137"/>
    </row>
    <row r="982" spans="5:12" ht="11.25" customHeight="1" x14ac:dyDescent="0.2">
      <c r="E982" s="117">
        <v>975</v>
      </c>
      <c r="F982" s="753"/>
      <c r="G982" s="754"/>
      <c r="H982" s="732"/>
      <c r="I982" s="731" t="str">
        <f t="shared" si="40"/>
        <v/>
      </c>
      <c r="K982" s="241" t="str">
        <f t="shared" si="39"/>
        <v/>
      </c>
      <c r="L982" s="137"/>
    </row>
    <row r="983" spans="5:12" ht="11.25" customHeight="1" x14ac:dyDescent="0.2">
      <c r="E983" s="117">
        <v>976</v>
      </c>
      <c r="F983" s="753"/>
      <c r="G983" s="754"/>
      <c r="H983" s="732"/>
      <c r="I983" s="731" t="str">
        <f t="shared" si="40"/>
        <v/>
      </c>
      <c r="K983" s="241" t="str">
        <f t="shared" si="39"/>
        <v/>
      </c>
      <c r="L983" s="137"/>
    </row>
    <row r="984" spans="5:12" ht="11.25" customHeight="1" x14ac:dyDescent="0.2">
      <c r="E984" s="117">
        <v>977</v>
      </c>
      <c r="F984" s="753"/>
      <c r="G984" s="754"/>
      <c r="H984" s="732"/>
      <c r="I984" s="731" t="str">
        <f t="shared" si="40"/>
        <v/>
      </c>
      <c r="K984" s="241" t="str">
        <f t="shared" si="39"/>
        <v/>
      </c>
      <c r="L984" s="137"/>
    </row>
    <row r="985" spans="5:12" ht="11.25" customHeight="1" x14ac:dyDescent="0.2">
      <c r="E985" s="117">
        <v>978</v>
      </c>
      <c r="F985" s="753"/>
      <c r="G985" s="754"/>
      <c r="H985" s="732"/>
      <c r="I985" s="731" t="str">
        <f t="shared" si="40"/>
        <v/>
      </c>
      <c r="K985" s="241" t="str">
        <f t="shared" si="39"/>
        <v/>
      </c>
      <c r="L985" s="137"/>
    </row>
    <row r="986" spans="5:12" ht="11.25" customHeight="1" x14ac:dyDescent="0.2">
      <c r="E986" s="117">
        <v>979</v>
      </c>
      <c r="F986" s="753"/>
      <c r="G986" s="754"/>
      <c r="H986" s="732"/>
      <c r="I986" s="731" t="str">
        <f t="shared" si="40"/>
        <v/>
      </c>
      <c r="K986" s="241" t="str">
        <f t="shared" si="39"/>
        <v/>
      </c>
      <c r="L986" s="137"/>
    </row>
    <row r="987" spans="5:12" ht="11.25" customHeight="1" x14ac:dyDescent="0.2">
      <c r="E987" s="117">
        <v>980</v>
      </c>
      <c r="F987" s="753"/>
      <c r="G987" s="754"/>
      <c r="H987" s="732"/>
      <c r="I987" s="731" t="str">
        <f t="shared" si="40"/>
        <v/>
      </c>
      <c r="K987" s="241" t="str">
        <f t="shared" si="39"/>
        <v/>
      </c>
      <c r="L987" s="137"/>
    </row>
    <row r="988" spans="5:12" ht="11.25" customHeight="1" x14ac:dyDescent="0.2">
      <c r="E988" s="117">
        <v>981</v>
      </c>
      <c r="F988" s="753"/>
      <c r="G988" s="754"/>
      <c r="H988" s="732"/>
      <c r="I988" s="731" t="str">
        <f t="shared" si="40"/>
        <v/>
      </c>
      <c r="K988" s="241" t="str">
        <f t="shared" si="39"/>
        <v/>
      </c>
      <c r="L988" s="137"/>
    </row>
    <row r="989" spans="5:12" ht="11.25" customHeight="1" x14ac:dyDescent="0.2">
      <c r="E989" s="117">
        <v>982</v>
      </c>
      <c r="F989" s="753"/>
      <c r="G989" s="754"/>
      <c r="H989" s="732"/>
      <c r="I989" s="731" t="str">
        <f t="shared" si="40"/>
        <v/>
      </c>
      <c r="K989" s="241" t="str">
        <f t="shared" si="39"/>
        <v/>
      </c>
      <c r="L989" s="137"/>
    </row>
    <row r="990" spans="5:12" ht="11.25" customHeight="1" x14ac:dyDescent="0.2">
      <c r="E990" s="117">
        <v>983</v>
      </c>
      <c r="F990" s="753"/>
      <c r="G990" s="754"/>
      <c r="H990" s="732"/>
      <c r="I990" s="731" t="str">
        <f t="shared" si="40"/>
        <v/>
      </c>
      <c r="K990" s="241" t="str">
        <f t="shared" si="39"/>
        <v/>
      </c>
      <c r="L990" s="137"/>
    </row>
    <row r="991" spans="5:12" ht="11.25" customHeight="1" x14ac:dyDescent="0.2">
      <c r="E991" s="117">
        <v>984</v>
      </c>
      <c r="F991" s="753"/>
      <c r="G991" s="754"/>
      <c r="H991" s="732"/>
      <c r="I991" s="731" t="str">
        <f t="shared" si="40"/>
        <v/>
      </c>
      <c r="K991" s="241" t="str">
        <f t="shared" si="39"/>
        <v/>
      </c>
      <c r="L991" s="137"/>
    </row>
    <row r="992" spans="5:12" ht="11.25" customHeight="1" x14ac:dyDescent="0.2">
      <c r="E992" s="117">
        <v>985</v>
      </c>
      <c r="F992" s="753"/>
      <c r="G992" s="754"/>
      <c r="H992" s="732"/>
      <c r="I992" s="731" t="str">
        <f t="shared" si="40"/>
        <v/>
      </c>
      <c r="K992" s="241" t="str">
        <f t="shared" si="39"/>
        <v/>
      </c>
      <c r="L992" s="137"/>
    </row>
    <row r="993" spans="5:12" ht="11.25" customHeight="1" x14ac:dyDescent="0.2">
      <c r="E993" s="117">
        <v>986</v>
      </c>
      <c r="F993" s="753"/>
      <c r="G993" s="754"/>
      <c r="H993" s="732"/>
      <c r="I993" s="731" t="str">
        <f t="shared" si="40"/>
        <v/>
      </c>
      <c r="K993" s="241" t="str">
        <f t="shared" si="39"/>
        <v/>
      </c>
      <c r="L993" s="137"/>
    </row>
    <row r="994" spans="5:12" ht="11.25" customHeight="1" x14ac:dyDescent="0.2">
      <c r="E994" s="117">
        <v>987</v>
      </c>
      <c r="F994" s="753"/>
      <c r="G994" s="754"/>
      <c r="H994" s="732"/>
      <c r="I994" s="731" t="str">
        <f t="shared" si="40"/>
        <v/>
      </c>
      <c r="K994" s="241" t="str">
        <f t="shared" si="39"/>
        <v/>
      </c>
      <c r="L994" s="137"/>
    </row>
    <row r="995" spans="5:12" ht="11.25" customHeight="1" x14ac:dyDescent="0.2">
      <c r="E995" s="117">
        <v>988</v>
      </c>
      <c r="F995" s="753"/>
      <c r="G995" s="754"/>
      <c r="H995" s="732"/>
      <c r="I995" s="731" t="str">
        <f t="shared" si="40"/>
        <v/>
      </c>
      <c r="K995" s="241" t="str">
        <f t="shared" si="39"/>
        <v/>
      </c>
      <c r="L995" s="137"/>
    </row>
    <row r="996" spans="5:12" ht="11.25" customHeight="1" x14ac:dyDescent="0.2">
      <c r="E996" s="117">
        <v>989</v>
      </c>
      <c r="F996" s="753"/>
      <c r="G996" s="754"/>
      <c r="H996" s="732"/>
      <c r="I996" s="731" t="str">
        <f t="shared" si="40"/>
        <v/>
      </c>
      <c r="K996" s="241" t="str">
        <f t="shared" si="39"/>
        <v/>
      </c>
      <c r="L996" s="137"/>
    </row>
    <row r="997" spans="5:12" ht="11.25" customHeight="1" x14ac:dyDescent="0.2">
      <c r="E997" s="117">
        <v>990</v>
      </c>
      <c r="F997" s="753"/>
      <c r="G997" s="754"/>
      <c r="H997" s="732"/>
      <c r="I997" s="731" t="str">
        <f t="shared" si="40"/>
        <v/>
      </c>
      <c r="K997" s="241" t="str">
        <f t="shared" si="39"/>
        <v/>
      </c>
      <c r="L997" s="137"/>
    </row>
    <row r="998" spans="5:12" ht="11.25" customHeight="1" x14ac:dyDescent="0.2">
      <c r="E998" s="117">
        <v>991</v>
      </c>
      <c r="F998" s="753"/>
      <c r="G998" s="754"/>
      <c r="H998" s="732"/>
      <c r="I998" s="731" t="str">
        <f t="shared" si="40"/>
        <v/>
      </c>
      <c r="K998" s="241" t="str">
        <f t="shared" si="39"/>
        <v/>
      </c>
      <c r="L998" s="137"/>
    </row>
    <row r="999" spans="5:12" ht="11.25" customHeight="1" x14ac:dyDescent="0.2">
      <c r="E999" s="117">
        <v>992</v>
      </c>
      <c r="F999" s="753"/>
      <c r="G999" s="754"/>
      <c r="H999" s="732"/>
      <c r="I999" s="731" t="str">
        <f t="shared" si="40"/>
        <v/>
      </c>
      <c r="K999" s="241" t="str">
        <f t="shared" si="39"/>
        <v/>
      </c>
      <c r="L999" s="137"/>
    </row>
    <row r="1000" spans="5:12" ht="11.25" customHeight="1" x14ac:dyDescent="0.2">
      <c r="E1000" s="117">
        <v>993</v>
      </c>
      <c r="F1000" s="753"/>
      <c r="G1000" s="754"/>
      <c r="H1000" s="732"/>
      <c r="I1000" s="731" t="str">
        <f t="shared" si="40"/>
        <v/>
      </c>
      <c r="K1000" s="241" t="str">
        <f t="shared" si="39"/>
        <v/>
      </c>
      <c r="L1000" s="137"/>
    </row>
    <row r="1001" spans="5:12" ht="11.25" customHeight="1" x14ac:dyDescent="0.2">
      <c r="E1001" s="117">
        <v>994</v>
      </c>
      <c r="F1001" s="753"/>
      <c r="G1001" s="754"/>
      <c r="H1001" s="732"/>
      <c r="I1001" s="731" t="str">
        <f t="shared" si="40"/>
        <v/>
      </c>
      <c r="K1001" s="241" t="str">
        <f t="shared" si="39"/>
        <v/>
      </c>
      <c r="L1001" s="137"/>
    </row>
    <row r="1002" spans="5:12" ht="11.25" customHeight="1" x14ac:dyDescent="0.2">
      <c r="E1002" s="117">
        <v>995</v>
      </c>
      <c r="F1002" s="753"/>
      <c r="G1002" s="754"/>
      <c r="H1002" s="732"/>
      <c r="I1002" s="731" t="str">
        <f t="shared" si="40"/>
        <v/>
      </c>
      <c r="K1002" s="241" t="str">
        <f t="shared" si="39"/>
        <v/>
      </c>
      <c r="L1002" s="137"/>
    </row>
    <row r="1003" spans="5:12" ht="11.25" customHeight="1" x14ac:dyDescent="0.2">
      <c r="E1003" s="117">
        <v>996</v>
      </c>
      <c r="F1003" s="753"/>
      <c r="G1003" s="754"/>
      <c r="H1003" s="732"/>
      <c r="I1003" s="731" t="str">
        <f t="shared" si="40"/>
        <v/>
      </c>
      <c r="K1003" s="241" t="str">
        <f t="shared" si="39"/>
        <v/>
      </c>
      <c r="L1003" s="137"/>
    </row>
    <row r="1004" spans="5:12" ht="11.25" customHeight="1" x14ac:dyDescent="0.2">
      <c r="E1004" s="117">
        <v>997</v>
      </c>
      <c r="F1004" s="753"/>
      <c r="G1004" s="754"/>
      <c r="H1004" s="732"/>
      <c r="I1004" s="731" t="str">
        <f t="shared" si="40"/>
        <v/>
      </c>
      <c r="K1004" s="241" t="str">
        <f t="shared" si="39"/>
        <v/>
      </c>
      <c r="L1004" s="137"/>
    </row>
    <row r="1005" spans="5:12" ht="11.25" customHeight="1" x14ac:dyDescent="0.2">
      <c r="E1005" s="117">
        <v>998</v>
      </c>
      <c r="F1005" s="753"/>
      <c r="G1005" s="754"/>
      <c r="H1005" s="732"/>
      <c r="I1005" s="731" t="str">
        <f t="shared" si="40"/>
        <v/>
      </c>
      <c r="K1005" s="241" t="str">
        <f t="shared" si="39"/>
        <v/>
      </c>
      <c r="L1005" s="137"/>
    </row>
    <row r="1006" spans="5:12" ht="11.25" customHeight="1" x14ac:dyDescent="0.2">
      <c r="E1006" s="117">
        <v>999</v>
      </c>
      <c r="F1006" s="753"/>
      <c r="G1006" s="754"/>
      <c r="H1006" s="732"/>
      <c r="I1006" s="731" t="str">
        <f t="shared" si="40"/>
        <v/>
      </c>
      <c r="K1006" s="241" t="str">
        <f t="shared" si="39"/>
        <v/>
      </c>
      <c r="L1006" s="137"/>
    </row>
    <row r="1007" spans="5:12" ht="11.25" customHeight="1" x14ac:dyDescent="0.2">
      <c r="E1007" s="117">
        <v>1000</v>
      </c>
      <c r="F1007" s="753"/>
      <c r="G1007" s="754"/>
      <c r="H1007" s="732"/>
      <c r="I1007" s="731" t="str">
        <f t="shared" si="40"/>
        <v/>
      </c>
      <c r="K1007" s="241" t="str">
        <f t="shared" si="39"/>
        <v/>
      </c>
      <c r="L1007" s="137"/>
    </row>
    <row r="1008" spans="5:12" ht="11.25" customHeight="1" x14ac:dyDescent="0.2">
      <c r="E1008" s="88"/>
      <c r="F1008" s="733"/>
      <c r="G1008" s="733"/>
      <c r="H1008" s="734"/>
      <c r="I1008" s="735"/>
      <c r="K1008" s="241" t="str">
        <f t="shared" si="39"/>
        <v/>
      </c>
      <c r="L1008" s="137"/>
    </row>
    <row r="1009" spans="11:12" ht="11.25" customHeight="1" x14ac:dyDescent="0.2">
      <c r="K1009" s="241" t="str">
        <f t="shared" si="39"/>
        <v/>
      </c>
      <c r="L1009" s="137"/>
    </row>
    <row r="1010" spans="11:12" ht="11.25" customHeight="1" x14ac:dyDescent="0.2">
      <c r="K1010" s="241" t="str">
        <f t="shared" si="39"/>
        <v/>
      </c>
      <c r="L1010" s="137"/>
    </row>
    <row r="1011" spans="11:12" ht="11.25" customHeight="1" x14ac:dyDescent="0.2">
      <c r="K1011" s="241" t="str">
        <f t="shared" si="39"/>
        <v/>
      </c>
      <c r="L1011" s="137"/>
    </row>
    <row r="1012" spans="11:12" ht="11.25" customHeight="1" x14ac:dyDescent="0.2">
      <c r="K1012" s="241" t="str">
        <f t="shared" si="39"/>
        <v/>
      </c>
      <c r="L1012" s="137"/>
    </row>
    <row r="1013" spans="11:12" ht="11.25" customHeight="1" x14ac:dyDescent="0.2">
      <c r="K1013" s="241" t="str">
        <f t="shared" si="39"/>
        <v/>
      </c>
      <c r="L1013" s="137"/>
    </row>
    <row r="1014" spans="11:12" ht="11.25" customHeight="1" x14ac:dyDescent="0.2">
      <c r="K1014" s="241" t="str">
        <f t="shared" si="39"/>
        <v/>
      </c>
      <c r="L1014" s="137"/>
    </row>
    <row r="1015" spans="11:12" ht="11.25" customHeight="1" x14ac:dyDescent="0.2">
      <c r="K1015" s="241" t="str">
        <f t="shared" si="39"/>
        <v/>
      </c>
      <c r="L1015" s="137"/>
    </row>
    <row r="1016" spans="11:12" ht="11.25" customHeight="1" x14ac:dyDescent="0.2">
      <c r="K1016" s="241" t="str">
        <f t="shared" si="39"/>
        <v/>
      </c>
      <c r="L1016" s="137"/>
    </row>
    <row r="1017" spans="11:12" ht="11.25" customHeight="1" x14ac:dyDescent="0.2">
      <c r="K1017" s="241" t="str">
        <f t="shared" si="39"/>
        <v/>
      </c>
      <c r="L1017" s="137"/>
    </row>
    <row r="1018" spans="11:12" ht="11.25" customHeight="1" x14ac:dyDescent="0.2">
      <c r="K1018" s="241" t="str">
        <f t="shared" si="39"/>
        <v/>
      </c>
      <c r="L1018" s="137"/>
    </row>
    <row r="1019" spans="11:12" ht="11.25" customHeight="1" x14ac:dyDescent="0.2">
      <c r="K1019" s="241" t="str">
        <f t="shared" si="39"/>
        <v/>
      </c>
      <c r="L1019" s="137"/>
    </row>
    <row r="1020" spans="11:12" ht="11.25" customHeight="1" x14ac:dyDescent="0.2">
      <c r="K1020" s="241" t="str">
        <f t="shared" si="39"/>
        <v/>
      </c>
      <c r="L1020" s="137"/>
    </row>
    <row r="1021" spans="11:12" ht="11.25" customHeight="1" x14ac:dyDescent="0.2">
      <c r="K1021" s="241" t="str">
        <f t="shared" si="39"/>
        <v/>
      </c>
      <c r="L1021" s="137"/>
    </row>
    <row r="1022" spans="11:12" ht="11.25" customHeight="1" x14ac:dyDescent="0.2">
      <c r="K1022" s="241" t="str">
        <f t="shared" si="39"/>
        <v/>
      </c>
      <c r="L1022" s="137"/>
    </row>
    <row r="1023" spans="11:12" ht="11.25" customHeight="1" x14ac:dyDescent="0.2">
      <c r="K1023" s="241" t="str">
        <f t="shared" ref="K1023:K1062" si="41">IF(I968&lt;&gt;"",(F968+G968)/2,"")</f>
        <v/>
      </c>
      <c r="L1023" s="137"/>
    </row>
    <row r="1024" spans="11:12" ht="11.25" customHeight="1" x14ac:dyDescent="0.2">
      <c r="K1024" s="241" t="str">
        <f t="shared" si="41"/>
        <v/>
      </c>
      <c r="L1024" s="137"/>
    </row>
    <row r="1025" spans="11:12" ht="11.25" customHeight="1" x14ac:dyDescent="0.2">
      <c r="K1025" s="241" t="str">
        <f t="shared" si="41"/>
        <v/>
      </c>
      <c r="L1025" s="137"/>
    </row>
    <row r="1026" spans="11:12" ht="11.25" customHeight="1" x14ac:dyDescent="0.2">
      <c r="K1026" s="241" t="str">
        <f t="shared" si="41"/>
        <v/>
      </c>
      <c r="L1026" s="137"/>
    </row>
    <row r="1027" spans="11:12" ht="11.25" customHeight="1" x14ac:dyDescent="0.2">
      <c r="K1027" s="241" t="str">
        <f t="shared" si="41"/>
        <v/>
      </c>
      <c r="L1027" s="137"/>
    </row>
    <row r="1028" spans="11:12" ht="11.25" customHeight="1" x14ac:dyDescent="0.2">
      <c r="K1028" s="241" t="str">
        <f t="shared" si="41"/>
        <v/>
      </c>
      <c r="L1028" s="137"/>
    </row>
    <row r="1029" spans="11:12" ht="11.25" customHeight="1" x14ac:dyDescent="0.2">
      <c r="K1029" s="241" t="str">
        <f t="shared" si="41"/>
        <v/>
      </c>
      <c r="L1029" s="137"/>
    </row>
    <row r="1030" spans="11:12" ht="11.25" customHeight="1" x14ac:dyDescent="0.2">
      <c r="K1030" s="241" t="str">
        <f t="shared" si="41"/>
        <v/>
      </c>
      <c r="L1030" s="137"/>
    </row>
    <row r="1031" spans="11:12" ht="11.25" customHeight="1" x14ac:dyDescent="0.2">
      <c r="K1031" s="241" t="str">
        <f t="shared" si="41"/>
        <v/>
      </c>
      <c r="L1031" s="137"/>
    </row>
    <row r="1032" spans="11:12" ht="11.25" customHeight="1" x14ac:dyDescent="0.2">
      <c r="K1032" s="241" t="str">
        <f t="shared" si="41"/>
        <v/>
      </c>
      <c r="L1032" s="137"/>
    </row>
    <row r="1033" spans="11:12" ht="11.25" customHeight="1" x14ac:dyDescent="0.2">
      <c r="K1033" s="241" t="str">
        <f t="shared" si="41"/>
        <v/>
      </c>
      <c r="L1033" s="137"/>
    </row>
    <row r="1034" spans="11:12" ht="11.25" customHeight="1" x14ac:dyDescent="0.2">
      <c r="K1034" s="241" t="str">
        <f t="shared" si="41"/>
        <v/>
      </c>
      <c r="L1034" s="137"/>
    </row>
    <row r="1035" spans="11:12" ht="11.25" customHeight="1" x14ac:dyDescent="0.2">
      <c r="K1035" s="241" t="str">
        <f t="shared" si="41"/>
        <v/>
      </c>
      <c r="L1035" s="137"/>
    </row>
    <row r="1036" spans="11:12" ht="11.25" customHeight="1" x14ac:dyDescent="0.2">
      <c r="K1036" s="241" t="str">
        <f t="shared" si="41"/>
        <v/>
      </c>
      <c r="L1036" s="137"/>
    </row>
    <row r="1037" spans="11:12" ht="11.25" customHeight="1" x14ac:dyDescent="0.2">
      <c r="K1037" s="241" t="str">
        <f t="shared" si="41"/>
        <v/>
      </c>
      <c r="L1037" s="137"/>
    </row>
    <row r="1038" spans="11:12" ht="11.25" customHeight="1" x14ac:dyDescent="0.2">
      <c r="K1038" s="241" t="str">
        <f t="shared" si="41"/>
        <v/>
      </c>
      <c r="L1038" s="137"/>
    </row>
    <row r="1039" spans="11:12" ht="11.25" customHeight="1" x14ac:dyDescent="0.2">
      <c r="K1039" s="241" t="str">
        <f t="shared" si="41"/>
        <v/>
      </c>
      <c r="L1039" s="137"/>
    </row>
    <row r="1040" spans="11:12" ht="11.25" customHeight="1" x14ac:dyDescent="0.2">
      <c r="K1040" s="241" t="str">
        <f t="shared" si="41"/>
        <v/>
      </c>
      <c r="L1040" s="137"/>
    </row>
    <row r="1041" spans="11:12" ht="11.25" customHeight="1" x14ac:dyDescent="0.2">
      <c r="K1041" s="241" t="str">
        <f t="shared" si="41"/>
        <v/>
      </c>
      <c r="L1041" s="137"/>
    </row>
    <row r="1042" spans="11:12" ht="11.25" customHeight="1" x14ac:dyDescent="0.2">
      <c r="K1042" s="241" t="str">
        <f t="shared" si="41"/>
        <v/>
      </c>
      <c r="L1042" s="137"/>
    </row>
    <row r="1043" spans="11:12" ht="11.25" customHeight="1" x14ac:dyDescent="0.2">
      <c r="K1043" s="241" t="str">
        <f t="shared" si="41"/>
        <v/>
      </c>
      <c r="L1043" s="137"/>
    </row>
    <row r="1044" spans="11:12" ht="11.25" customHeight="1" x14ac:dyDescent="0.2">
      <c r="K1044" s="241" t="str">
        <f t="shared" si="41"/>
        <v/>
      </c>
      <c r="L1044" s="137"/>
    </row>
    <row r="1045" spans="11:12" ht="11.25" customHeight="1" x14ac:dyDescent="0.2">
      <c r="K1045" s="241" t="str">
        <f t="shared" si="41"/>
        <v/>
      </c>
      <c r="L1045" s="137"/>
    </row>
    <row r="1046" spans="11:12" ht="11.25" customHeight="1" x14ac:dyDescent="0.2">
      <c r="K1046" s="241" t="str">
        <f t="shared" si="41"/>
        <v/>
      </c>
      <c r="L1046" s="137"/>
    </row>
    <row r="1047" spans="11:12" ht="11.25" customHeight="1" x14ac:dyDescent="0.2">
      <c r="K1047" s="241" t="str">
        <f t="shared" si="41"/>
        <v/>
      </c>
      <c r="L1047" s="137"/>
    </row>
    <row r="1048" spans="11:12" ht="11.25" customHeight="1" x14ac:dyDescent="0.2">
      <c r="K1048" s="241" t="str">
        <f t="shared" si="41"/>
        <v/>
      </c>
      <c r="L1048" s="137"/>
    </row>
    <row r="1049" spans="11:12" ht="11.25" customHeight="1" x14ac:dyDescent="0.2">
      <c r="K1049" s="241" t="str">
        <f t="shared" si="41"/>
        <v/>
      </c>
      <c r="L1049" s="137"/>
    </row>
    <row r="1050" spans="11:12" ht="11.25" customHeight="1" x14ac:dyDescent="0.2">
      <c r="K1050" s="241" t="str">
        <f t="shared" si="41"/>
        <v/>
      </c>
      <c r="L1050" s="137"/>
    </row>
    <row r="1051" spans="11:12" ht="11.25" customHeight="1" x14ac:dyDescent="0.2">
      <c r="K1051" s="241" t="str">
        <f t="shared" si="41"/>
        <v/>
      </c>
      <c r="L1051" s="137"/>
    </row>
    <row r="1052" spans="11:12" ht="11.25" customHeight="1" x14ac:dyDescent="0.2">
      <c r="K1052" s="241" t="str">
        <f t="shared" si="41"/>
        <v/>
      </c>
      <c r="L1052" s="137"/>
    </row>
    <row r="1053" spans="11:12" ht="11.25" customHeight="1" x14ac:dyDescent="0.2">
      <c r="K1053" s="241" t="str">
        <f t="shared" si="41"/>
        <v/>
      </c>
      <c r="L1053" s="137"/>
    </row>
    <row r="1054" spans="11:12" ht="11.25" customHeight="1" x14ac:dyDescent="0.2">
      <c r="K1054" s="241" t="str">
        <f t="shared" si="41"/>
        <v/>
      </c>
      <c r="L1054" s="137"/>
    </row>
    <row r="1055" spans="11:12" ht="11.25" customHeight="1" x14ac:dyDescent="0.2">
      <c r="K1055" s="241" t="str">
        <f t="shared" si="41"/>
        <v/>
      </c>
      <c r="L1055" s="137"/>
    </row>
    <row r="1056" spans="11:12" ht="11.25" customHeight="1" x14ac:dyDescent="0.2">
      <c r="K1056" s="241" t="str">
        <f t="shared" si="41"/>
        <v/>
      </c>
      <c r="L1056" s="137"/>
    </row>
    <row r="1057" spans="11:12" ht="11.25" customHeight="1" x14ac:dyDescent="0.2">
      <c r="K1057" s="241" t="str">
        <f t="shared" si="41"/>
        <v/>
      </c>
      <c r="L1057" s="137"/>
    </row>
    <row r="1058" spans="11:12" ht="11.25" customHeight="1" x14ac:dyDescent="0.2">
      <c r="K1058" s="241" t="str">
        <f t="shared" si="41"/>
        <v/>
      </c>
      <c r="L1058" s="137"/>
    </row>
    <row r="1059" spans="11:12" ht="11.25" customHeight="1" x14ac:dyDescent="0.2">
      <c r="K1059" s="241" t="str">
        <f t="shared" si="41"/>
        <v/>
      </c>
      <c r="L1059" s="137"/>
    </row>
    <row r="1060" spans="11:12" ht="11.25" customHeight="1" x14ac:dyDescent="0.2">
      <c r="K1060" s="241" t="str">
        <f t="shared" si="41"/>
        <v/>
      </c>
      <c r="L1060" s="137"/>
    </row>
    <row r="1061" spans="11:12" ht="11.25" customHeight="1" x14ac:dyDescent="0.2">
      <c r="K1061" s="241" t="str">
        <f t="shared" si="41"/>
        <v/>
      </c>
      <c r="L1061" s="137"/>
    </row>
    <row r="1062" spans="11:12" ht="11.25" customHeight="1" x14ac:dyDescent="0.2">
      <c r="K1062" s="242" t="str">
        <f t="shared" si="41"/>
        <v/>
      </c>
      <c r="L1062" s="137"/>
    </row>
  </sheetData>
  <sheetProtection sheet="1" objects="1" scenarios="1" selectLockedCells="1"/>
  <phoneticPr fontId="0" type="noConversion"/>
  <dataValidations count="1">
    <dataValidation type="decimal" allowBlank="1" showErrorMessage="1" errorTitle="Confidence level" error="Number, min 0, max 99.9" sqref="Q11:R11">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Brush" shapeId="257109" r:id="rId4">
          <objectPr defaultSize="0" autoPict="0" r:id="rId5">
            <anchor moveWithCells="1" sizeWithCells="1">
              <from>
                <xdr:col>0</xdr:col>
                <xdr:colOff>0</xdr:colOff>
                <xdr:row>0</xdr:row>
                <xdr:rowOff>0</xdr:rowOff>
              </from>
              <to>
                <xdr:col>4</xdr:col>
                <xdr:colOff>0</xdr:colOff>
                <xdr:row>61</xdr:row>
                <xdr:rowOff>0</xdr:rowOff>
              </to>
            </anchor>
          </objectPr>
        </oleObject>
      </mc:Choice>
      <mc:Fallback>
        <oleObject progId="PBrush" shapeId="257109" r:id="rId4"/>
      </mc:Fallback>
    </mc:AlternateContent>
  </oleObjects>
  <mc:AlternateContent xmlns:mc="http://schemas.openxmlformats.org/markup-compatibility/2006">
    <mc:Choice Requires="x14">
      <controls>
        <mc:AlternateContent xmlns:mc="http://schemas.openxmlformats.org/markup-compatibility/2006">
          <mc:Choice Requires="x14">
            <control shapeId="257037" r:id="rId6" name="Button 13">
              <controlPr defaultSize="0" print="0" autoFill="0" autoPict="0" macro="[0]!ConfirmClearPair">
                <anchor moveWithCells="1">
                  <from>
                    <xdr:col>13</xdr:col>
                    <xdr:colOff>209550</xdr:colOff>
                    <xdr:row>1</xdr:row>
                    <xdr:rowOff>47625</xdr:rowOff>
                  </from>
                  <to>
                    <xdr:col>15</xdr:col>
                    <xdr:colOff>371475</xdr:colOff>
                    <xdr:row>2</xdr:row>
                    <xdr:rowOff>123825</xdr:rowOff>
                  </to>
                </anchor>
              </controlPr>
            </control>
          </mc:Choice>
        </mc:AlternateContent>
        <mc:AlternateContent xmlns:mc="http://schemas.openxmlformats.org/markup-compatibility/2006">
          <mc:Choice Requires="x14">
            <control shapeId="257041" r:id="rId7" name="Check Box 17">
              <controlPr defaultSize="0" autoFill="0" autoLine="0" autoPict="0">
                <anchor moveWithCells="1">
                  <from>
                    <xdr:col>12</xdr:col>
                    <xdr:colOff>276225</xdr:colOff>
                    <xdr:row>3</xdr:row>
                    <xdr:rowOff>123825</xdr:rowOff>
                  </from>
                  <to>
                    <xdr:col>15</xdr:col>
                    <xdr:colOff>333375</xdr:colOff>
                    <xdr:row>5</xdr:row>
                    <xdr:rowOff>57150</xdr:rowOff>
                  </to>
                </anchor>
              </controlPr>
            </control>
          </mc:Choice>
        </mc:AlternateContent>
        <mc:AlternateContent xmlns:mc="http://schemas.openxmlformats.org/markup-compatibility/2006">
          <mc:Choice Requires="x14">
            <control shapeId="257042" r:id="rId8" name="Check Box 18">
              <controlPr defaultSize="0" autoFill="0" autoLine="0" autoPict="0">
                <anchor moveWithCells="1">
                  <from>
                    <xdr:col>11</xdr:col>
                    <xdr:colOff>0</xdr:colOff>
                    <xdr:row>5</xdr:row>
                    <xdr:rowOff>95250</xdr:rowOff>
                  </from>
                  <to>
                    <xdr:col>11</xdr:col>
                    <xdr:colOff>304800</xdr:colOff>
                    <xdr:row>7</xdr:row>
                    <xdr:rowOff>28575</xdr:rowOff>
                  </to>
                </anchor>
              </controlPr>
            </control>
          </mc:Choice>
        </mc:AlternateContent>
        <mc:AlternateContent xmlns:mc="http://schemas.openxmlformats.org/markup-compatibility/2006">
          <mc:Choice Requires="x14">
            <control shapeId="257049" r:id="rId9" name="Check Box 25">
              <controlPr defaultSize="0" autoFill="0" autoLine="0" autoPict="0">
                <anchor moveWithCells="1">
                  <from>
                    <xdr:col>11</xdr:col>
                    <xdr:colOff>0</xdr:colOff>
                    <xdr:row>9</xdr:row>
                    <xdr:rowOff>104775</xdr:rowOff>
                  </from>
                  <to>
                    <xdr:col>11</xdr:col>
                    <xdr:colOff>304800</xdr:colOff>
                    <xdr:row>11</xdr:row>
                    <xdr:rowOff>47625</xdr:rowOff>
                  </to>
                </anchor>
              </controlPr>
            </control>
          </mc:Choice>
        </mc:AlternateContent>
        <mc:AlternateContent xmlns:mc="http://schemas.openxmlformats.org/markup-compatibility/2006">
          <mc:Choice Requires="x14">
            <control shapeId="257050" r:id="rId10" name="Spinner 26">
              <controlPr defaultSize="0" autoPict="0">
                <anchor moveWithCells="1">
                  <from>
                    <xdr:col>17</xdr:col>
                    <xdr:colOff>9525</xdr:colOff>
                    <xdr:row>9</xdr:row>
                    <xdr:rowOff>104775</xdr:rowOff>
                  </from>
                  <to>
                    <xdr:col>18</xdr:col>
                    <xdr:colOff>95250</xdr:colOff>
                    <xdr:row>11</xdr:row>
                    <xdr:rowOff>66675</xdr:rowOff>
                  </to>
                </anchor>
              </controlPr>
            </control>
          </mc:Choice>
        </mc:AlternateContent>
        <mc:AlternateContent xmlns:mc="http://schemas.openxmlformats.org/markup-compatibility/2006">
          <mc:Choice Requires="x14">
            <control shapeId="257051" r:id="rId11" name="Check Box 27">
              <controlPr defaultSize="0" autoFill="0" autoLine="0" autoPict="0">
                <anchor moveWithCells="1">
                  <from>
                    <xdr:col>12</xdr:col>
                    <xdr:colOff>285750</xdr:colOff>
                    <xdr:row>11</xdr:row>
                    <xdr:rowOff>66675</xdr:rowOff>
                  </from>
                  <to>
                    <xdr:col>16</xdr:col>
                    <xdr:colOff>123825</xdr:colOff>
                    <xdr:row>13</xdr:row>
                    <xdr:rowOff>9525</xdr:rowOff>
                  </to>
                </anchor>
              </controlPr>
            </control>
          </mc:Choice>
        </mc:AlternateContent>
        <mc:AlternateContent xmlns:mc="http://schemas.openxmlformats.org/markup-compatibility/2006">
          <mc:Choice Requires="x14">
            <control shapeId="257060" r:id="rId12" name="Check Box 36">
              <controlPr defaultSize="0" autoFill="0" autoLine="0" autoPict="0">
                <anchor moveWithCells="1">
                  <from>
                    <xdr:col>7</xdr:col>
                    <xdr:colOff>133350</xdr:colOff>
                    <xdr:row>6</xdr:row>
                    <xdr:rowOff>104775</xdr:rowOff>
                  </from>
                  <to>
                    <xdr:col>8</xdr:col>
                    <xdr:colOff>295275</xdr:colOff>
                    <xdr:row>8</xdr:row>
                    <xdr:rowOff>38100</xdr:rowOff>
                  </to>
                </anchor>
              </controlPr>
            </control>
          </mc:Choice>
        </mc:AlternateContent>
        <mc:AlternateContent xmlns:mc="http://schemas.openxmlformats.org/markup-compatibility/2006">
          <mc:Choice Requires="x14">
            <control shapeId="257065" r:id="rId13" name="Check Box 41">
              <controlPr defaultSize="0" autoFill="0" autoLine="0" autoPict="0">
                <anchor moveWithCells="1">
                  <from>
                    <xdr:col>7</xdr:col>
                    <xdr:colOff>133350</xdr:colOff>
                    <xdr:row>8</xdr:row>
                    <xdr:rowOff>104775</xdr:rowOff>
                  </from>
                  <to>
                    <xdr:col>8</xdr:col>
                    <xdr:colOff>295275</xdr:colOff>
                    <xdr:row>10</xdr:row>
                    <xdr:rowOff>38100</xdr:rowOff>
                  </to>
                </anchor>
              </controlPr>
            </control>
          </mc:Choice>
        </mc:AlternateContent>
        <mc:AlternateContent xmlns:mc="http://schemas.openxmlformats.org/markup-compatibility/2006">
          <mc:Choice Requires="x14">
            <control shapeId="257066" r:id="rId14" name="Check Box 42">
              <controlPr defaultSize="0" autoFill="0" autoLine="0" autoPict="0">
                <anchor moveWithCells="1">
                  <from>
                    <xdr:col>7</xdr:col>
                    <xdr:colOff>133350</xdr:colOff>
                    <xdr:row>10</xdr:row>
                    <xdr:rowOff>104775</xdr:rowOff>
                  </from>
                  <to>
                    <xdr:col>8</xdr:col>
                    <xdr:colOff>295275</xdr:colOff>
                    <xdr:row>12</xdr:row>
                    <xdr:rowOff>38100</xdr:rowOff>
                  </to>
                </anchor>
              </controlPr>
            </control>
          </mc:Choice>
        </mc:AlternateContent>
        <mc:AlternateContent xmlns:mc="http://schemas.openxmlformats.org/markup-compatibility/2006">
          <mc:Choice Requires="x14">
            <control shapeId="257067" r:id="rId15" name="Check Box 43">
              <controlPr defaultSize="0" autoFill="0" autoLine="0" autoPict="0">
                <anchor moveWithCells="1">
                  <from>
                    <xdr:col>7</xdr:col>
                    <xdr:colOff>133350</xdr:colOff>
                    <xdr:row>12</xdr:row>
                    <xdr:rowOff>104775</xdr:rowOff>
                  </from>
                  <to>
                    <xdr:col>8</xdr:col>
                    <xdr:colOff>295275</xdr:colOff>
                    <xdr:row>14</xdr:row>
                    <xdr:rowOff>38100</xdr:rowOff>
                  </to>
                </anchor>
              </controlPr>
            </control>
          </mc:Choice>
        </mc:AlternateContent>
        <mc:AlternateContent xmlns:mc="http://schemas.openxmlformats.org/markup-compatibility/2006">
          <mc:Choice Requires="x14">
            <control shapeId="257077" r:id="rId16" name="Check Box 53">
              <controlPr defaultSize="0" autoFill="0" autoLine="0" autoPict="0" macro="[0]!Revealddatapaired">
                <anchor moveWithCells="1">
                  <from>
                    <xdr:col>37</xdr:col>
                    <xdr:colOff>104775</xdr:colOff>
                    <xdr:row>8</xdr:row>
                    <xdr:rowOff>47625</xdr:rowOff>
                  </from>
                  <to>
                    <xdr:col>37</xdr:col>
                    <xdr:colOff>409575</xdr:colOff>
                    <xdr:row>9</xdr:row>
                    <xdr:rowOff>123825</xdr:rowOff>
                  </to>
                </anchor>
              </controlPr>
            </control>
          </mc:Choice>
        </mc:AlternateContent>
        <mc:AlternateContent xmlns:mc="http://schemas.openxmlformats.org/markup-compatibility/2006">
          <mc:Choice Requires="x14">
            <control shapeId="257079" r:id="rId17" name="Button 55">
              <controlPr defaultSize="0" print="0" autoFill="0" autoPict="0" macro="[0]!ShiftDataPaired">
                <anchor moveWithCells="1">
                  <from>
                    <xdr:col>11</xdr:col>
                    <xdr:colOff>19050</xdr:colOff>
                    <xdr:row>34</xdr:row>
                    <xdr:rowOff>133350</xdr:rowOff>
                  </from>
                  <to>
                    <xdr:col>12</xdr:col>
                    <xdr:colOff>390525</xdr:colOff>
                    <xdr:row>35</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1"/>
  <dimension ref="A1:AW162"/>
  <sheetViews>
    <sheetView showGridLines="0" showRowColHeaders="0" topLeftCell="E1" workbookViewId="0">
      <selection activeCell="C2" sqref="C2:C8"/>
    </sheetView>
  </sheetViews>
  <sheetFormatPr defaultRowHeight="11.25" customHeight="1" x14ac:dyDescent="0.2"/>
  <cols>
    <col min="1" max="4" width="5.7109375" style="1" hidden="1" customWidth="1"/>
    <col min="5" max="5" width="0.5703125" style="1" customWidth="1"/>
    <col min="6" max="6" width="3" style="1" customWidth="1"/>
    <col min="7" max="7" width="7.140625" style="1" customWidth="1"/>
    <col min="8" max="8" width="3.85546875" style="1" customWidth="1"/>
    <col min="9" max="10" width="4.85546875" style="1" customWidth="1"/>
    <col min="11" max="11" width="2.85546875" style="1" customWidth="1"/>
    <col min="12" max="12" width="4.85546875" style="1" customWidth="1"/>
    <col min="13" max="13" width="6.28515625" style="1" customWidth="1"/>
    <col min="14" max="14" width="3.5703125" style="1" customWidth="1"/>
    <col min="15" max="15" width="2.140625" style="1" customWidth="1"/>
    <col min="16" max="16" width="5.7109375" style="1" customWidth="1"/>
    <col min="17" max="18" width="7.7109375" style="1" customWidth="1"/>
    <col min="19" max="19" width="6.7109375" style="1" customWidth="1"/>
    <col min="20" max="20" width="6.85546875" style="1" customWidth="1"/>
    <col min="21" max="21" width="4" style="1" customWidth="1"/>
    <col min="22" max="22" width="5.42578125" style="1" customWidth="1"/>
    <col min="23" max="23" width="0.85546875" style="1" customWidth="1"/>
    <col min="24" max="24" width="4" style="1" customWidth="1"/>
    <col min="25" max="25" width="6.5703125" style="1" customWidth="1"/>
    <col min="26" max="26" width="9.140625" style="1"/>
    <col min="27" max="28" width="9" style="1" customWidth="1"/>
    <col min="29" max="29" width="9.140625" style="1"/>
    <col min="30" max="30" width="5.140625" style="1" customWidth="1"/>
    <col min="31" max="31" width="8.28515625" style="1" customWidth="1"/>
    <col min="32" max="32" width="6" style="1" customWidth="1"/>
    <col min="33" max="33" width="2.42578125" style="1" customWidth="1"/>
    <col min="34" max="34" width="4.28515625" style="1" customWidth="1"/>
    <col min="35" max="35" width="0.5703125" style="1" customWidth="1"/>
    <col min="36" max="36" width="6.7109375" style="1" customWidth="1"/>
    <col min="37" max="37" width="3.28515625" style="1" customWidth="1"/>
    <col min="38" max="43" width="9.140625" style="1"/>
    <col min="44" max="44" width="4.28515625" style="1" customWidth="1"/>
    <col min="45" max="45" width="10.85546875" style="1" customWidth="1"/>
    <col min="46" max="16384" width="9.140625" style="1"/>
  </cols>
  <sheetData>
    <row r="1" spans="1:45" ht="11.25" customHeight="1" x14ac:dyDescent="0.2">
      <c r="A1" s="1" t="s">
        <v>541</v>
      </c>
      <c r="B1" s="13" t="b">
        <f>AND(D3=C3,D4=C4,D2=C2,D5=C5,D6=C6,B2)</f>
        <v>1</v>
      </c>
      <c r="G1" s="138"/>
      <c r="H1" s="4" t="s">
        <v>609</v>
      </c>
      <c r="K1" s="4"/>
      <c r="P1" s="239"/>
      <c r="Q1" s="150"/>
      <c r="R1" s="243" t="s">
        <v>788</v>
      </c>
      <c r="T1" s="142"/>
      <c r="X1" s="208">
        <f t="shared" ref="X1:AE1" si="0">($M$21+$D$3+$D$4+$D$6+$L$11+$D$5)/100000</f>
        <v>2.1800000000000001E-3</v>
      </c>
      <c r="Y1" s="208">
        <f t="shared" si="0"/>
        <v>2.1800000000000001E-3</v>
      </c>
      <c r="Z1" s="208">
        <f t="shared" si="0"/>
        <v>2.1800000000000001E-3</v>
      </c>
      <c r="AA1" s="208">
        <f t="shared" si="0"/>
        <v>2.1800000000000001E-3</v>
      </c>
      <c r="AB1" s="208">
        <f t="shared" si="0"/>
        <v>2.1800000000000001E-3</v>
      </c>
      <c r="AC1" s="208">
        <f t="shared" si="0"/>
        <v>2.1800000000000001E-3</v>
      </c>
      <c r="AD1" s="208">
        <f t="shared" si="0"/>
        <v>2.1800000000000001E-3</v>
      </c>
      <c r="AE1" s="51">
        <f t="shared" si="0"/>
        <v>2.1800000000000001E-3</v>
      </c>
    </row>
    <row r="2" spans="1:45" ht="11.25" customHeight="1" x14ac:dyDescent="0.2">
      <c r="A2" s="1" t="s">
        <v>543</v>
      </c>
      <c r="B2" s="13" t="b">
        <f>AND(D4&gt;=0,D4&lt;=50,D3&gt;=0,D3&lt;=100,D5&gt;=0,D5&lt;=100,D6&gt;=0,D6&lt;=50,L11&gt;=2,L11&lt;=100,M21&gt;=0,M21&lt;=99.9,AA13&gt;=-1,AA13&lt;=1)</f>
        <v>1</v>
      </c>
      <c r="C2" s="10">
        <v>8</v>
      </c>
      <c r="D2" s="1">
        <f>L11</f>
        <v>8</v>
      </c>
      <c r="G2" s="143"/>
      <c r="H2" s="1" t="s">
        <v>290</v>
      </c>
      <c r="N2" s="45"/>
      <c r="P2" s="45"/>
      <c r="Q2" s="244" t="s">
        <v>578</v>
      </c>
      <c r="R2" s="245" t="s">
        <v>579</v>
      </c>
      <c r="S2" s="246"/>
      <c r="T2" s="142"/>
      <c r="X2" s="208">
        <f t="shared" ref="X2:X36" si="1">($M$21+$D$3+$D$4+$D$6+$L$11+$D$5)/100000</f>
        <v>2.1800000000000001E-3</v>
      </c>
      <c r="Y2" s="10"/>
      <c r="AD2" s="1" t="s">
        <v>545</v>
      </c>
      <c r="AE2" s="51">
        <f t="shared" ref="AE2:AE36" si="2">($M$21+$D$3+$D$4+$D$6+$L$11+$D$5)/100000</f>
        <v>2.1800000000000001E-3</v>
      </c>
    </row>
    <row r="3" spans="1:45" ht="11.25" customHeight="1" x14ac:dyDescent="0.2">
      <c r="A3" s="1" t="s">
        <v>611</v>
      </c>
      <c r="B3" s="10" t="b">
        <v>0</v>
      </c>
      <c r="C3" s="144">
        <v>51</v>
      </c>
      <c r="D3" s="145">
        <v>51</v>
      </c>
      <c r="G3" s="143"/>
      <c r="H3" s="1" t="s">
        <v>610</v>
      </c>
      <c r="M3" s="45"/>
      <c r="N3" s="45"/>
      <c r="Q3" s="247" t="str">
        <f>IF(Q12="","",Q12)</f>
        <v>Pretest</v>
      </c>
      <c r="R3" s="247" t="str">
        <f>IF(R12="","",R12)</f>
        <v>Posttest</v>
      </c>
      <c r="S3" s="246"/>
      <c r="T3" s="248" t="s">
        <v>789</v>
      </c>
      <c r="X3" s="208">
        <f t="shared" si="1"/>
        <v>2.1800000000000001E-3</v>
      </c>
      <c r="Z3" s="1" t="s">
        <v>754</v>
      </c>
      <c r="AA3" s="10" t="b">
        <v>0</v>
      </c>
      <c r="AD3" s="10">
        <v>20</v>
      </c>
      <c r="AE3" s="51">
        <f t="shared" si="2"/>
        <v>2.1800000000000001E-3</v>
      </c>
    </row>
    <row r="4" spans="1:45" ht="12" customHeight="1" x14ac:dyDescent="0.3">
      <c r="A4" s="1" t="s">
        <v>612</v>
      </c>
      <c r="B4" s="10" t="b">
        <v>0</v>
      </c>
      <c r="C4" s="10">
        <v>13</v>
      </c>
      <c r="D4" s="145">
        <v>13</v>
      </c>
      <c r="H4" s="1" t="s">
        <v>573</v>
      </c>
      <c r="M4" s="249"/>
      <c r="N4" s="150"/>
      <c r="O4" s="89"/>
      <c r="P4" s="152" t="s">
        <v>785</v>
      </c>
      <c r="Q4" s="251">
        <f>IF(B1,AVERAGE(Q13:Q112),"")</f>
        <v>42.556760820537207</v>
      </c>
      <c r="R4" s="251">
        <f>IF($B$1,AVERAGE(R13:R112),"")</f>
        <v>50.889960423040222</v>
      </c>
      <c r="S4" s="252" t="s">
        <v>653</v>
      </c>
      <c r="T4" s="253">
        <f>IF($B$1,AVERAGE(T13:T112),"")</f>
        <v>8.333199602503008</v>
      </c>
      <c r="U4" s="46" t="str">
        <f>IF($U$12="","",$U$12)</f>
        <v>cm</v>
      </c>
      <c r="V4" s="46"/>
      <c r="W4" s="46"/>
      <c r="X4" s="208">
        <f t="shared" si="1"/>
        <v>2.1800000000000001E-3</v>
      </c>
      <c r="Z4" s="1" t="s">
        <v>755</v>
      </c>
      <c r="AA4" s="10" t="b">
        <v>0</v>
      </c>
      <c r="AD4" s="1">
        <f>4*(20-AD3)</f>
        <v>0</v>
      </c>
      <c r="AE4" s="51">
        <f t="shared" si="2"/>
        <v>2.1800000000000001E-3</v>
      </c>
      <c r="AF4" s="810"/>
      <c r="AG4" s="812" t="s">
        <v>1058</v>
      </c>
      <c r="AH4" s="15"/>
      <c r="AI4" s="15"/>
      <c r="AJ4" s="15"/>
      <c r="AK4" s="16"/>
    </row>
    <row r="5" spans="1:45" ht="11.25" customHeight="1" x14ac:dyDescent="0.3">
      <c r="A5" s="1" t="s">
        <v>613</v>
      </c>
      <c r="B5" s="10" t="b">
        <v>1</v>
      </c>
      <c r="C5" s="10">
        <v>45</v>
      </c>
      <c r="D5" s="145">
        <v>45</v>
      </c>
      <c r="M5" s="45"/>
      <c r="N5" s="150"/>
      <c r="O5" s="89"/>
      <c r="P5" s="813" t="s">
        <v>1077</v>
      </c>
      <c r="Q5" s="254">
        <f>IF(B1,STDEV(Q13:Q112),"")</f>
        <v>15.15729325573586</v>
      </c>
      <c r="R5" s="251">
        <f>IF($B$1,STDEV(R13:R112),"")</f>
        <v>13.210488928834478</v>
      </c>
      <c r="S5" s="255" t="s">
        <v>786</v>
      </c>
      <c r="T5" s="256">
        <f>IF($B$1,STDEV(T13:T112),"")</f>
        <v>4.8412751150871696</v>
      </c>
      <c r="U5" s="46" t="str">
        <f>IF(U12="","",U12)</f>
        <v>cm</v>
      </c>
      <c r="V5" s="46"/>
      <c r="W5" s="46"/>
      <c r="X5" s="208">
        <f t="shared" si="1"/>
        <v>2.1800000000000001E-3</v>
      </c>
      <c r="Z5" s="1" t="s">
        <v>756</v>
      </c>
      <c r="AA5" s="10" t="b">
        <v>0</v>
      </c>
      <c r="AE5" s="51">
        <f t="shared" si="2"/>
        <v>2.1800000000000001E-3</v>
      </c>
      <c r="AF5" s="75"/>
      <c r="AG5" s="17"/>
      <c r="AH5" s="17"/>
      <c r="AI5" s="17"/>
      <c r="AJ5" s="17"/>
      <c r="AK5" s="18"/>
    </row>
    <row r="6" spans="1:45" ht="12" customHeight="1" x14ac:dyDescent="0.3">
      <c r="A6" s="1" t="s">
        <v>569</v>
      </c>
      <c r="B6" s="10" t="b">
        <v>0</v>
      </c>
      <c r="C6" s="10">
        <v>6</v>
      </c>
      <c r="D6" s="257">
        <v>6</v>
      </c>
      <c r="H6" s="38">
        <v>1</v>
      </c>
      <c r="K6" s="158">
        <v>12</v>
      </c>
      <c r="L6" s="159" t="s">
        <v>545</v>
      </c>
      <c r="M6" s="45"/>
      <c r="N6" s="246"/>
      <c r="O6" s="89"/>
      <c r="P6" s="381" t="s">
        <v>787</v>
      </c>
      <c r="Q6" s="251">
        <f>IF(B1,(Q5/SQRT(C2))*TINV(1-M21/100,(C2-1)),"")</f>
        <v>12.671814277072103</v>
      </c>
      <c r="R6" s="251">
        <f>IF($B$1,(R5/SQRT($C$2))*TINV(1-$M$21/100,($C$2-1)),"")</f>
        <v>11.044245129463301</v>
      </c>
      <c r="S6" s="258" t="s">
        <v>651</v>
      </c>
      <c r="T6" s="256">
        <f>IF($B$1,(T5/SQRT($C$2))*TINV(1-$M$21/100,($C$2-1)),"")</f>
        <v>4.0474072835781625</v>
      </c>
      <c r="U6" s="46" t="str">
        <f>IF(U12="","",U12)</f>
        <v>cm</v>
      </c>
      <c r="V6" s="46"/>
      <c r="W6" s="46"/>
      <c r="X6" s="208">
        <f t="shared" si="1"/>
        <v>2.1800000000000001E-3</v>
      </c>
      <c r="Y6" s="19"/>
      <c r="Z6" s="1" t="s">
        <v>757</v>
      </c>
      <c r="AA6" s="10" t="b">
        <v>0</v>
      </c>
      <c r="AE6" s="51">
        <f t="shared" si="2"/>
        <v>2.1800000000000001E-3</v>
      </c>
      <c r="AF6" s="792" t="s">
        <v>1085</v>
      </c>
      <c r="AG6" s="1019" t="str">
        <f>IF(AND(D12,B1),D13,"")</f>
        <v/>
      </c>
      <c r="AH6" s="1019"/>
      <c r="AI6" s="842" t="str">
        <f>IF($U$12="","",$U$12)</f>
        <v>cm</v>
      </c>
      <c r="AJ6" s="17"/>
      <c r="AK6" s="18"/>
    </row>
    <row r="7" spans="1:45" ht="11.25" customHeight="1" x14ac:dyDescent="0.2">
      <c r="A7" s="1" t="s">
        <v>575</v>
      </c>
      <c r="B7" s="10" t="b">
        <v>1</v>
      </c>
      <c r="C7" s="10">
        <v>0.75414690183390576</v>
      </c>
      <c r="D7" s="1">
        <f ca="1">RAND()</f>
        <v>0.66000442790401825</v>
      </c>
      <c r="L7" s="160"/>
      <c r="M7" s="137"/>
      <c r="N7" s="246"/>
      <c r="O7" s="89"/>
      <c r="P7" s="380" t="s">
        <v>576</v>
      </c>
      <c r="Q7" s="1020">
        <f>IF(B1,CORREL(Q13:Q112,R13:R112),"")</f>
        <v>0.95093796624963933</v>
      </c>
      <c r="R7" s="1021"/>
      <c r="S7" s="262" t="s">
        <v>577</v>
      </c>
      <c r="T7" s="263">
        <f>IF($B$1,T4,"")</f>
        <v>8.333199602503008</v>
      </c>
      <c r="U7" s="46" t="str">
        <f>IF(U12="","",U12)</f>
        <v>cm</v>
      </c>
      <c r="V7" s="46"/>
      <c r="W7" s="46"/>
      <c r="X7" s="208">
        <f t="shared" si="1"/>
        <v>2.1800000000000001E-3</v>
      </c>
      <c r="Z7" s="1" t="s">
        <v>783</v>
      </c>
      <c r="AA7" s="1">
        <v>3.7</v>
      </c>
      <c r="AE7" s="51">
        <f t="shared" si="2"/>
        <v>2.1800000000000001E-3</v>
      </c>
      <c r="AF7" s="75"/>
      <c r="AG7" s="17"/>
      <c r="AH7" s="17"/>
      <c r="AI7" s="17"/>
      <c r="AJ7" s="17"/>
      <c r="AK7" s="18"/>
    </row>
    <row r="8" spans="1:45" ht="11.25" customHeight="1" x14ac:dyDescent="0.2">
      <c r="A8" s="1" t="s">
        <v>570</v>
      </c>
      <c r="B8" s="10" t="b">
        <v>1</v>
      </c>
      <c r="C8" s="10">
        <v>95</v>
      </c>
      <c r="D8" s="1">
        <f>M21</f>
        <v>95</v>
      </c>
      <c r="H8" s="163"/>
      <c r="L8" s="164">
        <f>AD3</f>
        <v>20</v>
      </c>
      <c r="M8" s="137"/>
      <c r="N8" s="137"/>
      <c r="O8" s="137"/>
      <c r="P8"/>
      <c r="Q8"/>
      <c r="R8"/>
      <c r="S8" s="382" t="s">
        <v>771</v>
      </c>
      <c r="T8" s="388">
        <f>IF($B$1,T4/(T5/SQRT(L11)))</f>
        <v>4.8685206337874671</v>
      </c>
      <c r="U8" s="384" t="s">
        <v>702</v>
      </c>
      <c r="V8" s="376">
        <f>IF(B1,L11-1,"")</f>
        <v>7</v>
      </c>
      <c r="W8" s="386"/>
      <c r="X8" s="208">
        <f t="shared" si="1"/>
        <v>2.1800000000000001E-3</v>
      </c>
      <c r="AE8" s="51">
        <f t="shared" si="2"/>
        <v>2.1800000000000001E-3</v>
      </c>
      <c r="AF8" s="792" t="s">
        <v>1074</v>
      </c>
      <c r="AG8" s="1001" t="str">
        <f>IF(AND(D12,B1),T4/D13,"")</f>
        <v/>
      </c>
      <c r="AH8" s="1001"/>
      <c r="AI8" s="17"/>
      <c r="AJ8" s="17"/>
      <c r="AK8" s="18"/>
      <c r="AR8" s="798" t="s">
        <v>1073</v>
      </c>
      <c r="AS8" s="16"/>
    </row>
    <row r="9" spans="1:45" ht="11.25" customHeight="1" x14ac:dyDescent="0.2">
      <c r="A9" s="3" t="s">
        <v>511</v>
      </c>
      <c r="B9" s="10">
        <v>1</v>
      </c>
      <c r="O9" s="137"/>
      <c r="P9"/>
      <c r="Q9"/>
      <c r="R9"/>
      <c r="S9" s="843" t="s">
        <v>1086</v>
      </c>
      <c r="T9" s="897">
        <f>IF(B1,TDIST(ABS(T8),V8,2),"")</f>
        <v>1.8173305792110646E-3</v>
      </c>
      <c r="X9" s="208">
        <f t="shared" si="1"/>
        <v>2.1800000000000001E-3</v>
      </c>
      <c r="Z9" s="1" t="s">
        <v>578</v>
      </c>
      <c r="AA9" s="19" t="s">
        <v>579</v>
      </c>
      <c r="AE9" s="51">
        <f t="shared" si="2"/>
        <v>2.1800000000000001E-3</v>
      </c>
      <c r="AF9" s="793"/>
      <c r="AG9" s="17"/>
      <c r="AH9" s="794"/>
      <c r="AI9" s="851" t="s">
        <v>1089</v>
      </c>
      <c r="AJ9" s="794"/>
      <c r="AK9" s="18"/>
      <c r="AR9" s="75"/>
      <c r="AS9" s="799" t="s">
        <v>1045</v>
      </c>
    </row>
    <row r="10" spans="1:45" ht="11.25" customHeight="1" x14ac:dyDescent="0.2">
      <c r="A10" s="782" t="s">
        <v>1056</v>
      </c>
      <c r="B10" s="227" t="b">
        <f>(D8=C8)</f>
        <v>1</v>
      </c>
      <c r="F10" s="6">
        <v>4</v>
      </c>
      <c r="G10" s="168" t="s">
        <v>502</v>
      </c>
      <c r="H10" s="2"/>
      <c r="I10" s="267"/>
      <c r="J10" s="2"/>
      <c r="K10" s="2"/>
      <c r="L10" s="2"/>
      <c r="M10" s="2"/>
      <c r="N10" s="297"/>
      <c r="P10" s="137"/>
      <c r="R10" s="265"/>
      <c r="S10" s="46"/>
      <c r="T10" s="266"/>
      <c r="U10" s="1026" t="s">
        <v>628</v>
      </c>
      <c r="V10" s="1027"/>
      <c r="X10" s="208">
        <f t="shared" si="1"/>
        <v>2.1800000000000001E-3</v>
      </c>
      <c r="Z10" s="10" t="b">
        <v>0</v>
      </c>
      <c r="AA10" s="1" t="s">
        <v>615</v>
      </c>
      <c r="AB10" s="1">
        <v>0.5</v>
      </c>
      <c r="AC10" s="1">
        <f>IF(AND($B$1,$B$9=1),$Q$4,NA())</f>
        <v>42.556760820537207</v>
      </c>
      <c r="AE10" s="51">
        <f t="shared" si="2"/>
        <v>2.1800000000000001E-3</v>
      </c>
      <c r="AF10" s="795" t="s">
        <v>1069</v>
      </c>
      <c r="AG10" s="1009" t="str">
        <f>IF(AND(D14,D12,B1),C19*T5/(D13*SQRT(L11)),"")</f>
        <v/>
      </c>
      <c r="AH10" s="1009"/>
      <c r="AI10" s="796" t="s">
        <v>572</v>
      </c>
      <c r="AJ10" s="836" t="str">
        <f>IF(AND(D14,D12,B1),D19*T5/(D13*SQRT(L11)),"")</f>
        <v/>
      </c>
      <c r="AK10" s="797" t="s">
        <v>531</v>
      </c>
      <c r="AR10" s="75"/>
      <c r="AS10" s="800" t="s">
        <v>1055</v>
      </c>
    </row>
    <row r="11" spans="1:45" ht="11.25" customHeight="1" x14ac:dyDescent="0.2">
      <c r="C11" s="3" t="s">
        <v>614</v>
      </c>
      <c r="D11" s="10" t="b">
        <v>0</v>
      </c>
      <c r="F11" s="169"/>
      <c r="G11" s="215"/>
      <c r="H11" s="8"/>
      <c r="I11" s="8"/>
      <c r="J11" s="215" t="s">
        <v>616</v>
      </c>
      <c r="K11" s="170" t="s">
        <v>780</v>
      </c>
      <c r="L11" s="47">
        <v>8</v>
      </c>
      <c r="M11" s="170"/>
      <c r="N11" s="391"/>
      <c r="O11" s="389"/>
      <c r="P11" s="211"/>
      <c r="Q11" s="260" t="s">
        <v>578</v>
      </c>
      <c r="R11" s="261" t="s">
        <v>579</v>
      </c>
      <c r="S11" s="246"/>
      <c r="T11" s="243" t="s">
        <v>627</v>
      </c>
      <c r="U11" s="1022" t="s">
        <v>790</v>
      </c>
      <c r="V11" s="1023"/>
      <c r="W11" s="385"/>
      <c r="X11" s="208">
        <f t="shared" si="1"/>
        <v>2.1800000000000001E-3</v>
      </c>
      <c r="AB11" s="1">
        <v>2.5</v>
      </c>
      <c r="AC11" s="1">
        <f>IF(AND($B$1,$B$9=1),$R$4,NA())</f>
        <v>50.889960423040222</v>
      </c>
      <c r="AE11" s="51">
        <f t="shared" si="2"/>
        <v>2.1800000000000001E-3</v>
      </c>
      <c r="AF11" s="75"/>
      <c r="AG11" s="302"/>
      <c r="AH11" s="302"/>
      <c r="AI11" s="17"/>
      <c r="AJ11" s="17"/>
      <c r="AK11" s="18"/>
      <c r="AR11" s="55"/>
      <c r="AS11" s="80"/>
    </row>
    <row r="12" spans="1:45" ht="11.25" customHeight="1" x14ac:dyDescent="0.3">
      <c r="C12" s="3" t="s">
        <v>1046</v>
      </c>
      <c r="D12" s="10" t="b">
        <v>0</v>
      </c>
      <c r="F12" s="53"/>
      <c r="G12" s="54"/>
      <c r="H12" s="54"/>
      <c r="I12" s="54"/>
      <c r="J12" s="54"/>
      <c r="K12" s="54"/>
      <c r="L12" s="54"/>
      <c r="M12" s="54"/>
      <c r="N12" s="93"/>
      <c r="O12" s="390">
        <v>2</v>
      </c>
      <c r="P12" s="268" t="s">
        <v>617</v>
      </c>
      <c r="Q12" s="269" t="s">
        <v>598</v>
      </c>
      <c r="R12" s="270" t="s">
        <v>599</v>
      </c>
      <c r="S12" s="271" t="s">
        <v>618</v>
      </c>
      <c r="U12" s="1024" t="s">
        <v>515</v>
      </c>
      <c r="V12" s="1025"/>
      <c r="W12" s="387"/>
      <c r="X12" s="208">
        <f t="shared" si="1"/>
        <v>2.1800000000000001E-3</v>
      </c>
      <c r="Z12" s="1" t="s">
        <v>581</v>
      </c>
      <c r="AB12" s="1">
        <v>0.5</v>
      </c>
      <c r="AC12" s="1">
        <f>IF(AND($B$7,$B$1),$Q$4,NA())</f>
        <v>42.556760820537207</v>
      </c>
      <c r="AE12" s="51">
        <f t="shared" si="2"/>
        <v>2.1800000000000001E-3</v>
      </c>
      <c r="AF12" s="75"/>
      <c r="AG12" s="17"/>
      <c r="AH12" s="886" t="s">
        <v>1120</v>
      </c>
      <c r="AI12" s="888"/>
      <c r="AJ12" s="892" t="str">
        <f>IF(AND(D14,D12,B1),(AJ10-AG10)/2,"")</f>
        <v/>
      </c>
      <c r="AK12" s="18"/>
    </row>
    <row r="13" spans="1:45" ht="11.25" customHeight="1" x14ac:dyDescent="0.2">
      <c r="C13" s="782" t="s">
        <v>1070</v>
      </c>
      <c r="D13" s="784">
        <f>IF(B1,SQRT((Q5^2+R5^2)/2),"")</f>
        <v>14.217252839054986</v>
      </c>
      <c r="F13" s="58">
        <v>5</v>
      </c>
      <c r="G13" s="73" t="s">
        <v>620</v>
      </c>
      <c r="H13" s="59"/>
      <c r="I13" s="279"/>
      <c r="J13" s="279"/>
      <c r="K13" s="279"/>
      <c r="L13" s="279"/>
      <c r="M13" s="59"/>
      <c r="N13" s="59"/>
      <c r="O13" s="150"/>
      <c r="P13" s="272" t="s">
        <v>629</v>
      </c>
      <c r="Q13" s="273">
        <f t="shared" ref="Q13:Q44" si="3">IF(AND(X63&lt;=$C$2,$B$1),Y63,"")</f>
        <v>31.599391615551518</v>
      </c>
      <c r="R13" s="274">
        <f t="shared" ref="R13:R44" si="4">IF(AND(X63&lt;=$C$2,$B$1),Z63,"")</f>
        <v>41.72497744089052</v>
      </c>
      <c r="S13" s="275"/>
      <c r="T13" s="278">
        <f t="shared" ref="T13:T44" si="5">IF(AND(X63&lt;=$C$2,$B$1),R13-Q13,"")</f>
        <v>10.125585825339002</v>
      </c>
      <c r="W13" s="383"/>
      <c r="X13" s="208">
        <f t="shared" si="1"/>
        <v>2.1800000000000001E-3</v>
      </c>
      <c r="Z13" s="1" t="s">
        <v>619</v>
      </c>
      <c r="AA13" s="1">
        <f>1-D6*D6/(2*D4*D4)</f>
        <v>0.89349112426035504</v>
      </c>
      <c r="AB13" s="1">
        <v>2.5</v>
      </c>
      <c r="AC13" s="1">
        <f>IF(AND($B$7,$B$1),$R$4,NA())</f>
        <v>50.889960423040222</v>
      </c>
      <c r="AE13" s="51">
        <f t="shared" si="2"/>
        <v>2.1800000000000001E-3</v>
      </c>
      <c r="AF13" s="75"/>
      <c r="AG13" s="17"/>
      <c r="AH13" s="17"/>
      <c r="AI13" s="17"/>
      <c r="AJ13" s="17"/>
      <c r="AK13" s="18"/>
    </row>
    <row r="14" spans="1:45" ht="11.25" customHeight="1" x14ac:dyDescent="0.2">
      <c r="C14" s="3" t="s">
        <v>1071</v>
      </c>
      <c r="D14" s="1" t="b">
        <f>IF(AND(B10,dispdsp,L11&gt;5,AG8&lt;&gt;"",M21=95),IF(ABS(AG16)&lt;=2,TRUE,FALSE),FALSE)</f>
        <v>0</v>
      </c>
      <c r="F14" s="116"/>
      <c r="G14" s="60"/>
      <c r="H14" s="60"/>
      <c r="I14" s="60" t="s">
        <v>1113</v>
      </c>
      <c r="J14" s="60"/>
      <c r="K14" s="60"/>
      <c r="L14" s="60"/>
      <c r="M14" s="60"/>
      <c r="N14" s="60"/>
      <c r="O14" s="246"/>
      <c r="P14" s="276">
        <v>2</v>
      </c>
      <c r="Q14" s="273">
        <f t="shared" si="3"/>
        <v>22.889190007952259</v>
      </c>
      <c r="R14" s="274">
        <f t="shared" si="4"/>
        <v>34.433004219358537</v>
      </c>
      <c r="S14" s="277"/>
      <c r="T14" s="278">
        <f t="shared" si="5"/>
        <v>11.543814211406279</v>
      </c>
      <c r="X14" s="208">
        <f t="shared" si="1"/>
        <v>2.1800000000000001E-3</v>
      </c>
      <c r="Z14" s="1" t="s">
        <v>510</v>
      </c>
      <c r="AB14" s="92">
        <f>$Q$6</f>
        <v>12.671814277072103</v>
      </c>
      <c r="AC14" s="92">
        <f>$R$6</f>
        <v>11.044245129463301</v>
      </c>
      <c r="AE14" s="51">
        <f t="shared" si="2"/>
        <v>2.1800000000000001E-3</v>
      </c>
      <c r="AF14" s="75"/>
      <c r="AG14" s="884" t="s">
        <v>1090</v>
      </c>
      <c r="AH14" s="17"/>
      <c r="AI14" s="17"/>
      <c r="AJ14" s="17"/>
      <c r="AK14" s="18"/>
    </row>
    <row r="15" spans="1:45" ht="11.25" customHeight="1" x14ac:dyDescent="0.2">
      <c r="B15" s="779" t="s">
        <v>1054</v>
      </c>
      <c r="C15" s="779"/>
      <c r="D15" s="779"/>
      <c r="F15" s="61"/>
      <c r="G15" s="62" t="s">
        <v>1110</v>
      </c>
      <c r="H15" s="62"/>
      <c r="I15" s="62"/>
      <c r="J15" s="62"/>
      <c r="K15" s="62"/>
      <c r="L15" s="62"/>
      <c r="M15" s="62"/>
      <c r="N15" s="62"/>
      <c r="O15" s="150"/>
      <c r="P15" s="276">
        <v>3</v>
      </c>
      <c r="Q15" s="273">
        <f t="shared" si="3"/>
        <v>48.132058338463452</v>
      </c>
      <c r="R15" s="274">
        <f t="shared" si="4"/>
        <v>54.135567257445743</v>
      </c>
      <c r="S15" s="275"/>
      <c r="T15" s="278">
        <f t="shared" si="5"/>
        <v>6.0035089189822912</v>
      </c>
      <c r="X15" s="208">
        <f t="shared" si="1"/>
        <v>2.1800000000000001E-3</v>
      </c>
      <c r="Z15" s="92" t="s">
        <v>551</v>
      </c>
      <c r="AA15" s="1" t="e">
        <f>IF(AND($B$4,$B$1),$T$4,NA())</f>
        <v>#N/A</v>
      </c>
      <c r="AB15" s="1">
        <v>0.55000000000000004</v>
      </c>
      <c r="AC15" s="1" t="e">
        <f>IF(AND($B$4,$B$1),$Q$4,NA())</f>
        <v>#N/A</v>
      </c>
      <c r="AE15" s="51">
        <f t="shared" si="2"/>
        <v>2.1800000000000001E-3</v>
      </c>
      <c r="AF15" s="75"/>
      <c r="AG15" s="17"/>
      <c r="AH15" s="17"/>
      <c r="AI15" s="17"/>
      <c r="AJ15" s="17"/>
      <c r="AK15" s="18"/>
    </row>
    <row r="16" spans="1:45" ht="11.25" customHeight="1" x14ac:dyDescent="0.3">
      <c r="B16" s="777" t="s">
        <v>1047</v>
      </c>
      <c r="C16" s="775">
        <f>1-D16</f>
        <v>0.97499999999999998</v>
      </c>
      <c r="D16" s="776">
        <f>(100-M21)/200</f>
        <v>2.5000000000000001E-2</v>
      </c>
      <c r="F16" s="180">
        <v>6</v>
      </c>
      <c r="G16" s="100" t="s">
        <v>517</v>
      </c>
      <c r="H16" s="82"/>
      <c r="I16" s="181"/>
      <c r="J16" s="181"/>
      <c r="K16" s="181"/>
      <c r="L16" s="181"/>
      <c r="M16" s="82"/>
      <c r="N16" s="82"/>
      <c r="O16" s="246"/>
      <c r="P16" s="276">
        <v>4</v>
      </c>
      <c r="Q16" s="273">
        <f t="shared" si="3"/>
        <v>34.564695275770923</v>
      </c>
      <c r="R16" s="274">
        <f t="shared" si="4"/>
        <v>42.029981384783646</v>
      </c>
      <c r="S16" s="277"/>
      <c r="T16" s="278">
        <f t="shared" si="5"/>
        <v>7.4652861090127232</v>
      </c>
      <c r="X16" s="208">
        <f t="shared" si="1"/>
        <v>2.1800000000000001E-3</v>
      </c>
      <c r="Z16" s="92">
        <v>1.5</v>
      </c>
      <c r="AA16" s="1" t="e">
        <f>IF(AND($B$4,$B$1),$Q$4,NA())</f>
        <v>#N/A</v>
      </c>
      <c r="AB16" s="1">
        <v>1.7</v>
      </c>
      <c r="AC16" s="1" t="e">
        <f>IF(AND($B$4,$B$1),$Q$4,NA())</f>
        <v>#N/A</v>
      </c>
      <c r="AE16" s="51">
        <f t="shared" si="2"/>
        <v>2.1800000000000001E-3</v>
      </c>
      <c r="AF16" s="885" t="s">
        <v>1117</v>
      </c>
      <c r="AG16" s="1001" t="str">
        <f>IF(AND(V8&gt;1,AG8&lt;&gt;""),AG8*$AE$60,"")</f>
        <v/>
      </c>
      <c r="AH16" s="1001"/>
      <c r="AI16" s="17"/>
      <c r="AJ16" s="17"/>
      <c r="AK16" s="18"/>
    </row>
    <row r="17" spans="2:45" ht="11.25" customHeight="1" x14ac:dyDescent="0.2">
      <c r="B17" s="777" t="s">
        <v>1048</v>
      </c>
      <c r="C17" s="775">
        <f>100000*(C16-C20)</f>
        <v>-2054.6231410871751</v>
      </c>
      <c r="D17" s="776">
        <f>100000*(D16-D20)</f>
        <v>-19622.456506894225</v>
      </c>
      <c r="F17" s="84"/>
      <c r="G17" s="84"/>
      <c r="H17" s="84"/>
      <c r="I17" s="84"/>
      <c r="J17" s="182" t="s">
        <v>557</v>
      </c>
      <c r="K17" s="182"/>
      <c r="L17" s="84"/>
      <c r="M17" s="84"/>
      <c r="N17" s="84"/>
      <c r="O17" s="150"/>
      <c r="P17" s="276">
        <v>5</v>
      </c>
      <c r="Q17" s="273">
        <f t="shared" si="3"/>
        <v>59.795507086748067</v>
      </c>
      <c r="R17" s="274">
        <f t="shared" si="4"/>
        <v>68.786378986042436</v>
      </c>
      <c r="S17" s="275"/>
      <c r="T17" s="278">
        <f t="shared" si="5"/>
        <v>8.990871899294369</v>
      </c>
      <c r="X17" s="208">
        <f t="shared" si="1"/>
        <v>2.1800000000000001E-3</v>
      </c>
      <c r="Z17" s="1" t="s">
        <v>553</v>
      </c>
      <c r="AB17" s="746">
        <v>0.28999999999999998</v>
      </c>
      <c r="AC17" s="288" t="e">
        <f>IF($B$6,D5,NA())</f>
        <v>#N/A</v>
      </c>
      <c r="AE17" s="51">
        <f t="shared" si="2"/>
        <v>2.1800000000000001E-3</v>
      </c>
      <c r="AF17" s="55"/>
      <c r="AG17" s="847"/>
      <c r="AH17" s="847"/>
      <c r="AI17" s="56"/>
      <c r="AJ17" s="56"/>
      <c r="AK17" s="80"/>
    </row>
    <row r="18" spans="2:45" ht="11.25" customHeight="1" x14ac:dyDescent="0.2">
      <c r="B18" s="366" t="s">
        <v>666</v>
      </c>
      <c r="C18" s="142">
        <f>L11-1</f>
        <v>7</v>
      </c>
      <c r="F18" s="84"/>
      <c r="G18" s="84"/>
      <c r="H18" s="84"/>
      <c r="I18" s="84"/>
      <c r="J18" s="84"/>
      <c r="K18" s="84"/>
      <c r="L18" s="84"/>
      <c r="M18" s="84"/>
      <c r="N18" s="84"/>
      <c r="O18" s="246"/>
      <c r="P18" s="276">
        <v>6</v>
      </c>
      <c r="Q18" s="273">
        <f t="shared" si="3"/>
        <v>66.843545250323984</v>
      </c>
      <c r="R18" s="274">
        <f t="shared" si="4"/>
        <v>71.523474102749447</v>
      </c>
      <c r="S18" s="277"/>
      <c r="T18" s="278">
        <f t="shared" si="5"/>
        <v>4.6799288524254621</v>
      </c>
      <c r="X18" s="208">
        <f t="shared" si="1"/>
        <v>2.1800000000000001E-3</v>
      </c>
      <c r="Z18" s="1">
        <v>1.3</v>
      </c>
      <c r="AA18" s="1" t="e">
        <f>IF(AND($B$4,$B$1),$R$4,NA())</f>
        <v>#N/A</v>
      </c>
      <c r="AB18" s="161">
        <v>2.7</v>
      </c>
      <c r="AC18" s="264" t="e">
        <f>IF($B$6,D3,NA())</f>
        <v>#N/A</v>
      </c>
      <c r="AE18" s="51">
        <f t="shared" si="2"/>
        <v>2.1800000000000001E-3</v>
      </c>
    </row>
    <row r="19" spans="2:45" ht="11.25" customHeight="1" x14ac:dyDescent="0.2">
      <c r="B19" s="366" t="s">
        <v>1049</v>
      </c>
      <c r="C19" s="780">
        <v>0.6966631365715874</v>
      </c>
      <c r="D19" s="781">
        <v>5.9297197989927435</v>
      </c>
      <c r="F19" s="87"/>
      <c r="G19" s="87" t="s">
        <v>1111</v>
      </c>
      <c r="H19" s="87"/>
      <c r="I19" s="87"/>
      <c r="J19" s="87"/>
      <c r="K19" s="87"/>
      <c r="L19" s="87"/>
      <c r="M19" s="87"/>
      <c r="N19" s="87"/>
      <c r="O19" s="150"/>
      <c r="P19" s="276">
        <v>7</v>
      </c>
      <c r="Q19" s="273">
        <f t="shared" si="3"/>
        <v>31.858823547093703</v>
      </c>
      <c r="R19" s="274">
        <f t="shared" si="4"/>
        <v>48.845566080185776</v>
      </c>
      <c r="S19" s="275"/>
      <c r="T19" s="278">
        <f t="shared" si="5"/>
        <v>16.986742533092073</v>
      </c>
      <c r="X19" s="208">
        <f t="shared" si="1"/>
        <v>2.1800000000000001E-3</v>
      </c>
      <c r="Z19" s="1">
        <v>2.4500000000000002</v>
      </c>
      <c r="AA19" s="1" t="e">
        <f>IF(AND($B$4,$B$1),$R$4,NA())</f>
        <v>#N/A</v>
      </c>
      <c r="AB19" s="147">
        <f>AA7+0.4</f>
        <v>4.1000000000000005</v>
      </c>
      <c r="AC19" s="148" t="e">
        <f>IF(AND($B$1,$B$6),Q4+D3-D5,NA())</f>
        <v>#N/A</v>
      </c>
      <c r="AE19" s="51">
        <f t="shared" si="2"/>
        <v>2.1800000000000001E-3</v>
      </c>
    </row>
    <row r="20" spans="2:45" ht="11.25" customHeight="1" x14ac:dyDescent="0.2">
      <c r="B20" s="366" t="s">
        <v>1050</v>
      </c>
      <c r="C20" s="89">
        <f>nct(T8,C19,C18)</f>
        <v>0.99554623141087173</v>
      </c>
      <c r="D20" s="142">
        <f>nct(T8,D19,C18)</f>
        <v>0.22122456506894222</v>
      </c>
      <c r="F20" s="14">
        <v>7</v>
      </c>
      <c r="G20" s="104" t="s">
        <v>520</v>
      </c>
      <c r="H20" s="105"/>
      <c r="I20" s="105"/>
      <c r="J20" s="219"/>
      <c r="K20" s="15"/>
      <c r="L20" s="105"/>
      <c r="M20" s="15"/>
      <c r="N20" s="16"/>
      <c r="O20" s="89"/>
      <c r="P20" s="276">
        <v>8</v>
      </c>
      <c r="Q20" s="273">
        <f t="shared" si="3"/>
        <v>44.770875442393759</v>
      </c>
      <c r="R20" s="274">
        <f t="shared" si="4"/>
        <v>45.640733912865628</v>
      </c>
      <c r="S20" s="277"/>
      <c r="T20" s="278">
        <f t="shared" si="5"/>
        <v>0.86985847047186837</v>
      </c>
      <c r="X20" s="208">
        <f t="shared" si="1"/>
        <v>2.1800000000000001E-3</v>
      </c>
      <c r="Z20" s="1" t="s">
        <v>554</v>
      </c>
      <c r="AA20" s="70">
        <f>D4</f>
        <v>13</v>
      </c>
      <c r="AB20" s="70">
        <f>D4</f>
        <v>13</v>
      </c>
      <c r="AC20" s="1">
        <f>D6</f>
        <v>6</v>
      </c>
      <c r="AE20" s="51">
        <f t="shared" si="2"/>
        <v>2.1800000000000001E-3</v>
      </c>
    </row>
    <row r="21" spans="2:45" ht="11.25" customHeight="1" x14ac:dyDescent="0.2">
      <c r="B21" s="287" t="s">
        <v>1051</v>
      </c>
      <c r="C21" s="346">
        <f>T4-T6</f>
        <v>4.2857923189248455</v>
      </c>
      <c r="D21" s="778">
        <f>T4+T6</f>
        <v>12.380606886081171</v>
      </c>
      <c r="F21" s="75"/>
      <c r="G21" s="17" t="s">
        <v>1114</v>
      </c>
      <c r="H21" s="17"/>
      <c r="I21" s="17"/>
      <c r="J21" s="17"/>
      <c r="K21" s="17"/>
      <c r="L21" s="48" t="s">
        <v>481</v>
      </c>
      <c r="M21" s="47">
        <v>95</v>
      </c>
      <c r="N21" s="882"/>
      <c r="O21" s="89"/>
      <c r="P21" s="276">
        <v>9</v>
      </c>
      <c r="Q21" s="273" t="str">
        <f t="shared" si="3"/>
        <v/>
      </c>
      <c r="R21" s="274" t="str">
        <f t="shared" si="4"/>
        <v/>
      </c>
      <c r="S21" s="275"/>
      <c r="T21" s="278" t="str">
        <f t="shared" si="5"/>
        <v/>
      </c>
      <c r="X21" s="208">
        <f t="shared" si="1"/>
        <v>2.1800000000000001E-3</v>
      </c>
      <c r="Z21" s="1" t="s">
        <v>621</v>
      </c>
      <c r="AA21" s="1">
        <v>0.21</v>
      </c>
      <c r="AB21" s="1">
        <v>0</v>
      </c>
      <c r="AC21" s="1">
        <v>0.5</v>
      </c>
      <c r="AE21" s="51">
        <f t="shared" si="2"/>
        <v>2.1800000000000001E-3</v>
      </c>
    </row>
    <row r="22" spans="2:45" ht="11.25" customHeight="1" x14ac:dyDescent="0.2">
      <c r="B22" s="293" t="s">
        <v>1053</v>
      </c>
      <c r="C22" s="137">
        <f>C21/D13</f>
        <v>0.30145010203038075</v>
      </c>
      <c r="D22" s="264">
        <f>D21/D13</f>
        <v>0.87081569317466712</v>
      </c>
      <c r="F22" s="75"/>
      <c r="G22" s="17"/>
      <c r="H22" s="17" t="s">
        <v>1112</v>
      </c>
      <c r="I22" s="17"/>
      <c r="J22" s="17"/>
      <c r="K22" s="17"/>
      <c r="L22" s="17"/>
      <c r="M22" s="17"/>
      <c r="N22" s="18"/>
      <c r="O22" s="89"/>
      <c r="P22" s="276">
        <v>10</v>
      </c>
      <c r="Q22" s="273" t="str">
        <f t="shared" si="3"/>
        <v/>
      </c>
      <c r="R22" s="274" t="str">
        <f t="shared" si="4"/>
        <v/>
      </c>
      <c r="S22" s="277"/>
      <c r="T22" s="278" t="str">
        <f t="shared" si="5"/>
        <v/>
      </c>
      <c r="X22" s="208">
        <f t="shared" si="1"/>
        <v>2.1800000000000001E-3</v>
      </c>
      <c r="Z22" s="1" t="s">
        <v>621</v>
      </c>
      <c r="AA22" s="1">
        <v>0</v>
      </c>
      <c r="AB22" s="1">
        <v>0.2</v>
      </c>
      <c r="AC22" s="1">
        <v>0.2</v>
      </c>
      <c r="AE22" s="51">
        <f t="shared" si="2"/>
        <v>2.1800000000000001E-3</v>
      </c>
    </row>
    <row r="23" spans="2:45" ht="11.25" customHeight="1" x14ac:dyDescent="0.2">
      <c r="B23" s="295" t="s">
        <v>1052</v>
      </c>
      <c r="C23" s="52">
        <f>C22*$D$13*SQRT($L$11)/$T$5</f>
        <v>2.5038963821946822</v>
      </c>
      <c r="D23" s="52">
        <f>D22*$D$13*SQRT($L$11)/$T$5</f>
        <v>7.2331448853802529</v>
      </c>
      <c r="F23" s="55"/>
      <c r="G23" s="56"/>
      <c r="H23" s="56"/>
      <c r="I23" s="56"/>
      <c r="J23" s="56"/>
      <c r="K23" s="56"/>
      <c r="L23" s="56"/>
      <c r="M23" s="56"/>
      <c r="N23" s="80"/>
      <c r="O23" s="89"/>
      <c r="P23" s="276">
        <v>11</v>
      </c>
      <c r="Q23" s="273" t="str">
        <f t="shared" si="3"/>
        <v/>
      </c>
      <c r="R23" s="274" t="str">
        <f t="shared" si="4"/>
        <v/>
      </c>
      <c r="S23" s="275"/>
      <c r="T23" s="278" t="str">
        <f t="shared" si="5"/>
        <v/>
      </c>
      <c r="X23" s="208">
        <f t="shared" si="1"/>
        <v>2.1800000000000001E-3</v>
      </c>
      <c r="Z23" s="1" t="s">
        <v>582</v>
      </c>
      <c r="AA23" s="1">
        <f>AA7+0.2</f>
        <v>3.9000000000000004</v>
      </c>
      <c r="AB23" s="70">
        <f>IF(T4&lt;&gt;"",Q4+T4,NA())</f>
        <v>50.889960423040215</v>
      </c>
      <c r="AC23" s="3" t="s">
        <v>583</v>
      </c>
      <c r="AD23" s="92">
        <f>IF(AND($B$5,T6&lt;&gt;""),T6,NA())</f>
        <v>4.0474072835781625</v>
      </c>
      <c r="AE23" s="51">
        <f t="shared" si="2"/>
        <v>2.1800000000000001E-3</v>
      </c>
      <c r="AR23" s="859" t="s">
        <v>1115</v>
      </c>
      <c r="AS23" s="862" t="s">
        <v>487</v>
      </c>
    </row>
    <row r="24" spans="2:45" ht="11.25" customHeight="1" x14ac:dyDescent="0.2">
      <c r="F24" s="879">
        <v>8</v>
      </c>
      <c r="G24" s="880" t="s">
        <v>622</v>
      </c>
      <c r="H24" s="190"/>
      <c r="I24" s="190"/>
      <c r="J24" s="190"/>
      <c r="K24" s="190"/>
      <c r="L24" s="881"/>
      <c r="M24" s="190"/>
      <c r="N24" s="191"/>
      <c r="O24" s="246"/>
      <c r="P24" s="276">
        <v>12</v>
      </c>
      <c r="Q24" s="273" t="str">
        <f t="shared" si="3"/>
        <v/>
      </c>
      <c r="R24" s="274" t="str">
        <f t="shared" si="4"/>
        <v/>
      </c>
      <c r="S24" s="277"/>
      <c r="T24" s="278" t="str">
        <f t="shared" si="5"/>
        <v/>
      </c>
      <c r="X24" s="208">
        <f t="shared" si="1"/>
        <v>2.1800000000000001E-3</v>
      </c>
      <c r="Z24" s="46" t="s">
        <v>555</v>
      </c>
      <c r="AB24" s="1">
        <v>4.5999999999999996</v>
      </c>
      <c r="AC24" s="1">
        <f t="shared" ref="AC24:AC32" si="6">IF($Q$4="",NA(),IF(AND($Q$4+AD24&gt;4,$Q$4+AD24&lt;110),$Q$4+AD24,NA()))</f>
        <v>82.556760820537207</v>
      </c>
      <c r="AD24" s="1">
        <v>40</v>
      </c>
      <c r="AE24" s="51">
        <f t="shared" si="2"/>
        <v>2.1800000000000001E-3</v>
      </c>
      <c r="AR24" s="65"/>
      <c r="AS24" s="860"/>
    </row>
    <row r="25" spans="2:45" ht="11.25" customHeight="1" x14ac:dyDescent="0.2">
      <c r="F25" s="189"/>
      <c r="G25" s="190"/>
      <c r="H25" s="190"/>
      <c r="I25" s="190"/>
      <c r="J25" s="190"/>
      <c r="K25" s="190"/>
      <c r="L25" s="190"/>
      <c r="M25" s="190"/>
      <c r="N25" s="191"/>
      <c r="O25" s="246"/>
      <c r="P25" s="276">
        <v>13</v>
      </c>
      <c r="Q25" s="273" t="str">
        <f t="shared" si="3"/>
        <v/>
      </c>
      <c r="R25" s="274" t="str">
        <f t="shared" si="4"/>
        <v/>
      </c>
      <c r="S25" s="275"/>
      <c r="T25" s="278" t="str">
        <f t="shared" si="5"/>
        <v/>
      </c>
      <c r="X25" s="208">
        <f t="shared" si="1"/>
        <v>2.1800000000000001E-3</v>
      </c>
      <c r="Z25" s="1">
        <f>AA23</f>
        <v>3.9000000000000004</v>
      </c>
      <c r="AA25" s="1">
        <f>IF(T4&lt;&gt;"",Q4+T4,NA())</f>
        <v>50.889960423040215</v>
      </c>
      <c r="AB25" s="1">
        <v>4.5999999999999996</v>
      </c>
      <c r="AC25" s="1">
        <f t="shared" si="6"/>
        <v>72.556760820537207</v>
      </c>
      <c r="AD25" s="1">
        <v>30</v>
      </c>
      <c r="AE25" s="51">
        <f t="shared" si="2"/>
        <v>2.1800000000000001E-3</v>
      </c>
      <c r="AR25" s="65"/>
      <c r="AS25" s="861" t="s">
        <v>1093</v>
      </c>
    </row>
    <row r="26" spans="2:45" ht="11.25" customHeight="1" x14ac:dyDescent="0.2">
      <c r="F26" s="189"/>
      <c r="G26" s="192"/>
      <c r="H26" s="190"/>
      <c r="I26" s="190"/>
      <c r="J26" s="190"/>
      <c r="K26" s="190"/>
      <c r="L26" s="190"/>
      <c r="M26" s="190"/>
      <c r="N26" s="196"/>
      <c r="O26" s="246"/>
      <c r="P26" s="276">
        <v>14</v>
      </c>
      <c r="Q26" s="273" t="str">
        <f t="shared" si="3"/>
        <v/>
      </c>
      <c r="R26" s="274" t="str">
        <f t="shared" si="4"/>
        <v/>
      </c>
      <c r="S26" s="277"/>
      <c r="T26" s="278" t="str">
        <f t="shared" si="5"/>
        <v/>
      </c>
      <c r="X26" s="208">
        <f t="shared" si="1"/>
        <v>2.1800000000000001E-3</v>
      </c>
      <c r="Z26" s="1">
        <v>4.5999999999999996</v>
      </c>
      <c r="AA26" s="1">
        <f>IF(T4&lt;&gt;"",Q4+T4,NA())</f>
        <v>50.889960423040215</v>
      </c>
      <c r="AB26" s="1">
        <v>4.5999999999999996</v>
      </c>
      <c r="AC26" s="1">
        <f t="shared" si="6"/>
        <v>62.556760820537207</v>
      </c>
      <c r="AD26" s="1">
        <v>20</v>
      </c>
      <c r="AE26" s="51">
        <f t="shared" si="2"/>
        <v>2.1800000000000001E-3</v>
      </c>
      <c r="AR26" s="67"/>
      <c r="AS26" s="134"/>
    </row>
    <row r="27" spans="2:45" ht="11.25" customHeight="1" x14ac:dyDescent="0.3">
      <c r="F27" s="189"/>
      <c r="G27" s="193"/>
      <c r="H27" s="744" t="s">
        <v>781</v>
      </c>
      <c r="I27" s="199">
        <f>IF($B$8,D5,"")</f>
        <v>45</v>
      </c>
      <c r="J27" s="194"/>
      <c r="K27" s="741" t="s">
        <v>739</v>
      </c>
      <c r="L27" s="199">
        <f>IF($B$8,D3,"")</f>
        <v>51</v>
      </c>
      <c r="M27" s="195"/>
      <c r="N27" s="191"/>
      <c r="O27" s="246"/>
      <c r="P27" s="276">
        <v>15</v>
      </c>
      <c r="Q27" s="273" t="str">
        <f t="shared" si="3"/>
        <v/>
      </c>
      <c r="R27" s="274" t="str">
        <f t="shared" si="4"/>
        <v/>
      </c>
      <c r="S27" s="275"/>
      <c r="T27" s="278" t="str">
        <f t="shared" si="5"/>
        <v/>
      </c>
      <c r="X27" s="208">
        <f t="shared" si="1"/>
        <v>2.1800000000000001E-3</v>
      </c>
      <c r="Y27" s="227"/>
      <c r="Z27" s="227">
        <v>2.5</v>
      </c>
      <c r="AA27" s="227">
        <f>IF(T4&lt;&gt;"",Q4+T4,NA())</f>
        <v>50.889960423040215</v>
      </c>
      <c r="AB27" s="227">
        <v>4.5999999999999996</v>
      </c>
      <c r="AC27" s="1">
        <f t="shared" si="6"/>
        <v>52.556760820537207</v>
      </c>
      <c r="AD27" s="1">
        <v>10</v>
      </c>
      <c r="AE27" s="51">
        <f t="shared" si="2"/>
        <v>2.1800000000000001E-3</v>
      </c>
    </row>
    <row r="28" spans="2:45" ht="11.25" customHeight="1" x14ac:dyDescent="0.2">
      <c r="F28" s="189"/>
      <c r="G28" s="190"/>
      <c r="H28" s="190"/>
      <c r="I28" s="190"/>
      <c r="J28" s="190"/>
      <c r="K28" s="190"/>
      <c r="L28" s="197"/>
      <c r="M28" s="190"/>
      <c r="N28" s="191"/>
      <c r="O28" s="246"/>
      <c r="P28" s="276">
        <v>16</v>
      </c>
      <c r="Q28" s="273" t="str">
        <f t="shared" si="3"/>
        <v/>
      </c>
      <c r="R28" s="274" t="str">
        <f t="shared" si="4"/>
        <v/>
      </c>
      <c r="S28" s="275"/>
      <c r="T28" s="278" t="str">
        <f t="shared" si="5"/>
        <v/>
      </c>
      <c r="X28" s="208">
        <f t="shared" si="1"/>
        <v>2.1800000000000001E-3</v>
      </c>
      <c r="Z28" s="1">
        <f>Z25</f>
        <v>3.9000000000000004</v>
      </c>
      <c r="AA28" s="1">
        <f>IF(T4&lt;&gt;"",Q4+T4,NA())</f>
        <v>50.889960423040215</v>
      </c>
      <c r="AB28" s="1">
        <v>4.5999999999999996</v>
      </c>
      <c r="AC28" s="1">
        <f t="shared" si="6"/>
        <v>42.556760820537207</v>
      </c>
      <c r="AD28" s="1">
        <v>0</v>
      </c>
      <c r="AE28" s="51">
        <f t="shared" si="2"/>
        <v>2.1800000000000001E-3</v>
      </c>
    </row>
    <row r="29" spans="2:45" ht="11.25" customHeight="1" x14ac:dyDescent="0.3">
      <c r="F29" s="189"/>
      <c r="G29" s="190"/>
      <c r="H29" s="201"/>
      <c r="I29" s="289" t="s">
        <v>782</v>
      </c>
      <c r="J29" s="199">
        <f>IF($B$8,D4,"")</f>
        <v>13</v>
      </c>
      <c r="K29" s="190"/>
      <c r="L29" s="290" t="s">
        <v>784</v>
      </c>
      <c r="M29" s="291">
        <f>IF($B$8,D6,"")</f>
        <v>6</v>
      </c>
      <c r="N29" s="292"/>
      <c r="O29" s="89"/>
      <c r="P29" s="276">
        <v>17</v>
      </c>
      <c r="Q29" s="273" t="str">
        <f t="shared" si="3"/>
        <v/>
      </c>
      <c r="R29" s="274" t="str">
        <f t="shared" si="4"/>
        <v/>
      </c>
      <c r="S29" s="282"/>
      <c r="T29" s="283" t="str">
        <f t="shared" si="5"/>
        <v/>
      </c>
      <c r="U29" s="227"/>
      <c r="V29" s="227"/>
      <c r="W29" s="227"/>
      <c r="X29" s="208">
        <f t="shared" si="1"/>
        <v>2.1800000000000001E-3</v>
      </c>
      <c r="Y29" s="74"/>
      <c r="Z29" s="74">
        <v>0.55000000000000004</v>
      </c>
      <c r="AA29" s="74">
        <f>IF(Q4&lt;&gt;"",Q4,NA())</f>
        <v>42.556760820537207</v>
      </c>
      <c r="AB29" s="74">
        <v>4.5999999999999996</v>
      </c>
      <c r="AC29" s="1">
        <f t="shared" si="6"/>
        <v>32.556760820537207</v>
      </c>
      <c r="AD29" s="1">
        <v>-10</v>
      </c>
      <c r="AE29" s="51">
        <f t="shared" si="2"/>
        <v>2.1800000000000001E-3</v>
      </c>
    </row>
    <row r="30" spans="2:45" ht="11.25" customHeight="1" x14ac:dyDescent="0.2">
      <c r="F30" s="189"/>
      <c r="G30" s="190"/>
      <c r="H30" s="190"/>
      <c r="I30" s="190"/>
      <c r="J30" s="190"/>
      <c r="K30" s="190"/>
      <c r="L30" s="294"/>
      <c r="M30" s="190"/>
      <c r="N30" s="292"/>
      <c r="O30" s="89"/>
      <c r="P30" s="276">
        <v>18</v>
      </c>
      <c r="Q30" s="273" t="str">
        <f t="shared" si="3"/>
        <v/>
      </c>
      <c r="R30" s="274" t="str">
        <f t="shared" si="4"/>
        <v/>
      </c>
      <c r="S30" s="284"/>
      <c r="T30" s="285" t="str">
        <f t="shared" si="5"/>
        <v/>
      </c>
      <c r="X30" s="208">
        <f t="shared" si="1"/>
        <v>2.1800000000000001E-3</v>
      </c>
      <c r="Z30" s="1">
        <v>4.5999999999999996</v>
      </c>
      <c r="AA30" s="1">
        <f>IF(Q4&lt;&gt;"",Q4,NA())</f>
        <v>42.556760820537207</v>
      </c>
      <c r="AB30" s="1">
        <v>4.5999999999999996</v>
      </c>
      <c r="AC30" s="1">
        <f t="shared" si="6"/>
        <v>22.556760820537207</v>
      </c>
      <c r="AD30" s="1">
        <v>-20</v>
      </c>
      <c r="AE30" s="51">
        <f t="shared" si="2"/>
        <v>2.1800000000000001E-3</v>
      </c>
    </row>
    <row r="31" spans="2:45" ht="11.25" customHeight="1" x14ac:dyDescent="0.2">
      <c r="F31" s="189"/>
      <c r="G31" s="190"/>
      <c r="H31" s="379"/>
      <c r="I31" s="201" t="s">
        <v>576</v>
      </c>
      <c r="J31" s="898">
        <f>IF($B$8,AA13,"")</f>
        <v>0.89349112426035504</v>
      </c>
      <c r="K31" s="200"/>
      <c r="L31" s="190"/>
      <c r="M31" s="201" t="s">
        <v>560</v>
      </c>
      <c r="N31" s="203"/>
      <c r="O31" s="89"/>
      <c r="P31" s="276">
        <v>19</v>
      </c>
      <c r="Q31" s="273" t="str">
        <f t="shared" si="3"/>
        <v/>
      </c>
      <c r="R31" s="274" t="str">
        <f t="shared" si="4"/>
        <v/>
      </c>
      <c r="S31" s="286"/>
      <c r="T31" s="285" t="str">
        <f t="shared" si="5"/>
        <v/>
      </c>
      <c r="U31" s="74"/>
      <c r="V31" s="74"/>
      <c r="W31" s="74"/>
      <c r="X31" s="208">
        <f t="shared" si="1"/>
        <v>2.1800000000000001E-3</v>
      </c>
      <c r="Y31" s="227"/>
      <c r="AB31" s="1">
        <v>4.5999999999999996</v>
      </c>
      <c r="AC31" s="1">
        <f t="shared" si="6"/>
        <v>12.556760820537207</v>
      </c>
      <c r="AD31" s="1">
        <v>-30</v>
      </c>
      <c r="AE31" s="51">
        <f t="shared" si="2"/>
        <v>2.1800000000000001E-3</v>
      </c>
    </row>
    <row r="32" spans="2:45" ht="11.25" customHeight="1" x14ac:dyDescent="0.2">
      <c r="F32" s="189"/>
      <c r="G32" s="190"/>
      <c r="H32" s="190"/>
      <c r="I32" s="190"/>
      <c r="J32" s="190"/>
      <c r="K32" s="190"/>
      <c r="L32" s="362" t="s">
        <v>740</v>
      </c>
      <c r="M32" s="856">
        <f>IF($B$8,(L27-I27)/J29,"")</f>
        <v>0.46153846153846156</v>
      </c>
      <c r="N32" s="191"/>
      <c r="O32" s="89"/>
      <c r="P32" s="276">
        <v>20</v>
      </c>
      <c r="Q32" s="273" t="str">
        <f t="shared" si="3"/>
        <v/>
      </c>
      <c r="R32" s="274" t="str">
        <f t="shared" si="4"/>
        <v/>
      </c>
      <c r="S32" s="275"/>
      <c r="T32" s="278" t="str">
        <f t="shared" si="5"/>
        <v/>
      </c>
      <c r="X32" s="208">
        <f t="shared" si="1"/>
        <v>2.1800000000000001E-3</v>
      </c>
      <c r="AB32" s="1">
        <v>4.5999999999999996</v>
      </c>
      <c r="AC32" s="1" t="e">
        <f t="shared" si="6"/>
        <v>#N/A</v>
      </c>
      <c r="AD32" s="1">
        <v>-40</v>
      </c>
      <c r="AE32" s="51">
        <f t="shared" si="2"/>
        <v>2.1800000000000001E-3</v>
      </c>
    </row>
    <row r="33" spans="6:31" ht="11.25" customHeight="1" x14ac:dyDescent="0.2">
      <c r="F33" s="189"/>
      <c r="G33" s="190" t="s">
        <v>561</v>
      </c>
      <c r="H33" s="190"/>
      <c r="I33" s="190"/>
      <c r="J33" s="190"/>
      <c r="K33" s="190"/>
      <c r="L33" s="190"/>
      <c r="M33" s="190"/>
      <c r="N33" s="191"/>
      <c r="O33" s="89"/>
      <c r="P33" s="276">
        <v>21</v>
      </c>
      <c r="Q33" s="273" t="str">
        <f t="shared" si="3"/>
        <v/>
      </c>
      <c r="R33" s="274" t="str">
        <f t="shared" si="4"/>
        <v/>
      </c>
      <c r="S33" s="275"/>
      <c r="T33" s="278" t="str">
        <f t="shared" si="5"/>
        <v/>
      </c>
      <c r="U33"/>
      <c r="V33"/>
      <c r="W33"/>
      <c r="X33" s="208">
        <f t="shared" si="1"/>
        <v>2.1800000000000001E-3</v>
      </c>
      <c r="Z33" s="3" t="e">
        <f>IF(AND($B$1,$B$9=2),$Q$4,NA())</f>
        <v>#N/A</v>
      </c>
      <c r="AA33" s="1" t="e">
        <f>NA()</f>
        <v>#N/A</v>
      </c>
      <c r="AB33" s="1" t="e">
        <f>IF(AND($B$1,$B$9=2),$R$4,NA())</f>
        <v>#N/A</v>
      </c>
      <c r="AC33" s="1" t="e">
        <f>NA()</f>
        <v>#N/A</v>
      </c>
      <c r="AD33" s="1" t="e">
        <f>NA()</f>
        <v>#N/A</v>
      </c>
      <c r="AE33" s="51">
        <f t="shared" si="2"/>
        <v>2.1800000000000001E-3</v>
      </c>
    </row>
    <row r="34" spans="6:31" ht="11.25" customHeight="1" x14ac:dyDescent="0.2">
      <c r="F34" s="303">
        <v>15</v>
      </c>
      <c r="G34" s="402" t="s">
        <v>487</v>
      </c>
      <c r="H34" s="63"/>
      <c r="I34" s="63"/>
      <c r="J34" s="63"/>
      <c r="K34" s="63"/>
      <c r="L34" s="63"/>
      <c r="M34" s="868"/>
      <c r="N34" s="129"/>
      <c r="O34" s="246"/>
      <c r="P34" s="276">
        <v>22</v>
      </c>
      <c r="Q34" s="273" t="str">
        <f t="shared" si="3"/>
        <v/>
      </c>
      <c r="R34" s="274" t="str">
        <f t="shared" si="4"/>
        <v/>
      </c>
      <c r="S34" s="277"/>
      <c r="T34" s="278" t="str">
        <f t="shared" si="5"/>
        <v/>
      </c>
      <c r="X34" s="208">
        <f t="shared" si="1"/>
        <v>2.1800000000000001E-3</v>
      </c>
      <c r="Z34" s="287" t="s">
        <v>623</v>
      </c>
      <c r="AA34" s="141">
        <v>0.14000000000000001</v>
      </c>
      <c r="AB34" s="288" t="e">
        <f>AC17+Z36*D4</f>
        <v>#N/A</v>
      </c>
      <c r="AC34" s="1">
        <v>0.14000000000000001</v>
      </c>
      <c r="AD34" s="1" t="e">
        <f>AC17-1.5</f>
        <v>#N/A</v>
      </c>
      <c r="AE34" s="51">
        <f t="shared" si="2"/>
        <v>2.1800000000000001E-3</v>
      </c>
    </row>
    <row r="35" spans="6:31" ht="11.25" customHeight="1" x14ac:dyDescent="0.2">
      <c r="F35" s="65"/>
      <c r="G35" s="716" t="s">
        <v>1102</v>
      </c>
      <c r="H35" s="869" t="s">
        <v>1095</v>
      </c>
      <c r="I35" s="870">
        <f>1-M21/100</f>
        <v>5.0000000000000044E-2</v>
      </c>
      <c r="J35" s="66"/>
      <c r="K35" s="66"/>
      <c r="L35" s="236"/>
      <c r="M35" s="866" t="s">
        <v>487</v>
      </c>
      <c r="N35" s="130"/>
      <c r="O35" s="246"/>
      <c r="P35" s="276">
        <v>23</v>
      </c>
      <c r="Q35" s="273" t="str">
        <f t="shared" si="3"/>
        <v/>
      </c>
      <c r="R35" s="274" t="str">
        <f t="shared" si="4"/>
        <v/>
      </c>
      <c r="S35" s="275"/>
      <c r="T35" s="278" t="str">
        <f t="shared" si="5"/>
        <v/>
      </c>
      <c r="X35" s="208">
        <f t="shared" si="1"/>
        <v>2.1800000000000001E-3</v>
      </c>
      <c r="Z35" s="293" t="s">
        <v>624</v>
      </c>
      <c r="AA35" s="137">
        <v>2.83</v>
      </c>
      <c r="AB35" s="264" t="e">
        <f>AC18+Z36*D4</f>
        <v>#N/A</v>
      </c>
      <c r="AC35" s="1">
        <v>2.9</v>
      </c>
      <c r="AD35" s="1" t="e">
        <f>AC18-1.5</f>
        <v>#N/A</v>
      </c>
      <c r="AE35" s="51">
        <f t="shared" si="2"/>
        <v>2.1800000000000001E-3</v>
      </c>
    </row>
    <row r="36" spans="6:31" ht="11.25" customHeight="1" x14ac:dyDescent="0.2">
      <c r="F36" s="65"/>
      <c r="G36" s="66"/>
      <c r="H36" s="66"/>
      <c r="I36" s="66"/>
      <c r="J36" s="66"/>
      <c r="K36" s="66"/>
      <c r="L36" s="716" t="s">
        <v>1100</v>
      </c>
      <c r="M36" s="874">
        <f>IF(B8,AT65+AT66,"")</f>
        <v>0.80743041943255733</v>
      </c>
      <c r="N36" s="130"/>
      <c r="O36" s="246"/>
      <c r="P36" s="276">
        <v>24</v>
      </c>
      <c r="Q36" s="273" t="str">
        <f t="shared" si="3"/>
        <v/>
      </c>
      <c r="R36" s="274" t="str">
        <f t="shared" si="4"/>
        <v/>
      </c>
      <c r="S36" s="277"/>
      <c r="T36" s="278" t="str">
        <f t="shared" si="5"/>
        <v/>
      </c>
      <c r="X36" s="208">
        <f t="shared" si="1"/>
        <v>2.1800000000000001E-3</v>
      </c>
      <c r="Z36" s="295">
        <v>0.6</v>
      </c>
      <c r="AA36" s="52">
        <v>4.33</v>
      </c>
      <c r="AB36" s="148" t="e">
        <f>AC19+Z36*D6</f>
        <v>#N/A</v>
      </c>
      <c r="AC36" s="1">
        <v>4.37</v>
      </c>
      <c r="AD36" s="1" t="e">
        <f>AC19-1</f>
        <v>#N/A</v>
      </c>
      <c r="AE36" s="51">
        <f t="shared" si="2"/>
        <v>2.1800000000000001E-3</v>
      </c>
    </row>
    <row r="37" spans="6:31" ht="11.25" customHeight="1" x14ac:dyDescent="0.2">
      <c r="F37" s="65"/>
      <c r="G37" s="66"/>
      <c r="H37" s="66"/>
      <c r="I37" s="66"/>
      <c r="J37" s="66"/>
      <c r="K37" s="66"/>
      <c r="L37" s="716" t="s">
        <v>1101</v>
      </c>
      <c r="M37" s="875" t="str">
        <f>IF(AND(B8,AG16&lt;&gt;""),AV65+AV66,"")</f>
        <v/>
      </c>
      <c r="N37" s="130"/>
      <c r="O37" s="246"/>
      <c r="P37" s="276">
        <v>25</v>
      </c>
      <c r="Q37" s="273" t="str">
        <f t="shared" si="3"/>
        <v/>
      </c>
      <c r="R37" s="274" t="str">
        <f t="shared" si="4"/>
        <v/>
      </c>
      <c r="S37" s="275"/>
      <c r="T37" s="278" t="str">
        <f t="shared" si="5"/>
        <v/>
      </c>
      <c r="X37" s="57"/>
      <c r="AC37" s="3"/>
      <c r="AE37" s="46"/>
    </row>
    <row r="38" spans="6:31" ht="11.25" customHeight="1" x14ac:dyDescent="0.2">
      <c r="F38" s="65"/>
      <c r="G38" s="66" t="s">
        <v>1121</v>
      </c>
      <c r="H38" s="66"/>
      <c r="I38" s="66"/>
      <c r="J38" s="66"/>
      <c r="K38" s="66"/>
      <c r="L38" s="236"/>
      <c r="M38" s="236"/>
      <c r="N38" s="130"/>
      <c r="O38" s="246"/>
      <c r="P38" s="276">
        <v>26</v>
      </c>
      <c r="Q38" s="273" t="str">
        <f t="shared" si="3"/>
        <v/>
      </c>
      <c r="R38" s="274" t="str">
        <f t="shared" si="4"/>
        <v/>
      </c>
      <c r="S38" s="275"/>
      <c r="T38" s="278" t="str">
        <f t="shared" si="5"/>
        <v/>
      </c>
    </row>
    <row r="39" spans="6:31" ht="11.25" customHeight="1" x14ac:dyDescent="0.2">
      <c r="F39" s="65"/>
      <c r="G39" s="66"/>
      <c r="H39" s="66"/>
      <c r="I39" s="66"/>
      <c r="J39" s="66"/>
      <c r="K39" s="231"/>
      <c r="L39" s="867" t="str">
        <f>IF(AU67,"Post hoc power. Don't use! ","")</f>
        <v/>
      </c>
      <c r="M39" s="876" t="str">
        <f>IF(AND(AU67,B8,AG16&lt;&gt;""),AW65+AW66,"")</f>
        <v/>
      </c>
      <c r="N39" s="130"/>
      <c r="O39" s="246"/>
      <c r="P39" s="276">
        <v>27</v>
      </c>
      <c r="Q39" s="273" t="str">
        <f t="shared" si="3"/>
        <v/>
      </c>
      <c r="R39" s="274" t="str">
        <f t="shared" si="4"/>
        <v/>
      </c>
      <c r="S39" s="277"/>
      <c r="T39" s="278" t="str">
        <f t="shared" si="5"/>
        <v/>
      </c>
    </row>
    <row r="40" spans="6:31" ht="11.25" customHeight="1" x14ac:dyDescent="0.2">
      <c r="F40" s="67"/>
      <c r="G40" s="68"/>
      <c r="H40" s="68"/>
      <c r="I40" s="68"/>
      <c r="J40" s="68"/>
      <c r="K40" s="68"/>
      <c r="L40" s="68"/>
      <c r="M40" s="68"/>
      <c r="N40" s="134"/>
      <c r="O40" s="246"/>
      <c r="P40" s="276">
        <v>28</v>
      </c>
      <c r="Q40" s="273" t="str">
        <f t="shared" si="3"/>
        <v/>
      </c>
      <c r="R40" s="274" t="str">
        <f t="shared" si="4"/>
        <v/>
      </c>
      <c r="S40" s="275"/>
      <c r="T40" s="278" t="str">
        <f t="shared" si="5"/>
        <v/>
      </c>
    </row>
    <row r="41" spans="6:31" ht="11.25" customHeight="1" x14ac:dyDescent="0.2">
      <c r="J41" s="108"/>
      <c r="K41" s="108"/>
      <c r="O41" s="246"/>
      <c r="P41" s="276">
        <v>29</v>
      </c>
      <c r="Q41" s="273" t="str">
        <f t="shared" si="3"/>
        <v/>
      </c>
      <c r="R41" s="274" t="str">
        <f t="shared" si="4"/>
        <v/>
      </c>
      <c r="S41" s="277"/>
      <c r="T41" s="278" t="str">
        <f t="shared" si="5"/>
        <v/>
      </c>
    </row>
    <row r="42" spans="6:31" ht="11.25" customHeight="1" x14ac:dyDescent="0.2">
      <c r="J42" s="108"/>
      <c r="K42" s="108"/>
      <c r="O42" s="246"/>
      <c r="P42" s="276">
        <v>30</v>
      </c>
      <c r="Q42" s="273" t="str">
        <f t="shared" si="3"/>
        <v/>
      </c>
      <c r="R42" s="274" t="str">
        <f t="shared" si="4"/>
        <v/>
      </c>
      <c r="S42" s="275"/>
      <c r="T42" s="278" t="str">
        <f t="shared" si="5"/>
        <v/>
      </c>
    </row>
    <row r="43" spans="6:31" ht="11.25" customHeight="1" x14ac:dyDescent="0.2">
      <c r="J43" s="108"/>
      <c r="K43" s="108"/>
      <c r="O43" s="246"/>
      <c r="P43" s="276">
        <v>31</v>
      </c>
      <c r="Q43" s="273" t="str">
        <f t="shared" si="3"/>
        <v/>
      </c>
      <c r="R43" s="274" t="str">
        <f t="shared" si="4"/>
        <v/>
      </c>
      <c r="S43" s="275"/>
      <c r="T43" s="278" t="str">
        <f t="shared" si="5"/>
        <v/>
      </c>
    </row>
    <row r="44" spans="6:31" ht="11.25" customHeight="1" x14ac:dyDescent="0.2">
      <c r="J44" s="108"/>
      <c r="K44" s="108"/>
      <c r="O44" s="246"/>
      <c r="P44" s="276">
        <v>32</v>
      </c>
      <c r="Q44" s="273" t="str">
        <f t="shared" si="3"/>
        <v/>
      </c>
      <c r="R44" s="274" t="str">
        <f t="shared" si="4"/>
        <v/>
      </c>
      <c r="S44" s="277"/>
      <c r="T44" s="278" t="str">
        <f t="shared" si="5"/>
        <v/>
      </c>
    </row>
    <row r="45" spans="6:31" ht="11.25" customHeight="1" x14ac:dyDescent="0.2">
      <c r="J45" s="108"/>
      <c r="K45" s="108"/>
      <c r="O45" s="246"/>
      <c r="P45" s="276">
        <v>33</v>
      </c>
      <c r="Q45" s="273" t="str">
        <f t="shared" ref="Q45:Q76" si="7">IF(AND(X95&lt;=$C$2,$B$1),Y95,"")</f>
        <v/>
      </c>
      <c r="R45" s="274" t="str">
        <f t="shared" ref="R45:R76" si="8">IF(AND(X95&lt;=$C$2,$B$1),Z95,"")</f>
        <v/>
      </c>
      <c r="S45" s="275"/>
      <c r="T45" s="278" t="str">
        <f t="shared" ref="T45:T76" si="9">IF(AND(X95&lt;=$C$2,$B$1),R45-Q45,"")</f>
        <v/>
      </c>
    </row>
    <row r="46" spans="6:31" ht="11.25" customHeight="1" x14ac:dyDescent="0.2">
      <c r="J46" s="108"/>
      <c r="K46" s="108"/>
      <c r="O46" s="246"/>
      <c r="P46" s="276">
        <v>34</v>
      </c>
      <c r="Q46" s="273" t="str">
        <f t="shared" si="7"/>
        <v/>
      </c>
      <c r="R46" s="274" t="str">
        <f t="shared" si="8"/>
        <v/>
      </c>
      <c r="S46" s="277"/>
      <c r="T46" s="278" t="str">
        <f t="shared" si="9"/>
        <v/>
      </c>
    </row>
    <row r="47" spans="6:31" ht="11.25" customHeight="1" x14ac:dyDescent="0.2">
      <c r="J47" s="108"/>
      <c r="K47" s="108"/>
      <c r="O47" s="246"/>
      <c r="P47" s="276">
        <v>35</v>
      </c>
      <c r="Q47" s="273" t="str">
        <f t="shared" si="7"/>
        <v/>
      </c>
      <c r="R47" s="274" t="str">
        <f t="shared" si="8"/>
        <v/>
      </c>
      <c r="S47" s="275"/>
      <c r="T47" s="278" t="str">
        <f t="shared" si="9"/>
        <v/>
      </c>
    </row>
    <row r="48" spans="6:31" ht="11.25" customHeight="1" x14ac:dyDescent="0.2">
      <c r="J48" s="108"/>
      <c r="K48" s="108"/>
      <c r="O48" s="246"/>
      <c r="P48" s="276">
        <v>36</v>
      </c>
      <c r="Q48" s="273" t="str">
        <f t="shared" si="7"/>
        <v/>
      </c>
      <c r="R48" s="274" t="str">
        <f t="shared" si="8"/>
        <v/>
      </c>
      <c r="S48" s="275"/>
      <c r="T48" s="278" t="str">
        <f t="shared" si="9"/>
        <v/>
      </c>
    </row>
    <row r="49" spans="10:49" ht="11.25" customHeight="1" x14ac:dyDescent="0.2">
      <c r="J49" s="108"/>
      <c r="K49" s="108"/>
      <c r="O49" s="246"/>
      <c r="P49" s="276">
        <v>37</v>
      </c>
      <c r="Q49" s="273" t="str">
        <f t="shared" si="7"/>
        <v/>
      </c>
      <c r="R49" s="274" t="str">
        <f t="shared" si="8"/>
        <v/>
      </c>
      <c r="S49" s="277"/>
      <c r="T49" s="278" t="str">
        <f t="shared" si="9"/>
        <v/>
      </c>
    </row>
    <row r="50" spans="10:49" ht="11.25" customHeight="1" x14ac:dyDescent="0.2">
      <c r="J50" s="108"/>
      <c r="K50" s="108"/>
      <c r="O50" s="246"/>
      <c r="P50" s="276">
        <v>38</v>
      </c>
      <c r="Q50" s="273" t="str">
        <f t="shared" si="7"/>
        <v/>
      </c>
      <c r="R50" s="274" t="str">
        <f t="shared" si="8"/>
        <v/>
      </c>
      <c r="S50" s="275"/>
      <c r="T50" s="278" t="str">
        <f t="shared" si="9"/>
        <v/>
      </c>
    </row>
    <row r="51" spans="10:49" ht="11.25" customHeight="1" x14ac:dyDescent="0.2">
      <c r="J51" s="108"/>
      <c r="K51" s="108"/>
      <c r="O51" s="246"/>
      <c r="P51" s="276">
        <v>39</v>
      </c>
      <c r="Q51" s="273" t="str">
        <f t="shared" si="7"/>
        <v/>
      </c>
      <c r="R51" s="274" t="str">
        <f t="shared" si="8"/>
        <v/>
      </c>
      <c r="S51" s="275"/>
      <c r="T51" s="278" t="str">
        <f t="shared" si="9"/>
        <v/>
      </c>
    </row>
    <row r="52" spans="10:49" ht="11.25" customHeight="1" x14ac:dyDescent="0.2">
      <c r="J52" s="108"/>
      <c r="K52" s="108"/>
      <c r="O52" s="246"/>
      <c r="P52" s="276">
        <v>40</v>
      </c>
      <c r="Q52" s="273" t="str">
        <f t="shared" si="7"/>
        <v/>
      </c>
      <c r="R52" s="274" t="str">
        <f t="shared" si="8"/>
        <v/>
      </c>
      <c r="S52" s="277"/>
      <c r="T52" s="278" t="str">
        <f t="shared" si="9"/>
        <v/>
      </c>
    </row>
    <row r="53" spans="10:49" ht="11.25" customHeight="1" x14ac:dyDescent="0.2">
      <c r="J53" s="108"/>
      <c r="K53" s="108"/>
      <c r="O53" s="246"/>
      <c r="P53" s="276">
        <v>41</v>
      </c>
      <c r="Q53" s="273" t="str">
        <f t="shared" si="7"/>
        <v/>
      </c>
      <c r="R53" s="274" t="str">
        <f t="shared" si="8"/>
        <v/>
      </c>
      <c r="S53" s="275"/>
      <c r="T53" s="278" t="str">
        <f t="shared" si="9"/>
        <v/>
      </c>
    </row>
    <row r="54" spans="10:49" ht="11.25" customHeight="1" x14ac:dyDescent="0.2">
      <c r="J54" s="108"/>
      <c r="K54" s="108"/>
      <c r="O54" s="246"/>
      <c r="P54" s="276">
        <v>42</v>
      </c>
      <c r="Q54" s="273" t="str">
        <f t="shared" si="7"/>
        <v/>
      </c>
      <c r="R54" s="274" t="str">
        <f t="shared" si="8"/>
        <v/>
      </c>
      <c r="S54" s="275"/>
      <c r="T54" s="278" t="str">
        <f t="shared" si="9"/>
        <v/>
      </c>
    </row>
    <row r="55" spans="10:49" ht="11.25" customHeight="1" x14ac:dyDescent="0.2">
      <c r="J55" s="108"/>
      <c r="K55" s="108"/>
      <c r="O55" s="246"/>
      <c r="P55" s="276">
        <v>43</v>
      </c>
      <c r="Q55" s="273" t="str">
        <f t="shared" si="7"/>
        <v/>
      </c>
      <c r="R55" s="274" t="str">
        <f t="shared" si="8"/>
        <v/>
      </c>
      <c r="S55" s="277"/>
      <c r="T55" s="278" t="str">
        <f t="shared" si="9"/>
        <v/>
      </c>
    </row>
    <row r="56" spans="10:49" ht="11.25" customHeight="1" x14ac:dyDescent="0.2">
      <c r="J56" s="108"/>
      <c r="K56" s="108"/>
      <c r="O56" s="246"/>
      <c r="P56" s="276">
        <v>44</v>
      </c>
      <c r="Q56" s="273" t="str">
        <f t="shared" si="7"/>
        <v/>
      </c>
      <c r="R56" s="274" t="str">
        <f t="shared" si="8"/>
        <v/>
      </c>
      <c r="S56" s="275"/>
      <c r="T56" s="278" t="str">
        <f t="shared" si="9"/>
        <v/>
      </c>
    </row>
    <row r="57" spans="10:49" ht="11.25" customHeight="1" x14ac:dyDescent="0.2">
      <c r="J57" s="108"/>
      <c r="K57" s="108"/>
      <c r="O57" s="246"/>
      <c r="P57" s="276">
        <v>45</v>
      </c>
      <c r="Q57" s="273" t="str">
        <f t="shared" si="7"/>
        <v/>
      </c>
      <c r="R57" s="274" t="str">
        <f t="shared" si="8"/>
        <v/>
      </c>
      <c r="S57" s="275"/>
      <c r="T57" s="278" t="str">
        <f t="shared" si="9"/>
        <v/>
      </c>
    </row>
    <row r="58" spans="10:49" ht="11.25" customHeight="1" x14ac:dyDescent="0.2">
      <c r="J58" s="108"/>
      <c r="K58" s="108"/>
      <c r="O58" s="246"/>
      <c r="P58" s="276">
        <v>46</v>
      </c>
      <c r="Q58" s="273" t="str">
        <f t="shared" si="7"/>
        <v/>
      </c>
      <c r="R58" s="274" t="str">
        <f t="shared" si="8"/>
        <v/>
      </c>
      <c r="S58" s="277"/>
      <c r="T58" s="278" t="str">
        <f t="shared" si="9"/>
        <v/>
      </c>
    </row>
    <row r="59" spans="10:49" ht="11.25" customHeight="1" x14ac:dyDescent="0.2">
      <c r="J59" s="108"/>
      <c r="K59" s="108"/>
      <c r="O59" s="246"/>
      <c r="P59" s="276">
        <v>47</v>
      </c>
      <c r="Q59" s="273" t="str">
        <f t="shared" si="7"/>
        <v/>
      </c>
      <c r="R59" s="274" t="str">
        <f t="shared" si="8"/>
        <v/>
      </c>
      <c r="S59" s="275"/>
      <c r="T59" s="278" t="str">
        <f t="shared" si="9"/>
        <v/>
      </c>
    </row>
    <row r="60" spans="10:49" ht="11.25" customHeight="1" x14ac:dyDescent="0.2">
      <c r="O60" s="246"/>
      <c r="P60" s="276">
        <v>48</v>
      </c>
      <c r="Q60" s="273" t="str">
        <f t="shared" si="7"/>
        <v/>
      </c>
      <c r="R60" s="274" t="str">
        <f t="shared" si="8"/>
        <v/>
      </c>
      <c r="S60" s="275"/>
      <c r="T60" s="278" t="str">
        <f t="shared" si="9"/>
        <v/>
      </c>
      <c r="Z60" s="1" t="s">
        <v>597</v>
      </c>
      <c r="AA60" s="296" t="str">
        <f>IF(Q12="","",Q12)</f>
        <v>Pretest</v>
      </c>
      <c r="AB60" s="172" t="str">
        <f>IF(R12="","",R12)</f>
        <v>Posttest</v>
      </c>
      <c r="AD60" s="3" t="s">
        <v>1088</v>
      </c>
      <c r="AE60" s="1">
        <f>EXP(GAMMALN(V8/2))/(SQRT(V8/2)*EXP(GAMMALN(V8/2-0.5)))</f>
        <v>0.88820290767275123</v>
      </c>
      <c r="AL60" s="172" t="s">
        <v>584</v>
      </c>
      <c r="AO60" s="172" t="s">
        <v>585</v>
      </c>
    </row>
    <row r="61" spans="10:49" ht="11.25" customHeight="1" x14ac:dyDescent="0.2">
      <c r="O61" s="246"/>
      <c r="P61" s="276">
        <v>49</v>
      </c>
      <c r="Q61" s="273" t="str">
        <f t="shared" si="7"/>
        <v/>
      </c>
      <c r="R61" s="274" t="str">
        <f t="shared" si="8"/>
        <v/>
      </c>
      <c r="S61" s="277"/>
      <c r="T61" s="278" t="str">
        <f t="shared" si="9"/>
        <v/>
      </c>
      <c r="Z61" s="1" t="str">
        <f>"Dependent variable "&amp;IF(U12="","","("&amp;U12&amp;")")&amp;"."</f>
        <v>Dependent variable (cm).</v>
      </c>
      <c r="AL61" s="1" t="str">
        <f>$Z$9</f>
        <v>Measure 1</v>
      </c>
      <c r="AM61" s="1" t="str">
        <f>$AA$9</f>
        <v>Measure 2</v>
      </c>
      <c r="AO61" s="1" t="str">
        <f>$Z$9</f>
        <v>Measure 1</v>
      </c>
      <c r="AP61" s="1" t="str">
        <f>$AA$9</f>
        <v>Measure 2</v>
      </c>
      <c r="AS61" s="873" t="s">
        <v>1106</v>
      </c>
      <c r="AT61" s="63"/>
      <c r="AU61" s="871" t="b">
        <v>0</v>
      </c>
      <c r="AV61" s="141" t="s">
        <v>1094</v>
      </c>
      <c r="AW61" s="288"/>
    </row>
    <row r="62" spans="10:49" ht="11.25" customHeight="1" x14ac:dyDescent="0.2">
      <c r="O62" s="246"/>
      <c r="P62" s="276">
        <v>50</v>
      </c>
      <c r="Q62" s="273" t="str">
        <f t="shared" si="7"/>
        <v/>
      </c>
      <c r="R62" s="274" t="str">
        <f t="shared" si="8"/>
        <v/>
      </c>
      <c r="S62" s="275"/>
      <c r="T62" s="278" t="str">
        <f t="shared" si="9"/>
        <v/>
      </c>
      <c r="X62" s="3" t="s">
        <v>562</v>
      </c>
      <c r="Y62" s="3" t="s">
        <v>563</v>
      </c>
      <c r="Z62" s="3" t="s">
        <v>564</v>
      </c>
      <c r="AA62" s="3" t="s">
        <v>565</v>
      </c>
      <c r="AB62" s="3" t="s">
        <v>566</v>
      </c>
      <c r="AC62" s="1" t="s">
        <v>567</v>
      </c>
      <c r="AD62" s="1" t="s">
        <v>568</v>
      </c>
      <c r="AE62" s="1" t="s">
        <v>625</v>
      </c>
      <c r="AF62" s="1" t="s">
        <v>630</v>
      </c>
      <c r="AG62" s="1" t="s">
        <v>626</v>
      </c>
      <c r="AI62" s="1" t="s">
        <v>551</v>
      </c>
      <c r="AK62" s="1" t="s">
        <v>586</v>
      </c>
      <c r="AL62" s="3" t="s">
        <v>565</v>
      </c>
      <c r="AM62" s="3" t="s">
        <v>566</v>
      </c>
      <c r="AN62" s="1" t="s">
        <v>586</v>
      </c>
      <c r="AO62" s="3" t="s">
        <v>565</v>
      </c>
      <c r="AP62" s="3" t="s">
        <v>566</v>
      </c>
      <c r="AS62" s="293" t="s">
        <v>1116</v>
      </c>
      <c r="AT62" s="137">
        <f>SQRT(L11)</f>
        <v>2.8284271247461903</v>
      </c>
      <c r="AU62" s="137"/>
      <c r="AV62" s="207"/>
      <c r="AW62" s="872" t="s">
        <v>1099</v>
      </c>
    </row>
    <row r="63" spans="10:49" ht="11.25" customHeight="1" x14ac:dyDescent="0.2">
      <c r="O63" s="246"/>
      <c r="P63" s="276">
        <v>51</v>
      </c>
      <c r="Q63" s="273" t="str">
        <f t="shared" si="7"/>
        <v/>
      </c>
      <c r="R63" s="274" t="str">
        <f t="shared" si="8"/>
        <v/>
      </c>
      <c r="S63" s="275"/>
      <c r="T63" s="278" t="str">
        <f t="shared" si="9"/>
        <v/>
      </c>
      <c r="X63" s="1">
        <v>1</v>
      </c>
      <c r="Y63" s="1">
        <f t="shared" ref="Y63:Y94" si="10">AE63-AG63</f>
        <v>31.599391615551518</v>
      </c>
      <c r="Z63" s="1">
        <f t="shared" ref="Z63:Z94" si="11">AE63+AG63</f>
        <v>41.72497744089052</v>
      </c>
      <c r="AA63" s="1" t="e">
        <f t="shared" ref="AA63:AA94" si="12">IF(AND(X63&lt;=$C$2,$B$3,$B$1),Y63,NA())</f>
        <v>#N/A</v>
      </c>
      <c r="AB63" s="1" t="e">
        <f t="shared" ref="AB63:AB94" si="13">IF(AND(X63&lt;=$C$2,$B$3,$B$1),Z63,NA())</f>
        <v>#N/A</v>
      </c>
      <c r="AC63" s="1">
        <f>MOD(AD162*10000013,1)</f>
        <v>0.18503746576607227</v>
      </c>
      <c r="AD63" s="1">
        <f>C7</f>
        <v>0.75414690183390576</v>
      </c>
      <c r="AE63" s="1">
        <f t="shared" ref="AE63:AE94" si="14">($C$5+(($C$3-$C$5)/2))+SQRT($C$4*$C$4-($C$6*$C$6/4))*NORMSINV(AC63)</f>
        <v>36.662184528221019</v>
      </c>
      <c r="AF63" s="1">
        <f t="shared" ref="AF63:AF94" si="15">IF(X63&lt;=$C$2,AE63,"")</f>
        <v>36.662184528221019</v>
      </c>
      <c r="AG63" s="1">
        <f t="shared" ref="AG63:AG94" si="16">(($C$3-$C$5)+$C$6*NORMSINV(AD63))/2</f>
        <v>5.0627929126695017</v>
      </c>
      <c r="AI63" s="1">
        <f t="shared" ref="AI63:AI94" si="17">Z63-Y63</f>
        <v>10.125585825339002</v>
      </c>
      <c r="AJ63" s="1">
        <f>AA7</f>
        <v>3.7</v>
      </c>
      <c r="AK63" s="1" t="e">
        <f t="shared" ref="AK63:AK94" si="18">IF(AND(X63&lt;=$C$2,$Z$10,$B$1),$Q$4+AI63,NA())</f>
        <v>#N/A</v>
      </c>
      <c r="AL63" s="1" t="e">
        <f t="shared" ref="AL63:AL94" si="19">IF(AND(X63&lt;=$C$2,$Z$10,$B$1,$B$3),Y63,NA())</f>
        <v>#N/A</v>
      </c>
      <c r="AM63" s="1" t="e">
        <f t="shared" ref="AM63:AM94" si="20">IF(AND(X63&lt;=$C$2,$Z$10,$B$1,$B$3),Z63,NA())</f>
        <v>#N/A</v>
      </c>
      <c r="AN63" s="1" t="e">
        <f>IF(AND(X63&lt;=$C$2,$AA$3,$B$1),$Q$4+AI63,NA())</f>
        <v>#N/A</v>
      </c>
      <c r="AO63" s="1" t="e">
        <f>IF(AND(X63&lt;=$C$2,$AA$3,$B$1),Y63,NA())</f>
        <v>#N/A</v>
      </c>
      <c r="AP63" s="1" t="e">
        <f>IF(AND(X63&lt;=$C$2,$AA$3,$B$1),Z63,NA())</f>
        <v>#N/A</v>
      </c>
      <c r="AS63" s="293" t="s">
        <v>1098</v>
      </c>
      <c r="AT63" s="137">
        <f>((L27-I27)/M29)*AT62</f>
        <v>2.8284271247461903</v>
      </c>
      <c r="AU63" s="137"/>
      <c r="AV63" s="207"/>
      <c r="AW63" s="264" t="e">
        <f>AG16*AT62*SQRT(1/(2*(1-Q7)))</f>
        <v>#VALUE!</v>
      </c>
    </row>
    <row r="64" spans="10:49" ht="11.25" customHeight="1" x14ac:dyDescent="0.2">
      <c r="O64" s="246"/>
      <c r="P64" s="276">
        <v>52</v>
      </c>
      <c r="Q64" s="273" t="str">
        <f t="shared" si="7"/>
        <v/>
      </c>
      <c r="R64" s="274" t="str">
        <f t="shared" si="8"/>
        <v/>
      </c>
      <c r="S64" s="277"/>
      <c r="T64" s="278" t="str">
        <f t="shared" si="9"/>
        <v/>
      </c>
      <c r="X64" s="1">
        <v>2</v>
      </c>
      <c r="Y64" s="1">
        <f t="shared" si="10"/>
        <v>22.889190007952259</v>
      </c>
      <c r="Z64" s="1">
        <f t="shared" si="11"/>
        <v>34.433004219358537</v>
      </c>
      <c r="AA64" s="1" t="e">
        <f t="shared" si="12"/>
        <v>#N/A</v>
      </c>
      <c r="AB64" s="1" t="e">
        <f t="shared" si="13"/>
        <v>#N/A</v>
      </c>
      <c r="AC64" s="1">
        <f t="shared" ref="AC64:AC95" si="21">MOD(AC63*10000013,1)</f>
        <v>6.3147777691483498E-2</v>
      </c>
      <c r="AD64" s="1">
        <f t="shared" ref="AD64:AD95" si="22">MOD(AD63*10000013,1)</f>
        <v>0.8222487810999155</v>
      </c>
      <c r="AE64" s="1">
        <f t="shared" si="14"/>
        <v>28.661097113655398</v>
      </c>
      <c r="AF64" s="1">
        <f t="shared" si="15"/>
        <v>28.661097113655398</v>
      </c>
      <c r="AG64" s="1">
        <f t="shared" si="16"/>
        <v>5.771907105703141</v>
      </c>
      <c r="AI64" s="1">
        <f t="shared" si="17"/>
        <v>11.543814211406279</v>
      </c>
      <c r="AJ64" s="1">
        <f>AJ63</f>
        <v>3.7</v>
      </c>
      <c r="AK64" s="1" t="e">
        <f t="shared" si="18"/>
        <v>#N/A</v>
      </c>
      <c r="AL64" s="1" t="e">
        <f t="shared" si="19"/>
        <v>#N/A</v>
      </c>
      <c r="AM64" s="1" t="e">
        <f t="shared" si="20"/>
        <v>#N/A</v>
      </c>
      <c r="AS64" s="293" t="s">
        <v>1097</v>
      </c>
      <c r="AT64" s="137">
        <f>NORMSINV(1-I35/2)</f>
        <v>1.9599639845400536</v>
      </c>
      <c r="AU64" s="207" t="s">
        <v>1096</v>
      </c>
      <c r="AV64" s="207">
        <f>TINV(I35,V8)</f>
        <v>2.3646242515927849</v>
      </c>
      <c r="AW64" s="264"/>
    </row>
    <row r="65" spans="15:49" ht="11.25" customHeight="1" x14ac:dyDescent="0.2">
      <c r="O65" s="246"/>
      <c r="P65" s="276">
        <v>53</v>
      </c>
      <c r="Q65" s="273" t="str">
        <f t="shared" si="7"/>
        <v/>
      </c>
      <c r="R65" s="274" t="str">
        <f t="shared" si="8"/>
        <v/>
      </c>
      <c r="S65" s="275"/>
      <c r="T65" s="278" t="str">
        <f t="shared" si="9"/>
        <v/>
      </c>
      <c r="X65" s="1">
        <v>3</v>
      </c>
      <c r="Y65" s="1">
        <f t="shared" si="10"/>
        <v>48.132058338463452</v>
      </c>
      <c r="Z65" s="1">
        <f t="shared" si="11"/>
        <v>54.135567257445743</v>
      </c>
      <c r="AA65" s="1" t="e">
        <f t="shared" si="12"/>
        <v>#N/A</v>
      </c>
      <c r="AB65" s="1" t="e">
        <f t="shared" si="13"/>
        <v>#N/A</v>
      </c>
      <c r="AC65" s="1">
        <f t="shared" si="21"/>
        <v>0.59783594496548176</v>
      </c>
      <c r="AD65" s="1">
        <f t="shared" si="22"/>
        <v>0.50023330934345722</v>
      </c>
      <c r="AE65" s="1">
        <f t="shared" si="14"/>
        <v>51.133812797954597</v>
      </c>
      <c r="AF65" s="1">
        <f t="shared" si="15"/>
        <v>51.133812797954597</v>
      </c>
      <c r="AG65" s="1">
        <f t="shared" si="16"/>
        <v>3.0017544594911447</v>
      </c>
      <c r="AI65" s="1">
        <f t="shared" si="17"/>
        <v>6.0035089189822912</v>
      </c>
      <c r="AJ65" s="1">
        <f t="shared" ref="AJ65:AJ128" si="23">AJ64</f>
        <v>3.7</v>
      </c>
      <c r="AK65" s="1" t="e">
        <f t="shared" si="18"/>
        <v>#N/A</v>
      </c>
      <c r="AL65" s="1" t="e">
        <f t="shared" si="19"/>
        <v>#N/A</v>
      </c>
      <c r="AM65" s="1" t="e">
        <f t="shared" si="20"/>
        <v>#N/A</v>
      </c>
      <c r="AN65" s="1" t="e">
        <f>IF(AND(X65&lt;=$C$2,$AA$4,$B$1),$Q$4+AI65,NA())</f>
        <v>#N/A</v>
      </c>
      <c r="AO65" s="1" t="e">
        <f>IF(AND(X65&lt;=$C$2,$AA$4,$B$1),Y65,NA())</f>
        <v>#N/A</v>
      </c>
      <c r="AP65" s="1" t="e">
        <f>IF(AND(X65&lt;=$C$2,$AA$4,$B$1),Z65,NA())</f>
        <v>#N/A</v>
      </c>
      <c r="AS65" s="293" t="s">
        <v>1104</v>
      </c>
      <c r="AT65" s="137">
        <f>1-NORMSDIST(AT64-AT63)</f>
        <v>0.80742957881382138</v>
      </c>
      <c r="AU65" s="137"/>
      <c r="AV65" s="207">
        <f>1-nct(AV64,AT63,V8)</f>
        <v>0.68083014955081644</v>
      </c>
      <c r="AW65" s="264" t="e">
        <f>1-nct(AV64,AW63,V8)</f>
        <v>#VALUE!</v>
      </c>
    </row>
    <row r="66" spans="15:49" ht="11.25" customHeight="1" x14ac:dyDescent="0.2">
      <c r="O66" s="246"/>
      <c r="P66" s="276">
        <v>54</v>
      </c>
      <c r="Q66" s="273" t="str">
        <f t="shared" si="7"/>
        <v/>
      </c>
      <c r="R66" s="274" t="str">
        <f t="shared" si="8"/>
        <v/>
      </c>
      <c r="S66" s="275"/>
      <c r="T66" s="278" t="str">
        <f t="shared" si="9"/>
        <v/>
      </c>
      <c r="X66" s="1">
        <v>4</v>
      </c>
      <c r="Y66" s="1">
        <f t="shared" si="10"/>
        <v>34.564695275770923</v>
      </c>
      <c r="Z66" s="1">
        <f t="shared" si="11"/>
        <v>42.029981384783646</v>
      </c>
      <c r="AA66" s="1" t="e">
        <f t="shared" si="12"/>
        <v>#N/A</v>
      </c>
      <c r="AB66" s="1" t="e">
        <f t="shared" si="13"/>
        <v>#N/A</v>
      </c>
      <c r="AC66" s="1">
        <f t="shared" si="21"/>
        <v>0.22152210213243961</v>
      </c>
      <c r="AD66" s="1">
        <f t="shared" si="22"/>
        <v>0.59646759368479252</v>
      </c>
      <c r="AE66" s="1">
        <f t="shared" si="14"/>
        <v>38.297338330277285</v>
      </c>
      <c r="AF66" s="1">
        <f t="shared" si="15"/>
        <v>38.297338330277285</v>
      </c>
      <c r="AG66" s="1">
        <f t="shared" si="16"/>
        <v>3.7326430545063602</v>
      </c>
      <c r="AI66" s="1">
        <f t="shared" si="17"/>
        <v>7.4652861090127232</v>
      </c>
      <c r="AJ66" s="1">
        <f t="shared" si="23"/>
        <v>3.7</v>
      </c>
      <c r="AK66" s="1" t="e">
        <f t="shared" si="18"/>
        <v>#N/A</v>
      </c>
      <c r="AL66" s="1" t="e">
        <f t="shared" si="19"/>
        <v>#N/A</v>
      </c>
      <c r="AM66" s="1" t="e">
        <f t="shared" si="20"/>
        <v>#N/A</v>
      </c>
      <c r="AS66" s="295" t="s">
        <v>1105</v>
      </c>
      <c r="AT66" s="52">
        <f>NORMSDIST(-AT64-AT63)</f>
        <v>8.4061873597429672E-7</v>
      </c>
      <c r="AU66" s="52"/>
      <c r="AV66" s="211">
        <f>nct(-AV64,AT63,V8)</f>
        <v>3.8086572146994553E-6</v>
      </c>
      <c r="AW66" s="148" t="e">
        <f>nct(-AV64,AW63,V8)</f>
        <v>#VALUE!</v>
      </c>
    </row>
    <row r="67" spans="15:49" ht="11.25" customHeight="1" x14ac:dyDescent="0.2">
      <c r="O67" s="246"/>
      <c r="P67" s="276">
        <v>55</v>
      </c>
      <c r="Q67" s="273" t="str">
        <f t="shared" si="7"/>
        <v/>
      </c>
      <c r="R67" s="274" t="str">
        <f t="shared" si="8"/>
        <v/>
      </c>
      <c r="S67" s="277"/>
      <c r="T67" s="278" t="str">
        <f t="shared" si="9"/>
        <v/>
      </c>
      <c r="X67" s="1">
        <v>5</v>
      </c>
      <c r="Y67" s="1">
        <f t="shared" si="10"/>
        <v>59.795507086748067</v>
      </c>
      <c r="Z67" s="1">
        <f t="shared" si="11"/>
        <v>68.786378986042436</v>
      </c>
      <c r="AA67" s="1" t="e">
        <f t="shared" si="12"/>
        <v>#N/A</v>
      </c>
      <c r="AB67" s="1" t="e">
        <f t="shared" si="13"/>
        <v>#N/A</v>
      </c>
      <c r="AC67" s="1">
        <f t="shared" si="21"/>
        <v>0.90111172385513783</v>
      </c>
      <c r="AD67" s="1">
        <f t="shared" si="22"/>
        <v>0.69092664308845997</v>
      </c>
      <c r="AE67" s="1">
        <f t="shared" si="14"/>
        <v>64.290943036395248</v>
      </c>
      <c r="AF67" s="1">
        <f t="shared" si="15"/>
        <v>64.290943036395248</v>
      </c>
      <c r="AG67" s="1">
        <f t="shared" si="16"/>
        <v>4.4954359496471819</v>
      </c>
      <c r="AI67" s="1">
        <f t="shared" si="17"/>
        <v>8.990871899294369</v>
      </c>
      <c r="AJ67" s="1">
        <f t="shared" si="23"/>
        <v>3.7</v>
      </c>
      <c r="AK67" s="1" t="e">
        <f t="shared" si="18"/>
        <v>#N/A</v>
      </c>
      <c r="AL67" s="1" t="e">
        <f t="shared" si="19"/>
        <v>#N/A</v>
      </c>
      <c r="AM67" s="1" t="e">
        <f t="shared" si="20"/>
        <v>#N/A</v>
      </c>
      <c r="AN67" s="1" t="e">
        <f>IF(AND(X67&lt;=$C$2,$AA$5,$B$1),$Q$4+AI67,NA())</f>
        <v>#N/A</v>
      </c>
      <c r="AO67" s="1" t="e">
        <f>IF(AND(X67&lt;=$C$2,$AA$5,$B$1),Y67,NA())</f>
        <v>#N/A</v>
      </c>
      <c r="AP67" s="1" t="e">
        <f>IF(AND(X67&lt;=$C$2,$AA$5,$B$1),Z67,NA())</f>
        <v>#N/A</v>
      </c>
      <c r="AT67" s="3" t="s">
        <v>1122</v>
      </c>
      <c r="AU67" s="10" t="b">
        <v>0</v>
      </c>
    </row>
    <row r="68" spans="15:49" ht="11.25" customHeight="1" x14ac:dyDescent="0.2">
      <c r="O68" s="246"/>
      <c r="P68" s="276">
        <v>56</v>
      </c>
      <c r="Q68" s="273" t="str">
        <f t="shared" si="7"/>
        <v/>
      </c>
      <c r="R68" s="274" t="str">
        <f t="shared" si="8"/>
        <v/>
      </c>
      <c r="S68" s="275"/>
      <c r="T68" s="278" t="str">
        <f t="shared" si="9"/>
        <v/>
      </c>
      <c r="X68" s="1">
        <v>6</v>
      </c>
      <c r="Y68" s="1">
        <f t="shared" si="10"/>
        <v>66.843545250323984</v>
      </c>
      <c r="Z68" s="1">
        <f t="shared" si="11"/>
        <v>71.523474102749447</v>
      </c>
      <c r="AA68" s="1" t="e">
        <f t="shared" si="12"/>
        <v>#N/A</v>
      </c>
      <c r="AB68" s="1" t="e">
        <f t="shared" si="13"/>
        <v>#N/A</v>
      </c>
      <c r="AC68" s="1">
        <f t="shared" si="21"/>
        <v>0.9530037883669138</v>
      </c>
      <c r="AD68" s="1">
        <f t="shared" si="22"/>
        <v>0.41293095983564854</v>
      </c>
      <c r="AE68" s="1">
        <f t="shared" si="14"/>
        <v>69.183509676536715</v>
      </c>
      <c r="AF68" s="1">
        <f t="shared" si="15"/>
        <v>69.183509676536715</v>
      </c>
      <c r="AG68" s="1">
        <f t="shared" si="16"/>
        <v>2.3399644262127275</v>
      </c>
      <c r="AI68" s="1">
        <f t="shared" si="17"/>
        <v>4.6799288524254621</v>
      </c>
      <c r="AJ68" s="1">
        <f t="shared" si="23"/>
        <v>3.7</v>
      </c>
      <c r="AK68" s="1" t="e">
        <f t="shared" si="18"/>
        <v>#N/A</v>
      </c>
      <c r="AL68" s="1" t="e">
        <f t="shared" si="19"/>
        <v>#N/A</v>
      </c>
      <c r="AM68" s="1" t="e">
        <f t="shared" si="20"/>
        <v>#N/A</v>
      </c>
    </row>
    <row r="69" spans="15:49" ht="11.25" customHeight="1" x14ac:dyDescent="0.2">
      <c r="O69" s="246"/>
      <c r="P69" s="276">
        <v>57</v>
      </c>
      <c r="Q69" s="273" t="str">
        <f t="shared" si="7"/>
        <v/>
      </c>
      <c r="R69" s="274" t="str">
        <f t="shared" si="8"/>
        <v/>
      </c>
      <c r="S69" s="275"/>
      <c r="T69" s="278" t="str">
        <f t="shared" si="9"/>
        <v/>
      </c>
      <c r="X69" s="1">
        <v>7</v>
      </c>
      <c r="Y69" s="1">
        <f t="shared" si="10"/>
        <v>31.858823547093703</v>
      </c>
      <c r="Z69" s="1">
        <f t="shared" si="11"/>
        <v>48.845566080185776</v>
      </c>
      <c r="AA69" s="1" t="e">
        <f t="shared" si="12"/>
        <v>#N/A</v>
      </c>
      <c r="AB69" s="1" t="e">
        <f t="shared" si="13"/>
        <v>#N/A</v>
      </c>
      <c r="AC69" s="1">
        <f t="shared" si="21"/>
        <v>0.27271838672459126</v>
      </c>
      <c r="AD69" s="1">
        <f t="shared" si="22"/>
        <v>0.96645896323025227</v>
      </c>
      <c r="AE69" s="1">
        <f t="shared" si="14"/>
        <v>40.352194813639741</v>
      </c>
      <c r="AF69" s="1">
        <f t="shared" si="15"/>
        <v>40.352194813639741</v>
      </c>
      <c r="AG69" s="1">
        <f t="shared" si="16"/>
        <v>8.4933712665460384</v>
      </c>
      <c r="AI69" s="1">
        <f t="shared" si="17"/>
        <v>16.986742533092073</v>
      </c>
      <c r="AJ69" s="1">
        <f t="shared" si="23"/>
        <v>3.7</v>
      </c>
      <c r="AK69" s="1" t="e">
        <f t="shared" si="18"/>
        <v>#N/A</v>
      </c>
      <c r="AL69" s="1" t="e">
        <f t="shared" si="19"/>
        <v>#N/A</v>
      </c>
      <c r="AM69" s="1" t="e">
        <f t="shared" si="20"/>
        <v>#N/A</v>
      </c>
      <c r="AN69" s="1" t="e">
        <f>IF(AND(X69&lt;=$C$2,$AA$6,$B$1),$Q$4+AI69,NA())</f>
        <v>#N/A</v>
      </c>
      <c r="AO69" s="1" t="e">
        <f>IF(AND(X69&lt;=$C$2,$AA$6,$B$1),Y69,NA())</f>
        <v>#N/A</v>
      </c>
      <c r="AP69" s="1" t="e">
        <f>IF(AND(X69&lt;=$C$2,$AA$6,$B$1),Z69,NA())</f>
        <v>#N/A</v>
      </c>
    </row>
    <row r="70" spans="15:49" ht="11.25" customHeight="1" x14ac:dyDescent="0.2">
      <c r="O70" s="246"/>
      <c r="P70" s="276">
        <v>58</v>
      </c>
      <c r="Q70" s="273" t="str">
        <f t="shared" si="7"/>
        <v/>
      </c>
      <c r="R70" s="274" t="str">
        <f t="shared" si="8"/>
        <v/>
      </c>
      <c r="S70" s="277"/>
      <c r="T70" s="278" t="str">
        <f t="shared" si="9"/>
        <v/>
      </c>
      <c r="X70" s="1">
        <v>8</v>
      </c>
      <c r="Y70" s="1">
        <f t="shared" si="10"/>
        <v>44.770875442393759</v>
      </c>
      <c r="Z70" s="1">
        <f t="shared" si="11"/>
        <v>45.640733912865628</v>
      </c>
      <c r="AA70" s="1" t="e">
        <f t="shared" si="12"/>
        <v>#N/A</v>
      </c>
      <c r="AB70" s="1" t="e">
        <f t="shared" si="13"/>
        <v>#N/A</v>
      </c>
      <c r="AC70" s="1">
        <f t="shared" si="21"/>
        <v>0.4125849399715662</v>
      </c>
      <c r="AD70" s="1">
        <f t="shared" si="22"/>
        <v>0.19626904465258121</v>
      </c>
      <c r="AE70" s="1">
        <f t="shared" si="14"/>
        <v>45.205804677629693</v>
      </c>
      <c r="AF70" s="1">
        <f t="shared" si="15"/>
        <v>45.205804677629693</v>
      </c>
      <c r="AG70" s="1">
        <f t="shared" si="16"/>
        <v>0.43492923523593596</v>
      </c>
      <c r="AI70" s="1">
        <f t="shared" si="17"/>
        <v>0.86985847047186837</v>
      </c>
      <c r="AJ70" s="1">
        <f t="shared" si="23"/>
        <v>3.7</v>
      </c>
      <c r="AK70" s="1" t="e">
        <f t="shared" si="18"/>
        <v>#N/A</v>
      </c>
      <c r="AL70" s="1" t="e">
        <f t="shared" si="19"/>
        <v>#N/A</v>
      </c>
      <c r="AM70" s="1" t="e">
        <f t="shared" si="20"/>
        <v>#N/A</v>
      </c>
    </row>
    <row r="71" spans="15:49" ht="11.25" customHeight="1" x14ac:dyDescent="0.2">
      <c r="O71" s="246"/>
      <c r="P71" s="276">
        <v>59</v>
      </c>
      <c r="Q71" s="273" t="str">
        <f t="shared" si="7"/>
        <v/>
      </c>
      <c r="R71" s="274" t="str">
        <f t="shared" si="8"/>
        <v/>
      </c>
      <c r="S71" s="275"/>
      <c r="T71" s="278" t="str">
        <f t="shared" si="9"/>
        <v/>
      </c>
      <c r="X71" s="1">
        <v>9</v>
      </c>
      <c r="Y71" s="1">
        <f t="shared" si="10"/>
        <v>45.424083295013268</v>
      </c>
      <c r="Z71" s="1">
        <f t="shared" si="11"/>
        <v>68.715309624016868</v>
      </c>
      <c r="AA71" s="1" t="e">
        <f t="shared" si="12"/>
        <v>#N/A</v>
      </c>
      <c r="AB71" s="1" t="e">
        <f t="shared" si="13"/>
        <v>#N/A</v>
      </c>
      <c r="AC71" s="1">
        <f t="shared" si="21"/>
        <v>0.76331988163292408</v>
      </c>
      <c r="AD71" s="1">
        <f t="shared" si="22"/>
        <v>0.99802339263260365</v>
      </c>
      <c r="AE71" s="1">
        <f t="shared" si="14"/>
        <v>57.069696459515065</v>
      </c>
      <c r="AF71" s="1" t="str">
        <f t="shared" si="15"/>
        <v/>
      </c>
      <c r="AG71" s="1">
        <f t="shared" si="16"/>
        <v>11.645613164501798</v>
      </c>
      <c r="AI71" s="1">
        <f t="shared" si="17"/>
        <v>23.291226329003599</v>
      </c>
      <c r="AJ71" s="1">
        <f t="shared" si="23"/>
        <v>3.7</v>
      </c>
      <c r="AK71" s="1" t="e">
        <f t="shared" si="18"/>
        <v>#N/A</v>
      </c>
      <c r="AL71" s="1" t="e">
        <f t="shared" si="19"/>
        <v>#N/A</v>
      </c>
      <c r="AM71" s="1" t="e">
        <f t="shared" si="20"/>
        <v>#N/A</v>
      </c>
    </row>
    <row r="72" spans="15:49" ht="11.25" customHeight="1" x14ac:dyDescent="0.2">
      <c r="O72" s="246"/>
      <c r="P72" s="276">
        <v>60</v>
      </c>
      <c r="Q72" s="273" t="str">
        <f t="shared" si="7"/>
        <v/>
      </c>
      <c r="R72" s="274" t="str">
        <f t="shared" si="8"/>
        <v/>
      </c>
      <c r="S72" s="275"/>
      <c r="T72" s="278" t="str">
        <f t="shared" si="9"/>
        <v/>
      </c>
      <c r="X72" s="1">
        <v>10</v>
      </c>
      <c r="Y72" s="1">
        <f t="shared" si="10"/>
        <v>49.262328198328248</v>
      </c>
      <c r="Z72" s="1">
        <f t="shared" si="11"/>
        <v>62.973230832903596</v>
      </c>
      <c r="AA72" s="1" t="e">
        <f t="shared" si="12"/>
        <v>#N/A</v>
      </c>
      <c r="AB72" s="1" t="e">
        <f t="shared" si="13"/>
        <v>#N/A</v>
      </c>
      <c r="AC72" s="1">
        <f t="shared" si="21"/>
        <v>0.73948770202696323</v>
      </c>
      <c r="AD72" s="1">
        <f t="shared" si="22"/>
        <v>0.90063014067709446</v>
      </c>
      <c r="AE72" s="1">
        <f t="shared" si="14"/>
        <v>56.117779515615922</v>
      </c>
      <c r="AF72" s="1" t="str">
        <f t="shared" si="15"/>
        <v/>
      </c>
      <c r="AG72" s="1">
        <f t="shared" si="16"/>
        <v>6.8554513172876774</v>
      </c>
      <c r="AI72" s="1">
        <f t="shared" si="17"/>
        <v>13.710902634575348</v>
      </c>
      <c r="AJ72" s="1">
        <f t="shared" si="23"/>
        <v>3.7</v>
      </c>
      <c r="AK72" s="1" t="e">
        <f t="shared" si="18"/>
        <v>#N/A</v>
      </c>
      <c r="AL72" s="1" t="e">
        <f t="shared" si="19"/>
        <v>#N/A</v>
      </c>
      <c r="AM72" s="1" t="e">
        <f t="shared" si="20"/>
        <v>#N/A</v>
      </c>
    </row>
    <row r="73" spans="15:49" ht="11.25" customHeight="1" x14ac:dyDescent="0.2">
      <c r="O73" s="246"/>
      <c r="P73" s="276">
        <v>61</v>
      </c>
      <c r="Q73" s="273" t="str">
        <f t="shared" si="7"/>
        <v/>
      </c>
      <c r="R73" s="274" t="str">
        <f t="shared" si="8"/>
        <v/>
      </c>
      <c r="S73" s="275"/>
      <c r="T73" s="278" t="str">
        <f t="shared" si="9"/>
        <v/>
      </c>
      <c r="X73" s="1">
        <v>11</v>
      </c>
      <c r="Y73" s="1">
        <f t="shared" si="10"/>
        <v>52.92042795604776</v>
      </c>
      <c r="Z73" s="1">
        <f t="shared" si="11"/>
        <v>51.717123944780511</v>
      </c>
      <c r="AA73" s="1" t="e">
        <f t="shared" si="12"/>
        <v>#N/A</v>
      </c>
      <c r="AB73" s="1" t="e">
        <f t="shared" si="13"/>
        <v>#N/A</v>
      </c>
      <c r="AC73" s="1">
        <f t="shared" si="21"/>
        <v>0.63360975868999958</v>
      </c>
      <c r="AD73" s="1">
        <f t="shared" si="22"/>
        <v>0.11496277339756489</v>
      </c>
      <c r="AE73" s="1">
        <f t="shared" si="14"/>
        <v>52.318775950414135</v>
      </c>
      <c r="AF73" s="1" t="str">
        <f t="shared" si="15"/>
        <v/>
      </c>
      <c r="AG73" s="1">
        <f t="shared" si="16"/>
        <v>-0.60165200563362298</v>
      </c>
      <c r="AI73" s="1">
        <f t="shared" si="17"/>
        <v>-1.2033040112672495</v>
      </c>
      <c r="AJ73" s="1">
        <f t="shared" si="23"/>
        <v>3.7</v>
      </c>
      <c r="AK73" s="1" t="e">
        <f t="shared" si="18"/>
        <v>#N/A</v>
      </c>
      <c r="AL73" s="1" t="e">
        <f t="shared" si="19"/>
        <v>#N/A</v>
      </c>
      <c r="AM73" s="1" t="e">
        <f t="shared" si="20"/>
        <v>#N/A</v>
      </c>
    </row>
    <row r="74" spans="15:49" ht="11.25" customHeight="1" x14ac:dyDescent="0.2">
      <c r="O74" s="246"/>
      <c r="P74" s="276">
        <v>62</v>
      </c>
      <c r="Q74" s="273" t="str">
        <f t="shared" si="7"/>
        <v/>
      </c>
      <c r="R74" s="274" t="str">
        <f t="shared" si="8"/>
        <v/>
      </c>
      <c r="S74" s="277"/>
      <c r="T74" s="278" t="str">
        <f t="shared" si="9"/>
        <v/>
      </c>
      <c r="X74" s="1">
        <v>12</v>
      </c>
      <c r="Y74" s="1">
        <f t="shared" si="10"/>
        <v>58.995748614324924</v>
      </c>
      <c r="Z74" s="1">
        <f t="shared" si="11"/>
        <v>60.532809051751386</v>
      </c>
      <c r="AA74" s="1" t="e">
        <f t="shared" si="12"/>
        <v>#N/A</v>
      </c>
      <c r="AB74" s="1" t="e">
        <f t="shared" si="13"/>
        <v>#N/A</v>
      </c>
      <c r="AC74" s="1">
        <f t="shared" si="21"/>
        <v>0.82382685877382755</v>
      </c>
      <c r="AD74" s="1">
        <f t="shared" si="22"/>
        <v>0.22849170304834843</v>
      </c>
      <c r="AE74" s="1">
        <f t="shared" si="14"/>
        <v>59.764278833038155</v>
      </c>
      <c r="AF74" s="1" t="str">
        <f t="shared" si="15"/>
        <v/>
      </c>
      <c r="AG74" s="1">
        <f t="shared" si="16"/>
        <v>0.76853021871323079</v>
      </c>
      <c r="AI74" s="1">
        <f t="shared" si="17"/>
        <v>1.5370604374264616</v>
      </c>
      <c r="AJ74" s="1">
        <f t="shared" si="23"/>
        <v>3.7</v>
      </c>
      <c r="AK74" s="1" t="e">
        <f t="shared" si="18"/>
        <v>#N/A</v>
      </c>
      <c r="AL74" s="1" t="e">
        <f t="shared" si="19"/>
        <v>#N/A</v>
      </c>
      <c r="AM74" s="1" t="e">
        <f t="shared" si="20"/>
        <v>#N/A</v>
      </c>
    </row>
    <row r="75" spans="15:49" ht="11.25" customHeight="1" x14ac:dyDescent="0.2">
      <c r="O75" s="246"/>
      <c r="P75" s="276">
        <v>63</v>
      </c>
      <c r="Q75" s="273" t="str">
        <f t="shared" si="7"/>
        <v/>
      </c>
      <c r="R75" s="274" t="str">
        <f t="shared" si="8"/>
        <v/>
      </c>
      <c r="S75" s="275"/>
      <c r="T75" s="278" t="str">
        <f t="shared" si="9"/>
        <v/>
      </c>
      <c r="X75" s="1">
        <v>13</v>
      </c>
      <c r="Y75" s="1">
        <f t="shared" si="10"/>
        <v>47.663613904674634</v>
      </c>
      <c r="Z75" s="1">
        <f t="shared" si="11"/>
        <v>34.886822349109124</v>
      </c>
      <c r="AA75" s="1" t="e">
        <f t="shared" si="12"/>
        <v>#N/A</v>
      </c>
      <c r="AB75" s="1" t="e">
        <f t="shared" si="13"/>
        <v>#N/A</v>
      </c>
      <c r="AC75" s="1">
        <f t="shared" si="21"/>
        <v>0.29748743958771229</v>
      </c>
      <c r="AD75" s="1">
        <f t="shared" si="22"/>
        <v>8.7562389671802521E-4</v>
      </c>
      <c r="AE75" s="1">
        <f t="shared" si="14"/>
        <v>41.275218126891879</v>
      </c>
      <c r="AF75" s="1" t="str">
        <f t="shared" si="15"/>
        <v/>
      </c>
      <c r="AG75" s="1">
        <f t="shared" si="16"/>
        <v>-6.3883957777827511</v>
      </c>
      <c r="AI75" s="1">
        <f t="shared" si="17"/>
        <v>-12.776791555565509</v>
      </c>
      <c r="AJ75" s="1">
        <f t="shared" si="23"/>
        <v>3.7</v>
      </c>
      <c r="AK75" s="1" t="e">
        <f t="shared" si="18"/>
        <v>#N/A</v>
      </c>
      <c r="AL75" s="1" t="e">
        <f t="shared" si="19"/>
        <v>#N/A</v>
      </c>
      <c r="AM75" s="1" t="e">
        <f t="shared" si="20"/>
        <v>#N/A</v>
      </c>
    </row>
    <row r="76" spans="15:49" ht="11.25" customHeight="1" x14ac:dyDescent="0.2">
      <c r="O76" s="246"/>
      <c r="P76" s="276">
        <v>64</v>
      </c>
      <c r="Q76" s="273" t="str">
        <f t="shared" si="7"/>
        <v/>
      </c>
      <c r="R76" s="274" t="str">
        <f t="shared" si="8"/>
        <v/>
      </c>
      <c r="S76" s="277"/>
      <c r="T76" s="278" t="str">
        <f t="shared" si="9"/>
        <v/>
      </c>
      <c r="X76" s="1">
        <v>14</v>
      </c>
      <c r="Y76" s="1">
        <f t="shared" si="10"/>
        <v>39.007349026155644</v>
      </c>
      <c r="Z76" s="1">
        <f t="shared" si="11"/>
        <v>40.967021978191447</v>
      </c>
      <c r="AA76" s="1" t="e">
        <f t="shared" si="12"/>
        <v>#N/A</v>
      </c>
      <c r="AB76" s="1" t="e">
        <f t="shared" si="13"/>
        <v>#N/A</v>
      </c>
      <c r="AC76" s="1">
        <f t="shared" si="21"/>
        <v>0.26321383751928806</v>
      </c>
      <c r="AD76" s="1">
        <f t="shared" si="22"/>
        <v>0.25035029090940952</v>
      </c>
      <c r="AE76" s="1">
        <f t="shared" si="14"/>
        <v>39.987185502173546</v>
      </c>
      <c r="AF76" s="1" t="str">
        <f t="shared" si="15"/>
        <v/>
      </c>
      <c r="AG76" s="1">
        <f t="shared" si="16"/>
        <v>0.97983647601790436</v>
      </c>
      <c r="AI76" s="1">
        <f t="shared" si="17"/>
        <v>1.9596729520358025</v>
      </c>
      <c r="AJ76" s="1">
        <f t="shared" si="23"/>
        <v>3.7</v>
      </c>
      <c r="AK76" s="1" t="e">
        <f t="shared" si="18"/>
        <v>#N/A</v>
      </c>
      <c r="AL76" s="1" t="e">
        <f t="shared" si="19"/>
        <v>#N/A</v>
      </c>
      <c r="AM76" s="1" t="e">
        <f t="shared" si="20"/>
        <v>#N/A</v>
      </c>
    </row>
    <row r="77" spans="15:49" ht="11.25" customHeight="1" x14ac:dyDescent="0.2">
      <c r="O77" s="246"/>
      <c r="P77" s="276">
        <v>65</v>
      </c>
      <c r="Q77" s="273" t="str">
        <f t="shared" ref="Q77:Q108" si="24">IF(AND(X127&lt;=$C$2,$B$1),Y127,"")</f>
        <v/>
      </c>
      <c r="R77" s="274" t="str">
        <f t="shared" ref="R77:R108" si="25">IF(AND(X127&lt;=$C$2,$B$1),Z127,"")</f>
        <v/>
      </c>
      <c r="S77" s="275"/>
      <c r="T77" s="278" t="str">
        <f t="shared" ref="T77:T108" si="26">IF(AND(X127&lt;=$C$2,$B$1),R77-Q77,"")</f>
        <v/>
      </c>
      <c r="X77" s="1">
        <v>15</v>
      </c>
      <c r="Y77" s="1">
        <f t="shared" si="10"/>
        <v>58.448327291754609</v>
      </c>
      <c r="Z77" s="1">
        <f t="shared" si="11"/>
        <v>58.570874906628248</v>
      </c>
      <c r="AA77" s="1" t="e">
        <f t="shared" si="12"/>
        <v>#N/A</v>
      </c>
      <c r="AB77" s="1" t="e">
        <f t="shared" si="13"/>
        <v>#N/A</v>
      </c>
      <c r="AC77" s="1">
        <f t="shared" si="21"/>
        <v>0.79697276838123798</v>
      </c>
      <c r="AD77" s="1">
        <f t="shared" si="22"/>
        <v>0.16364787705242634</v>
      </c>
      <c r="AE77" s="1">
        <f t="shared" si="14"/>
        <v>58.509601099191428</v>
      </c>
      <c r="AF77" s="1" t="str">
        <f t="shared" si="15"/>
        <v/>
      </c>
      <c r="AG77" s="1">
        <f t="shared" si="16"/>
        <v>6.1273807436823091E-2</v>
      </c>
      <c r="AI77" s="1">
        <f t="shared" si="17"/>
        <v>0.12254761487363908</v>
      </c>
      <c r="AJ77" s="1">
        <f t="shared" si="23"/>
        <v>3.7</v>
      </c>
      <c r="AK77" s="1" t="e">
        <f t="shared" si="18"/>
        <v>#N/A</v>
      </c>
      <c r="AL77" s="1" t="e">
        <f t="shared" si="19"/>
        <v>#N/A</v>
      </c>
      <c r="AM77" s="1" t="e">
        <f t="shared" si="20"/>
        <v>#N/A</v>
      </c>
    </row>
    <row r="78" spans="15:49" ht="11.25" customHeight="1" x14ac:dyDescent="0.2">
      <c r="O78" s="246"/>
      <c r="P78" s="276">
        <v>66</v>
      </c>
      <c r="Q78" s="273" t="str">
        <f t="shared" si="24"/>
        <v/>
      </c>
      <c r="R78" s="274" t="str">
        <f t="shared" si="25"/>
        <v/>
      </c>
      <c r="S78" s="275"/>
      <c r="T78" s="278" t="str">
        <f t="shared" si="26"/>
        <v/>
      </c>
      <c r="X78" s="1">
        <v>16</v>
      </c>
      <c r="Y78" s="1">
        <f t="shared" si="10"/>
        <v>19.672279980873494</v>
      </c>
      <c r="Z78" s="1">
        <f t="shared" si="11"/>
        <v>33.291908756014919</v>
      </c>
      <c r="AA78" s="1" t="e">
        <f t="shared" si="12"/>
        <v>#N/A</v>
      </c>
      <c r="AB78" s="1" t="e">
        <f t="shared" si="13"/>
        <v>#N/A</v>
      </c>
      <c r="AC78" s="1">
        <f t="shared" si="21"/>
        <v>4.4458368793129921E-2</v>
      </c>
      <c r="AD78" s="1">
        <f t="shared" si="22"/>
        <v>0.8979466650635004</v>
      </c>
      <c r="AE78" s="1">
        <f t="shared" si="14"/>
        <v>26.482094368444205</v>
      </c>
      <c r="AF78" s="1" t="str">
        <f t="shared" si="15"/>
        <v/>
      </c>
      <c r="AG78" s="1">
        <f t="shared" si="16"/>
        <v>6.8098143875707118</v>
      </c>
      <c r="AI78" s="1">
        <f t="shared" si="17"/>
        <v>13.619628775141425</v>
      </c>
      <c r="AJ78" s="1">
        <f t="shared" si="23"/>
        <v>3.7</v>
      </c>
      <c r="AK78" s="1" t="e">
        <f t="shared" si="18"/>
        <v>#N/A</v>
      </c>
      <c r="AL78" s="1" t="e">
        <f t="shared" si="19"/>
        <v>#N/A</v>
      </c>
      <c r="AM78" s="1" t="e">
        <f t="shared" si="20"/>
        <v>#N/A</v>
      </c>
    </row>
    <row r="79" spans="15:49" ht="11.25" customHeight="1" x14ac:dyDescent="0.2">
      <c r="O79" s="246"/>
      <c r="P79" s="276">
        <v>67</v>
      </c>
      <c r="Q79" s="273" t="str">
        <f t="shared" si="24"/>
        <v/>
      </c>
      <c r="R79" s="274" t="str">
        <f t="shared" si="25"/>
        <v/>
      </c>
      <c r="S79" s="275"/>
      <c r="T79" s="278" t="str">
        <f t="shared" si="26"/>
        <v/>
      </c>
      <c r="X79" s="1">
        <v>17</v>
      </c>
      <c r="Y79" s="1">
        <f t="shared" si="10"/>
        <v>38.460741062163891</v>
      </c>
      <c r="Z79" s="1">
        <f t="shared" si="11"/>
        <v>41.720512758311088</v>
      </c>
      <c r="AA79" s="1" t="e">
        <f t="shared" si="12"/>
        <v>#N/A</v>
      </c>
      <c r="AB79" s="1" t="e">
        <f t="shared" si="13"/>
        <v>#N/A</v>
      </c>
      <c r="AC79" s="1">
        <f t="shared" si="21"/>
        <v>0.2658900935202837</v>
      </c>
      <c r="AD79" s="1">
        <f t="shared" si="22"/>
        <v>0.32394164986908436</v>
      </c>
      <c r="AE79" s="1">
        <f t="shared" si="14"/>
        <v>40.090626910237489</v>
      </c>
      <c r="AF79" s="1" t="str">
        <f t="shared" si="15"/>
        <v/>
      </c>
      <c r="AG79" s="1">
        <f t="shared" si="16"/>
        <v>1.6298858480735967</v>
      </c>
      <c r="AI79" s="1">
        <f t="shared" si="17"/>
        <v>3.2597716961471974</v>
      </c>
      <c r="AJ79" s="1">
        <f t="shared" si="23"/>
        <v>3.7</v>
      </c>
      <c r="AK79" s="1" t="e">
        <f t="shared" si="18"/>
        <v>#N/A</v>
      </c>
      <c r="AL79" s="1" t="e">
        <f t="shared" si="19"/>
        <v>#N/A</v>
      </c>
      <c r="AM79" s="1" t="e">
        <f t="shared" si="20"/>
        <v>#N/A</v>
      </c>
    </row>
    <row r="80" spans="15:49" ht="11.25" customHeight="1" x14ac:dyDescent="0.2">
      <c r="O80" s="246"/>
      <c r="P80" s="276">
        <v>68</v>
      </c>
      <c r="Q80" s="273" t="str">
        <f t="shared" si="24"/>
        <v/>
      </c>
      <c r="R80" s="274" t="str">
        <f t="shared" si="25"/>
        <v/>
      </c>
      <c r="S80" s="277"/>
      <c r="T80" s="278" t="str">
        <f t="shared" si="26"/>
        <v/>
      </c>
      <c r="X80" s="1">
        <v>18</v>
      </c>
      <c r="Y80" s="1">
        <f t="shared" si="10"/>
        <v>39.865751144876498</v>
      </c>
      <c r="Z80" s="1">
        <f t="shared" si="11"/>
        <v>49.184872720567796</v>
      </c>
      <c r="AA80" s="1" t="e">
        <f t="shared" si="12"/>
        <v>#N/A</v>
      </c>
      <c r="AB80" s="1" t="e">
        <f t="shared" si="13"/>
        <v>#N/A</v>
      </c>
      <c r="AC80" s="1">
        <f t="shared" si="21"/>
        <v>0.39177405275404453</v>
      </c>
      <c r="AD80" s="1">
        <f t="shared" si="22"/>
        <v>0.70993229188024998</v>
      </c>
      <c r="AE80" s="1">
        <f t="shared" si="14"/>
        <v>44.525311932722147</v>
      </c>
      <c r="AF80" s="1" t="str">
        <f t="shared" si="15"/>
        <v/>
      </c>
      <c r="AG80" s="1">
        <f t="shared" si="16"/>
        <v>4.6595607878456491</v>
      </c>
      <c r="AI80" s="1">
        <f t="shared" si="17"/>
        <v>9.3191215756912982</v>
      </c>
      <c r="AJ80" s="1">
        <f t="shared" si="23"/>
        <v>3.7</v>
      </c>
      <c r="AK80" s="1" t="e">
        <f t="shared" si="18"/>
        <v>#N/A</v>
      </c>
      <c r="AL80" s="1" t="e">
        <f t="shared" si="19"/>
        <v>#N/A</v>
      </c>
      <c r="AM80" s="1" t="e">
        <f t="shared" si="20"/>
        <v>#N/A</v>
      </c>
    </row>
    <row r="81" spans="15:39" ht="11.25" customHeight="1" x14ac:dyDescent="0.2">
      <c r="O81" s="246"/>
      <c r="P81" s="276">
        <v>69</v>
      </c>
      <c r="Q81" s="273" t="str">
        <f t="shared" si="24"/>
        <v/>
      </c>
      <c r="R81" s="274" t="str">
        <f t="shared" si="25"/>
        <v/>
      </c>
      <c r="S81" s="275"/>
      <c r="T81" s="278" t="str">
        <f t="shared" si="26"/>
        <v/>
      </c>
      <c r="X81" s="1">
        <v>19</v>
      </c>
      <c r="Y81" s="1">
        <f t="shared" si="10"/>
        <v>52.020259918947822</v>
      </c>
      <c r="Z81" s="1">
        <f t="shared" si="11"/>
        <v>51.747943709470867</v>
      </c>
      <c r="AA81" s="1" t="e">
        <f t="shared" si="12"/>
        <v>#N/A</v>
      </c>
      <c r="AB81" s="1" t="e">
        <f t="shared" si="13"/>
        <v>#N/A</v>
      </c>
      <c r="AC81" s="1">
        <f t="shared" si="21"/>
        <v>0.62060313113033772</v>
      </c>
      <c r="AD81" s="1">
        <f t="shared" si="22"/>
        <v>0.14792229421436787</v>
      </c>
      <c r="AE81" s="1">
        <f t="shared" si="14"/>
        <v>51.884101814209345</v>
      </c>
      <c r="AF81" s="1" t="str">
        <f t="shared" si="15"/>
        <v/>
      </c>
      <c r="AG81" s="1">
        <f t="shared" si="16"/>
        <v>-0.13615810473847834</v>
      </c>
      <c r="AI81" s="1">
        <f t="shared" si="17"/>
        <v>-0.2723162094769549</v>
      </c>
      <c r="AJ81" s="1">
        <f t="shared" si="23"/>
        <v>3.7</v>
      </c>
      <c r="AK81" s="1" t="e">
        <f t="shared" si="18"/>
        <v>#N/A</v>
      </c>
      <c r="AL81" s="1" t="e">
        <f t="shared" si="19"/>
        <v>#N/A</v>
      </c>
      <c r="AM81" s="1" t="e">
        <f t="shared" si="20"/>
        <v>#N/A</v>
      </c>
    </row>
    <row r="82" spans="15:39" ht="11.25" customHeight="1" x14ac:dyDescent="0.2">
      <c r="O82" s="246"/>
      <c r="P82" s="276">
        <v>70</v>
      </c>
      <c r="Q82" s="273" t="str">
        <f t="shared" si="24"/>
        <v/>
      </c>
      <c r="R82" s="274" t="str">
        <f t="shared" si="25"/>
        <v/>
      </c>
      <c r="S82" s="277"/>
      <c r="T82" s="278" t="str">
        <f t="shared" si="26"/>
        <v/>
      </c>
      <c r="X82" s="1">
        <v>20</v>
      </c>
      <c r="Y82" s="1">
        <f t="shared" si="10"/>
        <v>37.7964624362411</v>
      </c>
      <c r="Z82" s="1">
        <f t="shared" si="11"/>
        <v>50.418528350563861</v>
      </c>
      <c r="AA82" s="1" t="e">
        <f t="shared" si="12"/>
        <v>#N/A</v>
      </c>
      <c r="AB82" s="1" t="e">
        <f t="shared" si="13"/>
        <v>#N/A</v>
      </c>
      <c r="AC82" s="1">
        <f t="shared" si="21"/>
        <v>0.37914408184587955</v>
      </c>
      <c r="AD82" s="1">
        <f t="shared" si="22"/>
        <v>0.8651335034519434</v>
      </c>
      <c r="AE82" s="1">
        <f t="shared" si="14"/>
        <v>44.10749539340248</v>
      </c>
      <c r="AF82" s="1" t="str">
        <f t="shared" si="15"/>
        <v/>
      </c>
      <c r="AG82" s="1">
        <f t="shared" si="16"/>
        <v>6.3110329571613768</v>
      </c>
      <c r="AI82" s="1">
        <f t="shared" si="17"/>
        <v>12.622065914322761</v>
      </c>
      <c r="AJ82" s="1">
        <f t="shared" si="23"/>
        <v>3.7</v>
      </c>
      <c r="AK82" s="1" t="e">
        <f t="shared" si="18"/>
        <v>#N/A</v>
      </c>
      <c r="AL82" s="1" t="e">
        <f t="shared" si="19"/>
        <v>#N/A</v>
      </c>
      <c r="AM82" s="1" t="e">
        <f t="shared" si="20"/>
        <v>#N/A</v>
      </c>
    </row>
    <row r="83" spans="15:39" ht="11.25" customHeight="1" x14ac:dyDescent="0.2">
      <c r="O83" s="246"/>
      <c r="P83" s="276">
        <v>71</v>
      </c>
      <c r="Q83" s="273" t="str">
        <f t="shared" si="24"/>
        <v/>
      </c>
      <c r="R83" s="274" t="str">
        <f t="shared" si="25"/>
        <v/>
      </c>
      <c r="S83" s="275"/>
      <c r="T83" s="278" t="str">
        <f t="shared" si="26"/>
        <v/>
      </c>
      <c r="X83" s="1">
        <v>21</v>
      </c>
      <c r="Y83" s="1">
        <f t="shared" si="10"/>
        <v>55.163140602526589</v>
      </c>
      <c r="Z83" s="1">
        <f t="shared" si="11"/>
        <v>57.688436180979728</v>
      </c>
      <c r="AA83" s="1" t="e">
        <f t="shared" si="12"/>
        <v>#N/A</v>
      </c>
      <c r="AB83" s="1" t="e">
        <f t="shared" si="13"/>
        <v>#N/A</v>
      </c>
      <c r="AC83" s="1">
        <f t="shared" si="21"/>
        <v>0.74733185954391956</v>
      </c>
      <c r="AD83" s="1">
        <f t="shared" si="22"/>
        <v>0.28125497885048389</v>
      </c>
      <c r="AE83" s="1">
        <f t="shared" si="14"/>
        <v>56.425788391753159</v>
      </c>
      <c r="AF83" s="1" t="str">
        <f t="shared" si="15"/>
        <v/>
      </c>
      <c r="AG83" s="1">
        <f t="shared" si="16"/>
        <v>1.2626477892265719</v>
      </c>
      <c r="AI83" s="1">
        <f t="shared" si="17"/>
        <v>2.5252955784531395</v>
      </c>
      <c r="AJ83" s="1">
        <f t="shared" si="23"/>
        <v>3.7</v>
      </c>
      <c r="AK83" s="1" t="e">
        <f t="shared" si="18"/>
        <v>#N/A</v>
      </c>
      <c r="AL83" s="1" t="e">
        <f t="shared" si="19"/>
        <v>#N/A</v>
      </c>
      <c r="AM83" s="1" t="e">
        <f t="shared" si="20"/>
        <v>#N/A</v>
      </c>
    </row>
    <row r="84" spans="15:39" ht="11.25" customHeight="1" x14ac:dyDescent="0.2">
      <c r="O84" s="246"/>
      <c r="P84" s="276">
        <v>72</v>
      </c>
      <c r="Q84" s="273" t="str">
        <f t="shared" si="24"/>
        <v/>
      </c>
      <c r="R84" s="274" t="str">
        <f t="shared" si="25"/>
        <v/>
      </c>
      <c r="S84" s="275"/>
      <c r="T84" s="278" t="str">
        <f t="shared" si="26"/>
        <v/>
      </c>
      <c r="X84" s="1">
        <v>22</v>
      </c>
      <c r="Y84" s="1">
        <f t="shared" si="10"/>
        <v>39.171213817298614</v>
      </c>
      <c r="Z84" s="1">
        <f t="shared" si="11"/>
        <v>44.338648688475878</v>
      </c>
      <c r="AA84" s="1" t="e">
        <f t="shared" si="12"/>
        <v>#N/A</v>
      </c>
      <c r="AB84" s="1" t="e">
        <f t="shared" si="13"/>
        <v>#N/A</v>
      </c>
      <c r="AC84" s="1">
        <f t="shared" si="21"/>
        <v>0.31075336970388889</v>
      </c>
      <c r="AD84" s="1">
        <f t="shared" si="22"/>
        <v>0.44481956399977207</v>
      </c>
      <c r="AE84" s="1">
        <f t="shared" si="14"/>
        <v>41.754931252887246</v>
      </c>
      <c r="AF84" s="1" t="str">
        <f t="shared" si="15"/>
        <v/>
      </c>
      <c r="AG84" s="1">
        <f t="shared" si="16"/>
        <v>2.5837174355886314</v>
      </c>
      <c r="AI84" s="1">
        <f t="shared" si="17"/>
        <v>5.1674348711772637</v>
      </c>
      <c r="AJ84" s="1">
        <f t="shared" si="23"/>
        <v>3.7</v>
      </c>
      <c r="AK84" s="1" t="e">
        <f t="shared" si="18"/>
        <v>#N/A</v>
      </c>
      <c r="AL84" s="1" t="e">
        <f t="shared" si="19"/>
        <v>#N/A</v>
      </c>
      <c r="AM84" s="1" t="e">
        <f t="shared" si="20"/>
        <v>#N/A</v>
      </c>
    </row>
    <row r="85" spans="15:39" ht="11.25" customHeight="1" x14ac:dyDescent="0.2">
      <c r="O85" s="246"/>
      <c r="P85" s="276">
        <v>73</v>
      </c>
      <c r="Q85" s="273" t="str">
        <f t="shared" si="24"/>
        <v/>
      </c>
      <c r="R85" s="274" t="str">
        <f t="shared" si="25"/>
        <v/>
      </c>
      <c r="S85" s="275"/>
      <c r="T85" s="278" t="str">
        <f t="shared" si="26"/>
        <v/>
      </c>
      <c r="X85" s="1">
        <v>23</v>
      </c>
      <c r="Y85" s="1">
        <f t="shared" si="10"/>
        <v>53.599958239335393</v>
      </c>
      <c r="Z85" s="1">
        <f t="shared" si="11"/>
        <v>58.429277325314558</v>
      </c>
      <c r="AA85" s="1" t="e">
        <f t="shared" si="12"/>
        <v>#N/A</v>
      </c>
      <c r="AB85" s="1" t="e">
        <f t="shared" si="13"/>
        <v>#N/A</v>
      </c>
      <c r="AC85" s="1">
        <f t="shared" si="21"/>
        <v>0.73683269508183002</v>
      </c>
      <c r="AD85" s="1">
        <f t="shared" si="22"/>
        <v>0.42265205271542072</v>
      </c>
      <c r="AE85" s="1">
        <f t="shared" si="14"/>
        <v>56.014617782324976</v>
      </c>
      <c r="AF85" s="1" t="str">
        <f t="shared" si="15"/>
        <v/>
      </c>
      <c r="AG85" s="1">
        <f t="shared" si="16"/>
        <v>2.4146595429895807</v>
      </c>
      <c r="AI85" s="1">
        <f t="shared" si="17"/>
        <v>4.829319085979165</v>
      </c>
      <c r="AJ85" s="1">
        <f t="shared" si="23"/>
        <v>3.7</v>
      </c>
      <c r="AK85" s="1" t="e">
        <f t="shared" si="18"/>
        <v>#N/A</v>
      </c>
      <c r="AL85" s="1" t="e">
        <f t="shared" si="19"/>
        <v>#N/A</v>
      </c>
      <c r="AM85" s="1" t="e">
        <f t="shared" si="20"/>
        <v>#N/A</v>
      </c>
    </row>
    <row r="86" spans="15:39" ht="11.25" customHeight="1" x14ac:dyDescent="0.2">
      <c r="O86" s="246"/>
      <c r="P86" s="276">
        <v>74</v>
      </c>
      <c r="Q86" s="273" t="str">
        <f t="shared" si="24"/>
        <v/>
      </c>
      <c r="R86" s="274" t="str">
        <f t="shared" si="25"/>
        <v/>
      </c>
      <c r="S86" s="277"/>
      <c r="T86" s="278" t="str">
        <f t="shared" si="26"/>
        <v/>
      </c>
      <c r="X86" s="1">
        <v>24</v>
      </c>
      <c r="Y86" s="1">
        <f t="shared" si="10"/>
        <v>52.004277677424497</v>
      </c>
      <c r="Z86" s="1">
        <f t="shared" si="11"/>
        <v>45.877235352785249</v>
      </c>
      <c r="AA86" s="1" t="e">
        <f t="shared" si="12"/>
        <v>#N/A</v>
      </c>
      <c r="AB86" s="1" t="e">
        <f t="shared" si="13"/>
        <v>#N/A</v>
      </c>
      <c r="AC86" s="1">
        <f t="shared" si="21"/>
        <v>0.5296433363109827</v>
      </c>
      <c r="AD86" s="1">
        <f t="shared" si="22"/>
        <v>2.1630892530083656E-2</v>
      </c>
      <c r="AE86" s="1">
        <f t="shared" si="14"/>
        <v>48.940756515104873</v>
      </c>
      <c r="AF86" s="1" t="str">
        <f t="shared" si="15"/>
        <v/>
      </c>
      <c r="AG86" s="1">
        <f t="shared" si="16"/>
        <v>-3.0635211623196206</v>
      </c>
      <c r="AI86" s="1">
        <f t="shared" si="17"/>
        <v>-6.1270423246392482</v>
      </c>
      <c r="AJ86" s="1">
        <f t="shared" si="23"/>
        <v>3.7</v>
      </c>
      <c r="AK86" s="1" t="e">
        <f t="shared" si="18"/>
        <v>#N/A</v>
      </c>
      <c r="AL86" s="1" t="e">
        <f t="shared" si="19"/>
        <v>#N/A</v>
      </c>
      <c r="AM86" s="1" t="e">
        <f t="shared" si="20"/>
        <v>#N/A</v>
      </c>
    </row>
    <row r="87" spans="15:39" ht="11.25" customHeight="1" x14ac:dyDescent="0.2">
      <c r="O87" s="246"/>
      <c r="P87" s="276">
        <v>75</v>
      </c>
      <c r="Q87" s="273" t="str">
        <f t="shared" si="24"/>
        <v/>
      </c>
      <c r="R87" s="274" t="str">
        <f t="shared" si="25"/>
        <v/>
      </c>
      <c r="S87" s="275"/>
      <c r="T87" s="278" t="str">
        <f t="shared" si="26"/>
        <v/>
      </c>
      <c r="X87" s="1">
        <v>25</v>
      </c>
      <c r="Y87" s="1">
        <f t="shared" si="10"/>
        <v>38.863282672755417</v>
      </c>
      <c r="Z87" s="1">
        <f t="shared" si="11"/>
        <v>39.951579770727406</v>
      </c>
      <c r="AA87" s="1" t="e">
        <f t="shared" si="12"/>
        <v>#N/A</v>
      </c>
      <c r="AB87" s="1" t="e">
        <f t="shared" si="13"/>
        <v>#N/A</v>
      </c>
      <c r="AC87" s="1">
        <f t="shared" si="21"/>
        <v>0.24847319908440113</v>
      </c>
      <c r="AD87" s="1">
        <f t="shared" si="22"/>
        <v>0.20650243945419788</v>
      </c>
      <c r="AE87" s="1">
        <f t="shared" si="14"/>
        <v>39.407431221741412</v>
      </c>
      <c r="AF87" s="1" t="str">
        <f t="shared" si="15"/>
        <v/>
      </c>
      <c r="AG87" s="1">
        <f t="shared" si="16"/>
        <v>0.54414854898599785</v>
      </c>
      <c r="AI87" s="1">
        <f t="shared" si="17"/>
        <v>1.0882970979719886</v>
      </c>
      <c r="AJ87" s="1">
        <f t="shared" si="23"/>
        <v>3.7</v>
      </c>
      <c r="AK87" s="1" t="e">
        <f t="shared" si="18"/>
        <v>#N/A</v>
      </c>
      <c r="AL87" s="1" t="e">
        <f t="shared" si="19"/>
        <v>#N/A</v>
      </c>
      <c r="AM87" s="1" t="e">
        <f t="shared" si="20"/>
        <v>#N/A</v>
      </c>
    </row>
    <row r="88" spans="15:39" ht="11.25" customHeight="1" x14ac:dyDescent="0.2">
      <c r="O88" s="246"/>
      <c r="P88" s="276">
        <v>76</v>
      </c>
      <c r="Q88" s="273" t="str">
        <f t="shared" si="24"/>
        <v/>
      </c>
      <c r="R88" s="274" t="str">
        <f t="shared" si="25"/>
        <v/>
      </c>
      <c r="S88" s="277"/>
      <c r="T88" s="278" t="str">
        <f t="shared" si="26"/>
        <v/>
      </c>
      <c r="X88" s="1">
        <v>26</v>
      </c>
      <c r="Y88" s="1">
        <f t="shared" si="10"/>
        <v>39.508909020883245</v>
      </c>
      <c r="Z88" s="1">
        <f t="shared" si="11"/>
        <v>37.040930056646665</v>
      </c>
      <c r="AA88" s="1" t="e">
        <f t="shared" si="12"/>
        <v>#N/A</v>
      </c>
      <c r="AB88" s="1" t="e">
        <f t="shared" si="13"/>
        <v>#N/A</v>
      </c>
      <c r="AC88" s="1">
        <f t="shared" si="21"/>
        <v>0.22099559940397739</v>
      </c>
      <c r="AD88" s="1">
        <f t="shared" si="22"/>
        <v>7.9073691740632057E-2</v>
      </c>
      <c r="AE88" s="1">
        <f t="shared" si="14"/>
        <v>38.274919538764955</v>
      </c>
      <c r="AF88" s="1" t="str">
        <f t="shared" si="15"/>
        <v/>
      </c>
      <c r="AG88" s="1">
        <f t="shared" si="16"/>
        <v>-1.2339894821182904</v>
      </c>
      <c r="AI88" s="1">
        <f t="shared" si="17"/>
        <v>-2.467978964236579</v>
      </c>
      <c r="AJ88" s="1">
        <f t="shared" si="23"/>
        <v>3.7</v>
      </c>
      <c r="AK88" s="1" t="e">
        <f t="shared" si="18"/>
        <v>#N/A</v>
      </c>
      <c r="AL88" s="1" t="e">
        <f t="shared" si="19"/>
        <v>#N/A</v>
      </c>
      <c r="AM88" s="1" t="e">
        <f t="shared" si="20"/>
        <v>#N/A</v>
      </c>
    </row>
    <row r="89" spans="15:39" ht="11.25" customHeight="1" x14ac:dyDescent="0.2">
      <c r="O89" s="246"/>
      <c r="P89" s="276">
        <v>77</v>
      </c>
      <c r="Q89" s="273" t="str">
        <f t="shared" si="24"/>
        <v/>
      </c>
      <c r="R89" s="274" t="str">
        <f t="shared" si="25"/>
        <v/>
      </c>
      <c r="S89" s="275"/>
      <c r="T89" s="278" t="str">
        <f t="shared" si="26"/>
        <v/>
      </c>
      <c r="X89" s="1">
        <v>27</v>
      </c>
      <c r="Y89" s="1">
        <f t="shared" si="10"/>
        <v>54.264419800767293</v>
      </c>
      <c r="Z89" s="1">
        <f t="shared" si="11"/>
        <v>69.873280082814176</v>
      </c>
      <c r="AA89" s="1" t="e">
        <f t="shared" si="12"/>
        <v>#N/A</v>
      </c>
      <c r="AB89" s="1" t="e">
        <f t="shared" si="13"/>
        <v>#N/A</v>
      </c>
      <c r="AC89" s="1">
        <f t="shared" si="21"/>
        <v>0.86698256619274616</v>
      </c>
      <c r="AD89" s="1">
        <f t="shared" si="22"/>
        <v>0.94536431320011616</v>
      </c>
      <c r="AE89" s="1">
        <f t="shared" si="14"/>
        <v>62.068849941790738</v>
      </c>
      <c r="AF89" s="1" t="str">
        <f t="shared" si="15"/>
        <v/>
      </c>
      <c r="AG89" s="1">
        <f t="shared" si="16"/>
        <v>7.8044301410234445</v>
      </c>
      <c r="AI89" s="1">
        <f t="shared" si="17"/>
        <v>15.608860282046884</v>
      </c>
      <c r="AJ89" s="1">
        <f t="shared" si="23"/>
        <v>3.7</v>
      </c>
      <c r="AK89" s="1" t="e">
        <f t="shared" si="18"/>
        <v>#N/A</v>
      </c>
      <c r="AL89" s="1" t="e">
        <f t="shared" si="19"/>
        <v>#N/A</v>
      </c>
      <c r="AM89" s="1" t="e">
        <f t="shared" si="20"/>
        <v>#N/A</v>
      </c>
    </row>
    <row r="90" spans="15:39" ht="11.25" customHeight="1" x14ac:dyDescent="0.2">
      <c r="O90" s="246"/>
      <c r="P90" s="276">
        <v>78</v>
      </c>
      <c r="Q90" s="273" t="str">
        <f t="shared" si="24"/>
        <v/>
      </c>
      <c r="R90" s="274" t="str">
        <f t="shared" si="25"/>
        <v/>
      </c>
      <c r="S90" s="275"/>
      <c r="T90" s="278" t="str">
        <f t="shared" si="26"/>
        <v/>
      </c>
      <c r="X90" s="1">
        <v>28</v>
      </c>
      <c r="Y90" s="1">
        <f t="shared" si="10"/>
        <v>64.518107774047763</v>
      </c>
      <c r="Z90" s="1">
        <f t="shared" si="11"/>
        <v>69.333400574011904</v>
      </c>
      <c r="AA90" s="1" t="e">
        <f t="shared" si="12"/>
        <v>#N/A</v>
      </c>
      <c r="AB90" s="1" t="e">
        <f t="shared" si="13"/>
        <v>#N/A</v>
      </c>
      <c r="AC90" s="1">
        <f t="shared" si="21"/>
        <v>0.93270082212984562</v>
      </c>
      <c r="AD90" s="1">
        <f t="shared" si="22"/>
        <v>0.42173723317682743</v>
      </c>
      <c r="AE90" s="1">
        <f t="shared" si="14"/>
        <v>66.925754174029834</v>
      </c>
      <c r="AF90" s="1" t="str">
        <f t="shared" si="15"/>
        <v/>
      </c>
      <c r="AG90" s="1">
        <f t="shared" si="16"/>
        <v>2.4076463999820734</v>
      </c>
      <c r="AI90" s="1">
        <f t="shared" si="17"/>
        <v>4.8152927999641406</v>
      </c>
      <c r="AJ90" s="1">
        <f t="shared" si="23"/>
        <v>3.7</v>
      </c>
      <c r="AK90" s="1" t="e">
        <f t="shared" si="18"/>
        <v>#N/A</v>
      </c>
      <c r="AL90" s="1" t="e">
        <f t="shared" si="19"/>
        <v>#N/A</v>
      </c>
      <c r="AM90" s="1" t="e">
        <f t="shared" si="20"/>
        <v>#N/A</v>
      </c>
    </row>
    <row r="91" spans="15:39" ht="11.25" customHeight="1" x14ac:dyDescent="0.2">
      <c r="O91" s="246"/>
      <c r="P91" s="276">
        <v>79</v>
      </c>
      <c r="Q91" s="273" t="str">
        <f t="shared" si="24"/>
        <v/>
      </c>
      <c r="R91" s="274" t="str">
        <f t="shared" si="25"/>
        <v/>
      </c>
      <c r="S91" s="277"/>
      <c r="T91" s="278" t="str">
        <f t="shared" si="26"/>
        <v/>
      </c>
      <c r="X91" s="1">
        <v>29</v>
      </c>
      <c r="Y91" s="1">
        <f t="shared" si="10"/>
        <v>37.321031053755959</v>
      </c>
      <c r="Z91" s="1">
        <f t="shared" si="11"/>
        <v>48.685328259641281</v>
      </c>
      <c r="AA91" s="1" t="e">
        <f t="shared" si="12"/>
        <v>#N/A</v>
      </c>
      <c r="AB91" s="1" t="e">
        <f t="shared" si="13"/>
        <v>#N/A</v>
      </c>
      <c r="AC91" s="1">
        <f t="shared" si="21"/>
        <v>0.34640914388000965</v>
      </c>
      <c r="AD91" s="1">
        <f t="shared" si="22"/>
        <v>0.81435230560600758</v>
      </c>
      <c r="AE91" s="1">
        <f t="shared" si="14"/>
        <v>43.00317965669862</v>
      </c>
      <c r="AF91" s="1" t="str">
        <f t="shared" si="15"/>
        <v/>
      </c>
      <c r="AG91" s="1">
        <f t="shared" si="16"/>
        <v>5.6821486029426609</v>
      </c>
      <c r="AI91" s="1">
        <f t="shared" si="17"/>
        <v>11.364297205885322</v>
      </c>
      <c r="AJ91" s="1">
        <f t="shared" si="23"/>
        <v>3.7</v>
      </c>
      <c r="AK91" s="1" t="e">
        <f t="shared" si="18"/>
        <v>#N/A</v>
      </c>
      <c r="AL91" s="1" t="e">
        <f t="shared" si="19"/>
        <v>#N/A</v>
      </c>
      <c r="AM91" s="1" t="e">
        <f t="shared" si="20"/>
        <v>#N/A</v>
      </c>
    </row>
    <row r="92" spans="15:39" ht="11.25" customHeight="1" x14ac:dyDescent="0.2">
      <c r="O92" s="246"/>
      <c r="P92" s="276">
        <v>80</v>
      </c>
      <c r="Q92" s="273" t="str">
        <f t="shared" si="24"/>
        <v/>
      </c>
      <c r="R92" s="274" t="str">
        <f t="shared" si="25"/>
        <v/>
      </c>
      <c r="S92" s="275"/>
      <c r="T92" s="278" t="str">
        <f t="shared" si="26"/>
        <v/>
      </c>
      <c r="X92" s="1">
        <v>30</v>
      </c>
      <c r="Y92" s="1">
        <f t="shared" si="10"/>
        <v>63.79811527174688</v>
      </c>
      <c r="Z92" s="1">
        <f t="shared" si="11"/>
        <v>71.991262425030541</v>
      </c>
      <c r="AA92" s="1" t="e">
        <f t="shared" si="12"/>
        <v>#N/A</v>
      </c>
      <c r="AB92" s="1" t="e">
        <f t="shared" si="13"/>
        <v>#N/A</v>
      </c>
      <c r="AC92" s="1">
        <f t="shared" si="21"/>
        <v>0.94211896695196629</v>
      </c>
      <c r="AD92" s="1">
        <f t="shared" si="22"/>
        <v>0.64264004863798618</v>
      </c>
      <c r="AE92" s="1">
        <f t="shared" si="14"/>
        <v>67.894688848388711</v>
      </c>
      <c r="AF92" s="1" t="str">
        <f t="shared" si="15"/>
        <v/>
      </c>
      <c r="AG92" s="1">
        <f t="shared" si="16"/>
        <v>4.0965735766418332</v>
      </c>
      <c r="AI92" s="1">
        <f t="shared" si="17"/>
        <v>8.1931471532836611</v>
      </c>
      <c r="AJ92" s="1">
        <f t="shared" si="23"/>
        <v>3.7</v>
      </c>
      <c r="AK92" s="1" t="e">
        <f t="shared" si="18"/>
        <v>#N/A</v>
      </c>
      <c r="AL92" s="1" t="e">
        <f t="shared" si="19"/>
        <v>#N/A</v>
      </c>
      <c r="AM92" s="1" t="e">
        <f t="shared" si="20"/>
        <v>#N/A</v>
      </c>
    </row>
    <row r="93" spans="15:39" ht="11.25" customHeight="1" x14ac:dyDescent="0.2">
      <c r="O93" s="246"/>
      <c r="P93" s="276">
        <v>81</v>
      </c>
      <c r="Q93" s="273" t="str">
        <f t="shared" si="24"/>
        <v/>
      </c>
      <c r="R93" s="274" t="str">
        <f t="shared" si="25"/>
        <v/>
      </c>
      <c r="S93" s="275"/>
      <c r="T93" s="278" t="str">
        <f t="shared" si="26"/>
        <v/>
      </c>
      <c r="X93" s="1">
        <v>31</v>
      </c>
      <c r="Y93" s="1">
        <f t="shared" si="10"/>
        <v>59.534648612610383</v>
      </c>
      <c r="Z93" s="1">
        <f t="shared" si="11"/>
        <v>71.518694701960627</v>
      </c>
      <c r="AA93" s="1" t="e">
        <f t="shared" si="12"/>
        <v>#N/A</v>
      </c>
      <c r="AB93" s="1" t="e">
        <f t="shared" si="13"/>
        <v>#N/A</v>
      </c>
      <c r="AC93" s="1">
        <f t="shared" si="21"/>
        <v>0.91706623323261738</v>
      </c>
      <c r="AD93" s="1">
        <f t="shared" si="22"/>
        <v>0.84070049412548542</v>
      </c>
      <c r="AE93" s="1">
        <f t="shared" si="14"/>
        <v>65.526671657285505</v>
      </c>
      <c r="AF93" s="1" t="str">
        <f t="shared" si="15"/>
        <v/>
      </c>
      <c r="AG93" s="1">
        <f t="shared" si="16"/>
        <v>5.9920230446751193</v>
      </c>
      <c r="AI93" s="1">
        <f t="shared" si="17"/>
        <v>11.984046089350244</v>
      </c>
      <c r="AJ93" s="1">
        <f t="shared" si="23"/>
        <v>3.7</v>
      </c>
      <c r="AK93" s="1" t="e">
        <f t="shared" si="18"/>
        <v>#N/A</v>
      </c>
      <c r="AL93" s="1" t="e">
        <f t="shared" si="19"/>
        <v>#N/A</v>
      </c>
      <c r="AM93" s="1" t="e">
        <f t="shared" si="20"/>
        <v>#N/A</v>
      </c>
    </row>
    <row r="94" spans="15:39" ht="11.25" customHeight="1" x14ac:dyDescent="0.2">
      <c r="O94" s="246"/>
      <c r="P94" s="276">
        <v>82</v>
      </c>
      <c r="Q94" s="273" t="str">
        <f t="shared" si="24"/>
        <v/>
      </c>
      <c r="R94" s="274" t="str">
        <f t="shared" si="25"/>
        <v/>
      </c>
      <c r="S94" s="277"/>
      <c r="T94" s="278" t="str">
        <f t="shared" si="26"/>
        <v/>
      </c>
      <c r="X94" s="1">
        <v>32</v>
      </c>
      <c r="Y94" s="1">
        <f t="shared" si="10"/>
        <v>33.249943161392196</v>
      </c>
      <c r="Z94" s="1">
        <f t="shared" si="11"/>
        <v>46.01854664006089</v>
      </c>
      <c r="AA94" s="1" t="e">
        <f t="shared" si="12"/>
        <v>#N/A</v>
      </c>
      <c r="AB94" s="1" t="e">
        <f t="shared" si="13"/>
        <v>#N/A</v>
      </c>
      <c r="AC94" s="1">
        <f t="shared" si="21"/>
        <v>0.25418720580637455</v>
      </c>
      <c r="AD94" s="1">
        <f t="shared" si="22"/>
        <v>0.87036127783358097</v>
      </c>
      <c r="AE94" s="1">
        <f t="shared" si="14"/>
        <v>39.634244900726543</v>
      </c>
      <c r="AF94" s="1" t="str">
        <f t="shared" si="15"/>
        <v/>
      </c>
      <c r="AG94" s="1">
        <f t="shared" si="16"/>
        <v>6.3843017393343482</v>
      </c>
      <c r="AI94" s="1">
        <f t="shared" si="17"/>
        <v>12.768603478668695</v>
      </c>
      <c r="AJ94" s="1">
        <f t="shared" si="23"/>
        <v>3.7</v>
      </c>
      <c r="AK94" s="1" t="e">
        <f t="shared" si="18"/>
        <v>#N/A</v>
      </c>
      <c r="AL94" s="1" t="e">
        <f t="shared" si="19"/>
        <v>#N/A</v>
      </c>
      <c r="AM94" s="1" t="e">
        <f t="shared" si="20"/>
        <v>#N/A</v>
      </c>
    </row>
    <row r="95" spans="15:39" ht="11.25" customHeight="1" x14ac:dyDescent="0.2">
      <c r="O95" s="246"/>
      <c r="P95" s="276">
        <v>83</v>
      </c>
      <c r="Q95" s="273" t="str">
        <f t="shared" si="24"/>
        <v/>
      </c>
      <c r="R95" s="274" t="str">
        <f t="shared" si="25"/>
        <v/>
      </c>
      <c r="S95" s="275"/>
      <c r="T95" s="278" t="str">
        <f t="shared" si="26"/>
        <v/>
      </c>
      <c r="X95" s="1">
        <v>33</v>
      </c>
      <c r="Y95" s="1">
        <f t="shared" ref="Y95:Y126" si="27">AE95-AG95</f>
        <v>44.51708481887394</v>
      </c>
      <c r="Z95" s="1">
        <f t="shared" ref="Z95:Z126" si="28">AE95+AG95</f>
        <v>42.583222996426954</v>
      </c>
      <c r="AA95" s="1" t="e">
        <f t="shared" ref="AA95:AA126" si="29">IF(AND(X95&lt;=$C$2,$B$3,$B$1),Y95,NA())</f>
        <v>#N/A</v>
      </c>
      <c r="AB95" s="1" t="e">
        <f t="shared" ref="AB95:AB126" si="30">IF(AND(X95&lt;=$C$2,$B$3,$B$1),Z95,NA())</f>
        <v>#N/A</v>
      </c>
      <c r="AC95" s="1">
        <f t="shared" si="21"/>
        <v>0.36249742098152637</v>
      </c>
      <c r="AD95" s="1">
        <f t="shared" si="22"/>
        <v>9.3032421544194221E-2</v>
      </c>
      <c r="AE95" s="1">
        <f t="shared" ref="AE95:AE126" si="31">($C$5+(($C$3-$C$5)/2))+SQRT($C$4*$C$4-($C$6*$C$6/4))*NORMSINV(AC95)</f>
        <v>43.550153907650447</v>
      </c>
      <c r="AF95" s="1" t="str">
        <f t="shared" ref="AF95:AF126" si="32">IF(X95&lt;=$C$2,AE95,"")</f>
        <v/>
      </c>
      <c r="AG95" s="1">
        <f t="shared" ref="AG95:AG126" si="33">(($C$3-$C$5)+$C$6*NORMSINV(AD95))/2</f>
        <v>-0.96693091122348962</v>
      </c>
      <c r="AI95" s="1">
        <f t="shared" ref="AI95:AI126" si="34">Z95-Y95</f>
        <v>-1.9338618224469855</v>
      </c>
      <c r="AJ95" s="1">
        <f t="shared" si="23"/>
        <v>3.7</v>
      </c>
      <c r="AK95" s="1" t="e">
        <f t="shared" ref="AK95:AK126" si="35">IF(AND(X95&lt;=$C$2,$Z$10,$B$1),$Q$4+AI95,NA())</f>
        <v>#N/A</v>
      </c>
      <c r="AL95" s="1" t="e">
        <f t="shared" ref="AL95:AL126" si="36">IF(AND(X95&lt;=$C$2,$Z$10,$B$1,$B$3),Y95,NA())</f>
        <v>#N/A</v>
      </c>
      <c r="AM95" s="1" t="e">
        <f t="shared" ref="AM95:AM126" si="37">IF(AND(X95&lt;=$C$2,$Z$10,$B$1,$B$3),Z95,NA())</f>
        <v>#N/A</v>
      </c>
    </row>
    <row r="96" spans="15:39" ht="11.25" customHeight="1" x14ac:dyDescent="0.2">
      <c r="O96" s="246"/>
      <c r="P96" s="276">
        <v>84</v>
      </c>
      <c r="Q96" s="273" t="str">
        <f t="shared" si="24"/>
        <v/>
      </c>
      <c r="R96" s="274" t="str">
        <f t="shared" si="25"/>
        <v/>
      </c>
      <c r="S96" s="275"/>
      <c r="T96" s="278" t="str">
        <f t="shared" si="26"/>
        <v/>
      </c>
      <c r="X96" s="1">
        <v>34</v>
      </c>
      <c r="Y96" s="1">
        <f t="shared" si="27"/>
        <v>63.537577511623958</v>
      </c>
      <c r="Z96" s="1">
        <f t="shared" si="28"/>
        <v>68.400775724109792</v>
      </c>
      <c r="AA96" s="1" t="e">
        <f t="shared" si="29"/>
        <v>#N/A</v>
      </c>
      <c r="AB96" s="1" t="e">
        <f t="shared" si="30"/>
        <v>#N/A</v>
      </c>
      <c r="AC96" s="1">
        <f t="shared" ref="AC96:AC127" si="38">MOD(AC95*10000013,1)</f>
        <v>0.92228173650801182</v>
      </c>
      <c r="AD96" s="1">
        <f t="shared" ref="AD96:AD127" si="39">MOD(AD95*10000013,1)</f>
        <v>0.4248634222894907</v>
      </c>
      <c r="AE96" s="1">
        <f t="shared" si="31"/>
        <v>65.969176617866879</v>
      </c>
      <c r="AF96" s="1" t="str">
        <f t="shared" si="32"/>
        <v/>
      </c>
      <c r="AG96" s="1">
        <f t="shared" si="33"/>
        <v>2.4315991062429179</v>
      </c>
      <c r="AI96" s="1">
        <f t="shared" si="34"/>
        <v>4.8631982124858339</v>
      </c>
      <c r="AJ96" s="1">
        <f t="shared" si="23"/>
        <v>3.7</v>
      </c>
      <c r="AK96" s="1" t="e">
        <f t="shared" si="35"/>
        <v>#N/A</v>
      </c>
      <c r="AL96" s="1" t="e">
        <f t="shared" si="36"/>
        <v>#N/A</v>
      </c>
      <c r="AM96" s="1" t="e">
        <f t="shared" si="37"/>
        <v>#N/A</v>
      </c>
    </row>
    <row r="97" spans="15:39" ht="11.25" customHeight="1" x14ac:dyDescent="0.2">
      <c r="O97" s="246"/>
      <c r="P97" s="276">
        <v>85</v>
      </c>
      <c r="Q97" s="273" t="str">
        <f t="shared" si="24"/>
        <v/>
      </c>
      <c r="R97" s="274" t="str">
        <f t="shared" si="25"/>
        <v/>
      </c>
      <c r="S97" s="275"/>
      <c r="T97" s="278" t="str">
        <f t="shared" si="26"/>
        <v/>
      </c>
      <c r="X97" s="1">
        <v>35</v>
      </c>
      <c r="Y97" s="1">
        <f t="shared" si="27"/>
        <v>38.300624503886468</v>
      </c>
      <c r="Z97" s="1">
        <f t="shared" si="28"/>
        <v>48.274590906927983</v>
      </c>
      <c r="AA97" s="1" t="e">
        <f t="shared" si="29"/>
        <v>#N/A</v>
      </c>
      <c r="AB97" s="1" t="e">
        <f t="shared" si="30"/>
        <v>#N/A</v>
      </c>
      <c r="AC97" s="1">
        <f t="shared" si="38"/>
        <v>0.35474269278347492</v>
      </c>
      <c r="AD97" s="1">
        <f t="shared" si="39"/>
        <v>0.74611939676105976</v>
      </c>
      <c r="AE97" s="1">
        <f t="shared" si="31"/>
        <v>43.287607705407225</v>
      </c>
      <c r="AF97" s="1" t="str">
        <f t="shared" si="32"/>
        <v/>
      </c>
      <c r="AG97" s="1">
        <f t="shared" si="33"/>
        <v>4.986983201520756</v>
      </c>
      <c r="AI97" s="1">
        <f t="shared" si="34"/>
        <v>9.9739664030415156</v>
      </c>
      <c r="AJ97" s="1">
        <f t="shared" si="23"/>
        <v>3.7</v>
      </c>
      <c r="AK97" s="1" t="e">
        <f t="shared" si="35"/>
        <v>#N/A</v>
      </c>
      <c r="AL97" s="1" t="e">
        <f t="shared" si="36"/>
        <v>#N/A</v>
      </c>
      <c r="AM97" s="1" t="e">
        <f t="shared" si="37"/>
        <v>#N/A</v>
      </c>
    </row>
    <row r="98" spans="15:39" ht="11.25" customHeight="1" x14ac:dyDescent="0.2">
      <c r="O98" s="246"/>
      <c r="P98" s="276">
        <v>86</v>
      </c>
      <c r="Q98" s="273" t="str">
        <f t="shared" si="24"/>
        <v/>
      </c>
      <c r="R98" s="274" t="str">
        <f t="shared" si="25"/>
        <v/>
      </c>
      <c r="S98" s="277"/>
      <c r="T98" s="278" t="str">
        <f t="shared" si="26"/>
        <v/>
      </c>
      <c r="X98" s="1">
        <v>36</v>
      </c>
      <c r="Y98" s="1">
        <f t="shared" si="27"/>
        <v>44.957862110182624</v>
      </c>
      <c r="Z98" s="1">
        <f t="shared" si="28"/>
        <v>53.550414604406889</v>
      </c>
      <c r="AA98" s="1" t="e">
        <f t="shared" si="29"/>
        <v>#N/A</v>
      </c>
      <c r="AB98" s="1" t="e">
        <f t="shared" si="30"/>
        <v>#N/A</v>
      </c>
      <c r="AC98" s="1">
        <f t="shared" si="38"/>
        <v>0.53948975540697575</v>
      </c>
      <c r="AD98" s="1">
        <f t="shared" si="39"/>
        <v>0.66716275550425053</v>
      </c>
      <c r="AE98" s="1">
        <f t="shared" si="31"/>
        <v>49.254138357294757</v>
      </c>
      <c r="AF98" s="1" t="str">
        <f t="shared" si="32"/>
        <v/>
      </c>
      <c r="AG98" s="1">
        <f t="shared" si="33"/>
        <v>4.2962762471121314</v>
      </c>
      <c r="AI98" s="1">
        <f t="shared" si="34"/>
        <v>8.5925524942242646</v>
      </c>
      <c r="AJ98" s="1">
        <f t="shared" si="23"/>
        <v>3.7</v>
      </c>
      <c r="AK98" s="1" t="e">
        <f t="shared" si="35"/>
        <v>#N/A</v>
      </c>
      <c r="AL98" s="1" t="e">
        <f t="shared" si="36"/>
        <v>#N/A</v>
      </c>
      <c r="AM98" s="1" t="e">
        <f t="shared" si="37"/>
        <v>#N/A</v>
      </c>
    </row>
    <row r="99" spans="15:39" ht="11.25" customHeight="1" x14ac:dyDescent="0.2">
      <c r="O99" s="246"/>
      <c r="P99" s="276">
        <v>87</v>
      </c>
      <c r="Q99" s="273" t="str">
        <f t="shared" si="24"/>
        <v/>
      </c>
      <c r="R99" s="274" t="str">
        <f t="shared" si="25"/>
        <v/>
      </c>
      <c r="S99" s="275"/>
      <c r="T99" s="278" t="str">
        <f t="shared" si="26"/>
        <v/>
      </c>
      <c r="X99" s="1">
        <v>37</v>
      </c>
      <c r="Y99" s="1">
        <f t="shared" si="27"/>
        <v>49.383248718421541</v>
      </c>
      <c r="Z99" s="1">
        <f t="shared" si="28"/>
        <v>50.913694676490735</v>
      </c>
      <c r="AA99" s="1" t="e">
        <f t="shared" si="29"/>
        <v>#N/A</v>
      </c>
      <c r="AB99" s="1" t="e">
        <f t="shared" si="30"/>
        <v>#N/A</v>
      </c>
      <c r="AC99" s="1">
        <f t="shared" si="38"/>
        <v>0.56743657775223255</v>
      </c>
      <c r="AD99" s="1">
        <f t="shared" si="39"/>
        <v>0.22815832681953907</v>
      </c>
      <c r="AE99" s="1">
        <f t="shared" si="31"/>
        <v>50.148471697456138</v>
      </c>
      <c r="AF99" s="1" t="str">
        <f t="shared" si="32"/>
        <v/>
      </c>
      <c r="AG99" s="1">
        <f t="shared" si="33"/>
        <v>0.76522297903459613</v>
      </c>
      <c r="AI99" s="1">
        <f t="shared" si="34"/>
        <v>1.530445958069194</v>
      </c>
      <c r="AJ99" s="1">
        <f t="shared" si="23"/>
        <v>3.7</v>
      </c>
      <c r="AK99" s="1" t="e">
        <f t="shared" si="35"/>
        <v>#N/A</v>
      </c>
      <c r="AL99" s="1" t="e">
        <f t="shared" si="36"/>
        <v>#N/A</v>
      </c>
      <c r="AM99" s="1" t="e">
        <f t="shared" si="37"/>
        <v>#N/A</v>
      </c>
    </row>
    <row r="100" spans="15:39" ht="11.25" customHeight="1" x14ac:dyDescent="0.2">
      <c r="O100" s="246"/>
      <c r="P100" s="276">
        <v>88</v>
      </c>
      <c r="Q100" s="273" t="str">
        <f t="shared" si="24"/>
        <v/>
      </c>
      <c r="R100" s="274" t="str">
        <f t="shared" si="25"/>
        <v/>
      </c>
      <c r="S100" s="277"/>
      <c r="T100" s="278" t="str">
        <f t="shared" si="26"/>
        <v/>
      </c>
      <c r="X100" s="1">
        <v>38</v>
      </c>
      <c r="Y100" s="1">
        <f t="shared" si="27"/>
        <v>34.29041946748638</v>
      </c>
      <c r="Z100" s="1">
        <f t="shared" si="28"/>
        <v>35.940959790957912</v>
      </c>
      <c r="AA100" s="1" t="e">
        <f t="shared" si="29"/>
        <v>#N/A</v>
      </c>
      <c r="AB100" s="1" t="e">
        <f t="shared" si="30"/>
        <v>#N/A</v>
      </c>
      <c r="AC100" s="1">
        <f t="shared" si="38"/>
        <v>0.15419783629477024</v>
      </c>
      <c r="AD100" s="1">
        <f t="shared" si="39"/>
        <v>0.23425363935530186</v>
      </c>
      <c r="AE100" s="1">
        <f t="shared" si="31"/>
        <v>35.115689629222146</v>
      </c>
      <c r="AF100" s="1" t="str">
        <f t="shared" si="32"/>
        <v/>
      </c>
      <c r="AG100" s="1">
        <f t="shared" si="33"/>
        <v>0.8252701617357654</v>
      </c>
      <c r="AI100" s="1">
        <f t="shared" si="34"/>
        <v>1.6505403234715317</v>
      </c>
      <c r="AJ100" s="1">
        <f t="shared" si="23"/>
        <v>3.7</v>
      </c>
      <c r="AK100" s="1" t="e">
        <f t="shared" si="35"/>
        <v>#N/A</v>
      </c>
      <c r="AL100" s="1" t="e">
        <f t="shared" si="36"/>
        <v>#N/A</v>
      </c>
      <c r="AM100" s="1" t="e">
        <f t="shared" si="37"/>
        <v>#N/A</v>
      </c>
    </row>
    <row r="101" spans="15:39" ht="11.25" customHeight="1" x14ac:dyDescent="0.2">
      <c r="O101" s="246"/>
      <c r="P101" s="276">
        <v>89</v>
      </c>
      <c r="Q101" s="273" t="str">
        <f t="shared" si="24"/>
        <v/>
      </c>
      <c r="R101" s="274" t="str">
        <f t="shared" si="25"/>
        <v/>
      </c>
      <c r="S101" s="275"/>
      <c r="T101" s="278" t="str">
        <f t="shared" si="26"/>
        <v/>
      </c>
      <c r="X101" s="1">
        <v>39</v>
      </c>
      <c r="Y101" s="1">
        <f t="shared" si="27"/>
        <v>41.180815181846704</v>
      </c>
      <c r="Z101" s="1">
        <f t="shared" si="28"/>
        <v>46.257507075771038</v>
      </c>
      <c r="AA101" s="1" t="e">
        <f t="shared" si="29"/>
        <v>#N/A</v>
      </c>
      <c r="AB101" s="1" t="e">
        <f t="shared" si="30"/>
        <v>#N/A</v>
      </c>
      <c r="AC101" s="1">
        <f t="shared" si="38"/>
        <v>0.36751957423985004</v>
      </c>
      <c r="AD101" s="1">
        <f t="shared" si="39"/>
        <v>0.43885033018887043</v>
      </c>
      <c r="AE101" s="1">
        <f t="shared" si="31"/>
        <v>43.719161128808871</v>
      </c>
      <c r="AF101" s="1" t="str">
        <f t="shared" si="32"/>
        <v/>
      </c>
      <c r="AG101" s="1">
        <f t="shared" si="33"/>
        <v>2.5383459469621696</v>
      </c>
      <c r="AI101" s="1">
        <f t="shared" si="34"/>
        <v>5.076691893924334</v>
      </c>
      <c r="AJ101" s="1">
        <f t="shared" si="23"/>
        <v>3.7</v>
      </c>
      <c r="AK101" s="1" t="e">
        <f t="shared" si="35"/>
        <v>#N/A</v>
      </c>
      <c r="AL101" s="1" t="e">
        <f t="shared" si="36"/>
        <v>#N/A</v>
      </c>
      <c r="AM101" s="1" t="e">
        <f t="shared" si="37"/>
        <v>#N/A</v>
      </c>
    </row>
    <row r="102" spans="15:39" ht="11.25" customHeight="1" x14ac:dyDescent="0.2">
      <c r="O102" s="246"/>
      <c r="P102" s="276">
        <v>90</v>
      </c>
      <c r="Q102" s="273" t="str">
        <f t="shared" si="24"/>
        <v/>
      </c>
      <c r="R102" s="274" t="str">
        <f t="shared" si="25"/>
        <v/>
      </c>
      <c r="S102" s="275"/>
      <c r="T102" s="278" t="str">
        <f t="shared" si="26"/>
        <v/>
      </c>
      <c r="X102" s="1">
        <v>40</v>
      </c>
      <c r="Y102" s="1">
        <f t="shared" si="27"/>
        <v>53.019851874596448</v>
      </c>
      <c r="Z102" s="1">
        <f t="shared" si="28"/>
        <v>44.258656920325954</v>
      </c>
      <c r="AA102" s="1" t="e">
        <f t="shared" si="29"/>
        <v>#N/A</v>
      </c>
      <c r="AB102" s="1" t="e">
        <f t="shared" si="30"/>
        <v>#N/A</v>
      </c>
      <c r="AC102" s="1">
        <f t="shared" si="38"/>
        <v>0.52015296556055546</v>
      </c>
      <c r="AD102" s="1">
        <f t="shared" si="39"/>
        <v>6.9429967552423477E-3</v>
      </c>
      <c r="AE102" s="1">
        <f t="shared" si="31"/>
        <v>48.639254397461201</v>
      </c>
      <c r="AF102" s="1" t="str">
        <f t="shared" si="32"/>
        <v/>
      </c>
      <c r="AG102" s="1">
        <f t="shared" si="33"/>
        <v>-4.3805974771352449</v>
      </c>
      <c r="AI102" s="1">
        <f t="shared" si="34"/>
        <v>-8.7611949542704934</v>
      </c>
      <c r="AJ102" s="1">
        <f t="shared" si="23"/>
        <v>3.7</v>
      </c>
      <c r="AK102" s="1" t="e">
        <f t="shared" si="35"/>
        <v>#N/A</v>
      </c>
      <c r="AL102" s="1" t="e">
        <f t="shared" si="36"/>
        <v>#N/A</v>
      </c>
      <c r="AM102" s="1" t="e">
        <f t="shared" si="37"/>
        <v>#N/A</v>
      </c>
    </row>
    <row r="103" spans="15:39" ht="11.25" customHeight="1" x14ac:dyDescent="0.2">
      <c r="O103" s="246"/>
      <c r="P103" s="276">
        <v>91</v>
      </c>
      <c r="Q103" s="273" t="str">
        <f t="shared" si="24"/>
        <v/>
      </c>
      <c r="R103" s="274" t="str">
        <f t="shared" si="25"/>
        <v/>
      </c>
      <c r="S103" s="275"/>
      <c r="T103" s="278" t="str">
        <f t="shared" si="26"/>
        <v/>
      </c>
      <c r="X103" s="1">
        <v>41</v>
      </c>
      <c r="Y103" s="1">
        <f t="shared" si="27"/>
        <v>47.088569689469431</v>
      </c>
      <c r="Z103" s="1">
        <f t="shared" si="28"/>
        <v>43.648079860926096</v>
      </c>
      <c r="AA103" s="1" t="e">
        <f t="shared" si="29"/>
        <v>#N/A</v>
      </c>
      <c r="AB103" s="1" t="e">
        <f t="shared" si="30"/>
        <v>#N/A</v>
      </c>
      <c r="AC103" s="1">
        <f t="shared" si="38"/>
        <v>0.41759410686790943</v>
      </c>
      <c r="AD103" s="1">
        <f t="shared" si="39"/>
        <v>5.7811381295323372E-2</v>
      </c>
      <c r="AE103" s="1">
        <f t="shared" si="31"/>
        <v>45.368324775197763</v>
      </c>
      <c r="AF103" s="1" t="str">
        <f t="shared" si="32"/>
        <v/>
      </c>
      <c r="AG103" s="1">
        <f t="shared" si="33"/>
        <v>-1.7202449142716656</v>
      </c>
      <c r="AI103" s="1">
        <f t="shared" si="34"/>
        <v>-3.4404898285433347</v>
      </c>
      <c r="AJ103" s="1">
        <f t="shared" si="23"/>
        <v>3.7</v>
      </c>
      <c r="AK103" s="1" t="e">
        <f t="shared" si="35"/>
        <v>#N/A</v>
      </c>
      <c r="AL103" s="1" t="e">
        <f t="shared" si="36"/>
        <v>#N/A</v>
      </c>
      <c r="AM103" s="1" t="e">
        <f t="shared" si="37"/>
        <v>#N/A</v>
      </c>
    </row>
    <row r="104" spans="15:39" ht="11.25" customHeight="1" x14ac:dyDescent="0.2">
      <c r="O104" s="246"/>
      <c r="P104" s="276">
        <v>92</v>
      </c>
      <c r="Q104" s="273" t="str">
        <f t="shared" si="24"/>
        <v/>
      </c>
      <c r="R104" s="274" t="str">
        <f t="shared" si="25"/>
        <v/>
      </c>
      <c r="S104" s="277"/>
      <c r="T104" s="278" t="str">
        <f t="shared" si="26"/>
        <v/>
      </c>
      <c r="X104" s="1">
        <v>42</v>
      </c>
      <c r="Y104" s="1">
        <f t="shared" si="27"/>
        <v>44.430466665809433</v>
      </c>
      <c r="Z104" s="1">
        <f t="shared" si="28"/>
        <v>51.404815247729076</v>
      </c>
      <c r="AA104" s="1" t="e">
        <f t="shared" si="29"/>
        <v>#N/A</v>
      </c>
      <c r="AB104" s="1" t="e">
        <f t="shared" si="30"/>
        <v>#N/A</v>
      </c>
      <c r="AC104" s="1">
        <f t="shared" si="38"/>
        <v>0.4974024835973978</v>
      </c>
      <c r="AD104" s="1">
        <f t="shared" si="39"/>
        <v>0.5645011905580759</v>
      </c>
      <c r="AE104" s="1">
        <f t="shared" si="31"/>
        <v>47.917640956769255</v>
      </c>
      <c r="AF104" s="1" t="str">
        <f t="shared" si="32"/>
        <v/>
      </c>
      <c r="AG104" s="1">
        <f t="shared" si="33"/>
        <v>3.4871742909598189</v>
      </c>
      <c r="AI104" s="1">
        <f t="shared" si="34"/>
        <v>6.9743485819196422</v>
      </c>
      <c r="AJ104" s="1">
        <f t="shared" si="23"/>
        <v>3.7</v>
      </c>
      <c r="AK104" s="1" t="e">
        <f t="shared" si="35"/>
        <v>#N/A</v>
      </c>
      <c r="AL104" s="1" t="e">
        <f t="shared" si="36"/>
        <v>#N/A</v>
      </c>
      <c r="AM104" s="1" t="e">
        <f t="shared" si="37"/>
        <v>#N/A</v>
      </c>
    </row>
    <row r="105" spans="15:39" ht="11.25" customHeight="1" x14ac:dyDescent="0.2">
      <c r="O105" s="246"/>
      <c r="P105" s="276">
        <v>93</v>
      </c>
      <c r="Q105" s="273" t="str">
        <f t="shared" si="24"/>
        <v/>
      </c>
      <c r="R105" s="274" t="str">
        <f t="shared" si="25"/>
        <v/>
      </c>
      <c r="S105" s="275"/>
      <c r="T105" s="278" t="str">
        <f t="shared" si="26"/>
        <v/>
      </c>
      <c r="X105" s="1">
        <v>43</v>
      </c>
      <c r="Y105" s="1">
        <f t="shared" si="27"/>
        <v>40.526491158421834</v>
      </c>
      <c r="Z105" s="1">
        <f t="shared" si="28"/>
        <v>42.367371713727067</v>
      </c>
      <c r="AA105" s="1" t="e">
        <f t="shared" si="29"/>
        <v>#N/A</v>
      </c>
      <c r="AB105" s="1" t="e">
        <f t="shared" si="30"/>
        <v>#N/A</v>
      </c>
      <c r="AC105" s="1">
        <f t="shared" si="38"/>
        <v>0.30220626480877399</v>
      </c>
      <c r="AD105" s="1">
        <f t="shared" si="39"/>
        <v>0.24409623630344868</v>
      </c>
      <c r="AE105" s="1">
        <f t="shared" si="31"/>
        <v>41.446931436074451</v>
      </c>
      <c r="AF105" s="1" t="str">
        <f t="shared" si="32"/>
        <v/>
      </c>
      <c r="AG105" s="1">
        <f t="shared" si="33"/>
        <v>0.92044027765261927</v>
      </c>
      <c r="AI105" s="1">
        <f t="shared" si="34"/>
        <v>1.8408805553052332</v>
      </c>
      <c r="AJ105" s="1">
        <f t="shared" si="23"/>
        <v>3.7</v>
      </c>
      <c r="AK105" s="1" t="e">
        <f t="shared" si="35"/>
        <v>#N/A</v>
      </c>
      <c r="AL105" s="1" t="e">
        <f t="shared" si="36"/>
        <v>#N/A</v>
      </c>
      <c r="AM105" s="1" t="e">
        <f t="shared" si="37"/>
        <v>#N/A</v>
      </c>
    </row>
    <row r="106" spans="15:39" ht="11.25" customHeight="1" x14ac:dyDescent="0.2">
      <c r="O106" s="246"/>
      <c r="P106" s="276">
        <v>94</v>
      </c>
      <c r="Q106" s="273" t="str">
        <f t="shared" si="24"/>
        <v/>
      </c>
      <c r="R106" s="274" t="str">
        <f t="shared" si="25"/>
        <v/>
      </c>
      <c r="S106" s="277"/>
      <c r="T106" s="278" t="str">
        <f t="shared" si="26"/>
        <v/>
      </c>
      <c r="X106" s="1">
        <v>44</v>
      </c>
      <c r="Y106" s="1">
        <f t="shared" si="27"/>
        <v>47.176070903874617</v>
      </c>
      <c r="Z106" s="1">
        <f t="shared" si="28"/>
        <v>53.722551973870807</v>
      </c>
      <c r="AA106" s="1" t="e">
        <f t="shared" si="29"/>
        <v>#N/A</v>
      </c>
      <c r="AB106" s="1" t="e">
        <f t="shared" si="30"/>
        <v>#N/A</v>
      </c>
      <c r="AC106" s="1">
        <f t="shared" si="38"/>
        <v>0.57676918245851994</v>
      </c>
      <c r="AD106" s="1">
        <f t="shared" si="39"/>
        <v>0.53628555871546268</v>
      </c>
      <c r="AE106" s="1">
        <f t="shared" si="31"/>
        <v>50.449311438872712</v>
      </c>
      <c r="AF106" s="1" t="str">
        <f t="shared" si="32"/>
        <v/>
      </c>
      <c r="AG106" s="1">
        <f t="shared" si="33"/>
        <v>3.2732405349980955</v>
      </c>
      <c r="AI106" s="1">
        <f t="shared" si="34"/>
        <v>6.5464810699961902</v>
      </c>
      <c r="AJ106" s="1">
        <f t="shared" si="23"/>
        <v>3.7</v>
      </c>
      <c r="AK106" s="1" t="e">
        <f t="shared" si="35"/>
        <v>#N/A</v>
      </c>
      <c r="AL106" s="1" t="e">
        <f t="shared" si="36"/>
        <v>#N/A</v>
      </c>
      <c r="AM106" s="1" t="e">
        <f t="shared" si="37"/>
        <v>#N/A</v>
      </c>
    </row>
    <row r="107" spans="15:39" ht="11.25" customHeight="1" x14ac:dyDescent="0.2">
      <c r="O107" s="246"/>
      <c r="P107" s="276">
        <v>95</v>
      </c>
      <c r="Q107" s="273" t="str">
        <f t="shared" si="24"/>
        <v/>
      </c>
      <c r="R107" s="274" t="str">
        <f t="shared" si="25"/>
        <v/>
      </c>
      <c r="S107" s="275"/>
      <c r="T107" s="278" t="str">
        <f t="shared" si="26"/>
        <v/>
      </c>
      <c r="X107" s="1">
        <v>45</v>
      </c>
      <c r="Y107" s="1">
        <f t="shared" si="27"/>
        <v>38.731001044518571</v>
      </c>
      <c r="Z107" s="1">
        <f t="shared" si="28"/>
        <v>45.619583023894172</v>
      </c>
      <c r="AA107" s="1" t="e">
        <f t="shared" si="29"/>
        <v>#N/A</v>
      </c>
      <c r="AB107" s="1" t="e">
        <f t="shared" si="30"/>
        <v>#N/A</v>
      </c>
      <c r="AC107" s="1">
        <f t="shared" si="38"/>
        <v>0.32258457131683826</v>
      </c>
      <c r="AD107" s="1">
        <f t="shared" si="39"/>
        <v>0.55886689014732838</v>
      </c>
      <c r="AE107" s="1">
        <f t="shared" si="31"/>
        <v>42.175292034206372</v>
      </c>
      <c r="AF107" s="1" t="str">
        <f t="shared" si="32"/>
        <v/>
      </c>
      <c r="AG107" s="1">
        <f t="shared" si="33"/>
        <v>3.4442909896877993</v>
      </c>
      <c r="AI107" s="1">
        <f t="shared" si="34"/>
        <v>6.8885819793756013</v>
      </c>
      <c r="AJ107" s="1">
        <f t="shared" si="23"/>
        <v>3.7</v>
      </c>
      <c r="AK107" s="1" t="e">
        <f t="shared" si="35"/>
        <v>#N/A</v>
      </c>
      <c r="AL107" s="1" t="e">
        <f t="shared" si="36"/>
        <v>#N/A</v>
      </c>
      <c r="AM107" s="1" t="e">
        <f t="shared" si="37"/>
        <v>#N/A</v>
      </c>
    </row>
    <row r="108" spans="15:39" ht="11.25" customHeight="1" x14ac:dyDescent="0.2">
      <c r="O108" s="246"/>
      <c r="P108" s="276">
        <v>96</v>
      </c>
      <c r="Q108" s="273" t="str">
        <f t="shared" si="24"/>
        <v/>
      </c>
      <c r="R108" s="274" t="str">
        <f t="shared" si="25"/>
        <v/>
      </c>
      <c r="S108" s="275"/>
      <c r="T108" s="278" t="str">
        <f t="shared" si="26"/>
        <v/>
      </c>
      <c r="X108" s="1">
        <v>46</v>
      </c>
      <c r="Y108" s="1">
        <f t="shared" si="27"/>
        <v>64.61222829159918</v>
      </c>
      <c r="Z108" s="1">
        <f t="shared" si="28"/>
        <v>64.809528252480916</v>
      </c>
      <c r="AA108" s="1" t="e">
        <f t="shared" si="29"/>
        <v>#N/A</v>
      </c>
      <c r="AB108" s="1" t="e">
        <f t="shared" si="30"/>
        <v>#N/A</v>
      </c>
      <c r="AC108" s="1">
        <f t="shared" si="38"/>
        <v>0.90676780976355076</v>
      </c>
      <c r="AD108" s="1">
        <f t="shared" si="39"/>
        <v>0.16674285568296909</v>
      </c>
      <c r="AE108" s="1">
        <f t="shared" si="31"/>
        <v>64.710878272040048</v>
      </c>
      <c r="AF108" s="1" t="str">
        <f t="shared" si="32"/>
        <v/>
      </c>
      <c r="AG108" s="1">
        <f t="shared" si="33"/>
        <v>9.8649980440865814E-2</v>
      </c>
      <c r="AI108" s="1">
        <f t="shared" si="34"/>
        <v>0.19729996088173607</v>
      </c>
      <c r="AJ108" s="1">
        <f t="shared" si="23"/>
        <v>3.7</v>
      </c>
      <c r="AK108" s="1" t="e">
        <f t="shared" si="35"/>
        <v>#N/A</v>
      </c>
      <c r="AL108" s="1" t="e">
        <f t="shared" si="36"/>
        <v>#N/A</v>
      </c>
      <c r="AM108" s="1" t="e">
        <f t="shared" si="37"/>
        <v>#N/A</v>
      </c>
    </row>
    <row r="109" spans="15:39" ht="11.25" customHeight="1" x14ac:dyDescent="0.2">
      <c r="O109" s="246"/>
      <c r="P109" s="276">
        <v>97</v>
      </c>
      <c r="Q109" s="273" t="str">
        <f>IF(AND(X159&lt;=$C$2,$B$1),Y159,"")</f>
        <v/>
      </c>
      <c r="R109" s="274" t="str">
        <f>IF(AND(X159&lt;=$C$2,$B$1),Z159,"")</f>
        <v/>
      </c>
      <c r="S109" s="275"/>
      <c r="T109" s="278" t="str">
        <f>IF(AND(X159&lt;=$C$2,$B$1),R109-Q109,"")</f>
        <v/>
      </c>
      <c r="X109" s="1">
        <v>47</v>
      </c>
      <c r="Y109" s="1">
        <f t="shared" si="27"/>
        <v>58.435090875843052</v>
      </c>
      <c r="Z109" s="1">
        <f t="shared" si="28"/>
        <v>68.012427907066396</v>
      </c>
      <c r="AA109" s="1" t="e">
        <f t="shared" si="29"/>
        <v>#N/A</v>
      </c>
      <c r="AB109" s="1" t="e">
        <f t="shared" si="30"/>
        <v>#N/A</v>
      </c>
      <c r="AC109" s="1">
        <f t="shared" si="38"/>
        <v>0.88561703450977802</v>
      </c>
      <c r="AD109" s="1">
        <f t="shared" si="39"/>
        <v>0.72448681481182575</v>
      </c>
      <c r="AE109" s="1">
        <f t="shared" si="31"/>
        <v>63.22375939145472</v>
      </c>
      <c r="AF109" s="1" t="str">
        <f t="shared" si="32"/>
        <v/>
      </c>
      <c r="AG109" s="1">
        <f t="shared" si="33"/>
        <v>4.7886685156116693</v>
      </c>
      <c r="AI109" s="1">
        <f t="shared" si="34"/>
        <v>9.5773370312233439</v>
      </c>
      <c r="AJ109" s="1">
        <f t="shared" si="23"/>
        <v>3.7</v>
      </c>
      <c r="AK109" s="1" t="e">
        <f t="shared" si="35"/>
        <v>#N/A</v>
      </c>
      <c r="AL109" s="1" t="e">
        <f t="shared" si="36"/>
        <v>#N/A</v>
      </c>
      <c r="AM109" s="1" t="e">
        <f t="shared" si="37"/>
        <v>#N/A</v>
      </c>
    </row>
    <row r="110" spans="15:39" ht="11.25" customHeight="1" x14ac:dyDescent="0.2">
      <c r="O110" s="246"/>
      <c r="P110" s="276">
        <v>98</v>
      </c>
      <c r="Q110" s="273" t="str">
        <f>IF(AND(X160&lt;=$C$2,$B$1),Y160,"")</f>
        <v/>
      </c>
      <c r="R110" s="274" t="str">
        <f>IF(AND(X160&lt;=$C$2,$B$1),Z160,"")</f>
        <v/>
      </c>
      <c r="S110" s="277"/>
      <c r="T110" s="278" t="str">
        <f>IF(AND(X160&lt;=$C$2,$B$1),R110-Q110,"")</f>
        <v/>
      </c>
      <c r="X110" s="1">
        <v>48</v>
      </c>
      <c r="Y110" s="1">
        <f t="shared" si="27"/>
        <v>58.056672024812123</v>
      </c>
      <c r="Z110" s="1">
        <f t="shared" si="28"/>
        <v>65.060683294560931</v>
      </c>
      <c r="AA110" s="1" t="e">
        <f t="shared" si="29"/>
        <v>#N/A</v>
      </c>
      <c r="AB110" s="1" t="e">
        <f t="shared" si="30"/>
        <v>#N/A</v>
      </c>
      <c r="AC110" s="1">
        <f t="shared" si="38"/>
        <v>0.85811922885477543</v>
      </c>
      <c r="AD110" s="1">
        <f t="shared" si="39"/>
        <v>0.56644685007631779</v>
      </c>
      <c r="AE110" s="1">
        <f t="shared" si="31"/>
        <v>61.558677659686523</v>
      </c>
      <c r="AF110" s="1" t="str">
        <f t="shared" si="32"/>
        <v/>
      </c>
      <c r="AG110" s="1">
        <f t="shared" si="33"/>
        <v>3.5020056348744015</v>
      </c>
      <c r="AI110" s="1">
        <f t="shared" si="34"/>
        <v>7.0040112697488084</v>
      </c>
      <c r="AJ110" s="1">
        <f t="shared" si="23"/>
        <v>3.7</v>
      </c>
      <c r="AK110" s="1" t="e">
        <f t="shared" si="35"/>
        <v>#N/A</v>
      </c>
      <c r="AL110" s="1" t="e">
        <f t="shared" si="36"/>
        <v>#N/A</v>
      </c>
      <c r="AM110" s="1" t="e">
        <f t="shared" si="37"/>
        <v>#N/A</v>
      </c>
    </row>
    <row r="111" spans="15:39" ht="11.25" customHeight="1" x14ac:dyDescent="0.2">
      <c r="O111" s="246"/>
      <c r="P111" s="276">
        <v>99</v>
      </c>
      <c r="Q111" s="273" t="str">
        <f>IF(AND(X161&lt;=$C$2,$B$1),Y161,"")</f>
        <v/>
      </c>
      <c r="R111" s="274" t="str">
        <f>IF(AND(X161&lt;=$C$2,$B$1),Z161,"")</f>
        <v/>
      </c>
      <c r="S111" s="275"/>
      <c r="T111" s="278" t="str">
        <f>IF(AND(X161&lt;=$C$2,$B$1),R111-Q111,"")</f>
        <v/>
      </c>
      <c r="X111" s="1">
        <v>49</v>
      </c>
      <c r="Y111" s="1">
        <f t="shared" si="27"/>
        <v>39.918403896311879</v>
      </c>
      <c r="Z111" s="1">
        <f t="shared" si="28"/>
        <v>52.524970734361595</v>
      </c>
      <c r="AA111" s="1" t="e">
        <f t="shared" si="29"/>
        <v>#N/A</v>
      </c>
      <c r="AB111" s="1" t="e">
        <f t="shared" si="30"/>
        <v>#N/A</v>
      </c>
      <c r="AC111" s="1">
        <f t="shared" si="38"/>
        <v>0.4440977293998003</v>
      </c>
      <c r="AD111" s="1">
        <f t="shared" si="39"/>
        <v>0.86457222886383533</v>
      </c>
      <c r="AE111" s="1">
        <f t="shared" si="31"/>
        <v>46.221687315336737</v>
      </c>
      <c r="AF111" s="1" t="str">
        <f t="shared" si="32"/>
        <v/>
      </c>
      <c r="AG111" s="1">
        <f t="shared" si="33"/>
        <v>6.3032834190248606</v>
      </c>
      <c r="AI111" s="1">
        <f t="shared" si="34"/>
        <v>12.606566838049716</v>
      </c>
      <c r="AJ111" s="1">
        <f t="shared" si="23"/>
        <v>3.7</v>
      </c>
      <c r="AK111" s="1" t="e">
        <f t="shared" si="35"/>
        <v>#N/A</v>
      </c>
      <c r="AL111" s="1" t="e">
        <f t="shared" si="36"/>
        <v>#N/A</v>
      </c>
      <c r="AM111" s="1" t="e">
        <f t="shared" si="37"/>
        <v>#N/A</v>
      </c>
    </row>
    <row r="112" spans="15:39" ht="11.25" customHeight="1" x14ac:dyDescent="0.2">
      <c r="O112" s="246"/>
      <c r="P112" s="276">
        <v>100</v>
      </c>
      <c r="Q112" s="273" t="str">
        <f>IF(AND(X162&lt;=$C$2,$B$1),Y162,"")</f>
        <v/>
      </c>
      <c r="R112" s="274" t="str">
        <f>IF(AND(X162&lt;=$C$2,$B$1),Z162,"")</f>
        <v/>
      </c>
      <c r="S112" s="275"/>
      <c r="T112" s="278" t="str">
        <f>IF(AND(X162&lt;=$C$2,$B$1),R112-Q112,"")</f>
        <v/>
      </c>
      <c r="X112" s="1">
        <v>50</v>
      </c>
      <c r="Y112" s="1">
        <f t="shared" si="27"/>
        <v>25.859951831984453</v>
      </c>
      <c r="Z112" s="1">
        <f t="shared" si="28"/>
        <v>32.282577599619472</v>
      </c>
      <c r="AA112" s="1" t="e">
        <f t="shared" si="29"/>
        <v>#N/A</v>
      </c>
      <c r="AB112" s="1" t="e">
        <f t="shared" si="30"/>
        <v>#N/A</v>
      </c>
      <c r="AC112" s="1">
        <f t="shared" si="38"/>
        <v>6.7268485203385353E-2</v>
      </c>
      <c r="AD112" s="1">
        <f t="shared" si="39"/>
        <v>0.52807732857763767</v>
      </c>
      <c r="AE112" s="1">
        <f t="shared" si="31"/>
        <v>29.071264715801963</v>
      </c>
      <c r="AF112" s="1" t="str">
        <f t="shared" si="32"/>
        <v/>
      </c>
      <c r="AG112" s="1">
        <f t="shared" si="33"/>
        <v>3.2113128838175098</v>
      </c>
      <c r="AI112" s="1">
        <f t="shared" si="34"/>
        <v>6.4226257676350187</v>
      </c>
      <c r="AJ112" s="1">
        <f t="shared" si="23"/>
        <v>3.7</v>
      </c>
      <c r="AK112" s="1" t="e">
        <f t="shared" si="35"/>
        <v>#N/A</v>
      </c>
      <c r="AL112" s="1" t="e">
        <f t="shared" si="36"/>
        <v>#N/A</v>
      </c>
      <c r="AM112" s="1" t="e">
        <f t="shared" si="37"/>
        <v>#N/A</v>
      </c>
    </row>
    <row r="113" spans="24:39" ht="11.25" customHeight="1" x14ac:dyDescent="0.2">
      <c r="X113" s="1">
        <v>51</v>
      </c>
      <c r="Y113" s="1">
        <f t="shared" si="27"/>
        <v>55.71825265826886</v>
      </c>
      <c r="Z113" s="1">
        <f t="shared" si="28"/>
        <v>55.519732068589356</v>
      </c>
      <c r="AA113" s="1" t="e">
        <f t="shared" si="29"/>
        <v>#N/A</v>
      </c>
      <c r="AB113" s="1" t="e">
        <f t="shared" si="30"/>
        <v>#N/A</v>
      </c>
      <c r="AC113" s="1">
        <f t="shared" si="38"/>
        <v>0.72652416117489338</v>
      </c>
      <c r="AD113" s="1">
        <f t="shared" si="39"/>
        <v>0.15078164823353291</v>
      </c>
      <c r="AE113" s="1">
        <f t="shared" si="31"/>
        <v>55.618992363429108</v>
      </c>
      <c r="AF113" s="1" t="str">
        <f t="shared" si="32"/>
        <v/>
      </c>
      <c r="AG113" s="1">
        <f t="shared" si="33"/>
        <v>-9.9260294839751406E-2</v>
      </c>
      <c r="AI113" s="1">
        <f t="shared" si="34"/>
        <v>-0.1985205896795037</v>
      </c>
      <c r="AJ113" s="1">
        <f t="shared" si="23"/>
        <v>3.7</v>
      </c>
      <c r="AK113" s="1" t="e">
        <f t="shared" si="35"/>
        <v>#N/A</v>
      </c>
      <c r="AL113" s="1" t="e">
        <f t="shared" si="36"/>
        <v>#N/A</v>
      </c>
      <c r="AM113" s="1" t="e">
        <f t="shared" si="37"/>
        <v>#N/A</v>
      </c>
    </row>
    <row r="114" spans="24:39" ht="11.25" customHeight="1" x14ac:dyDescent="0.2">
      <c r="X114" s="1">
        <v>52</v>
      </c>
      <c r="Y114" s="1">
        <f t="shared" si="27"/>
        <v>25.393973036758439</v>
      </c>
      <c r="Z114" s="1">
        <f t="shared" si="28"/>
        <v>30.526120865632038</v>
      </c>
      <c r="AA114" s="1" t="e">
        <f t="shared" si="29"/>
        <v>#N/A</v>
      </c>
      <c r="AB114" s="1" t="e">
        <f t="shared" si="30"/>
        <v>#N/A</v>
      </c>
      <c r="AC114" s="1">
        <f t="shared" si="38"/>
        <v>5.6563029065728188E-2</v>
      </c>
      <c r="AD114" s="1">
        <f t="shared" si="39"/>
        <v>0.44249675609171391</v>
      </c>
      <c r="AE114" s="1">
        <f t="shared" si="31"/>
        <v>27.960046951195238</v>
      </c>
      <c r="AF114" s="1" t="str">
        <f t="shared" si="32"/>
        <v/>
      </c>
      <c r="AG114" s="1">
        <f t="shared" si="33"/>
        <v>2.5660739144367981</v>
      </c>
      <c r="AI114" s="1">
        <f t="shared" si="34"/>
        <v>5.1321478288735989</v>
      </c>
      <c r="AJ114" s="1">
        <f t="shared" si="23"/>
        <v>3.7</v>
      </c>
      <c r="AK114" s="1" t="e">
        <f t="shared" si="35"/>
        <v>#N/A</v>
      </c>
      <c r="AL114" s="1" t="e">
        <f t="shared" si="36"/>
        <v>#N/A</v>
      </c>
      <c r="AM114" s="1" t="e">
        <f t="shared" si="37"/>
        <v>#N/A</v>
      </c>
    </row>
    <row r="115" spans="24:39" ht="11.25" customHeight="1" x14ac:dyDescent="0.2">
      <c r="X115" s="1">
        <v>53</v>
      </c>
      <c r="Y115" s="1">
        <f t="shared" si="27"/>
        <v>21.875115328830805</v>
      </c>
      <c r="Z115" s="1">
        <f t="shared" si="28"/>
        <v>24.957276880006813</v>
      </c>
      <c r="AA115" s="1" t="e">
        <f t="shared" si="29"/>
        <v>#N/A</v>
      </c>
      <c r="AB115" s="1" t="e">
        <f t="shared" si="30"/>
        <v>#N/A</v>
      </c>
      <c r="AC115" s="1">
        <f t="shared" si="38"/>
        <v>2.597665973007679E-2</v>
      </c>
      <c r="AD115" s="1">
        <f t="shared" si="39"/>
        <v>0.3133749682456255</v>
      </c>
      <c r="AE115" s="1">
        <f t="shared" si="31"/>
        <v>23.416196104418809</v>
      </c>
      <c r="AF115" s="1" t="str">
        <f t="shared" si="32"/>
        <v/>
      </c>
      <c r="AG115" s="1">
        <f t="shared" si="33"/>
        <v>1.5410807755880049</v>
      </c>
      <c r="AI115" s="1">
        <f t="shared" si="34"/>
        <v>3.0821615511760072</v>
      </c>
      <c r="AJ115" s="1">
        <f t="shared" si="23"/>
        <v>3.7</v>
      </c>
      <c r="AK115" s="1" t="e">
        <f t="shared" si="35"/>
        <v>#N/A</v>
      </c>
      <c r="AL115" s="1" t="e">
        <f t="shared" si="36"/>
        <v>#N/A</v>
      </c>
      <c r="AM115" s="1" t="e">
        <f t="shared" si="37"/>
        <v>#N/A</v>
      </c>
    </row>
    <row r="116" spans="24:39" ht="11.25" customHeight="1" x14ac:dyDescent="0.2">
      <c r="X116" s="1">
        <v>54</v>
      </c>
      <c r="Y116" s="1">
        <f t="shared" si="27"/>
        <v>62.068131968213287</v>
      </c>
      <c r="Z116" s="1">
        <f t="shared" si="28"/>
        <v>72.235422782778471</v>
      </c>
      <c r="AA116" s="1" t="e">
        <f t="shared" si="29"/>
        <v>#N/A</v>
      </c>
      <c r="AB116" s="1" t="e">
        <f t="shared" si="30"/>
        <v>#N/A</v>
      </c>
      <c r="AC116" s="1">
        <f t="shared" si="38"/>
        <v>0.93499734438955784</v>
      </c>
      <c r="AD116" s="1">
        <f t="shared" si="39"/>
        <v>0.75633084215223789</v>
      </c>
      <c r="AE116" s="1">
        <f t="shared" si="31"/>
        <v>67.151777375495882</v>
      </c>
      <c r="AF116" s="1" t="str">
        <f t="shared" si="32"/>
        <v/>
      </c>
      <c r="AG116" s="1">
        <f t="shared" si="33"/>
        <v>5.0836454072825941</v>
      </c>
      <c r="AI116" s="1">
        <f t="shared" si="34"/>
        <v>10.167290814565185</v>
      </c>
      <c r="AJ116" s="1">
        <f t="shared" si="23"/>
        <v>3.7</v>
      </c>
      <c r="AK116" s="1" t="e">
        <f t="shared" si="35"/>
        <v>#N/A</v>
      </c>
      <c r="AL116" s="1" t="e">
        <f t="shared" si="36"/>
        <v>#N/A</v>
      </c>
      <c r="AM116" s="1" t="e">
        <f t="shared" si="37"/>
        <v>#N/A</v>
      </c>
    </row>
    <row r="117" spans="24:39" ht="11.25" customHeight="1" x14ac:dyDescent="0.2">
      <c r="X117" s="1">
        <v>55</v>
      </c>
      <c r="Y117" s="1">
        <f t="shared" si="27"/>
        <v>50.154859181137802</v>
      </c>
      <c r="Z117" s="1">
        <f t="shared" si="28"/>
        <v>52.179820024769377</v>
      </c>
      <c r="AA117" s="1" t="e">
        <f t="shared" si="29"/>
        <v>#N/A</v>
      </c>
      <c r="AB117" s="1" t="e">
        <f t="shared" si="30"/>
        <v>#N/A</v>
      </c>
      <c r="AC117" s="1">
        <f t="shared" si="38"/>
        <v>0.59886105544865131</v>
      </c>
      <c r="AD117" s="1">
        <f t="shared" si="39"/>
        <v>0.25382332690060139</v>
      </c>
      <c r="AE117" s="1">
        <f t="shared" si="31"/>
        <v>51.167339602953589</v>
      </c>
      <c r="AF117" s="1" t="str">
        <f t="shared" si="32"/>
        <v/>
      </c>
      <c r="AG117" s="1">
        <f t="shared" si="33"/>
        <v>1.012480421815785</v>
      </c>
      <c r="AI117" s="1">
        <f t="shared" si="34"/>
        <v>2.0249608436315754</v>
      </c>
      <c r="AJ117" s="1">
        <f t="shared" si="23"/>
        <v>3.7</v>
      </c>
      <c r="AK117" s="1" t="e">
        <f t="shared" si="35"/>
        <v>#N/A</v>
      </c>
      <c r="AL117" s="1" t="e">
        <f t="shared" si="36"/>
        <v>#N/A</v>
      </c>
      <c r="AM117" s="1" t="e">
        <f t="shared" si="37"/>
        <v>#N/A</v>
      </c>
    </row>
    <row r="118" spans="24:39" ht="11.25" customHeight="1" x14ac:dyDescent="0.2">
      <c r="X118" s="1">
        <v>56</v>
      </c>
      <c r="Y118" s="1">
        <f t="shared" si="27"/>
        <v>39.252400388559366</v>
      </c>
      <c r="Z118" s="1">
        <f t="shared" si="28"/>
        <v>46.290934375848835</v>
      </c>
      <c r="AA118" s="1" t="e">
        <f t="shared" si="29"/>
        <v>#N/A</v>
      </c>
      <c r="AB118" s="1" t="e">
        <f t="shared" si="30"/>
        <v>#N/A</v>
      </c>
      <c r="AC118" s="1">
        <f t="shared" si="38"/>
        <v>0.33968023397028446</v>
      </c>
      <c r="AD118" s="1">
        <f t="shared" si="39"/>
        <v>0.56870926357805729</v>
      </c>
      <c r="AE118" s="1">
        <f t="shared" si="31"/>
        <v>42.7716673822041</v>
      </c>
      <c r="AF118" s="1" t="str">
        <f t="shared" si="32"/>
        <v/>
      </c>
      <c r="AG118" s="1">
        <f t="shared" si="33"/>
        <v>3.5192669936447318</v>
      </c>
      <c r="AI118" s="1">
        <f t="shared" si="34"/>
        <v>7.038533987289469</v>
      </c>
      <c r="AJ118" s="1">
        <f t="shared" si="23"/>
        <v>3.7</v>
      </c>
      <c r="AK118" s="1" t="e">
        <f t="shared" si="35"/>
        <v>#N/A</v>
      </c>
      <c r="AL118" s="1" t="e">
        <f t="shared" si="36"/>
        <v>#N/A</v>
      </c>
      <c r="AM118" s="1" t="e">
        <f t="shared" si="37"/>
        <v>#N/A</v>
      </c>
    </row>
    <row r="119" spans="24:39" ht="11.25" customHeight="1" x14ac:dyDescent="0.2">
      <c r="X119" s="1">
        <v>57</v>
      </c>
      <c r="Y119" s="1">
        <f t="shared" si="27"/>
        <v>59.440819186752819</v>
      </c>
      <c r="Z119" s="1">
        <f t="shared" si="28"/>
        <v>54.066722285446673</v>
      </c>
      <c r="AA119" s="1" t="e">
        <f t="shared" si="29"/>
        <v>#N/A</v>
      </c>
      <c r="AB119" s="1" t="e">
        <f t="shared" si="30"/>
        <v>#N/A</v>
      </c>
      <c r="AC119" s="1">
        <f t="shared" si="38"/>
        <v>0.75554588623344898</v>
      </c>
      <c r="AD119" s="1">
        <f t="shared" si="39"/>
        <v>2.900099940598011E-2</v>
      </c>
      <c r="AE119" s="1">
        <f t="shared" si="31"/>
        <v>56.753770736099746</v>
      </c>
      <c r="AF119" s="1" t="str">
        <f t="shared" si="32"/>
        <v/>
      </c>
      <c r="AG119" s="1">
        <f t="shared" si="33"/>
        <v>-2.6870484506530765</v>
      </c>
      <c r="AI119" s="1">
        <f t="shared" si="34"/>
        <v>-5.3740969013061459</v>
      </c>
      <c r="AJ119" s="1">
        <f t="shared" si="23"/>
        <v>3.7</v>
      </c>
      <c r="AK119" s="1" t="e">
        <f t="shared" si="35"/>
        <v>#N/A</v>
      </c>
      <c r="AL119" s="1" t="e">
        <f t="shared" si="36"/>
        <v>#N/A</v>
      </c>
      <c r="AM119" s="1" t="e">
        <f t="shared" si="37"/>
        <v>#N/A</v>
      </c>
    </row>
    <row r="120" spans="24:39" ht="11.25" customHeight="1" x14ac:dyDescent="0.2">
      <c r="X120" s="1">
        <v>58</v>
      </c>
      <c r="Y120" s="1">
        <f t="shared" si="27"/>
        <v>52.060203843686431</v>
      </c>
      <c r="Z120" s="1">
        <f t="shared" si="28"/>
        <v>56.086123658790946</v>
      </c>
      <c r="AA120" s="1" t="e">
        <f t="shared" si="29"/>
        <v>#N/A</v>
      </c>
      <c r="AB120" s="1" t="e">
        <f t="shared" si="30"/>
        <v>#N/A</v>
      </c>
      <c r="AC120" s="1">
        <f t="shared" si="38"/>
        <v>0.68443101085722446</v>
      </c>
      <c r="AD120" s="1">
        <f t="shared" si="39"/>
        <v>0.371072793379426</v>
      </c>
      <c r="AE120" s="1">
        <f t="shared" si="31"/>
        <v>54.073163751238688</v>
      </c>
      <c r="AF120" s="1" t="str">
        <f t="shared" si="32"/>
        <v/>
      </c>
      <c r="AG120" s="1">
        <f t="shared" si="33"/>
        <v>2.0129599075522555</v>
      </c>
      <c r="AI120" s="1">
        <f t="shared" si="34"/>
        <v>4.0259198151045155</v>
      </c>
      <c r="AJ120" s="1">
        <f t="shared" si="23"/>
        <v>3.7</v>
      </c>
      <c r="AK120" s="1" t="e">
        <f t="shared" si="35"/>
        <v>#N/A</v>
      </c>
      <c r="AL120" s="1" t="e">
        <f t="shared" si="36"/>
        <v>#N/A</v>
      </c>
      <c r="AM120" s="1" t="e">
        <f t="shared" si="37"/>
        <v>#N/A</v>
      </c>
    </row>
    <row r="121" spans="24:39" ht="11.25" customHeight="1" x14ac:dyDescent="0.2">
      <c r="X121" s="1">
        <v>59</v>
      </c>
      <c r="Y121" s="1">
        <f t="shared" si="27"/>
        <v>11.255265974865193</v>
      </c>
      <c r="Z121" s="1">
        <f t="shared" si="28"/>
        <v>21.449584524903177</v>
      </c>
      <c r="AA121" s="1" t="e">
        <f t="shared" si="29"/>
        <v>#N/A</v>
      </c>
      <c r="AB121" s="1" t="e">
        <f t="shared" si="30"/>
        <v>#N/A</v>
      </c>
      <c r="AC121" s="1">
        <f t="shared" si="38"/>
        <v>6.1753857880830765E-3</v>
      </c>
      <c r="AD121" s="1">
        <f t="shared" si="39"/>
        <v>0.75774057395756245</v>
      </c>
      <c r="AE121" s="1">
        <f t="shared" si="31"/>
        <v>16.352425249884185</v>
      </c>
      <c r="AF121" s="1" t="str">
        <f t="shared" si="32"/>
        <v/>
      </c>
      <c r="AG121" s="1">
        <f t="shared" si="33"/>
        <v>5.0971592750189929</v>
      </c>
      <c r="AI121" s="1">
        <f t="shared" si="34"/>
        <v>10.194318550037984</v>
      </c>
      <c r="AJ121" s="1">
        <f t="shared" si="23"/>
        <v>3.7</v>
      </c>
      <c r="AK121" s="1" t="e">
        <f t="shared" si="35"/>
        <v>#N/A</v>
      </c>
      <c r="AL121" s="1" t="e">
        <f t="shared" si="36"/>
        <v>#N/A</v>
      </c>
      <c r="AM121" s="1" t="e">
        <f t="shared" si="37"/>
        <v>#N/A</v>
      </c>
    </row>
    <row r="122" spans="24:39" ht="11.25" customHeight="1" x14ac:dyDescent="0.2">
      <c r="X122" s="1">
        <v>60</v>
      </c>
      <c r="Y122" s="1">
        <f t="shared" si="27"/>
        <v>63.789309426441982</v>
      </c>
      <c r="Z122" s="1">
        <f t="shared" si="28"/>
        <v>71.157713943039326</v>
      </c>
      <c r="AA122" s="1" t="e">
        <f t="shared" si="29"/>
        <v>#N/A</v>
      </c>
      <c r="AB122" s="1" t="e">
        <f t="shared" si="30"/>
        <v>#N/A</v>
      </c>
      <c r="AC122" s="1">
        <f t="shared" si="38"/>
        <v>0.9381608460098505</v>
      </c>
      <c r="AD122" s="1">
        <f t="shared" si="39"/>
        <v>0.59020308591425419</v>
      </c>
      <c r="AE122" s="1">
        <f t="shared" si="31"/>
        <v>67.473511684740657</v>
      </c>
      <c r="AF122" s="1" t="str">
        <f t="shared" si="32"/>
        <v/>
      </c>
      <c r="AG122" s="1">
        <f t="shared" si="33"/>
        <v>3.6842022582986726</v>
      </c>
      <c r="AI122" s="1">
        <f t="shared" si="34"/>
        <v>7.3684045165973444</v>
      </c>
      <c r="AJ122" s="1">
        <f t="shared" si="23"/>
        <v>3.7</v>
      </c>
      <c r="AK122" s="1" t="e">
        <f t="shared" si="35"/>
        <v>#N/A</v>
      </c>
      <c r="AL122" s="1" t="e">
        <f t="shared" si="36"/>
        <v>#N/A</v>
      </c>
      <c r="AM122" s="1" t="e">
        <f t="shared" si="37"/>
        <v>#N/A</v>
      </c>
    </row>
    <row r="123" spans="24:39" ht="11.25" customHeight="1" x14ac:dyDescent="0.2">
      <c r="X123" s="1">
        <v>61</v>
      </c>
      <c r="Y123" s="1">
        <f t="shared" si="27"/>
        <v>49.846770550265298</v>
      </c>
      <c r="Z123" s="1">
        <f t="shared" si="28"/>
        <v>56.325281182190089</v>
      </c>
      <c r="AA123" s="1" t="e">
        <f t="shared" si="29"/>
        <v>#N/A</v>
      </c>
      <c r="AB123" s="1" t="e">
        <f t="shared" si="30"/>
        <v>#N/A</v>
      </c>
      <c r="AC123" s="1">
        <f t="shared" si="38"/>
        <v>0.65618950314819813</v>
      </c>
      <c r="AD123" s="1">
        <f t="shared" si="39"/>
        <v>0.53178265877068043</v>
      </c>
      <c r="AE123" s="1">
        <f t="shared" si="31"/>
        <v>53.086025866227693</v>
      </c>
      <c r="AF123" s="1" t="str">
        <f t="shared" si="32"/>
        <v/>
      </c>
      <c r="AG123" s="1">
        <f t="shared" si="33"/>
        <v>3.2392553159623971</v>
      </c>
      <c r="AI123" s="1">
        <f t="shared" si="34"/>
        <v>6.4785106319247916</v>
      </c>
      <c r="AJ123" s="1">
        <f t="shared" si="23"/>
        <v>3.7</v>
      </c>
      <c r="AK123" s="1" t="e">
        <f t="shared" si="35"/>
        <v>#N/A</v>
      </c>
      <c r="AL123" s="1" t="e">
        <f t="shared" si="36"/>
        <v>#N/A</v>
      </c>
      <c r="AM123" s="1" t="e">
        <f t="shared" si="37"/>
        <v>#N/A</v>
      </c>
    </row>
    <row r="124" spans="24:39" ht="11.25" customHeight="1" x14ac:dyDescent="0.2">
      <c r="X124" s="1">
        <v>62</v>
      </c>
      <c r="Y124" s="1">
        <f t="shared" si="27"/>
        <v>46.965414927137331</v>
      </c>
      <c r="Z124" s="1">
        <f t="shared" si="28"/>
        <v>52.97867051404242</v>
      </c>
      <c r="AA124" s="1" t="e">
        <f t="shared" si="29"/>
        <v>#N/A</v>
      </c>
      <c r="AB124" s="1" t="e">
        <f t="shared" si="30"/>
        <v>#N/A</v>
      </c>
      <c r="AC124" s="1">
        <f t="shared" si="38"/>
        <v>0.56194552220404148</v>
      </c>
      <c r="AD124" s="1">
        <f t="shared" si="39"/>
        <v>0.50088136829435825</v>
      </c>
      <c r="AE124" s="1">
        <f t="shared" si="31"/>
        <v>49.972042720589876</v>
      </c>
      <c r="AF124" s="1" t="str">
        <f t="shared" si="32"/>
        <v/>
      </c>
      <c r="AG124" s="1">
        <f t="shared" si="33"/>
        <v>3.0066277934525449</v>
      </c>
      <c r="AI124" s="1">
        <f t="shared" si="34"/>
        <v>6.013255586905089</v>
      </c>
      <c r="AJ124" s="1">
        <f t="shared" si="23"/>
        <v>3.7</v>
      </c>
      <c r="AK124" s="1" t="e">
        <f t="shared" si="35"/>
        <v>#N/A</v>
      </c>
      <c r="AL124" s="1" t="e">
        <f t="shared" si="36"/>
        <v>#N/A</v>
      </c>
      <c r="AM124" s="1" t="e">
        <f t="shared" si="37"/>
        <v>#N/A</v>
      </c>
    </row>
    <row r="125" spans="24:39" ht="11.25" customHeight="1" x14ac:dyDescent="0.2">
      <c r="X125" s="1">
        <v>63</v>
      </c>
      <c r="Y125" s="1">
        <f t="shared" si="27"/>
        <v>48.452662715462615</v>
      </c>
      <c r="Z125" s="1">
        <f t="shared" si="28"/>
        <v>49.281918921053581</v>
      </c>
      <c r="AA125" s="1" t="e">
        <f t="shared" si="29"/>
        <v>#N/A</v>
      </c>
      <c r="AB125" s="1" t="e">
        <f t="shared" si="30"/>
        <v>#N/A</v>
      </c>
      <c r="AC125" s="1">
        <f t="shared" si="38"/>
        <v>0.52733220346271992</v>
      </c>
      <c r="AD125" s="1">
        <f t="shared" si="39"/>
        <v>0.19440137036144733</v>
      </c>
      <c r="AE125" s="1">
        <f t="shared" si="31"/>
        <v>48.867290818258098</v>
      </c>
      <c r="AF125" s="1" t="str">
        <f t="shared" si="32"/>
        <v/>
      </c>
      <c r="AG125" s="1">
        <f t="shared" si="33"/>
        <v>0.41462810279548012</v>
      </c>
      <c r="AI125" s="1">
        <f t="shared" si="34"/>
        <v>0.82925620559096558</v>
      </c>
      <c r="AJ125" s="1">
        <f t="shared" si="23"/>
        <v>3.7</v>
      </c>
      <c r="AK125" s="1" t="e">
        <f t="shared" si="35"/>
        <v>#N/A</v>
      </c>
      <c r="AL125" s="1" t="e">
        <f t="shared" si="36"/>
        <v>#N/A</v>
      </c>
      <c r="AM125" s="1" t="e">
        <f t="shared" si="37"/>
        <v>#N/A</v>
      </c>
    </row>
    <row r="126" spans="24:39" ht="11.25" customHeight="1" x14ac:dyDescent="0.2">
      <c r="X126" s="1">
        <v>64</v>
      </c>
      <c r="Y126" s="1">
        <f t="shared" si="27"/>
        <v>62.719173452694527</v>
      </c>
      <c r="Z126" s="1">
        <f t="shared" si="28"/>
        <v>64.30252152355429</v>
      </c>
      <c r="AA126" s="1" t="e">
        <f t="shared" si="29"/>
        <v>#N/A</v>
      </c>
      <c r="AB126" s="1" t="e">
        <f t="shared" si="30"/>
        <v>#N/A</v>
      </c>
      <c r="AC126" s="1">
        <f t="shared" si="38"/>
        <v>0.88994584418833256</v>
      </c>
      <c r="AD126" s="1">
        <f t="shared" si="39"/>
        <v>0.23083228804171085</v>
      </c>
      <c r="AE126" s="1">
        <f t="shared" si="31"/>
        <v>63.510847488124412</v>
      </c>
      <c r="AF126" s="1" t="str">
        <f t="shared" si="32"/>
        <v/>
      </c>
      <c r="AG126" s="1">
        <f t="shared" si="33"/>
        <v>0.79167403542988479</v>
      </c>
      <c r="AI126" s="1">
        <f t="shared" si="34"/>
        <v>1.5833480708597634</v>
      </c>
      <c r="AJ126" s="1">
        <f t="shared" si="23"/>
        <v>3.7</v>
      </c>
      <c r="AK126" s="1" t="e">
        <f t="shared" si="35"/>
        <v>#N/A</v>
      </c>
      <c r="AL126" s="1" t="e">
        <f t="shared" si="36"/>
        <v>#N/A</v>
      </c>
      <c r="AM126" s="1" t="e">
        <f t="shared" si="37"/>
        <v>#N/A</v>
      </c>
    </row>
    <row r="127" spans="24:39" ht="11.25" customHeight="1" x14ac:dyDescent="0.2">
      <c r="X127" s="1">
        <v>65</v>
      </c>
      <c r="Y127" s="1">
        <f t="shared" ref="Y127:Y162" si="40">AE127-AG127</f>
        <v>12.563070238854042</v>
      </c>
      <c r="Z127" s="1">
        <f t="shared" ref="Z127:Z162" si="41">AE127+AG127</f>
        <v>25.650224727936052</v>
      </c>
      <c r="AA127" s="1" t="e">
        <f t="shared" ref="AA127:AA162" si="42">IF(AND(X127&lt;=$C$2,$B$3,$B$1),Y127,NA())</f>
        <v>#N/A</v>
      </c>
      <c r="AB127" s="1" t="e">
        <f t="shared" ref="AB127:AB162" si="43">IF(AND(X127&lt;=$C$2,$B$3,$B$1),Z127,NA())</f>
        <v>#N/A</v>
      </c>
      <c r="AC127" s="1">
        <f t="shared" si="38"/>
        <v>1.1179300025105476E-2</v>
      </c>
      <c r="AD127" s="1">
        <f t="shared" si="39"/>
        <v>0.8812368530780077</v>
      </c>
      <c r="AE127" s="1">
        <f t="shared" ref="AE127:AE162" si="44">($C$5+(($C$3-$C$5)/2))+SQRT($C$4*$C$4-($C$6*$C$6/4))*NORMSINV(AC127)</f>
        <v>19.106647483395047</v>
      </c>
      <c r="AF127" s="1" t="str">
        <f t="shared" ref="AF127:AF158" si="45">IF(X127&lt;=$C$2,AE127,"")</f>
        <v/>
      </c>
      <c r="AG127" s="1">
        <f t="shared" ref="AG127:AG162" si="46">(($C$3-$C$5)+$C$6*NORMSINV(AD127))/2</f>
        <v>6.5435772445410052</v>
      </c>
      <c r="AI127" s="1">
        <f t="shared" ref="AI127:AI162" si="47">Z127-Y127</f>
        <v>13.08715448908201</v>
      </c>
      <c r="AJ127" s="1">
        <f t="shared" si="23"/>
        <v>3.7</v>
      </c>
      <c r="AK127" s="1" t="e">
        <f t="shared" ref="AK127:AK162" si="48">IF(AND(X127&lt;=$C$2,$Z$10,$B$1),$Q$4+AI127,NA())</f>
        <v>#N/A</v>
      </c>
      <c r="AL127" s="1" t="e">
        <f t="shared" ref="AL127:AL162" si="49">IF(AND(X127&lt;=$C$2,$Z$10,$B$1,$B$3),Y127,NA())</f>
        <v>#N/A</v>
      </c>
      <c r="AM127" s="1" t="e">
        <f t="shared" ref="AM127:AM162" si="50">IF(AND(X127&lt;=$C$2,$Z$10,$B$1,$B$3),Z127,NA())</f>
        <v>#N/A</v>
      </c>
    </row>
    <row r="128" spans="24:39" ht="11.25" customHeight="1" x14ac:dyDescent="0.2">
      <c r="X128" s="1">
        <v>66</v>
      </c>
      <c r="Y128" s="1">
        <f t="shared" si="40"/>
        <v>24.981883278584569</v>
      </c>
      <c r="Z128" s="1">
        <f t="shared" si="41"/>
        <v>44.314028849863156</v>
      </c>
      <c r="AA128" s="1" t="e">
        <f t="shared" si="42"/>
        <v>#N/A</v>
      </c>
      <c r="AB128" s="1" t="e">
        <f t="shared" si="43"/>
        <v>#N/A</v>
      </c>
      <c r="AC128" s="1">
        <f t="shared" ref="AC128:AC162" si="51">MOD(AC127*10000013,1)</f>
        <v>0.14558195509016514</v>
      </c>
      <c r="AD128" s="1">
        <f t="shared" ref="AD128:AD162" si="52">MOD(AD127*10000013,1)</f>
        <v>0.9868591669946909</v>
      </c>
      <c r="AE128" s="1">
        <f t="shared" si="44"/>
        <v>34.647956064223862</v>
      </c>
      <c r="AF128" s="1" t="str">
        <f t="shared" si="45"/>
        <v/>
      </c>
      <c r="AG128" s="1">
        <f t="shared" si="46"/>
        <v>9.6660727856392921</v>
      </c>
      <c r="AI128" s="1">
        <f t="shared" si="47"/>
        <v>19.332145571278588</v>
      </c>
      <c r="AJ128" s="1">
        <f t="shared" si="23"/>
        <v>3.7</v>
      </c>
      <c r="AK128" s="1" t="e">
        <f t="shared" si="48"/>
        <v>#N/A</v>
      </c>
      <c r="AL128" s="1" t="e">
        <f t="shared" si="49"/>
        <v>#N/A</v>
      </c>
      <c r="AM128" s="1" t="e">
        <f t="shared" si="50"/>
        <v>#N/A</v>
      </c>
    </row>
    <row r="129" spans="24:39" ht="11.25" customHeight="1" x14ac:dyDescent="0.2">
      <c r="X129" s="1">
        <v>67</v>
      </c>
      <c r="Y129" s="1">
        <f t="shared" si="40"/>
        <v>43.208137277072112</v>
      </c>
      <c r="Z129" s="1">
        <f t="shared" si="41"/>
        <v>49.19484331123013</v>
      </c>
      <c r="AA129" s="1" t="e">
        <f t="shared" si="42"/>
        <v>#N/A</v>
      </c>
      <c r="AB129" s="1" t="e">
        <f t="shared" si="43"/>
        <v>#N/A</v>
      </c>
      <c r="AC129" s="1">
        <f t="shared" si="51"/>
        <v>0.44346706755459309</v>
      </c>
      <c r="AD129" s="1">
        <f t="shared" si="52"/>
        <v>0.4991160798817873</v>
      </c>
      <c r="AE129" s="1">
        <f t="shared" si="44"/>
        <v>46.201490294151121</v>
      </c>
      <c r="AF129" s="1" t="str">
        <f t="shared" si="45"/>
        <v/>
      </c>
      <c r="AG129" s="1">
        <f t="shared" si="46"/>
        <v>2.9933530170790128</v>
      </c>
      <c r="AI129" s="1">
        <f t="shared" si="47"/>
        <v>5.9867060341580185</v>
      </c>
      <c r="AJ129" s="1">
        <f t="shared" ref="AJ129:AJ162" si="53">AJ128</f>
        <v>3.7</v>
      </c>
      <c r="AK129" s="1" t="e">
        <f t="shared" si="48"/>
        <v>#N/A</v>
      </c>
      <c r="AL129" s="1" t="e">
        <f t="shared" si="49"/>
        <v>#N/A</v>
      </c>
      <c r="AM129" s="1" t="e">
        <f t="shared" si="50"/>
        <v>#N/A</v>
      </c>
    </row>
    <row r="130" spans="24:39" ht="11.25" customHeight="1" x14ac:dyDescent="0.2">
      <c r="X130" s="1">
        <v>68</v>
      </c>
      <c r="Y130" s="1">
        <f t="shared" si="40"/>
        <v>44.793816979211314</v>
      </c>
      <c r="Z130" s="1">
        <f t="shared" si="41"/>
        <v>47.426552017087801</v>
      </c>
      <c r="AA130" s="1" t="e">
        <f t="shared" si="42"/>
        <v>#N/A</v>
      </c>
      <c r="AB130" s="1" t="e">
        <f t="shared" si="43"/>
        <v>#N/A</v>
      </c>
      <c r="AC130" s="1">
        <f t="shared" si="51"/>
        <v>0.44061780907213688</v>
      </c>
      <c r="AD130" s="1">
        <f t="shared" si="52"/>
        <v>0.28732691146433353</v>
      </c>
      <c r="AE130" s="1">
        <f t="shared" si="44"/>
        <v>46.110184498149557</v>
      </c>
      <c r="AF130" s="1" t="str">
        <f t="shared" si="45"/>
        <v/>
      </c>
      <c r="AG130" s="1">
        <f t="shared" si="46"/>
        <v>1.3163675189382427</v>
      </c>
      <c r="AI130" s="1">
        <f t="shared" si="47"/>
        <v>2.6327350378764862</v>
      </c>
      <c r="AJ130" s="1">
        <f t="shared" si="53"/>
        <v>3.7</v>
      </c>
      <c r="AK130" s="1" t="e">
        <f t="shared" si="48"/>
        <v>#N/A</v>
      </c>
      <c r="AL130" s="1" t="e">
        <f t="shared" si="49"/>
        <v>#N/A</v>
      </c>
      <c r="AM130" s="1" t="e">
        <f t="shared" si="50"/>
        <v>#N/A</v>
      </c>
    </row>
    <row r="131" spans="24:39" ht="11.25" customHeight="1" x14ac:dyDescent="0.2">
      <c r="X131" s="1">
        <v>69</v>
      </c>
      <c r="Y131" s="1">
        <f t="shared" si="40"/>
        <v>53.410640662269628</v>
      </c>
      <c r="Z131" s="1">
        <f t="shared" si="41"/>
        <v>65.626492907746552</v>
      </c>
      <c r="AA131" s="1" t="e">
        <f t="shared" si="42"/>
        <v>#N/A</v>
      </c>
      <c r="AB131" s="1" t="e">
        <f t="shared" si="43"/>
        <v>#N/A</v>
      </c>
      <c r="AC131" s="1">
        <f t="shared" si="51"/>
        <v>0.81875288672745228</v>
      </c>
      <c r="AD131" s="1">
        <f t="shared" si="52"/>
        <v>0.84989318437874317</v>
      </c>
      <c r="AE131" s="1">
        <f t="shared" si="44"/>
        <v>59.51856678500809</v>
      </c>
      <c r="AF131" s="1" t="str">
        <f t="shared" si="45"/>
        <v/>
      </c>
      <c r="AG131" s="1">
        <f t="shared" si="46"/>
        <v>6.1079261227384603</v>
      </c>
      <c r="AI131" s="1">
        <f t="shared" si="47"/>
        <v>12.215852245476924</v>
      </c>
      <c r="AJ131" s="1">
        <f t="shared" si="53"/>
        <v>3.7</v>
      </c>
      <c r="AK131" s="1" t="e">
        <f t="shared" si="48"/>
        <v>#N/A</v>
      </c>
      <c r="AL131" s="1" t="e">
        <f t="shared" si="49"/>
        <v>#N/A</v>
      </c>
      <c r="AM131" s="1" t="e">
        <f t="shared" si="50"/>
        <v>#N/A</v>
      </c>
    </row>
    <row r="132" spans="24:39" ht="11.25" customHeight="1" x14ac:dyDescent="0.2">
      <c r="X132" s="1">
        <v>70</v>
      </c>
      <c r="Y132" s="1">
        <f t="shared" si="40"/>
        <v>41.632625210733323</v>
      </c>
      <c r="Z132" s="1">
        <f t="shared" si="41"/>
        <v>55.0689451151285</v>
      </c>
      <c r="AA132" s="1" t="e">
        <f t="shared" si="42"/>
        <v>#N/A</v>
      </c>
      <c r="AB132" s="1" t="e">
        <f t="shared" si="43"/>
        <v>#N/A</v>
      </c>
      <c r="AC132" s="1">
        <f t="shared" si="51"/>
        <v>0.51106205023825169</v>
      </c>
      <c r="AD132" s="1">
        <f t="shared" si="52"/>
        <v>0.89239882864058018</v>
      </c>
      <c r="AE132" s="1">
        <f t="shared" si="44"/>
        <v>48.350785162930912</v>
      </c>
      <c r="AF132" s="1" t="str">
        <f t="shared" si="45"/>
        <v/>
      </c>
      <c r="AG132" s="1">
        <f t="shared" si="46"/>
        <v>6.7181599521975857</v>
      </c>
      <c r="AI132" s="1">
        <f t="shared" si="47"/>
        <v>13.436319904395177</v>
      </c>
      <c r="AJ132" s="1">
        <f t="shared" si="53"/>
        <v>3.7</v>
      </c>
      <c r="AK132" s="1" t="e">
        <f t="shared" si="48"/>
        <v>#N/A</v>
      </c>
      <c r="AL132" s="1" t="e">
        <f t="shared" si="49"/>
        <v>#N/A</v>
      </c>
      <c r="AM132" s="1" t="e">
        <f t="shared" si="50"/>
        <v>#N/A</v>
      </c>
    </row>
    <row r="133" spans="24:39" ht="11.25" customHeight="1" x14ac:dyDescent="0.2">
      <c r="X133" s="1">
        <v>71</v>
      </c>
      <c r="Y133" s="1">
        <f t="shared" si="40"/>
        <v>28.04007594649109</v>
      </c>
      <c r="Z133" s="1">
        <f t="shared" si="41"/>
        <v>41.322958488393709</v>
      </c>
      <c r="AA133" s="1" t="e">
        <f t="shared" si="42"/>
        <v>#N/A</v>
      </c>
      <c r="AB133" s="1" t="e">
        <f t="shared" si="43"/>
        <v>#N/A</v>
      </c>
      <c r="AC133" s="1">
        <f t="shared" si="51"/>
        <v>0.14618916995823383</v>
      </c>
      <c r="AD133" s="1">
        <f t="shared" si="52"/>
        <v>0.88759057410061359</v>
      </c>
      <c r="AE133" s="1">
        <f t="shared" si="44"/>
        <v>34.681517217442398</v>
      </c>
      <c r="AF133" s="1" t="str">
        <f t="shared" si="45"/>
        <v/>
      </c>
      <c r="AG133" s="1">
        <f t="shared" si="46"/>
        <v>6.641441270951308</v>
      </c>
      <c r="AI133" s="1">
        <f t="shared" si="47"/>
        <v>13.28288254190262</v>
      </c>
      <c r="AJ133" s="1">
        <f t="shared" si="53"/>
        <v>3.7</v>
      </c>
      <c r="AK133" s="1" t="e">
        <f t="shared" si="48"/>
        <v>#N/A</v>
      </c>
      <c r="AL133" s="1" t="e">
        <f t="shared" si="49"/>
        <v>#N/A</v>
      </c>
      <c r="AM133" s="1" t="e">
        <f t="shared" si="50"/>
        <v>#N/A</v>
      </c>
    </row>
    <row r="134" spans="24:39" ht="11.25" customHeight="1" x14ac:dyDescent="0.2">
      <c r="X134" s="1">
        <v>72</v>
      </c>
      <c r="Y134" s="1">
        <f t="shared" si="40"/>
        <v>49.957320929151237</v>
      </c>
      <c r="Z134" s="1">
        <f t="shared" si="41"/>
        <v>52.454630788415898</v>
      </c>
      <c r="AA134" s="1" t="e">
        <f t="shared" si="42"/>
        <v>#N/A</v>
      </c>
      <c r="AB134" s="1" t="e">
        <f t="shared" si="43"/>
        <v>#N/A</v>
      </c>
      <c r="AC134" s="1">
        <f t="shared" si="51"/>
        <v>0.60004154779016972</v>
      </c>
      <c r="AD134" s="1">
        <f t="shared" si="52"/>
        <v>0.27968359924852848</v>
      </c>
      <c r="AE134" s="1">
        <f t="shared" si="44"/>
        <v>51.205975858783567</v>
      </c>
      <c r="AF134" s="1" t="str">
        <f t="shared" si="45"/>
        <v/>
      </c>
      <c r="AG134" s="1">
        <f t="shared" si="46"/>
        <v>1.248654929632329</v>
      </c>
      <c r="AI134" s="1">
        <f t="shared" si="47"/>
        <v>2.4973098592646608</v>
      </c>
      <c r="AJ134" s="1">
        <f t="shared" si="53"/>
        <v>3.7</v>
      </c>
      <c r="AK134" s="1" t="e">
        <f t="shared" si="48"/>
        <v>#N/A</v>
      </c>
      <c r="AL134" s="1" t="e">
        <f t="shared" si="49"/>
        <v>#N/A</v>
      </c>
      <c r="AM134" s="1" t="e">
        <f t="shared" si="50"/>
        <v>#N/A</v>
      </c>
    </row>
    <row r="135" spans="24:39" ht="11.25" customHeight="1" x14ac:dyDescent="0.2">
      <c r="X135" s="1">
        <v>73</v>
      </c>
      <c r="Y135" s="1">
        <f t="shared" si="40"/>
        <v>36.586308563125094</v>
      </c>
      <c r="Z135" s="1">
        <f t="shared" si="41"/>
        <v>44.551577478237554</v>
      </c>
      <c r="AA135" s="1" t="e">
        <f t="shared" si="42"/>
        <v>#N/A</v>
      </c>
      <c r="AB135" s="1" t="e">
        <f t="shared" si="43"/>
        <v>#N/A</v>
      </c>
      <c r="AC135" s="1">
        <f t="shared" si="51"/>
        <v>0.27844181843101978</v>
      </c>
      <c r="AD135" s="1">
        <f t="shared" si="52"/>
        <v>0.6283720750361681</v>
      </c>
      <c r="AE135" s="1">
        <f t="shared" si="44"/>
        <v>40.568943020681324</v>
      </c>
      <c r="AF135" s="1" t="str">
        <f t="shared" si="45"/>
        <v/>
      </c>
      <c r="AG135" s="1">
        <f t="shared" si="46"/>
        <v>3.9826344575562329</v>
      </c>
      <c r="AI135" s="1">
        <f t="shared" si="47"/>
        <v>7.9652689151124605</v>
      </c>
      <c r="AJ135" s="1">
        <f t="shared" si="53"/>
        <v>3.7</v>
      </c>
      <c r="AK135" s="1" t="e">
        <f t="shared" si="48"/>
        <v>#N/A</v>
      </c>
      <c r="AL135" s="1" t="e">
        <f t="shared" si="49"/>
        <v>#N/A</v>
      </c>
      <c r="AM135" s="1" t="e">
        <f t="shared" si="50"/>
        <v>#N/A</v>
      </c>
    </row>
    <row r="136" spans="24:39" ht="11.25" customHeight="1" x14ac:dyDescent="0.2">
      <c r="X136" s="1">
        <v>74</v>
      </c>
      <c r="Y136" s="1">
        <f t="shared" si="40"/>
        <v>51.630945578978967</v>
      </c>
      <c r="Z136" s="1">
        <f t="shared" si="41"/>
        <v>66.029155327078982</v>
      </c>
      <c r="AA136" s="1" t="e">
        <f t="shared" si="42"/>
        <v>#N/A</v>
      </c>
      <c r="AB136" s="1" t="e">
        <f t="shared" si="43"/>
        <v>#N/A</v>
      </c>
      <c r="AC136" s="1">
        <f t="shared" si="51"/>
        <v>0.80405383743345737</v>
      </c>
      <c r="AD136" s="1">
        <f t="shared" si="52"/>
        <v>0.91919865645468235</v>
      </c>
      <c r="AE136" s="1">
        <f t="shared" si="44"/>
        <v>58.830050453028974</v>
      </c>
      <c r="AF136" s="1" t="str">
        <f t="shared" si="45"/>
        <v/>
      </c>
      <c r="AG136" s="1">
        <f t="shared" si="46"/>
        <v>7.1991048740500112</v>
      </c>
      <c r="AI136" s="1">
        <f t="shared" si="47"/>
        <v>14.398209748100015</v>
      </c>
      <c r="AJ136" s="1">
        <f t="shared" si="53"/>
        <v>3.7</v>
      </c>
      <c r="AK136" s="1" t="e">
        <f t="shared" si="48"/>
        <v>#N/A</v>
      </c>
      <c r="AL136" s="1" t="e">
        <f t="shared" si="49"/>
        <v>#N/A</v>
      </c>
      <c r="AM136" s="1" t="e">
        <f t="shared" si="50"/>
        <v>#N/A</v>
      </c>
    </row>
    <row r="137" spans="24:39" ht="11.25" customHeight="1" x14ac:dyDescent="0.2">
      <c r="X137" s="1">
        <v>75</v>
      </c>
      <c r="Y137" s="1">
        <f t="shared" si="40"/>
        <v>56.815652625420014</v>
      </c>
      <c r="Z137" s="1">
        <f t="shared" si="41"/>
        <v>63.028199351671404</v>
      </c>
      <c r="AA137" s="1" t="e">
        <f t="shared" si="42"/>
        <v>#N/A</v>
      </c>
      <c r="AB137" s="1" t="e">
        <f t="shared" si="43"/>
        <v>#N/A</v>
      </c>
      <c r="AC137" s="1">
        <f t="shared" si="51"/>
        <v>0.82703446038067341</v>
      </c>
      <c r="AD137" s="1">
        <f t="shared" si="52"/>
        <v>0.51412935741245747</v>
      </c>
      <c r="AE137" s="1">
        <f t="shared" si="44"/>
        <v>59.921925988545709</v>
      </c>
      <c r="AF137" s="1" t="str">
        <f t="shared" si="45"/>
        <v/>
      </c>
      <c r="AG137" s="1">
        <f t="shared" si="46"/>
        <v>3.1062733631256934</v>
      </c>
      <c r="AI137" s="1">
        <f t="shared" si="47"/>
        <v>6.2125467262513894</v>
      </c>
      <c r="AJ137" s="1">
        <f t="shared" si="53"/>
        <v>3.7</v>
      </c>
      <c r="AK137" s="1" t="e">
        <f t="shared" si="48"/>
        <v>#N/A</v>
      </c>
      <c r="AL137" s="1" t="e">
        <f t="shared" si="49"/>
        <v>#N/A</v>
      </c>
      <c r="AM137" s="1" t="e">
        <f t="shared" si="50"/>
        <v>#N/A</v>
      </c>
    </row>
    <row r="138" spans="24:39" ht="11.25" customHeight="1" x14ac:dyDescent="0.2">
      <c r="X138" s="1">
        <v>76</v>
      </c>
      <c r="Y138" s="1">
        <f t="shared" si="40"/>
        <v>42.255375039121894</v>
      </c>
      <c r="Z138" s="1">
        <f t="shared" si="41"/>
        <v>44.354633959283198</v>
      </c>
      <c r="AA138" s="1" t="e">
        <f t="shared" si="42"/>
        <v>#N/A</v>
      </c>
      <c r="AB138" s="1" t="e">
        <f t="shared" si="43"/>
        <v>#N/A</v>
      </c>
      <c r="AC138" s="1">
        <f t="shared" si="51"/>
        <v>0.35525471903383732</v>
      </c>
      <c r="AD138" s="1">
        <f t="shared" si="52"/>
        <v>0.25780622102320194</v>
      </c>
      <c r="AE138" s="1">
        <f t="shared" si="44"/>
        <v>43.305004499202546</v>
      </c>
      <c r="AF138" s="1" t="str">
        <f t="shared" si="45"/>
        <v/>
      </c>
      <c r="AG138" s="1">
        <f t="shared" si="46"/>
        <v>1.0496294600806517</v>
      </c>
      <c r="AI138" s="1">
        <f t="shared" si="47"/>
        <v>2.0992589201613043</v>
      </c>
      <c r="AJ138" s="1">
        <f t="shared" si="53"/>
        <v>3.7</v>
      </c>
      <c r="AK138" s="1" t="e">
        <f t="shared" si="48"/>
        <v>#N/A</v>
      </c>
      <c r="AL138" s="1" t="e">
        <f t="shared" si="49"/>
        <v>#N/A</v>
      </c>
      <c r="AM138" s="1" t="e">
        <f t="shared" si="50"/>
        <v>#N/A</v>
      </c>
    </row>
    <row r="139" spans="24:39" ht="11.25" customHeight="1" x14ac:dyDescent="0.2">
      <c r="X139" s="1">
        <v>77</v>
      </c>
      <c r="Y139" s="1">
        <f t="shared" si="40"/>
        <v>55.575863459835752</v>
      </c>
      <c r="Z139" s="1">
        <f t="shared" si="41"/>
        <v>62.507744145874092</v>
      </c>
      <c r="AA139" s="1" t="e">
        <f t="shared" si="42"/>
        <v>#N/A</v>
      </c>
      <c r="AB139" s="1" t="e">
        <f t="shared" si="43"/>
        <v>#N/A</v>
      </c>
      <c r="AC139" s="1">
        <f t="shared" si="51"/>
        <v>0.80864972062408924</v>
      </c>
      <c r="AD139" s="1">
        <f t="shared" si="52"/>
        <v>0.56171289272606373</v>
      </c>
      <c r="AE139" s="1">
        <f t="shared" si="44"/>
        <v>59.041803802854922</v>
      </c>
      <c r="AF139" s="1" t="str">
        <f t="shared" si="45"/>
        <v/>
      </c>
      <c r="AG139" s="1">
        <f t="shared" si="46"/>
        <v>3.4659403430191675</v>
      </c>
      <c r="AI139" s="1">
        <f t="shared" si="47"/>
        <v>6.9318806860383404</v>
      </c>
      <c r="AJ139" s="1">
        <f t="shared" si="53"/>
        <v>3.7</v>
      </c>
      <c r="AK139" s="1" t="e">
        <f t="shared" si="48"/>
        <v>#N/A</v>
      </c>
      <c r="AL139" s="1" t="e">
        <f t="shared" si="49"/>
        <v>#N/A</v>
      </c>
      <c r="AM139" s="1" t="e">
        <f t="shared" si="50"/>
        <v>#N/A</v>
      </c>
    </row>
    <row r="140" spans="24:39" ht="11.25" customHeight="1" x14ac:dyDescent="0.2">
      <c r="X140" s="1">
        <v>78</v>
      </c>
      <c r="Y140" s="1">
        <f t="shared" si="40"/>
        <v>54.544358592511266</v>
      </c>
      <c r="Z140" s="1">
        <f t="shared" si="41"/>
        <v>56.101950349342438</v>
      </c>
      <c r="AA140" s="1" t="e">
        <f t="shared" si="42"/>
        <v>#N/A</v>
      </c>
      <c r="AB140" s="1" t="e">
        <f t="shared" si="43"/>
        <v>#N/A</v>
      </c>
      <c r="AC140" s="1">
        <f t="shared" si="51"/>
        <v>0.71868726052343845</v>
      </c>
      <c r="AD140" s="1">
        <f t="shared" si="52"/>
        <v>0.22952824272215366</v>
      </c>
      <c r="AE140" s="1">
        <f t="shared" si="44"/>
        <v>55.323154470926852</v>
      </c>
      <c r="AF140" s="1" t="str">
        <f t="shared" si="45"/>
        <v/>
      </c>
      <c r="AG140" s="1">
        <f t="shared" si="46"/>
        <v>0.77879587841558617</v>
      </c>
      <c r="AI140" s="1">
        <f t="shared" si="47"/>
        <v>1.5575917568311723</v>
      </c>
      <c r="AJ140" s="1">
        <f t="shared" si="53"/>
        <v>3.7</v>
      </c>
      <c r="AK140" s="1" t="e">
        <f t="shared" si="48"/>
        <v>#N/A</v>
      </c>
      <c r="AL140" s="1" t="e">
        <f t="shared" si="49"/>
        <v>#N/A</v>
      </c>
      <c r="AM140" s="1" t="e">
        <f t="shared" si="50"/>
        <v>#N/A</v>
      </c>
    </row>
    <row r="141" spans="24:39" ht="11.25" customHeight="1" x14ac:dyDescent="0.2">
      <c r="X141" s="1">
        <v>79</v>
      </c>
      <c r="Y141" s="1">
        <f t="shared" si="40"/>
        <v>66.258785731238234</v>
      </c>
      <c r="Z141" s="1">
        <f t="shared" si="41"/>
        <v>70.910313641191394</v>
      </c>
      <c r="AA141" s="1" t="e">
        <f t="shared" si="42"/>
        <v>#N/A</v>
      </c>
      <c r="AB141" s="1" t="e">
        <f t="shared" si="43"/>
        <v>#N/A</v>
      </c>
      <c r="AC141" s="1">
        <f t="shared" si="51"/>
        <v>0.94816877134144306</v>
      </c>
      <c r="AD141" s="1">
        <f t="shared" si="52"/>
        <v>0.41108869202435017</v>
      </c>
      <c r="AE141" s="1">
        <f t="shared" si="44"/>
        <v>68.584549686214814</v>
      </c>
      <c r="AF141" s="1" t="str">
        <f t="shared" si="45"/>
        <v/>
      </c>
      <c r="AG141" s="1">
        <f t="shared" si="46"/>
        <v>2.3257639549765825</v>
      </c>
      <c r="AI141" s="1">
        <f t="shared" si="47"/>
        <v>4.6515279099531597</v>
      </c>
      <c r="AJ141" s="1">
        <f t="shared" si="53"/>
        <v>3.7</v>
      </c>
      <c r="AK141" s="1" t="e">
        <f t="shared" si="48"/>
        <v>#N/A</v>
      </c>
      <c r="AL141" s="1" t="e">
        <f t="shared" si="49"/>
        <v>#N/A</v>
      </c>
      <c r="AM141" s="1" t="e">
        <f t="shared" si="50"/>
        <v>#N/A</v>
      </c>
    </row>
    <row r="142" spans="24:39" ht="11.25" customHeight="1" x14ac:dyDescent="0.2">
      <c r="X142" s="1">
        <v>80</v>
      </c>
      <c r="Y142" s="1">
        <f t="shared" si="40"/>
        <v>24.687224051570464</v>
      </c>
      <c r="Z142" s="1">
        <f t="shared" si="41"/>
        <v>26.908126501701549</v>
      </c>
      <c r="AA142" s="1" t="e">
        <f t="shared" si="42"/>
        <v>#N/A</v>
      </c>
      <c r="AB142" s="1" t="e">
        <f t="shared" si="43"/>
        <v>#N/A</v>
      </c>
      <c r="AC142" s="1">
        <f t="shared" si="51"/>
        <v>3.9608458057045937E-2</v>
      </c>
      <c r="AD142" s="1">
        <f t="shared" si="52"/>
        <v>0.26439649797976017</v>
      </c>
      <c r="AE142" s="1">
        <f t="shared" si="44"/>
        <v>25.797675276636006</v>
      </c>
      <c r="AF142" s="1" t="str">
        <f t="shared" si="45"/>
        <v/>
      </c>
      <c r="AG142" s="1">
        <f t="shared" si="46"/>
        <v>1.1104512250655421</v>
      </c>
      <c r="AI142" s="1">
        <f t="shared" si="47"/>
        <v>2.220902450131085</v>
      </c>
      <c r="AJ142" s="1">
        <f t="shared" si="53"/>
        <v>3.7</v>
      </c>
      <c r="AK142" s="1" t="e">
        <f t="shared" si="48"/>
        <v>#N/A</v>
      </c>
      <c r="AL142" s="1" t="e">
        <f t="shared" si="49"/>
        <v>#N/A</v>
      </c>
      <c r="AM142" s="1" t="e">
        <f t="shared" si="50"/>
        <v>#N/A</v>
      </c>
    </row>
    <row r="143" spans="24:39" ht="11.25" customHeight="1" x14ac:dyDescent="0.2">
      <c r="X143" s="1">
        <v>81</v>
      </c>
      <c r="Y143" s="1">
        <f t="shared" si="40"/>
        <v>29.087317652371254</v>
      </c>
      <c r="Z143" s="1">
        <f t="shared" si="41"/>
        <v>33.82913552738087</v>
      </c>
      <c r="AA143" s="1" t="e">
        <f t="shared" si="42"/>
        <v>#N/A</v>
      </c>
      <c r="AB143" s="1" t="e">
        <f t="shared" si="43"/>
        <v>#N/A</v>
      </c>
      <c r="AC143" s="1">
        <f t="shared" si="51"/>
        <v>9.5480414107441902E-2</v>
      </c>
      <c r="AD143" s="1">
        <f t="shared" si="52"/>
        <v>0.41695207543671131</v>
      </c>
      <c r="AE143" s="1">
        <f t="shared" si="44"/>
        <v>31.458226589876062</v>
      </c>
      <c r="AF143" s="1" t="str">
        <f t="shared" si="45"/>
        <v/>
      </c>
      <c r="AG143" s="1">
        <f t="shared" si="46"/>
        <v>2.3709089375048067</v>
      </c>
      <c r="AI143" s="1">
        <f t="shared" si="47"/>
        <v>4.741817875009616</v>
      </c>
      <c r="AJ143" s="1">
        <f t="shared" si="53"/>
        <v>3.7</v>
      </c>
      <c r="AK143" s="1" t="e">
        <f t="shared" si="48"/>
        <v>#N/A</v>
      </c>
      <c r="AL143" s="1" t="e">
        <f t="shared" si="49"/>
        <v>#N/A</v>
      </c>
      <c r="AM143" s="1" t="e">
        <f t="shared" si="50"/>
        <v>#N/A</v>
      </c>
    </row>
    <row r="144" spans="24:39" ht="11.25" customHeight="1" x14ac:dyDescent="0.2">
      <c r="X144" s="1">
        <v>82</v>
      </c>
      <c r="Y144" s="1">
        <f t="shared" si="40"/>
        <v>44.019682411635785</v>
      </c>
      <c r="Z144" s="1">
        <f t="shared" si="41"/>
        <v>44.406187403761294</v>
      </c>
      <c r="AA144" s="1" t="e">
        <f t="shared" si="42"/>
        <v>#N/A</v>
      </c>
      <c r="AB144" s="1" t="e">
        <f t="shared" si="43"/>
        <v>#N/A</v>
      </c>
      <c r="AC144" s="1">
        <f t="shared" si="51"/>
        <v>0.38231980241835117</v>
      </c>
      <c r="AD144" s="1">
        <f t="shared" si="52"/>
        <v>0.17474409379065037</v>
      </c>
      <c r="AE144" s="1">
        <f t="shared" si="44"/>
        <v>44.212934907698539</v>
      </c>
      <c r="AF144" s="1" t="str">
        <f t="shared" si="45"/>
        <v/>
      </c>
      <c r="AG144" s="1">
        <f t="shared" si="46"/>
        <v>0.19325249606275197</v>
      </c>
      <c r="AI144" s="1">
        <f t="shared" si="47"/>
        <v>0.38650499212550926</v>
      </c>
      <c r="AJ144" s="1">
        <f t="shared" si="53"/>
        <v>3.7</v>
      </c>
      <c r="AK144" s="1" t="e">
        <f t="shared" si="48"/>
        <v>#N/A</v>
      </c>
      <c r="AL144" s="1" t="e">
        <f t="shared" si="49"/>
        <v>#N/A</v>
      </c>
      <c r="AM144" s="1" t="e">
        <f t="shared" si="50"/>
        <v>#N/A</v>
      </c>
    </row>
    <row r="145" spans="24:39" ht="11.25" customHeight="1" x14ac:dyDescent="0.2">
      <c r="X145" s="1">
        <v>83</v>
      </c>
      <c r="Y145" s="1">
        <f t="shared" si="40"/>
        <v>79.460303880437863</v>
      </c>
      <c r="Z145" s="1">
        <f t="shared" si="41"/>
        <v>80.61302158979791</v>
      </c>
      <c r="AA145" s="1" t="e">
        <f t="shared" si="42"/>
        <v>#N/A</v>
      </c>
      <c r="AB145" s="1" t="e">
        <f t="shared" si="43"/>
        <v>#N/A</v>
      </c>
      <c r="AC145" s="1">
        <f t="shared" si="51"/>
        <v>0.99434094317257404</v>
      </c>
      <c r="AD145" s="1">
        <f t="shared" si="52"/>
        <v>0.20957972295582294</v>
      </c>
      <c r="AE145" s="1">
        <f t="shared" si="44"/>
        <v>80.036662735117886</v>
      </c>
      <c r="AF145" s="1" t="str">
        <f t="shared" si="45"/>
        <v/>
      </c>
      <c r="AG145" s="1">
        <f t="shared" si="46"/>
        <v>0.57635885468002535</v>
      </c>
      <c r="AI145" s="1">
        <f t="shared" si="47"/>
        <v>1.1527177093600471</v>
      </c>
      <c r="AJ145" s="1">
        <f t="shared" si="53"/>
        <v>3.7</v>
      </c>
      <c r="AK145" s="1" t="e">
        <f t="shared" si="48"/>
        <v>#N/A</v>
      </c>
      <c r="AL145" s="1" t="e">
        <f t="shared" si="49"/>
        <v>#N/A</v>
      </c>
      <c r="AM145" s="1" t="e">
        <f t="shared" si="50"/>
        <v>#N/A</v>
      </c>
    </row>
    <row r="146" spans="24:39" ht="11.25" customHeight="1" x14ac:dyDescent="0.2">
      <c r="X146" s="1">
        <v>84</v>
      </c>
      <c r="Y146" s="1">
        <f t="shared" si="40"/>
        <v>35.345713639886618</v>
      </c>
      <c r="Z146" s="1">
        <f t="shared" si="41"/>
        <v>51.461248120714991</v>
      </c>
      <c r="AA146" s="1" t="e">
        <f t="shared" si="42"/>
        <v>#N/A</v>
      </c>
      <c r="AB146" s="1" t="e">
        <f t="shared" si="43"/>
        <v>#N/A</v>
      </c>
      <c r="AC146" s="1">
        <f t="shared" si="51"/>
        <v>0.35815800167620182</v>
      </c>
      <c r="AD146" s="1">
        <f t="shared" si="52"/>
        <v>0.95409462787210941</v>
      </c>
      <c r="AE146" s="1">
        <f t="shared" si="44"/>
        <v>43.403480880300805</v>
      </c>
      <c r="AF146" s="1" t="str">
        <f t="shared" si="45"/>
        <v/>
      </c>
      <c r="AG146" s="1">
        <f t="shared" si="46"/>
        <v>8.0577672404141847</v>
      </c>
      <c r="AI146" s="1">
        <f t="shared" si="47"/>
        <v>16.115534480828373</v>
      </c>
      <c r="AJ146" s="1">
        <f t="shared" si="53"/>
        <v>3.7</v>
      </c>
      <c r="AK146" s="1" t="e">
        <f t="shared" si="48"/>
        <v>#N/A</v>
      </c>
      <c r="AL146" s="1" t="e">
        <f t="shared" si="49"/>
        <v>#N/A</v>
      </c>
      <c r="AM146" s="1" t="e">
        <f t="shared" si="50"/>
        <v>#N/A</v>
      </c>
    </row>
    <row r="147" spans="24:39" ht="11.25" customHeight="1" x14ac:dyDescent="0.2">
      <c r="X147" s="1">
        <v>85</v>
      </c>
      <c r="Y147" s="1">
        <f t="shared" si="40"/>
        <v>49.243551905880643</v>
      </c>
      <c r="Z147" s="1">
        <f t="shared" si="41"/>
        <v>58.082524907913644</v>
      </c>
      <c r="AA147" s="1" t="e">
        <f t="shared" si="42"/>
        <v>#N/A</v>
      </c>
      <c r="AB147" s="1" t="e">
        <f t="shared" si="43"/>
        <v>#N/A</v>
      </c>
      <c r="AC147" s="1">
        <f t="shared" si="51"/>
        <v>0.67281603999435902</v>
      </c>
      <c r="AD147" s="1">
        <f t="shared" si="52"/>
        <v>0.6819512564688921</v>
      </c>
      <c r="AE147" s="1">
        <f t="shared" si="44"/>
        <v>53.663038406897144</v>
      </c>
      <c r="AF147" s="1" t="str">
        <f t="shared" si="45"/>
        <v/>
      </c>
      <c r="AG147" s="1">
        <f t="shared" si="46"/>
        <v>4.419486501016503</v>
      </c>
      <c r="AI147" s="1">
        <f t="shared" si="47"/>
        <v>8.8389730020330006</v>
      </c>
      <c r="AJ147" s="1">
        <f t="shared" si="53"/>
        <v>3.7</v>
      </c>
      <c r="AK147" s="1" t="e">
        <f t="shared" si="48"/>
        <v>#N/A</v>
      </c>
      <c r="AL147" s="1" t="e">
        <f t="shared" si="49"/>
        <v>#N/A</v>
      </c>
      <c r="AM147" s="1" t="e">
        <f t="shared" si="50"/>
        <v>#N/A</v>
      </c>
    </row>
    <row r="148" spans="24:39" ht="11.25" customHeight="1" x14ac:dyDescent="0.2">
      <c r="X148" s="1">
        <v>86</v>
      </c>
      <c r="Y148" s="1">
        <f t="shared" si="40"/>
        <v>32.230232932621362</v>
      </c>
      <c r="Z148" s="1">
        <f t="shared" si="41"/>
        <v>37.172831983719391</v>
      </c>
      <c r="AA148" s="1" t="e">
        <f t="shared" si="42"/>
        <v>#N/A</v>
      </c>
      <c r="AB148" s="1" t="e">
        <f t="shared" si="43"/>
        <v>#N/A</v>
      </c>
      <c r="AC148" s="1">
        <f t="shared" si="51"/>
        <v>0.14655211009085178</v>
      </c>
      <c r="AD148" s="1">
        <f t="shared" si="52"/>
        <v>0.43005525507032871</v>
      </c>
      <c r="AE148" s="1">
        <f t="shared" si="44"/>
        <v>34.701532458170377</v>
      </c>
      <c r="AF148" s="1" t="str">
        <f t="shared" si="45"/>
        <v/>
      </c>
      <c r="AG148" s="1">
        <f t="shared" si="46"/>
        <v>2.4712995255490173</v>
      </c>
      <c r="AI148" s="1">
        <f t="shared" si="47"/>
        <v>4.9425990510980284</v>
      </c>
      <c r="AJ148" s="1">
        <f t="shared" si="53"/>
        <v>3.7</v>
      </c>
      <c r="AK148" s="1" t="e">
        <f t="shared" si="48"/>
        <v>#N/A</v>
      </c>
      <c r="AL148" s="1" t="e">
        <f t="shared" si="49"/>
        <v>#N/A</v>
      </c>
      <c r="AM148" s="1" t="e">
        <f t="shared" si="50"/>
        <v>#N/A</v>
      </c>
    </row>
    <row r="149" spans="24:39" ht="11.25" customHeight="1" x14ac:dyDescent="0.2">
      <c r="X149" s="1">
        <v>87</v>
      </c>
      <c r="Y149" s="1">
        <f t="shared" si="40"/>
        <v>16.509009645023294</v>
      </c>
      <c r="Z149" s="1">
        <f t="shared" si="41"/>
        <v>16.0652844014155</v>
      </c>
      <c r="AA149" s="1" t="e">
        <f t="shared" si="42"/>
        <v>#N/A</v>
      </c>
      <c r="AB149" s="1" t="e">
        <f t="shared" si="43"/>
        <v>#N/A</v>
      </c>
      <c r="AC149" s="1">
        <f t="shared" si="51"/>
        <v>6.0859490185976028E-3</v>
      </c>
      <c r="AD149" s="1">
        <f t="shared" si="52"/>
        <v>0.14142160303890705</v>
      </c>
      <c r="AE149" s="1">
        <f t="shared" si="44"/>
        <v>16.287147023219397</v>
      </c>
      <c r="AF149" s="1" t="str">
        <f t="shared" si="45"/>
        <v/>
      </c>
      <c r="AG149" s="1">
        <f t="shared" si="46"/>
        <v>-0.2218626218038966</v>
      </c>
      <c r="AI149" s="1">
        <f t="shared" si="47"/>
        <v>-0.44372524360779408</v>
      </c>
      <c r="AJ149" s="1">
        <f t="shared" si="53"/>
        <v>3.7</v>
      </c>
      <c r="AK149" s="1" t="e">
        <f t="shared" si="48"/>
        <v>#N/A</v>
      </c>
      <c r="AL149" s="1" t="e">
        <f t="shared" si="49"/>
        <v>#N/A</v>
      </c>
      <c r="AM149" s="1" t="e">
        <f t="shared" si="50"/>
        <v>#N/A</v>
      </c>
    </row>
    <row r="150" spans="24:39" ht="11.25" customHeight="1" x14ac:dyDescent="0.2">
      <c r="X150" s="1">
        <v>88</v>
      </c>
      <c r="Y150" s="1">
        <f t="shared" si="40"/>
        <v>43.845348866411122</v>
      </c>
      <c r="Z150" s="1">
        <f t="shared" si="41"/>
        <v>56.571739084668629</v>
      </c>
      <c r="AA150" s="1" t="e">
        <f t="shared" si="42"/>
        <v>#N/A</v>
      </c>
      <c r="AB150" s="1" t="e">
        <f t="shared" si="43"/>
        <v>#N/A</v>
      </c>
      <c r="AC150" s="1">
        <f t="shared" si="51"/>
        <v>0.56930331327021122</v>
      </c>
      <c r="AD150" s="1">
        <f t="shared" si="52"/>
        <v>0.86886991001665592</v>
      </c>
      <c r="AE150" s="1">
        <f t="shared" si="44"/>
        <v>50.208543975539875</v>
      </c>
      <c r="AF150" s="1" t="str">
        <f t="shared" si="45"/>
        <v/>
      </c>
      <c r="AG150" s="1">
        <f t="shared" si="46"/>
        <v>6.363195109128756</v>
      </c>
      <c r="AI150" s="1">
        <f t="shared" si="47"/>
        <v>12.726390218257507</v>
      </c>
      <c r="AJ150" s="1">
        <f t="shared" si="53"/>
        <v>3.7</v>
      </c>
      <c r="AK150" s="1" t="e">
        <f t="shared" si="48"/>
        <v>#N/A</v>
      </c>
      <c r="AL150" s="1" t="e">
        <f t="shared" si="49"/>
        <v>#N/A</v>
      </c>
      <c r="AM150" s="1" t="e">
        <f t="shared" si="50"/>
        <v>#N/A</v>
      </c>
    </row>
    <row r="151" spans="24:39" ht="11.25" customHeight="1" x14ac:dyDescent="0.2">
      <c r="X151" s="1">
        <v>89</v>
      </c>
      <c r="Y151" s="1">
        <f t="shared" si="40"/>
        <v>46.8632713043867</v>
      </c>
      <c r="Z151" s="1">
        <f t="shared" si="41"/>
        <v>51.272814240798581</v>
      </c>
      <c r="AA151" s="1" t="e">
        <f t="shared" si="42"/>
        <v>#N/A</v>
      </c>
      <c r="AB151" s="1" t="e">
        <f t="shared" si="43"/>
        <v>#N/A</v>
      </c>
      <c r="AC151" s="1">
        <f t="shared" si="51"/>
        <v>0.53364518471062183</v>
      </c>
      <c r="AD151" s="1">
        <f t="shared" si="52"/>
        <v>0.39547538943588734</v>
      </c>
      <c r="AE151" s="1">
        <f t="shared" si="44"/>
        <v>49.068042772592641</v>
      </c>
      <c r="AF151" s="1" t="str">
        <f t="shared" si="45"/>
        <v/>
      </c>
      <c r="AG151" s="1">
        <f t="shared" si="46"/>
        <v>2.2047714682059416</v>
      </c>
      <c r="AI151" s="1">
        <f t="shared" si="47"/>
        <v>4.4095429364118814</v>
      </c>
      <c r="AJ151" s="1">
        <f t="shared" si="53"/>
        <v>3.7</v>
      </c>
      <c r="AK151" s="1" t="e">
        <f t="shared" si="48"/>
        <v>#N/A</v>
      </c>
      <c r="AL151" s="1" t="e">
        <f t="shared" si="49"/>
        <v>#N/A</v>
      </c>
      <c r="AM151" s="1" t="e">
        <f t="shared" si="50"/>
        <v>#N/A</v>
      </c>
    </row>
    <row r="152" spans="24:39" ht="11.25" customHeight="1" x14ac:dyDescent="0.2">
      <c r="X152" s="1">
        <v>90</v>
      </c>
      <c r="Y152" s="1">
        <f t="shared" si="40"/>
        <v>60.375604793035997</v>
      </c>
      <c r="Z152" s="1">
        <f t="shared" si="41"/>
        <v>55.5457271052233</v>
      </c>
      <c r="AA152" s="1" t="e">
        <f t="shared" si="42"/>
        <v>#N/A</v>
      </c>
      <c r="AB152" s="1" t="e">
        <f t="shared" si="43"/>
        <v>#N/A</v>
      </c>
      <c r="AC152" s="1">
        <f t="shared" si="51"/>
        <v>0.78449361957609653</v>
      </c>
      <c r="AD152" s="1">
        <f t="shared" si="52"/>
        <v>3.5538936033844948E-2</v>
      </c>
      <c r="AE152" s="1">
        <f t="shared" si="44"/>
        <v>57.960665949129648</v>
      </c>
      <c r="AF152" s="1" t="str">
        <f t="shared" si="45"/>
        <v/>
      </c>
      <c r="AG152" s="1">
        <f t="shared" si="46"/>
        <v>-2.4149388439063495</v>
      </c>
      <c r="AI152" s="1">
        <f t="shared" si="47"/>
        <v>-4.8298776878126972</v>
      </c>
      <c r="AJ152" s="1">
        <f t="shared" si="53"/>
        <v>3.7</v>
      </c>
      <c r="AK152" s="1" t="e">
        <f t="shared" si="48"/>
        <v>#N/A</v>
      </c>
      <c r="AL152" s="1" t="e">
        <f t="shared" si="49"/>
        <v>#N/A</v>
      </c>
      <c r="AM152" s="1" t="e">
        <f t="shared" si="50"/>
        <v>#N/A</v>
      </c>
    </row>
    <row r="153" spans="24:39" ht="11.25" customHeight="1" x14ac:dyDescent="0.2">
      <c r="X153" s="1">
        <v>91</v>
      </c>
      <c r="Y153" s="1">
        <f t="shared" si="40"/>
        <v>38.831385219988128</v>
      </c>
      <c r="Z153" s="1">
        <f t="shared" si="41"/>
        <v>50.377408606445861</v>
      </c>
      <c r="AA153" s="1" t="e">
        <f t="shared" si="42"/>
        <v>#N/A</v>
      </c>
      <c r="AB153" s="1" t="e">
        <f t="shared" si="43"/>
        <v>#N/A</v>
      </c>
      <c r="AC153" s="1">
        <f t="shared" si="51"/>
        <v>0.39417801983654499</v>
      </c>
      <c r="AD153" s="1">
        <f t="shared" si="52"/>
        <v>0.82234461791813374</v>
      </c>
      <c r="AE153" s="1">
        <f t="shared" si="44"/>
        <v>44.604396913216995</v>
      </c>
      <c r="AF153" s="1" t="str">
        <f t="shared" si="45"/>
        <v/>
      </c>
      <c r="AG153" s="1">
        <f t="shared" si="46"/>
        <v>5.7730116932288684</v>
      </c>
      <c r="AI153" s="1">
        <f t="shared" si="47"/>
        <v>11.546023386457733</v>
      </c>
      <c r="AJ153" s="1">
        <f t="shared" si="53"/>
        <v>3.7</v>
      </c>
      <c r="AK153" s="1" t="e">
        <f t="shared" si="48"/>
        <v>#N/A</v>
      </c>
      <c r="AL153" s="1" t="e">
        <f t="shared" si="49"/>
        <v>#N/A</v>
      </c>
      <c r="AM153" s="1" t="e">
        <f t="shared" si="50"/>
        <v>#N/A</v>
      </c>
    </row>
    <row r="154" spans="24:39" ht="11.25" customHeight="1" x14ac:dyDescent="0.2">
      <c r="X154" s="1">
        <v>92</v>
      </c>
      <c r="Y154" s="1">
        <f t="shared" si="40"/>
        <v>35.804270191276451</v>
      </c>
      <c r="Z154" s="1">
        <f t="shared" si="41"/>
        <v>48.553021141696711</v>
      </c>
      <c r="AA154" s="1" t="e">
        <f t="shared" si="42"/>
        <v>#N/A</v>
      </c>
      <c r="AB154" s="1" t="e">
        <f t="shared" si="43"/>
        <v>#N/A</v>
      </c>
      <c r="AC154" s="1">
        <f t="shared" si="51"/>
        <v>0.32267970778048038</v>
      </c>
      <c r="AD154" s="1">
        <f t="shared" si="52"/>
        <v>0.86966137029230595</v>
      </c>
      <c r="AE154" s="1">
        <f t="shared" si="44"/>
        <v>42.178645666486581</v>
      </c>
      <c r="AF154" s="1" t="str">
        <f t="shared" si="45"/>
        <v/>
      </c>
      <c r="AG154" s="1">
        <f t="shared" si="46"/>
        <v>6.3743754752101287</v>
      </c>
      <c r="AI154" s="1">
        <f t="shared" si="47"/>
        <v>12.748750950420259</v>
      </c>
      <c r="AJ154" s="1">
        <f t="shared" si="53"/>
        <v>3.7</v>
      </c>
      <c r="AK154" s="1" t="e">
        <f t="shared" si="48"/>
        <v>#N/A</v>
      </c>
      <c r="AL154" s="1" t="e">
        <f t="shared" si="49"/>
        <v>#N/A</v>
      </c>
      <c r="AM154" s="1" t="e">
        <f t="shared" si="50"/>
        <v>#N/A</v>
      </c>
    </row>
    <row r="155" spans="24:39" ht="11.25" customHeight="1" x14ac:dyDescent="0.2">
      <c r="X155" s="1">
        <v>93</v>
      </c>
      <c r="Y155" s="1">
        <f t="shared" si="40"/>
        <v>44.506666511023305</v>
      </c>
      <c r="Z155" s="1">
        <f t="shared" si="41"/>
        <v>36.191831582593515</v>
      </c>
      <c r="AA155" s="1" t="e">
        <f t="shared" si="42"/>
        <v>#N/A</v>
      </c>
      <c r="AB155" s="1" t="e">
        <f t="shared" si="43"/>
        <v>#N/A</v>
      </c>
      <c r="AC155" s="1">
        <f t="shared" si="51"/>
        <v>0.2726410049945116</v>
      </c>
      <c r="AD155" s="1">
        <f t="shared" si="52"/>
        <v>8.5208732634782791E-3</v>
      </c>
      <c r="AE155" s="1">
        <f t="shared" si="44"/>
        <v>40.34924904680841</v>
      </c>
      <c r="AF155" s="1" t="str">
        <f t="shared" si="45"/>
        <v/>
      </c>
      <c r="AG155" s="1">
        <f t="shared" si="46"/>
        <v>-4.157417464214892</v>
      </c>
      <c r="AI155" s="1">
        <f t="shared" si="47"/>
        <v>-8.3148349284297893</v>
      </c>
      <c r="AJ155" s="1">
        <f t="shared" si="53"/>
        <v>3.7</v>
      </c>
      <c r="AK155" s="1" t="e">
        <f t="shared" si="48"/>
        <v>#N/A</v>
      </c>
      <c r="AL155" s="1" t="e">
        <f t="shared" si="49"/>
        <v>#N/A</v>
      </c>
      <c r="AM155" s="1" t="e">
        <f t="shared" si="50"/>
        <v>#N/A</v>
      </c>
    </row>
    <row r="156" spans="24:39" ht="11.25" customHeight="1" x14ac:dyDescent="0.2">
      <c r="X156" s="1">
        <v>94</v>
      </c>
      <c r="Y156" s="1">
        <f t="shared" si="40"/>
        <v>44.991955860773302</v>
      </c>
      <c r="Z156" s="1">
        <f t="shared" si="41"/>
        <v>57.043290466966724</v>
      </c>
      <c r="AA156" s="1" t="e">
        <f t="shared" si="42"/>
        <v>#N/A</v>
      </c>
      <c r="AB156" s="1" t="e">
        <f t="shared" si="43"/>
        <v>#N/A</v>
      </c>
      <c r="AC156" s="1">
        <f t="shared" si="51"/>
        <v>0.59427818097174168</v>
      </c>
      <c r="AD156" s="1">
        <f t="shared" si="52"/>
        <v>0.84340613521635532</v>
      </c>
      <c r="AE156" s="1">
        <f t="shared" si="44"/>
        <v>51.017623163870013</v>
      </c>
      <c r="AF156" s="1" t="str">
        <f t="shared" si="45"/>
        <v/>
      </c>
      <c r="AG156" s="1">
        <f t="shared" si="46"/>
        <v>6.0256673030967107</v>
      </c>
      <c r="AI156" s="1">
        <f t="shared" si="47"/>
        <v>12.051334606193421</v>
      </c>
      <c r="AJ156" s="1">
        <f t="shared" si="53"/>
        <v>3.7</v>
      </c>
      <c r="AK156" s="1" t="e">
        <f t="shared" si="48"/>
        <v>#N/A</v>
      </c>
      <c r="AL156" s="1" t="e">
        <f t="shared" si="49"/>
        <v>#N/A</v>
      </c>
      <c r="AM156" s="1" t="e">
        <f t="shared" si="50"/>
        <v>#N/A</v>
      </c>
    </row>
    <row r="157" spans="24:39" ht="11.25" customHeight="1" x14ac:dyDescent="0.2">
      <c r="X157" s="1">
        <v>95</v>
      </c>
      <c r="Y157" s="1">
        <f t="shared" si="40"/>
        <v>47.554786661597745</v>
      </c>
      <c r="Z157" s="1">
        <f t="shared" si="41"/>
        <v>50.688779491396701</v>
      </c>
      <c r="AA157" s="1" t="e">
        <f t="shared" si="42"/>
        <v>#N/A</v>
      </c>
      <c r="AB157" s="1" t="e">
        <f t="shared" si="43"/>
        <v>#N/A</v>
      </c>
      <c r="AC157" s="1">
        <f t="shared" si="51"/>
        <v>0.53533376939594746</v>
      </c>
      <c r="AD157" s="1">
        <f t="shared" si="52"/>
        <v>0.31644331105053425</v>
      </c>
      <c r="AE157" s="1">
        <f t="shared" si="44"/>
        <v>49.121783076497223</v>
      </c>
      <c r="AF157" s="1" t="str">
        <f t="shared" si="45"/>
        <v/>
      </c>
      <c r="AG157" s="1">
        <f t="shared" si="46"/>
        <v>1.566996414899481</v>
      </c>
      <c r="AI157" s="1">
        <f t="shared" si="47"/>
        <v>3.1339928297989559</v>
      </c>
      <c r="AJ157" s="1">
        <f t="shared" si="53"/>
        <v>3.7</v>
      </c>
      <c r="AK157" s="1" t="e">
        <f t="shared" si="48"/>
        <v>#N/A</v>
      </c>
      <c r="AL157" s="1" t="e">
        <f t="shared" si="49"/>
        <v>#N/A</v>
      </c>
      <c r="AM157" s="1" t="e">
        <f t="shared" si="50"/>
        <v>#N/A</v>
      </c>
    </row>
    <row r="158" spans="24:39" ht="11.25" customHeight="1" x14ac:dyDescent="0.2">
      <c r="X158" s="1">
        <v>96</v>
      </c>
      <c r="Y158" s="1">
        <f t="shared" si="40"/>
        <v>52.260369364842404</v>
      </c>
      <c r="Z158" s="1">
        <f t="shared" si="41"/>
        <v>53.713229144113782</v>
      </c>
      <c r="AA158" s="1" t="e">
        <f t="shared" si="42"/>
        <v>#N/A</v>
      </c>
      <c r="AB158" s="1" t="e">
        <f t="shared" si="43"/>
        <v>#N/A</v>
      </c>
      <c r="AC158" s="1">
        <f t="shared" si="51"/>
        <v>0.65329847671091557</v>
      </c>
      <c r="AD158" s="1">
        <f t="shared" si="52"/>
        <v>0.22426838614046574</v>
      </c>
      <c r="AE158" s="1">
        <f t="shared" si="44"/>
        <v>52.986799254478093</v>
      </c>
      <c r="AF158" s="1" t="str">
        <f t="shared" si="45"/>
        <v/>
      </c>
      <c r="AG158" s="1">
        <f t="shared" si="46"/>
        <v>0.72642988963569177</v>
      </c>
      <c r="AI158" s="1">
        <f t="shared" si="47"/>
        <v>1.4528597792713782</v>
      </c>
      <c r="AJ158" s="1">
        <f t="shared" si="53"/>
        <v>3.7</v>
      </c>
      <c r="AK158" s="1" t="e">
        <f t="shared" si="48"/>
        <v>#N/A</v>
      </c>
      <c r="AL158" s="1" t="e">
        <f t="shared" si="49"/>
        <v>#N/A</v>
      </c>
      <c r="AM158" s="1" t="e">
        <f t="shared" si="50"/>
        <v>#N/A</v>
      </c>
    </row>
    <row r="159" spans="24:39" ht="11.25" customHeight="1" x14ac:dyDescent="0.2">
      <c r="X159" s="1">
        <v>97</v>
      </c>
      <c r="Y159" s="1">
        <f t="shared" si="40"/>
        <v>34.576604761667944</v>
      </c>
      <c r="Z159" s="1">
        <f t="shared" si="41"/>
        <v>45.147070403912657</v>
      </c>
      <c r="AA159" s="1" t="e">
        <f t="shared" si="42"/>
        <v>#N/A</v>
      </c>
      <c r="AB159" s="1" t="e">
        <f t="shared" si="43"/>
        <v>#N/A</v>
      </c>
      <c r="AC159" s="1">
        <f t="shared" si="51"/>
        <v>0.25998935289680958</v>
      </c>
      <c r="AD159" s="1">
        <f t="shared" si="52"/>
        <v>0.77689367718994617</v>
      </c>
      <c r="AE159" s="1">
        <f t="shared" si="44"/>
        <v>39.861837582790301</v>
      </c>
      <c r="AF159" s="1" t="str">
        <f>IF(X159&lt;=$C$2,AE159,"")</f>
        <v/>
      </c>
      <c r="AG159" s="1">
        <f t="shared" si="46"/>
        <v>5.2852328211223565</v>
      </c>
      <c r="AI159" s="1">
        <f t="shared" si="47"/>
        <v>10.570465642244713</v>
      </c>
      <c r="AJ159" s="1">
        <f t="shared" si="53"/>
        <v>3.7</v>
      </c>
      <c r="AK159" s="1" t="e">
        <f t="shared" si="48"/>
        <v>#N/A</v>
      </c>
      <c r="AL159" s="1" t="e">
        <f t="shared" si="49"/>
        <v>#N/A</v>
      </c>
      <c r="AM159" s="1" t="e">
        <f t="shared" si="50"/>
        <v>#N/A</v>
      </c>
    </row>
    <row r="160" spans="24:39" ht="11.25" customHeight="1" x14ac:dyDescent="0.2">
      <c r="X160" s="1">
        <v>98</v>
      </c>
      <c r="Y160" s="1">
        <f t="shared" si="40"/>
        <v>58.467858129887681</v>
      </c>
      <c r="Z160" s="1">
        <f t="shared" si="41"/>
        <v>71.269413857898499</v>
      </c>
      <c r="AA160" s="1" t="e">
        <f t="shared" si="42"/>
        <v>#N/A</v>
      </c>
      <c r="AB160" s="1" t="e">
        <f t="shared" si="43"/>
        <v>#N/A</v>
      </c>
      <c r="AC160" s="1">
        <f t="shared" si="51"/>
        <v>0.90882968343794346</v>
      </c>
      <c r="AD160" s="1">
        <f t="shared" si="52"/>
        <v>0.87151726521551609</v>
      </c>
      <c r="AE160" s="1">
        <f t="shared" si="44"/>
        <v>64.868635993893093</v>
      </c>
      <c r="AF160" s="1" t="str">
        <f>IF(X160&lt;=$C$2,AE160,"")</f>
        <v/>
      </c>
      <c r="AG160" s="1">
        <f t="shared" si="46"/>
        <v>6.4007778640054118</v>
      </c>
      <c r="AI160" s="1">
        <f t="shared" si="47"/>
        <v>12.801555728010818</v>
      </c>
      <c r="AJ160" s="1">
        <f t="shared" si="53"/>
        <v>3.7</v>
      </c>
      <c r="AK160" s="1" t="e">
        <f t="shared" si="48"/>
        <v>#N/A</v>
      </c>
      <c r="AL160" s="1" t="e">
        <f t="shared" si="49"/>
        <v>#N/A</v>
      </c>
      <c r="AM160" s="1" t="e">
        <f t="shared" si="50"/>
        <v>#N/A</v>
      </c>
    </row>
    <row r="161" spans="24:39" ht="11.25" customHeight="1" x14ac:dyDescent="0.2">
      <c r="X161" s="1">
        <v>99</v>
      </c>
      <c r="Y161" s="1">
        <f t="shared" si="40"/>
        <v>43.562822573876957</v>
      </c>
      <c r="Z161" s="1">
        <f t="shared" si="41"/>
        <v>62.128115913464839</v>
      </c>
      <c r="AA161" s="1" t="e">
        <f t="shared" si="42"/>
        <v>#N/A</v>
      </c>
      <c r="AB161" s="1" t="e">
        <f t="shared" si="43"/>
        <v>#N/A</v>
      </c>
      <c r="AC161" s="1">
        <f t="shared" si="51"/>
        <v>0.64916531927883625</v>
      </c>
      <c r="AD161" s="1">
        <f t="shared" si="52"/>
        <v>0.98187960870563984</v>
      </c>
      <c r="AE161" s="1">
        <f t="shared" si="44"/>
        <v>52.845469243670898</v>
      </c>
      <c r="AF161" s="1" t="str">
        <f>IF(X161&lt;=$C$2,AE161,"")</f>
        <v/>
      </c>
      <c r="AG161" s="1">
        <f t="shared" si="46"/>
        <v>9.2826466697939374</v>
      </c>
      <c r="AI161" s="1">
        <f t="shared" si="47"/>
        <v>18.565293339587882</v>
      </c>
      <c r="AJ161" s="1">
        <f t="shared" si="53"/>
        <v>3.7</v>
      </c>
      <c r="AK161" s="1" t="e">
        <f t="shared" si="48"/>
        <v>#N/A</v>
      </c>
      <c r="AL161" s="1" t="e">
        <f t="shared" si="49"/>
        <v>#N/A</v>
      </c>
      <c r="AM161" s="1" t="e">
        <f t="shared" si="50"/>
        <v>#N/A</v>
      </c>
    </row>
    <row r="162" spans="24:39" ht="11.25" customHeight="1" x14ac:dyDescent="0.2">
      <c r="X162" s="1">
        <v>100</v>
      </c>
      <c r="Y162" s="1">
        <f t="shared" si="40"/>
        <v>46.134062268447337</v>
      </c>
      <c r="Z162" s="1">
        <f t="shared" si="41"/>
        <v>58.391167359218926</v>
      </c>
      <c r="AA162" s="1" t="e">
        <f t="shared" si="42"/>
        <v>#N/A</v>
      </c>
      <c r="AB162" s="1" t="e">
        <f t="shared" si="43"/>
        <v>#N/A</v>
      </c>
      <c r="AC162" s="1">
        <f t="shared" si="51"/>
        <v>0.63193751312792301</v>
      </c>
      <c r="AD162" s="1">
        <f t="shared" si="52"/>
        <v>0.85149131156504154</v>
      </c>
      <c r="AE162" s="1">
        <f t="shared" si="44"/>
        <v>52.262614813833132</v>
      </c>
      <c r="AF162" s="1" t="str">
        <f>IF(X162&lt;=$C$2,AE162,"")</f>
        <v/>
      </c>
      <c r="AG162" s="1">
        <f t="shared" si="46"/>
        <v>6.1285525453857979</v>
      </c>
      <c r="AI162" s="1">
        <f t="shared" si="47"/>
        <v>12.257105090771589</v>
      </c>
      <c r="AJ162" s="1">
        <f t="shared" si="53"/>
        <v>3.7</v>
      </c>
      <c r="AK162" s="1" t="e">
        <f t="shared" si="48"/>
        <v>#N/A</v>
      </c>
      <c r="AL162" s="1" t="e">
        <f t="shared" si="49"/>
        <v>#N/A</v>
      </c>
      <c r="AM162" s="1" t="e">
        <f t="shared" si="50"/>
        <v>#N/A</v>
      </c>
    </row>
  </sheetData>
  <sheetProtection sheet="1" objects="1" scenarios="1" selectLockedCells="1"/>
  <mergeCells count="8">
    <mergeCell ref="AG16:AH16"/>
    <mergeCell ref="AG6:AH6"/>
    <mergeCell ref="AG8:AH8"/>
    <mergeCell ref="AG10:AH10"/>
    <mergeCell ref="Q7:R7"/>
    <mergeCell ref="U11:V11"/>
    <mergeCell ref="U12:V12"/>
    <mergeCell ref="U10:V10"/>
  </mergeCells>
  <phoneticPr fontId="0" type="noConversion"/>
  <dataValidations count="2">
    <dataValidation type="decimal" allowBlank="1" showErrorMessage="1" errorTitle="Confidence level" error="Number, min 0, max 99.9" sqref="M21">
      <formula1>0</formula1>
      <formula2>99.9</formula2>
    </dataValidation>
    <dataValidation type="whole" allowBlank="1" showInputMessage="1" showErrorMessage="1" error="Integer, min 2, max 100" sqref="L11">
      <formula1>2</formula1>
      <formula2>100</formula2>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Brush" shapeId="66625" r:id="rId4">
          <objectPr defaultSize="0" autoPict="0" r:id="rId5">
            <anchor moveWithCells="1" sizeWithCells="1">
              <from>
                <xdr:col>0</xdr:col>
                <xdr:colOff>0</xdr:colOff>
                <xdr:row>0</xdr:row>
                <xdr:rowOff>0</xdr:rowOff>
              </from>
              <to>
                <xdr:col>5</xdr:col>
                <xdr:colOff>0</xdr:colOff>
                <xdr:row>60</xdr:row>
                <xdr:rowOff>123825</xdr:rowOff>
              </to>
            </anchor>
          </objectPr>
        </oleObject>
      </mc:Choice>
      <mc:Fallback>
        <oleObject progId="PBrush" shapeId="66625" r:id="rId4"/>
      </mc:Fallback>
    </mc:AlternateContent>
  </oleObjects>
  <mc:AlternateContent xmlns:mc="http://schemas.openxmlformats.org/markup-compatibility/2006">
    <mc:Choice Requires="x14">
      <controls>
        <mc:AlternateContent xmlns:mc="http://schemas.openxmlformats.org/markup-compatibility/2006">
          <mc:Choice Requires="x14">
            <control shapeId="66706" r:id="rId6" name="Check Box 146">
              <controlPr defaultSize="0" autoFill="0" autoLine="0" autoPict="0">
                <anchor moveWithCells="1">
                  <from>
                    <xdr:col>6</xdr:col>
                    <xdr:colOff>104775</xdr:colOff>
                    <xdr:row>36</xdr:row>
                    <xdr:rowOff>85725</xdr:rowOff>
                  </from>
                  <to>
                    <xdr:col>6</xdr:col>
                    <xdr:colOff>409575</xdr:colOff>
                    <xdr:row>38</xdr:row>
                    <xdr:rowOff>38100</xdr:rowOff>
                  </to>
                </anchor>
              </controlPr>
            </control>
          </mc:Choice>
        </mc:AlternateContent>
        <mc:AlternateContent xmlns:mc="http://schemas.openxmlformats.org/markup-compatibility/2006">
          <mc:Choice Requires="x14">
            <control shapeId="66561" r:id="rId7" name="Check Box 1">
              <controlPr defaultSize="0" autoFill="0" autoLine="0" autoPict="0">
                <anchor moveWithCells="1">
                  <from>
                    <xdr:col>6</xdr:col>
                    <xdr:colOff>104775</xdr:colOff>
                    <xdr:row>23</xdr:row>
                    <xdr:rowOff>133350</xdr:rowOff>
                  </from>
                  <to>
                    <xdr:col>12</xdr:col>
                    <xdr:colOff>152400</xdr:colOff>
                    <xdr:row>25</xdr:row>
                    <xdr:rowOff>76200</xdr:rowOff>
                  </to>
                </anchor>
              </controlPr>
            </control>
          </mc:Choice>
        </mc:AlternateContent>
        <mc:AlternateContent xmlns:mc="http://schemas.openxmlformats.org/markup-compatibility/2006">
          <mc:Choice Requires="x14">
            <control shapeId="66562" r:id="rId8" name="Button 2">
              <controlPr defaultSize="0" print="0" autoFill="0" autoPict="0" macro="[0]!Shift4CalcPair">
                <anchor moveWithCells="1">
                  <from>
                    <xdr:col>5</xdr:col>
                    <xdr:colOff>95250</xdr:colOff>
                    <xdr:row>5</xdr:row>
                    <xdr:rowOff>47625</xdr:rowOff>
                  </from>
                  <to>
                    <xdr:col>7</xdr:col>
                    <xdr:colOff>123825</xdr:colOff>
                    <xdr:row>7</xdr:row>
                    <xdr:rowOff>104775</xdr:rowOff>
                  </to>
                </anchor>
              </controlPr>
            </control>
          </mc:Choice>
        </mc:AlternateContent>
        <mc:AlternateContent xmlns:mc="http://schemas.openxmlformats.org/markup-compatibility/2006">
          <mc:Choice Requires="x14">
            <control shapeId="66563" r:id="rId9" name="Spinner 3">
              <controlPr defaultSize="0" autoPict="0">
                <anchor moveWithCells="1">
                  <from>
                    <xdr:col>12</xdr:col>
                    <xdr:colOff>9525</xdr:colOff>
                    <xdr:row>25</xdr:row>
                    <xdr:rowOff>95250</xdr:rowOff>
                  </from>
                  <to>
                    <xdr:col>12</xdr:col>
                    <xdr:colOff>152400</xdr:colOff>
                    <xdr:row>27</xdr:row>
                    <xdr:rowOff>57150</xdr:rowOff>
                  </to>
                </anchor>
              </controlPr>
            </control>
          </mc:Choice>
        </mc:AlternateContent>
        <mc:AlternateContent xmlns:mc="http://schemas.openxmlformats.org/markup-compatibility/2006">
          <mc:Choice Requires="x14">
            <control shapeId="66564" r:id="rId10" name="Spinner 4">
              <controlPr defaultSize="0" autoPict="0">
                <anchor moveWithCells="1">
                  <from>
                    <xdr:col>10</xdr:col>
                    <xdr:colOff>9525</xdr:colOff>
                    <xdr:row>27</xdr:row>
                    <xdr:rowOff>104775</xdr:rowOff>
                  </from>
                  <to>
                    <xdr:col>10</xdr:col>
                    <xdr:colOff>152400</xdr:colOff>
                    <xdr:row>29</xdr:row>
                    <xdr:rowOff>66675</xdr:rowOff>
                  </to>
                </anchor>
              </controlPr>
            </control>
          </mc:Choice>
        </mc:AlternateContent>
        <mc:AlternateContent xmlns:mc="http://schemas.openxmlformats.org/markup-compatibility/2006">
          <mc:Choice Requires="x14">
            <control shapeId="66565" r:id="rId11" name="Check Box 5">
              <controlPr defaultSize="0" autoFill="0" autoLine="0" autoPict="0">
                <anchor moveWithCells="1">
                  <from>
                    <xdr:col>5</xdr:col>
                    <xdr:colOff>142875</xdr:colOff>
                    <xdr:row>19</xdr:row>
                    <xdr:rowOff>95250</xdr:rowOff>
                  </from>
                  <to>
                    <xdr:col>6</xdr:col>
                    <xdr:colOff>247650</xdr:colOff>
                    <xdr:row>21</xdr:row>
                    <xdr:rowOff>38100</xdr:rowOff>
                  </to>
                </anchor>
              </controlPr>
            </control>
          </mc:Choice>
        </mc:AlternateContent>
        <mc:AlternateContent xmlns:mc="http://schemas.openxmlformats.org/markup-compatibility/2006">
          <mc:Choice Requires="x14">
            <control shapeId="66566" r:id="rId12" name="Spinner 6">
              <controlPr defaultSize="0" autoPict="0">
                <anchor moveWithCells="1">
                  <from>
                    <xdr:col>13</xdr:col>
                    <xdr:colOff>9525</xdr:colOff>
                    <xdr:row>19</xdr:row>
                    <xdr:rowOff>104775</xdr:rowOff>
                  </from>
                  <to>
                    <xdr:col>13</xdr:col>
                    <xdr:colOff>152400</xdr:colOff>
                    <xdr:row>21</xdr:row>
                    <xdr:rowOff>66675</xdr:rowOff>
                  </to>
                </anchor>
              </controlPr>
            </control>
          </mc:Choice>
        </mc:AlternateContent>
        <mc:AlternateContent xmlns:mc="http://schemas.openxmlformats.org/markup-compatibility/2006">
          <mc:Choice Requires="x14">
            <control shapeId="66573" r:id="rId13" name="Spinner 13">
              <controlPr defaultSize="0" autoPict="0">
                <anchor moveWithCells="1">
                  <from>
                    <xdr:col>12</xdr:col>
                    <xdr:colOff>9525</xdr:colOff>
                    <xdr:row>9</xdr:row>
                    <xdr:rowOff>95250</xdr:rowOff>
                  </from>
                  <to>
                    <xdr:col>12</xdr:col>
                    <xdr:colOff>152400</xdr:colOff>
                    <xdr:row>11</xdr:row>
                    <xdr:rowOff>57150</xdr:rowOff>
                  </to>
                </anchor>
              </controlPr>
            </control>
          </mc:Choice>
        </mc:AlternateContent>
        <mc:AlternateContent xmlns:mc="http://schemas.openxmlformats.org/markup-compatibility/2006">
          <mc:Choice Requires="x14">
            <control shapeId="66574" r:id="rId14" name="Spinner 14">
              <controlPr defaultSize="0" autoPict="0">
                <anchor moveWithCells="1">
                  <from>
                    <xdr:col>9</xdr:col>
                    <xdr:colOff>9525</xdr:colOff>
                    <xdr:row>25</xdr:row>
                    <xdr:rowOff>104775</xdr:rowOff>
                  </from>
                  <to>
                    <xdr:col>9</xdr:col>
                    <xdr:colOff>152400</xdr:colOff>
                    <xdr:row>27</xdr:row>
                    <xdr:rowOff>66675</xdr:rowOff>
                  </to>
                </anchor>
              </controlPr>
            </control>
          </mc:Choice>
        </mc:AlternateContent>
        <mc:AlternateContent xmlns:mc="http://schemas.openxmlformats.org/markup-compatibility/2006">
          <mc:Choice Requires="x14">
            <control shapeId="66579" r:id="rId15" name="Spinner 19">
              <controlPr defaultSize="0" autoPict="0">
                <anchor moveWithCells="1">
                  <from>
                    <xdr:col>13</xdr:col>
                    <xdr:colOff>9525</xdr:colOff>
                    <xdr:row>27</xdr:row>
                    <xdr:rowOff>104775</xdr:rowOff>
                  </from>
                  <to>
                    <xdr:col>13</xdr:col>
                    <xdr:colOff>152400</xdr:colOff>
                    <xdr:row>29</xdr:row>
                    <xdr:rowOff>66675</xdr:rowOff>
                  </to>
                </anchor>
              </controlPr>
            </control>
          </mc:Choice>
        </mc:AlternateContent>
        <mc:AlternateContent xmlns:mc="http://schemas.openxmlformats.org/markup-compatibility/2006">
          <mc:Choice Requires="x14">
            <control shapeId="66581" r:id="rId16" name="Check Box 21">
              <controlPr defaultSize="0" autoFill="0" autoLine="0" autoPict="0">
                <anchor moveWithCells="1">
                  <from>
                    <xdr:col>6</xdr:col>
                    <xdr:colOff>466725</xdr:colOff>
                    <xdr:row>20</xdr:row>
                    <xdr:rowOff>95250</xdr:rowOff>
                  </from>
                  <to>
                    <xdr:col>8</xdr:col>
                    <xdr:colOff>38100</xdr:colOff>
                    <xdr:row>22</xdr:row>
                    <xdr:rowOff>28575</xdr:rowOff>
                  </to>
                </anchor>
              </controlPr>
            </control>
          </mc:Choice>
        </mc:AlternateContent>
        <mc:AlternateContent xmlns:mc="http://schemas.openxmlformats.org/markup-compatibility/2006">
          <mc:Choice Requires="x14">
            <control shapeId="66591" r:id="rId17" name="Check Box 31">
              <controlPr defaultSize="0" autoFill="0" autoLine="0" autoPict="0">
                <anchor moveWithCells="1">
                  <from>
                    <xdr:col>6</xdr:col>
                    <xdr:colOff>104775</xdr:colOff>
                    <xdr:row>31</xdr:row>
                    <xdr:rowOff>85725</xdr:rowOff>
                  </from>
                  <to>
                    <xdr:col>6</xdr:col>
                    <xdr:colOff>409575</xdr:colOff>
                    <xdr:row>33</xdr:row>
                    <xdr:rowOff>38100</xdr:rowOff>
                  </to>
                </anchor>
              </controlPr>
            </control>
          </mc:Choice>
        </mc:AlternateContent>
        <mc:AlternateContent xmlns:mc="http://schemas.openxmlformats.org/markup-compatibility/2006">
          <mc:Choice Requires="x14">
            <control shapeId="66596" r:id="rId18" name="Button 36">
              <controlPr defaultSize="0" print="0" autoFill="0" autoPict="0" macro="[0]!ResetPair">
                <anchor moveWithCells="1">
                  <from>
                    <xdr:col>8</xdr:col>
                    <xdr:colOff>38100</xdr:colOff>
                    <xdr:row>5</xdr:row>
                    <xdr:rowOff>47625</xdr:rowOff>
                  </from>
                  <to>
                    <xdr:col>10</xdr:col>
                    <xdr:colOff>19050</xdr:colOff>
                    <xdr:row>7</xdr:row>
                    <xdr:rowOff>104775</xdr:rowOff>
                  </to>
                </anchor>
              </controlPr>
            </control>
          </mc:Choice>
        </mc:AlternateContent>
        <mc:AlternateContent xmlns:mc="http://schemas.openxmlformats.org/markup-compatibility/2006">
          <mc:Choice Requires="x14">
            <control shapeId="66602" r:id="rId19" name="Check Box 42">
              <controlPr defaultSize="0" autoFill="0" autoLine="0" autoPict="0">
                <anchor moveWithCells="1">
                  <from>
                    <xdr:col>8</xdr:col>
                    <xdr:colOff>19050</xdr:colOff>
                    <xdr:row>12</xdr:row>
                    <xdr:rowOff>104775</xdr:rowOff>
                  </from>
                  <to>
                    <xdr:col>9</xdr:col>
                    <xdr:colOff>0</xdr:colOff>
                    <xdr:row>14</xdr:row>
                    <xdr:rowOff>38100</xdr:rowOff>
                  </to>
                </anchor>
              </controlPr>
            </control>
          </mc:Choice>
        </mc:AlternateContent>
        <mc:AlternateContent xmlns:mc="http://schemas.openxmlformats.org/markup-compatibility/2006">
          <mc:Choice Requires="x14">
            <control shapeId="66603" r:id="rId20" name="Spinner 43">
              <controlPr defaultSize="0" autoPict="0">
                <anchor moveWithCells="1">
                  <from>
                    <xdr:col>11</xdr:col>
                    <xdr:colOff>47625</xdr:colOff>
                    <xdr:row>6</xdr:row>
                    <xdr:rowOff>9525</xdr:rowOff>
                  </from>
                  <to>
                    <xdr:col>11</xdr:col>
                    <xdr:colOff>190500</xdr:colOff>
                    <xdr:row>7</xdr:row>
                    <xdr:rowOff>114300</xdr:rowOff>
                  </to>
                </anchor>
              </controlPr>
            </control>
          </mc:Choice>
        </mc:AlternateContent>
        <mc:AlternateContent xmlns:mc="http://schemas.openxmlformats.org/markup-compatibility/2006">
          <mc:Choice Requires="x14">
            <control shapeId="66607" r:id="rId21" name="Option Button 47">
              <controlPr defaultSize="0" autoFill="0" autoLine="0" autoPict="0">
                <anchor moveWithCells="1">
                  <from>
                    <xdr:col>10</xdr:col>
                    <xdr:colOff>19050</xdr:colOff>
                    <xdr:row>15</xdr:row>
                    <xdr:rowOff>0</xdr:rowOff>
                  </from>
                  <to>
                    <xdr:col>11</xdr:col>
                    <xdr:colOff>276225</xdr:colOff>
                    <xdr:row>16</xdr:row>
                    <xdr:rowOff>76200</xdr:rowOff>
                  </to>
                </anchor>
              </controlPr>
            </control>
          </mc:Choice>
        </mc:AlternateContent>
        <mc:AlternateContent xmlns:mc="http://schemas.openxmlformats.org/markup-compatibility/2006">
          <mc:Choice Requires="x14">
            <control shapeId="66608" r:id="rId22" name="Option Button 48">
              <controlPr defaultSize="0" autoFill="0" autoLine="0" autoPict="0">
                <anchor moveWithCells="1">
                  <from>
                    <xdr:col>10</xdr:col>
                    <xdr:colOff>19050</xdr:colOff>
                    <xdr:row>16</xdr:row>
                    <xdr:rowOff>76200</xdr:rowOff>
                  </from>
                  <to>
                    <xdr:col>12</xdr:col>
                    <xdr:colOff>114300</xdr:colOff>
                    <xdr:row>18</xdr:row>
                    <xdr:rowOff>9525</xdr:rowOff>
                  </to>
                </anchor>
              </controlPr>
            </control>
          </mc:Choice>
        </mc:AlternateContent>
        <mc:AlternateContent xmlns:mc="http://schemas.openxmlformats.org/markup-compatibility/2006">
          <mc:Choice Requires="x14">
            <control shapeId="66609" r:id="rId23" name="Check Box 49">
              <controlPr defaultSize="0" autoFill="0" autoLine="0" autoPict="0">
                <anchor moveWithCells="1">
                  <from>
                    <xdr:col>5</xdr:col>
                    <xdr:colOff>142875</xdr:colOff>
                    <xdr:row>17</xdr:row>
                    <xdr:rowOff>95250</xdr:rowOff>
                  </from>
                  <to>
                    <xdr:col>6</xdr:col>
                    <xdr:colOff>247650</xdr:colOff>
                    <xdr:row>19</xdr:row>
                    <xdr:rowOff>28575</xdr:rowOff>
                  </to>
                </anchor>
              </controlPr>
            </control>
          </mc:Choice>
        </mc:AlternateContent>
        <mc:AlternateContent xmlns:mc="http://schemas.openxmlformats.org/markup-compatibility/2006">
          <mc:Choice Requires="x14">
            <control shapeId="66612" r:id="rId24" name="Check Box 52">
              <controlPr defaultSize="0" autoFill="0" autoLine="0" autoPict="0">
                <anchor moveWithCells="1">
                  <from>
                    <xdr:col>5</xdr:col>
                    <xdr:colOff>142875</xdr:colOff>
                    <xdr:row>13</xdr:row>
                    <xdr:rowOff>95250</xdr:rowOff>
                  </from>
                  <to>
                    <xdr:col>6</xdr:col>
                    <xdr:colOff>247650</xdr:colOff>
                    <xdr:row>15</xdr:row>
                    <xdr:rowOff>28575</xdr:rowOff>
                  </to>
                </anchor>
              </controlPr>
            </control>
          </mc:Choice>
        </mc:AlternateContent>
        <mc:AlternateContent xmlns:mc="http://schemas.openxmlformats.org/markup-compatibility/2006">
          <mc:Choice Requires="x14">
            <control shapeId="66628" r:id="rId25" name="Check Box 68">
              <controlPr defaultSize="0" autoFill="0" autoLine="0" autoPict="0">
                <anchor moveWithCells="1">
                  <from>
                    <xdr:col>18</xdr:col>
                    <xdr:colOff>209550</xdr:colOff>
                    <xdr:row>11</xdr:row>
                    <xdr:rowOff>104775</xdr:rowOff>
                  </from>
                  <to>
                    <xdr:col>19</xdr:col>
                    <xdr:colOff>66675</xdr:colOff>
                    <xdr:row>13</xdr:row>
                    <xdr:rowOff>38100</xdr:rowOff>
                  </to>
                </anchor>
              </controlPr>
            </control>
          </mc:Choice>
        </mc:AlternateContent>
        <mc:AlternateContent xmlns:mc="http://schemas.openxmlformats.org/markup-compatibility/2006">
          <mc:Choice Requires="x14">
            <control shapeId="66632" r:id="rId26" name="Check Box 72">
              <controlPr defaultSize="0" autoFill="0" autoLine="0" autoPict="0">
                <anchor moveWithCells="1">
                  <from>
                    <xdr:col>18</xdr:col>
                    <xdr:colOff>209550</xdr:colOff>
                    <xdr:row>13</xdr:row>
                    <xdr:rowOff>104775</xdr:rowOff>
                  </from>
                  <to>
                    <xdr:col>19</xdr:col>
                    <xdr:colOff>66675</xdr:colOff>
                    <xdr:row>15</xdr:row>
                    <xdr:rowOff>38100</xdr:rowOff>
                  </to>
                </anchor>
              </controlPr>
            </control>
          </mc:Choice>
        </mc:AlternateContent>
        <mc:AlternateContent xmlns:mc="http://schemas.openxmlformats.org/markup-compatibility/2006">
          <mc:Choice Requires="x14">
            <control shapeId="66633" r:id="rId27" name="Check Box 73">
              <controlPr defaultSize="0" autoFill="0" autoLine="0" autoPict="0">
                <anchor moveWithCells="1">
                  <from>
                    <xdr:col>18</xdr:col>
                    <xdr:colOff>209550</xdr:colOff>
                    <xdr:row>15</xdr:row>
                    <xdr:rowOff>104775</xdr:rowOff>
                  </from>
                  <to>
                    <xdr:col>19</xdr:col>
                    <xdr:colOff>66675</xdr:colOff>
                    <xdr:row>17</xdr:row>
                    <xdr:rowOff>38100</xdr:rowOff>
                  </to>
                </anchor>
              </controlPr>
            </control>
          </mc:Choice>
        </mc:AlternateContent>
        <mc:AlternateContent xmlns:mc="http://schemas.openxmlformats.org/markup-compatibility/2006">
          <mc:Choice Requires="x14">
            <control shapeId="66634" r:id="rId28" name="Check Box 74">
              <controlPr defaultSize="0" autoFill="0" autoLine="0" autoPict="0">
                <anchor moveWithCells="1">
                  <from>
                    <xdr:col>18</xdr:col>
                    <xdr:colOff>209550</xdr:colOff>
                    <xdr:row>17</xdr:row>
                    <xdr:rowOff>104775</xdr:rowOff>
                  </from>
                  <to>
                    <xdr:col>19</xdr:col>
                    <xdr:colOff>66675</xdr:colOff>
                    <xdr:row>19</xdr:row>
                    <xdr:rowOff>38100</xdr:rowOff>
                  </to>
                </anchor>
              </controlPr>
            </control>
          </mc:Choice>
        </mc:AlternateContent>
        <mc:AlternateContent xmlns:mc="http://schemas.openxmlformats.org/markup-compatibility/2006">
          <mc:Choice Requires="x14">
            <control shapeId="66656" r:id="rId29" name="Check Box 96">
              <controlPr defaultSize="0" autoFill="0" autoLine="0" autoPict="0" macro="[0]!Revealsimpair">
                <anchor moveWithCells="1">
                  <from>
                    <xdr:col>43</xdr:col>
                    <xdr:colOff>104775</xdr:colOff>
                    <xdr:row>8</xdr:row>
                    <xdr:rowOff>47625</xdr:rowOff>
                  </from>
                  <to>
                    <xdr:col>44</xdr:col>
                    <xdr:colOff>123825</xdr:colOff>
                    <xdr:row>9</xdr:row>
                    <xdr:rowOff>123825</xdr:rowOff>
                  </to>
                </anchor>
              </controlPr>
            </control>
          </mc:Choice>
        </mc:AlternateContent>
        <mc:AlternateContent xmlns:mc="http://schemas.openxmlformats.org/markup-compatibility/2006">
          <mc:Choice Requires="x14">
            <control shapeId="66697" r:id="rId30" name="Check Box 137">
              <controlPr defaultSize="0" autoFill="0" autoLine="0" autoPict="0" macro="[0]!Revealsimpairpower">
                <anchor moveWithCells="1">
                  <from>
                    <xdr:col>43</xdr:col>
                    <xdr:colOff>104775</xdr:colOff>
                    <xdr:row>23</xdr:row>
                    <xdr:rowOff>95250</xdr:rowOff>
                  </from>
                  <to>
                    <xdr:col>44</xdr:col>
                    <xdr:colOff>123825</xdr:colOff>
                    <xdr:row>25</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119</vt:i4>
      </vt:variant>
    </vt:vector>
  </HeadingPairs>
  <TitlesOfParts>
    <vt:vector size="129" baseType="lpstr">
      <vt:lpstr>Intro</vt:lpstr>
      <vt:lpstr>CIs and replication</vt:lpstr>
      <vt:lpstr>p intervals</vt:lpstr>
      <vt:lpstr>Dance p</vt:lpstr>
      <vt:lpstr>Random</vt:lpstr>
      <vt:lpstr>Compare A B</vt:lpstr>
      <vt:lpstr>Data two</vt:lpstr>
      <vt:lpstr>Simulate two</vt:lpstr>
      <vt:lpstr>Data paired</vt:lpstr>
      <vt:lpstr>Simulate paired</vt:lpstr>
      <vt:lpstr>calcddp</vt:lpstr>
      <vt:lpstr>calcddt</vt:lpstr>
      <vt:lpstr>calcdst</vt:lpstr>
      <vt:lpstr>'Dance p'!calcswitch</vt:lpstr>
      <vt:lpstr>'Data paired'!calcswitchpair</vt:lpstr>
      <vt:lpstr>'Simulate paired'!calcswitchpair</vt:lpstr>
      <vt:lpstr>'Simulate two'!calcswitchtwo</vt:lpstr>
      <vt:lpstr>'CIs and replication'!caporigget</vt:lpstr>
      <vt:lpstr>'CIs and replication'!caporigput</vt:lpstr>
      <vt:lpstr>'Dance p'!CElabel</vt:lpstr>
      <vt:lpstr>cidpl</vt:lpstr>
      <vt:lpstr>cidptbzl</vt:lpstr>
      <vt:lpstr>cidptbzu</vt:lpstr>
      <vt:lpstr>cidpu</vt:lpstr>
      <vt:lpstr>cidtl</vt:lpstr>
      <vt:lpstr>cidttbzl</vt:lpstr>
      <vt:lpstr>cidttbzu</vt:lpstr>
      <vt:lpstr>cidtu</vt:lpstr>
      <vt:lpstr>cispl</vt:lpstr>
      <vt:lpstr>cisptbzl</vt:lpstr>
      <vt:lpstr>cisptbzu</vt:lpstr>
      <vt:lpstr>cispu</vt:lpstr>
      <vt:lpstr>cistl</vt:lpstr>
      <vt:lpstr>cisttbzl</vt:lpstr>
      <vt:lpstr>cisttbzu</vt:lpstr>
      <vt:lpstr>cistu</vt:lpstr>
      <vt:lpstr>'Dance p'!cleardisp</vt:lpstr>
      <vt:lpstr>'Dance p'!dancep</vt:lpstr>
      <vt:lpstr>'Dance p'!dancespeed</vt:lpstr>
      <vt:lpstr>DataPairedGrab</vt:lpstr>
      <vt:lpstr>DataPairedPut</vt:lpstr>
      <vt:lpstr>DataTwoGrab</vt:lpstr>
      <vt:lpstr>DataTwoPut</vt:lpstr>
      <vt:lpstr>dispcidsp</vt:lpstr>
      <vt:lpstr>dispddp</vt:lpstr>
      <vt:lpstr>dispddt</vt:lpstr>
      <vt:lpstr>'Dance p'!dispdiffaxis</vt:lpstr>
      <vt:lpstr>dispdsp</vt:lpstr>
      <vt:lpstr>dispdst</vt:lpstr>
      <vt:lpstr>dispnow</vt:lpstr>
      <vt:lpstr>disppowerspair</vt:lpstr>
      <vt:lpstr>disppowerst</vt:lpstr>
      <vt:lpstr>Random!Dispt</vt:lpstr>
      <vt:lpstr>'Data paired'!dptspair</vt:lpstr>
      <vt:lpstr>'Data two'!dptstwo</vt:lpstr>
      <vt:lpstr>equivncpdp</vt:lpstr>
      <vt:lpstr>equivncpdt</vt:lpstr>
      <vt:lpstr>equivncpsp</vt:lpstr>
      <vt:lpstr>equivncpst</vt:lpstr>
      <vt:lpstr>'Dance p'!figdisplength</vt:lpstr>
      <vt:lpstr>figfivedisp</vt:lpstr>
      <vt:lpstr>figfourdisp</vt:lpstr>
      <vt:lpstr>figonedisp</vt:lpstr>
      <vt:lpstr>figthreedisp</vt:lpstr>
      <vt:lpstr>figtwodisp</vt:lpstr>
      <vt:lpstr>firstptdp</vt:lpstr>
      <vt:lpstr>firstptdt</vt:lpstr>
      <vt:lpstr>fninezafour</vt:lpstr>
      <vt:lpstr>fninezaone</vt:lpstr>
      <vt:lpstr>fninezathree</vt:lpstr>
      <vt:lpstr>fninezatwo</vt:lpstr>
      <vt:lpstr>fninezbfour</vt:lpstr>
      <vt:lpstr>fninezbthree</vt:lpstr>
      <vt:lpstr>forLR</vt:lpstr>
      <vt:lpstr>'Dance p'!forzero</vt:lpstr>
      <vt:lpstr>'Dance p'!getht</vt:lpstr>
      <vt:lpstr>mindist</vt:lpstr>
      <vt:lpstr>'Dance p'!mue</vt:lpstr>
      <vt:lpstr>'Simulate two'!N</vt:lpstr>
      <vt:lpstr>ncpstartdp</vt:lpstr>
      <vt:lpstr>ncpstartdt</vt:lpstr>
      <vt:lpstr>ncpstartsp</vt:lpstr>
      <vt:lpstr>ncpstartst</vt:lpstr>
      <vt:lpstr>'Dance p'!newsamps</vt:lpstr>
      <vt:lpstr>'Dance p'!nhisto</vt:lpstr>
      <vt:lpstr>nof</vt:lpstr>
      <vt:lpstr>'Data two'!None</vt:lpstr>
      <vt:lpstr>nopts</vt:lpstr>
      <vt:lpstr>'Dance p'!nsamples</vt:lpstr>
      <vt:lpstr>'Data two'!Ntwo</vt:lpstr>
      <vt:lpstr>'CIs and replication'!numinitsamps</vt:lpstr>
      <vt:lpstr>'Dance p'!oldsamps</vt:lpstr>
      <vt:lpstr>'Simulate paired'!PairSpeed</vt:lpstr>
      <vt:lpstr>'Dance p'!paraminto</vt:lpstr>
      <vt:lpstr>'Dance p'!params</vt:lpstr>
      <vt:lpstr>'Dance p'!park</vt:lpstr>
      <vt:lpstr>persist</vt:lpstr>
      <vt:lpstr>pnineobt</vt:lpstr>
      <vt:lpstr>pnvalafour</vt:lpstr>
      <vt:lpstr>pnvalaone</vt:lpstr>
      <vt:lpstr>pnvalathree</vt:lpstr>
      <vt:lpstr>pnvalatwo</vt:lpstr>
      <vt:lpstr>pnvalbfour</vt:lpstr>
      <vt:lpstr>pnvalbthree</vt:lpstr>
      <vt:lpstr>'Dance p'!preplabel</vt:lpstr>
      <vt:lpstr>'Dance p'!putht</vt:lpstr>
      <vt:lpstr>'Dance p'!pvallabel</vt:lpstr>
      <vt:lpstr>'CIs and replication'!Repchange</vt:lpstr>
      <vt:lpstr>Repfivecopy</vt:lpstr>
      <vt:lpstr>Repfivepaste</vt:lpstr>
      <vt:lpstr>'CIs and replication'!repnow</vt:lpstr>
      <vt:lpstr>'CIs and replication'!repseed</vt:lpstr>
      <vt:lpstr>'CIs and replication'!repsingswitch</vt:lpstr>
      <vt:lpstr>RepSingtwoSwitch</vt:lpstr>
      <vt:lpstr>'CIs and replication'!RepSpeed</vt:lpstr>
      <vt:lpstr>revdatatwo</vt:lpstr>
      <vt:lpstr>Revpaired</vt:lpstr>
      <vt:lpstr>'Dance p'!samps</vt:lpstr>
      <vt:lpstr>'Dance p'!showmu</vt:lpstr>
      <vt:lpstr>'Data paired'!SimPairGrab</vt:lpstr>
      <vt:lpstr>'Simulate paired'!SimPairGrab</vt:lpstr>
      <vt:lpstr>'Data paired'!SimPairPut</vt:lpstr>
      <vt:lpstr>'Simulate paired'!SimPairPut</vt:lpstr>
      <vt:lpstr>'Simulate two'!SimTwoGrab</vt:lpstr>
      <vt:lpstr>'Simulate two'!SimTwoPut</vt:lpstr>
      <vt:lpstr>'Dance p'!soundflag</vt:lpstr>
      <vt:lpstr>topleft</vt:lpstr>
      <vt:lpstr>'Simulate two'!TwoSpeed</vt:lpstr>
      <vt:lpstr>vareq</vt:lpstr>
    </vt:vector>
  </TitlesOfParts>
  <Company>La Trobe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 Cumming</dc:creator>
  <cp:lastModifiedBy>User</cp:lastModifiedBy>
  <dcterms:created xsi:type="dcterms:W3CDTF">2005-03-30T10:19:15Z</dcterms:created>
  <dcterms:modified xsi:type="dcterms:W3CDTF">2018-05-11T16:19:04Z</dcterms:modified>
</cp:coreProperties>
</file>